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6840" windowWidth="15240" windowHeight="1170" tabRatio="595"/>
  </bookViews>
  <sheets>
    <sheet name="с изм.№10" sheetId="2" r:id="rId1"/>
  </sheets>
  <calcPr calcId="145621"/>
</workbook>
</file>

<file path=xl/calcChain.xml><?xml version="1.0" encoding="utf-8"?>
<calcChain xmlns="http://schemas.openxmlformats.org/spreadsheetml/2006/main">
  <c r="U8759" i="2" l="1"/>
  <c r="T8759" i="2"/>
  <c r="T9186" i="2"/>
  <c r="T317" i="2"/>
  <c r="U162" i="2"/>
  <c r="T163" i="2"/>
  <c r="U163" i="2" s="1"/>
  <c r="U8588" i="2" s="1"/>
  <c r="T8588" i="2" l="1"/>
  <c r="U8558" i="2" l="1"/>
  <c r="T8558" i="2"/>
  <c r="T8556" i="2"/>
  <c r="U8556" i="2" s="1"/>
  <c r="T8554" i="2"/>
  <c r="U8554" i="2" s="1"/>
  <c r="T8552" i="2"/>
  <c r="U8552" i="2" s="1"/>
  <c r="U8975" i="2"/>
  <c r="U8679" i="2"/>
  <c r="U9185" i="2"/>
  <c r="U9089" i="2"/>
  <c r="T8587" i="2"/>
  <c r="U8587" i="2" s="1"/>
  <c r="T8586" i="2"/>
  <c r="U8586" i="2" s="1"/>
  <c r="T8585" i="2"/>
  <c r="U8585" i="2" s="1"/>
  <c r="T8584" i="2"/>
  <c r="U8584" i="2" s="1"/>
  <c r="T8583" i="2"/>
  <c r="U8583" i="2" s="1"/>
  <c r="U317" i="2"/>
  <c r="T1517" i="2"/>
  <c r="U1517" i="2" s="1"/>
  <c r="U1516" i="2"/>
  <c r="T146" i="2"/>
  <c r="U146" i="2" s="1"/>
  <c r="T136" i="2"/>
  <c r="U136" i="2" s="1"/>
  <c r="T7500" i="2" l="1"/>
  <c r="U7500" i="2" s="1"/>
  <c r="U7499" i="2"/>
  <c r="T7106" i="2" l="1"/>
  <c r="U7106" i="2" s="1"/>
  <c r="T8576" i="2" l="1"/>
  <c r="U8576" i="2" s="1"/>
  <c r="U8575" i="2"/>
  <c r="T8060" i="2"/>
  <c r="U8060" i="2" s="1"/>
  <c r="U8059" i="2"/>
  <c r="T7989" i="2"/>
  <c r="U7989" i="2" s="1"/>
  <c r="U7988" i="2"/>
  <c r="T7638" i="2"/>
  <c r="U7638" i="2" s="1"/>
  <c r="U7637" i="2"/>
  <c r="T818" i="2"/>
  <c r="U818" i="2" s="1"/>
  <c r="U817" i="2"/>
  <c r="T772" i="2"/>
  <c r="U772" i="2" s="1"/>
  <c r="U771" i="2"/>
  <c r="T768" i="2"/>
  <c r="U768" i="2" s="1"/>
  <c r="U767" i="2"/>
  <c r="T763" i="2"/>
  <c r="U763" i="2" s="1"/>
  <c r="U762" i="2"/>
  <c r="T747" i="2"/>
  <c r="U747" i="2" s="1"/>
  <c r="U746" i="2"/>
  <c r="T735" i="2"/>
  <c r="U735" i="2" s="1"/>
  <c r="U734" i="2"/>
  <c r="T313" i="2"/>
  <c r="U313" i="2" s="1"/>
  <c r="U312" i="2"/>
  <c r="T306" i="2"/>
  <c r="U306" i="2" s="1"/>
  <c r="U305" i="2"/>
  <c r="T299" i="2"/>
  <c r="U299" i="2" s="1"/>
  <c r="U298" i="2"/>
  <c r="T279" i="2"/>
  <c r="U279" i="2" s="1"/>
  <c r="U278" i="2"/>
  <c r="T243" i="2"/>
  <c r="U243" i="2" s="1"/>
  <c r="U242" i="2"/>
  <c r="T222" i="2"/>
  <c r="U222" i="2" s="1"/>
  <c r="U221" i="2"/>
  <c r="T210" i="2"/>
  <c r="U210" i="2" s="1"/>
  <c r="U209" i="2"/>
  <c r="T196" i="2"/>
  <c r="U196" i="2" s="1"/>
  <c r="U195" i="2"/>
  <c r="T170" i="2"/>
  <c r="U170" i="2" s="1"/>
  <c r="U169" i="2"/>
  <c r="T8582" i="2"/>
  <c r="U8582" i="2" s="1"/>
  <c r="T8581" i="2"/>
  <c r="U8581" i="2" s="1"/>
  <c r="U8722" i="2"/>
  <c r="U8719" i="2"/>
  <c r="T8317" i="2" l="1"/>
  <c r="U8317" i="2" s="1"/>
  <c r="U8316" i="2"/>
  <c r="T7941" i="2" l="1"/>
  <c r="T7944" i="2"/>
  <c r="U7944" i="2" s="1"/>
  <c r="T7947" i="2"/>
  <c r="U7947" i="2" s="1"/>
  <c r="T7949" i="2"/>
  <c r="T8580" i="2" l="1"/>
  <c r="U8580" i="2" s="1"/>
  <c r="T8579" i="2"/>
  <c r="U8579" i="2" s="1"/>
  <c r="T8578" i="2"/>
  <c r="U8578" i="2" s="1"/>
  <c r="T8577" i="2"/>
  <c r="T8363" i="2"/>
  <c r="U8363" i="2" s="1"/>
  <c r="U8362" i="2"/>
  <c r="T8360" i="2"/>
  <c r="U8359" i="2"/>
  <c r="T8356" i="2"/>
  <c r="U8356" i="2" s="1"/>
  <c r="U8355" i="2"/>
  <c r="T8353" i="2"/>
  <c r="U8353" i="2" s="1"/>
  <c r="U8352" i="2"/>
  <c r="T8350" i="2"/>
  <c r="U8350" i="2" s="1"/>
  <c r="U8349" i="2"/>
  <c r="T8347" i="2"/>
  <c r="U8347" i="2" s="1"/>
  <c r="U8346" i="2"/>
  <c r="T8342" i="2"/>
  <c r="U8342" i="2" s="1"/>
  <c r="U8341" i="2"/>
  <c r="T8339" i="2"/>
  <c r="U8339" i="2" s="1"/>
  <c r="U8338" i="2"/>
  <c r="T8336" i="2"/>
  <c r="U8336" i="2" s="1"/>
  <c r="U8335" i="2"/>
  <c r="T8333" i="2"/>
  <c r="U8333" i="2" s="1"/>
  <c r="U8332" i="2"/>
  <c r="T8329" i="2"/>
  <c r="U8329" i="2" s="1"/>
  <c r="U8328" i="2"/>
  <c r="T8326" i="2"/>
  <c r="U8326" i="2" s="1"/>
  <c r="U8325" i="2"/>
  <c r="T8323" i="2"/>
  <c r="U8323" i="2" s="1"/>
  <c r="U8322" i="2"/>
  <c r="T8320" i="2"/>
  <c r="U8320" i="2" s="1"/>
  <c r="U8319" i="2"/>
  <c r="T8314" i="2"/>
  <c r="U8314" i="2" s="1"/>
  <c r="U8313" i="2"/>
  <c r="T8284" i="2"/>
  <c r="U8284" i="2" s="1"/>
  <c r="U8283" i="2"/>
  <c r="T8281" i="2"/>
  <c r="U8281" i="2" s="1"/>
  <c r="U8280" i="2"/>
  <c r="T7539" i="2"/>
  <c r="U7539" i="2" s="1"/>
  <c r="U7538" i="2"/>
  <c r="T7530" i="2"/>
  <c r="U7530" i="2" s="1"/>
  <c r="U7529" i="2"/>
  <c r="T7525" i="2"/>
  <c r="U7525" i="2" s="1"/>
  <c r="U7524" i="2"/>
  <c r="T7515" i="2"/>
  <c r="U7515" i="2" s="1"/>
  <c r="U7514" i="2"/>
  <c r="T7510" i="2"/>
  <c r="U7510" i="2" s="1"/>
  <c r="U7509" i="2"/>
  <c r="T7493" i="2"/>
  <c r="U7493" i="2" s="1"/>
  <c r="U7492" i="2"/>
  <c r="T7488" i="2"/>
  <c r="U7488" i="2" s="1"/>
  <c r="U7487" i="2"/>
  <c r="T7483" i="2"/>
  <c r="U7483" i="2" s="1"/>
  <c r="U7482" i="2"/>
  <c r="T7479" i="2"/>
  <c r="U7479" i="2" s="1"/>
  <c r="U7478" i="2"/>
  <c r="T7474" i="2"/>
  <c r="U7474" i="2" s="1"/>
  <c r="U7473" i="2"/>
  <c r="T7469" i="2"/>
  <c r="U7469" i="2" s="1"/>
  <c r="U7468" i="2"/>
  <c r="T7464" i="2"/>
  <c r="U7464" i="2" s="1"/>
  <c r="U7463" i="2"/>
  <c r="T7459" i="2"/>
  <c r="U7459" i="2" s="1"/>
  <c r="U7458" i="2"/>
  <c r="T7452" i="2"/>
  <c r="U7452" i="2" s="1"/>
  <c r="U7451" i="2"/>
  <c r="T7445" i="2"/>
  <c r="U7445" i="2" s="1"/>
  <c r="U7444" i="2"/>
  <c r="T7439" i="2"/>
  <c r="U7439" i="2" s="1"/>
  <c r="U7438" i="2"/>
  <c r="T7433" i="2"/>
  <c r="U7433" i="2" s="1"/>
  <c r="U7432" i="2"/>
  <c r="T7428" i="2"/>
  <c r="U7428" i="2" s="1"/>
  <c r="U7427" i="2"/>
  <c r="U8360" i="2" l="1"/>
  <c r="U8577" i="2"/>
  <c r="T8522" i="2"/>
  <c r="U8522" i="2" s="1"/>
  <c r="T6634" i="2" l="1"/>
  <c r="U6634" i="2" s="1"/>
  <c r="T6605" i="2"/>
  <c r="U6605" i="2" s="1"/>
  <c r="T5628" i="2"/>
  <c r="U5628" i="2" s="1"/>
  <c r="T4676" i="2"/>
  <c r="U4676" i="2" s="1"/>
  <c r="T4669" i="2"/>
  <c r="U4669" i="2" s="1"/>
  <c r="T4648" i="2"/>
  <c r="U4648" i="2" s="1"/>
  <c r="T4625" i="2"/>
  <c r="U4625" i="2" s="1"/>
  <c r="T4610" i="2"/>
  <c r="U4610" i="2" s="1"/>
  <c r="T4593" i="2"/>
  <c r="U4593" i="2" s="1"/>
  <c r="T4582" i="2"/>
  <c r="U4582" i="2" s="1"/>
  <c r="T4541" i="2"/>
  <c r="U4541" i="2" s="1"/>
  <c r="T4512" i="2"/>
  <c r="U4512" i="2" s="1"/>
  <c r="T4485" i="2"/>
  <c r="U4485" i="2" s="1"/>
  <c r="T4474" i="2"/>
  <c r="U4474" i="2" s="1"/>
  <c r="T4467" i="2"/>
  <c r="U4467" i="2" s="1"/>
  <c r="T4460" i="2"/>
  <c r="U4460" i="2" s="1"/>
  <c r="T4425" i="2"/>
  <c r="U4425" i="2" s="1"/>
  <c r="T3793" i="2"/>
  <c r="U3793" i="2" s="1"/>
  <c r="T3789" i="2"/>
  <c r="U3789" i="2" s="1"/>
  <c r="T3777" i="2"/>
  <c r="U3777" i="2" s="1"/>
  <c r="T3773" i="2"/>
  <c r="U3773" i="2" s="1"/>
  <c r="T4771" i="2"/>
  <c r="U4771" i="2" s="1"/>
  <c r="T4765" i="2"/>
  <c r="U4765" i="2" s="1"/>
  <c r="T4760" i="2"/>
  <c r="U4760" i="2" s="1"/>
  <c r="T5326" i="2"/>
  <c r="U5326" i="2" s="1"/>
  <c r="T5321" i="2"/>
  <c r="U5321" i="2" s="1"/>
  <c r="T8277" i="2" l="1"/>
  <c r="U8277" i="2" s="1"/>
  <c r="T8274" i="2"/>
  <c r="U8274" i="2" s="1"/>
  <c r="T8271" i="2"/>
  <c r="U8271" i="2" s="1"/>
  <c r="T8268" i="2"/>
  <c r="U8268" i="2" s="1"/>
  <c r="T8265" i="2"/>
  <c r="U8265" i="2" s="1"/>
  <c r="T8261" i="2"/>
  <c r="U8261" i="2" s="1"/>
  <c r="T8258" i="2"/>
  <c r="U8258" i="2" s="1"/>
  <c r="T8250" i="2"/>
  <c r="U8250" i="2" s="1"/>
  <c r="T8247" i="2"/>
  <c r="U8247" i="2" s="1"/>
  <c r="T8244" i="2"/>
  <c r="U8244" i="2" s="1"/>
  <c r="T8239" i="2"/>
  <c r="U8239" i="2" s="1"/>
  <c r="T8236" i="2"/>
  <c r="U8236" i="2" s="1"/>
  <c r="T8231" i="2"/>
  <c r="U8231" i="2" s="1"/>
  <c r="T3499" i="2"/>
  <c r="U3499" i="2" s="1"/>
  <c r="T3494" i="2"/>
  <c r="U3494" i="2" s="1"/>
  <c r="T3489" i="2"/>
  <c r="U3489" i="2" s="1"/>
  <c r="T3484" i="2"/>
  <c r="U3484" i="2" s="1"/>
  <c r="T3475" i="2"/>
  <c r="U3475" i="2" s="1"/>
  <c r="T3470" i="2"/>
  <c r="U3470" i="2" s="1"/>
  <c r="T3465" i="2"/>
  <c r="U3465" i="2" s="1"/>
  <c r="T3460" i="2"/>
  <c r="U3460" i="2" s="1"/>
  <c r="T3434" i="2"/>
  <c r="U3434" i="2" s="1"/>
  <c r="T3425" i="2"/>
  <c r="U3425" i="2" s="1"/>
  <c r="T3416" i="2"/>
  <c r="U3416" i="2" s="1"/>
  <c r="T3411" i="2"/>
  <c r="U3411" i="2" s="1"/>
  <c r="T3406" i="2"/>
  <c r="U3406" i="2" s="1"/>
  <c r="T3361" i="2"/>
  <c r="U3361" i="2" s="1"/>
  <c r="T3366" i="2"/>
  <c r="U3366" i="2" s="1"/>
  <c r="T3352" i="2"/>
  <c r="U3352" i="2" s="1"/>
  <c r="T3347" i="2"/>
  <c r="U3347" i="2" s="1"/>
  <c r="T3663" i="2"/>
  <c r="U3663" i="2" s="1"/>
  <c r="T3658" i="2"/>
  <c r="U3658" i="2" s="1"/>
  <c r="T3668" i="2"/>
  <c r="U3668" i="2" s="1"/>
  <c r="T3653" i="2"/>
  <c r="U3653" i="2" s="1"/>
  <c r="T3648" i="2"/>
  <c r="U3648" i="2" s="1"/>
  <c r="T3639" i="2"/>
  <c r="U3639" i="2" s="1"/>
  <c r="T3632" i="2"/>
  <c r="U3632" i="2" s="1"/>
  <c r="T3627" i="2"/>
  <c r="U3627" i="2" s="1"/>
  <c r="T3621" i="2"/>
  <c r="U3621" i="2" s="1"/>
  <c r="T3616" i="2"/>
  <c r="U3616" i="2" s="1"/>
  <c r="T3611" i="2"/>
  <c r="U3611" i="2" s="1"/>
  <c r="T3565" i="2"/>
  <c r="U3565" i="2" s="1"/>
  <c r="T3559" i="2"/>
  <c r="U3559" i="2" s="1"/>
  <c r="T3553" i="2"/>
  <c r="U3553" i="2" s="1"/>
  <c r="T3547" i="2"/>
  <c r="U3547" i="2" s="1"/>
  <c r="T3541" i="2"/>
  <c r="U3541" i="2" s="1"/>
  <c r="T3535" i="2"/>
  <c r="U3535" i="2" s="1"/>
  <c r="T3529" i="2"/>
  <c r="U3529" i="2" s="1"/>
  <c r="T3523" i="2"/>
  <c r="U3523" i="2" s="1"/>
  <c r="T3517" i="2"/>
  <c r="U3517" i="2" s="1"/>
  <c r="T3511" i="2"/>
  <c r="U3511" i="2" s="1"/>
  <c r="T3505" i="2"/>
  <c r="U3505" i="2" s="1"/>
  <c r="T3315" i="2"/>
  <c r="U3315" i="2" s="1"/>
  <c r="T3269" i="2"/>
  <c r="U3269" i="2" s="1"/>
  <c r="T3283" i="2"/>
  <c r="U3283" i="2" s="1"/>
  <c r="T3339" i="2"/>
  <c r="U3339" i="2" s="1"/>
  <c r="T3334" i="2"/>
  <c r="U3334" i="2" s="1"/>
  <c r="T3175" i="2"/>
  <c r="U3175" i="2" s="1"/>
  <c r="T3171" i="2"/>
  <c r="U3171" i="2" s="1"/>
  <c r="T3167" i="2"/>
  <c r="U3167" i="2" s="1"/>
  <c r="T3163" i="2"/>
  <c r="U3163" i="2" s="1"/>
  <c r="T3159" i="2"/>
  <c r="U3159" i="2" s="1"/>
  <c r="T3155" i="2"/>
  <c r="U3155" i="2" s="1"/>
  <c r="T3200" i="2"/>
  <c r="U3200" i="2" s="1"/>
  <c r="T3197" i="2"/>
  <c r="U3197" i="2" s="1"/>
  <c r="T3192" i="2"/>
  <c r="U3192" i="2" s="1"/>
  <c r="T3184" i="2"/>
  <c r="U3184" i="2" s="1"/>
  <c r="T2947" i="2"/>
  <c r="U2947" i="2" s="1"/>
  <c r="T3252" i="2"/>
  <c r="U3252" i="2" s="1"/>
  <c r="T3247" i="2"/>
  <c r="U3247" i="2" s="1"/>
  <c r="T3242" i="2"/>
  <c r="U3242" i="2" s="1"/>
  <c r="T3237" i="2" l="1"/>
  <c r="U3237" i="2" s="1"/>
  <c r="T8559" i="2" l="1"/>
  <c r="U8559" i="2" s="1"/>
  <c r="T8543" i="2" l="1"/>
  <c r="U8543" i="2" s="1"/>
  <c r="T8541" i="2"/>
  <c r="U8541" i="2" s="1"/>
  <c r="T3732" i="2" l="1"/>
  <c r="U3732" i="2" s="1"/>
  <c r="U8358" i="2" l="1"/>
  <c r="T385" i="2" l="1"/>
  <c r="U385" i="2" s="1"/>
  <c r="U384" i="2"/>
  <c r="U9088" i="2" l="1"/>
  <c r="U9186" i="2" s="1"/>
  <c r="U9087" i="2"/>
  <c r="T28" i="2" l="1"/>
  <c r="U28" i="2" s="1"/>
  <c r="U27" i="2"/>
  <c r="T8403" i="2" l="1"/>
  <c r="U8403" i="2" s="1"/>
  <c r="U8402" i="2"/>
  <c r="U7949" i="2"/>
  <c r="U7948" i="2"/>
  <c r="U7946" i="2"/>
  <c r="U7943" i="2"/>
  <c r="T1468" i="2"/>
  <c r="U1468" i="2" s="1"/>
  <c r="U1467" i="2"/>
  <c r="U7941" i="2"/>
  <c r="U7940" i="2"/>
  <c r="T1274" i="2"/>
  <c r="U1274" i="2" s="1"/>
  <c r="U1273" i="2"/>
  <c r="U9101" i="2" l="1"/>
  <c r="U9100" i="2"/>
  <c r="U9104" i="2"/>
  <c r="U9103" i="2"/>
  <c r="T6934" i="2"/>
  <c r="U6934" i="2" s="1"/>
  <c r="S8410" i="2"/>
  <c r="T8410" i="2" s="1"/>
  <c r="U8410" i="2" s="1"/>
  <c r="U8409" i="2"/>
  <c r="S8409" i="2"/>
  <c r="T8289" i="2"/>
  <c r="U8289" i="2" s="1"/>
  <c r="U8288" i="2"/>
  <c r="T7995" i="2"/>
  <c r="U7995" i="2" s="1"/>
  <c r="U7994" i="2"/>
  <c r="T7992" i="2"/>
  <c r="U7992" i="2" s="1"/>
  <c r="U7991" i="2"/>
  <c r="U7987" i="2"/>
  <c r="T7959" i="2"/>
  <c r="U7959" i="2" s="1"/>
  <c r="U7958" i="2"/>
  <c r="T7724" i="2"/>
  <c r="U7724" i="2" s="1"/>
  <c r="U7723" i="2"/>
  <c r="T7671" i="2"/>
  <c r="U7671" i="2" s="1"/>
  <c r="U7670" i="2"/>
  <c r="T6913" i="2"/>
  <c r="U6913" i="2" s="1"/>
  <c r="U6912" i="2"/>
  <c r="T6907" i="2"/>
  <c r="U6907" i="2" s="1"/>
  <c r="U6906" i="2"/>
  <c r="T6901" i="2"/>
  <c r="U6901" i="2" s="1"/>
  <c r="U6900" i="2"/>
  <c r="T6404" i="2"/>
  <c r="U6404" i="2" s="1"/>
  <c r="U6403" i="2"/>
  <c r="T6389" i="2"/>
  <c r="U6389" i="2" s="1"/>
  <c r="U6388" i="2"/>
  <c r="T6362" i="2"/>
  <c r="U6362" i="2" s="1"/>
  <c r="U6361" i="2"/>
  <c r="T6106" i="2"/>
  <c r="U6106" i="2" s="1"/>
  <c r="U6105" i="2"/>
  <c r="S6105" i="2"/>
  <c r="T6103" i="2"/>
  <c r="U6103" i="2" s="1"/>
  <c r="U6102" i="2"/>
  <c r="T6099" i="2"/>
  <c r="U6099" i="2" s="1"/>
  <c r="U6098" i="2"/>
  <c r="T6095" i="2"/>
  <c r="U6095" i="2" s="1"/>
  <c r="U6094" i="2"/>
  <c r="T5976" i="2"/>
  <c r="U5976" i="2" s="1"/>
  <c r="U5975" i="2"/>
  <c r="S5975" i="2"/>
  <c r="T5757" i="2"/>
  <c r="U5757" i="2" s="1"/>
  <c r="U5756" i="2"/>
  <c r="T5753" i="2"/>
  <c r="U5753" i="2" s="1"/>
  <c r="U5752" i="2"/>
  <c r="T5749" i="2"/>
  <c r="U5749" i="2" s="1"/>
  <c r="U5748" i="2"/>
  <c r="T5745" i="2"/>
  <c r="U5745" i="2" s="1"/>
  <c r="U5744" i="2"/>
  <c r="T5741" i="2"/>
  <c r="U5741" i="2" s="1"/>
  <c r="U5740" i="2"/>
  <c r="T5737" i="2"/>
  <c r="U5737" i="2" s="1"/>
  <c r="U5736" i="2"/>
  <c r="T5729" i="2"/>
  <c r="U5729" i="2" s="1"/>
  <c r="U5728" i="2"/>
  <c r="T5725" i="2"/>
  <c r="U5725" i="2" s="1"/>
  <c r="U5724" i="2"/>
  <c r="T5721" i="2"/>
  <c r="U5721" i="2" s="1"/>
  <c r="U5720" i="2"/>
  <c r="T5717" i="2"/>
  <c r="U5717" i="2" s="1"/>
  <c r="U5716" i="2"/>
  <c r="T5713" i="2"/>
  <c r="U5713" i="2" s="1"/>
  <c r="U5712" i="2"/>
  <c r="T5709" i="2"/>
  <c r="U5709" i="2" s="1"/>
  <c r="U5708" i="2"/>
  <c r="T5705" i="2"/>
  <c r="U5705" i="2" s="1"/>
  <c r="U5704" i="2"/>
  <c r="T5695" i="2"/>
  <c r="U5695" i="2" s="1"/>
  <c r="U5694" i="2"/>
  <c r="T5683" i="2"/>
  <c r="U5683" i="2" s="1"/>
  <c r="U5682" i="2"/>
  <c r="T5679" i="2"/>
  <c r="U5679" i="2" s="1"/>
  <c r="U5678" i="2"/>
  <c r="T5675" i="2"/>
  <c r="U5675" i="2" s="1"/>
  <c r="U5674" i="2"/>
  <c r="T5671" i="2"/>
  <c r="U5671" i="2" s="1"/>
  <c r="U5670" i="2"/>
  <c r="T5664" i="2"/>
  <c r="U5664" i="2" s="1"/>
  <c r="U5663" i="2"/>
  <c r="T5660" i="2"/>
  <c r="U5660" i="2" s="1"/>
  <c r="U5659" i="2"/>
  <c r="T4993" i="2"/>
  <c r="U4993" i="2" s="1"/>
  <c r="U4992" i="2"/>
  <c r="T4329" i="2"/>
  <c r="U4329" i="2" s="1"/>
  <c r="U4328" i="2"/>
  <c r="T4277" i="2"/>
  <c r="U4277" i="2" s="1"/>
  <c r="U4276" i="2"/>
  <c r="T4245" i="2"/>
  <c r="U4245" i="2" s="1"/>
  <c r="U4244" i="2"/>
  <c r="T4202" i="2"/>
  <c r="U4202" i="2" s="1"/>
  <c r="U4201" i="2"/>
  <c r="T4195" i="2"/>
  <c r="U4195" i="2" s="1"/>
  <c r="U4194" i="2"/>
  <c r="T4184" i="2"/>
  <c r="U4184" i="2" s="1"/>
  <c r="U4183" i="2"/>
  <c r="T4180" i="2"/>
  <c r="U4180" i="2" s="1"/>
  <c r="U4179" i="2"/>
  <c r="T4171" i="2"/>
  <c r="U4171" i="2" s="1"/>
  <c r="U4170" i="2"/>
  <c r="T4164" i="2"/>
  <c r="U4164" i="2" s="1"/>
  <c r="U4163" i="2"/>
  <c r="T4143" i="2"/>
  <c r="U4143" i="2" s="1"/>
  <c r="U4142" i="2"/>
  <c r="T4125" i="2"/>
  <c r="U4125" i="2" s="1"/>
  <c r="U4124" i="2"/>
  <c r="T4118" i="2"/>
  <c r="U4118" i="2" s="1"/>
  <c r="U4117" i="2"/>
  <c r="T4114" i="2"/>
  <c r="U4114" i="2" s="1"/>
  <c r="U4113" i="2"/>
  <c r="T4101" i="2"/>
  <c r="U4101" i="2" s="1"/>
  <c r="U4100" i="2"/>
  <c r="T4034" i="2"/>
  <c r="U4034" i="2" s="1"/>
  <c r="U4033" i="2"/>
  <c r="T3976" i="2"/>
  <c r="U3976" i="2" s="1"/>
  <c r="U3975" i="2"/>
  <c r="T3960" i="2"/>
  <c r="U3960" i="2" s="1"/>
  <c r="U3959" i="2"/>
  <c r="T3956" i="2"/>
  <c r="U3956" i="2" s="1"/>
  <c r="U3955" i="2"/>
  <c r="T3950" i="2"/>
  <c r="U3950" i="2" s="1"/>
  <c r="U3949" i="2"/>
  <c r="T3946" i="2"/>
  <c r="U3946" i="2" s="1"/>
  <c r="U3945" i="2"/>
  <c r="T3936" i="2"/>
  <c r="U3936" i="2" s="1"/>
  <c r="U3935" i="2"/>
  <c r="T3932" i="2"/>
  <c r="U3932" i="2" s="1"/>
  <c r="U3931" i="2"/>
  <c r="T3920" i="2"/>
  <c r="U3920" i="2" s="1"/>
  <c r="U3919" i="2"/>
  <c r="T3896" i="2"/>
  <c r="U3896" i="2" s="1"/>
  <c r="U3895" i="2"/>
  <c r="T3890" i="2"/>
  <c r="U3890" i="2" s="1"/>
  <c r="U3889" i="2"/>
  <c r="T3886" i="2"/>
  <c r="U3886" i="2" s="1"/>
  <c r="U3885" i="2"/>
  <c r="T3867" i="2"/>
  <c r="U3867" i="2" s="1"/>
  <c r="U3866" i="2"/>
  <c r="T3860" i="2"/>
  <c r="U3860" i="2" s="1"/>
  <c r="U3859" i="2"/>
  <c r="T3479" i="2"/>
  <c r="U3479" i="2" s="1"/>
  <c r="U3478" i="2"/>
  <c r="T3429" i="2"/>
  <c r="U3429" i="2" s="1"/>
  <c r="U3428" i="2"/>
  <c r="T3420" i="2"/>
  <c r="U3420" i="2" s="1"/>
  <c r="U3419" i="2"/>
  <c r="T3377" i="2"/>
  <c r="U3377" i="2" s="1"/>
  <c r="U3376" i="2"/>
  <c r="T3373" i="2"/>
  <c r="U3373" i="2" s="1"/>
  <c r="U3372" i="2"/>
  <c r="T3356" i="2"/>
  <c r="U3356" i="2" s="1"/>
  <c r="U3355" i="2"/>
  <c r="T3187" i="2"/>
  <c r="U3187" i="2" s="1"/>
  <c r="U3186" i="2"/>
  <c r="T3102" i="2"/>
  <c r="U3102" i="2" s="1"/>
  <c r="U3101" i="2"/>
  <c r="T2404" i="2"/>
  <c r="U2404" i="2" s="1"/>
  <c r="U2403" i="2"/>
  <c r="T2191" i="2"/>
  <c r="U2191" i="2" s="1"/>
  <c r="U2190" i="2"/>
  <c r="T2186" i="2"/>
  <c r="U2186" i="2" s="1"/>
  <c r="U2185" i="2"/>
  <c r="T1202" i="2" l="1"/>
  <c r="U1202" i="2" s="1"/>
  <c r="U1201" i="2"/>
  <c r="T1197" i="2"/>
  <c r="U1197" i="2" s="1"/>
  <c r="U1196" i="2"/>
  <c r="T1128" i="2"/>
  <c r="U1128" i="2" s="1"/>
  <c r="U1127" i="2"/>
  <c r="T833" i="2"/>
  <c r="U833" i="2" s="1"/>
  <c r="U832" i="2"/>
  <c r="U766" i="2"/>
  <c r="U761" i="2"/>
  <c r="U745" i="2"/>
  <c r="U733" i="2"/>
  <c r="T337" i="2"/>
  <c r="U337" i="2" s="1"/>
  <c r="U336" i="2"/>
  <c r="T37" i="2"/>
  <c r="U37" i="2" s="1"/>
  <c r="U36" i="2"/>
  <c r="T34" i="2"/>
  <c r="U34" i="2" s="1"/>
  <c r="U33" i="2"/>
  <c r="T31" i="2"/>
  <c r="U31" i="2" s="1"/>
  <c r="U30" i="2"/>
  <c r="T23" i="2"/>
  <c r="U22" i="2"/>
  <c r="U21" i="2"/>
  <c r="U23" i="2" l="1"/>
  <c r="U770" i="2"/>
  <c r="U9037" i="2" l="1"/>
  <c r="U9036" i="2"/>
  <c r="U8773" i="2" l="1"/>
  <c r="T368" i="2" l="1"/>
  <c r="U368" i="2" s="1"/>
  <c r="U367" i="2"/>
  <c r="T7661" i="2" l="1"/>
  <c r="U7661" i="2" s="1"/>
  <c r="T1257" i="2" l="1"/>
  <c r="U1257" i="2" s="1"/>
  <c r="T1252" i="2"/>
  <c r="U1252" i="2" s="1"/>
  <c r="T363" i="2" l="1"/>
  <c r="U363" i="2" s="1"/>
  <c r="U9173" i="2" l="1"/>
  <c r="U9165" i="2"/>
  <c r="T3278" i="2" l="1"/>
  <c r="U9180" i="2" l="1"/>
  <c r="U9178" i="2"/>
  <c r="U9175" i="2"/>
  <c r="U9167" i="2"/>
  <c r="U9162" i="2"/>
  <c r="U9159" i="2"/>
  <c r="U9156" i="2"/>
  <c r="U9153" i="2"/>
  <c r="U9151" i="2"/>
  <c r="U9148" i="2"/>
  <c r="U9142" i="2"/>
  <c r="U9140" i="2"/>
  <c r="U9138" i="2"/>
  <c r="U9124" i="2"/>
  <c r="U9121" i="2"/>
  <c r="U9119" i="2"/>
  <c r="U9116" i="2"/>
  <c r="U9114" i="2"/>
  <c r="U9107" i="2"/>
  <c r="U9096" i="2"/>
  <c r="U9094" i="2"/>
  <c r="U9081" i="2"/>
  <c r="U9078" i="2"/>
  <c r="U9073" i="2"/>
  <c r="U9062" i="2"/>
  <c r="U9059" i="2"/>
  <c r="U9056" i="2"/>
  <c r="U9052" i="2"/>
  <c r="U9049" i="2"/>
  <c r="U9047" i="2"/>
  <c r="U9044" i="2"/>
  <c r="U9033" i="2"/>
  <c r="U9030" i="2"/>
  <c r="U9027" i="2"/>
  <c r="U9025" i="2"/>
  <c r="U9020" i="2"/>
  <c r="U9016" i="2"/>
  <c r="U9013" i="2"/>
  <c r="U9009" i="2" l="1"/>
  <c r="U9006" i="2"/>
  <c r="U9003" i="2"/>
  <c r="U9001" i="2"/>
  <c r="U8997" i="2" l="1"/>
  <c r="U8994" i="2"/>
  <c r="T1295" i="2" l="1"/>
  <c r="U1295" i="2" s="1"/>
  <c r="U9065" i="2" l="1"/>
  <c r="U9085" i="2"/>
  <c r="T4322" i="2" l="1"/>
  <c r="U9040" i="2" l="1"/>
  <c r="U9184" i="2" l="1"/>
  <c r="T228" i="2" l="1"/>
  <c r="U228" i="2" s="1"/>
  <c r="T234" i="2"/>
  <c r="U234" i="2" s="1"/>
  <c r="T259" i="2"/>
  <c r="U259" i="2" s="1"/>
  <c r="T8569" i="2"/>
  <c r="U8569" i="2" s="1"/>
  <c r="T8568" i="2"/>
  <c r="U8568" i="2" s="1"/>
  <c r="T8567" i="2"/>
  <c r="U8567" i="2" s="1"/>
  <c r="T8574" i="2" l="1"/>
  <c r="U8574" i="2" s="1"/>
  <c r="T8526" i="2" l="1"/>
  <c r="U8526" i="2" s="1"/>
  <c r="T1083" i="2"/>
  <c r="U1083" i="2" s="1"/>
  <c r="T8573" i="2" l="1"/>
  <c r="U8573" i="2" s="1"/>
  <c r="T8570" i="2" l="1"/>
  <c r="U8570" i="2" s="1"/>
  <c r="T8571" i="2"/>
  <c r="U8571" i="2" s="1"/>
  <c r="T8572" i="2"/>
  <c r="U8572" i="2" s="1"/>
  <c r="T1800" i="2" l="1"/>
  <c r="U1800" i="2" s="1"/>
  <c r="T6895" i="2" l="1"/>
  <c r="U6895" i="2" s="1"/>
  <c r="T6903" i="2"/>
  <c r="U6903" i="2" s="1"/>
  <c r="T8566" i="2" l="1"/>
  <c r="U8566" i="2" s="1"/>
  <c r="T8560" i="2"/>
  <c r="U8560" i="2" s="1"/>
  <c r="T8561" i="2"/>
  <c r="U8561" i="2" s="1"/>
  <c r="T8562" i="2"/>
  <c r="U8562" i="2" s="1"/>
  <c r="T8563" i="2"/>
  <c r="U8563" i="2" s="1"/>
  <c r="T8564" i="2"/>
  <c r="U8564" i="2" s="1"/>
  <c r="T8565" i="2"/>
  <c r="U8565" i="2" s="1"/>
  <c r="T2925" i="2"/>
  <c r="U2925" i="2" s="1"/>
  <c r="U9069" i="2" l="1"/>
  <c r="U8553" i="2" l="1"/>
  <c r="U8555" i="2"/>
  <c r="U8557" i="2"/>
  <c r="U8551" i="2"/>
  <c r="T8550" i="2" l="1"/>
  <c r="U8550" i="2" s="1"/>
  <c r="T8549" i="2"/>
  <c r="U8549" i="2" s="1"/>
  <c r="U8807" i="2" l="1"/>
  <c r="U9183" i="2"/>
  <c r="U8974" i="2" l="1"/>
  <c r="T3750" i="2" l="1"/>
  <c r="U3750" i="2" s="1"/>
  <c r="U3749" i="2"/>
  <c r="T1122" i="2" l="1"/>
  <c r="U1122" i="2" s="1"/>
  <c r="T310" i="2"/>
  <c r="U310" i="2" s="1"/>
  <c r="U309" i="2"/>
  <c r="T303" i="2"/>
  <c r="U303" i="2" s="1"/>
  <c r="U302" i="2"/>
  <c r="U297" i="2"/>
  <c r="T287" i="2"/>
  <c r="U287" i="2" s="1"/>
  <c r="U286" i="2"/>
  <c r="U241" i="2"/>
  <c r="T192" i="2"/>
  <c r="U192" i="2" s="1"/>
  <c r="U191" i="2"/>
  <c r="T187" i="2"/>
  <c r="U187" i="2" s="1"/>
  <c r="U186" i="2"/>
  <c r="T177" i="2"/>
  <c r="U177" i="2" s="1"/>
  <c r="U176" i="2"/>
  <c r="U168" i="2"/>
  <c r="U167" i="2"/>
  <c r="U161" i="2"/>
  <c r="U160" i="2"/>
  <c r="T156" i="2"/>
  <c r="U156" i="2" s="1"/>
  <c r="U155" i="2"/>
  <c r="U145" i="2"/>
  <c r="U144" i="2"/>
  <c r="T140" i="2"/>
  <c r="U140" i="2" s="1"/>
  <c r="U139" i="2"/>
  <c r="T3707" i="2" l="1"/>
  <c r="U3707" i="2" s="1"/>
  <c r="U3706" i="2"/>
  <c r="T3702" i="2"/>
  <c r="U3702" i="2" s="1"/>
  <c r="U3701" i="2"/>
  <c r="T3693" i="2"/>
  <c r="U3693" i="2" s="1"/>
  <c r="U3692" i="2"/>
  <c r="T3688" i="2"/>
  <c r="U3688" i="2" s="1"/>
  <c r="U3687" i="2"/>
  <c r="T884" i="2"/>
  <c r="U884" i="2" s="1"/>
  <c r="U883" i="2"/>
  <c r="U610" i="2"/>
  <c r="U609" i="2"/>
  <c r="T448" i="2"/>
  <c r="U448" i="2" s="1"/>
  <c r="U447" i="2"/>
  <c r="T1729" i="2" l="1"/>
  <c r="U1729" i="2" s="1"/>
  <c r="U1728" i="2"/>
  <c r="T1540" i="2"/>
  <c r="U1540" i="2" s="1"/>
  <c r="U1539" i="2"/>
  <c r="T1535" i="2"/>
  <c r="U1535" i="2" s="1"/>
  <c r="U1534" i="2"/>
  <c r="T1265" i="2"/>
  <c r="U1265" i="2" s="1"/>
  <c r="U1264" i="2"/>
  <c r="U1256" i="2"/>
  <c r="U1255" i="2"/>
  <c r="T891" i="2"/>
  <c r="U891" i="2" s="1"/>
  <c r="U890" i="2"/>
  <c r="T724" i="2" l="1"/>
  <c r="U724" i="2" s="1"/>
  <c r="T721" i="2"/>
  <c r="U721" i="2" s="1"/>
  <c r="T7779" i="2"/>
  <c r="U7779" i="2" s="1"/>
  <c r="T7700" i="2" l="1"/>
  <c r="U7700" i="2" s="1"/>
  <c r="U7699" i="2"/>
  <c r="U7722" i="2" l="1"/>
  <c r="T437" i="2" l="1"/>
  <c r="U437" i="2" s="1"/>
  <c r="T426" i="2"/>
  <c r="U426" i="2" s="1"/>
  <c r="U425" i="2"/>
  <c r="T397" i="2"/>
  <c r="U397" i="2" s="1"/>
  <c r="T391" i="2"/>
  <c r="U391" i="2" s="1"/>
  <c r="T350" i="2"/>
  <c r="U350" i="2" s="1"/>
  <c r="T463" i="2"/>
  <c r="U463" i="2" s="1"/>
  <c r="T458" i="2"/>
  <c r="U458" i="2" s="1"/>
  <c r="T443" i="2"/>
  <c r="U443" i="2" s="1"/>
  <c r="T431" i="2"/>
  <c r="U431" i="2" s="1"/>
  <c r="T7984" i="2"/>
  <c r="U7984" i="2" s="1"/>
  <c r="T2164" i="2"/>
  <c r="U2164" i="2" s="1"/>
  <c r="U6933" i="2"/>
  <c r="T1555" i="2" l="1"/>
  <c r="T1661" i="2" l="1"/>
  <c r="U1661" i="2" s="1"/>
  <c r="U1660" i="2"/>
  <c r="T1463" i="2"/>
  <c r="U1463" i="2" s="1"/>
  <c r="T8073" i="2"/>
  <c r="U8073" i="2" s="1"/>
  <c r="T1396" i="2"/>
  <c r="U1396" i="2" s="1"/>
  <c r="T1327" i="2"/>
  <c r="U1327" i="2" s="1"/>
  <c r="T1304" i="2"/>
  <c r="U1304" i="2" s="1"/>
  <c r="T1448" i="2"/>
  <c r="U1448" i="2" s="1"/>
  <c r="T8076" i="2"/>
  <c r="U8076" i="2" s="1"/>
  <c r="T1336" i="2"/>
  <c r="U1336" i="2" s="1"/>
  <c r="T7716" i="2" l="1"/>
  <c r="U7716" i="2" s="1"/>
  <c r="T7713" i="2"/>
  <c r="U7713" i="2" s="1"/>
  <c r="T7710" i="2"/>
  <c r="U7710" i="2" s="1"/>
  <c r="U1082" i="2"/>
  <c r="U1081" i="2"/>
  <c r="T472" i="2" l="1"/>
  <c r="U472" i="2" s="1"/>
  <c r="U471" i="2"/>
  <c r="T1979" i="2"/>
  <c r="U1979" i="2" s="1"/>
  <c r="T1988" i="2"/>
  <c r="U1988" i="2" s="1"/>
  <c r="T2003" i="2"/>
  <c r="U2003" i="2" s="1"/>
  <c r="T1998" i="2"/>
  <c r="U1998" i="2" s="1"/>
  <c r="T1993" i="2"/>
  <c r="U1993" i="2" s="1"/>
  <c r="U1992" i="2"/>
  <c r="U9182" i="2" l="1"/>
  <c r="U3667" i="2" l="1"/>
  <c r="U3610" i="2"/>
  <c r="U9146" i="2" l="1"/>
  <c r="U8986" i="2"/>
  <c r="U8982" i="2"/>
  <c r="U8493" i="2"/>
  <c r="U8491" i="2"/>
  <c r="U8489" i="2"/>
  <c r="U8487" i="2"/>
  <c r="U8485" i="2"/>
  <c r="U8483" i="2"/>
  <c r="U8481" i="2"/>
  <c r="U8479" i="2"/>
  <c r="U8477" i="2"/>
  <c r="U8475" i="2"/>
  <c r="U8473" i="2"/>
  <c r="U8311" i="2" l="1"/>
  <c r="U8309" i="2"/>
  <c r="U8307" i="2"/>
  <c r="U8305" i="2"/>
  <c r="U7542" i="2"/>
  <c r="U7519" i="2"/>
  <c r="U9172" i="2" l="1"/>
  <c r="U9164" i="2"/>
  <c r="U9136" i="2"/>
  <c r="U7660" i="2"/>
  <c r="U9181" i="2" l="1"/>
  <c r="U9179" i="2"/>
  <c r="U9177" i="2"/>
  <c r="U9176" i="2"/>
  <c r="U9174" i="2"/>
  <c r="U9171" i="2"/>
  <c r="U9170" i="2"/>
  <c r="U9169" i="2"/>
  <c r="U9168" i="2"/>
  <c r="U9166" i="2"/>
  <c r="U9163" i="2"/>
  <c r="U9161" i="2"/>
  <c r="U9160" i="2"/>
  <c r="U9158" i="2"/>
  <c r="U9157" i="2"/>
  <c r="U9155" i="2"/>
  <c r="U9154" i="2"/>
  <c r="U9152" i="2"/>
  <c r="U9150" i="2"/>
  <c r="U9149" i="2"/>
  <c r="U9147" i="2"/>
  <c r="U9145" i="2"/>
  <c r="U9144" i="2"/>
  <c r="U9143" i="2"/>
  <c r="U9141" i="2"/>
  <c r="U9139" i="2"/>
  <c r="U9137" i="2"/>
  <c r="U9135" i="2"/>
  <c r="U9134" i="2"/>
  <c r="U9133" i="2"/>
  <c r="U9132" i="2"/>
  <c r="U9131" i="2"/>
  <c r="U9130" i="2"/>
  <c r="U9129" i="2"/>
  <c r="U9128" i="2"/>
  <c r="U9127" i="2"/>
  <c r="U9126" i="2"/>
  <c r="U9125" i="2"/>
  <c r="U9123" i="2"/>
  <c r="U9122" i="2"/>
  <c r="U9120" i="2"/>
  <c r="U9118" i="2"/>
  <c r="U9117" i="2"/>
  <c r="U9115" i="2"/>
  <c r="U9113" i="2"/>
  <c r="U9112" i="2"/>
  <c r="U9111" i="2"/>
  <c r="U9110" i="2"/>
  <c r="U9109" i="2"/>
  <c r="U9108" i="2"/>
  <c r="U9106" i="2"/>
  <c r="U9105" i="2"/>
  <c r="U9102" i="2"/>
  <c r="U9099" i="2"/>
  <c r="U9098" i="2"/>
  <c r="U9097" i="2"/>
  <c r="U9095" i="2"/>
  <c r="U9093" i="2"/>
  <c r="U9092" i="2"/>
  <c r="U9091" i="2"/>
  <c r="U9090" i="2"/>
  <c r="U9086" i="2"/>
  <c r="U9084" i="2"/>
  <c r="U9083" i="2"/>
  <c r="U9082" i="2"/>
  <c r="U9080" i="2"/>
  <c r="U9079" i="2"/>
  <c r="U9077" i="2"/>
  <c r="U9076" i="2"/>
  <c r="U9075" i="2"/>
  <c r="U9074" i="2"/>
  <c r="U9072" i="2"/>
  <c r="U9071" i="2"/>
  <c r="U9070" i="2"/>
  <c r="U9068" i="2"/>
  <c r="U9067" i="2"/>
  <c r="U9066" i="2"/>
  <c r="U9064" i="2"/>
  <c r="U9063" i="2"/>
  <c r="U9061" i="2"/>
  <c r="U9060" i="2"/>
  <c r="U9058" i="2"/>
  <c r="U9057" i="2"/>
  <c r="U9055" i="2"/>
  <c r="U9053" i="2"/>
  <c r="U9051" i="2"/>
  <c r="U9050" i="2"/>
  <c r="U9048" i="2"/>
  <c r="U9046" i="2"/>
  <c r="U9045" i="2"/>
  <c r="U9043" i="2"/>
  <c r="U9042" i="2"/>
  <c r="U9041" i="2"/>
  <c r="U9039" i="2"/>
  <c r="U9038" i="2"/>
  <c r="U9035" i="2"/>
  <c r="U9034" i="2"/>
  <c r="U9032" i="2"/>
  <c r="U9031" i="2"/>
  <c r="U9029" i="2"/>
  <c r="U9028" i="2"/>
  <c r="U9026" i="2"/>
  <c r="U9024" i="2"/>
  <c r="U9023" i="2"/>
  <c r="U9022" i="2"/>
  <c r="U9021" i="2"/>
  <c r="U9019" i="2"/>
  <c r="U9018" i="2"/>
  <c r="U9017" i="2"/>
  <c r="U9015" i="2"/>
  <c r="U9014" i="2"/>
  <c r="U9012" i="2"/>
  <c r="U9011" i="2"/>
  <c r="U9010" i="2"/>
  <c r="U9008" i="2"/>
  <c r="U9007" i="2"/>
  <c r="U9005" i="2"/>
  <c r="U9004" i="2"/>
  <c r="U9002" i="2"/>
  <c r="U9000" i="2"/>
  <c r="U8999" i="2"/>
  <c r="U8998" i="2"/>
  <c r="U8996" i="2"/>
  <c r="U8995" i="2"/>
  <c r="U8993" i="2"/>
  <c r="U8992" i="2"/>
  <c r="U8991" i="2"/>
  <c r="U8990" i="2"/>
  <c r="U8989" i="2"/>
  <c r="U8988" i="2"/>
  <c r="U8987" i="2"/>
  <c r="U8985" i="2"/>
  <c r="U8984" i="2"/>
  <c r="U8983" i="2"/>
  <c r="U8981" i="2"/>
  <c r="U8980" i="2"/>
  <c r="U8979" i="2"/>
  <c r="U8978" i="2"/>
  <c r="U8977" i="2"/>
  <c r="U8976" i="2"/>
  <c r="U8973" i="2"/>
  <c r="U8972" i="2"/>
  <c r="U8971" i="2"/>
  <c r="U8970" i="2"/>
  <c r="U8969" i="2"/>
  <c r="U8968" i="2"/>
  <c r="U8967" i="2"/>
  <c r="U8966" i="2"/>
  <c r="U8965" i="2"/>
  <c r="U8964" i="2"/>
  <c r="U8963" i="2"/>
  <c r="U8962" i="2"/>
  <c r="U8961" i="2"/>
  <c r="U8960" i="2"/>
  <c r="U8959" i="2"/>
  <c r="U8958" i="2"/>
  <c r="U8957" i="2"/>
  <c r="U8956" i="2"/>
  <c r="U8955" i="2"/>
  <c r="U8954" i="2"/>
  <c r="U8953" i="2"/>
  <c r="U8952" i="2"/>
  <c r="U8951" i="2"/>
  <c r="U8950" i="2"/>
  <c r="U8949" i="2"/>
  <c r="U8948" i="2"/>
  <c r="U8947" i="2"/>
  <c r="U8946" i="2"/>
  <c r="U8945" i="2"/>
  <c r="U8944" i="2"/>
  <c r="U8943" i="2"/>
  <c r="U8942" i="2"/>
  <c r="U8941" i="2"/>
  <c r="U8940" i="2"/>
  <c r="U8939" i="2"/>
  <c r="U8938" i="2"/>
  <c r="U8937" i="2"/>
  <c r="U8936" i="2"/>
  <c r="U8935" i="2"/>
  <c r="U8934" i="2"/>
  <c r="U8933" i="2"/>
  <c r="U8932" i="2"/>
  <c r="U8931" i="2"/>
  <c r="U8930" i="2"/>
  <c r="U8929" i="2"/>
  <c r="U8928" i="2"/>
  <c r="U8927" i="2"/>
  <c r="U8926" i="2"/>
  <c r="U8925" i="2"/>
  <c r="U8924" i="2"/>
  <c r="U8923" i="2"/>
  <c r="U8922" i="2"/>
  <c r="U8921" i="2"/>
  <c r="U8920" i="2"/>
  <c r="U8919" i="2"/>
  <c r="U8918" i="2"/>
  <c r="U8917" i="2"/>
  <c r="U8916" i="2"/>
  <c r="U8915" i="2"/>
  <c r="U8914" i="2"/>
  <c r="U8913" i="2"/>
  <c r="U8912" i="2"/>
  <c r="U8911" i="2"/>
  <c r="U8910" i="2"/>
  <c r="U8909" i="2"/>
  <c r="U8908" i="2"/>
  <c r="U8907" i="2"/>
  <c r="U8906" i="2"/>
  <c r="U8905" i="2"/>
  <c r="U8904" i="2"/>
  <c r="U8903" i="2"/>
  <c r="U8902" i="2"/>
  <c r="U8901" i="2"/>
  <c r="U8900" i="2"/>
  <c r="U8899" i="2"/>
  <c r="U8898" i="2"/>
  <c r="T8897" i="2"/>
  <c r="U8896" i="2"/>
  <c r="U8895" i="2"/>
  <c r="U8894" i="2"/>
  <c r="U8893" i="2"/>
  <c r="U8892" i="2"/>
  <c r="U8891" i="2"/>
  <c r="U8890" i="2"/>
  <c r="U8889" i="2"/>
  <c r="U8888" i="2"/>
  <c r="U8887" i="2"/>
  <c r="U8886" i="2"/>
  <c r="U8885" i="2"/>
  <c r="U8884" i="2"/>
  <c r="U8883" i="2"/>
  <c r="U8882" i="2"/>
  <c r="U8881" i="2"/>
  <c r="U8880" i="2"/>
  <c r="U8879" i="2"/>
  <c r="U8878" i="2"/>
  <c r="U8877" i="2"/>
  <c r="U8876" i="2"/>
  <c r="U8875" i="2"/>
  <c r="U8874" i="2"/>
  <c r="U8873" i="2"/>
  <c r="U8872" i="2"/>
  <c r="U8871" i="2"/>
  <c r="U8870" i="2"/>
  <c r="U8869" i="2"/>
  <c r="U8868" i="2"/>
  <c r="U8867" i="2"/>
  <c r="U8866" i="2"/>
  <c r="U8865" i="2"/>
  <c r="U8864" i="2"/>
  <c r="U8863" i="2"/>
  <c r="U8862" i="2"/>
  <c r="U8861" i="2"/>
  <c r="U8860" i="2"/>
  <c r="U8859" i="2"/>
  <c r="U8858" i="2"/>
  <c r="U8857" i="2"/>
  <c r="U8856" i="2"/>
  <c r="U8855" i="2"/>
  <c r="U8854" i="2"/>
  <c r="U8853" i="2"/>
  <c r="U8852" i="2"/>
  <c r="U8851" i="2"/>
  <c r="U8850" i="2"/>
  <c r="U8849" i="2"/>
  <c r="U8848" i="2"/>
  <c r="U8847" i="2"/>
  <c r="U8846" i="2"/>
  <c r="U8845" i="2"/>
  <c r="U8844" i="2"/>
  <c r="U8843" i="2"/>
  <c r="U8842" i="2"/>
  <c r="U8841" i="2"/>
  <c r="U8840" i="2"/>
  <c r="U8839" i="2"/>
  <c r="U8838" i="2"/>
  <c r="U8837" i="2"/>
  <c r="U8836" i="2"/>
  <c r="U8835" i="2"/>
  <c r="U8834" i="2"/>
  <c r="U8833" i="2"/>
  <c r="U8832" i="2"/>
  <c r="U8831" i="2"/>
  <c r="U8830" i="2"/>
  <c r="U8829" i="2"/>
  <c r="U8828" i="2"/>
  <c r="U8827" i="2"/>
  <c r="U8826" i="2"/>
  <c r="U8825" i="2"/>
  <c r="U8824" i="2"/>
  <c r="U8823" i="2"/>
  <c r="U8822" i="2"/>
  <c r="U8821" i="2"/>
  <c r="U8820" i="2"/>
  <c r="U8819" i="2"/>
  <c r="U8818" i="2"/>
  <c r="U8817" i="2"/>
  <c r="U8816" i="2"/>
  <c r="U8815" i="2"/>
  <c r="U8814" i="2"/>
  <c r="U8813" i="2"/>
  <c r="U8812" i="2"/>
  <c r="U8811" i="2"/>
  <c r="U8810" i="2"/>
  <c r="U8809" i="2"/>
  <c r="U8808" i="2"/>
  <c r="U8806" i="2"/>
  <c r="U8805" i="2"/>
  <c r="U8804" i="2"/>
  <c r="U8803" i="2"/>
  <c r="U8802" i="2"/>
  <c r="U8801" i="2"/>
  <c r="U8800" i="2"/>
  <c r="U8799" i="2"/>
  <c r="U8798" i="2"/>
  <c r="U8797" i="2"/>
  <c r="U8796" i="2"/>
  <c r="U8795" i="2"/>
  <c r="U8794" i="2"/>
  <c r="U8793" i="2"/>
  <c r="U8792" i="2"/>
  <c r="U8791" i="2"/>
  <c r="U8790" i="2"/>
  <c r="U8789" i="2"/>
  <c r="U8788" i="2"/>
  <c r="U8787" i="2"/>
  <c r="U8786" i="2"/>
  <c r="U8785" i="2"/>
  <c r="U8784" i="2"/>
  <c r="U8783" i="2"/>
  <c r="U8782" i="2"/>
  <c r="U8781" i="2"/>
  <c r="U8780" i="2"/>
  <c r="U8779" i="2"/>
  <c r="U8778" i="2"/>
  <c r="U8777" i="2"/>
  <c r="U8776" i="2"/>
  <c r="U8775" i="2"/>
  <c r="U8774" i="2"/>
  <c r="U8772" i="2"/>
  <c r="U8771" i="2"/>
  <c r="U8770" i="2"/>
  <c r="U8769" i="2"/>
  <c r="U8768" i="2"/>
  <c r="U8767" i="2"/>
  <c r="U8766" i="2"/>
  <c r="U8765" i="2"/>
  <c r="U8764" i="2"/>
  <c r="U8763" i="2"/>
  <c r="U8762" i="2"/>
  <c r="U8761" i="2"/>
  <c r="U8758" i="2"/>
  <c r="U8757" i="2"/>
  <c r="U8756" i="2"/>
  <c r="U8755" i="2"/>
  <c r="U8754" i="2"/>
  <c r="U8753" i="2"/>
  <c r="U8752" i="2"/>
  <c r="U8751" i="2"/>
  <c r="U8750" i="2"/>
  <c r="U8749" i="2"/>
  <c r="U8748" i="2"/>
  <c r="U8747" i="2"/>
  <c r="U8746" i="2"/>
  <c r="U8745" i="2"/>
  <c r="U8744" i="2"/>
  <c r="U8743" i="2"/>
  <c r="U8742" i="2"/>
  <c r="U8741" i="2"/>
  <c r="U8740" i="2"/>
  <c r="U8739" i="2"/>
  <c r="U8738" i="2"/>
  <c r="U8737" i="2"/>
  <c r="U8736" i="2"/>
  <c r="U8735" i="2"/>
  <c r="U8734" i="2"/>
  <c r="U8733" i="2"/>
  <c r="U8732" i="2"/>
  <c r="U8731" i="2"/>
  <c r="U8730" i="2"/>
  <c r="U8729" i="2"/>
  <c r="U8728" i="2"/>
  <c r="U8727" i="2"/>
  <c r="U8726" i="2"/>
  <c r="U8725" i="2"/>
  <c r="U8724" i="2"/>
  <c r="U8723" i="2"/>
  <c r="U8721" i="2"/>
  <c r="U8720" i="2"/>
  <c r="U8718" i="2"/>
  <c r="U8717" i="2"/>
  <c r="U8716" i="2"/>
  <c r="U8715" i="2"/>
  <c r="U8714" i="2"/>
  <c r="U8713" i="2"/>
  <c r="U8712" i="2"/>
  <c r="U8711" i="2"/>
  <c r="U8710" i="2"/>
  <c r="U8709" i="2"/>
  <c r="U8708" i="2"/>
  <c r="U8707" i="2"/>
  <c r="U8706" i="2"/>
  <c r="U8705" i="2"/>
  <c r="U8704" i="2"/>
  <c r="U8703" i="2"/>
  <c r="U8702" i="2"/>
  <c r="U8701" i="2"/>
  <c r="U8700" i="2"/>
  <c r="U8699" i="2"/>
  <c r="U8698" i="2"/>
  <c r="U8697" i="2"/>
  <c r="U8696" i="2"/>
  <c r="U8695" i="2"/>
  <c r="U8694" i="2"/>
  <c r="U8693" i="2"/>
  <c r="U8692" i="2"/>
  <c r="U8691" i="2"/>
  <c r="U8690" i="2"/>
  <c r="U8689" i="2"/>
  <c r="U8688" i="2"/>
  <c r="U8687" i="2"/>
  <c r="U8686" i="2"/>
  <c r="U8685" i="2"/>
  <c r="U8684" i="2"/>
  <c r="U8683" i="2"/>
  <c r="U8682" i="2"/>
  <c r="U8681" i="2"/>
  <c r="U8680" i="2"/>
  <c r="U8678" i="2"/>
  <c r="U8677" i="2"/>
  <c r="U8676" i="2"/>
  <c r="U8675" i="2"/>
  <c r="U8674" i="2"/>
  <c r="U8673" i="2"/>
  <c r="U8672" i="2"/>
  <c r="U8671" i="2"/>
  <c r="U8670" i="2"/>
  <c r="U8669" i="2"/>
  <c r="U8668" i="2"/>
  <c r="U8667" i="2"/>
  <c r="U8666" i="2"/>
  <c r="U8665" i="2"/>
  <c r="U8664" i="2"/>
  <c r="U8663" i="2"/>
  <c r="U8662" i="2"/>
  <c r="U8661" i="2"/>
  <c r="U8660" i="2"/>
  <c r="U8659" i="2"/>
  <c r="U8658" i="2"/>
  <c r="U8657" i="2"/>
  <c r="U8656" i="2"/>
  <c r="U8655" i="2"/>
  <c r="U8654" i="2"/>
  <c r="U8653" i="2"/>
  <c r="U8652" i="2"/>
  <c r="U8651" i="2"/>
  <c r="U8650" i="2"/>
  <c r="U8649" i="2"/>
  <c r="U8648" i="2"/>
  <c r="U8647" i="2"/>
  <c r="U8646" i="2"/>
  <c r="U8645" i="2"/>
  <c r="U8644" i="2"/>
  <c r="U8643" i="2"/>
  <c r="U8642" i="2"/>
  <c r="U8641" i="2"/>
  <c r="U8640" i="2"/>
  <c r="U8639" i="2"/>
  <c r="U8638" i="2"/>
  <c r="U8637" i="2"/>
  <c r="U8636" i="2"/>
  <c r="U8635" i="2"/>
  <c r="U8634" i="2"/>
  <c r="U8633" i="2"/>
  <c r="U8632" i="2"/>
  <c r="U8631" i="2"/>
  <c r="U8630" i="2"/>
  <c r="U8629" i="2"/>
  <c r="U8628" i="2"/>
  <c r="U8627" i="2"/>
  <c r="U8626" i="2"/>
  <c r="U8625" i="2"/>
  <c r="U8624" i="2"/>
  <c r="U8623" i="2"/>
  <c r="U8622" i="2"/>
  <c r="U8621" i="2"/>
  <c r="U8620" i="2"/>
  <c r="U8619" i="2"/>
  <c r="U8618" i="2"/>
  <c r="U8617" i="2"/>
  <c r="U8616" i="2"/>
  <c r="U8615" i="2"/>
  <c r="U8614" i="2"/>
  <c r="U8613" i="2"/>
  <c r="U8612" i="2"/>
  <c r="U8611" i="2"/>
  <c r="U8610" i="2"/>
  <c r="U8609" i="2"/>
  <c r="U8608" i="2"/>
  <c r="U8607" i="2"/>
  <c r="U8606" i="2"/>
  <c r="U8605" i="2"/>
  <c r="U8604" i="2"/>
  <c r="U8603" i="2"/>
  <c r="U8602" i="2"/>
  <c r="U8601" i="2"/>
  <c r="U8600" i="2"/>
  <c r="U8599" i="2"/>
  <c r="U8598" i="2"/>
  <c r="U8597" i="2"/>
  <c r="U8596" i="2"/>
  <c r="U8595" i="2"/>
  <c r="U8594" i="2"/>
  <c r="U8593" i="2"/>
  <c r="U8592" i="2"/>
  <c r="U8591" i="2"/>
  <c r="U8590" i="2"/>
  <c r="T8548" i="2"/>
  <c r="U8548" i="2" s="1"/>
  <c r="T8547" i="2"/>
  <c r="U8547" i="2" s="1"/>
  <c r="T8546" i="2"/>
  <c r="U8546" i="2" s="1"/>
  <c r="T8545" i="2"/>
  <c r="U8545" i="2" s="1"/>
  <c r="T8544" i="2"/>
  <c r="U8544" i="2" s="1"/>
  <c r="U8542" i="2"/>
  <c r="U8540" i="2"/>
  <c r="T8539" i="2"/>
  <c r="U8539" i="2" s="1"/>
  <c r="T8538" i="2"/>
  <c r="U8538" i="2" s="1"/>
  <c r="T8537" i="2"/>
  <c r="U8537" i="2" s="1"/>
  <c r="T8536" i="2"/>
  <c r="U8536" i="2" s="1"/>
  <c r="T8535" i="2"/>
  <c r="U8535" i="2" s="1"/>
  <c r="U8534" i="2"/>
  <c r="T8533" i="2"/>
  <c r="U8533" i="2" s="1"/>
  <c r="T8532" i="2"/>
  <c r="U8532" i="2" s="1"/>
  <c r="T8531" i="2"/>
  <c r="U8531" i="2" s="1"/>
  <c r="T8530" i="2"/>
  <c r="U8530" i="2" s="1"/>
  <c r="T8529" i="2"/>
  <c r="U8529" i="2" s="1"/>
  <c r="T8528" i="2"/>
  <c r="U8528" i="2" s="1"/>
  <c r="T8527" i="2"/>
  <c r="U8525" i="2"/>
  <c r="T8524" i="2"/>
  <c r="U8524" i="2" s="1"/>
  <c r="T8523" i="2"/>
  <c r="U8523" i="2" s="1"/>
  <c r="U8521" i="2"/>
  <c r="T8520" i="2"/>
  <c r="U8520" i="2" s="1"/>
  <c r="T8519" i="2"/>
  <c r="U8519" i="2" s="1"/>
  <c r="T8518" i="2"/>
  <c r="U8518" i="2" s="1"/>
  <c r="T8517" i="2"/>
  <c r="U8517" i="2" s="1"/>
  <c r="T8516" i="2"/>
  <c r="U8516" i="2" s="1"/>
  <c r="T8515" i="2"/>
  <c r="U8515" i="2" s="1"/>
  <c r="T8514" i="2"/>
  <c r="U8514" i="2" s="1"/>
  <c r="T8513" i="2"/>
  <c r="U8513" i="2" s="1"/>
  <c r="T8512" i="2"/>
  <c r="U8512" i="2" s="1"/>
  <c r="T8511" i="2"/>
  <c r="U8511" i="2" s="1"/>
  <c r="T8510" i="2"/>
  <c r="U8510" i="2" s="1"/>
  <c r="T8509" i="2"/>
  <c r="U8509" i="2" s="1"/>
  <c r="T8508" i="2"/>
  <c r="U8508" i="2" s="1"/>
  <c r="T8507" i="2"/>
  <c r="U8507" i="2" s="1"/>
  <c r="T8506" i="2"/>
  <c r="U8506" i="2" s="1"/>
  <c r="T8505" i="2"/>
  <c r="U8505" i="2" s="1"/>
  <c r="T8504" i="2"/>
  <c r="U8504" i="2" s="1"/>
  <c r="T8503" i="2"/>
  <c r="U8503" i="2" s="1"/>
  <c r="T8502" i="2"/>
  <c r="U8502" i="2" s="1"/>
  <c r="T8501" i="2"/>
  <c r="U8501" i="2" s="1"/>
  <c r="T8500" i="2"/>
  <c r="U8500" i="2" s="1"/>
  <c r="T8499" i="2"/>
  <c r="U8499" i="2" s="1"/>
  <c r="T8498" i="2"/>
  <c r="U8498" i="2" s="1"/>
  <c r="T8497" i="2"/>
  <c r="U8497" i="2" s="1"/>
  <c r="T8496" i="2"/>
  <c r="U8496" i="2" s="1"/>
  <c r="T8495" i="2"/>
  <c r="U8495" i="2" s="1"/>
  <c r="T8494" i="2"/>
  <c r="U8494" i="2" s="1"/>
  <c r="U8492" i="2"/>
  <c r="U8490" i="2"/>
  <c r="U8488" i="2"/>
  <c r="U8486" i="2"/>
  <c r="U8484" i="2"/>
  <c r="U8482" i="2"/>
  <c r="U8480" i="2"/>
  <c r="U8478" i="2"/>
  <c r="U8476" i="2"/>
  <c r="U8474" i="2"/>
  <c r="U8472" i="2"/>
  <c r="T8471" i="2"/>
  <c r="U8471" i="2" s="1"/>
  <c r="T8470" i="2"/>
  <c r="U8470" i="2" s="1"/>
  <c r="U8469" i="2"/>
  <c r="T8468" i="2"/>
  <c r="U8468" i="2" s="1"/>
  <c r="T8467" i="2"/>
  <c r="U8467" i="2" s="1"/>
  <c r="T8466" i="2"/>
  <c r="U8466" i="2" s="1"/>
  <c r="T8465" i="2"/>
  <c r="U8465" i="2" s="1"/>
  <c r="T8464" i="2"/>
  <c r="U8464" i="2" s="1"/>
  <c r="T8463" i="2"/>
  <c r="U8463" i="2" s="1"/>
  <c r="T8462" i="2"/>
  <c r="U8462" i="2" s="1"/>
  <c r="T8461" i="2"/>
  <c r="U8461" i="2" s="1"/>
  <c r="T8460" i="2"/>
  <c r="U8460" i="2" s="1"/>
  <c r="U8459" i="2"/>
  <c r="U8458" i="2"/>
  <c r="U8457" i="2"/>
  <c r="T8456" i="2"/>
  <c r="U8456" i="2" s="1"/>
  <c r="T8455" i="2"/>
  <c r="U8455" i="2" s="1"/>
  <c r="U8454" i="2"/>
  <c r="T8453" i="2"/>
  <c r="U8453" i="2" s="1"/>
  <c r="U8452" i="2"/>
  <c r="T8451" i="2"/>
  <c r="U8451" i="2" s="1"/>
  <c r="U8450" i="2"/>
  <c r="T8449" i="2"/>
  <c r="U8449" i="2" s="1"/>
  <c r="U8448" i="2"/>
  <c r="T8447" i="2"/>
  <c r="U8447" i="2" s="1"/>
  <c r="U8446" i="2"/>
  <c r="T8445" i="2"/>
  <c r="U8445" i="2" s="1"/>
  <c r="U8444" i="2"/>
  <c r="T8443" i="2"/>
  <c r="U8443" i="2" s="1"/>
  <c r="U8442" i="2"/>
  <c r="T8441" i="2"/>
  <c r="U8441" i="2" s="1"/>
  <c r="U8440" i="2"/>
  <c r="T8439" i="2"/>
  <c r="U8439" i="2" s="1"/>
  <c r="U8438" i="2"/>
  <c r="T8437" i="2"/>
  <c r="U8437" i="2" s="1"/>
  <c r="U8436" i="2"/>
  <c r="T8435" i="2"/>
  <c r="U8435" i="2" s="1"/>
  <c r="T8434" i="2"/>
  <c r="U8434" i="2" s="1"/>
  <c r="U8433" i="2"/>
  <c r="T8432" i="2"/>
  <c r="U8432" i="2" s="1"/>
  <c r="U8431" i="2"/>
  <c r="T8430" i="2"/>
  <c r="U8430" i="2" s="1"/>
  <c r="U8429" i="2"/>
  <c r="T8428" i="2"/>
  <c r="U8428" i="2" s="1"/>
  <c r="U8427" i="2"/>
  <c r="T8426" i="2"/>
  <c r="U8426" i="2" s="1"/>
  <c r="U8425" i="2"/>
  <c r="T8424" i="2"/>
  <c r="U8424" i="2" s="1"/>
  <c r="U8423" i="2"/>
  <c r="T8422" i="2"/>
  <c r="U8422" i="2" s="1"/>
  <c r="U8421" i="2"/>
  <c r="T8420" i="2"/>
  <c r="U8420" i="2" s="1"/>
  <c r="U8419" i="2"/>
  <c r="T8418" i="2"/>
  <c r="U8418" i="2" s="1"/>
  <c r="U8417" i="2"/>
  <c r="T8416" i="2"/>
  <c r="U8416" i="2" s="1"/>
  <c r="U8415" i="2"/>
  <c r="T8414" i="2"/>
  <c r="U8414" i="2" s="1"/>
  <c r="U8413" i="2"/>
  <c r="T8412" i="2"/>
  <c r="U8412" i="2" s="1"/>
  <c r="U8411" i="2"/>
  <c r="U8408" i="2"/>
  <c r="S8408" i="2"/>
  <c r="T8407" i="2"/>
  <c r="U8407" i="2" s="1"/>
  <c r="T8406" i="2"/>
  <c r="U8406" i="2" s="1"/>
  <c r="T8405" i="2"/>
  <c r="U8405" i="2" s="1"/>
  <c r="T8404" i="2"/>
  <c r="U8404" i="2" s="1"/>
  <c r="T8401" i="2"/>
  <c r="U8401" i="2" s="1"/>
  <c r="T8400" i="2"/>
  <c r="U8400" i="2" s="1"/>
  <c r="T8399" i="2"/>
  <c r="U8399" i="2" s="1"/>
  <c r="T8398" i="2"/>
  <c r="U8398" i="2" s="1"/>
  <c r="T8397" i="2"/>
  <c r="U8397" i="2" s="1"/>
  <c r="T8396" i="2"/>
  <c r="U8396" i="2" s="1"/>
  <c r="T8395" i="2"/>
  <c r="U8395" i="2" s="1"/>
  <c r="S8394" i="2"/>
  <c r="T8394" i="2" s="1"/>
  <c r="U8394" i="2" s="1"/>
  <c r="T8393" i="2"/>
  <c r="U8393" i="2" s="1"/>
  <c r="T8392" i="2"/>
  <c r="U8392" i="2" s="1"/>
  <c r="T8391" i="2"/>
  <c r="U8391" i="2" s="1"/>
  <c r="T8390" i="2"/>
  <c r="U8390" i="2" s="1"/>
  <c r="T8389" i="2"/>
  <c r="U8389" i="2" s="1"/>
  <c r="U8388" i="2"/>
  <c r="U8387" i="2"/>
  <c r="T8386" i="2"/>
  <c r="U8386" i="2" s="1"/>
  <c r="T8385" i="2"/>
  <c r="U8385" i="2" s="1"/>
  <c r="T8384" i="2"/>
  <c r="U8384" i="2" s="1"/>
  <c r="T8383" i="2"/>
  <c r="U8383" i="2" s="1"/>
  <c r="U8382" i="2"/>
  <c r="U8381" i="2"/>
  <c r="T8380" i="2"/>
  <c r="U8380" i="2" s="1"/>
  <c r="T8379" i="2"/>
  <c r="U8379" i="2" s="1"/>
  <c r="T8378" i="2"/>
  <c r="U8378" i="2" s="1"/>
  <c r="T8377" i="2"/>
  <c r="U8377" i="2" s="1"/>
  <c r="T8376" i="2"/>
  <c r="U8376" i="2" s="1"/>
  <c r="T8375" i="2"/>
  <c r="U8375" i="2" s="1"/>
  <c r="T8374" i="2"/>
  <c r="U8374" i="2" s="1"/>
  <c r="T8373" i="2"/>
  <c r="U8373" i="2" s="1"/>
  <c r="T8372" i="2"/>
  <c r="U8372" i="2" s="1"/>
  <c r="T8371" i="2"/>
  <c r="U8371" i="2" s="1"/>
  <c r="T8370" i="2"/>
  <c r="U8370" i="2" s="1"/>
  <c r="T8369" i="2"/>
  <c r="U8369" i="2" s="1"/>
  <c r="T8368" i="2"/>
  <c r="U8368" i="2" s="1"/>
  <c r="T8367" i="2"/>
  <c r="U8367" i="2" s="1"/>
  <c r="T8366" i="2"/>
  <c r="U8366" i="2" s="1"/>
  <c r="T8365" i="2"/>
  <c r="U8365" i="2" s="1"/>
  <c r="T8364" i="2"/>
  <c r="U8364" i="2" s="1"/>
  <c r="U8361" i="2"/>
  <c r="U8357" i="2"/>
  <c r="U8354" i="2"/>
  <c r="U8351" i="2"/>
  <c r="U8348" i="2"/>
  <c r="U8345" i="2"/>
  <c r="U8344" i="2"/>
  <c r="U8343" i="2"/>
  <c r="U8340" i="2"/>
  <c r="U8337" i="2"/>
  <c r="U8334" i="2"/>
  <c r="U8331" i="2"/>
  <c r="U8330" i="2"/>
  <c r="U8327" i="2"/>
  <c r="U8324" i="2"/>
  <c r="U8321" i="2"/>
  <c r="U8318" i="2"/>
  <c r="U8315" i="2"/>
  <c r="U8312" i="2"/>
  <c r="U8310" i="2"/>
  <c r="U8308" i="2"/>
  <c r="U8306" i="2"/>
  <c r="U8304" i="2"/>
  <c r="T8303" i="2"/>
  <c r="U8303" i="2" s="1"/>
  <c r="T8302" i="2"/>
  <c r="U8302" i="2" s="1"/>
  <c r="T8301" i="2"/>
  <c r="U8301" i="2" s="1"/>
  <c r="T8300" i="2"/>
  <c r="U8300" i="2" s="1"/>
  <c r="T8299" i="2"/>
  <c r="U8299" i="2" s="1"/>
  <c r="T8298" i="2"/>
  <c r="U8298" i="2" s="1"/>
  <c r="T8297" i="2"/>
  <c r="U8297" i="2" s="1"/>
  <c r="T8296" i="2"/>
  <c r="U8296" i="2" s="1"/>
  <c r="T8295" i="2"/>
  <c r="U8295" i="2" s="1"/>
  <c r="T8294" i="2"/>
  <c r="U8294" i="2" s="1"/>
  <c r="T8293" i="2"/>
  <c r="U8292" i="2"/>
  <c r="U8291" i="2"/>
  <c r="T8290" i="2"/>
  <c r="U8290" i="2" s="1"/>
  <c r="T8287" i="2"/>
  <c r="U8287" i="2" s="1"/>
  <c r="T8286" i="2"/>
  <c r="U8286" i="2" s="1"/>
  <c r="T8285" i="2"/>
  <c r="U8282" i="2"/>
  <c r="U8279" i="2"/>
  <c r="T8278" i="2"/>
  <c r="U8278" i="2" s="1"/>
  <c r="U8276" i="2"/>
  <c r="U8275" i="2"/>
  <c r="U8273" i="2"/>
  <c r="U8272" i="2"/>
  <c r="U8270" i="2"/>
  <c r="U8269" i="2"/>
  <c r="U8267" i="2"/>
  <c r="U8266" i="2"/>
  <c r="U8264" i="2"/>
  <c r="U8263" i="2"/>
  <c r="T8262" i="2"/>
  <c r="U8262" i="2" s="1"/>
  <c r="U8260" i="2"/>
  <c r="U8259" i="2"/>
  <c r="U8257" i="2"/>
  <c r="U8256" i="2"/>
  <c r="T8255" i="2"/>
  <c r="U8255" i="2" s="1"/>
  <c r="T8254" i="2"/>
  <c r="U8254" i="2" s="1"/>
  <c r="T8253" i="2"/>
  <c r="U8253" i="2" s="1"/>
  <c r="T8252" i="2"/>
  <c r="U8252" i="2" s="1"/>
  <c r="T8251" i="2"/>
  <c r="U8251" i="2" s="1"/>
  <c r="U8249" i="2"/>
  <c r="U8248" i="2"/>
  <c r="U8246" i="2"/>
  <c r="U8245" i="2"/>
  <c r="U8243" i="2"/>
  <c r="U8242" i="2"/>
  <c r="T8241" i="2"/>
  <c r="U8241" i="2" s="1"/>
  <c r="T8240" i="2"/>
  <c r="U8240" i="2" s="1"/>
  <c r="U8238" i="2"/>
  <c r="U8237" i="2"/>
  <c r="U8235" i="2"/>
  <c r="U8234" i="2"/>
  <c r="T8233" i="2"/>
  <c r="U8233" i="2" s="1"/>
  <c r="U8232" i="2"/>
  <c r="U8230" i="2"/>
  <c r="U8229" i="2"/>
  <c r="T8228" i="2"/>
  <c r="U8228" i="2" s="1"/>
  <c r="T8227" i="2"/>
  <c r="U8227" i="2" s="1"/>
  <c r="T8226" i="2"/>
  <c r="U8226" i="2" s="1"/>
  <c r="U8225" i="2"/>
  <c r="T8224" i="2"/>
  <c r="U8224" i="2" s="1"/>
  <c r="T8223" i="2"/>
  <c r="U8223" i="2" s="1"/>
  <c r="T8222" i="2"/>
  <c r="U8222" i="2" s="1"/>
  <c r="T8221" i="2"/>
  <c r="U8221" i="2" s="1"/>
  <c r="T8220" i="2"/>
  <c r="U8220" i="2" s="1"/>
  <c r="T8219" i="2"/>
  <c r="U8219" i="2" s="1"/>
  <c r="T8218" i="2"/>
  <c r="U8218" i="2" s="1"/>
  <c r="T8217" i="2"/>
  <c r="U8217" i="2" s="1"/>
  <c r="T8216" i="2"/>
  <c r="U8216" i="2" s="1"/>
  <c r="T8215" i="2"/>
  <c r="U8215" i="2" s="1"/>
  <c r="T8214" i="2"/>
  <c r="U8214" i="2" s="1"/>
  <c r="T8213" i="2"/>
  <c r="U8213" i="2" s="1"/>
  <c r="T8212" i="2"/>
  <c r="U8212" i="2" s="1"/>
  <c r="U8211" i="2"/>
  <c r="T8210" i="2"/>
  <c r="U8210" i="2" s="1"/>
  <c r="U8209" i="2"/>
  <c r="T8208" i="2"/>
  <c r="U8208" i="2" s="1"/>
  <c r="T8207" i="2"/>
  <c r="U8207" i="2" s="1"/>
  <c r="T8206" i="2"/>
  <c r="U8206" i="2" s="1"/>
  <c r="U8205" i="2"/>
  <c r="T8204" i="2"/>
  <c r="U8204" i="2" s="1"/>
  <c r="U8203" i="2"/>
  <c r="T8202" i="2"/>
  <c r="U8202" i="2" s="1"/>
  <c r="T8201" i="2"/>
  <c r="U8201" i="2" s="1"/>
  <c r="T8200" i="2"/>
  <c r="U8200" i="2" s="1"/>
  <c r="T8199" i="2"/>
  <c r="U8199" i="2" s="1"/>
  <c r="T8198" i="2"/>
  <c r="U8198" i="2" s="1"/>
  <c r="T8197" i="2"/>
  <c r="U8197" i="2" s="1"/>
  <c r="T8196" i="2"/>
  <c r="U8196" i="2" s="1"/>
  <c r="T8195" i="2"/>
  <c r="U8195" i="2" s="1"/>
  <c r="T8194" i="2"/>
  <c r="U8194" i="2" s="1"/>
  <c r="T8193" i="2"/>
  <c r="U8193" i="2" s="1"/>
  <c r="T8192" i="2"/>
  <c r="U8192" i="2" s="1"/>
  <c r="T8191" i="2"/>
  <c r="U8191" i="2" s="1"/>
  <c r="T8190" i="2"/>
  <c r="U8190" i="2" s="1"/>
  <c r="T8189" i="2"/>
  <c r="U8189" i="2" s="1"/>
  <c r="T8188" i="2"/>
  <c r="U8188" i="2" s="1"/>
  <c r="T8187" i="2"/>
  <c r="U8187" i="2" s="1"/>
  <c r="T8186" i="2"/>
  <c r="U8186" i="2" s="1"/>
  <c r="T8185" i="2"/>
  <c r="U8185" i="2" s="1"/>
  <c r="T8184" i="2"/>
  <c r="U8184" i="2" s="1"/>
  <c r="T8183" i="2"/>
  <c r="U8183" i="2" s="1"/>
  <c r="T8182" i="2"/>
  <c r="U8182" i="2" s="1"/>
  <c r="T8181" i="2"/>
  <c r="U8181" i="2" s="1"/>
  <c r="T8180" i="2"/>
  <c r="U8180" i="2" s="1"/>
  <c r="T8179" i="2"/>
  <c r="U8179" i="2" s="1"/>
  <c r="T8178" i="2"/>
  <c r="U8178" i="2" s="1"/>
  <c r="T8177" i="2"/>
  <c r="U8177" i="2" s="1"/>
  <c r="T8176" i="2"/>
  <c r="U8176" i="2" s="1"/>
  <c r="T8175" i="2"/>
  <c r="U8175" i="2" s="1"/>
  <c r="T8174" i="2"/>
  <c r="U8174" i="2" s="1"/>
  <c r="T8173" i="2"/>
  <c r="U8173" i="2" s="1"/>
  <c r="T8172" i="2"/>
  <c r="U8172" i="2" s="1"/>
  <c r="T8171" i="2"/>
  <c r="U8171" i="2" s="1"/>
  <c r="U8170" i="2"/>
  <c r="T8169" i="2"/>
  <c r="U8169" i="2" s="1"/>
  <c r="U8168" i="2"/>
  <c r="T8167" i="2"/>
  <c r="U8167" i="2" s="1"/>
  <c r="U8166" i="2"/>
  <c r="U8165" i="2"/>
  <c r="U8164" i="2"/>
  <c r="U8163" i="2"/>
  <c r="U8162" i="2"/>
  <c r="U8161" i="2"/>
  <c r="U8160" i="2"/>
  <c r="U8159" i="2"/>
  <c r="U8158" i="2"/>
  <c r="U8157" i="2"/>
  <c r="U8156" i="2"/>
  <c r="U8155" i="2"/>
  <c r="U8154" i="2"/>
  <c r="U8153" i="2"/>
  <c r="U8152" i="2"/>
  <c r="U8151" i="2"/>
  <c r="T8150" i="2"/>
  <c r="U8150" i="2" s="1"/>
  <c r="U8149" i="2"/>
  <c r="T8148" i="2"/>
  <c r="U8148" i="2" s="1"/>
  <c r="U8147" i="2"/>
  <c r="U8146" i="2"/>
  <c r="U8145" i="2"/>
  <c r="T8144" i="2"/>
  <c r="U8144" i="2" s="1"/>
  <c r="U8143" i="2"/>
  <c r="U8142" i="2"/>
  <c r="U8141" i="2"/>
  <c r="U8140" i="2"/>
  <c r="U8139" i="2"/>
  <c r="U8138" i="2"/>
  <c r="U8137" i="2"/>
  <c r="U8136" i="2"/>
  <c r="U8135" i="2"/>
  <c r="U8134" i="2"/>
  <c r="U8133" i="2"/>
  <c r="T8132" i="2"/>
  <c r="U8132" i="2" s="1"/>
  <c r="U8131" i="2"/>
  <c r="U8130" i="2"/>
  <c r="U8129" i="2"/>
  <c r="U8128" i="2"/>
  <c r="U8127" i="2"/>
  <c r="U8126" i="2"/>
  <c r="U8125" i="2"/>
  <c r="U8124" i="2"/>
  <c r="U8123" i="2"/>
  <c r="U8122" i="2"/>
  <c r="U8121" i="2"/>
  <c r="U8120" i="2"/>
  <c r="U8119" i="2"/>
  <c r="U8118" i="2"/>
  <c r="U8117" i="2"/>
  <c r="U8116" i="2"/>
  <c r="U8115" i="2"/>
  <c r="U8114" i="2"/>
  <c r="U8113" i="2"/>
  <c r="T8112" i="2"/>
  <c r="U8112" i="2" s="1"/>
  <c r="U8111" i="2"/>
  <c r="U8110" i="2"/>
  <c r="U8109" i="2"/>
  <c r="U8108" i="2"/>
  <c r="U8107" i="2"/>
  <c r="U8106" i="2"/>
  <c r="U8105" i="2"/>
  <c r="U8104" i="2"/>
  <c r="U8103" i="2"/>
  <c r="U8102" i="2"/>
  <c r="U8101" i="2"/>
  <c r="U8100" i="2"/>
  <c r="U8099" i="2"/>
  <c r="U8098" i="2"/>
  <c r="U8097" i="2"/>
  <c r="U8096" i="2"/>
  <c r="U8095" i="2"/>
  <c r="U8094" i="2"/>
  <c r="U8093" i="2"/>
  <c r="U8092" i="2"/>
  <c r="U8091" i="2"/>
  <c r="U8090" i="2"/>
  <c r="U8089" i="2"/>
  <c r="U8088" i="2"/>
  <c r="U8087" i="2"/>
  <c r="T8086" i="2"/>
  <c r="U8086" i="2" s="1"/>
  <c r="U8085" i="2"/>
  <c r="U8084" i="2"/>
  <c r="U8083" i="2"/>
  <c r="T8082" i="2"/>
  <c r="U8082" i="2" s="1"/>
  <c r="U8081" i="2"/>
  <c r="U8080" i="2"/>
  <c r="U8079" i="2"/>
  <c r="U8078" i="2"/>
  <c r="U8077" i="2"/>
  <c r="U8075" i="2"/>
  <c r="U8074" i="2"/>
  <c r="U8072" i="2"/>
  <c r="U8071" i="2"/>
  <c r="U8070" i="2"/>
  <c r="U8069" i="2"/>
  <c r="U8068" i="2"/>
  <c r="U8067" i="2"/>
  <c r="U8066" i="2"/>
  <c r="U8065" i="2"/>
  <c r="U8064" i="2"/>
  <c r="U8063" i="2"/>
  <c r="U8062" i="2"/>
  <c r="U8061" i="2"/>
  <c r="U8058" i="2"/>
  <c r="T8057" i="2"/>
  <c r="U8057" i="2" s="1"/>
  <c r="U8056" i="2"/>
  <c r="U8055" i="2"/>
  <c r="U8054" i="2"/>
  <c r="T8053" i="2"/>
  <c r="U8053" i="2" s="1"/>
  <c r="U8052" i="2"/>
  <c r="T8051" i="2"/>
  <c r="U8051" i="2" s="1"/>
  <c r="U8050" i="2"/>
  <c r="T8049" i="2"/>
  <c r="U8049" i="2" s="1"/>
  <c r="U8048" i="2"/>
  <c r="T8047" i="2"/>
  <c r="U8047" i="2" s="1"/>
  <c r="U8046" i="2"/>
  <c r="T8045" i="2"/>
  <c r="U8045" i="2" s="1"/>
  <c r="T8044" i="2"/>
  <c r="U8044" i="2" s="1"/>
  <c r="T8043" i="2"/>
  <c r="U8043" i="2" s="1"/>
  <c r="T8042" i="2"/>
  <c r="U8042" i="2" s="1"/>
  <c r="T8041" i="2"/>
  <c r="U8041" i="2" s="1"/>
  <c r="T8040" i="2"/>
  <c r="U8040" i="2" s="1"/>
  <c r="T8039" i="2"/>
  <c r="U8039" i="2" s="1"/>
  <c r="T8038" i="2"/>
  <c r="U8038" i="2" s="1"/>
  <c r="U8037" i="2"/>
  <c r="T8036" i="2"/>
  <c r="U8036" i="2" s="1"/>
  <c r="U8035" i="2"/>
  <c r="T8034" i="2"/>
  <c r="U8034" i="2" s="1"/>
  <c r="U8033" i="2"/>
  <c r="U8032" i="2"/>
  <c r="U8031" i="2"/>
  <c r="T8030" i="2"/>
  <c r="U8030" i="2" s="1"/>
  <c r="U8029" i="2"/>
  <c r="T8028" i="2"/>
  <c r="U8028" i="2" s="1"/>
  <c r="U8027" i="2"/>
  <c r="T8026" i="2"/>
  <c r="U8026" i="2" s="1"/>
  <c r="T8025" i="2"/>
  <c r="U8025" i="2" s="1"/>
  <c r="T8024" i="2"/>
  <c r="U8024" i="2" s="1"/>
  <c r="U8023" i="2"/>
  <c r="T8022" i="2"/>
  <c r="U8022" i="2" s="1"/>
  <c r="U8021" i="2"/>
  <c r="T8020" i="2"/>
  <c r="U8020" i="2" s="1"/>
  <c r="U8019" i="2"/>
  <c r="T8018" i="2"/>
  <c r="U8018" i="2" s="1"/>
  <c r="T8017" i="2"/>
  <c r="U8017" i="2" s="1"/>
  <c r="U8016" i="2"/>
  <c r="T8015" i="2"/>
  <c r="U8015" i="2" s="1"/>
  <c r="U8014" i="2"/>
  <c r="T8013" i="2"/>
  <c r="U8013" i="2" s="1"/>
  <c r="U8012" i="2"/>
  <c r="T8011" i="2"/>
  <c r="U8011" i="2" s="1"/>
  <c r="U8010" i="2"/>
  <c r="T8009" i="2"/>
  <c r="U8009" i="2" s="1"/>
  <c r="U8008" i="2"/>
  <c r="U8007" i="2"/>
  <c r="T8006" i="2"/>
  <c r="U8006" i="2" s="1"/>
  <c r="U8005" i="2"/>
  <c r="T8004" i="2"/>
  <c r="U8004" i="2" s="1"/>
  <c r="U8003" i="2"/>
  <c r="U8002" i="2"/>
  <c r="T8001" i="2"/>
  <c r="U8001" i="2" s="1"/>
  <c r="U8000" i="2"/>
  <c r="U7999" i="2"/>
  <c r="T7998" i="2"/>
  <c r="U7998" i="2" s="1"/>
  <c r="U7997" i="2"/>
  <c r="U7996" i="2"/>
  <c r="U7993" i="2"/>
  <c r="U7990" i="2"/>
  <c r="U7986" i="2"/>
  <c r="U7985" i="2"/>
  <c r="U7983" i="2"/>
  <c r="U7982" i="2"/>
  <c r="T7981" i="2"/>
  <c r="U7981" i="2" s="1"/>
  <c r="U7980" i="2"/>
  <c r="T7979" i="2"/>
  <c r="U7979" i="2" s="1"/>
  <c r="U7978" i="2"/>
  <c r="T7977" i="2"/>
  <c r="U7977" i="2" s="1"/>
  <c r="U7976" i="2"/>
  <c r="T7975" i="2"/>
  <c r="U7975" i="2" s="1"/>
  <c r="U7974" i="2"/>
  <c r="T7973" i="2"/>
  <c r="U7973" i="2" s="1"/>
  <c r="U7972" i="2"/>
  <c r="T7971" i="2"/>
  <c r="U7971" i="2" s="1"/>
  <c r="U7970" i="2"/>
  <c r="T7969" i="2"/>
  <c r="U7969" i="2" s="1"/>
  <c r="U7968" i="2"/>
  <c r="T7967" i="2"/>
  <c r="U7967" i="2" s="1"/>
  <c r="U7966" i="2"/>
  <c r="T7965" i="2"/>
  <c r="U7965" i="2" s="1"/>
  <c r="U7964" i="2"/>
  <c r="T7963" i="2"/>
  <c r="U7963" i="2" s="1"/>
  <c r="U7962" i="2"/>
  <c r="T7961" i="2"/>
  <c r="U7961" i="2" s="1"/>
  <c r="U7960" i="2"/>
  <c r="U7957" i="2"/>
  <c r="U7956" i="2"/>
  <c r="T7955" i="2"/>
  <c r="U7955" i="2" s="1"/>
  <c r="U7954" i="2"/>
  <c r="T7953" i="2"/>
  <c r="U7953" i="2" s="1"/>
  <c r="U7952" i="2"/>
  <c r="T7951" i="2"/>
  <c r="U7951" i="2" s="1"/>
  <c r="T7950" i="2"/>
  <c r="U7950" i="2" s="1"/>
  <c r="U7945" i="2"/>
  <c r="U7942" i="2"/>
  <c r="U7939" i="2"/>
  <c r="T7938" i="2"/>
  <c r="U7938" i="2" s="1"/>
  <c r="T7937" i="2"/>
  <c r="U7937" i="2" s="1"/>
  <c r="T7936" i="2"/>
  <c r="U7936" i="2" s="1"/>
  <c r="T7935" i="2"/>
  <c r="U7935" i="2" s="1"/>
  <c r="T7934" i="2"/>
  <c r="U7934" i="2" s="1"/>
  <c r="U7933" i="2"/>
  <c r="T7932" i="2"/>
  <c r="U7932" i="2" s="1"/>
  <c r="U7931" i="2"/>
  <c r="T7930" i="2"/>
  <c r="U7930" i="2" s="1"/>
  <c r="U7929" i="2"/>
  <c r="T7928" i="2"/>
  <c r="U7928" i="2" s="1"/>
  <c r="U7927" i="2"/>
  <c r="T7926" i="2"/>
  <c r="U7926" i="2" s="1"/>
  <c r="U7925" i="2"/>
  <c r="T7924" i="2"/>
  <c r="U7924" i="2" s="1"/>
  <c r="U7923" i="2"/>
  <c r="T7922" i="2"/>
  <c r="U7922" i="2" s="1"/>
  <c r="U7921" i="2"/>
  <c r="T7920" i="2"/>
  <c r="U7920" i="2" s="1"/>
  <c r="U7919" i="2"/>
  <c r="T7918" i="2"/>
  <c r="U7918" i="2" s="1"/>
  <c r="U7917" i="2"/>
  <c r="T7916" i="2"/>
  <c r="U7916" i="2" s="1"/>
  <c r="U7915" i="2"/>
  <c r="T7914" i="2"/>
  <c r="U7914" i="2" s="1"/>
  <c r="U7913" i="2"/>
  <c r="T7912" i="2"/>
  <c r="U7912" i="2" s="1"/>
  <c r="U7911" i="2"/>
  <c r="T7910" i="2"/>
  <c r="U7910" i="2" s="1"/>
  <c r="U7909" i="2"/>
  <c r="T7908" i="2"/>
  <c r="U7908" i="2" s="1"/>
  <c r="U7907" i="2"/>
  <c r="U7906" i="2"/>
  <c r="T7905" i="2"/>
  <c r="U7905" i="2" s="1"/>
  <c r="U7904" i="2"/>
  <c r="T7903" i="2"/>
  <c r="U7903" i="2" s="1"/>
  <c r="U7902" i="2"/>
  <c r="T7901" i="2"/>
  <c r="U7901" i="2" s="1"/>
  <c r="U7900" i="2"/>
  <c r="T7899" i="2"/>
  <c r="U7899" i="2" s="1"/>
  <c r="U7898" i="2"/>
  <c r="T7897" i="2"/>
  <c r="U7897" i="2" s="1"/>
  <c r="U7896" i="2"/>
  <c r="T7895" i="2"/>
  <c r="U7895" i="2" s="1"/>
  <c r="T7894" i="2"/>
  <c r="U7894" i="2" s="1"/>
  <c r="T7893" i="2"/>
  <c r="U7893" i="2" s="1"/>
  <c r="U7892" i="2"/>
  <c r="T7891" i="2"/>
  <c r="U7891" i="2" s="1"/>
  <c r="U7890" i="2"/>
  <c r="T7889" i="2"/>
  <c r="U7889" i="2" s="1"/>
  <c r="U7888" i="2"/>
  <c r="T7887" i="2"/>
  <c r="U7887" i="2" s="1"/>
  <c r="U7886" i="2"/>
  <c r="T7885" i="2"/>
  <c r="U7885" i="2" s="1"/>
  <c r="U7884" i="2"/>
  <c r="T7883" i="2"/>
  <c r="U7883" i="2" s="1"/>
  <c r="U7882" i="2"/>
  <c r="T7881" i="2"/>
  <c r="U7881" i="2" s="1"/>
  <c r="U7880" i="2"/>
  <c r="T7879" i="2"/>
  <c r="U7879" i="2" s="1"/>
  <c r="U7878" i="2"/>
  <c r="T7877" i="2"/>
  <c r="U7877" i="2" s="1"/>
  <c r="U7876" i="2"/>
  <c r="T7875" i="2"/>
  <c r="U7875" i="2" s="1"/>
  <c r="U7874" i="2"/>
  <c r="T7873" i="2"/>
  <c r="U7873" i="2" s="1"/>
  <c r="T7872" i="2"/>
  <c r="U7872" i="2" s="1"/>
  <c r="T7871" i="2"/>
  <c r="U7871" i="2" s="1"/>
  <c r="T7870" i="2"/>
  <c r="U7870" i="2" s="1"/>
  <c r="T7869" i="2"/>
  <c r="U7869" i="2" s="1"/>
  <c r="U7868" i="2"/>
  <c r="T7867" i="2"/>
  <c r="U7867" i="2" s="1"/>
  <c r="T7866" i="2"/>
  <c r="U7866" i="2" s="1"/>
  <c r="T7865" i="2"/>
  <c r="U7865" i="2" s="1"/>
  <c r="T7864" i="2"/>
  <c r="U7864" i="2" s="1"/>
  <c r="T7863" i="2"/>
  <c r="U7863" i="2" s="1"/>
  <c r="T7862" i="2"/>
  <c r="U7862" i="2" s="1"/>
  <c r="T7861" i="2"/>
  <c r="U7861" i="2" s="1"/>
  <c r="T7860" i="2"/>
  <c r="U7860" i="2" s="1"/>
  <c r="T7859" i="2"/>
  <c r="U7859" i="2" s="1"/>
  <c r="T7858" i="2"/>
  <c r="U7858" i="2" s="1"/>
  <c r="T7857" i="2"/>
  <c r="U7857" i="2" s="1"/>
  <c r="T7856" i="2"/>
  <c r="U7856" i="2" s="1"/>
  <c r="T7855" i="2"/>
  <c r="U7855" i="2" s="1"/>
  <c r="T7854" i="2"/>
  <c r="U7854" i="2" s="1"/>
  <c r="T7853" i="2"/>
  <c r="U7853" i="2" s="1"/>
  <c r="T7852" i="2"/>
  <c r="U7852" i="2" s="1"/>
  <c r="T7851" i="2"/>
  <c r="U7851" i="2" s="1"/>
  <c r="T7850" i="2"/>
  <c r="U7850" i="2" s="1"/>
  <c r="T7849" i="2"/>
  <c r="U7849" i="2" s="1"/>
  <c r="T7848" i="2"/>
  <c r="U7848" i="2" s="1"/>
  <c r="T7847" i="2"/>
  <c r="U7847" i="2" s="1"/>
  <c r="T7846" i="2"/>
  <c r="U7846" i="2" s="1"/>
  <c r="T7845" i="2"/>
  <c r="U7845" i="2" s="1"/>
  <c r="T7844" i="2"/>
  <c r="U7844" i="2" s="1"/>
  <c r="T7843" i="2"/>
  <c r="U7843" i="2" s="1"/>
  <c r="T7842" i="2"/>
  <c r="U7842" i="2" s="1"/>
  <c r="T7841" i="2"/>
  <c r="U7841" i="2" s="1"/>
  <c r="T7840" i="2"/>
  <c r="U7840" i="2" s="1"/>
  <c r="T7839" i="2"/>
  <c r="U7839" i="2" s="1"/>
  <c r="T7838" i="2"/>
  <c r="U7838" i="2" s="1"/>
  <c r="T7837" i="2"/>
  <c r="U7837" i="2" s="1"/>
  <c r="T7836" i="2"/>
  <c r="U7836" i="2" s="1"/>
  <c r="T7835" i="2"/>
  <c r="U7835" i="2" s="1"/>
  <c r="T7834" i="2"/>
  <c r="U7834" i="2" s="1"/>
  <c r="T7833" i="2"/>
  <c r="U7833" i="2" s="1"/>
  <c r="T7832" i="2"/>
  <c r="U7832" i="2" s="1"/>
  <c r="T7831" i="2"/>
  <c r="U7831" i="2" s="1"/>
  <c r="T7830" i="2"/>
  <c r="U7830" i="2" s="1"/>
  <c r="T7829" i="2"/>
  <c r="U7829" i="2" s="1"/>
  <c r="T7828" i="2"/>
  <c r="U7828" i="2" s="1"/>
  <c r="T7827" i="2"/>
  <c r="U7827" i="2" s="1"/>
  <c r="U7826" i="2"/>
  <c r="T7825" i="2"/>
  <c r="U7825" i="2" s="1"/>
  <c r="T7824" i="2"/>
  <c r="U7824" i="2" s="1"/>
  <c r="T7823" i="2"/>
  <c r="U7823" i="2" s="1"/>
  <c r="T7822" i="2"/>
  <c r="U7822" i="2" s="1"/>
  <c r="T7821" i="2"/>
  <c r="U7821" i="2" s="1"/>
  <c r="T7820" i="2"/>
  <c r="U7820" i="2" s="1"/>
  <c r="T7819" i="2"/>
  <c r="U7819" i="2" s="1"/>
  <c r="T7818" i="2"/>
  <c r="U7818" i="2" s="1"/>
  <c r="T7817" i="2"/>
  <c r="U7817" i="2" s="1"/>
  <c r="T7816" i="2"/>
  <c r="U7816" i="2" s="1"/>
  <c r="T7815" i="2"/>
  <c r="U7815" i="2" s="1"/>
  <c r="T7814" i="2"/>
  <c r="U7814" i="2" s="1"/>
  <c r="T7813" i="2"/>
  <c r="U7813" i="2" s="1"/>
  <c r="T7812" i="2"/>
  <c r="U7812" i="2" s="1"/>
  <c r="T7811" i="2"/>
  <c r="U7811" i="2" s="1"/>
  <c r="T7810" i="2"/>
  <c r="U7810" i="2" s="1"/>
  <c r="T7809" i="2"/>
  <c r="U7809" i="2" s="1"/>
  <c r="T7808" i="2"/>
  <c r="U7808" i="2" s="1"/>
  <c r="T7807" i="2"/>
  <c r="U7807" i="2" s="1"/>
  <c r="T7806" i="2"/>
  <c r="U7806" i="2" s="1"/>
  <c r="T7805" i="2"/>
  <c r="U7805" i="2" s="1"/>
  <c r="T7804" i="2"/>
  <c r="U7804" i="2" s="1"/>
  <c r="U7803" i="2"/>
  <c r="U7802" i="2"/>
  <c r="T7801" i="2"/>
  <c r="U7801" i="2" s="1"/>
  <c r="T7800" i="2"/>
  <c r="U7800" i="2" s="1"/>
  <c r="T7799" i="2"/>
  <c r="U7799" i="2" s="1"/>
  <c r="T7798" i="2"/>
  <c r="U7798" i="2" s="1"/>
  <c r="T7797" i="2"/>
  <c r="U7797" i="2" s="1"/>
  <c r="T7796" i="2"/>
  <c r="U7796" i="2" s="1"/>
  <c r="T7795" i="2"/>
  <c r="U7795" i="2" s="1"/>
  <c r="T7794" i="2"/>
  <c r="U7794" i="2" s="1"/>
  <c r="T7793" i="2"/>
  <c r="U7793" i="2" s="1"/>
  <c r="T7792" i="2"/>
  <c r="U7792" i="2" s="1"/>
  <c r="T7791" i="2"/>
  <c r="U7791" i="2" s="1"/>
  <c r="T7790" i="2"/>
  <c r="U7790" i="2" s="1"/>
  <c r="T7789" i="2"/>
  <c r="U7789" i="2" s="1"/>
  <c r="U7788" i="2"/>
  <c r="T7787" i="2"/>
  <c r="U7787" i="2" s="1"/>
  <c r="T7786" i="2"/>
  <c r="U7786" i="2" s="1"/>
  <c r="T7785" i="2"/>
  <c r="U7785" i="2" s="1"/>
  <c r="U7784" i="2"/>
  <c r="T7783" i="2"/>
  <c r="U7783" i="2" s="1"/>
  <c r="T7782" i="2"/>
  <c r="U7782" i="2" s="1"/>
  <c r="T7781" i="2"/>
  <c r="U7781" i="2" s="1"/>
  <c r="T7780" i="2"/>
  <c r="U7780" i="2" s="1"/>
  <c r="U7778" i="2"/>
  <c r="U7777" i="2"/>
  <c r="T7776" i="2"/>
  <c r="U7776" i="2" s="1"/>
  <c r="T7775" i="2"/>
  <c r="U7775" i="2" s="1"/>
  <c r="U7774" i="2"/>
  <c r="T7773" i="2"/>
  <c r="U7773" i="2" s="1"/>
  <c r="T7772" i="2"/>
  <c r="U7772" i="2" s="1"/>
  <c r="T7771" i="2"/>
  <c r="U7771" i="2" s="1"/>
  <c r="T7770" i="2"/>
  <c r="U7770" i="2" s="1"/>
  <c r="T7769" i="2"/>
  <c r="U7769" i="2" s="1"/>
  <c r="T7768" i="2"/>
  <c r="U7768" i="2" s="1"/>
  <c r="T7767" i="2"/>
  <c r="U7767" i="2" s="1"/>
  <c r="T7766" i="2"/>
  <c r="U7766" i="2" s="1"/>
  <c r="T7765" i="2"/>
  <c r="U7765" i="2" s="1"/>
  <c r="T7764" i="2"/>
  <c r="U7764" i="2" s="1"/>
  <c r="T7763" i="2"/>
  <c r="U7763" i="2" s="1"/>
  <c r="T7762" i="2"/>
  <c r="U7762" i="2" s="1"/>
  <c r="T7761" i="2"/>
  <c r="U7761" i="2" s="1"/>
  <c r="T7760" i="2"/>
  <c r="U7760" i="2" s="1"/>
  <c r="T7759" i="2"/>
  <c r="U7759" i="2" s="1"/>
  <c r="T7758" i="2"/>
  <c r="U7758" i="2" s="1"/>
  <c r="T7757" i="2"/>
  <c r="U7757" i="2" s="1"/>
  <c r="T7756" i="2"/>
  <c r="U7756" i="2" s="1"/>
  <c r="T7755" i="2"/>
  <c r="U7755" i="2" s="1"/>
  <c r="T7754" i="2"/>
  <c r="U7754" i="2" s="1"/>
  <c r="T7753" i="2"/>
  <c r="U7753" i="2" s="1"/>
  <c r="T7752" i="2"/>
  <c r="U7752" i="2" s="1"/>
  <c r="T7751" i="2"/>
  <c r="U7751" i="2" s="1"/>
  <c r="T7750" i="2"/>
  <c r="U7750" i="2" s="1"/>
  <c r="T7749" i="2"/>
  <c r="U7749" i="2" s="1"/>
  <c r="T7748" i="2"/>
  <c r="U7748" i="2" s="1"/>
  <c r="T7747" i="2"/>
  <c r="U7747" i="2" s="1"/>
  <c r="T7746" i="2"/>
  <c r="U7746" i="2" s="1"/>
  <c r="T7745" i="2"/>
  <c r="U7745" i="2" s="1"/>
  <c r="U7744" i="2"/>
  <c r="U7743" i="2"/>
  <c r="U7742" i="2"/>
  <c r="U7741" i="2"/>
  <c r="U7740" i="2"/>
  <c r="U7739" i="2"/>
  <c r="T7738" i="2"/>
  <c r="U7738" i="2" s="1"/>
  <c r="U7737" i="2"/>
  <c r="T7736" i="2"/>
  <c r="U7736" i="2" s="1"/>
  <c r="U7735" i="2"/>
  <c r="T7734" i="2"/>
  <c r="U7734" i="2" s="1"/>
  <c r="U7733" i="2"/>
  <c r="T7732" i="2"/>
  <c r="U7732" i="2" s="1"/>
  <c r="U7731" i="2"/>
  <c r="T7730" i="2"/>
  <c r="U7730" i="2" s="1"/>
  <c r="U7729" i="2"/>
  <c r="T7728" i="2"/>
  <c r="U7728" i="2" s="1"/>
  <c r="U7727" i="2"/>
  <c r="T7726" i="2"/>
  <c r="U7726" i="2" s="1"/>
  <c r="U7725" i="2"/>
  <c r="U7721" i="2"/>
  <c r="T7720" i="2"/>
  <c r="U7720" i="2" s="1"/>
  <c r="U7719" i="2"/>
  <c r="T7718" i="2"/>
  <c r="U7718" i="2" s="1"/>
  <c r="U7717" i="2"/>
  <c r="U7715" i="2"/>
  <c r="U7714" i="2"/>
  <c r="U7712" i="2"/>
  <c r="U7711" i="2"/>
  <c r="U7709" i="2"/>
  <c r="U7708" i="2"/>
  <c r="T7707" i="2"/>
  <c r="U7707" i="2" s="1"/>
  <c r="U7706" i="2"/>
  <c r="T7705" i="2"/>
  <c r="U7705" i="2" s="1"/>
  <c r="U7704" i="2"/>
  <c r="T7703" i="2"/>
  <c r="U7703" i="2" s="1"/>
  <c r="U7702" i="2"/>
  <c r="U7701" i="2"/>
  <c r="U7698" i="2"/>
  <c r="T7697" i="2"/>
  <c r="U7697" i="2" s="1"/>
  <c r="U7696" i="2"/>
  <c r="T7695" i="2"/>
  <c r="U7695" i="2" s="1"/>
  <c r="U7694" i="2"/>
  <c r="T7693" i="2"/>
  <c r="U7693" i="2" s="1"/>
  <c r="U7692" i="2"/>
  <c r="U7691" i="2"/>
  <c r="U7690" i="2"/>
  <c r="T7689" i="2"/>
  <c r="U7689" i="2" s="1"/>
  <c r="U7688" i="2"/>
  <c r="U7687" i="2"/>
  <c r="U7686" i="2"/>
  <c r="U7685" i="2"/>
  <c r="U7684" i="2"/>
  <c r="U7683" i="2"/>
  <c r="U7682" i="2"/>
  <c r="T7681" i="2"/>
  <c r="U7681" i="2" s="1"/>
  <c r="U7680" i="2"/>
  <c r="U7679" i="2"/>
  <c r="U7678" i="2"/>
  <c r="U7677" i="2"/>
  <c r="U7676" i="2"/>
  <c r="U7675" i="2"/>
  <c r="U7674" i="2"/>
  <c r="U7673" i="2"/>
  <c r="U7672" i="2"/>
  <c r="U7669" i="2"/>
  <c r="U7668" i="2"/>
  <c r="T7667" i="2"/>
  <c r="U7667" i="2" s="1"/>
  <c r="U7666" i="2"/>
  <c r="U7665" i="2"/>
  <c r="U7664" i="2"/>
  <c r="U7663" i="2"/>
  <c r="U7662" i="2"/>
  <c r="U7659" i="2"/>
  <c r="U7658" i="2"/>
  <c r="U7657" i="2"/>
  <c r="U7656" i="2"/>
  <c r="U7655" i="2"/>
  <c r="U7654" i="2"/>
  <c r="U7653" i="2"/>
  <c r="U7652" i="2"/>
  <c r="T7651" i="2"/>
  <c r="U7651" i="2" s="1"/>
  <c r="U7650" i="2"/>
  <c r="U7649" i="2"/>
  <c r="T7648" i="2"/>
  <c r="U7648" i="2" s="1"/>
  <c r="U7647" i="2"/>
  <c r="U7646" i="2"/>
  <c r="U7645" i="2"/>
  <c r="U7644" i="2"/>
  <c r="U7643" i="2"/>
  <c r="U7642" i="2"/>
  <c r="T7641" i="2"/>
  <c r="U7641" i="2" s="1"/>
  <c r="U7640" i="2"/>
  <c r="U7639" i="2"/>
  <c r="U7636" i="2"/>
  <c r="U7635" i="2"/>
  <c r="U7634" i="2"/>
  <c r="U7633" i="2"/>
  <c r="U7632" i="2"/>
  <c r="U7631" i="2"/>
  <c r="U7630" i="2"/>
  <c r="U7629" i="2"/>
  <c r="T7628" i="2"/>
  <c r="U7628" i="2" s="1"/>
  <c r="U7627" i="2"/>
  <c r="T7626" i="2"/>
  <c r="U7626" i="2" s="1"/>
  <c r="U7625" i="2"/>
  <c r="U7624" i="2"/>
  <c r="U7623" i="2"/>
  <c r="U7622" i="2"/>
  <c r="U7621" i="2"/>
  <c r="U7620" i="2"/>
  <c r="U7619" i="2"/>
  <c r="U7618" i="2"/>
  <c r="U7617" i="2"/>
  <c r="U7616" i="2"/>
  <c r="U7615" i="2"/>
  <c r="T7614" i="2"/>
  <c r="U7614" i="2" s="1"/>
  <c r="U7613" i="2"/>
  <c r="T7612" i="2"/>
  <c r="U7612" i="2" s="1"/>
  <c r="T7611" i="2"/>
  <c r="U7611" i="2" s="1"/>
  <c r="U7610" i="2"/>
  <c r="T7609" i="2"/>
  <c r="U7609" i="2" s="1"/>
  <c r="T7608" i="2"/>
  <c r="U7608" i="2" s="1"/>
  <c r="T7607" i="2"/>
  <c r="U7607" i="2" s="1"/>
  <c r="T7606" i="2"/>
  <c r="U7606" i="2" s="1"/>
  <c r="T7605" i="2"/>
  <c r="U7605" i="2" s="1"/>
  <c r="T7604" i="2"/>
  <c r="U7604" i="2" s="1"/>
  <c r="T7603" i="2"/>
  <c r="U7603" i="2" s="1"/>
  <c r="T7602" i="2"/>
  <c r="U7602" i="2" s="1"/>
  <c r="T7601" i="2"/>
  <c r="U7601" i="2" s="1"/>
  <c r="T7600" i="2"/>
  <c r="U7600" i="2" s="1"/>
  <c r="T7599" i="2"/>
  <c r="U7599" i="2" s="1"/>
  <c r="T7598" i="2"/>
  <c r="U7598" i="2" s="1"/>
  <c r="T7597" i="2"/>
  <c r="U7597" i="2" s="1"/>
  <c r="T7596" i="2"/>
  <c r="U7596" i="2" s="1"/>
  <c r="T7595" i="2"/>
  <c r="U7595" i="2" s="1"/>
  <c r="T7594" i="2"/>
  <c r="U7594" i="2" s="1"/>
  <c r="T7593" i="2"/>
  <c r="U7593" i="2" s="1"/>
  <c r="T7592" i="2"/>
  <c r="U7592" i="2" s="1"/>
  <c r="T7591" i="2"/>
  <c r="U7591" i="2" s="1"/>
  <c r="T7590" i="2"/>
  <c r="U7590" i="2" s="1"/>
  <c r="T7589" i="2"/>
  <c r="U7589" i="2" s="1"/>
  <c r="T7588" i="2"/>
  <c r="U7588" i="2" s="1"/>
  <c r="T7587" i="2"/>
  <c r="U7587" i="2" s="1"/>
  <c r="T7586" i="2"/>
  <c r="U7586" i="2" s="1"/>
  <c r="T7585" i="2"/>
  <c r="U7585" i="2" s="1"/>
  <c r="T7584" i="2"/>
  <c r="U7584" i="2" s="1"/>
  <c r="T7583" i="2"/>
  <c r="U7583" i="2" s="1"/>
  <c r="T7582" i="2"/>
  <c r="U7582" i="2" s="1"/>
  <c r="T7581" i="2"/>
  <c r="U7581" i="2" s="1"/>
  <c r="T7580" i="2"/>
  <c r="U7580" i="2" s="1"/>
  <c r="T7579" i="2"/>
  <c r="U7579" i="2" s="1"/>
  <c r="T7578" i="2"/>
  <c r="U7578" i="2" s="1"/>
  <c r="T7577" i="2"/>
  <c r="U7577" i="2" s="1"/>
  <c r="U7576" i="2"/>
  <c r="T7575" i="2"/>
  <c r="U7575" i="2" s="1"/>
  <c r="T7574" i="2"/>
  <c r="U7574" i="2" s="1"/>
  <c r="T7573" i="2"/>
  <c r="U7573" i="2" s="1"/>
  <c r="T7572" i="2"/>
  <c r="U7572" i="2" s="1"/>
  <c r="T7571" i="2"/>
  <c r="U7571" i="2" s="1"/>
  <c r="T7570" i="2"/>
  <c r="U7570" i="2" s="1"/>
  <c r="T7569" i="2"/>
  <c r="U7569" i="2" s="1"/>
  <c r="T7568" i="2"/>
  <c r="U7568" i="2" s="1"/>
  <c r="T7567" i="2"/>
  <c r="U7567" i="2" s="1"/>
  <c r="T7566" i="2"/>
  <c r="U7566" i="2" s="1"/>
  <c r="U7565" i="2"/>
  <c r="T7564" i="2"/>
  <c r="U7564" i="2" s="1"/>
  <c r="T7563" i="2"/>
  <c r="U7563" i="2" s="1"/>
  <c r="T7562" i="2"/>
  <c r="U7562" i="2" s="1"/>
  <c r="T7561" i="2"/>
  <c r="U7561" i="2" s="1"/>
  <c r="U7560" i="2"/>
  <c r="T7559" i="2"/>
  <c r="U7559" i="2" s="1"/>
  <c r="T7558" i="2"/>
  <c r="U7558" i="2" s="1"/>
  <c r="U7557" i="2"/>
  <c r="T7556" i="2"/>
  <c r="U7556" i="2" s="1"/>
  <c r="T7555" i="2"/>
  <c r="U7555" i="2" s="1"/>
  <c r="U7554" i="2"/>
  <c r="T7553" i="2"/>
  <c r="U7553" i="2" s="1"/>
  <c r="T7552" i="2"/>
  <c r="U7552" i="2" s="1"/>
  <c r="T7551" i="2"/>
  <c r="U7551" i="2" s="1"/>
  <c r="T7550" i="2"/>
  <c r="U7550" i="2" s="1"/>
  <c r="T7549" i="2"/>
  <c r="U7549" i="2" s="1"/>
  <c r="T7548" i="2"/>
  <c r="U7548" i="2" s="1"/>
  <c r="T7547" i="2"/>
  <c r="U7547" i="2" s="1"/>
  <c r="T7546" i="2"/>
  <c r="U7546" i="2" s="1"/>
  <c r="T7545" i="2"/>
  <c r="U7545" i="2" s="1"/>
  <c r="T7544" i="2"/>
  <c r="U7544" i="2" s="1"/>
  <c r="U7543" i="2"/>
  <c r="U7541" i="2"/>
  <c r="T7540" i="2"/>
  <c r="U7540" i="2" s="1"/>
  <c r="U7537" i="2"/>
  <c r="U7536" i="2"/>
  <c r="T7535" i="2"/>
  <c r="U7535" i="2" s="1"/>
  <c r="T7534" i="2"/>
  <c r="U7534" i="2" s="1"/>
  <c r="T7533" i="2"/>
  <c r="U7533" i="2" s="1"/>
  <c r="T7532" i="2"/>
  <c r="U7532" i="2" s="1"/>
  <c r="T7531" i="2"/>
  <c r="U7531" i="2" s="1"/>
  <c r="U7528" i="2"/>
  <c r="U7527" i="2"/>
  <c r="U7526" i="2"/>
  <c r="U7523" i="2"/>
  <c r="U7522" i="2"/>
  <c r="U7521" i="2"/>
  <c r="T7520" i="2"/>
  <c r="U7520" i="2" s="1"/>
  <c r="U7518" i="2"/>
  <c r="U7517" i="2"/>
  <c r="U7516" i="2"/>
  <c r="U7513" i="2"/>
  <c r="U7512" i="2"/>
  <c r="U7511" i="2"/>
  <c r="U7508" i="2"/>
  <c r="U7507" i="2"/>
  <c r="U7506" i="2"/>
  <c r="T7505" i="2"/>
  <c r="U7505" i="2" s="1"/>
  <c r="U7504" i="2"/>
  <c r="T7503" i="2"/>
  <c r="U7503" i="2" s="1"/>
  <c r="T7502" i="2"/>
  <c r="U7502" i="2" s="1"/>
  <c r="T7501" i="2"/>
  <c r="U7501" i="2" s="1"/>
  <c r="U7498" i="2"/>
  <c r="U7497" i="2"/>
  <c r="T7496" i="2"/>
  <c r="U7496" i="2" s="1"/>
  <c r="T7495" i="2"/>
  <c r="U7495" i="2" s="1"/>
  <c r="U7494" i="2"/>
  <c r="U7491" i="2"/>
  <c r="U7490" i="2"/>
  <c r="U7489" i="2"/>
  <c r="U7486" i="2"/>
  <c r="U7485" i="2"/>
  <c r="U7484" i="2"/>
  <c r="U7481" i="2"/>
  <c r="U7480" i="2"/>
  <c r="U7477" i="2"/>
  <c r="U7476" i="2"/>
  <c r="U7475" i="2"/>
  <c r="U7472" i="2"/>
  <c r="U7471" i="2"/>
  <c r="U7470" i="2"/>
  <c r="U7467" i="2"/>
  <c r="U7466" i="2"/>
  <c r="U7465" i="2"/>
  <c r="U7462" i="2"/>
  <c r="U7461" i="2"/>
  <c r="U7460" i="2"/>
  <c r="U7457" i="2"/>
  <c r="U7456" i="2"/>
  <c r="U7455" i="2"/>
  <c r="T7454" i="2"/>
  <c r="U7454" i="2" s="1"/>
  <c r="U7453" i="2"/>
  <c r="U7450" i="2"/>
  <c r="U7449" i="2"/>
  <c r="U7448" i="2"/>
  <c r="T7447" i="2"/>
  <c r="U7447" i="2" s="1"/>
  <c r="T7446" i="2"/>
  <c r="U7446" i="2" s="1"/>
  <c r="U7443" i="2"/>
  <c r="U7442" i="2"/>
  <c r="T7441" i="2"/>
  <c r="U7441" i="2" s="1"/>
  <c r="U7440" i="2"/>
  <c r="U7437" i="2"/>
  <c r="U7436" i="2"/>
  <c r="T7435" i="2"/>
  <c r="U7435" i="2" s="1"/>
  <c r="U7434" i="2"/>
  <c r="U7431" i="2"/>
  <c r="U7430" i="2"/>
  <c r="U7429" i="2"/>
  <c r="U7426" i="2"/>
  <c r="U7425" i="2"/>
  <c r="U7424" i="2"/>
  <c r="T7423" i="2"/>
  <c r="U7423" i="2" s="1"/>
  <c r="T7422" i="2"/>
  <c r="U7422" i="2" s="1"/>
  <c r="U7421" i="2"/>
  <c r="T7420" i="2"/>
  <c r="U7420" i="2" s="1"/>
  <c r="T7419" i="2"/>
  <c r="U7419" i="2" s="1"/>
  <c r="U7418" i="2"/>
  <c r="T7417" i="2"/>
  <c r="U7417" i="2" s="1"/>
  <c r="U7416" i="2"/>
  <c r="T7415" i="2"/>
  <c r="U7415" i="2" s="1"/>
  <c r="U7414" i="2"/>
  <c r="T7413" i="2"/>
  <c r="U7413" i="2" s="1"/>
  <c r="U7412" i="2"/>
  <c r="T7411" i="2"/>
  <c r="U7411" i="2" s="1"/>
  <c r="U7410" i="2"/>
  <c r="T7409" i="2"/>
  <c r="U7409" i="2" s="1"/>
  <c r="U7408" i="2"/>
  <c r="T7407" i="2"/>
  <c r="U7407" i="2" s="1"/>
  <c r="T7406" i="2"/>
  <c r="U7406" i="2" s="1"/>
  <c r="T7405" i="2"/>
  <c r="U7405" i="2" s="1"/>
  <c r="T7404" i="2"/>
  <c r="U7404" i="2" s="1"/>
  <c r="T7403" i="2"/>
  <c r="U7403" i="2" s="1"/>
  <c r="T7402" i="2"/>
  <c r="U7402" i="2" s="1"/>
  <c r="T7401" i="2"/>
  <c r="U7401" i="2" s="1"/>
  <c r="T7400" i="2"/>
  <c r="U7400" i="2" s="1"/>
  <c r="T7399" i="2"/>
  <c r="U7399" i="2" s="1"/>
  <c r="T7398" i="2"/>
  <c r="U7398" i="2" s="1"/>
  <c r="T7397" i="2"/>
  <c r="U7397" i="2" s="1"/>
  <c r="T7396" i="2"/>
  <c r="U7396" i="2" s="1"/>
  <c r="T7395" i="2"/>
  <c r="U7395" i="2" s="1"/>
  <c r="T7394" i="2"/>
  <c r="U7394" i="2" s="1"/>
  <c r="T7393" i="2"/>
  <c r="U7393" i="2" s="1"/>
  <c r="T7392" i="2"/>
  <c r="U7392" i="2" s="1"/>
  <c r="T7391" i="2"/>
  <c r="U7391" i="2" s="1"/>
  <c r="T7390" i="2"/>
  <c r="U7390" i="2" s="1"/>
  <c r="T7389" i="2"/>
  <c r="U7389" i="2" s="1"/>
  <c r="T7388" i="2"/>
  <c r="U7388" i="2" s="1"/>
  <c r="T7387" i="2"/>
  <c r="U7387" i="2" s="1"/>
  <c r="T7386" i="2"/>
  <c r="U7386" i="2" s="1"/>
  <c r="T7385" i="2"/>
  <c r="U7385" i="2" s="1"/>
  <c r="T7384" i="2"/>
  <c r="U7384" i="2" s="1"/>
  <c r="T7383" i="2"/>
  <c r="U7383" i="2" s="1"/>
  <c r="T7382" i="2"/>
  <c r="U7382" i="2" s="1"/>
  <c r="T7381" i="2"/>
  <c r="U7381" i="2" s="1"/>
  <c r="T7380" i="2"/>
  <c r="U7380" i="2" s="1"/>
  <c r="T7379" i="2"/>
  <c r="U7379" i="2" s="1"/>
  <c r="T7378" i="2"/>
  <c r="U7378" i="2" s="1"/>
  <c r="T7377" i="2"/>
  <c r="U7377" i="2" s="1"/>
  <c r="T7376" i="2"/>
  <c r="U7376" i="2" s="1"/>
  <c r="T7375" i="2"/>
  <c r="U7375" i="2" s="1"/>
  <c r="T7374" i="2"/>
  <c r="U7374" i="2" s="1"/>
  <c r="T7373" i="2"/>
  <c r="U7373" i="2" s="1"/>
  <c r="T7372" i="2"/>
  <c r="U7372" i="2" s="1"/>
  <c r="T7371" i="2"/>
  <c r="U7371" i="2" s="1"/>
  <c r="T7370" i="2"/>
  <c r="U7370" i="2" s="1"/>
  <c r="T7369" i="2"/>
  <c r="U7369" i="2" s="1"/>
  <c r="T7368" i="2"/>
  <c r="U7368" i="2" s="1"/>
  <c r="T7367" i="2"/>
  <c r="U7367" i="2" s="1"/>
  <c r="T7366" i="2"/>
  <c r="U7366" i="2" s="1"/>
  <c r="T7365" i="2"/>
  <c r="U7365" i="2" s="1"/>
  <c r="T7364" i="2"/>
  <c r="U7364" i="2" s="1"/>
  <c r="T7363" i="2"/>
  <c r="U7363" i="2" s="1"/>
  <c r="T7362" i="2"/>
  <c r="U7362" i="2" s="1"/>
  <c r="T7361" i="2"/>
  <c r="U7361" i="2" s="1"/>
  <c r="T7360" i="2"/>
  <c r="U7360" i="2" s="1"/>
  <c r="T7359" i="2"/>
  <c r="U7359" i="2" s="1"/>
  <c r="T7358" i="2"/>
  <c r="U7358" i="2" s="1"/>
  <c r="T7357" i="2"/>
  <c r="U7357" i="2" s="1"/>
  <c r="T7356" i="2"/>
  <c r="U7356" i="2" s="1"/>
  <c r="T7355" i="2"/>
  <c r="U7355" i="2" s="1"/>
  <c r="T7354" i="2"/>
  <c r="U7354" i="2" s="1"/>
  <c r="T7353" i="2"/>
  <c r="U7353" i="2" s="1"/>
  <c r="T7352" i="2"/>
  <c r="U7352" i="2" s="1"/>
  <c r="T7351" i="2"/>
  <c r="U7351" i="2" s="1"/>
  <c r="T7350" i="2"/>
  <c r="U7350" i="2" s="1"/>
  <c r="T7349" i="2"/>
  <c r="U7349" i="2" s="1"/>
  <c r="T7348" i="2"/>
  <c r="U7348" i="2" s="1"/>
  <c r="T7347" i="2"/>
  <c r="U7347" i="2" s="1"/>
  <c r="T7346" i="2"/>
  <c r="U7346" i="2" s="1"/>
  <c r="T7345" i="2"/>
  <c r="U7345" i="2" s="1"/>
  <c r="T7344" i="2"/>
  <c r="U7344" i="2" s="1"/>
  <c r="T7343" i="2"/>
  <c r="U7343" i="2" s="1"/>
  <c r="T7342" i="2"/>
  <c r="U7342" i="2" s="1"/>
  <c r="T7341" i="2"/>
  <c r="U7341" i="2" s="1"/>
  <c r="T7340" i="2"/>
  <c r="U7340" i="2" s="1"/>
  <c r="T7339" i="2"/>
  <c r="U7339" i="2" s="1"/>
  <c r="T7338" i="2"/>
  <c r="U7338" i="2" s="1"/>
  <c r="T7337" i="2"/>
  <c r="U7337" i="2" s="1"/>
  <c r="T7336" i="2"/>
  <c r="U7336" i="2" s="1"/>
  <c r="T7335" i="2"/>
  <c r="U7335" i="2" s="1"/>
  <c r="T7334" i="2"/>
  <c r="U7334" i="2" s="1"/>
  <c r="T7333" i="2"/>
  <c r="U7333" i="2" s="1"/>
  <c r="T7332" i="2"/>
  <c r="U7332" i="2" s="1"/>
  <c r="T7331" i="2"/>
  <c r="U7331" i="2" s="1"/>
  <c r="T7330" i="2"/>
  <c r="U7330" i="2" s="1"/>
  <c r="T7329" i="2"/>
  <c r="U7329" i="2" s="1"/>
  <c r="T7328" i="2"/>
  <c r="U7328" i="2" s="1"/>
  <c r="T7327" i="2"/>
  <c r="U7327" i="2" s="1"/>
  <c r="T7326" i="2"/>
  <c r="U7326" i="2" s="1"/>
  <c r="T7325" i="2"/>
  <c r="U7325" i="2" s="1"/>
  <c r="T7324" i="2"/>
  <c r="U7324" i="2" s="1"/>
  <c r="T7323" i="2"/>
  <c r="U7323" i="2" s="1"/>
  <c r="T7322" i="2"/>
  <c r="U7322" i="2" s="1"/>
  <c r="T7321" i="2"/>
  <c r="U7321" i="2" s="1"/>
  <c r="T7320" i="2"/>
  <c r="U7320" i="2" s="1"/>
  <c r="T7319" i="2"/>
  <c r="U7319" i="2" s="1"/>
  <c r="T7318" i="2"/>
  <c r="U7318" i="2" s="1"/>
  <c r="T7317" i="2"/>
  <c r="U7317" i="2" s="1"/>
  <c r="T7316" i="2"/>
  <c r="U7316" i="2" s="1"/>
  <c r="T7315" i="2"/>
  <c r="U7315" i="2" s="1"/>
  <c r="T7314" i="2"/>
  <c r="U7314" i="2" s="1"/>
  <c r="T7313" i="2"/>
  <c r="U7313" i="2" s="1"/>
  <c r="T7312" i="2"/>
  <c r="U7312" i="2" s="1"/>
  <c r="T7311" i="2"/>
  <c r="U7311" i="2" s="1"/>
  <c r="T7310" i="2"/>
  <c r="U7310" i="2" s="1"/>
  <c r="T7309" i="2"/>
  <c r="U7309" i="2" s="1"/>
  <c r="T7308" i="2"/>
  <c r="U7308" i="2" s="1"/>
  <c r="T7307" i="2"/>
  <c r="U7307" i="2" s="1"/>
  <c r="T7306" i="2"/>
  <c r="U7306" i="2" s="1"/>
  <c r="T7305" i="2"/>
  <c r="U7305" i="2" s="1"/>
  <c r="T7304" i="2"/>
  <c r="U7304" i="2" s="1"/>
  <c r="T7303" i="2"/>
  <c r="U7303" i="2" s="1"/>
  <c r="T7302" i="2"/>
  <c r="U7302" i="2" s="1"/>
  <c r="T7301" i="2"/>
  <c r="U7301" i="2" s="1"/>
  <c r="T7300" i="2"/>
  <c r="U7300" i="2" s="1"/>
  <c r="T7299" i="2"/>
  <c r="U7299" i="2" s="1"/>
  <c r="T7298" i="2"/>
  <c r="U7298" i="2" s="1"/>
  <c r="T7297" i="2"/>
  <c r="U7297" i="2" s="1"/>
  <c r="T7296" i="2"/>
  <c r="U7296" i="2" s="1"/>
  <c r="T7295" i="2"/>
  <c r="U7295" i="2" s="1"/>
  <c r="T7294" i="2"/>
  <c r="U7294" i="2" s="1"/>
  <c r="T7293" i="2"/>
  <c r="U7293" i="2" s="1"/>
  <c r="T7292" i="2"/>
  <c r="U7292" i="2" s="1"/>
  <c r="T7291" i="2"/>
  <c r="U7291" i="2" s="1"/>
  <c r="T7290" i="2"/>
  <c r="U7290" i="2" s="1"/>
  <c r="T7289" i="2"/>
  <c r="U7289" i="2" s="1"/>
  <c r="T7288" i="2"/>
  <c r="U7288" i="2" s="1"/>
  <c r="T7287" i="2"/>
  <c r="U7287" i="2" s="1"/>
  <c r="T7286" i="2"/>
  <c r="U7286" i="2" s="1"/>
  <c r="T7285" i="2"/>
  <c r="U7285" i="2" s="1"/>
  <c r="T7284" i="2"/>
  <c r="U7284" i="2" s="1"/>
  <c r="T7283" i="2"/>
  <c r="U7283" i="2" s="1"/>
  <c r="T7282" i="2"/>
  <c r="U7282" i="2" s="1"/>
  <c r="T7281" i="2"/>
  <c r="U7281" i="2" s="1"/>
  <c r="T7280" i="2"/>
  <c r="U7280" i="2" s="1"/>
  <c r="T7279" i="2"/>
  <c r="U7279" i="2" s="1"/>
  <c r="T7278" i="2"/>
  <c r="U7278" i="2" s="1"/>
  <c r="T7277" i="2"/>
  <c r="U7277" i="2" s="1"/>
  <c r="T7276" i="2"/>
  <c r="U7276" i="2" s="1"/>
  <c r="T7275" i="2"/>
  <c r="U7275" i="2" s="1"/>
  <c r="T7274" i="2"/>
  <c r="U7274" i="2" s="1"/>
  <c r="T7273" i="2"/>
  <c r="U7273" i="2" s="1"/>
  <c r="T7272" i="2"/>
  <c r="U7272" i="2" s="1"/>
  <c r="T7271" i="2"/>
  <c r="U7271" i="2" s="1"/>
  <c r="T7270" i="2"/>
  <c r="U7270" i="2" s="1"/>
  <c r="T7269" i="2"/>
  <c r="U7269" i="2" s="1"/>
  <c r="T7268" i="2"/>
  <c r="U7268" i="2" s="1"/>
  <c r="T7267" i="2"/>
  <c r="U7267" i="2" s="1"/>
  <c r="T7266" i="2"/>
  <c r="U7266" i="2" s="1"/>
  <c r="T7265" i="2"/>
  <c r="U7265" i="2" s="1"/>
  <c r="T7264" i="2"/>
  <c r="U7264" i="2" s="1"/>
  <c r="T7263" i="2"/>
  <c r="U7263" i="2" s="1"/>
  <c r="T7262" i="2"/>
  <c r="U7262" i="2" s="1"/>
  <c r="T7261" i="2"/>
  <c r="U7261" i="2" s="1"/>
  <c r="T7260" i="2"/>
  <c r="U7260" i="2" s="1"/>
  <c r="T7259" i="2"/>
  <c r="U7259" i="2" s="1"/>
  <c r="T7258" i="2"/>
  <c r="U7258" i="2" s="1"/>
  <c r="T7257" i="2"/>
  <c r="U7257" i="2" s="1"/>
  <c r="T7256" i="2"/>
  <c r="U7256" i="2" s="1"/>
  <c r="T7255" i="2"/>
  <c r="U7255" i="2" s="1"/>
  <c r="T7254" i="2"/>
  <c r="U7254" i="2" s="1"/>
  <c r="T7253" i="2"/>
  <c r="U7253" i="2" s="1"/>
  <c r="T7252" i="2"/>
  <c r="U7252" i="2" s="1"/>
  <c r="T7251" i="2"/>
  <c r="U7251" i="2" s="1"/>
  <c r="T7250" i="2"/>
  <c r="U7250" i="2" s="1"/>
  <c r="T7249" i="2"/>
  <c r="U7249" i="2" s="1"/>
  <c r="T7248" i="2"/>
  <c r="U7248" i="2" s="1"/>
  <c r="T7247" i="2"/>
  <c r="U7247" i="2" s="1"/>
  <c r="T7246" i="2"/>
  <c r="U7246" i="2" s="1"/>
  <c r="T7245" i="2"/>
  <c r="U7245" i="2" s="1"/>
  <c r="T7244" i="2"/>
  <c r="U7244" i="2" s="1"/>
  <c r="T7243" i="2"/>
  <c r="U7243" i="2" s="1"/>
  <c r="T7242" i="2"/>
  <c r="U7242" i="2" s="1"/>
  <c r="T7241" i="2"/>
  <c r="U7241" i="2" s="1"/>
  <c r="T7240" i="2"/>
  <c r="U7240" i="2" s="1"/>
  <c r="T7239" i="2"/>
  <c r="U7239" i="2" s="1"/>
  <c r="T7238" i="2"/>
  <c r="U7238" i="2" s="1"/>
  <c r="T7237" i="2"/>
  <c r="U7237" i="2" s="1"/>
  <c r="T7236" i="2"/>
  <c r="U7236" i="2" s="1"/>
  <c r="T7235" i="2"/>
  <c r="U7235" i="2" s="1"/>
  <c r="T7234" i="2"/>
  <c r="U7234" i="2" s="1"/>
  <c r="T7233" i="2"/>
  <c r="U7233" i="2" s="1"/>
  <c r="T7232" i="2"/>
  <c r="U7232" i="2" s="1"/>
  <c r="T7231" i="2"/>
  <c r="U7231" i="2" s="1"/>
  <c r="T7230" i="2"/>
  <c r="U7230" i="2" s="1"/>
  <c r="T7229" i="2"/>
  <c r="U7229" i="2" s="1"/>
  <c r="T7228" i="2"/>
  <c r="U7228" i="2" s="1"/>
  <c r="T7227" i="2"/>
  <c r="U7227" i="2" s="1"/>
  <c r="T7226" i="2"/>
  <c r="U7226" i="2" s="1"/>
  <c r="T7225" i="2"/>
  <c r="U7225" i="2" s="1"/>
  <c r="T7224" i="2"/>
  <c r="U7224" i="2" s="1"/>
  <c r="T7223" i="2"/>
  <c r="U7223" i="2" s="1"/>
  <c r="T7222" i="2"/>
  <c r="U7222" i="2" s="1"/>
  <c r="T7221" i="2"/>
  <c r="U7221" i="2" s="1"/>
  <c r="T7220" i="2"/>
  <c r="U7220" i="2" s="1"/>
  <c r="T7219" i="2"/>
  <c r="U7219" i="2" s="1"/>
  <c r="T7218" i="2"/>
  <c r="U7218" i="2" s="1"/>
  <c r="T7217" i="2"/>
  <c r="U7217" i="2" s="1"/>
  <c r="T7216" i="2"/>
  <c r="U7216" i="2" s="1"/>
  <c r="T7215" i="2"/>
  <c r="U7215" i="2" s="1"/>
  <c r="T7214" i="2"/>
  <c r="U7214" i="2" s="1"/>
  <c r="T7213" i="2"/>
  <c r="U7213" i="2" s="1"/>
  <c r="T7212" i="2"/>
  <c r="U7212" i="2" s="1"/>
  <c r="T7211" i="2"/>
  <c r="U7211" i="2" s="1"/>
  <c r="T7210" i="2"/>
  <c r="U7210" i="2" s="1"/>
  <c r="T7209" i="2"/>
  <c r="U7209" i="2" s="1"/>
  <c r="T7208" i="2"/>
  <c r="U7208" i="2" s="1"/>
  <c r="T7207" i="2"/>
  <c r="U7207" i="2" s="1"/>
  <c r="T7206" i="2"/>
  <c r="U7206" i="2" s="1"/>
  <c r="T7205" i="2"/>
  <c r="U7205" i="2" s="1"/>
  <c r="T7204" i="2"/>
  <c r="U7204" i="2" s="1"/>
  <c r="T7203" i="2"/>
  <c r="U7203" i="2" s="1"/>
  <c r="T7202" i="2"/>
  <c r="U7202" i="2" s="1"/>
  <c r="T7201" i="2"/>
  <c r="U7201" i="2" s="1"/>
  <c r="T7200" i="2"/>
  <c r="U7200" i="2" s="1"/>
  <c r="T7199" i="2"/>
  <c r="U7199" i="2" s="1"/>
  <c r="T7198" i="2"/>
  <c r="U7198" i="2" s="1"/>
  <c r="T7197" i="2"/>
  <c r="U7197" i="2" s="1"/>
  <c r="T7196" i="2"/>
  <c r="U7196" i="2" s="1"/>
  <c r="T7195" i="2"/>
  <c r="U7195" i="2" s="1"/>
  <c r="T7194" i="2"/>
  <c r="U7194" i="2" s="1"/>
  <c r="T7193" i="2"/>
  <c r="U7193" i="2" s="1"/>
  <c r="T7192" i="2"/>
  <c r="U7192" i="2" s="1"/>
  <c r="T7191" i="2"/>
  <c r="U7191" i="2" s="1"/>
  <c r="T7190" i="2"/>
  <c r="U7190" i="2" s="1"/>
  <c r="T7189" i="2"/>
  <c r="U7189" i="2" s="1"/>
  <c r="T7188" i="2"/>
  <c r="U7188" i="2" s="1"/>
  <c r="T7187" i="2"/>
  <c r="U7187" i="2" s="1"/>
  <c r="T7186" i="2"/>
  <c r="U7186" i="2" s="1"/>
  <c r="T7185" i="2"/>
  <c r="U7185" i="2" s="1"/>
  <c r="T7184" i="2"/>
  <c r="U7184" i="2" s="1"/>
  <c r="T7183" i="2"/>
  <c r="U7183" i="2" s="1"/>
  <c r="T7182" i="2"/>
  <c r="U7182" i="2" s="1"/>
  <c r="U7181" i="2"/>
  <c r="T7180" i="2"/>
  <c r="U7180" i="2" s="1"/>
  <c r="T7179" i="2"/>
  <c r="U7179" i="2" s="1"/>
  <c r="T7178" i="2"/>
  <c r="U7178" i="2" s="1"/>
  <c r="T7177" i="2"/>
  <c r="U7177" i="2" s="1"/>
  <c r="T7176" i="2"/>
  <c r="U7176" i="2" s="1"/>
  <c r="T7175" i="2"/>
  <c r="U7175" i="2" s="1"/>
  <c r="T7174" i="2"/>
  <c r="U7174" i="2" s="1"/>
  <c r="T7173" i="2"/>
  <c r="U7173" i="2" s="1"/>
  <c r="T7172" i="2"/>
  <c r="U7172" i="2" s="1"/>
  <c r="T7171" i="2"/>
  <c r="U7171" i="2" s="1"/>
  <c r="T7170" i="2"/>
  <c r="U7170" i="2" s="1"/>
  <c r="T7169" i="2"/>
  <c r="U7169" i="2" s="1"/>
  <c r="T7168" i="2"/>
  <c r="U7168" i="2" s="1"/>
  <c r="T7167" i="2"/>
  <c r="U7167" i="2" s="1"/>
  <c r="T7166" i="2"/>
  <c r="U7166" i="2" s="1"/>
  <c r="T7165" i="2"/>
  <c r="U7165" i="2" s="1"/>
  <c r="T7164" i="2"/>
  <c r="U7164" i="2" s="1"/>
  <c r="T7163" i="2"/>
  <c r="U7163" i="2" s="1"/>
  <c r="T7162" i="2"/>
  <c r="U7162" i="2" s="1"/>
  <c r="T7161" i="2"/>
  <c r="U7161" i="2" s="1"/>
  <c r="T7160" i="2"/>
  <c r="U7160" i="2" s="1"/>
  <c r="T7159" i="2"/>
  <c r="U7159" i="2" s="1"/>
  <c r="T7158" i="2"/>
  <c r="U7158" i="2" s="1"/>
  <c r="T7157" i="2"/>
  <c r="U7157" i="2" s="1"/>
  <c r="T7156" i="2"/>
  <c r="U7156" i="2" s="1"/>
  <c r="T7155" i="2"/>
  <c r="U7155" i="2" s="1"/>
  <c r="T7154" i="2"/>
  <c r="U7154" i="2" s="1"/>
  <c r="T7153" i="2"/>
  <c r="U7153" i="2" s="1"/>
  <c r="T7152" i="2"/>
  <c r="U7152" i="2" s="1"/>
  <c r="T7151" i="2"/>
  <c r="U7151" i="2" s="1"/>
  <c r="T7150" i="2"/>
  <c r="U7150" i="2" s="1"/>
  <c r="T7149" i="2"/>
  <c r="U7149" i="2" s="1"/>
  <c r="T7148" i="2"/>
  <c r="U7148" i="2" s="1"/>
  <c r="T7147" i="2"/>
  <c r="U7147" i="2" s="1"/>
  <c r="T7146" i="2"/>
  <c r="U7146" i="2" s="1"/>
  <c r="T7145" i="2"/>
  <c r="U7145" i="2" s="1"/>
  <c r="T7144" i="2"/>
  <c r="U7144" i="2" s="1"/>
  <c r="U7143" i="2"/>
  <c r="T7142" i="2"/>
  <c r="U7142" i="2" s="1"/>
  <c r="U7141" i="2"/>
  <c r="T7140" i="2"/>
  <c r="U7140" i="2" s="1"/>
  <c r="U7139" i="2"/>
  <c r="T7138" i="2"/>
  <c r="U7138" i="2" s="1"/>
  <c r="U7137" i="2"/>
  <c r="T7136" i="2"/>
  <c r="U7136" i="2" s="1"/>
  <c r="U7135" i="2"/>
  <c r="T7134" i="2"/>
  <c r="U7134" i="2" s="1"/>
  <c r="U7133" i="2"/>
  <c r="T7132" i="2"/>
  <c r="U7132" i="2" s="1"/>
  <c r="U7131" i="2"/>
  <c r="T7130" i="2"/>
  <c r="U7130" i="2" s="1"/>
  <c r="U7129" i="2"/>
  <c r="T7128" i="2"/>
  <c r="U7128" i="2" s="1"/>
  <c r="U7127" i="2"/>
  <c r="U7126" i="2"/>
  <c r="T7125" i="2"/>
  <c r="U7125" i="2" s="1"/>
  <c r="U7124" i="2"/>
  <c r="U7123" i="2"/>
  <c r="T7122" i="2"/>
  <c r="U7122" i="2" s="1"/>
  <c r="U7121" i="2"/>
  <c r="U7120" i="2"/>
  <c r="T7119" i="2"/>
  <c r="U7119" i="2" s="1"/>
  <c r="U7118" i="2"/>
  <c r="U7117" i="2"/>
  <c r="T7116" i="2"/>
  <c r="U7116" i="2" s="1"/>
  <c r="U7115" i="2"/>
  <c r="U7114" i="2"/>
  <c r="T7113" i="2"/>
  <c r="U7113" i="2" s="1"/>
  <c r="U7112" i="2"/>
  <c r="T7111" i="2"/>
  <c r="U7111" i="2" s="1"/>
  <c r="U7110" i="2"/>
  <c r="T7109" i="2"/>
  <c r="U7109" i="2" s="1"/>
  <c r="T7108" i="2"/>
  <c r="U7108" i="2" s="1"/>
  <c r="U7107" i="2"/>
  <c r="U7105" i="2"/>
  <c r="U7104" i="2"/>
  <c r="T7103" i="2"/>
  <c r="U7103" i="2" s="1"/>
  <c r="T7102" i="2"/>
  <c r="U7102" i="2" s="1"/>
  <c r="T7101" i="2"/>
  <c r="U7101" i="2" s="1"/>
  <c r="T7100" i="2"/>
  <c r="U7100" i="2" s="1"/>
  <c r="T7099" i="2"/>
  <c r="U7099" i="2" s="1"/>
  <c r="T7098" i="2"/>
  <c r="U7098" i="2" s="1"/>
  <c r="T7097" i="2"/>
  <c r="U7097" i="2" s="1"/>
  <c r="T7096" i="2"/>
  <c r="U7096" i="2" s="1"/>
  <c r="T7095" i="2"/>
  <c r="U7095" i="2" s="1"/>
  <c r="T7094" i="2"/>
  <c r="U7094" i="2" s="1"/>
  <c r="T7093" i="2"/>
  <c r="U7093" i="2" s="1"/>
  <c r="T7092" i="2"/>
  <c r="U7092" i="2" s="1"/>
  <c r="T7091" i="2"/>
  <c r="U7091" i="2" s="1"/>
  <c r="T7090" i="2"/>
  <c r="U7090" i="2" s="1"/>
  <c r="T7089" i="2"/>
  <c r="U7089" i="2" s="1"/>
  <c r="T7088" i="2"/>
  <c r="U7088" i="2" s="1"/>
  <c r="T7087" i="2"/>
  <c r="U7087" i="2" s="1"/>
  <c r="T7086" i="2"/>
  <c r="U7086" i="2" s="1"/>
  <c r="T7085" i="2"/>
  <c r="U7085" i="2" s="1"/>
  <c r="T7084" i="2"/>
  <c r="U7084" i="2" s="1"/>
  <c r="T7083" i="2"/>
  <c r="U7083" i="2" s="1"/>
  <c r="T7082" i="2"/>
  <c r="U7082" i="2" s="1"/>
  <c r="T7081" i="2"/>
  <c r="U7081" i="2" s="1"/>
  <c r="T7080" i="2"/>
  <c r="U7080" i="2" s="1"/>
  <c r="T7079" i="2"/>
  <c r="U7079" i="2" s="1"/>
  <c r="T7078" i="2"/>
  <c r="U7078" i="2" s="1"/>
  <c r="T7077" i="2"/>
  <c r="U7077" i="2" s="1"/>
  <c r="T7076" i="2"/>
  <c r="U7076" i="2" s="1"/>
  <c r="U7075" i="2"/>
  <c r="T7074" i="2"/>
  <c r="U7074" i="2" s="1"/>
  <c r="T7073" i="2"/>
  <c r="U7073" i="2" s="1"/>
  <c r="T7072" i="2"/>
  <c r="U7072" i="2" s="1"/>
  <c r="T7071" i="2"/>
  <c r="U7071" i="2" s="1"/>
  <c r="T7070" i="2"/>
  <c r="U7070" i="2" s="1"/>
  <c r="T7069" i="2"/>
  <c r="U7069" i="2" s="1"/>
  <c r="T7068" i="2"/>
  <c r="U7068" i="2" s="1"/>
  <c r="T7067" i="2"/>
  <c r="U7067" i="2" s="1"/>
  <c r="T7066" i="2"/>
  <c r="U7066" i="2" s="1"/>
  <c r="T7065" i="2"/>
  <c r="U7065" i="2" s="1"/>
  <c r="T7064" i="2"/>
  <c r="U7064" i="2" s="1"/>
  <c r="T7063" i="2"/>
  <c r="U7063" i="2" s="1"/>
  <c r="T7062" i="2"/>
  <c r="U7062" i="2" s="1"/>
  <c r="T7061" i="2"/>
  <c r="U7061" i="2" s="1"/>
  <c r="T7060" i="2"/>
  <c r="U7060" i="2" s="1"/>
  <c r="T7059" i="2"/>
  <c r="U7059" i="2" s="1"/>
  <c r="T7058" i="2"/>
  <c r="U7058" i="2" s="1"/>
  <c r="T7057" i="2"/>
  <c r="U7057" i="2" s="1"/>
  <c r="T7056" i="2"/>
  <c r="U7056" i="2" s="1"/>
  <c r="T7055" i="2"/>
  <c r="U7055" i="2" s="1"/>
  <c r="T7054" i="2"/>
  <c r="U7054" i="2" s="1"/>
  <c r="T7053" i="2"/>
  <c r="U7053" i="2" s="1"/>
  <c r="T7052" i="2"/>
  <c r="U7052" i="2" s="1"/>
  <c r="T7051" i="2"/>
  <c r="U7051" i="2" s="1"/>
  <c r="T7050" i="2"/>
  <c r="U7050" i="2" s="1"/>
  <c r="T7049" i="2"/>
  <c r="U7049" i="2" s="1"/>
  <c r="T7048" i="2"/>
  <c r="U7048" i="2" s="1"/>
  <c r="T7047" i="2"/>
  <c r="U7047" i="2" s="1"/>
  <c r="T7046" i="2"/>
  <c r="U7046" i="2" s="1"/>
  <c r="T7045" i="2"/>
  <c r="U7045" i="2" s="1"/>
  <c r="T7044" i="2"/>
  <c r="U7044" i="2" s="1"/>
  <c r="T7043" i="2"/>
  <c r="U7043" i="2" s="1"/>
  <c r="T7042" i="2"/>
  <c r="U7042" i="2" s="1"/>
  <c r="T7041" i="2"/>
  <c r="U7041" i="2" s="1"/>
  <c r="T7040" i="2"/>
  <c r="U7040" i="2" s="1"/>
  <c r="T7039" i="2"/>
  <c r="U7039" i="2" s="1"/>
  <c r="T7038" i="2"/>
  <c r="U7038" i="2" s="1"/>
  <c r="T7037" i="2"/>
  <c r="U7037" i="2" s="1"/>
  <c r="T7036" i="2"/>
  <c r="U7036" i="2" s="1"/>
  <c r="U7035" i="2"/>
  <c r="T7034" i="2"/>
  <c r="U7034" i="2" s="1"/>
  <c r="U7033" i="2"/>
  <c r="T7032" i="2"/>
  <c r="U7032" i="2" s="1"/>
  <c r="U7031" i="2"/>
  <c r="T7030" i="2"/>
  <c r="U7030" i="2" s="1"/>
  <c r="U7029" i="2"/>
  <c r="U7028" i="2"/>
  <c r="T7027" i="2"/>
  <c r="U7027" i="2" s="1"/>
  <c r="T7026" i="2"/>
  <c r="U7026" i="2" s="1"/>
  <c r="T7025" i="2"/>
  <c r="U7025" i="2" s="1"/>
  <c r="T7024" i="2"/>
  <c r="U7024" i="2" s="1"/>
  <c r="T7023" i="2"/>
  <c r="U7023" i="2" s="1"/>
  <c r="T7022" i="2"/>
  <c r="U7022" i="2" s="1"/>
  <c r="T7021" i="2"/>
  <c r="U7021" i="2" s="1"/>
  <c r="T7020" i="2"/>
  <c r="U7020" i="2" s="1"/>
  <c r="T7019" i="2"/>
  <c r="U7019" i="2" s="1"/>
  <c r="T7018" i="2"/>
  <c r="U7018" i="2" s="1"/>
  <c r="U7017" i="2"/>
  <c r="T7016" i="2"/>
  <c r="U7016" i="2" s="1"/>
  <c r="T7015" i="2"/>
  <c r="U7015" i="2" s="1"/>
  <c r="T7014" i="2"/>
  <c r="U7014" i="2" s="1"/>
  <c r="T7013" i="2"/>
  <c r="U7013" i="2" s="1"/>
  <c r="T7012" i="2"/>
  <c r="U7012" i="2" s="1"/>
  <c r="T7011" i="2"/>
  <c r="U7011" i="2" s="1"/>
  <c r="U7010" i="2"/>
  <c r="U7009" i="2"/>
  <c r="T7008" i="2"/>
  <c r="U7008" i="2" s="1"/>
  <c r="T7007" i="2"/>
  <c r="U7007" i="2" s="1"/>
  <c r="T7006" i="2"/>
  <c r="U7006" i="2" s="1"/>
  <c r="T7005" i="2"/>
  <c r="U7005" i="2" s="1"/>
  <c r="T7004" i="2"/>
  <c r="U7004" i="2" s="1"/>
  <c r="T7003" i="2"/>
  <c r="U7003" i="2" s="1"/>
  <c r="T7002" i="2"/>
  <c r="U7002" i="2" s="1"/>
  <c r="T7001" i="2"/>
  <c r="U7001" i="2" s="1"/>
  <c r="T7000" i="2"/>
  <c r="U7000" i="2" s="1"/>
  <c r="T6999" i="2"/>
  <c r="U6999" i="2" s="1"/>
  <c r="T6998" i="2"/>
  <c r="U6998" i="2" s="1"/>
  <c r="T6997" i="2"/>
  <c r="U6997" i="2" s="1"/>
  <c r="T6996" i="2"/>
  <c r="U6996" i="2" s="1"/>
  <c r="T6995" i="2"/>
  <c r="U6995" i="2" s="1"/>
  <c r="T6994" i="2"/>
  <c r="U6994" i="2" s="1"/>
  <c r="T6993" i="2"/>
  <c r="U6993" i="2" s="1"/>
  <c r="T6992" i="2"/>
  <c r="U6992" i="2" s="1"/>
  <c r="T6991" i="2"/>
  <c r="U6991" i="2" s="1"/>
  <c r="T6990" i="2"/>
  <c r="U6990" i="2" s="1"/>
  <c r="T6989" i="2"/>
  <c r="U6989" i="2" s="1"/>
  <c r="T6988" i="2"/>
  <c r="U6988" i="2" s="1"/>
  <c r="T6987" i="2"/>
  <c r="U6987" i="2" s="1"/>
  <c r="T6986" i="2"/>
  <c r="U6986" i="2" s="1"/>
  <c r="T6985" i="2"/>
  <c r="U6985" i="2" s="1"/>
  <c r="T6984" i="2"/>
  <c r="U6984" i="2" s="1"/>
  <c r="T6983" i="2"/>
  <c r="U6983" i="2" s="1"/>
  <c r="T6982" i="2"/>
  <c r="U6982" i="2" s="1"/>
  <c r="T6981" i="2"/>
  <c r="U6981" i="2" s="1"/>
  <c r="T6980" i="2"/>
  <c r="U6980" i="2" s="1"/>
  <c r="T6979" i="2"/>
  <c r="U6979" i="2" s="1"/>
  <c r="T6978" i="2"/>
  <c r="U6978" i="2" s="1"/>
  <c r="T6977" i="2"/>
  <c r="U6977" i="2" s="1"/>
  <c r="T6976" i="2"/>
  <c r="U6976" i="2" s="1"/>
  <c r="U6975" i="2"/>
  <c r="T6974" i="2"/>
  <c r="U6974" i="2" s="1"/>
  <c r="U6973" i="2"/>
  <c r="T6972" i="2"/>
  <c r="U6972" i="2" s="1"/>
  <c r="U6971" i="2"/>
  <c r="T6970" i="2"/>
  <c r="U6970" i="2" s="1"/>
  <c r="U6969" i="2"/>
  <c r="U6968" i="2"/>
  <c r="U6967" i="2"/>
  <c r="T6966" i="2"/>
  <c r="U6966" i="2" s="1"/>
  <c r="U6965" i="2"/>
  <c r="T6964" i="2"/>
  <c r="U6964" i="2" s="1"/>
  <c r="U6963" i="2"/>
  <c r="T6962" i="2"/>
  <c r="U6962" i="2" s="1"/>
  <c r="U6961" i="2"/>
  <c r="T6960" i="2"/>
  <c r="U6960" i="2" s="1"/>
  <c r="T6959" i="2"/>
  <c r="U6959" i="2" s="1"/>
  <c r="T6958" i="2"/>
  <c r="U6958" i="2" s="1"/>
  <c r="U6957" i="2"/>
  <c r="T6956" i="2"/>
  <c r="U6956" i="2" s="1"/>
  <c r="T6955" i="2"/>
  <c r="U6955" i="2" s="1"/>
  <c r="T6954" i="2"/>
  <c r="U6954" i="2" s="1"/>
  <c r="U6953" i="2"/>
  <c r="U6952" i="2"/>
  <c r="T6951" i="2"/>
  <c r="U6951" i="2" s="1"/>
  <c r="U6950" i="2"/>
  <c r="U6949" i="2"/>
  <c r="U6948" i="2"/>
  <c r="T6947" i="2"/>
  <c r="U6947" i="2" s="1"/>
  <c r="U6946" i="2"/>
  <c r="T6945" i="2"/>
  <c r="U6945" i="2" s="1"/>
  <c r="U6944" i="2"/>
  <c r="T6943" i="2"/>
  <c r="U6943" i="2" s="1"/>
  <c r="U6942" i="2"/>
  <c r="U6941" i="2"/>
  <c r="T6940" i="2"/>
  <c r="U6940" i="2" s="1"/>
  <c r="U6939" i="2"/>
  <c r="U6938" i="2"/>
  <c r="U6937" i="2"/>
  <c r="T6936" i="2"/>
  <c r="U6936" i="2" s="1"/>
  <c r="U6935" i="2"/>
  <c r="U6932" i="2"/>
  <c r="U6931" i="2"/>
  <c r="U6930" i="2"/>
  <c r="T6929" i="2"/>
  <c r="U6929" i="2" s="1"/>
  <c r="U6928" i="2"/>
  <c r="U6927" i="2"/>
  <c r="T6926" i="2"/>
  <c r="U6926" i="2" s="1"/>
  <c r="U6925" i="2"/>
  <c r="U6924" i="2"/>
  <c r="T6923" i="2"/>
  <c r="U6923" i="2" s="1"/>
  <c r="U6922" i="2"/>
  <c r="T6921" i="2"/>
  <c r="U6921" i="2" s="1"/>
  <c r="U6920" i="2"/>
  <c r="T6919" i="2"/>
  <c r="U6919" i="2" s="1"/>
  <c r="U6918" i="2"/>
  <c r="T6917" i="2"/>
  <c r="U6917" i="2" s="1"/>
  <c r="U6916" i="2"/>
  <c r="U6915" i="2"/>
  <c r="T6914" i="2"/>
  <c r="U6914" i="2" s="1"/>
  <c r="U6911" i="2"/>
  <c r="U6910" i="2"/>
  <c r="U6909" i="2"/>
  <c r="T6908" i="2"/>
  <c r="U6908" i="2" s="1"/>
  <c r="U6905" i="2"/>
  <c r="U6904" i="2"/>
  <c r="U6902" i="2"/>
  <c r="U6899" i="2"/>
  <c r="U6898" i="2"/>
  <c r="T6897" i="2"/>
  <c r="U6897" i="2" s="1"/>
  <c r="T6896" i="2"/>
  <c r="U6896" i="2" s="1"/>
  <c r="U6894" i="2"/>
  <c r="T6893" i="2"/>
  <c r="U6893" i="2" s="1"/>
  <c r="T6892" i="2"/>
  <c r="U6892" i="2" s="1"/>
  <c r="U6891" i="2"/>
  <c r="T6890" i="2"/>
  <c r="U6890" i="2" s="1"/>
  <c r="U6889" i="2"/>
  <c r="T6888" i="2"/>
  <c r="U6888" i="2" s="1"/>
  <c r="U6887" i="2"/>
  <c r="T6886" i="2"/>
  <c r="U6886" i="2" s="1"/>
  <c r="U6885" i="2"/>
  <c r="T6884" i="2"/>
  <c r="U6884" i="2" s="1"/>
  <c r="U6883" i="2"/>
  <c r="T6882" i="2"/>
  <c r="U6882" i="2" s="1"/>
  <c r="U6881" i="2"/>
  <c r="T6880" i="2"/>
  <c r="U6880" i="2" s="1"/>
  <c r="U6879" i="2"/>
  <c r="T6878" i="2"/>
  <c r="U6878" i="2" s="1"/>
  <c r="T6877" i="2"/>
  <c r="U6877" i="2" s="1"/>
  <c r="T6876" i="2"/>
  <c r="U6876" i="2" s="1"/>
  <c r="T6875" i="2"/>
  <c r="U6875" i="2" s="1"/>
  <c r="T6874" i="2"/>
  <c r="U6874" i="2" s="1"/>
  <c r="T6873" i="2"/>
  <c r="U6873" i="2" s="1"/>
  <c r="T6872" i="2"/>
  <c r="U6872" i="2" s="1"/>
  <c r="T6871" i="2"/>
  <c r="U6871" i="2" s="1"/>
  <c r="T6870" i="2"/>
  <c r="U6870" i="2" s="1"/>
  <c r="T6869" i="2"/>
  <c r="U6869" i="2" s="1"/>
  <c r="T6868" i="2"/>
  <c r="U6868" i="2" s="1"/>
  <c r="T6867" i="2"/>
  <c r="U6867" i="2" s="1"/>
  <c r="T6866" i="2"/>
  <c r="U6866" i="2" s="1"/>
  <c r="T6865" i="2"/>
  <c r="U6865" i="2" s="1"/>
  <c r="T6864" i="2"/>
  <c r="U6864" i="2" s="1"/>
  <c r="T6863" i="2"/>
  <c r="U6863" i="2" s="1"/>
  <c r="T6862" i="2"/>
  <c r="U6862" i="2" s="1"/>
  <c r="T6861" i="2"/>
  <c r="U6861" i="2" s="1"/>
  <c r="T6860" i="2"/>
  <c r="U6860" i="2" s="1"/>
  <c r="T6859" i="2"/>
  <c r="U6859" i="2" s="1"/>
  <c r="T6858" i="2"/>
  <c r="U6858" i="2" s="1"/>
  <c r="T6857" i="2"/>
  <c r="U6857" i="2" s="1"/>
  <c r="T6856" i="2"/>
  <c r="U6856" i="2" s="1"/>
  <c r="T6855" i="2"/>
  <c r="U6855" i="2" s="1"/>
  <c r="T6854" i="2"/>
  <c r="U6854" i="2" s="1"/>
  <c r="T6853" i="2"/>
  <c r="U6853" i="2" s="1"/>
  <c r="T6852" i="2"/>
  <c r="U6852" i="2" s="1"/>
  <c r="T6851" i="2"/>
  <c r="U6851" i="2" s="1"/>
  <c r="T6850" i="2"/>
  <c r="U6850" i="2" s="1"/>
  <c r="T6849" i="2"/>
  <c r="U6849" i="2" s="1"/>
  <c r="T6848" i="2"/>
  <c r="U6848" i="2" s="1"/>
  <c r="T6847" i="2"/>
  <c r="U6847" i="2" s="1"/>
  <c r="T6846" i="2"/>
  <c r="U6846" i="2" s="1"/>
  <c r="T6845" i="2"/>
  <c r="U6845" i="2" s="1"/>
  <c r="T6844" i="2"/>
  <c r="U6844" i="2" s="1"/>
  <c r="T6843" i="2"/>
  <c r="U6843" i="2" s="1"/>
  <c r="T6842" i="2"/>
  <c r="U6842" i="2" s="1"/>
  <c r="T6841" i="2"/>
  <c r="U6841" i="2" s="1"/>
  <c r="T6840" i="2"/>
  <c r="U6840" i="2" s="1"/>
  <c r="T6839" i="2"/>
  <c r="U6839" i="2" s="1"/>
  <c r="S6838" i="2"/>
  <c r="T6838" i="2" s="1"/>
  <c r="U6838" i="2" s="1"/>
  <c r="T6837" i="2"/>
  <c r="U6837" i="2" s="1"/>
  <c r="T6836" i="2"/>
  <c r="U6836" i="2" s="1"/>
  <c r="T6835" i="2"/>
  <c r="U6835" i="2" s="1"/>
  <c r="T6834" i="2"/>
  <c r="U6834" i="2" s="1"/>
  <c r="T6833" i="2"/>
  <c r="U6833" i="2" s="1"/>
  <c r="T6832" i="2"/>
  <c r="U6832" i="2" s="1"/>
  <c r="S6831" i="2"/>
  <c r="T6831" i="2" s="1"/>
  <c r="U6831" i="2" s="1"/>
  <c r="T6830" i="2"/>
  <c r="U6830" i="2" s="1"/>
  <c r="T6829" i="2"/>
  <c r="U6829" i="2" s="1"/>
  <c r="T6828" i="2"/>
  <c r="U6828" i="2" s="1"/>
  <c r="T6827" i="2"/>
  <c r="U6827" i="2" s="1"/>
  <c r="T6826" i="2"/>
  <c r="U6826" i="2" s="1"/>
  <c r="T6825" i="2"/>
  <c r="U6825" i="2" s="1"/>
  <c r="T6824" i="2"/>
  <c r="U6824" i="2" s="1"/>
  <c r="S6823" i="2"/>
  <c r="T6823" i="2" s="1"/>
  <c r="U6823" i="2" s="1"/>
  <c r="T6822" i="2"/>
  <c r="U6822" i="2" s="1"/>
  <c r="T6821" i="2"/>
  <c r="U6821" i="2" s="1"/>
  <c r="T6820" i="2"/>
  <c r="U6820" i="2" s="1"/>
  <c r="T6819" i="2"/>
  <c r="U6819" i="2" s="1"/>
  <c r="T6818" i="2"/>
  <c r="U6818" i="2" s="1"/>
  <c r="T6817" i="2"/>
  <c r="U6817" i="2" s="1"/>
  <c r="T6816" i="2"/>
  <c r="U6816" i="2" s="1"/>
  <c r="T6815" i="2"/>
  <c r="U6815" i="2" s="1"/>
  <c r="T6814" i="2"/>
  <c r="U6814" i="2" s="1"/>
  <c r="T6813" i="2"/>
  <c r="U6813" i="2" s="1"/>
  <c r="U6812" i="2"/>
  <c r="T6811" i="2"/>
  <c r="U6811" i="2" s="1"/>
  <c r="U6810" i="2"/>
  <c r="T6809" i="2"/>
  <c r="U6809" i="2" s="1"/>
  <c r="U6808" i="2"/>
  <c r="T6807" i="2"/>
  <c r="U6807" i="2" s="1"/>
  <c r="U6806" i="2"/>
  <c r="T6805" i="2"/>
  <c r="U6805" i="2" s="1"/>
  <c r="U6804" i="2"/>
  <c r="T6803" i="2"/>
  <c r="U6803" i="2" s="1"/>
  <c r="U6802" i="2"/>
  <c r="T6801" i="2"/>
  <c r="U6801" i="2" s="1"/>
  <c r="U6800" i="2"/>
  <c r="T6799" i="2"/>
  <c r="U6799" i="2" s="1"/>
  <c r="U6798" i="2"/>
  <c r="U6797" i="2"/>
  <c r="U6796" i="2"/>
  <c r="T6795" i="2"/>
  <c r="U6795" i="2" s="1"/>
  <c r="U6794" i="2"/>
  <c r="U6793" i="2"/>
  <c r="U6792" i="2"/>
  <c r="T6791" i="2"/>
  <c r="U6791" i="2" s="1"/>
  <c r="U6790" i="2"/>
  <c r="T6789" i="2"/>
  <c r="U6789" i="2" s="1"/>
  <c r="U6788" i="2"/>
  <c r="T6787" i="2"/>
  <c r="U6787" i="2" s="1"/>
  <c r="U6786" i="2"/>
  <c r="T6785" i="2"/>
  <c r="U6785" i="2" s="1"/>
  <c r="U6784" i="2"/>
  <c r="T6783" i="2"/>
  <c r="U6783" i="2" s="1"/>
  <c r="U6782" i="2"/>
  <c r="T6781" i="2"/>
  <c r="U6781" i="2" s="1"/>
  <c r="U6780" i="2"/>
  <c r="T6779" i="2"/>
  <c r="U6779" i="2" s="1"/>
  <c r="U6778" i="2"/>
  <c r="T6777" i="2"/>
  <c r="U6777" i="2" s="1"/>
  <c r="U6776" i="2"/>
  <c r="T6775" i="2"/>
  <c r="U6775" i="2" s="1"/>
  <c r="U6774" i="2"/>
  <c r="T6773" i="2"/>
  <c r="U6773" i="2" s="1"/>
  <c r="U6772" i="2"/>
  <c r="T6771" i="2"/>
  <c r="U6771" i="2" s="1"/>
  <c r="U6770" i="2"/>
  <c r="T6769" i="2"/>
  <c r="U6769" i="2" s="1"/>
  <c r="U6768" i="2"/>
  <c r="T6767" i="2"/>
  <c r="U6767" i="2" s="1"/>
  <c r="U6766" i="2"/>
  <c r="T6765" i="2"/>
  <c r="U6765" i="2" s="1"/>
  <c r="U6764" i="2"/>
  <c r="T6763" i="2"/>
  <c r="U6763" i="2" s="1"/>
  <c r="U6762" i="2"/>
  <c r="T6761" i="2"/>
  <c r="U6761" i="2" s="1"/>
  <c r="U6760" i="2"/>
  <c r="T6759" i="2"/>
  <c r="U6759" i="2" s="1"/>
  <c r="U6758" i="2"/>
  <c r="T6757" i="2"/>
  <c r="U6757" i="2" s="1"/>
  <c r="U6756" i="2"/>
  <c r="T6755" i="2"/>
  <c r="U6755" i="2" s="1"/>
  <c r="U6754" i="2"/>
  <c r="T6753" i="2"/>
  <c r="U6753" i="2" s="1"/>
  <c r="U6752" i="2"/>
  <c r="T6751" i="2"/>
  <c r="U6751" i="2" s="1"/>
  <c r="U6750" i="2"/>
  <c r="T6749" i="2"/>
  <c r="U6749" i="2" s="1"/>
  <c r="U6748" i="2"/>
  <c r="T6747" i="2"/>
  <c r="U6747" i="2" s="1"/>
  <c r="U6746" i="2"/>
  <c r="T6745" i="2"/>
  <c r="U6745" i="2" s="1"/>
  <c r="U6744" i="2"/>
  <c r="T6743" i="2"/>
  <c r="U6743" i="2" s="1"/>
  <c r="U6742" i="2"/>
  <c r="T6741" i="2"/>
  <c r="U6741" i="2" s="1"/>
  <c r="U6740" i="2"/>
  <c r="T6739" i="2"/>
  <c r="U6739" i="2" s="1"/>
  <c r="U6738" i="2"/>
  <c r="T6737" i="2"/>
  <c r="U6737" i="2" s="1"/>
  <c r="U6736" i="2"/>
  <c r="T6735" i="2"/>
  <c r="U6735" i="2" s="1"/>
  <c r="U6734" i="2"/>
  <c r="T6733" i="2"/>
  <c r="U6733" i="2" s="1"/>
  <c r="U6732" i="2"/>
  <c r="T6731" i="2"/>
  <c r="U6731" i="2" s="1"/>
  <c r="U6730" i="2"/>
  <c r="T6729" i="2"/>
  <c r="U6729" i="2" s="1"/>
  <c r="U6728" i="2"/>
  <c r="T6727" i="2"/>
  <c r="U6727" i="2" s="1"/>
  <c r="U6726" i="2"/>
  <c r="U6725" i="2"/>
  <c r="U6724" i="2"/>
  <c r="T6723" i="2"/>
  <c r="U6723" i="2" s="1"/>
  <c r="U6722" i="2"/>
  <c r="T6721" i="2"/>
  <c r="U6721" i="2" s="1"/>
  <c r="U6720" i="2"/>
  <c r="T6719" i="2"/>
  <c r="U6719" i="2" s="1"/>
  <c r="U6718" i="2"/>
  <c r="T6717" i="2"/>
  <c r="U6717" i="2" s="1"/>
  <c r="U6716" i="2"/>
  <c r="T6715" i="2"/>
  <c r="U6715" i="2" s="1"/>
  <c r="U6714" i="2"/>
  <c r="T6713" i="2"/>
  <c r="U6713" i="2" s="1"/>
  <c r="U6712" i="2"/>
  <c r="T6711" i="2"/>
  <c r="U6711" i="2" s="1"/>
  <c r="U6710" i="2"/>
  <c r="T6709" i="2"/>
  <c r="U6709" i="2" s="1"/>
  <c r="U6708" i="2"/>
  <c r="S6707" i="2"/>
  <c r="T6707" i="2" s="1"/>
  <c r="U6707" i="2" s="1"/>
  <c r="U6706" i="2"/>
  <c r="S6706" i="2"/>
  <c r="T6705" i="2"/>
  <c r="U6705" i="2" s="1"/>
  <c r="U6704" i="2"/>
  <c r="T6703" i="2"/>
  <c r="U6703" i="2" s="1"/>
  <c r="U6702" i="2"/>
  <c r="T6701" i="2"/>
  <c r="U6701" i="2" s="1"/>
  <c r="U6700" i="2"/>
  <c r="T6699" i="2"/>
  <c r="U6699" i="2" s="1"/>
  <c r="U6698" i="2"/>
  <c r="T6697" i="2"/>
  <c r="U6697" i="2" s="1"/>
  <c r="U6696" i="2"/>
  <c r="T6695" i="2"/>
  <c r="U6695" i="2" s="1"/>
  <c r="U6694" i="2"/>
  <c r="T6693" i="2"/>
  <c r="U6693" i="2" s="1"/>
  <c r="U6692" i="2"/>
  <c r="T6691" i="2"/>
  <c r="U6691" i="2" s="1"/>
  <c r="U6690" i="2"/>
  <c r="T6689" i="2"/>
  <c r="U6689" i="2" s="1"/>
  <c r="U6688" i="2"/>
  <c r="T6687" i="2"/>
  <c r="U6687" i="2" s="1"/>
  <c r="U6686" i="2"/>
  <c r="T6685" i="2"/>
  <c r="U6685" i="2" s="1"/>
  <c r="U6684" i="2"/>
  <c r="T6683" i="2"/>
  <c r="U6683" i="2" s="1"/>
  <c r="U6682" i="2"/>
  <c r="T6681" i="2"/>
  <c r="U6681" i="2" s="1"/>
  <c r="U6680" i="2"/>
  <c r="T6679" i="2"/>
  <c r="U6679" i="2" s="1"/>
  <c r="U6678" i="2"/>
  <c r="T6677" i="2"/>
  <c r="U6677" i="2" s="1"/>
  <c r="U6676" i="2"/>
  <c r="T6675" i="2"/>
  <c r="U6675" i="2" s="1"/>
  <c r="U6674" i="2"/>
  <c r="T6673" i="2"/>
  <c r="U6673" i="2" s="1"/>
  <c r="T6672" i="2"/>
  <c r="U6672" i="2" s="1"/>
  <c r="U6671" i="2"/>
  <c r="T6670" i="2"/>
  <c r="U6670" i="2" s="1"/>
  <c r="U6669" i="2"/>
  <c r="T6668" i="2"/>
  <c r="U6668" i="2" s="1"/>
  <c r="U6667" i="2"/>
  <c r="T6666" i="2"/>
  <c r="U6666" i="2" s="1"/>
  <c r="U6665" i="2"/>
  <c r="T6664" i="2"/>
  <c r="U6664" i="2" s="1"/>
  <c r="U6663" i="2"/>
  <c r="T6662" i="2"/>
  <c r="U6662" i="2" s="1"/>
  <c r="U6661" i="2"/>
  <c r="T6660" i="2"/>
  <c r="U6660" i="2" s="1"/>
  <c r="U6659" i="2"/>
  <c r="T6658" i="2"/>
  <c r="U6658" i="2" s="1"/>
  <c r="U6657" i="2"/>
  <c r="T6656" i="2"/>
  <c r="U6656" i="2" s="1"/>
  <c r="U6655" i="2"/>
  <c r="T6654" i="2"/>
  <c r="U6654" i="2" s="1"/>
  <c r="U6653" i="2"/>
  <c r="T6652" i="2"/>
  <c r="U6652" i="2" s="1"/>
  <c r="U6651" i="2"/>
  <c r="T6650" i="2"/>
  <c r="U6650" i="2" s="1"/>
  <c r="U6649" i="2"/>
  <c r="T6648" i="2"/>
  <c r="U6648" i="2" s="1"/>
  <c r="U6647" i="2"/>
  <c r="T6646" i="2"/>
  <c r="U6646" i="2" s="1"/>
  <c r="U6645" i="2"/>
  <c r="T6644" i="2"/>
  <c r="U6644" i="2" s="1"/>
  <c r="U6643" i="2"/>
  <c r="T6642" i="2"/>
  <c r="U6642" i="2" s="1"/>
  <c r="U6641" i="2"/>
  <c r="T6640" i="2"/>
  <c r="U6640" i="2" s="1"/>
  <c r="U6639" i="2"/>
  <c r="T6638" i="2"/>
  <c r="U6638" i="2" s="1"/>
  <c r="U6637" i="2"/>
  <c r="T6636" i="2"/>
  <c r="U6636" i="2" s="1"/>
  <c r="U6635" i="2"/>
  <c r="U6633" i="2"/>
  <c r="U6632" i="2"/>
  <c r="U6631" i="2"/>
  <c r="S6631" i="2"/>
  <c r="U6630" i="2"/>
  <c r="S6630" i="2"/>
  <c r="T6629" i="2"/>
  <c r="U6629" i="2" s="1"/>
  <c r="U6628" i="2"/>
  <c r="T6627" i="2"/>
  <c r="U6627" i="2" s="1"/>
  <c r="U6626" i="2"/>
  <c r="T6625" i="2"/>
  <c r="U6625" i="2" s="1"/>
  <c r="U6624" i="2"/>
  <c r="T6623" i="2"/>
  <c r="U6623" i="2" s="1"/>
  <c r="U6622" i="2"/>
  <c r="T6621" i="2"/>
  <c r="U6621" i="2" s="1"/>
  <c r="U6620" i="2"/>
  <c r="T6619" i="2"/>
  <c r="U6619" i="2" s="1"/>
  <c r="U6618" i="2"/>
  <c r="T6617" i="2"/>
  <c r="U6617" i="2" s="1"/>
  <c r="U6616" i="2"/>
  <c r="T6615" i="2"/>
  <c r="U6615" i="2" s="1"/>
  <c r="U6614" i="2"/>
  <c r="T6613" i="2"/>
  <c r="U6613" i="2" s="1"/>
  <c r="U6612" i="2"/>
  <c r="T6611" i="2"/>
  <c r="U6611" i="2" s="1"/>
  <c r="U6610" i="2"/>
  <c r="T6609" i="2"/>
  <c r="U6609" i="2" s="1"/>
  <c r="U6608" i="2"/>
  <c r="T6607" i="2"/>
  <c r="U6607" i="2" s="1"/>
  <c r="U6606" i="2"/>
  <c r="U6604" i="2"/>
  <c r="U6603" i="2"/>
  <c r="U6602" i="2"/>
  <c r="S6602" i="2"/>
  <c r="U6601" i="2"/>
  <c r="S6601" i="2"/>
  <c r="T6600" i="2"/>
  <c r="U6600" i="2" s="1"/>
  <c r="U6599" i="2"/>
  <c r="T6598" i="2"/>
  <c r="U6598" i="2" s="1"/>
  <c r="U6597" i="2"/>
  <c r="T6596" i="2"/>
  <c r="U6596" i="2" s="1"/>
  <c r="U6595" i="2"/>
  <c r="T6594" i="2"/>
  <c r="U6594" i="2" s="1"/>
  <c r="U6593" i="2"/>
  <c r="T6592" i="2"/>
  <c r="U6592" i="2" s="1"/>
  <c r="U6591" i="2"/>
  <c r="T6590" i="2"/>
  <c r="U6590" i="2" s="1"/>
  <c r="U6589" i="2"/>
  <c r="T6588" i="2"/>
  <c r="U6588" i="2" s="1"/>
  <c r="U6587" i="2"/>
  <c r="T6586" i="2"/>
  <c r="U6586" i="2" s="1"/>
  <c r="U6585" i="2"/>
  <c r="T6584" i="2"/>
  <c r="U6584" i="2" s="1"/>
  <c r="U6583" i="2"/>
  <c r="T6582" i="2"/>
  <c r="U6582" i="2" s="1"/>
  <c r="U6581" i="2"/>
  <c r="T6580" i="2"/>
  <c r="U6580" i="2" s="1"/>
  <c r="U6579" i="2"/>
  <c r="T6578" i="2"/>
  <c r="U6578" i="2" s="1"/>
  <c r="U6577" i="2"/>
  <c r="T6576" i="2"/>
  <c r="U6576" i="2" s="1"/>
  <c r="U6575" i="2"/>
  <c r="T6574" i="2"/>
  <c r="U6574" i="2" s="1"/>
  <c r="U6573" i="2"/>
  <c r="T6572" i="2"/>
  <c r="U6572" i="2" s="1"/>
  <c r="U6571" i="2"/>
  <c r="T6570" i="2"/>
  <c r="U6570" i="2" s="1"/>
  <c r="U6569" i="2"/>
  <c r="T6568" i="2"/>
  <c r="U6568" i="2" s="1"/>
  <c r="U6567" i="2"/>
  <c r="T6566" i="2"/>
  <c r="U6566" i="2" s="1"/>
  <c r="U6565" i="2"/>
  <c r="S6564" i="2"/>
  <c r="T6564" i="2" s="1"/>
  <c r="U6564" i="2" s="1"/>
  <c r="U6563" i="2"/>
  <c r="S6563" i="2"/>
  <c r="T6562" i="2"/>
  <c r="U6562" i="2" s="1"/>
  <c r="U6561" i="2"/>
  <c r="T6560" i="2"/>
  <c r="U6560" i="2" s="1"/>
  <c r="U6559" i="2"/>
  <c r="T6558" i="2"/>
  <c r="U6558" i="2" s="1"/>
  <c r="U6557" i="2"/>
  <c r="T6556" i="2"/>
  <c r="U6556" i="2" s="1"/>
  <c r="U6555" i="2"/>
  <c r="T6554" i="2"/>
  <c r="U6554" i="2" s="1"/>
  <c r="U6553" i="2"/>
  <c r="T6552" i="2"/>
  <c r="U6552" i="2" s="1"/>
  <c r="U6551" i="2"/>
  <c r="T6550" i="2"/>
  <c r="U6550" i="2" s="1"/>
  <c r="U6549" i="2"/>
  <c r="T6548" i="2"/>
  <c r="U6548" i="2" s="1"/>
  <c r="U6547" i="2"/>
  <c r="T6546" i="2"/>
  <c r="U6546" i="2" s="1"/>
  <c r="U6545" i="2"/>
  <c r="T6544" i="2"/>
  <c r="U6544" i="2" s="1"/>
  <c r="U6543" i="2"/>
  <c r="T6542" i="2"/>
  <c r="U6542" i="2" s="1"/>
  <c r="U6541" i="2"/>
  <c r="U6540" i="2"/>
  <c r="U6539" i="2"/>
  <c r="U6538" i="2"/>
  <c r="T6537" i="2"/>
  <c r="U6537" i="2" s="1"/>
  <c r="U6536" i="2"/>
  <c r="T6535" i="2"/>
  <c r="U6535" i="2" s="1"/>
  <c r="U6534" i="2"/>
  <c r="T6533" i="2"/>
  <c r="U6533" i="2" s="1"/>
  <c r="U6532" i="2"/>
  <c r="T6531" i="2"/>
  <c r="U6531" i="2" s="1"/>
  <c r="U6530" i="2"/>
  <c r="U6529" i="2"/>
  <c r="U6528" i="2"/>
  <c r="U6527" i="2"/>
  <c r="T6526" i="2"/>
  <c r="U6526" i="2" s="1"/>
  <c r="U6525" i="2"/>
  <c r="T6524" i="2"/>
  <c r="U6524" i="2" s="1"/>
  <c r="U6523" i="2"/>
  <c r="T6522" i="2"/>
  <c r="U6522" i="2" s="1"/>
  <c r="U6521" i="2"/>
  <c r="S6521" i="2"/>
  <c r="U6520" i="2"/>
  <c r="S6520" i="2"/>
  <c r="T6519" i="2"/>
  <c r="U6519" i="2" s="1"/>
  <c r="U6518" i="2"/>
  <c r="S6518" i="2"/>
  <c r="U6517" i="2"/>
  <c r="S6517" i="2"/>
  <c r="T6516" i="2"/>
  <c r="U6516" i="2" s="1"/>
  <c r="U6515" i="2"/>
  <c r="S6515" i="2"/>
  <c r="U6514" i="2"/>
  <c r="S6514" i="2"/>
  <c r="T6513" i="2"/>
  <c r="U6513" i="2" s="1"/>
  <c r="U6512" i="2"/>
  <c r="S6512" i="2"/>
  <c r="U6511" i="2"/>
  <c r="S6511" i="2"/>
  <c r="T6510" i="2"/>
  <c r="U6510" i="2" s="1"/>
  <c r="U6509" i="2"/>
  <c r="S6509" i="2"/>
  <c r="U6508" i="2"/>
  <c r="S6508" i="2"/>
  <c r="S6507" i="2"/>
  <c r="T6507" i="2" s="1"/>
  <c r="U6507" i="2" s="1"/>
  <c r="U6506" i="2"/>
  <c r="S6506" i="2"/>
  <c r="S6505" i="2"/>
  <c r="T6505" i="2" s="1"/>
  <c r="U6505" i="2" s="1"/>
  <c r="U6504" i="2"/>
  <c r="S6504" i="2"/>
  <c r="S6503" i="2"/>
  <c r="T6503" i="2" s="1"/>
  <c r="U6503" i="2" s="1"/>
  <c r="U6502" i="2"/>
  <c r="S6502" i="2"/>
  <c r="T6501" i="2"/>
  <c r="U6501" i="2" s="1"/>
  <c r="U6500" i="2"/>
  <c r="S6499" i="2"/>
  <c r="T6499" i="2" s="1"/>
  <c r="U6499" i="2" s="1"/>
  <c r="U6498" i="2"/>
  <c r="S6498" i="2"/>
  <c r="S6497" i="2"/>
  <c r="T6497" i="2" s="1"/>
  <c r="U6497" i="2" s="1"/>
  <c r="U6496" i="2"/>
  <c r="S6496" i="2"/>
  <c r="S6495" i="2"/>
  <c r="T6495" i="2" s="1"/>
  <c r="U6495" i="2" s="1"/>
  <c r="U6494" i="2"/>
  <c r="S6494" i="2"/>
  <c r="S6493" i="2"/>
  <c r="T6493" i="2" s="1"/>
  <c r="U6493" i="2" s="1"/>
  <c r="U6492" i="2"/>
  <c r="S6492" i="2"/>
  <c r="S6491" i="2"/>
  <c r="T6491" i="2" s="1"/>
  <c r="U6491" i="2" s="1"/>
  <c r="U6490" i="2"/>
  <c r="S6490" i="2"/>
  <c r="S6489" i="2"/>
  <c r="T6489" i="2" s="1"/>
  <c r="U6489" i="2" s="1"/>
  <c r="U6488" i="2"/>
  <c r="S6488" i="2"/>
  <c r="T6487" i="2"/>
  <c r="U6487" i="2" s="1"/>
  <c r="U6486" i="2"/>
  <c r="S6486" i="2"/>
  <c r="U6485" i="2"/>
  <c r="S6485" i="2"/>
  <c r="T6484" i="2"/>
  <c r="U6484" i="2" s="1"/>
  <c r="U6483" i="2"/>
  <c r="S6483" i="2"/>
  <c r="U6482" i="2"/>
  <c r="S6482" i="2"/>
  <c r="S6481" i="2"/>
  <c r="T6481" i="2" s="1"/>
  <c r="U6481" i="2" s="1"/>
  <c r="U6480" i="2"/>
  <c r="S6480" i="2"/>
  <c r="T6479" i="2"/>
  <c r="U6479" i="2" s="1"/>
  <c r="U6478" i="2"/>
  <c r="S6478" i="2"/>
  <c r="U6477" i="2"/>
  <c r="S6477" i="2"/>
  <c r="T6476" i="2"/>
  <c r="U6476" i="2" s="1"/>
  <c r="U6475" i="2"/>
  <c r="S6475" i="2"/>
  <c r="U6474" i="2"/>
  <c r="S6474" i="2"/>
  <c r="T6473" i="2"/>
  <c r="U6473" i="2" s="1"/>
  <c r="U6472" i="2"/>
  <c r="S6472" i="2"/>
  <c r="U6471" i="2"/>
  <c r="S6471" i="2"/>
  <c r="S6470" i="2"/>
  <c r="T6470" i="2" s="1"/>
  <c r="U6470" i="2" s="1"/>
  <c r="U6469" i="2"/>
  <c r="S6469" i="2"/>
  <c r="S6468" i="2"/>
  <c r="T6468" i="2" s="1"/>
  <c r="U6468" i="2" s="1"/>
  <c r="U6467" i="2"/>
  <c r="S6467" i="2"/>
  <c r="T6466" i="2"/>
  <c r="U6466" i="2" s="1"/>
  <c r="U6465" i="2"/>
  <c r="S6465" i="2"/>
  <c r="U6464" i="2"/>
  <c r="S6464" i="2"/>
  <c r="U6463" i="2"/>
  <c r="U6462" i="2"/>
  <c r="S6462" i="2"/>
  <c r="U6461" i="2"/>
  <c r="S6461" i="2"/>
  <c r="U6460" i="2"/>
  <c r="U6459" i="2"/>
  <c r="S6459" i="2"/>
  <c r="U6458" i="2"/>
  <c r="S6458" i="2"/>
  <c r="S6457" i="2"/>
  <c r="T6457" i="2" s="1"/>
  <c r="U6457" i="2" s="1"/>
  <c r="U6456" i="2"/>
  <c r="S6456" i="2"/>
  <c r="S6455" i="2"/>
  <c r="T6455" i="2" s="1"/>
  <c r="U6455" i="2" s="1"/>
  <c r="U6454" i="2"/>
  <c r="S6454" i="2"/>
  <c r="S6453" i="2"/>
  <c r="T6453" i="2" s="1"/>
  <c r="U6453" i="2" s="1"/>
  <c r="U6452" i="2"/>
  <c r="S6452" i="2"/>
  <c r="S6451" i="2"/>
  <c r="T6451" i="2" s="1"/>
  <c r="U6451" i="2" s="1"/>
  <c r="U6450" i="2"/>
  <c r="S6450" i="2"/>
  <c r="S6449" i="2"/>
  <c r="T6449" i="2" s="1"/>
  <c r="U6449" i="2" s="1"/>
  <c r="U6448" i="2"/>
  <c r="S6448" i="2"/>
  <c r="S6447" i="2"/>
  <c r="T6447" i="2" s="1"/>
  <c r="U6447" i="2" s="1"/>
  <c r="U6446" i="2"/>
  <c r="S6446" i="2"/>
  <c r="S6445" i="2"/>
  <c r="T6445" i="2" s="1"/>
  <c r="U6445" i="2" s="1"/>
  <c r="U6444" i="2"/>
  <c r="S6444" i="2"/>
  <c r="S6443" i="2"/>
  <c r="T6443" i="2" s="1"/>
  <c r="U6443" i="2" s="1"/>
  <c r="U6442" i="2"/>
  <c r="S6442" i="2"/>
  <c r="T6441" i="2"/>
  <c r="U6441" i="2" s="1"/>
  <c r="U6440" i="2"/>
  <c r="S6440" i="2"/>
  <c r="U6439" i="2"/>
  <c r="S6439" i="2"/>
  <c r="T6438" i="2"/>
  <c r="U6438" i="2" s="1"/>
  <c r="U6437" i="2"/>
  <c r="S6437" i="2"/>
  <c r="U6436" i="2"/>
  <c r="S6436" i="2"/>
  <c r="T6435" i="2"/>
  <c r="U6435" i="2" s="1"/>
  <c r="U6434" i="2"/>
  <c r="S6434" i="2"/>
  <c r="U6433" i="2"/>
  <c r="S6433" i="2"/>
  <c r="T6432" i="2"/>
  <c r="U6432" i="2" s="1"/>
  <c r="U6431" i="2"/>
  <c r="S6431" i="2"/>
  <c r="U6430" i="2"/>
  <c r="S6430" i="2"/>
  <c r="T6429" i="2"/>
  <c r="U6429" i="2" s="1"/>
  <c r="U6428" i="2"/>
  <c r="S6428" i="2"/>
  <c r="U6427" i="2"/>
  <c r="S6427" i="2"/>
  <c r="T6426" i="2"/>
  <c r="U6426" i="2" s="1"/>
  <c r="U6425" i="2"/>
  <c r="S6425" i="2"/>
  <c r="U6424" i="2"/>
  <c r="S6424" i="2"/>
  <c r="S6423" i="2"/>
  <c r="T6423" i="2" s="1"/>
  <c r="U6423" i="2" s="1"/>
  <c r="U6422" i="2"/>
  <c r="S6422" i="2"/>
  <c r="T6421" i="2"/>
  <c r="U6421" i="2" s="1"/>
  <c r="U6420" i="2"/>
  <c r="S6419" i="2"/>
  <c r="T6419" i="2" s="1"/>
  <c r="U6419" i="2" s="1"/>
  <c r="U6418" i="2"/>
  <c r="S6418" i="2"/>
  <c r="S6417" i="2"/>
  <c r="T6417" i="2" s="1"/>
  <c r="U6417" i="2" s="1"/>
  <c r="U6416" i="2"/>
  <c r="S6416" i="2"/>
  <c r="S6415" i="2"/>
  <c r="T6415" i="2" s="1"/>
  <c r="U6415" i="2" s="1"/>
  <c r="U6414" i="2"/>
  <c r="S6414" i="2"/>
  <c r="T6413" i="2"/>
  <c r="U6413" i="2" s="1"/>
  <c r="U6412" i="2"/>
  <c r="T6411" i="2"/>
  <c r="U6411" i="2" s="1"/>
  <c r="U6410" i="2"/>
  <c r="U6409" i="2"/>
  <c r="T6408" i="2"/>
  <c r="U6408" i="2" s="1"/>
  <c r="U6407" i="2"/>
  <c r="T6406" i="2"/>
  <c r="U6406" i="2" s="1"/>
  <c r="U6405" i="2"/>
  <c r="U6402" i="2"/>
  <c r="U6401" i="2"/>
  <c r="T6400" i="2"/>
  <c r="U6400" i="2" s="1"/>
  <c r="U6399" i="2"/>
  <c r="T6398" i="2"/>
  <c r="U6398" i="2" s="1"/>
  <c r="U6397" i="2"/>
  <c r="T6396" i="2"/>
  <c r="U6396" i="2" s="1"/>
  <c r="U6395" i="2"/>
  <c r="T6394" i="2"/>
  <c r="U6394" i="2" s="1"/>
  <c r="U6393" i="2"/>
  <c r="U6392" i="2"/>
  <c r="S6391" i="2"/>
  <c r="T6391" i="2" s="1"/>
  <c r="U6391" i="2" s="1"/>
  <c r="U6390" i="2"/>
  <c r="S6390" i="2"/>
  <c r="U6387" i="2"/>
  <c r="S6387" i="2"/>
  <c r="U6386" i="2"/>
  <c r="S6386" i="2"/>
  <c r="S6385" i="2"/>
  <c r="T6385" i="2" s="1"/>
  <c r="U6385" i="2" s="1"/>
  <c r="U6384" i="2"/>
  <c r="S6384" i="2"/>
  <c r="S6383" i="2"/>
  <c r="T6383" i="2" s="1"/>
  <c r="U6383" i="2" s="1"/>
  <c r="U6382" i="2"/>
  <c r="S6382" i="2"/>
  <c r="S6381" i="2"/>
  <c r="T6381" i="2" s="1"/>
  <c r="U6381" i="2" s="1"/>
  <c r="U6380" i="2"/>
  <c r="S6380" i="2"/>
  <c r="T6379" i="2"/>
  <c r="U6379" i="2" s="1"/>
  <c r="U6378" i="2"/>
  <c r="S6378" i="2"/>
  <c r="U6377" i="2"/>
  <c r="S6377" i="2"/>
  <c r="T6376" i="2"/>
  <c r="U6376" i="2" s="1"/>
  <c r="U6375" i="2"/>
  <c r="S6375" i="2"/>
  <c r="U6374" i="2"/>
  <c r="S6374" i="2"/>
  <c r="T6373" i="2"/>
  <c r="U6373" i="2" s="1"/>
  <c r="U6372" i="2"/>
  <c r="S6372" i="2"/>
  <c r="U6371" i="2"/>
  <c r="S6371" i="2"/>
  <c r="T6370" i="2"/>
  <c r="U6370" i="2" s="1"/>
  <c r="U6369" i="2"/>
  <c r="S6369" i="2"/>
  <c r="U6368" i="2"/>
  <c r="S6368" i="2"/>
  <c r="T6367" i="2"/>
  <c r="U6367" i="2" s="1"/>
  <c r="U6366" i="2"/>
  <c r="S6366" i="2"/>
  <c r="U6365" i="2"/>
  <c r="S6365" i="2"/>
  <c r="S6364" i="2"/>
  <c r="T6364" i="2" s="1"/>
  <c r="U6364" i="2" s="1"/>
  <c r="U6363" i="2"/>
  <c r="S6363" i="2"/>
  <c r="U6360" i="2"/>
  <c r="S6360" i="2"/>
  <c r="U6359" i="2"/>
  <c r="S6359" i="2"/>
  <c r="T6358" i="2"/>
  <c r="U6358" i="2" s="1"/>
  <c r="U6357" i="2"/>
  <c r="S6357" i="2"/>
  <c r="U6356" i="2"/>
  <c r="S6356" i="2"/>
  <c r="S6355" i="2"/>
  <c r="T6355" i="2" s="1"/>
  <c r="U6355" i="2" s="1"/>
  <c r="U6354" i="2"/>
  <c r="S6354" i="2"/>
  <c r="T6353" i="2"/>
  <c r="U6353" i="2" s="1"/>
  <c r="U6352" i="2"/>
  <c r="T6351" i="2"/>
  <c r="U6351" i="2" s="1"/>
  <c r="U6350" i="2"/>
  <c r="T6349" i="2"/>
  <c r="U6349" i="2" s="1"/>
  <c r="U6348" i="2"/>
  <c r="S6348" i="2"/>
  <c r="U6347" i="2"/>
  <c r="S6347" i="2"/>
  <c r="S6346" i="2"/>
  <c r="T6346" i="2" s="1"/>
  <c r="U6346" i="2" s="1"/>
  <c r="U6345" i="2"/>
  <c r="S6345" i="2"/>
  <c r="S6344" i="2"/>
  <c r="T6344" i="2" s="1"/>
  <c r="U6344" i="2" s="1"/>
  <c r="U6343" i="2"/>
  <c r="S6343" i="2"/>
  <c r="S6342" i="2"/>
  <c r="T6342" i="2" s="1"/>
  <c r="U6342" i="2" s="1"/>
  <c r="U6341" i="2"/>
  <c r="S6341" i="2"/>
  <c r="T6340" i="2"/>
  <c r="U6340" i="2" s="1"/>
  <c r="U6339" i="2"/>
  <c r="S6339" i="2"/>
  <c r="U6338" i="2"/>
  <c r="S6338" i="2"/>
  <c r="T6337" i="2"/>
  <c r="U6337" i="2" s="1"/>
  <c r="U6336" i="2"/>
  <c r="S6336" i="2"/>
  <c r="U6335" i="2"/>
  <c r="S6335" i="2"/>
  <c r="S6334" i="2"/>
  <c r="T6334" i="2" s="1"/>
  <c r="U6334" i="2" s="1"/>
  <c r="U6333" i="2"/>
  <c r="S6333" i="2"/>
  <c r="S6332" i="2"/>
  <c r="T6332" i="2" s="1"/>
  <c r="U6332" i="2" s="1"/>
  <c r="U6331" i="2"/>
  <c r="S6331" i="2"/>
  <c r="S6330" i="2"/>
  <c r="T6330" i="2" s="1"/>
  <c r="U6330" i="2" s="1"/>
  <c r="U6329" i="2"/>
  <c r="S6329" i="2"/>
  <c r="S6328" i="2"/>
  <c r="T6328" i="2" s="1"/>
  <c r="U6328" i="2" s="1"/>
  <c r="U6327" i="2"/>
  <c r="S6327" i="2"/>
  <c r="S6326" i="2"/>
  <c r="T6326" i="2" s="1"/>
  <c r="U6326" i="2" s="1"/>
  <c r="U6325" i="2"/>
  <c r="S6325" i="2"/>
  <c r="S6324" i="2"/>
  <c r="T6324" i="2" s="1"/>
  <c r="U6324" i="2" s="1"/>
  <c r="U6323" i="2"/>
  <c r="S6323" i="2"/>
  <c r="S6322" i="2"/>
  <c r="T6322" i="2" s="1"/>
  <c r="U6322" i="2" s="1"/>
  <c r="U6321" i="2"/>
  <c r="S6321" i="2"/>
  <c r="S6320" i="2"/>
  <c r="T6320" i="2" s="1"/>
  <c r="U6320" i="2" s="1"/>
  <c r="U6319" i="2"/>
  <c r="S6319" i="2"/>
  <c r="S6318" i="2"/>
  <c r="T6318" i="2" s="1"/>
  <c r="U6318" i="2" s="1"/>
  <c r="U6317" i="2"/>
  <c r="S6317" i="2"/>
  <c r="S6316" i="2"/>
  <c r="T6316" i="2" s="1"/>
  <c r="U6316" i="2" s="1"/>
  <c r="U6315" i="2"/>
  <c r="S6315" i="2"/>
  <c r="S6314" i="2"/>
  <c r="T6314" i="2" s="1"/>
  <c r="U6314" i="2" s="1"/>
  <c r="U6313" i="2"/>
  <c r="S6313" i="2"/>
  <c r="T6312" i="2"/>
  <c r="U6312" i="2" s="1"/>
  <c r="U6311" i="2"/>
  <c r="T6310" i="2"/>
  <c r="U6310" i="2" s="1"/>
  <c r="U6309" i="2"/>
  <c r="T6308" i="2"/>
  <c r="U6308" i="2" s="1"/>
  <c r="U6307" i="2"/>
  <c r="T6306" i="2"/>
  <c r="U6306" i="2" s="1"/>
  <c r="U6305" i="2"/>
  <c r="U6304" i="2"/>
  <c r="T6303" i="2"/>
  <c r="U6303" i="2" s="1"/>
  <c r="U6302" i="2"/>
  <c r="U6301" i="2"/>
  <c r="T6300" i="2"/>
  <c r="U6300" i="2" s="1"/>
  <c r="U6299" i="2"/>
  <c r="S6299" i="2"/>
  <c r="U6298" i="2"/>
  <c r="S6298" i="2"/>
  <c r="T6297" i="2"/>
  <c r="U6297" i="2" s="1"/>
  <c r="U6296" i="2"/>
  <c r="S6295" i="2"/>
  <c r="T6295" i="2" s="1"/>
  <c r="U6295" i="2" s="1"/>
  <c r="U6294" i="2"/>
  <c r="S6294" i="2"/>
  <c r="S6293" i="2"/>
  <c r="T6293" i="2" s="1"/>
  <c r="U6293" i="2" s="1"/>
  <c r="U6292" i="2"/>
  <c r="S6292" i="2"/>
  <c r="T6291" i="2"/>
  <c r="U6291" i="2" s="1"/>
  <c r="U6290" i="2"/>
  <c r="T6289" i="2"/>
  <c r="U6289" i="2" s="1"/>
  <c r="U6288" i="2"/>
  <c r="T6287" i="2"/>
  <c r="U6287" i="2" s="1"/>
  <c r="U6286" i="2"/>
  <c r="T6285" i="2"/>
  <c r="U6285" i="2" s="1"/>
  <c r="U6284" i="2"/>
  <c r="T6283" i="2"/>
  <c r="U6283" i="2" s="1"/>
  <c r="U6282" i="2"/>
  <c r="T6281" i="2"/>
  <c r="U6281" i="2" s="1"/>
  <c r="U6280" i="2"/>
  <c r="S6279" i="2"/>
  <c r="T6279" i="2" s="1"/>
  <c r="U6279" i="2" s="1"/>
  <c r="U6278" i="2"/>
  <c r="S6278" i="2"/>
  <c r="S6277" i="2"/>
  <c r="T6277" i="2" s="1"/>
  <c r="U6277" i="2" s="1"/>
  <c r="U6276" i="2"/>
  <c r="S6276" i="2"/>
  <c r="S6275" i="2"/>
  <c r="T6275" i="2" s="1"/>
  <c r="U6275" i="2" s="1"/>
  <c r="U6274" i="2"/>
  <c r="S6274" i="2"/>
  <c r="S6273" i="2"/>
  <c r="T6273" i="2" s="1"/>
  <c r="U6273" i="2" s="1"/>
  <c r="U6272" i="2"/>
  <c r="S6272" i="2"/>
  <c r="S6271" i="2"/>
  <c r="T6271" i="2" s="1"/>
  <c r="U6271" i="2" s="1"/>
  <c r="U6270" i="2"/>
  <c r="S6270" i="2"/>
  <c r="S6269" i="2"/>
  <c r="T6269" i="2" s="1"/>
  <c r="U6269" i="2" s="1"/>
  <c r="U6268" i="2"/>
  <c r="S6268" i="2"/>
  <c r="S6267" i="2"/>
  <c r="T6267" i="2" s="1"/>
  <c r="U6267" i="2" s="1"/>
  <c r="U6266" i="2"/>
  <c r="S6266" i="2"/>
  <c r="T6265" i="2"/>
  <c r="U6265" i="2" s="1"/>
  <c r="U6264" i="2"/>
  <c r="T6263" i="2"/>
  <c r="U6263" i="2" s="1"/>
  <c r="U6262" i="2"/>
  <c r="T6261" i="2"/>
  <c r="U6261" i="2" s="1"/>
  <c r="U6260" i="2"/>
  <c r="T6259" i="2"/>
  <c r="U6259" i="2" s="1"/>
  <c r="U6258" i="2"/>
  <c r="T6257" i="2"/>
  <c r="U6257" i="2" s="1"/>
  <c r="U6256" i="2"/>
  <c r="T6255" i="2"/>
  <c r="U6255" i="2" s="1"/>
  <c r="U6254" i="2"/>
  <c r="T6253" i="2"/>
  <c r="U6253" i="2" s="1"/>
  <c r="U6252" i="2"/>
  <c r="T6251" i="2"/>
  <c r="U6251" i="2" s="1"/>
  <c r="U6250" i="2"/>
  <c r="U6249" i="2"/>
  <c r="T6248" i="2"/>
  <c r="U6248" i="2" s="1"/>
  <c r="U6247" i="2"/>
  <c r="T6246" i="2"/>
  <c r="U6246" i="2" s="1"/>
  <c r="U6245" i="2"/>
  <c r="T6244" i="2"/>
  <c r="U6244" i="2" s="1"/>
  <c r="U6243" i="2"/>
  <c r="T6242" i="2"/>
  <c r="U6242" i="2" s="1"/>
  <c r="U6241" i="2"/>
  <c r="T6240" i="2"/>
  <c r="U6240" i="2" s="1"/>
  <c r="U6239" i="2"/>
  <c r="T6238" i="2"/>
  <c r="U6238" i="2" s="1"/>
  <c r="U6237" i="2"/>
  <c r="T6236" i="2"/>
  <c r="U6236" i="2" s="1"/>
  <c r="U6235" i="2"/>
  <c r="U6234" i="2"/>
  <c r="T6233" i="2"/>
  <c r="U6233" i="2" s="1"/>
  <c r="U6232" i="2"/>
  <c r="T6231" i="2"/>
  <c r="U6231" i="2" s="1"/>
  <c r="U6230" i="2"/>
  <c r="T6229" i="2"/>
  <c r="U6229" i="2" s="1"/>
  <c r="U6228" i="2"/>
  <c r="T6227" i="2"/>
  <c r="U6227" i="2" s="1"/>
  <c r="U6226" i="2"/>
  <c r="T6225" i="2"/>
  <c r="U6225" i="2" s="1"/>
  <c r="U6224" i="2"/>
  <c r="T6223" i="2"/>
  <c r="U6223" i="2" s="1"/>
  <c r="U6222" i="2"/>
  <c r="T6221" i="2"/>
  <c r="U6221" i="2" s="1"/>
  <c r="U6220" i="2"/>
  <c r="T6219" i="2"/>
  <c r="U6219" i="2" s="1"/>
  <c r="U6218" i="2"/>
  <c r="T6217" i="2"/>
  <c r="U6217" i="2" s="1"/>
  <c r="U6216" i="2"/>
  <c r="T6215" i="2"/>
  <c r="U6215" i="2" s="1"/>
  <c r="U6214" i="2"/>
  <c r="T6213" i="2"/>
  <c r="U6213" i="2" s="1"/>
  <c r="U6212" i="2"/>
  <c r="T6211" i="2"/>
  <c r="U6211" i="2" s="1"/>
  <c r="U6210" i="2"/>
  <c r="T6209" i="2"/>
  <c r="U6209" i="2" s="1"/>
  <c r="U6208" i="2"/>
  <c r="T6207" i="2"/>
  <c r="U6207" i="2" s="1"/>
  <c r="U6206" i="2"/>
  <c r="T6205" i="2"/>
  <c r="U6205" i="2" s="1"/>
  <c r="U6204" i="2"/>
  <c r="T6203" i="2"/>
  <c r="U6203" i="2" s="1"/>
  <c r="U6202" i="2"/>
  <c r="T6201" i="2"/>
  <c r="U6201" i="2" s="1"/>
  <c r="U6200" i="2"/>
  <c r="T6199" i="2"/>
  <c r="U6199" i="2" s="1"/>
  <c r="U6198" i="2"/>
  <c r="T6197" i="2"/>
  <c r="U6197" i="2" s="1"/>
  <c r="U6196" i="2"/>
  <c r="T6195" i="2"/>
  <c r="U6195" i="2" s="1"/>
  <c r="U6194" i="2"/>
  <c r="T6193" i="2"/>
  <c r="U6193" i="2" s="1"/>
  <c r="U6192" i="2"/>
  <c r="T6191" i="2"/>
  <c r="U6191" i="2" s="1"/>
  <c r="U6190" i="2"/>
  <c r="T6189" i="2"/>
  <c r="U6189" i="2" s="1"/>
  <c r="U6188" i="2"/>
  <c r="T6187" i="2"/>
  <c r="U6187" i="2" s="1"/>
  <c r="U6186" i="2"/>
  <c r="T6185" i="2"/>
  <c r="U6185" i="2" s="1"/>
  <c r="U6184" i="2"/>
  <c r="T6183" i="2"/>
  <c r="U6183" i="2" s="1"/>
  <c r="U6182" i="2"/>
  <c r="T6181" i="2"/>
  <c r="U6181" i="2" s="1"/>
  <c r="U6180" i="2"/>
  <c r="T6179" i="2"/>
  <c r="U6179" i="2" s="1"/>
  <c r="U6178" i="2"/>
  <c r="T6177" i="2"/>
  <c r="U6177" i="2" s="1"/>
  <c r="U6176" i="2"/>
  <c r="U6175" i="2"/>
  <c r="T6174" i="2"/>
  <c r="U6174" i="2" s="1"/>
  <c r="U6173" i="2"/>
  <c r="T6172" i="2"/>
  <c r="U6172" i="2" s="1"/>
  <c r="U6171" i="2"/>
  <c r="T6170" i="2"/>
  <c r="U6170" i="2" s="1"/>
  <c r="U6169" i="2"/>
  <c r="T6168" i="2"/>
  <c r="U6168" i="2" s="1"/>
  <c r="U6167" i="2"/>
  <c r="T6166" i="2"/>
  <c r="U6166" i="2" s="1"/>
  <c r="U6165" i="2"/>
  <c r="T6164" i="2"/>
  <c r="U6164" i="2" s="1"/>
  <c r="U6163" i="2"/>
  <c r="T6162" i="2"/>
  <c r="U6162" i="2" s="1"/>
  <c r="U6161" i="2"/>
  <c r="T6160" i="2"/>
  <c r="U6160" i="2" s="1"/>
  <c r="U6159" i="2"/>
  <c r="T6158" i="2"/>
  <c r="U6158" i="2" s="1"/>
  <c r="U6157" i="2"/>
  <c r="T6156" i="2"/>
  <c r="U6156" i="2" s="1"/>
  <c r="U6155" i="2"/>
  <c r="T6154" i="2"/>
  <c r="U6154" i="2" s="1"/>
  <c r="U6153" i="2"/>
  <c r="T6152" i="2"/>
  <c r="U6152" i="2" s="1"/>
  <c r="U6151" i="2"/>
  <c r="T6150" i="2"/>
  <c r="U6150" i="2" s="1"/>
  <c r="U6149" i="2"/>
  <c r="T6148" i="2"/>
  <c r="U6148" i="2" s="1"/>
  <c r="U6147" i="2"/>
  <c r="T6146" i="2"/>
  <c r="U6146" i="2" s="1"/>
  <c r="U6145" i="2"/>
  <c r="T6144" i="2"/>
  <c r="U6144" i="2" s="1"/>
  <c r="U6143" i="2"/>
  <c r="T6142" i="2"/>
  <c r="U6142" i="2" s="1"/>
  <c r="U6141" i="2"/>
  <c r="T6140" i="2"/>
  <c r="U6140" i="2" s="1"/>
  <c r="U6139" i="2"/>
  <c r="T6138" i="2"/>
  <c r="U6138" i="2" s="1"/>
  <c r="U6137" i="2"/>
  <c r="S6136" i="2"/>
  <c r="T6136" i="2" s="1"/>
  <c r="U6136" i="2" s="1"/>
  <c r="U6135" i="2"/>
  <c r="S6135" i="2"/>
  <c r="S6134" i="2"/>
  <c r="T6134" i="2" s="1"/>
  <c r="U6134" i="2" s="1"/>
  <c r="U6133" i="2"/>
  <c r="S6133" i="2"/>
  <c r="S6132" i="2"/>
  <c r="T6132" i="2" s="1"/>
  <c r="U6132" i="2" s="1"/>
  <c r="U6131" i="2"/>
  <c r="S6131" i="2"/>
  <c r="S6130" i="2"/>
  <c r="T6130" i="2" s="1"/>
  <c r="U6130" i="2" s="1"/>
  <c r="U6129" i="2"/>
  <c r="S6129" i="2"/>
  <c r="S6128" i="2"/>
  <c r="T6128" i="2" s="1"/>
  <c r="U6128" i="2" s="1"/>
  <c r="U6127" i="2"/>
  <c r="S6127" i="2"/>
  <c r="S6126" i="2"/>
  <c r="T6126" i="2" s="1"/>
  <c r="U6126" i="2" s="1"/>
  <c r="U6125" i="2"/>
  <c r="S6125" i="2"/>
  <c r="S6124" i="2"/>
  <c r="T6124" i="2" s="1"/>
  <c r="U6124" i="2" s="1"/>
  <c r="U6123" i="2"/>
  <c r="S6123" i="2"/>
  <c r="T6122" i="2"/>
  <c r="U6122" i="2" s="1"/>
  <c r="U6121" i="2"/>
  <c r="S6121" i="2"/>
  <c r="U6120" i="2"/>
  <c r="S6120" i="2"/>
  <c r="T6119" i="2"/>
  <c r="U6119" i="2" s="1"/>
  <c r="U6118" i="2"/>
  <c r="S6118" i="2"/>
  <c r="U6117" i="2"/>
  <c r="S6117" i="2"/>
  <c r="S6116" i="2"/>
  <c r="T6116" i="2" s="1"/>
  <c r="U6116" i="2" s="1"/>
  <c r="U6115" i="2"/>
  <c r="S6115" i="2"/>
  <c r="S6114" i="2"/>
  <c r="T6114" i="2" s="1"/>
  <c r="U6114" i="2" s="1"/>
  <c r="U6113" i="2"/>
  <c r="S6113" i="2"/>
  <c r="S6112" i="2"/>
  <c r="T6112" i="2" s="1"/>
  <c r="U6112" i="2" s="1"/>
  <c r="U6111" i="2"/>
  <c r="S6111" i="2"/>
  <c r="S6110" i="2"/>
  <c r="T6110" i="2" s="1"/>
  <c r="U6110" i="2" s="1"/>
  <c r="U6109" i="2"/>
  <c r="S6109" i="2"/>
  <c r="S6108" i="2"/>
  <c r="T6108" i="2" s="1"/>
  <c r="U6108" i="2" s="1"/>
  <c r="U6107" i="2"/>
  <c r="S6107" i="2"/>
  <c r="U6104" i="2"/>
  <c r="S6104" i="2"/>
  <c r="U6101" i="2"/>
  <c r="S6101" i="2"/>
  <c r="U6100" i="2"/>
  <c r="S6100" i="2"/>
  <c r="U6097" i="2"/>
  <c r="S6097" i="2"/>
  <c r="U6096" i="2"/>
  <c r="S6096" i="2"/>
  <c r="U6093" i="2"/>
  <c r="S6093" i="2"/>
  <c r="U6092" i="2"/>
  <c r="S6092" i="2"/>
  <c r="S6091" i="2"/>
  <c r="T6091" i="2" s="1"/>
  <c r="U6091" i="2" s="1"/>
  <c r="U6090" i="2"/>
  <c r="S6090" i="2"/>
  <c r="S6089" i="2"/>
  <c r="T6089" i="2" s="1"/>
  <c r="U6089" i="2" s="1"/>
  <c r="U6088" i="2"/>
  <c r="S6088" i="2"/>
  <c r="S6087" i="2"/>
  <c r="T6087" i="2" s="1"/>
  <c r="U6087" i="2" s="1"/>
  <c r="U6086" i="2"/>
  <c r="S6086" i="2"/>
  <c r="T6085" i="2"/>
  <c r="U6085" i="2" s="1"/>
  <c r="U6084" i="2"/>
  <c r="S6084" i="2"/>
  <c r="U6083" i="2"/>
  <c r="S6083" i="2"/>
  <c r="T6082" i="2"/>
  <c r="U6082" i="2" s="1"/>
  <c r="U6081" i="2"/>
  <c r="S6081" i="2"/>
  <c r="U6080" i="2"/>
  <c r="S6080" i="2"/>
  <c r="S6079" i="2"/>
  <c r="T6079" i="2" s="1"/>
  <c r="U6079" i="2" s="1"/>
  <c r="U6078" i="2"/>
  <c r="S6078" i="2"/>
  <c r="S6077" i="2"/>
  <c r="T6077" i="2" s="1"/>
  <c r="U6077" i="2" s="1"/>
  <c r="U6076" i="2"/>
  <c r="S6076" i="2"/>
  <c r="T6075" i="2"/>
  <c r="U6075" i="2" s="1"/>
  <c r="U6074" i="2"/>
  <c r="S6074" i="2"/>
  <c r="U6073" i="2"/>
  <c r="S6073" i="2"/>
  <c r="S6072" i="2"/>
  <c r="T6072" i="2" s="1"/>
  <c r="U6072" i="2" s="1"/>
  <c r="U6071" i="2"/>
  <c r="S6071" i="2"/>
  <c r="S6070" i="2"/>
  <c r="T6070" i="2" s="1"/>
  <c r="U6070" i="2" s="1"/>
  <c r="U6069" i="2"/>
  <c r="S6069" i="2"/>
  <c r="T6068" i="2"/>
  <c r="U6068" i="2" s="1"/>
  <c r="U6067" i="2"/>
  <c r="S6067" i="2"/>
  <c r="U6066" i="2"/>
  <c r="S6066" i="2"/>
  <c r="T6065" i="2"/>
  <c r="U6065" i="2" s="1"/>
  <c r="U6064" i="2"/>
  <c r="S6064" i="2"/>
  <c r="U6063" i="2"/>
  <c r="S6063" i="2"/>
  <c r="S6062" i="2"/>
  <c r="T6062" i="2" s="1"/>
  <c r="U6062" i="2" s="1"/>
  <c r="U6061" i="2"/>
  <c r="S6061" i="2"/>
  <c r="S6060" i="2"/>
  <c r="T6060" i="2" s="1"/>
  <c r="U6060" i="2" s="1"/>
  <c r="U6059" i="2"/>
  <c r="S6059" i="2"/>
  <c r="S6058" i="2"/>
  <c r="T6058" i="2" s="1"/>
  <c r="U6058" i="2" s="1"/>
  <c r="U6057" i="2"/>
  <c r="S6057" i="2"/>
  <c r="S6056" i="2"/>
  <c r="T6056" i="2" s="1"/>
  <c r="U6056" i="2" s="1"/>
  <c r="U6055" i="2"/>
  <c r="S6055" i="2"/>
  <c r="T6054" i="2"/>
  <c r="U6054" i="2" s="1"/>
  <c r="U6053" i="2"/>
  <c r="S6053" i="2"/>
  <c r="U6052" i="2"/>
  <c r="S6052" i="2"/>
  <c r="T6051" i="2"/>
  <c r="U6051" i="2" s="1"/>
  <c r="U6050" i="2"/>
  <c r="S6050" i="2"/>
  <c r="U6049" i="2"/>
  <c r="S6049" i="2"/>
  <c r="T6048" i="2"/>
  <c r="U6048" i="2" s="1"/>
  <c r="U6047" i="2"/>
  <c r="S6047" i="2"/>
  <c r="U6046" i="2"/>
  <c r="S6046" i="2"/>
  <c r="S6045" i="2"/>
  <c r="T6045" i="2" s="1"/>
  <c r="U6045" i="2" s="1"/>
  <c r="U6044" i="2"/>
  <c r="S6044" i="2"/>
  <c r="S6043" i="2"/>
  <c r="T6043" i="2" s="1"/>
  <c r="U6043" i="2" s="1"/>
  <c r="U6042" i="2"/>
  <c r="S6042" i="2"/>
  <c r="T6041" i="2"/>
  <c r="U6041" i="2" s="1"/>
  <c r="U6040" i="2"/>
  <c r="S6040" i="2"/>
  <c r="U6039" i="2"/>
  <c r="S6039" i="2"/>
  <c r="S6038" i="2"/>
  <c r="T6038" i="2" s="1"/>
  <c r="U6038" i="2" s="1"/>
  <c r="U6037" i="2"/>
  <c r="S6037" i="2"/>
  <c r="S6036" i="2"/>
  <c r="T6036" i="2" s="1"/>
  <c r="U6036" i="2" s="1"/>
  <c r="U6035" i="2"/>
  <c r="S6035" i="2"/>
  <c r="T6034" i="2"/>
  <c r="U6034" i="2" s="1"/>
  <c r="U6033" i="2"/>
  <c r="S6033" i="2"/>
  <c r="U6032" i="2"/>
  <c r="S6032" i="2"/>
  <c r="T6031" i="2"/>
  <c r="U6031" i="2" s="1"/>
  <c r="U6030" i="2"/>
  <c r="S6030" i="2"/>
  <c r="U6029" i="2"/>
  <c r="S6029" i="2"/>
  <c r="T6028" i="2"/>
  <c r="U6028" i="2" s="1"/>
  <c r="U6027" i="2"/>
  <c r="S6027" i="2"/>
  <c r="U6026" i="2"/>
  <c r="S6026" i="2"/>
  <c r="S6025" i="2"/>
  <c r="T6025" i="2" s="1"/>
  <c r="U6025" i="2" s="1"/>
  <c r="U6024" i="2"/>
  <c r="S6024" i="2"/>
  <c r="S6023" i="2"/>
  <c r="T6023" i="2" s="1"/>
  <c r="U6023" i="2" s="1"/>
  <c r="U6022" i="2"/>
  <c r="S6022" i="2"/>
  <c r="S6021" i="2"/>
  <c r="T6021" i="2" s="1"/>
  <c r="U6021" i="2" s="1"/>
  <c r="U6020" i="2"/>
  <c r="S6020" i="2"/>
  <c r="S6019" i="2"/>
  <c r="T6019" i="2" s="1"/>
  <c r="U6019" i="2" s="1"/>
  <c r="U6018" i="2"/>
  <c r="S6018" i="2"/>
  <c r="S6017" i="2"/>
  <c r="T6017" i="2" s="1"/>
  <c r="U6017" i="2" s="1"/>
  <c r="U6016" i="2"/>
  <c r="S6016" i="2"/>
  <c r="S6015" i="2"/>
  <c r="T6015" i="2" s="1"/>
  <c r="U6015" i="2" s="1"/>
  <c r="U6014" i="2"/>
  <c r="S6014" i="2"/>
  <c r="T6013" i="2"/>
  <c r="U6013" i="2" s="1"/>
  <c r="U6012" i="2"/>
  <c r="S6012" i="2"/>
  <c r="U6011" i="2"/>
  <c r="S6011" i="2"/>
  <c r="S6010" i="2"/>
  <c r="T6010" i="2" s="1"/>
  <c r="U6010" i="2" s="1"/>
  <c r="U6009" i="2"/>
  <c r="S6009" i="2"/>
  <c r="S6008" i="2"/>
  <c r="T6008" i="2" s="1"/>
  <c r="U6008" i="2" s="1"/>
  <c r="U6007" i="2"/>
  <c r="S6007" i="2"/>
  <c r="S6006" i="2"/>
  <c r="T6006" i="2" s="1"/>
  <c r="U6006" i="2" s="1"/>
  <c r="U6005" i="2"/>
  <c r="S6005" i="2"/>
  <c r="S6004" i="2"/>
  <c r="T6004" i="2" s="1"/>
  <c r="U6004" i="2" s="1"/>
  <c r="U6003" i="2"/>
  <c r="S6003" i="2"/>
  <c r="T6002" i="2"/>
  <c r="U6002" i="2" s="1"/>
  <c r="U6001" i="2"/>
  <c r="S6001" i="2"/>
  <c r="U6000" i="2"/>
  <c r="S6000" i="2"/>
  <c r="T5999" i="2"/>
  <c r="U5999" i="2" s="1"/>
  <c r="U5998" i="2"/>
  <c r="S5998" i="2"/>
  <c r="U5997" i="2"/>
  <c r="S5997" i="2"/>
  <c r="T5996" i="2"/>
  <c r="U5996" i="2" s="1"/>
  <c r="U5995" i="2"/>
  <c r="S5995" i="2"/>
  <c r="U5994" i="2"/>
  <c r="S5994" i="2"/>
  <c r="S5993" i="2"/>
  <c r="T5993" i="2" s="1"/>
  <c r="U5993" i="2" s="1"/>
  <c r="U5992" i="2"/>
  <c r="S5992" i="2"/>
  <c r="S5991" i="2"/>
  <c r="T5991" i="2" s="1"/>
  <c r="U5991" i="2" s="1"/>
  <c r="U5990" i="2"/>
  <c r="S5990" i="2"/>
  <c r="S5989" i="2"/>
  <c r="T5989" i="2" s="1"/>
  <c r="U5989" i="2" s="1"/>
  <c r="U5988" i="2"/>
  <c r="S5988" i="2"/>
  <c r="T5987" i="2"/>
  <c r="U5987" i="2" s="1"/>
  <c r="U5986" i="2"/>
  <c r="S5986" i="2"/>
  <c r="U5985" i="2"/>
  <c r="S5985" i="2"/>
  <c r="S5984" i="2"/>
  <c r="T5984" i="2" s="1"/>
  <c r="U5984" i="2" s="1"/>
  <c r="U5983" i="2"/>
  <c r="S5983" i="2"/>
  <c r="S5982" i="2"/>
  <c r="T5982" i="2" s="1"/>
  <c r="U5982" i="2" s="1"/>
  <c r="U5981" i="2"/>
  <c r="S5981" i="2"/>
  <c r="S5980" i="2"/>
  <c r="T5980" i="2" s="1"/>
  <c r="U5980" i="2" s="1"/>
  <c r="U5979" i="2"/>
  <c r="S5979" i="2"/>
  <c r="S5978" i="2"/>
  <c r="T5978" i="2" s="1"/>
  <c r="U5978" i="2" s="1"/>
  <c r="U5977" i="2"/>
  <c r="S5977" i="2"/>
  <c r="U5974" i="2"/>
  <c r="S5974" i="2"/>
  <c r="T5973" i="2"/>
  <c r="U5973" i="2" s="1"/>
  <c r="U5972" i="2"/>
  <c r="T5971" i="2"/>
  <c r="U5971" i="2" s="1"/>
  <c r="U5970" i="2"/>
  <c r="S5969" i="2"/>
  <c r="T5969" i="2" s="1"/>
  <c r="U5969" i="2" s="1"/>
  <c r="U5968" i="2"/>
  <c r="S5968" i="2"/>
  <c r="T5967" i="2"/>
  <c r="U5967" i="2" s="1"/>
  <c r="U5966" i="2"/>
  <c r="S5966" i="2"/>
  <c r="U5965" i="2"/>
  <c r="S5965" i="2"/>
  <c r="S5964" i="2"/>
  <c r="T5964" i="2" s="1"/>
  <c r="U5964" i="2" s="1"/>
  <c r="U5963" i="2"/>
  <c r="S5963" i="2"/>
  <c r="S5962" i="2"/>
  <c r="T5962" i="2" s="1"/>
  <c r="U5962" i="2" s="1"/>
  <c r="U5961" i="2"/>
  <c r="S5961" i="2"/>
  <c r="T5960" i="2"/>
  <c r="U5960" i="2" s="1"/>
  <c r="U5959" i="2"/>
  <c r="U5958" i="2"/>
  <c r="S5958" i="2"/>
  <c r="U5957" i="2"/>
  <c r="S5957" i="2"/>
  <c r="U5956" i="2"/>
  <c r="U5955" i="2"/>
  <c r="U5954" i="2"/>
  <c r="U5953" i="2"/>
  <c r="U5952" i="2"/>
  <c r="U5951" i="2"/>
  <c r="U5950" i="2"/>
  <c r="U5949" i="2"/>
  <c r="U5948" i="2"/>
  <c r="U5947" i="2"/>
  <c r="T5946" i="2"/>
  <c r="U5946" i="2" s="1"/>
  <c r="U5945" i="2"/>
  <c r="S5945" i="2"/>
  <c r="U5944" i="2"/>
  <c r="S5944" i="2"/>
  <c r="U5943" i="2"/>
  <c r="S5943" i="2"/>
  <c r="U5942" i="2"/>
  <c r="U5941" i="2"/>
  <c r="U5940" i="2"/>
  <c r="S5940" i="2"/>
  <c r="U5939" i="2"/>
  <c r="S5939" i="2"/>
  <c r="U5938" i="2"/>
  <c r="S5938" i="2"/>
  <c r="U5937" i="2"/>
  <c r="U5936" i="2"/>
  <c r="U5935" i="2"/>
  <c r="U5934" i="2"/>
  <c r="U5933" i="2"/>
  <c r="U5932" i="2"/>
  <c r="U5931" i="2"/>
  <c r="U5930" i="2"/>
  <c r="U5929" i="2"/>
  <c r="U5928" i="2"/>
  <c r="U5927" i="2"/>
  <c r="U5926" i="2"/>
  <c r="U5925" i="2"/>
  <c r="U5924" i="2"/>
  <c r="U5923" i="2"/>
  <c r="U5922" i="2"/>
  <c r="U5921" i="2"/>
  <c r="U5920" i="2"/>
  <c r="U5919" i="2"/>
  <c r="U5918" i="2"/>
  <c r="U5917" i="2"/>
  <c r="U5916" i="2"/>
  <c r="U5915" i="2"/>
  <c r="U5914" i="2"/>
  <c r="U5913" i="2"/>
  <c r="U5912" i="2"/>
  <c r="U5911" i="2"/>
  <c r="U5910" i="2"/>
  <c r="U5909" i="2"/>
  <c r="U5908" i="2"/>
  <c r="U5907" i="2"/>
  <c r="U5906" i="2"/>
  <c r="S5905" i="2"/>
  <c r="U5905" i="2" s="1"/>
  <c r="U5904" i="2"/>
  <c r="S5904" i="2"/>
  <c r="S5903" i="2"/>
  <c r="U5903" i="2" s="1"/>
  <c r="U5902" i="2"/>
  <c r="S5902" i="2"/>
  <c r="U5901" i="2"/>
  <c r="U5900" i="2"/>
  <c r="U5899" i="2"/>
  <c r="S5899" i="2"/>
  <c r="U5898" i="2"/>
  <c r="S5898" i="2"/>
  <c r="S5897" i="2"/>
  <c r="U5897" i="2" s="1"/>
  <c r="U5896" i="2"/>
  <c r="S5896" i="2"/>
  <c r="U5895" i="2"/>
  <c r="U5894" i="2"/>
  <c r="U5893" i="2"/>
  <c r="S5893" i="2"/>
  <c r="U5892" i="2"/>
  <c r="S5892" i="2"/>
  <c r="T5891" i="2"/>
  <c r="U5891" i="2" s="1"/>
  <c r="S5890" i="2"/>
  <c r="T5890" i="2" s="1"/>
  <c r="U5890" i="2" s="1"/>
  <c r="T5889" i="2"/>
  <c r="U5889" i="2" s="1"/>
  <c r="T5888" i="2"/>
  <c r="U5888" i="2" s="1"/>
  <c r="S5887" i="2"/>
  <c r="T5887" i="2" s="1"/>
  <c r="U5887" i="2" s="1"/>
  <c r="S5886" i="2"/>
  <c r="T5886" i="2" s="1"/>
  <c r="U5886" i="2" s="1"/>
  <c r="S5885" i="2"/>
  <c r="T5885" i="2" s="1"/>
  <c r="U5885" i="2" s="1"/>
  <c r="S5884" i="2"/>
  <c r="T5884" i="2" s="1"/>
  <c r="U5884" i="2" s="1"/>
  <c r="S5883" i="2"/>
  <c r="T5883" i="2" s="1"/>
  <c r="U5883" i="2" s="1"/>
  <c r="S5882" i="2"/>
  <c r="T5882" i="2" s="1"/>
  <c r="U5882" i="2" s="1"/>
  <c r="S5881" i="2"/>
  <c r="T5881" i="2" s="1"/>
  <c r="U5881" i="2" s="1"/>
  <c r="T5880" i="2"/>
  <c r="U5880" i="2" s="1"/>
  <c r="S5879" i="2"/>
  <c r="T5879" i="2" s="1"/>
  <c r="U5879" i="2" s="1"/>
  <c r="T5878" i="2"/>
  <c r="U5878" i="2" s="1"/>
  <c r="T5877" i="2"/>
  <c r="U5877" i="2" s="1"/>
  <c r="T5876" i="2"/>
  <c r="U5876" i="2" s="1"/>
  <c r="T5875" i="2"/>
  <c r="U5875" i="2" s="1"/>
  <c r="T5874" i="2"/>
  <c r="U5874" i="2" s="1"/>
  <c r="T5873" i="2"/>
  <c r="U5873" i="2" s="1"/>
  <c r="T5872" i="2"/>
  <c r="U5872" i="2" s="1"/>
  <c r="T5871" i="2"/>
  <c r="U5871" i="2" s="1"/>
  <c r="T5870" i="2"/>
  <c r="U5870" i="2" s="1"/>
  <c r="T5869" i="2"/>
  <c r="U5869" i="2" s="1"/>
  <c r="T5868" i="2"/>
  <c r="U5868" i="2" s="1"/>
  <c r="S5867" i="2"/>
  <c r="T5867" i="2" s="1"/>
  <c r="U5867" i="2" s="1"/>
  <c r="T5866" i="2"/>
  <c r="U5866" i="2" s="1"/>
  <c r="S5865" i="2"/>
  <c r="T5865" i="2" s="1"/>
  <c r="U5865" i="2" s="1"/>
  <c r="T5864" i="2"/>
  <c r="U5864" i="2" s="1"/>
  <c r="S5863" i="2"/>
  <c r="T5863" i="2" s="1"/>
  <c r="U5863" i="2" s="1"/>
  <c r="S5862" i="2"/>
  <c r="T5862" i="2" s="1"/>
  <c r="U5862" i="2" s="1"/>
  <c r="T5861" i="2"/>
  <c r="U5861" i="2" s="1"/>
  <c r="T5860" i="2"/>
  <c r="U5860" i="2" s="1"/>
  <c r="T5859" i="2"/>
  <c r="U5859" i="2" s="1"/>
  <c r="T5858" i="2"/>
  <c r="U5858" i="2" s="1"/>
  <c r="S5857" i="2"/>
  <c r="T5857" i="2" s="1"/>
  <c r="U5857" i="2" s="1"/>
  <c r="S5856" i="2"/>
  <c r="T5856" i="2" s="1"/>
  <c r="U5856" i="2" s="1"/>
  <c r="S5855" i="2"/>
  <c r="T5855" i="2" s="1"/>
  <c r="U5855" i="2" s="1"/>
  <c r="S5854" i="2"/>
  <c r="T5854" i="2" s="1"/>
  <c r="U5854" i="2" s="1"/>
  <c r="S5853" i="2"/>
  <c r="T5853" i="2" s="1"/>
  <c r="U5853" i="2" s="1"/>
  <c r="S5852" i="2"/>
  <c r="T5852" i="2" s="1"/>
  <c r="U5852" i="2" s="1"/>
  <c r="S5851" i="2"/>
  <c r="T5851" i="2" s="1"/>
  <c r="U5851" i="2" s="1"/>
  <c r="U5850" i="2"/>
  <c r="S5850" i="2"/>
  <c r="S5849" i="2"/>
  <c r="T5849" i="2" s="1"/>
  <c r="U5849" i="2" s="1"/>
  <c r="U5848" i="2"/>
  <c r="S5848" i="2"/>
  <c r="S5847" i="2"/>
  <c r="T5847" i="2" s="1"/>
  <c r="U5847" i="2" s="1"/>
  <c r="U5846" i="2"/>
  <c r="S5846" i="2"/>
  <c r="S5845" i="2"/>
  <c r="T5845" i="2" s="1"/>
  <c r="U5845" i="2" s="1"/>
  <c r="U5844" i="2"/>
  <c r="S5844" i="2"/>
  <c r="S5843" i="2"/>
  <c r="T5843" i="2" s="1"/>
  <c r="U5843" i="2" s="1"/>
  <c r="U5842" i="2"/>
  <c r="S5842" i="2"/>
  <c r="S5841" i="2"/>
  <c r="T5841" i="2" s="1"/>
  <c r="U5841" i="2" s="1"/>
  <c r="U5840" i="2"/>
  <c r="S5840" i="2"/>
  <c r="T5839" i="2"/>
  <c r="U5839" i="2" s="1"/>
  <c r="T5838" i="2"/>
  <c r="U5838" i="2" s="1"/>
  <c r="T5837" i="2"/>
  <c r="U5837" i="2" s="1"/>
  <c r="T5836" i="2"/>
  <c r="U5836" i="2" s="1"/>
  <c r="T5835" i="2"/>
  <c r="U5835" i="2" s="1"/>
  <c r="U5834" i="2"/>
  <c r="S5833" i="2"/>
  <c r="T5833" i="2" s="1"/>
  <c r="U5833" i="2" s="1"/>
  <c r="T5832" i="2"/>
  <c r="U5832" i="2" s="1"/>
  <c r="U5831" i="2"/>
  <c r="S5831" i="2"/>
  <c r="T5830" i="2"/>
  <c r="U5830" i="2" s="1"/>
  <c r="U5829" i="2"/>
  <c r="S5829" i="2"/>
  <c r="S5828" i="2"/>
  <c r="T5828" i="2" s="1"/>
  <c r="U5828" i="2" s="1"/>
  <c r="S5827" i="2"/>
  <c r="T5827" i="2" s="1"/>
  <c r="U5827" i="2" s="1"/>
  <c r="S5826" i="2"/>
  <c r="T5826" i="2" s="1"/>
  <c r="U5826" i="2" s="1"/>
  <c r="S5825" i="2"/>
  <c r="T5825" i="2" s="1"/>
  <c r="U5825" i="2" s="1"/>
  <c r="S5824" i="2"/>
  <c r="T5824" i="2" s="1"/>
  <c r="U5824" i="2" s="1"/>
  <c r="T5823" i="2"/>
  <c r="U5823" i="2" s="1"/>
  <c r="U5822" i="2"/>
  <c r="S5822" i="2"/>
  <c r="S5821" i="2"/>
  <c r="T5821" i="2" s="1"/>
  <c r="U5821" i="2" s="1"/>
  <c r="T5820" i="2"/>
  <c r="U5820" i="2" s="1"/>
  <c r="U5819" i="2"/>
  <c r="S5819" i="2"/>
  <c r="T5818" i="2"/>
  <c r="U5818" i="2" s="1"/>
  <c r="U5817" i="2"/>
  <c r="S5817" i="2"/>
  <c r="S5816" i="2"/>
  <c r="T5816" i="2" s="1"/>
  <c r="U5816" i="2" s="1"/>
  <c r="S5815" i="2"/>
  <c r="T5815" i="2" s="1"/>
  <c r="U5815" i="2" s="1"/>
  <c r="S5814" i="2"/>
  <c r="T5814" i="2" s="1"/>
  <c r="U5814" i="2" s="1"/>
  <c r="S5813" i="2"/>
  <c r="T5813" i="2" s="1"/>
  <c r="U5813" i="2" s="1"/>
  <c r="T5812" i="2"/>
  <c r="U5812" i="2" s="1"/>
  <c r="U5811" i="2"/>
  <c r="S5811" i="2"/>
  <c r="S5810" i="2"/>
  <c r="T5810" i="2" s="1"/>
  <c r="U5810" i="2" s="1"/>
  <c r="T5809" i="2"/>
  <c r="U5809" i="2" s="1"/>
  <c r="U5808" i="2"/>
  <c r="S5808" i="2"/>
  <c r="T5807" i="2"/>
  <c r="U5807" i="2" s="1"/>
  <c r="U5806" i="2"/>
  <c r="S5806" i="2"/>
  <c r="S5805" i="2"/>
  <c r="T5805" i="2" s="1"/>
  <c r="U5805" i="2" s="1"/>
  <c r="S5804" i="2"/>
  <c r="T5804" i="2" s="1"/>
  <c r="U5804" i="2" s="1"/>
  <c r="S5803" i="2"/>
  <c r="T5803" i="2" s="1"/>
  <c r="U5803" i="2" s="1"/>
  <c r="S5802" i="2"/>
  <c r="T5802" i="2" s="1"/>
  <c r="U5802" i="2" s="1"/>
  <c r="S5801" i="2"/>
  <c r="T5801" i="2" s="1"/>
  <c r="U5801" i="2" s="1"/>
  <c r="S5800" i="2"/>
  <c r="T5800" i="2" s="1"/>
  <c r="U5800" i="2" s="1"/>
  <c r="S5799" i="2"/>
  <c r="T5799" i="2" s="1"/>
  <c r="U5799" i="2" s="1"/>
  <c r="S5798" i="2"/>
  <c r="T5798" i="2" s="1"/>
  <c r="U5798" i="2" s="1"/>
  <c r="T5797" i="2"/>
  <c r="U5797" i="2" s="1"/>
  <c r="U5796" i="2"/>
  <c r="S5796" i="2"/>
  <c r="T5795" i="2"/>
  <c r="U5795" i="2" s="1"/>
  <c r="U5794" i="2"/>
  <c r="S5794" i="2"/>
  <c r="S5793" i="2"/>
  <c r="T5793" i="2" s="1"/>
  <c r="U5793" i="2" s="1"/>
  <c r="T5792" i="2"/>
  <c r="U5792" i="2" s="1"/>
  <c r="U5791" i="2"/>
  <c r="S5791" i="2"/>
  <c r="S5790" i="2"/>
  <c r="T5790" i="2" s="1"/>
  <c r="U5790" i="2" s="1"/>
  <c r="S5789" i="2"/>
  <c r="T5789" i="2" s="1"/>
  <c r="U5789" i="2" s="1"/>
  <c r="S5788" i="2"/>
  <c r="T5788" i="2" s="1"/>
  <c r="U5788" i="2" s="1"/>
  <c r="S5787" i="2"/>
  <c r="T5787" i="2" s="1"/>
  <c r="U5787" i="2" s="1"/>
  <c r="S5786" i="2"/>
  <c r="T5786" i="2" s="1"/>
  <c r="U5786" i="2" s="1"/>
  <c r="S5785" i="2"/>
  <c r="T5785" i="2" s="1"/>
  <c r="U5785" i="2" s="1"/>
  <c r="T5784" i="2"/>
  <c r="U5784" i="2" s="1"/>
  <c r="U5783" i="2"/>
  <c r="T5782" i="2"/>
  <c r="U5782" i="2" s="1"/>
  <c r="U5781" i="2"/>
  <c r="T5780" i="2"/>
  <c r="U5780" i="2" s="1"/>
  <c r="U5779" i="2"/>
  <c r="T5778" i="2"/>
  <c r="U5778" i="2" s="1"/>
  <c r="U5777" i="2"/>
  <c r="T5776" i="2"/>
  <c r="U5776" i="2" s="1"/>
  <c r="U5775" i="2"/>
  <c r="T5774" i="2"/>
  <c r="U5774" i="2" s="1"/>
  <c r="U5773" i="2"/>
  <c r="T5772" i="2"/>
  <c r="U5772" i="2" s="1"/>
  <c r="T5771" i="2"/>
  <c r="U5771" i="2" s="1"/>
  <c r="U5770" i="2"/>
  <c r="T5769" i="2"/>
  <c r="U5769" i="2" s="1"/>
  <c r="U5768" i="2"/>
  <c r="T5767" i="2"/>
  <c r="U5767" i="2" s="1"/>
  <c r="U5766" i="2"/>
  <c r="T5765" i="2"/>
  <c r="U5765" i="2" s="1"/>
  <c r="U5764" i="2"/>
  <c r="T5763" i="2"/>
  <c r="U5763" i="2" s="1"/>
  <c r="U5762" i="2"/>
  <c r="S5761" i="2"/>
  <c r="T5761" i="2" s="1"/>
  <c r="U5761" i="2" s="1"/>
  <c r="U5760" i="2"/>
  <c r="S5760" i="2"/>
  <c r="T5759" i="2"/>
  <c r="U5759" i="2" s="1"/>
  <c r="U5758" i="2"/>
  <c r="U5755" i="2"/>
  <c r="U5754" i="2"/>
  <c r="U5751" i="2"/>
  <c r="U5750" i="2"/>
  <c r="U5747" i="2"/>
  <c r="U5746" i="2"/>
  <c r="U5743" i="2"/>
  <c r="U5742" i="2"/>
  <c r="U5739" i="2"/>
  <c r="U5738" i="2"/>
  <c r="U5735" i="2"/>
  <c r="U5734" i="2"/>
  <c r="T5733" i="2"/>
  <c r="U5733" i="2" s="1"/>
  <c r="U5732" i="2"/>
  <c r="T5731" i="2"/>
  <c r="U5731" i="2" s="1"/>
  <c r="U5730" i="2"/>
  <c r="U5727" i="2"/>
  <c r="U5726" i="2"/>
  <c r="U5723" i="2"/>
  <c r="U5722" i="2"/>
  <c r="U5719" i="2"/>
  <c r="U5718" i="2"/>
  <c r="U5715" i="2"/>
  <c r="U5714" i="2"/>
  <c r="U5711" i="2"/>
  <c r="U5710" i="2"/>
  <c r="U5707" i="2"/>
  <c r="U5706" i="2"/>
  <c r="U5703" i="2"/>
  <c r="U5702" i="2"/>
  <c r="T5701" i="2"/>
  <c r="U5701" i="2" s="1"/>
  <c r="U5700" i="2"/>
  <c r="T5699" i="2"/>
  <c r="U5699" i="2" s="1"/>
  <c r="U5698" i="2"/>
  <c r="T5697" i="2"/>
  <c r="U5697" i="2" s="1"/>
  <c r="U5696" i="2"/>
  <c r="U5693" i="2"/>
  <c r="U5692" i="2"/>
  <c r="T5691" i="2"/>
  <c r="U5691" i="2" s="1"/>
  <c r="U5690" i="2"/>
  <c r="T5689" i="2"/>
  <c r="U5689" i="2" s="1"/>
  <c r="U5688" i="2"/>
  <c r="T5687" i="2"/>
  <c r="U5687" i="2" s="1"/>
  <c r="U5686" i="2"/>
  <c r="T5685" i="2"/>
  <c r="U5685" i="2" s="1"/>
  <c r="U5684" i="2"/>
  <c r="U5681" i="2"/>
  <c r="U5680" i="2"/>
  <c r="U5677" i="2"/>
  <c r="U5676" i="2"/>
  <c r="U5673" i="2"/>
  <c r="U5672" i="2"/>
  <c r="U5669" i="2"/>
  <c r="U5668" i="2"/>
  <c r="T5667" i="2"/>
  <c r="U5667" i="2" s="1"/>
  <c r="U5666" i="2"/>
  <c r="U5665" i="2"/>
  <c r="U5662" i="2"/>
  <c r="U5661" i="2"/>
  <c r="U5658" i="2"/>
  <c r="U5657" i="2"/>
  <c r="T5656" i="2"/>
  <c r="U5656" i="2" s="1"/>
  <c r="U5655" i="2"/>
  <c r="T5654" i="2"/>
  <c r="U5654" i="2" s="1"/>
  <c r="U5653" i="2"/>
  <c r="T5652" i="2"/>
  <c r="U5652" i="2" s="1"/>
  <c r="U5651" i="2"/>
  <c r="T5650" i="2"/>
  <c r="U5650" i="2" s="1"/>
  <c r="U5649" i="2"/>
  <c r="T5648" i="2"/>
  <c r="U5648" i="2" s="1"/>
  <c r="U5647" i="2"/>
  <c r="T5646" i="2"/>
  <c r="U5646" i="2" s="1"/>
  <c r="U5645" i="2"/>
  <c r="T5644" i="2"/>
  <c r="U5644" i="2" s="1"/>
  <c r="U5643" i="2"/>
  <c r="T5642" i="2"/>
  <c r="U5642" i="2" s="1"/>
  <c r="U5641" i="2"/>
  <c r="T5640" i="2"/>
  <c r="U5640" i="2" s="1"/>
  <c r="U5639" i="2"/>
  <c r="T5638" i="2"/>
  <c r="U5638" i="2" s="1"/>
  <c r="U5637" i="2"/>
  <c r="T5636" i="2"/>
  <c r="U5636" i="2" s="1"/>
  <c r="U5635" i="2"/>
  <c r="T5634" i="2"/>
  <c r="U5634" i="2" s="1"/>
  <c r="U5633" i="2"/>
  <c r="T5632" i="2"/>
  <c r="U5632" i="2" s="1"/>
  <c r="U5631" i="2"/>
  <c r="T5630" i="2"/>
  <c r="U5630" i="2" s="1"/>
  <c r="U5629" i="2"/>
  <c r="U5627" i="2"/>
  <c r="U5626" i="2"/>
  <c r="U5625" i="2"/>
  <c r="U5624" i="2"/>
  <c r="T5623" i="2"/>
  <c r="U5623" i="2" s="1"/>
  <c r="U5622" i="2"/>
  <c r="S5621" i="2"/>
  <c r="T5621" i="2" s="1"/>
  <c r="U5621" i="2" s="1"/>
  <c r="U5620" i="2"/>
  <c r="S5620" i="2"/>
  <c r="S5619" i="2"/>
  <c r="T5619" i="2" s="1"/>
  <c r="U5619" i="2" s="1"/>
  <c r="U5618" i="2"/>
  <c r="S5618" i="2"/>
  <c r="S5617" i="2"/>
  <c r="T5617" i="2" s="1"/>
  <c r="U5617" i="2" s="1"/>
  <c r="U5616" i="2"/>
  <c r="S5616" i="2"/>
  <c r="T5615" i="2"/>
  <c r="U5615" i="2" s="1"/>
  <c r="U5614" i="2"/>
  <c r="T5613" i="2"/>
  <c r="U5613" i="2" s="1"/>
  <c r="U5612" i="2"/>
  <c r="T5611" i="2"/>
  <c r="U5611" i="2" s="1"/>
  <c r="U5610" i="2"/>
  <c r="T5609" i="2"/>
  <c r="U5609" i="2" s="1"/>
  <c r="U5608" i="2"/>
  <c r="S5608" i="2"/>
  <c r="T5607" i="2"/>
  <c r="U5607" i="2" s="1"/>
  <c r="U5606" i="2"/>
  <c r="S5606" i="2"/>
  <c r="T5605" i="2"/>
  <c r="U5605" i="2" s="1"/>
  <c r="U5604" i="2"/>
  <c r="U5603" i="2"/>
  <c r="U5602" i="2"/>
  <c r="S5602" i="2"/>
  <c r="T5601" i="2"/>
  <c r="U5601" i="2" s="1"/>
  <c r="U5600" i="2"/>
  <c r="U5599" i="2"/>
  <c r="U5598" i="2"/>
  <c r="S5598" i="2"/>
  <c r="T5597" i="2"/>
  <c r="U5597" i="2" s="1"/>
  <c r="U5596" i="2"/>
  <c r="S5596" i="2"/>
  <c r="T5595" i="2"/>
  <c r="U5595" i="2" s="1"/>
  <c r="U5594" i="2"/>
  <c r="S5594" i="2"/>
  <c r="T5593" i="2"/>
  <c r="U5593" i="2" s="1"/>
  <c r="U5592" i="2"/>
  <c r="S5592" i="2"/>
  <c r="T5591" i="2"/>
  <c r="U5591" i="2" s="1"/>
  <c r="U5590" i="2"/>
  <c r="S5590" i="2"/>
  <c r="T5589" i="2"/>
  <c r="U5589" i="2" s="1"/>
  <c r="U5588" i="2"/>
  <c r="S5588" i="2"/>
  <c r="S5587" i="2"/>
  <c r="T5587" i="2" s="1"/>
  <c r="U5587" i="2" s="1"/>
  <c r="U5586" i="2"/>
  <c r="S5586" i="2"/>
  <c r="S5585" i="2"/>
  <c r="T5585" i="2" s="1"/>
  <c r="U5585" i="2" s="1"/>
  <c r="U5584" i="2"/>
  <c r="S5584" i="2"/>
  <c r="S5583" i="2"/>
  <c r="T5583" i="2" s="1"/>
  <c r="U5583" i="2" s="1"/>
  <c r="U5582" i="2"/>
  <c r="S5582" i="2"/>
  <c r="S5581" i="2"/>
  <c r="T5581" i="2" s="1"/>
  <c r="U5581" i="2" s="1"/>
  <c r="U5580" i="2"/>
  <c r="S5580" i="2"/>
  <c r="S5579" i="2"/>
  <c r="T5579" i="2" s="1"/>
  <c r="U5579" i="2" s="1"/>
  <c r="U5578" i="2"/>
  <c r="S5578" i="2"/>
  <c r="S5577" i="2"/>
  <c r="T5577" i="2" s="1"/>
  <c r="U5577" i="2" s="1"/>
  <c r="U5576" i="2"/>
  <c r="S5576" i="2"/>
  <c r="S5575" i="2"/>
  <c r="T5575" i="2" s="1"/>
  <c r="U5575" i="2" s="1"/>
  <c r="U5574" i="2"/>
  <c r="S5574" i="2"/>
  <c r="S5573" i="2"/>
  <c r="T5573" i="2" s="1"/>
  <c r="U5573" i="2" s="1"/>
  <c r="U5572" i="2"/>
  <c r="S5572" i="2"/>
  <c r="S5571" i="2"/>
  <c r="T5571" i="2" s="1"/>
  <c r="U5571" i="2" s="1"/>
  <c r="U5570" i="2"/>
  <c r="S5570" i="2"/>
  <c r="S5569" i="2"/>
  <c r="T5569" i="2" s="1"/>
  <c r="U5569" i="2" s="1"/>
  <c r="U5568" i="2"/>
  <c r="S5568" i="2"/>
  <c r="S5567" i="2"/>
  <c r="T5567" i="2" s="1"/>
  <c r="U5567" i="2" s="1"/>
  <c r="U5566" i="2"/>
  <c r="S5566" i="2"/>
  <c r="S5565" i="2"/>
  <c r="T5565" i="2" s="1"/>
  <c r="U5565" i="2" s="1"/>
  <c r="U5564" i="2"/>
  <c r="S5564" i="2"/>
  <c r="S5563" i="2"/>
  <c r="T5563" i="2" s="1"/>
  <c r="U5563" i="2" s="1"/>
  <c r="U5562" i="2"/>
  <c r="S5562" i="2"/>
  <c r="S5561" i="2"/>
  <c r="T5561" i="2" s="1"/>
  <c r="U5561" i="2" s="1"/>
  <c r="U5560" i="2"/>
  <c r="S5560" i="2"/>
  <c r="S5559" i="2"/>
  <c r="T5559" i="2" s="1"/>
  <c r="U5559" i="2" s="1"/>
  <c r="U5558" i="2"/>
  <c r="S5558" i="2"/>
  <c r="S5557" i="2"/>
  <c r="T5557" i="2" s="1"/>
  <c r="U5557" i="2" s="1"/>
  <c r="U5556" i="2"/>
  <c r="S5556" i="2"/>
  <c r="S5555" i="2"/>
  <c r="T5555" i="2" s="1"/>
  <c r="U5555" i="2" s="1"/>
  <c r="U5554" i="2"/>
  <c r="S5554" i="2"/>
  <c r="S5553" i="2"/>
  <c r="T5553" i="2" s="1"/>
  <c r="U5553" i="2" s="1"/>
  <c r="U5552" i="2"/>
  <c r="S5552" i="2"/>
  <c r="S5551" i="2"/>
  <c r="T5551" i="2" s="1"/>
  <c r="U5551" i="2" s="1"/>
  <c r="U5550" i="2"/>
  <c r="S5550" i="2"/>
  <c r="S5549" i="2"/>
  <c r="T5549" i="2" s="1"/>
  <c r="U5549" i="2" s="1"/>
  <c r="U5548" i="2"/>
  <c r="S5548" i="2"/>
  <c r="S5547" i="2"/>
  <c r="T5547" i="2" s="1"/>
  <c r="U5547" i="2" s="1"/>
  <c r="U5546" i="2"/>
  <c r="S5546" i="2"/>
  <c r="S5545" i="2"/>
  <c r="T5545" i="2" s="1"/>
  <c r="U5545" i="2" s="1"/>
  <c r="U5544" i="2"/>
  <c r="S5544" i="2"/>
  <c r="S5543" i="2"/>
  <c r="T5543" i="2" s="1"/>
  <c r="U5543" i="2" s="1"/>
  <c r="U5542" i="2"/>
  <c r="S5542" i="2"/>
  <c r="S5541" i="2"/>
  <c r="T5541" i="2" s="1"/>
  <c r="U5541" i="2" s="1"/>
  <c r="U5540" i="2"/>
  <c r="S5540" i="2"/>
  <c r="S5539" i="2"/>
  <c r="T5539" i="2" s="1"/>
  <c r="U5539" i="2" s="1"/>
  <c r="U5538" i="2"/>
  <c r="S5538" i="2"/>
  <c r="S5537" i="2"/>
  <c r="T5537" i="2" s="1"/>
  <c r="U5537" i="2" s="1"/>
  <c r="U5536" i="2"/>
  <c r="S5536" i="2"/>
  <c r="S5535" i="2"/>
  <c r="T5535" i="2" s="1"/>
  <c r="U5535" i="2" s="1"/>
  <c r="U5534" i="2"/>
  <c r="S5534" i="2"/>
  <c r="S5533" i="2"/>
  <c r="T5533" i="2" s="1"/>
  <c r="U5533" i="2" s="1"/>
  <c r="U5532" i="2"/>
  <c r="S5532" i="2"/>
  <c r="S5531" i="2"/>
  <c r="T5531" i="2" s="1"/>
  <c r="U5531" i="2" s="1"/>
  <c r="U5530" i="2"/>
  <c r="S5530" i="2"/>
  <c r="S5529" i="2"/>
  <c r="T5529" i="2" s="1"/>
  <c r="U5529" i="2" s="1"/>
  <c r="U5528" i="2"/>
  <c r="S5528" i="2"/>
  <c r="S5527" i="2"/>
  <c r="T5527" i="2" s="1"/>
  <c r="U5527" i="2" s="1"/>
  <c r="U5526" i="2"/>
  <c r="S5526" i="2"/>
  <c r="S5525" i="2"/>
  <c r="T5525" i="2" s="1"/>
  <c r="U5525" i="2" s="1"/>
  <c r="U5524" i="2"/>
  <c r="S5524" i="2"/>
  <c r="S5523" i="2"/>
  <c r="T5523" i="2" s="1"/>
  <c r="U5523" i="2" s="1"/>
  <c r="U5522" i="2"/>
  <c r="S5522" i="2"/>
  <c r="S5521" i="2"/>
  <c r="T5521" i="2" s="1"/>
  <c r="U5521" i="2" s="1"/>
  <c r="U5520" i="2"/>
  <c r="S5520" i="2"/>
  <c r="S5519" i="2"/>
  <c r="T5519" i="2" s="1"/>
  <c r="U5519" i="2" s="1"/>
  <c r="U5518" i="2"/>
  <c r="S5518" i="2"/>
  <c r="S5517" i="2"/>
  <c r="T5517" i="2" s="1"/>
  <c r="U5517" i="2" s="1"/>
  <c r="U5516" i="2"/>
  <c r="S5516" i="2"/>
  <c r="S5515" i="2"/>
  <c r="T5515" i="2" s="1"/>
  <c r="U5515" i="2" s="1"/>
  <c r="U5514" i="2"/>
  <c r="S5514" i="2"/>
  <c r="S5513" i="2"/>
  <c r="T5513" i="2" s="1"/>
  <c r="U5513" i="2" s="1"/>
  <c r="U5512" i="2"/>
  <c r="S5512" i="2"/>
  <c r="S5511" i="2"/>
  <c r="T5511" i="2" s="1"/>
  <c r="U5511" i="2" s="1"/>
  <c r="U5510" i="2"/>
  <c r="S5510" i="2"/>
  <c r="S5509" i="2"/>
  <c r="T5509" i="2" s="1"/>
  <c r="U5509" i="2" s="1"/>
  <c r="U5508" i="2"/>
  <c r="S5508" i="2"/>
  <c r="S5507" i="2"/>
  <c r="T5507" i="2" s="1"/>
  <c r="U5507" i="2" s="1"/>
  <c r="U5506" i="2"/>
  <c r="S5506" i="2"/>
  <c r="S5505" i="2"/>
  <c r="T5505" i="2" s="1"/>
  <c r="U5505" i="2" s="1"/>
  <c r="U5504" i="2"/>
  <c r="S5504" i="2"/>
  <c r="S5503" i="2"/>
  <c r="T5503" i="2" s="1"/>
  <c r="U5503" i="2" s="1"/>
  <c r="U5502" i="2"/>
  <c r="S5502" i="2"/>
  <c r="S5501" i="2"/>
  <c r="T5501" i="2" s="1"/>
  <c r="U5501" i="2" s="1"/>
  <c r="U5500" i="2"/>
  <c r="S5500" i="2"/>
  <c r="S5499" i="2"/>
  <c r="T5499" i="2" s="1"/>
  <c r="U5499" i="2" s="1"/>
  <c r="U5498" i="2"/>
  <c r="S5498" i="2"/>
  <c r="S5497" i="2"/>
  <c r="T5497" i="2" s="1"/>
  <c r="U5497" i="2" s="1"/>
  <c r="U5496" i="2"/>
  <c r="S5496" i="2"/>
  <c r="S5495" i="2"/>
  <c r="T5495" i="2" s="1"/>
  <c r="U5495" i="2" s="1"/>
  <c r="U5494" i="2"/>
  <c r="S5494" i="2"/>
  <c r="S5493" i="2"/>
  <c r="T5493" i="2" s="1"/>
  <c r="U5493" i="2" s="1"/>
  <c r="U5492" i="2"/>
  <c r="S5492" i="2"/>
  <c r="S5491" i="2"/>
  <c r="T5491" i="2" s="1"/>
  <c r="U5491" i="2" s="1"/>
  <c r="U5490" i="2"/>
  <c r="S5490" i="2"/>
  <c r="S5489" i="2"/>
  <c r="T5489" i="2" s="1"/>
  <c r="U5489" i="2" s="1"/>
  <c r="U5488" i="2"/>
  <c r="S5488" i="2"/>
  <c r="S5487" i="2"/>
  <c r="T5487" i="2" s="1"/>
  <c r="U5487" i="2" s="1"/>
  <c r="U5486" i="2"/>
  <c r="S5486" i="2"/>
  <c r="S5485" i="2"/>
  <c r="T5485" i="2" s="1"/>
  <c r="U5485" i="2" s="1"/>
  <c r="U5484" i="2"/>
  <c r="S5484" i="2"/>
  <c r="S5483" i="2"/>
  <c r="T5483" i="2" s="1"/>
  <c r="U5483" i="2" s="1"/>
  <c r="U5482" i="2"/>
  <c r="S5482" i="2"/>
  <c r="T5481" i="2"/>
  <c r="U5481" i="2" s="1"/>
  <c r="U5480" i="2"/>
  <c r="T5479" i="2"/>
  <c r="U5479" i="2" s="1"/>
  <c r="U5478" i="2"/>
  <c r="U5477" i="2"/>
  <c r="U5476" i="2"/>
  <c r="U5475" i="2"/>
  <c r="U5474" i="2"/>
  <c r="U5473" i="2"/>
  <c r="U5472" i="2"/>
  <c r="U5471" i="2"/>
  <c r="U5470" i="2"/>
  <c r="U5469" i="2"/>
  <c r="U5468" i="2"/>
  <c r="U5467" i="2"/>
  <c r="U5466" i="2"/>
  <c r="U5465" i="2"/>
  <c r="U5464" i="2"/>
  <c r="U5463" i="2"/>
  <c r="U5462" i="2"/>
  <c r="U5461" i="2"/>
  <c r="U5460" i="2"/>
  <c r="U5459" i="2"/>
  <c r="U5458" i="2"/>
  <c r="U5457" i="2"/>
  <c r="U5456" i="2"/>
  <c r="U5455" i="2"/>
  <c r="U5454" i="2"/>
  <c r="U5453" i="2"/>
  <c r="U5452" i="2"/>
  <c r="U5451" i="2"/>
  <c r="U5450" i="2"/>
  <c r="U5449" i="2"/>
  <c r="U5448" i="2"/>
  <c r="U5447" i="2"/>
  <c r="U5446" i="2"/>
  <c r="U5445" i="2"/>
  <c r="U5444" i="2"/>
  <c r="U5443" i="2"/>
  <c r="U5442" i="2"/>
  <c r="U5441" i="2"/>
  <c r="U5440" i="2"/>
  <c r="U5439" i="2"/>
  <c r="U5438" i="2"/>
  <c r="U5437" i="2"/>
  <c r="U5436" i="2"/>
  <c r="U5435" i="2"/>
  <c r="U5434" i="2"/>
  <c r="U5433" i="2"/>
  <c r="U5432" i="2"/>
  <c r="U5431" i="2"/>
  <c r="U5430" i="2"/>
  <c r="U5429" i="2"/>
  <c r="U5428" i="2"/>
  <c r="U5427" i="2"/>
  <c r="U5426" i="2"/>
  <c r="U5425" i="2"/>
  <c r="U5424" i="2"/>
  <c r="U5423" i="2"/>
  <c r="U5422" i="2"/>
  <c r="U5421" i="2"/>
  <c r="U5420" i="2"/>
  <c r="U5419" i="2"/>
  <c r="U5418" i="2"/>
  <c r="U5417" i="2"/>
  <c r="U5416" i="2"/>
  <c r="U5415" i="2"/>
  <c r="U5414" i="2"/>
  <c r="U5413" i="2"/>
  <c r="U5412" i="2"/>
  <c r="U5411" i="2"/>
  <c r="U5410" i="2"/>
  <c r="U5409" i="2"/>
  <c r="U5408" i="2"/>
  <c r="U5407" i="2"/>
  <c r="U5406" i="2"/>
  <c r="U5405" i="2"/>
  <c r="U5404" i="2"/>
  <c r="U5403" i="2"/>
  <c r="T5402" i="2"/>
  <c r="U5402" i="2" s="1"/>
  <c r="U5401" i="2"/>
  <c r="S5400" i="2"/>
  <c r="U5400" i="2" s="1"/>
  <c r="U5399" i="2"/>
  <c r="S5399" i="2"/>
  <c r="S5398" i="2"/>
  <c r="U5398" i="2" s="1"/>
  <c r="U5397" i="2"/>
  <c r="S5397" i="2"/>
  <c r="U5396" i="2"/>
  <c r="S5396" i="2"/>
  <c r="U5395" i="2"/>
  <c r="S5395" i="2"/>
  <c r="U5394" i="2"/>
  <c r="S5394" i="2"/>
  <c r="U5393" i="2"/>
  <c r="S5393" i="2"/>
  <c r="U5392" i="2"/>
  <c r="S5392" i="2"/>
  <c r="U5391" i="2"/>
  <c r="S5391" i="2"/>
  <c r="U5390" i="2"/>
  <c r="S5390" i="2"/>
  <c r="U5389" i="2"/>
  <c r="S5389" i="2"/>
  <c r="U5388" i="2"/>
  <c r="S5388" i="2"/>
  <c r="U5387" i="2"/>
  <c r="S5387" i="2"/>
  <c r="U5386" i="2"/>
  <c r="S5386" i="2"/>
  <c r="U5385" i="2"/>
  <c r="S5385" i="2"/>
  <c r="U5384" i="2"/>
  <c r="S5384" i="2"/>
  <c r="U5383" i="2"/>
  <c r="S5383" i="2"/>
  <c r="U5382" i="2"/>
  <c r="S5382" i="2"/>
  <c r="U5381" i="2"/>
  <c r="S5381" i="2"/>
  <c r="U5380" i="2"/>
  <c r="S5380" i="2"/>
  <c r="U5379" i="2"/>
  <c r="S5379" i="2"/>
  <c r="U5378" i="2"/>
  <c r="S5378" i="2"/>
  <c r="U5377" i="2"/>
  <c r="S5377" i="2"/>
  <c r="U5376" i="2"/>
  <c r="S5376" i="2"/>
  <c r="U5375" i="2"/>
  <c r="S5375" i="2"/>
  <c r="S5374" i="2"/>
  <c r="T5374" i="2" s="1"/>
  <c r="U5374" i="2" s="1"/>
  <c r="U5373" i="2"/>
  <c r="S5373" i="2"/>
  <c r="U5372" i="2"/>
  <c r="S5372" i="2"/>
  <c r="U5371" i="2"/>
  <c r="S5371" i="2"/>
  <c r="U5370" i="2"/>
  <c r="S5370" i="2"/>
  <c r="U5369" i="2"/>
  <c r="S5369" i="2"/>
  <c r="U5368" i="2"/>
  <c r="S5368" i="2"/>
  <c r="U5367" i="2"/>
  <c r="S5367" i="2"/>
  <c r="S5366" i="2"/>
  <c r="T5366" i="2" s="1"/>
  <c r="U5366" i="2" s="1"/>
  <c r="U5365" i="2"/>
  <c r="S5365" i="2"/>
  <c r="U5364" i="2"/>
  <c r="S5364" i="2"/>
  <c r="U5363" i="2"/>
  <c r="S5363" i="2"/>
  <c r="U5362" i="2"/>
  <c r="S5362" i="2"/>
  <c r="U5361" i="2"/>
  <c r="S5361" i="2"/>
  <c r="S5360" i="2"/>
  <c r="T5360" i="2" s="1"/>
  <c r="U5360" i="2" s="1"/>
  <c r="U5359" i="2"/>
  <c r="S5359" i="2"/>
  <c r="S5358" i="2"/>
  <c r="T5358" i="2" s="1"/>
  <c r="U5358" i="2" s="1"/>
  <c r="U5357" i="2"/>
  <c r="S5357" i="2"/>
  <c r="U5356" i="2"/>
  <c r="S5356" i="2"/>
  <c r="U5355" i="2"/>
  <c r="S5355" i="2"/>
  <c r="S5354" i="2"/>
  <c r="T5354" i="2" s="1"/>
  <c r="U5354" i="2" s="1"/>
  <c r="U5353" i="2"/>
  <c r="S5353" i="2"/>
  <c r="U5352" i="2"/>
  <c r="S5352" i="2"/>
  <c r="U5351" i="2"/>
  <c r="S5351" i="2"/>
  <c r="U5350" i="2"/>
  <c r="U5349" i="2"/>
  <c r="U5348" i="2"/>
  <c r="U5347" i="2"/>
  <c r="U5346" i="2"/>
  <c r="U5345" i="2"/>
  <c r="U5344" i="2"/>
  <c r="U5343" i="2"/>
  <c r="U5342" i="2"/>
  <c r="U5341" i="2"/>
  <c r="U5340" i="2"/>
  <c r="U5339" i="2"/>
  <c r="U5338" i="2"/>
  <c r="U5337" i="2"/>
  <c r="U5336" i="2"/>
  <c r="U5335" i="2"/>
  <c r="U5334" i="2"/>
  <c r="U5333" i="2"/>
  <c r="U5332" i="2"/>
  <c r="U5331" i="2"/>
  <c r="U5330" i="2"/>
  <c r="U5329" i="2"/>
  <c r="S5328" i="2"/>
  <c r="U5328" i="2" s="1"/>
  <c r="U5327" i="2"/>
  <c r="S5327" i="2"/>
  <c r="U5325" i="2"/>
  <c r="U5324" i="2"/>
  <c r="U5323" i="2"/>
  <c r="S5323" i="2"/>
  <c r="U5322" i="2"/>
  <c r="S5322" i="2"/>
  <c r="U5320" i="2"/>
  <c r="U5319" i="2"/>
  <c r="U5318" i="2"/>
  <c r="U5317" i="2"/>
  <c r="S5316" i="2"/>
  <c r="T5316" i="2" s="1"/>
  <c r="U5316" i="2" s="1"/>
  <c r="U5315" i="2"/>
  <c r="S5315" i="2"/>
  <c r="S5314" i="2"/>
  <c r="T5314" i="2" s="1"/>
  <c r="U5314" i="2" s="1"/>
  <c r="U5313" i="2"/>
  <c r="S5313" i="2"/>
  <c r="S5312" i="2"/>
  <c r="T5312" i="2" s="1"/>
  <c r="U5312" i="2" s="1"/>
  <c r="U5311" i="2"/>
  <c r="S5311" i="2"/>
  <c r="S5310" i="2"/>
  <c r="T5310" i="2" s="1"/>
  <c r="U5310" i="2" s="1"/>
  <c r="U5309" i="2"/>
  <c r="S5309" i="2"/>
  <c r="S5308" i="2"/>
  <c r="T5308" i="2" s="1"/>
  <c r="U5308" i="2" s="1"/>
  <c r="U5307" i="2"/>
  <c r="S5307" i="2"/>
  <c r="S5306" i="2"/>
  <c r="T5306" i="2" s="1"/>
  <c r="U5306" i="2" s="1"/>
  <c r="U5305" i="2"/>
  <c r="S5305" i="2"/>
  <c r="T5304" i="2"/>
  <c r="U5304" i="2" s="1"/>
  <c r="U5303" i="2"/>
  <c r="T5302" i="2"/>
  <c r="U5302" i="2" s="1"/>
  <c r="U5301" i="2"/>
  <c r="U5300" i="2"/>
  <c r="T5299" i="2"/>
  <c r="U5299" i="2" s="1"/>
  <c r="U5298" i="2"/>
  <c r="T5297" i="2"/>
  <c r="U5297" i="2" s="1"/>
  <c r="U5296" i="2"/>
  <c r="T5295" i="2"/>
  <c r="U5295" i="2" s="1"/>
  <c r="U5294" i="2"/>
  <c r="T5293" i="2"/>
  <c r="U5293" i="2" s="1"/>
  <c r="U5292" i="2"/>
  <c r="T5291" i="2"/>
  <c r="U5291" i="2" s="1"/>
  <c r="U5290" i="2"/>
  <c r="T5289" i="2"/>
  <c r="U5289" i="2" s="1"/>
  <c r="U5288" i="2"/>
  <c r="T5287" i="2"/>
  <c r="U5287" i="2" s="1"/>
  <c r="U5286" i="2"/>
  <c r="T5285" i="2"/>
  <c r="U5285" i="2" s="1"/>
  <c r="U5284" i="2"/>
  <c r="T5283" i="2"/>
  <c r="U5283" i="2" s="1"/>
  <c r="U5282" i="2"/>
  <c r="U5281" i="2"/>
  <c r="U5280" i="2"/>
  <c r="S5279" i="2"/>
  <c r="T5279" i="2" s="1"/>
  <c r="U5279" i="2" s="1"/>
  <c r="U5278" i="2"/>
  <c r="S5278" i="2"/>
  <c r="U5277" i="2"/>
  <c r="U5276" i="2"/>
  <c r="U5275" i="2"/>
  <c r="S5275" i="2"/>
  <c r="U5274" i="2"/>
  <c r="S5274" i="2"/>
  <c r="S5273" i="2"/>
  <c r="T5273" i="2" s="1"/>
  <c r="U5273" i="2" s="1"/>
  <c r="U5272" i="2"/>
  <c r="S5272" i="2"/>
  <c r="S5271" i="2"/>
  <c r="T5271" i="2" s="1"/>
  <c r="U5271" i="2" s="1"/>
  <c r="U5270" i="2"/>
  <c r="S5270" i="2"/>
  <c r="S5269" i="2"/>
  <c r="T5269" i="2" s="1"/>
  <c r="U5269" i="2" s="1"/>
  <c r="U5268" i="2"/>
  <c r="S5268" i="2"/>
  <c r="S5267" i="2"/>
  <c r="T5267" i="2" s="1"/>
  <c r="U5267" i="2" s="1"/>
  <c r="U5266" i="2"/>
  <c r="S5266" i="2"/>
  <c r="S5265" i="2"/>
  <c r="T5265" i="2" s="1"/>
  <c r="U5265" i="2" s="1"/>
  <c r="U5264" i="2"/>
  <c r="S5264" i="2"/>
  <c r="S5263" i="2"/>
  <c r="T5263" i="2" s="1"/>
  <c r="U5263" i="2" s="1"/>
  <c r="U5262" i="2"/>
  <c r="S5262" i="2"/>
  <c r="S5261" i="2"/>
  <c r="T5261" i="2" s="1"/>
  <c r="U5261" i="2" s="1"/>
  <c r="U5260" i="2"/>
  <c r="S5260" i="2"/>
  <c r="S5259" i="2"/>
  <c r="T5259" i="2" s="1"/>
  <c r="U5259" i="2" s="1"/>
  <c r="U5258" i="2"/>
  <c r="S5258" i="2"/>
  <c r="S5257" i="2"/>
  <c r="T5257" i="2" s="1"/>
  <c r="U5257" i="2" s="1"/>
  <c r="U5256" i="2"/>
  <c r="S5256" i="2"/>
  <c r="S5255" i="2"/>
  <c r="T5255" i="2" s="1"/>
  <c r="U5255" i="2" s="1"/>
  <c r="U5254" i="2"/>
  <c r="S5254" i="2"/>
  <c r="S5253" i="2"/>
  <c r="T5253" i="2" s="1"/>
  <c r="U5253" i="2" s="1"/>
  <c r="U5252" i="2"/>
  <c r="S5252" i="2"/>
  <c r="S5251" i="2"/>
  <c r="T5251" i="2" s="1"/>
  <c r="U5251" i="2" s="1"/>
  <c r="U5250" i="2"/>
  <c r="S5250" i="2"/>
  <c r="S5249" i="2"/>
  <c r="T5249" i="2" s="1"/>
  <c r="U5249" i="2" s="1"/>
  <c r="U5248" i="2"/>
  <c r="S5248" i="2"/>
  <c r="S5247" i="2"/>
  <c r="T5247" i="2" s="1"/>
  <c r="U5247" i="2" s="1"/>
  <c r="U5246" i="2"/>
  <c r="S5246" i="2"/>
  <c r="S5245" i="2"/>
  <c r="T5245" i="2" s="1"/>
  <c r="U5245" i="2" s="1"/>
  <c r="U5244" i="2"/>
  <c r="S5244" i="2"/>
  <c r="S5243" i="2"/>
  <c r="T5243" i="2" s="1"/>
  <c r="U5243" i="2" s="1"/>
  <c r="U5242" i="2"/>
  <c r="S5242" i="2"/>
  <c r="T5241" i="2"/>
  <c r="U5241" i="2" s="1"/>
  <c r="U5240" i="2"/>
  <c r="S5240" i="2"/>
  <c r="U5239" i="2"/>
  <c r="S5239" i="2"/>
  <c r="S5238" i="2"/>
  <c r="T5238" i="2" s="1"/>
  <c r="U5238" i="2" s="1"/>
  <c r="U5237" i="2"/>
  <c r="S5237" i="2"/>
  <c r="S5236" i="2"/>
  <c r="T5236" i="2" s="1"/>
  <c r="U5236" i="2" s="1"/>
  <c r="U5235" i="2"/>
  <c r="S5235" i="2"/>
  <c r="S5234" i="2"/>
  <c r="T5234" i="2" s="1"/>
  <c r="U5234" i="2" s="1"/>
  <c r="U5233" i="2"/>
  <c r="S5233" i="2"/>
  <c r="S5232" i="2"/>
  <c r="T5232" i="2" s="1"/>
  <c r="U5232" i="2" s="1"/>
  <c r="U5231" i="2"/>
  <c r="S5231" i="2"/>
  <c r="S5230" i="2"/>
  <c r="T5230" i="2" s="1"/>
  <c r="U5230" i="2" s="1"/>
  <c r="U5229" i="2"/>
  <c r="S5229" i="2"/>
  <c r="S5228" i="2"/>
  <c r="T5228" i="2" s="1"/>
  <c r="U5228" i="2" s="1"/>
  <c r="U5227" i="2"/>
  <c r="S5227" i="2"/>
  <c r="S5226" i="2"/>
  <c r="T5226" i="2" s="1"/>
  <c r="U5226" i="2" s="1"/>
  <c r="U5225" i="2"/>
  <c r="S5225" i="2"/>
  <c r="S5224" i="2"/>
  <c r="T5224" i="2" s="1"/>
  <c r="U5224" i="2" s="1"/>
  <c r="U5223" i="2"/>
  <c r="S5223" i="2"/>
  <c r="S5222" i="2"/>
  <c r="T5222" i="2" s="1"/>
  <c r="U5222" i="2" s="1"/>
  <c r="U5221" i="2"/>
  <c r="S5221" i="2"/>
  <c r="S5220" i="2"/>
  <c r="T5220" i="2" s="1"/>
  <c r="U5220" i="2" s="1"/>
  <c r="U5219" i="2"/>
  <c r="S5219" i="2"/>
  <c r="S5218" i="2"/>
  <c r="T5218" i="2" s="1"/>
  <c r="U5218" i="2" s="1"/>
  <c r="U5217" i="2"/>
  <c r="S5217" i="2"/>
  <c r="S5216" i="2"/>
  <c r="T5216" i="2" s="1"/>
  <c r="U5216" i="2" s="1"/>
  <c r="U5215" i="2"/>
  <c r="S5215" i="2"/>
  <c r="S5214" i="2"/>
  <c r="T5214" i="2" s="1"/>
  <c r="U5214" i="2" s="1"/>
  <c r="U5213" i="2"/>
  <c r="S5213" i="2"/>
  <c r="S5212" i="2"/>
  <c r="T5212" i="2" s="1"/>
  <c r="U5212" i="2" s="1"/>
  <c r="U5211" i="2"/>
  <c r="S5211" i="2"/>
  <c r="S5210" i="2"/>
  <c r="T5210" i="2" s="1"/>
  <c r="U5210" i="2" s="1"/>
  <c r="U5209" i="2"/>
  <c r="S5209" i="2"/>
  <c r="S5208" i="2"/>
  <c r="T5208" i="2" s="1"/>
  <c r="U5208" i="2" s="1"/>
  <c r="U5207" i="2"/>
  <c r="S5207" i="2"/>
  <c r="S5206" i="2"/>
  <c r="T5206" i="2" s="1"/>
  <c r="U5206" i="2" s="1"/>
  <c r="U5205" i="2"/>
  <c r="S5205" i="2"/>
  <c r="S5204" i="2"/>
  <c r="T5204" i="2" s="1"/>
  <c r="U5204" i="2" s="1"/>
  <c r="U5203" i="2"/>
  <c r="S5203" i="2"/>
  <c r="S5202" i="2"/>
  <c r="T5202" i="2" s="1"/>
  <c r="U5202" i="2" s="1"/>
  <c r="U5201" i="2"/>
  <c r="S5201" i="2"/>
  <c r="S5200" i="2"/>
  <c r="T5200" i="2" s="1"/>
  <c r="U5200" i="2" s="1"/>
  <c r="U5199" i="2"/>
  <c r="S5199" i="2"/>
  <c r="S5198" i="2"/>
  <c r="T5198" i="2" s="1"/>
  <c r="U5198" i="2" s="1"/>
  <c r="U5197" i="2"/>
  <c r="S5197" i="2"/>
  <c r="S5196" i="2"/>
  <c r="T5196" i="2" s="1"/>
  <c r="U5196" i="2" s="1"/>
  <c r="U5195" i="2"/>
  <c r="S5195" i="2"/>
  <c r="S5194" i="2"/>
  <c r="T5194" i="2" s="1"/>
  <c r="U5194" i="2" s="1"/>
  <c r="U5193" i="2"/>
  <c r="S5193" i="2"/>
  <c r="S5192" i="2"/>
  <c r="T5192" i="2" s="1"/>
  <c r="U5192" i="2" s="1"/>
  <c r="U5191" i="2"/>
  <c r="S5191" i="2"/>
  <c r="S5190" i="2"/>
  <c r="T5190" i="2" s="1"/>
  <c r="U5190" i="2" s="1"/>
  <c r="U5189" i="2"/>
  <c r="S5189" i="2"/>
  <c r="S5188" i="2"/>
  <c r="T5188" i="2" s="1"/>
  <c r="U5188" i="2" s="1"/>
  <c r="U5187" i="2"/>
  <c r="S5187" i="2"/>
  <c r="T5186" i="2"/>
  <c r="U5186" i="2" s="1"/>
  <c r="U5185" i="2"/>
  <c r="S5185" i="2"/>
  <c r="U5184" i="2"/>
  <c r="S5184" i="2"/>
  <c r="T5183" i="2"/>
  <c r="U5183" i="2" s="1"/>
  <c r="U5182" i="2"/>
  <c r="U5181" i="2"/>
  <c r="S5181" i="2"/>
  <c r="U5180" i="2"/>
  <c r="S5180" i="2"/>
  <c r="T5179" i="2"/>
  <c r="U5179" i="2" s="1"/>
  <c r="U5178" i="2"/>
  <c r="U5177" i="2"/>
  <c r="S5177" i="2"/>
  <c r="U5176" i="2"/>
  <c r="S5176" i="2"/>
  <c r="S5175" i="2"/>
  <c r="T5175" i="2" s="1"/>
  <c r="U5175" i="2" s="1"/>
  <c r="U5174" i="2"/>
  <c r="S5174" i="2"/>
  <c r="S5173" i="2"/>
  <c r="T5173" i="2" s="1"/>
  <c r="U5173" i="2" s="1"/>
  <c r="U5172" i="2"/>
  <c r="S5172" i="2"/>
  <c r="S5171" i="2"/>
  <c r="T5171" i="2" s="1"/>
  <c r="U5171" i="2" s="1"/>
  <c r="U5170" i="2"/>
  <c r="S5170" i="2"/>
  <c r="S5169" i="2"/>
  <c r="T5169" i="2" s="1"/>
  <c r="U5169" i="2" s="1"/>
  <c r="U5168" i="2"/>
  <c r="S5168" i="2"/>
  <c r="S5167" i="2"/>
  <c r="T5167" i="2" s="1"/>
  <c r="U5167" i="2" s="1"/>
  <c r="U5166" i="2"/>
  <c r="S5166" i="2"/>
  <c r="S5165" i="2"/>
  <c r="T5165" i="2" s="1"/>
  <c r="U5165" i="2" s="1"/>
  <c r="U5164" i="2"/>
  <c r="S5164" i="2"/>
  <c r="S5163" i="2"/>
  <c r="T5163" i="2" s="1"/>
  <c r="U5163" i="2" s="1"/>
  <c r="U5162" i="2"/>
  <c r="S5162" i="2"/>
  <c r="S5161" i="2"/>
  <c r="T5161" i="2" s="1"/>
  <c r="U5161" i="2" s="1"/>
  <c r="U5160" i="2"/>
  <c r="S5160" i="2"/>
  <c r="S5159" i="2"/>
  <c r="T5159" i="2" s="1"/>
  <c r="U5159" i="2" s="1"/>
  <c r="U5158" i="2"/>
  <c r="S5158" i="2"/>
  <c r="T5157" i="2"/>
  <c r="U5157" i="2" s="1"/>
  <c r="U5156" i="2"/>
  <c r="S5155" i="2"/>
  <c r="T5155" i="2" s="1"/>
  <c r="U5155" i="2" s="1"/>
  <c r="U5154" i="2"/>
  <c r="S5154" i="2"/>
  <c r="S5153" i="2"/>
  <c r="T5153" i="2" s="1"/>
  <c r="U5153" i="2" s="1"/>
  <c r="U5152" i="2"/>
  <c r="S5152" i="2"/>
  <c r="T5151" i="2"/>
  <c r="U5151" i="2" s="1"/>
  <c r="U5150" i="2"/>
  <c r="T5149" i="2"/>
  <c r="U5149" i="2" s="1"/>
  <c r="U5148" i="2"/>
  <c r="T5147" i="2"/>
  <c r="U5147" i="2" s="1"/>
  <c r="U5146" i="2"/>
  <c r="T5145" i="2"/>
  <c r="U5145" i="2" s="1"/>
  <c r="U5144" i="2"/>
  <c r="S5143" i="2"/>
  <c r="T5143" i="2" s="1"/>
  <c r="U5143" i="2" s="1"/>
  <c r="U5142" i="2"/>
  <c r="S5142" i="2"/>
  <c r="S5141" i="2"/>
  <c r="T5141" i="2" s="1"/>
  <c r="U5141" i="2" s="1"/>
  <c r="U5140" i="2"/>
  <c r="S5140" i="2"/>
  <c r="S5139" i="2"/>
  <c r="T5139" i="2" s="1"/>
  <c r="U5139" i="2" s="1"/>
  <c r="U5138" i="2"/>
  <c r="S5138" i="2"/>
  <c r="T5137" i="2"/>
  <c r="U5137" i="2" s="1"/>
  <c r="U5136" i="2"/>
  <c r="S5136" i="2"/>
  <c r="U5135" i="2"/>
  <c r="S5135" i="2"/>
  <c r="T5134" i="2"/>
  <c r="U5134" i="2" s="1"/>
  <c r="U5133" i="2"/>
  <c r="S5133" i="2"/>
  <c r="U5132" i="2"/>
  <c r="S5132" i="2"/>
  <c r="S5131" i="2"/>
  <c r="T5131" i="2" s="1"/>
  <c r="U5131" i="2" s="1"/>
  <c r="U5130" i="2"/>
  <c r="S5130" i="2"/>
  <c r="S5129" i="2"/>
  <c r="T5129" i="2" s="1"/>
  <c r="U5129" i="2" s="1"/>
  <c r="U5128" i="2"/>
  <c r="S5128" i="2"/>
  <c r="S5127" i="2"/>
  <c r="T5127" i="2" s="1"/>
  <c r="U5127" i="2" s="1"/>
  <c r="U5126" i="2"/>
  <c r="S5126" i="2"/>
  <c r="S5125" i="2"/>
  <c r="T5125" i="2" s="1"/>
  <c r="U5125" i="2" s="1"/>
  <c r="U5124" i="2"/>
  <c r="S5124" i="2"/>
  <c r="T5123" i="2"/>
  <c r="U5123" i="2" s="1"/>
  <c r="U5122" i="2"/>
  <c r="S5122" i="2"/>
  <c r="U5121" i="2"/>
  <c r="S5121" i="2"/>
  <c r="S5120" i="2"/>
  <c r="T5120" i="2" s="1"/>
  <c r="U5120" i="2" s="1"/>
  <c r="U5119" i="2"/>
  <c r="S5119" i="2"/>
  <c r="T5118" i="2"/>
  <c r="U5118" i="2" s="1"/>
  <c r="U5117" i="2"/>
  <c r="S5117" i="2"/>
  <c r="U5116" i="2"/>
  <c r="S5116" i="2"/>
  <c r="T5115" i="2"/>
  <c r="U5115" i="2" s="1"/>
  <c r="U5114" i="2"/>
  <c r="S5114" i="2"/>
  <c r="U5113" i="2"/>
  <c r="S5113" i="2"/>
  <c r="T5112" i="2"/>
  <c r="U5112" i="2" s="1"/>
  <c r="U5111" i="2"/>
  <c r="S5111" i="2"/>
  <c r="U5110" i="2"/>
  <c r="S5110" i="2"/>
  <c r="T5109" i="2"/>
  <c r="U5109" i="2" s="1"/>
  <c r="U5108" i="2"/>
  <c r="S5108" i="2"/>
  <c r="U5107" i="2"/>
  <c r="S5107" i="2"/>
  <c r="S5106" i="2"/>
  <c r="T5106" i="2" s="1"/>
  <c r="U5106" i="2" s="1"/>
  <c r="U5105" i="2"/>
  <c r="S5105" i="2"/>
  <c r="T5104" i="2"/>
  <c r="U5104" i="2" s="1"/>
  <c r="U5103" i="2"/>
  <c r="S5103" i="2"/>
  <c r="U5102" i="2"/>
  <c r="S5102" i="2"/>
  <c r="T5101" i="2"/>
  <c r="U5101" i="2" s="1"/>
  <c r="U5100" i="2"/>
  <c r="S5100" i="2"/>
  <c r="U5099" i="2"/>
  <c r="S5099" i="2"/>
  <c r="T5098" i="2"/>
  <c r="U5098" i="2" s="1"/>
  <c r="U5097" i="2"/>
  <c r="S5097" i="2"/>
  <c r="U5096" i="2"/>
  <c r="S5096" i="2"/>
  <c r="S5095" i="2"/>
  <c r="T5095" i="2" s="1"/>
  <c r="U5095" i="2" s="1"/>
  <c r="U5094" i="2"/>
  <c r="S5094" i="2"/>
  <c r="S5093" i="2"/>
  <c r="T5093" i="2" s="1"/>
  <c r="U5093" i="2" s="1"/>
  <c r="U5092" i="2"/>
  <c r="S5092" i="2"/>
  <c r="T5091" i="2"/>
  <c r="U5091" i="2" s="1"/>
  <c r="U5090" i="2"/>
  <c r="S5089" i="2"/>
  <c r="T5089" i="2" s="1"/>
  <c r="U5089" i="2" s="1"/>
  <c r="U5088" i="2"/>
  <c r="S5088" i="2"/>
  <c r="S5087" i="2"/>
  <c r="T5087" i="2" s="1"/>
  <c r="U5087" i="2" s="1"/>
  <c r="U5086" i="2"/>
  <c r="S5086" i="2"/>
  <c r="T5085" i="2"/>
  <c r="U5085" i="2" s="1"/>
  <c r="U5084" i="2"/>
  <c r="S5084" i="2"/>
  <c r="U5083" i="2"/>
  <c r="S5083" i="2"/>
  <c r="S5082" i="2"/>
  <c r="T5082" i="2" s="1"/>
  <c r="U5082" i="2" s="1"/>
  <c r="U5081" i="2"/>
  <c r="S5081" i="2"/>
  <c r="S5080" i="2"/>
  <c r="T5080" i="2" s="1"/>
  <c r="U5080" i="2" s="1"/>
  <c r="U5079" i="2"/>
  <c r="S5079" i="2"/>
  <c r="S5078" i="2"/>
  <c r="T5078" i="2" s="1"/>
  <c r="U5078" i="2" s="1"/>
  <c r="U5077" i="2"/>
  <c r="S5077" i="2"/>
  <c r="T5076" i="2"/>
  <c r="U5076" i="2" s="1"/>
  <c r="U5075" i="2"/>
  <c r="U5074" i="2"/>
  <c r="S5073" i="2"/>
  <c r="T5073" i="2" s="1"/>
  <c r="U5073" i="2" s="1"/>
  <c r="U5072" i="2"/>
  <c r="S5072" i="2"/>
  <c r="S5071" i="2"/>
  <c r="T5071" i="2" s="1"/>
  <c r="U5071" i="2" s="1"/>
  <c r="U5070" i="2"/>
  <c r="S5070" i="2"/>
  <c r="S5069" i="2"/>
  <c r="T5069" i="2" s="1"/>
  <c r="U5069" i="2" s="1"/>
  <c r="U5068" i="2"/>
  <c r="S5068" i="2"/>
  <c r="S5067" i="2"/>
  <c r="T5067" i="2" s="1"/>
  <c r="U5067" i="2" s="1"/>
  <c r="U5066" i="2"/>
  <c r="S5066" i="2"/>
  <c r="T5065" i="2"/>
  <c r="U5065" i="2" s="1"/>
  <c r="U5064" i="2"/>
  <c r="S5064" i="2"/>
  <c r="U5063" i="2"/>
  <c r="S5063" i="2"/>
  <c r="T5062" i="2"/>
  <c r="U5062" i="2" s="1"/>
  <c r="U5061" i="2"/>
  <c r="S5060" i="2"/>
  <c r="T5060" i="2" s="1"/>
  <c r="U5060" i="2" s="1"/>
  <c r="U5059" i="2"/>
  <c r="S5059" i="2"/>
  <c r="S5058" i="2"/>
  <c r="T5058" i="2" s="1"/>
  <c r="U5058" i="2" s="1"/>
  <c r="U5057" i="2"/>
  <c r="S5057" i="2"/>
  <c r="S5056" i="2"/>
  <c r="T5056" i="2" s="1"/>
  <c r="U5056" i="2" s="1"/>
  <c r="U5055" i="2"/>
  <c r="S5055" i="2"/>
  <c r="S5054" i="2"/>
  <c r="T5054" i="2" s="1"/>
  <c r="U5054" i="2" s="1"/>
  <c r="U5053" i="2"/>
  <c r="S5053" i="2"/>
  <c r="U5052" i="2"/>
  <c r="U5051" i="2"/>
  <c r="U5050" i="2"/>
  <c r="S5050" i="2"/>
  <c r="U5049" i="2"/>
  <c r="S5049" i="2"/>
  <c r="T5048" i="2"/>
  <c r="U5048" i="2" s="1"/>
  <c r="U5047" i="2"/>
  <c r="S5047" i="2"/>
  <c r="U5046" i="2"/>
  <c r="S5046" i="2"/>
  <c r="T5045" i="2"/>
  <c r="U5045" i="2" s="1"/>
  <c r="U5044" i="2"/>
  <c r="T5043" i="2"/>
  <c r="U5043" i="2" s="1"/>
  <c r="U5042" i="2"/>
  <c r="T5041" i="2"/>
  <c r="U5041" i="2" s="1"/>
  <c r="U5040" i="2"/>
  <c r="T5039" i="2"/>
  <c r="U5039" i="2" s="1"/>
  <c r="U5038" i="2"/>
  <c r="T5037" i="2"/>
  <c r="U5037" i="2" s="1"/>
  <c r="U5036" i="2"/>
  <c r="T5035" i="2"/>
  <c r="U5035" i="2" s="1"/>
  <c r="U5034" i="2"/>
  <c r="U5033" i="2"/>
  <c r="T5032" i="2"/>
  <c r="U5032" i="2" s="1"/>
  <c r="U5031" i="2"/>
  <c r="S5031" i="2"/>
  <c r="U5030" i="2"/>
  <c r="S5030" i="2"/>
  <c r="T5029" i="2"/>
  <c r="U5029" i="2" s="1"/>
  <c r="U5028" i="2"/>
  <c r="S5028" i="2"/>
  <c r="U5027" i="2"/>
  <c r="S5027" i="2"/>
  <c r="S5026" i="2"/>
  <c r="T5026" i="2" s="1"/>
  <c r="U5026" i="2" s="1"/>
  <c r="U5025" i="2"/>
  <c r="S5025" i="2"/>
  <c r="S5024" i="2"/>
  <c r="T5024" i="2" s="1"/>
  <c r="U5024" i="2" s="1"/>
  <c r="U5023" i="2"/>
  <c r="S5023" i="2"/>
  <c r="T5022" i="2"/>
  <c r="U5022" i="2" s="1"/>
  <c r="U5021" i="2"/>
  <c r="S5021" i="2"/>
  <c r="U5020" i="2"/>
  <c r="S5020" i="2"/>
  <c r="S5019" i="2"/>
  <c r="T5019" i="2" s="1"/>
  <c r="U5019" i="2" s="1"/>
  <c r="U5018" i="2"/>
  <c r="S5018" i="2"/>
  <c r="S5017" i="2"/>
  <c r="T5017" i="2" s="1"/>
  <c r="U5017" i="2" s="1"/>
  <c r="U5016" i="2"/>
  <c r="S5016" i="2"/>
  <c r="S5015" i="2"/>
  <c r="T5015" i="2" s="1"/>
  <c r="U5015" i="2" s="1"/>
  <c r="U5014" i="2"/>
  <c r="S5014" i="2"/>
  <c r="S5013" i="2"/>
  <c r="T5013" i="2" s="1"/>
  <c r="U5013" i="2" s="1"/>
  <c r="U5012" i="2"/>
  <c r="S5012" i="2"/>
  <c r="S5011" i="2"/>
  <c r="T5011" i="2" s="1"/>
  <c r="U5011" i="2" s="1"/>
  <c r="U5010" i="2"/>
  <c r="S5010" i="2"/>
  <c r="S5009" i="2"/>
  <c r="T5009" i="2" s="1"/>
  <c r="U5009" i="2" s="1"/>
  <c r="U5008" i="2"/>
  <c r="S5008" i="2"/>
  <c r="S5007" i="2"/>
  <c r="T5007" i="2" s="1"/>
  <c r="U5007" i="2" s="1"/>
  <c r="U5006" i="2"/>
  <c r="S5006" i="2"/>
  <c r="S5005" i="2"/>
  <c r="T5005" i="2" s="1"/>
  <c r="U5005" i="2" s="1"/>
  <c r="U5004" i="2"/>
  <c r="S5004" i="2"/>
  <c r="S5003" i="2"/>
  <c r="T5003" i="2" s="1"/>
  <c r="U5003" i="2" s="1"/>
  <c r="U5002" i="2"/>
  <c r="S5002" i="2"/>
  <c r="S5001" i="2"/>
  <c r="T5001" i="2" s="1"/>
  <c r="U5001" i="2" s="1"/>
  <c r="U5000" i="2"/>
  <c r="S5000" i="2"/>
  <c r="S4999" i="2"/>
  <c r="T4999" i="2" s="1"/>
  <c r="U4999" i="2" s="1"/>
  <c r="U4998" i="2"/>
  <c r="S4998" i="2"/>
  <c r="S4997" i="2"/>
  <c r="T4997" i="2" s="1"/>
  <c r="U4997" i="2" s="1"/>
  <c r="U4996" i="2"/>
  <c r="S4996" i="2"/>
  <c r="S4995" i="2"/>
  <c r="T4995" i="2" s="1"/>
  <c r="U4995" i="2" s="1"/>
  <c r="U4994" i="2"/>
  <c r="S4994" i="2"/>
  <c r="U4991" i="2"/>
  <c r="S4991" i="2"/>
  <c r="U4990" i="2"/>
  <c r="S4990" i="2"/>
  <c r="T4989" i="2"/>
  <c r="U4989" i="2" s="1"/>
  <c r="U4988" i="2"/>
  <c r="S4988" i="2"/>
  <c r="U4987" i="2"/>
  <c r="S4987" i="2"/>
  <c r="S4986" i="2"/>
  <c r="T4986" i="2" s="1"/>
  <c r="U4986" i="2" s="1"/>
  <c r="U4985" i="2"/>
  <c r="S4985" i="2"/>
  <c r="S4984" i="2"/>
  <c r="T4984" i="2" s="1"/>
  <c r="U4984" i="2" s="1"/>
  <c r="U4983" i="2"/>
  <c r="S4983" i="2"/>
  <c r="S4982" i="2"/>
  <c r="T4982" i="2" s="1"/>
  <c r="U4982" i="2" s="1"/>
  <c r="U4981" i="2"/>
  <c r="S4981" i="2"/>
  <c r="S4980" i="2"/>
  <c r="T4980" i="2" s="1"/>
  <c r="U4980" i="2" s="1"/>
  <c r="U4979" i="2"/>
  <c r="S4979" i="2"/>
  <c r="T4978" i="2"/>
  <c r="U4978" i="2" s="1"/>
  <c r="U4977" i="2"/>
  <c r="S4977" i="2"/>
  <c r="U4976" i="2"/>
  <c r="S4976" i="2"/>
  <c r="S4975" i="2"/>
  <c r="T4975" i="2" s="1"/>
  <c r="U4975" i="2" s="1"/>
  <c r="U4974" i="2"/>
  <c r="S4974" i="2"/>
  <c r="S4973" i="2"/>
  <c r="T4973" i="2" s="1"/>
  <c r="U4973" i="2" s="1"/>
  <c r="U4972" i="2"/>
  <c r="S4972" i="2"/>
  <c r="S4971" i="2"/>
  <c r="T4971" i="2" s="1"/>
  <c r="U4971" i="2" s="1"/>
  <c r="U4970" i="2"/>
  <c r="S4970" i="2"/>
  <c r="S4969" i="2"/>
  <c r="T4969" i="2" s="1"/>
  <c r="U4969" i="2" s="1"/>
  <c r="U4968" i="2"/>
  <c r="S4968" i="2"/>
  <c r="S4967" i="2"/>
  <c r="T4967" i="2" s="1"/>
  <c r="U4967" i="2" s="1"/>
  <c r="U4966" i="2"/>
  <c r="S4966" i="2"/>
  <c r="T4965" i="2"/>
  <c r="U4965" i="2" s="1"/>
  <c r="U4964" i="2"/>
  <c r="T4963" i="2"/>
  <c r="U4963" i="2" s="1"/>
  <c r="U4962" i="2"/>
  <c r="S4962" i="2"/>
  <c r="U4961" i="2"/>
  <c r="S4961" i="2"/>
  <c r="S4960" i="2"/>
  <c r="T4960" i="2" s="1"/>
  <c r="U4960" i="2" s="1"/>
  <c r="U4959" i="2"/>
  <c r="S4959" i="2"/>
  <c r="T4958" i="2"/>
  <c r="U4958" i="2" s="1"/>
  <c r="U4957" i="2"/>
  <c r="S4957" i="2"/>
  <c r="U4956" i="2"/>
  <c r="S4956" i="2"/>
  <c r="T4955" i="2"/>
  <c r="U4955" i="2" s="1"/>
  <c r="U4954" i="2"/>
  <c r="S4954" i="2"/>
  <c r="U4953" i="2"/>
  <c r="S4953" i="2"/>
  <c r="S4952" i="2"/>
  <c r="T4952" i="2" s="1"/>
  <c r="U4952" i="2" s="1"/>
  <c r="U4951" i="2"/>
  <c r="S4951" i="2"/>
  <c r="T4950" i="2"/>
  <c r="U4950" i="2" s="1"/>
  <c r="U4949" i="2"/>
  <c r="S4949" i="2"/>
  <c r="U4948" i="2"/>
  <c r="S4948" i="2"/>
  <c r="T4947" i="2"/>
  <c r="U4947" i="2" s="1"/>
  <c r="U4946" i="2"/>
  <c r="S4946" i="2"/>
  <c r="U4945" i="2"/>
  <c r="S4945" i="2"/>
  <c r="S4944" i="2"/>
  <c r="T4944" i="2" s="1"/>
  <c r="U4944" i="2" s="1"/>
  <c r="U4943" i="2"/>
  <c r="S4943" i="2"/>
  <c r="S4942" i="2"/>
  <c r="T4942" i="2" s="1"/>
  <c r="U4942" i="2" s="1"/>
  <c r="U4941" i="2"/>
  <c r="S4941" i="2"/>
  <c r="T4940" i="2"/>
  <c r="U4940" i="2" s="1"/>
  <c r="U4939" i="2"/>
  <c r="S4939" i="2"/>
  <c r="U4938" i="2"/>
  <c r="S4938" i="2"/>
  <c r="T4937" i="2"/>
  <c r="U4937" i="2" s="1"/>
  <c r="U4936" i="2"/>
  <c r="S4936" i="2"/>
  <c r="U4935" i="2"/>
  <c r="S4935" i="2"/>
  <c r="S4934" i="2"/>
  <c r="T4934" i="2" s="1"/>
  <c r="U4934" i="2" s="1"/>
  <c r="U4933" i="2"/>
  <c r="S4933" i="2"/>
  <c r="T4932" i="2"/>
  <c r="U4932" i="2" s="1"/>
  <c r="U4931" i="2"/>
  <c r="S4931" i="2"/>
  <c r="U4930" i="2"/>
  <c r="S4930" i="2"/>
  <c r="T4929" i="2"/>
  <c r="U4929" i="2" s="1"/>
  <c r="U4928" i="2"/>
  <c r="S4928" i="2"/>
  <c r="U4927" i="2"/>
  <c r="S4927" i="2"/>
  <c r="S4926" i="2"/>
  <c r="T4926" i="2" s="1"/>
  <c r="U4926" i="2" s="1"/>
  <c r="U4925" i="2"/>
  <c r="S4925" i="2"/>
  <c r="T4924" i="2"/>
  <c r="U4924" i="2" s="1"/>
  <c r="U4923" i="2"/>
  <c r="T4922" i="2"/>
  <c r="U4922" i="2" s="1"/>
  <c r="U4921" i="2"/>
  <c r="T4920" i="2"/>
  <c r="U4920" i="2" s="1"/>
  <c r="U4919" i="2"/>
  <c r="S4918" i="2"/>
  <c r="T4918" i="2" s="1"/>
  <c r="U4918" i="2" s="1"/>
  <c r="U4917" i="2"/>
  <c r="S4917" i="2"/>
  <c r="S4916" i="2"/>
  <c r="T4916" i="2" s="1"/>
  <c r="U4916" i="2" s="1"/>
  <c r="U4915" i="2"/>
  <c r="S4915" i="2"/>
  <c r="S4914" i="2"/>
  <c r="T4914" i="2" s="1"/>
  <c r="U4914" i="2" s="1"/>
  <c r="U4913" i="2"/>
  <c r="S4913" i="2"/>
  <c r="S4912" i="2"/>
  <c r="T4912" i="2" s="1"/>
  <c r="U4912" i="2" s="1"/>
  <c r="U4911" i="2"/>
  <c r="S4911" i="2"/>
  <c r="S4910" i="2"/>
  <c r="T4910" i="2" s="1"/>
  <c r="U4910" i="2" s="1"/>
  <c r="U4909" i="2"/>
  <c r="S4909" i="2"/>
  <c r="T4908" i="2"/>
  <c r="U4908" i="2" s="1"/>
  <c r="U4907" i="2"/>
  <c r="S4907" i="2"/>
  <c r="U4906" i="2"/>
  <c r="S4906" i="2"/>
  <c r="T4905" i="2"/>
  <c r="U4905" i="2" s="1"/>
  <c r="U4904" i="2"/>
  <c r="S4904" i="2"/>
  <c r="U4903" i="2"/>
  <c r="S4903" i="2"/>
  <c r="S4902" i="2"/>
  <c r="T4902" i="2" s="1"/>
  <c r="U4902" i="2" s="1"/>
  <c r="U4901" i="2"/>
  <c r="S4901" i="2"/>
  <c r="T4900" i="2"/>
  <c r="U4900" i="2" s="1"/>
  <c r="U4899" i="2"/>
  <c r="T4898" i="2"/>
  <c r="U4898" i="2" s="1"/>
  <c r="U4897" i="2"/>
  <c r="S4897" i="2"/>
  <c r="U4896" i="2"/>
  <c r="S4896" i="2"/>
  <c r="T4895" i="2"/>
  <c r="U4895" i="2" s="1"/>
  <c r="U4894" i="2"/>
  <c r="U4893" i="2"/>
  <c r="S4892" i="2"/>
  <c r="T4892" i="2" s="1"/>
  <c r="U4892" i="2" s="1"/>
  <c r="U4891" i="2"/>
  <c r="S4891" i="2"/>
  <c r="T4890" i="2"/>
  <c r="U4890" i="2" s="1"/>
  <c r="U4889" i="2"/>
  <c r="U4888" i="2"/>
  <c r="S4887" i="2"/>
  <c r="T4887" i="2" s="1"/>
  <c r="U4887" i="2" s="1"/>
  <c r="U4886" i="2"/>
  <c r="S4886" i="2"/>
  <c r="S4885" i="2"/>
  <c r="T4885" i="2" s="1"/>
  <c r="U4885" i="2" s="1"/>
  <c r="U4884" i="2"/>
  <c r="S4884" i="2"/>
  <c r="T4883" i="2"/>
  <c r="U4883" i="2" s="1"/>
  <c r="U4882" i="2"/>
  <c r="S4882" i="2"/>
  <c r="U4881" i="2"/>
  <c r="S4881" i="2"/>
  <c r="T4880" i="2"/>
  <c r="U4880" i="2" s="1"/>
  <c r="U4879" i="2"/>
  <c r="S4879" i="2"/>
  <c r="U4878" i="2"/>
  <c r="S4878" i="2"/>
  <c r="S4877" i="2"/>
  <c r="T4877" i="2" s="1"/>
  <c r="U4877" i="2" s="1"/>
  <c r="U4876" i="2"/>
  <c r="S4876" i="2"/>
  <c r="S4875" i="2"/>
  <c r="T4875" i="2" s="1"/>
  <c r="U4875" i="2" s="1"/>
  <c r="U4874" i="2"/>
  <c r="S4874" i="2"/>
  <c r="S4873" i="2"/>
  <c r="T4873" i="2" s="1"/>
  <c r="U4873" i="2" s="1"/>
  <c r="U4872" i="2"/>
  <c r="S4872" i="2"/>
  <c r="T4871" i="2"/>
  <c r="U4871" i="2" s="1"/>
  <c r="U4870" i="2"/>
  <c r="S4870" i="2"/>
  <c r="U4869" i="2"/>
  <c r="S4869" i="2"/>
  <c r="S4868" i="2"/>
  <c r="T4868" i="2" s="1"/>
  <c r="U4868" i="2" s="1"/>
  <c r="U4867" i="2"/>
  <c r="S4867" i="2"/>
  <c r="T4866" i="2"/>
  <c r="U4866" i="2" s="1"/>
  <c r="U4865" i="2"/>
  <c r="S4865" i="2"/>
  <c r="U4864" i="2"/>
  <c r="S4864" i="2"/>
  <c r="S4863" i="2"/>
  <c r="T4863" i="2" s="1"/>
  <c r="U4863" i="2" s="1"/>
  <c r="U4862" i="2"/>
  <c r="S4862" i="2"/>
  <c r="T4861" i="2"/>
  <c r="U4861" i="2" s="1"/>
  <c r="U4860" i="2"/>
  <c r="S4860" i="2"/>
  <c r="U4859" i="2"/>
  <c r="S4859" i="2"/>
  <c r="T4858" i="2"/>
  <c r="U4858" i="2" s="1"/>
  <c r="U4857" i="2"/>
  <c r="S4857" i="2"/>
  <c r="U4856" i="2"/>
  <c r="S4856" i="2"/>
  <c r="S4855" i="2"/>
  <c r="T4855" i="2" s="1"/>
  <c r="U4855" i="2" s="1"/>
  <c r="U4854" i="2"/>
  <c r="S4854" i="2"/>
  <c r="T4853" i="2"/>
  <c r="U4853" i="2" s="1"/>
  <c r="U4852" i="2"/>
  <c r="S4851" i="2"/>
  <c r="T4851" i="2" s="1"/>
  <c r="U4851" i="2" s="1"/>
  <c r="U4850" i="2"/>
  <c r="S4850" i="2"/>
  <c r="T4849" i="2"/>
  <c r="U4849" i="2" s="1"/>
  <c r="U4848" i="2"/>
  <c r="T4847" i="2"/>
  <c r="U4847" i="2" s="1"/>
  <c r="U4846" i="2"/>
  <c r="T4845" i="2"/>
  <c r="U4845" i="2" s="1"/>
  <c r="U4844" i="2"/>
  <c r="T4843" i="2"/>
  <c r="U4843" i="2" s="1"/>
  <c r="U4842" i="2"/>
  <c r="S4841" i="2"/>
  <c r="T4841" i="2" s="1"/>
  <c r="U4841" i="2" s="1"/>
  <c r="U4840" i="2"/>
  <c r="S4840" i="2"/>
  <c r="S4839" i="2"/>
  <c r="T4839" i="2" s="1"/>
  <c r="U4839" i="2" s="1"/>
  <c r="U4838" i="2"/>
  <c r="S4838" i="2"/>
  <c r="T4837" i="2"/>
  <c r="U4837" i="2" s="1"/>
  <c r="U4836" i="2"/>
  <c r="U4835" i="2"/>
  <c r="S4834" i="2"/>
  <c r="T4834" i="2" s="1"/>
  <c r="U4834" i="2" s="1"/>
  <c r="U4833" i="2"/>
  <c r="S4833" i="2"/>
  <c r="T4832" i="2"/>
  <c r="U4832" i="2" s="1"/>
  <c r="T4831" i="2"/>
  <c r="U4831" i="2" s="1"/>
  <c r="T4830" i="2"/>
  <c r="U4830" i="2" s="1"/>
  <c r="T4829" i="2"/>
  <c r="U4829" i="2" s="1"/>
  <c r="S4828" i="2"/>
  <c r="T4828" i="2" s="1"/>
  <c r="U4828" i="2" s="1"/>
  <c r="S4827" i="2"/>
  <c r="T4827" i="2" s="1"/>
  <c r="U4827" i="2" s="1"/>
  <c r="S4826" i="2"/>
  <c r="T4826" i="2" s="1"/>
  <c r="U4826" i="2" s="1"/>
  <c r="S4825" i="2"/>
  <c r="T4825" i="2" s="1"/>
  <c r="U4825" i="2" s="1"/>
  <c r="S4824" i="2"/>
  <c r="T4824" i="2" s="1"/>
  <c r="U4824" i="2" s="1"/>
  <c r="S4823" i="2"/>
  <c r="T4823" i="2" s="1"/>
  <c r="U4823" i="2" s="1"/>
  <c r="S4822" i="2"/>
  <c r="T4822" i="2" s="1"/>
  <c r="U4822" i="2" s="1"/>
  <c r="S4821" i="2"/>
  <c r="T4821" i="2" s="1"/>
  <c r="U4821" i="2" s="1"/>
  <c r="T4820" i="2"/>
  <c r="U4820" i="2" s="1"/>
  <c r="S4819" i="2"/>
  <c r="T4819" i="2" s="1"/>
  <c r="U4819" i="2" s="1"/>
  <c r="S4818" i="2"/>
  <c r="T4818" i="2" s="1"/>
  <c r="U4818" i="2" s="1"/>
  <c r="S4817" i="2"/>
  <c r="T4817" i="2" s="1"/>
  <c r="U4817" i="2" s="1"/>
  <c r="S4816" i="2"/>
  <c r="T4816" i="2" s="1"/>
  <c r="U4816" i="2" s="1"/>
  <c r="S4815" i="2"/>
  <c r="T4815" i="2" s="1"/>
  <c r="U4815" i="2" s="1"/>
  <c r="S4814" i="2"/>
  <c r="T4814" i="2" s="1"/>
  <c r="U4814" i="2" s="1"/>
  <c r="S4813" i="2"/>
  <c r="T4813" i="2" s="1"/>
  <c r="U4813" i="2" s="1"/>
  <c r="S4812" i="2"/>
  <c r="T4812" i="2" s="1"/>
  <c r="U4812" i="2" s="1"/>
  <c r="S4811" i="2"/>
  <c r="T4811" i="2" s="1"/>
  <c r="U4811" i="2" s="1"/>
  <c r="S4810" i="2"/>
  <c r="T4810" i="2" s="1"/>
  <c r="U4810" i="2" s="1"/>
  <c r="S4809" i="2"/>
  <c r="T4809" i="2" s="1"/>
  <c r="U4809" i="2" s="1"/>
  <c r="S4808" i="2"/>
  <c r="T4808" i="2" s="1"/>
  <c r="U4808" i="2" s="1"/>
  <c r="S4807" i="2"/>
  <c r="T4807" i="2" s="1"/>
  <c r="U4807" i="2" s="1"/>
  <c r="S4806" i="2"/>
  <c r="T4806" i="2" s="1"/>
  <c r="U4806" i="2" s="1"/>
  <c r="S4805" i="2"/>
  <c r="T4805" i="2" s="1"/>
  <c r="U4805" i="2" s="1"/>
  <c r="S4804" i="2"/>
  <c r="T4804" i="2" s="1"/>
  <c r="U4804" i="2" s="1"/>
  <c r="S4803" i="2"/>
  <c r="T4803" i="2" s="1"/>
  <c r="U4803" i="2" s="1"/>
  <c r="T4802" i="2"/>
  <c r="U4802" i="2" s="1"/>
  <c r="T4801" i="2"/>
  <c r="U4801" i="2" s="1"/>
  <c r="S4800" i="2"/>
  <c r="T4800" i="2" s="1"/>
  <c r="U4800" i="2" s="1"/>
  <c r="S4799" i="2"/>
  <c r="T4799" i="2" s="1"/>
  <c r="U4799" i="2" s="1"/>
  <c r="S4798" i="2"/>
  <c r="T4798" i="2" s="1"/>
  <c r="U4798" i="2" s="1"/>
  <c r="T4797" i="2"/>
  <c r="U4797" i="2" s="1"/>
  <c r="S4796" i="2"/>
  <c r="T4796" i="2" s="1"/>
  <c r="U4796" i="2" s="1"/>
  <c r="S4795" i="2"/>
  <c r="T4795" i="2" s="1"/>
  <c r="U4795" i="2" s="1"/>
  <c r="S4794" i="2"/>
  <c r="T4794" i="2" s="1"/>
  <c r="U4794" i="2" s="1"/>
  <c r="S4793" i="2"/>
  <c r="T4793" i="2" s="1"/>
  <c r="U4793" i="2" s="1"/>
  <c r="S4792" i="2"/>
  <c r="T4792" i="2" s="1"/>
  <c r="U4792" i="2" s="1"/>
  <c r="S4791" i="2"/>
  <c r="T4791" i="2" s="1"/>
  <c r="U4791" i="2" s="1"/>
  <c r="S4790" i="2"/>
  <c r="T4790" i="2" s="1"/>
  <c r="U4790" i="2" s="1"/>
  <c r="S4789" i="2"/>
  <c r="T4789" i="2" s="1"/>
  <c r="U4789" i="2" s="1"/>
  <c r="S4788" i="2"/>
  <c r="T4788" i="2" s="1"/>
  <c r="U4788" i="2" s="1"/>
  <c r="S4787" i="2"/>
  <c r="T4787" i="2" s="1"/>
  <c r="U4787" i="2" s="1"/>
  <c r="S4786" i="2"/>
  <c r="T4786" i="2" s="1"/>
  <c r="U4786" i="2" s="1"/>
  <c r="S4785" i="2"/>
  <c r="T4785" i="2" s="1"/>
  <c r="U4785" i="2" s="1"/>
  <c r="S4784" i="2"/>
  <c r="T4784" i="2" s="1"/>
  <c r="U4784" i="2" s="1"/>
  <c r="S4783" i="2"/>
  <c r="T4783" i="2" s="1"/>
  <c r="U4783" i="2" s="1"/>
  <c r="S4782" i="2"/>
  <c r="T4782" i="2" s="1"/>
  <c r="U4782" i="2" s="1"/>
  <c r="T4781" i="2"/>
  <c r="U4781" i="2" s="1"/>
  <c r="T4780" i="2"/>
  <c r="U4780" i="2" s="1"/>
  <c r="T4779" i="2"/>
  <c r="U4779" i="2" s="1"/>
  <c r="S4778" i="2"/>
  <c r="T4778" i="2" s="1"/>
  <c r="U4778" i="2" s="1"/>
  <c r="U4777" i="2"/>
  <c r="S4777" i="2"/>
  <c r="S4776" i="2"/>
  <c r="T4776" i="2" s="1"/>
  <c r="U4776" i="2" s="1"/>
  <c r="U4775" i="2"/>
  <c r="S4775" i="2"/>
  <c r="S4774" i="2"/>
  <c r="T4774" i="2" s="1"/>
  <c r="U4774" i="2" s="1"/>
  <c r="U4773" i="2"/>
  <c r="S4773" i="2"/>
  <c r="S4772" i="2"/>
  <c r="T4772" i="2" s="1"/>
  <c r="U4772" i="2" s="1"/>
  <c r="U4770" i="2"/>
  <c r="U4769" i="2"/>
  <c r="U4768" i="2"/>
  <c r="S4768" i="2"/>
  <c r="U4767" i="2"/>
  <c r="S4767" i="2"/>
  <c r="T4766" i="2"/>
  <c r="U4766" i="2" s="1"/>
  <c r="U4764" i="2"/>
  <c r="U4763" i="2"/>
  <c r="U4762" i="2"/>
  <c r="S4762" i="2"/>
  <c r="U4761" i="2"/>
  <c r="S4761" i="2"/>
  <c r="U4759" i="2"/>
  <c r="U4758" i="2"/>
  <c r="U4757" i="2"/>
  <c r="S4757" i="2"/>
  <c r="U4756" i="2"/>
  <c r="S4756" i="2"/>
  <c r="S4755" i="2"/>
  <c r="T4755" i="2" s="1"/>
  <c r="U4755" i="2" s="1"/>
  <c r="T4754" i="2"/>
  <c r="U4754" i="2" s="1"/>
  <c r="T4753" i="2"/>
  <c r="U4753" i="2" s="1"/>
  <c r="S4752" i="2"/>
  <c r="T4752" i="2" s="1"/>
  <c r="U4752" i="2" s="1"/>
  <c r="T4751" i="2"/>
  <c r="U4751" i="2" s="1"/>
  <c r="S4750" i="2"/>
  <c r="T4750" i="2" s="1"/>
  <c r="U4750" i="2" s="1"/>
  <c r="U4749" i="2"/>
  <c r="T4748" i="2"/>
  <c r="U4748" i="2" s="1"/>
  <c r="U4747" i="2"/>
  <c r="T4746" i="2"/>
  <c r="U4746" i="2" s="1"/>
  <c r="U4745" i="2"/>
  <c r="T4744" i="2"/>
  <c r="U4744" i="2" s="1"/>
  <c r="U4743" i="2"/>
  <c r="S4742" i="2"/>
  <c r="T4742" i="2" s="1"/>
  <c r="U4742" i="2" s="1"/>
  <c r="U4741" i="2"/>
  <c r="S4741" i="2"/>
  <c r="S4740" i="2"/>
  <c r="T4740" i="2" s="1"/>
  <c r="U4740" i="2" s="1"/>
  <c r="U4739" i="2"/>
  <c r="S4739" i="2"/>
  <c r="S4738" i="2"/>
  <c r="T4738" i="2" s="1"/>
  <c r="U4738" i="2" s="1"/>
  <c r="U4737" i="2"/>
  <c r="S4737" i="2"/>
  <c r="T4736" i="2"/>
  <c r="U4736" i="2" s="1"/>
  <c r="U4735" i="2"/>
  <c r="T4734" i="2"/>
  <c r="U4734" i="2" s="1"/>
  <c r="U4733" i="2"/>
  <c r="T4732" i="2"/>
  <c r="U4732" i="2" s="1"/>
  <c r="U4731" i="2"/>
  <c r="T4730" i="2"/>
  <c r="U4730" i="2" s="1"/>
  <c r="U4729" i="2"/>
  <c r="T4728" i="2"/>
  <c r="U4728" i="2" s="1"/>
  <c r="U4727" i="2"/>
  <c r="T4726" i="2"/>
  <c r="U4726" i="2" s="1"/>
  <c r="U4725" i="2"/>
  <c r="T4724" i="2"/>
  <c r="U4724" i="2" s="1"/>
  <c r="U4723" i="2"/>
  <c r="T4722" i="2"/>
  <c r="U4722" i="2" s="1"/>
  <c r="U4721" i="2"/>
  <c r="T4720" i="2"/>
  <c r="U4720" i="2" s="1"/>
  <c r="U4719" i="2"/>
  <c r="T4718" i="2"/>
  <c r="U4718" i="2" s="1"/>
  <c r="U4717" i="2"/>
  <c r="U4716" i="2"/>
  <c r="U4715" i="2"/>
  <c r="T4714" i="2"/>
  <c r="U4714" i="2" s="1"/>
  <c r="U4713" i="2"/>
  <c r="T4712" i="2"/>
  <c r="U4712" i="2" s="1"/>
  <c r="U4711" i="2"/>
  <c r="T4710" i="2"/>
  <c r="U4710" i="2" s="1"/>
  <c r="U4709" i="2"/>
  <c r="T4708" i="2"/>
  <c r="U4708" i="2" s="1"/>
  <c r="U4707" i="2"/>
  <c r="T4706" i="2"/>
  <c r="U4706" i="2" s="1"/>
  <c r="U4705" i="2"/>
  <c r="T4704" i="2"/>
  <c r="U4704" i="2" s="1"/>
  <c r="U4703" i="2"/>
  <c r="T4702" i="2"/>
  <c r="U4702" i="2" s="1"/>
  <c r="U4701" i="2"/>
  <c r="T4700" i="2"/>
  <c r="U4700" i="2" s="1"/>
  <c r="U4699" i="2"/>
  <c r="T4698" i="2"/>
  <c r="U4698" i="2" s="1"/>
  <c r="U4697" i="2"/>
  <c r="T4696" i="2"/>
  <c r="U4696" i="2" s="1"/>
  <c r="U4695" i="2"/>
  <c r="T4694" i="2"/>
  <c r="U4694" i="2" s="1"/>
  <c r="U4693" i="2"/>
  <c r="T4692" i="2"/>
  <c r="U4692" i="2" s="1"/>
  <c r="U4691" i="2"/>
  <c r="T4690" i="2"/>
  <c r="U4690" i="2" s="1"/>
  <c r="U4689" i="2"/>
  <c r="T4688" i="2"/>
  <c r="U4688" i="2" s="1"/>
  <c r="U4687" i="2"/>
  <c r="T4686" i="2"/>
  <c r="U4686" i="2" s="1"/>
  <c r="U4685" i="2"/>
  <c r="T4684" i="2"/>
  <c r="U4684" i="2" s="1"/>
  <c r="U4683" i="2"/>
  <c r="T4682" i="2"/>
  <c r="U4682" i="2" s="1"/>
  <c r="U4681" i="2"/>
  <c r="S4680" i="2"/>
  <c r="T4680" i="2" s="1"/>
  <c r="U4680" i="2" s="1"/>
  <c r="U4679" i="2"/>
  <c r="S4679" i="2"/>
  <c r="S4678" i="2"/>
  <c r="T4678" i="2" s="1"/>
  <c r="U4678" i="2" s="1"/>
  <c r="U4677" i="2"/>
  <c r="S4677" i="2"/>
  <c r="U4675" i="2"/>
  <c r="U4674" i="2"/>
  <c r="U4673" i="2"/>
  <c r="S4673" i="2"/>
  <c r="U4672" i="2"/>
  <c r="S4672" i="2"/>
  <c r="S4671" i="2"/>
  <c r="T4671" i="2" s="1"/>
  <c r="U4671" i="2" s="1"/>
  <c r="U4670" i="2"/>
  <c r="S4670" i="2"/>
  <c r="U4668" i="2"/>
  <c r="U4667" i="2"/>
  <c r="U4666" i="2"/>
  <c r="S4666" i="2"/>
  <c r="U4665" i="2"/>
  <c r="S4665" i="2"/>
  <c r="S4664" i="2"/>
  <c r="T4664" i="2" s="1"/>
  <c r="U4664" i="2" s="1"/>
  <c r="U4663" i="2"/>
  <c r="S4663" i="2"/>
  <c r="S4662" i="2"/>
  <c r="T4662" i="2" s="1"/>
  <c r="U4662" i="2" s="1"/>
  <c r="U4661" i="2"/>
  <c r="S4661" i="2"/>
  <c r="S4660" i="2"/>
  <c r="T4660" i="2" s="1"/>
  <c r="U4660" i="2" s="1"/>
  <c r="U4659" i="2"/>
  <c r="S4659" i="2"/>
  <c r="S4658" i="2"/>
  <c r="T4658" i="2" s="1"/>
  <c r="U4658" i="2" s="1"/>
  <c r="U4657" i="2"/>
  <c r="S4657" i="2"/>
  <c r="S4656" i="2"/>
  <c r="T4656" i="2" s="1"/>
  <c r="U4656" i="2" s="1"/>
  <c r="U4655" i="2"/>
  <c r="S4655" i="2"/>
  <c r="S4654" i="2"/>
  <c r="T4654" i="2" s="1"/>
  <c r="U4654" i="2" s="1"/>
  <c r="U4653" i="2"/>
  <c r="S4653" i="2"/>
  <c r="S4652" i="2"/>
  <c r="T4652" i="2" s="1"/>
  <c r="U4652" i="2" s="1"/>
  <c r="U4651" i="2"/>
  <c r="S4651" i="2"/>
  <c r="S4650" i="2"/>
  <c r="T4650" i="2" s="1"/>
  <c r="U4650" i="2" s="1"/>
  <c r="U4649" i="2"/>
  <c r="S4649" i="2"/>
  <c r="U4647" i="2"/>
  <c r="U4646" i="2"/>
  <c r="U4645" i="2"/>
  <c r="S4645" i="2"/>
  <c r="U4644" i="2"/>
  <c r="S4644" i="2"/>
  <c r="S4643" i="2"/>
  <c r="T4643" i="2" s="1"/>
  <c r="U4643" i="2" s="1"/>
  <c r="U4642" i="2"/>
  <c r="S4642" i="2"/>
  <c r="S4641" i="2"/>
  <c r="T4641" i="2" s="1"/>
  <c r="U4641" i="2" s="1"/>
  <c r="U4640" i="2"/>
  <c r="S4640" i="2"/>
  <c r="S4639" i="2"/>
  <c r="T4639" i="2" s="1"/>
  <c r="U4639" i="2" s="1"/>
  <c r="U4638" i="2"/>
  <c r="S4638" i="2"/>
  <c r="S4637" i="2"/>
  <c r="T4637" i="2" s="1"/>
  <c r="U4637" i="2" s="1"/>
  <c r="U4636" i="2"/>
  <c r="S4636" i="2"/>
  <c r="S4635" i="2"/>
  <c r="T4635" i="2" s="1"/>
  <c r="U4635" i="2" s="1"/>
  <c r="U4634" i="2"/>
  <c r="S4634" i="2"/>
  <c r="S4633" i="2"/>
  <c r="T4633" i="2" s="1"/>
  <c r="U4633" i="2" s="1"/>
  <c r="U4632" i="2"/>
  <c r="S4632" i="2"/>
  <c r="S4631" i="2"/>
  <c r="T4631" i="2" s="1"/>
  <c r="U4631" i="2" s="1"/>
  <c r="U4630" i="2"/>
  <c r="S4630" i="2"/>
  <c r="T4629" i="2"/>
  <c r="U4629" i="2" s="1"/>
  <c r="U4628" i="2"/>
  <c r="U4627" i="2"/>
  <c r="S4627" i="2"/>
  <c r="U4626" i="2"/>
  <c r="S4626" i="2"/>
  <c r="U4624" i="2"/>
  <c r="U4623" i="2"/>
  <c r="U4622" i="2"/>
  <c r="S4622" i="2"/>
  <c r="U4621" i="2"/>
  <c r="S4621" i="2"/>
  <c r="S4620" i="2"/>
  <c r="T4620" i="2" s="1"/>
  <c r="U4620" i="2" s="1"/>
  <c r="U4619" i="2"/>
  <c r="S4619" i="2"/>
  <c r="S4618" i="2"/>
  <c r="T4618" i="2" s="1"/>
  <c r="U4618" i="2" s="1"/>
  <c r="U4617" i="2"/>
  <c r="S4617" i="2"/>
  <c r="T4616" i="2"/>
  <c r="U4616" i="2" s="1"/>
  <c r="U4615" i="2"/>
  <c r="S4614" i="2"/>
  <c r="T4614" i="2" s="1"/>
  <c r="U4614" i="2" s="1"/>
  <c r="U4613" i="2"/>
  <c r="S4613" i="2"/>
  <c r="S4612" i="2"/>
  <c r="T4612" i="2" s="1"/>
  <c r="U4612" i="2" s="1"/>
  <c r="U4611" i="2"/>
  <c r="S4611" i="2"/>
  <c r="U4609" i="2"/>
  <c r="U4608" i="2"/>
  <c r="U4607" i="2"/>
  <c r="S4607" i="2"/>
  <c r="U4606" i="2"/>
  <c r="S4606" i="2"/>
  <c r="S4605" i="2"/>
  <c r="T4605" i="2" s="1"/>
  <c r="U4605" i="2" s="1"/>
  <c r="U4604" i="2"/>
  <c r="S4604" i="2"/>
  <c r="S4603" i="2"/>
  <c r="T4603" i="2" s="1"/>
  <c r="U4603" i="2" s="1"/>
  <c r="U4602" i="2"/>
  <c r="S4602" i="2"/>
  <c r="S4601" i="2"/>
  <c r="T4601" i="2" s="1"/>
  <c r="U4601" i="2" s="1"/>
  <c r="U4600" i="2"/>
  <c r="S4600" i="2"/>
  <c r="S4599" i="2"/>
  <c r="T4599" i="2" s="1"/>
  <c r="U4599" i="2" s="1"/>
  <c r="U4598" i="2"/>
  <c r="S4598" i="2"/>
  <c r="S4597" i="2"/>
  <c r="T4597" i="2" s="1"/>
  <c r="U4597" i="2" s="1"/>
  <c r="U4596" i="2"/>
  <c r="S4596" i="2"/>
  <c r="S4595" i="2"/>
  <c r="T4595" i="2" s="1"/>
  <c r="U4595" i="2" s="1"/>
  <c r="U4594" i="2"/>
  <c r="S4594" i="2"/>
  <c r="U4592" i="2"/>
  <c r="U4591" i="2"/>
  <c r="U4590" i="2"/>
  <c r="S4590" i="2"/>
  <c r="U4589" i="2"/>
  <c r="S4589" i="2"/>
  <c r="S4588" i="2"/>
  <c r="T4588" i="2" s="1"/>
  <c r="U4588" i="2" s="1"/>
  <c r="U4587" i="2"/>
  <c r="S4587" i="2"/>
  <c r="T4586" i="2"/>
  <c r="U4586" i="2" s="1"/>
  <c r="U4585" i="2"/>
  <c r="U4584" i="2"/>
  <c r="S4584" i="2"/>
  <c r="U4583" i="2"/>
  <c r="S4583" i="2"/>
  <c r="U4581" i="2"/>
  <c r="U4580" i="2"/>
  <c r="U4579" i="2"/>
  <c r="S4579" i="2"/>
  <c r="U4578" i="2"/>
  <c r="S4578" i="2"/>
  <c r="S4577" i="2"/>
  <c r="T4577" i="2" s="1"/>
  <c r="U4577" i="2" s="1"/>
  <c r="U4576" i="2"/>
  <c r="S4576" i="2"/>
  <c r="S4575" i="2"/>
  <c r="T4575" i="2" s="1"/>
  <c r="U4575" i="2" s="1"/>
  <c r="U4574" i="2"/>
  <c r="S4574" i="2"/>
  <c r="S4573" i="2"/>
  <c r="T4573" i="2" s="1"/>
  <c r="U4573" i="2" s="1"/>
  <c r="U4572" i="2"/>
  <c r="S4572" i="2"/>
  <c r="S4571" i="2"/>
  <c r="T4571" i="2" s="1"/>
  <c r="U4571" i="2" s="1"/>
  <c r="U4570" i="2"/>
  <c r="S4570" i="2"/>
  <c r="S4569" i="2"/>
  <c r="T4569" i="2" s="1"/>
  <c r="U4569" i="2" s="1"/>
  <c r="U4568" i="2"/>
  <c r="S4568" i="2"/>
  <c r="S4567" i="2"/>
  <c r="T4567" i="2" s="1"/>
  <c r="U4567" i="2" s="1"/>
  <c r="U4566" i="2"/>
  <c r="S4566" i="2"/>
  <c r="S4565" i="2"/>
  <c r="T4565" i="2" s="1"/>
  <c r="U4565" i="2" s="1"/>
  <c r="U4564" i="2"/>
  <c r="S4564" i="2"/>
  <c r="S4563" i="2"/>
  <c r="T4563" i="2" s="1"/>
  <c r="U4563" i="2" s="1"/>
  <c r="U4562" i="2"/>
  <c r="S4562" i="2"/>
  <c r="S4561" i="2"/>
  <c r="T4561" i="2" s="1"/>
  <c r="U4561" i="2" s="1"/>
  <c r="U4560" i="2"/>
  <c r="S4560" i="2"/>
  <c r="S4559" i="2"/>
  <c r="T4559" i="2" s="1"/>
  <c r="U4559" i="2" s="1"/>
  <c r="U4558" i="2"/>
  <c r="S4558" i="2"/>
  <c r="S4557" i="2"/>
  <c r="T4557" i="2" s="1"/>
  <c r="U4557" i="2" s="1"/>
  <c r="U4556" i="2"/>
  <c r="S4556" i="2"/>
  <c r="S4555" i="2"/>
  <c r="T4555" i="2" s="1"/>
  <c r="U4555" i="2" s="1"/>
  <c r="U4554" i="2"/>
  <c r="S4554" i="2"/>
  <c r="S4553" i="2"/>
  <c r="T4553" i="2" s="1"/>
  <c r="U4553" i="2" s="1"/>
  <c r="U4552" i="2"/>
  <c r="S4552" i="2"/>
  <c r="S4551" i="2"/>
  <c r="T4551" i="2" s="1"/>
  <c r="U4551" i="2" s="1"/>
  <c r="U4550" i="2"/>
  <c r="S4550" i="2"/>
  <c r="S4549" i="2"/>
  <c r="T4549" i="2" s="1"/>
  <c r="U4549" i="2" s="1"/>
  <c r="U4548" i="2"/>
  <c r="S4548" i="2"/>
  <c r="S4547" i="2"/>
  <c r="T4547" i="2" s="1"/>
  <c r="U4547" i="2" s="1"/>
  <c r="U4546" i="2"/>
  <c r="S4546" i="2"/>
  <c r="S4545" i="2"/>
  <c r="T4545" i="2" s="1"/>
  <c r="U4545" i="2" s="1"/>
  <c r="U4544" i="2"/>
  <c r="S4544" i="2"/>
  <c r="S4543" i="2"/>
  <c r="T4543" i="2" s="1"/>
  <c r="U4543" i="2" s="1"/>
  <c r="U4542" i="2"/>
  <c r="S4542" i="2"/>
  <c r="U4540" i="2"/>
  <c r="U4539" i="2"/>
  <c r="U4538" i="2"/>
  <c r="S4538" i="2"/>
  <c r="U4537" i="2"/>
  <c r="S4537" i="2"/>
  <c r="S4536" i="2"/>
  <c r="T4536" i="2" s="1"/>
  <c r="U4536" i="2" s="1"/>
  <c r="U4535" i="2"/>
  <c r="S4535" i="2"/>
  <c r="S4534" i="2"/>
  <c r="T4534" i="2" s="1"/>
  <c r="U4534" i="2" s="1"/>
  <c r="U4533" i="2"/>
  <c r="S4533" i="2"/>
  <c r="S4532" i="2"/>
  <c r="T4532" i="2" s="1"/>
  <c r="U4532" i="2" s="1"/>
  <c r="U4531" i="2"/>
  <c r="S4531" i="2"/>
  <c r="S4530" i="2"/>
  <c r="T4530" i="2" s="1"/>
  <c r="U4530" i="2" s="1"/>
  <c r="U4529" i="2"/>
  <c r="S4529" i="2"/>
  <c r="S4528" i="2"/>
  <c r="T4528" i="2" s="1"/>
  <c r="U4528" i="2" s="1"/>
  <c r="U4527" i="2"/>
  <c r="S4527" i="2"/>
  <c r="S4526" i="2"/>
  <c r="T4526" i="2" s="1"/>
  <c r="U4526" i="2" s="1"/>
  <c r="U4525" i="2"/>
  <c r="S4525" i="2"/>
  <c r="S4524" i="2"/>
  <c r="T4524" i="2" s="1"/>
  <c r="U4524" i="2" s="1"/>
  <c r="U4523" i="2"/>
  <c r="S4523" i="2"/>
  <c r="S4522" i="2"/>
  <c r="T4522" i="2" s="1"/>
  <c r="U4522" i="2" s="1"/>
  <c r="U4521" i="2"/>
  <c r="S4521" i="2"/>
  <c r="S4520" i="2"/>
  <c r="T4520" i="2" s="1"/>
  <c r="U4520" i="2" s="1"/>
  <c r="U4519" i="2"/>
  <c r="S4519" i="2"/>
  <c r="S4518" i="2"/>
  <c r="T4518" i="2" s="1"/>
  <c r="U4518" i="2" s="1"/>
  <c r="U4517" i="2"/>
  <c r="S4517" i="2"/>
  <c r="S4516" i="2"/>
  <c r="T4516" i="2" s="1"/>
  <c r="U4516" i="2" s="1"/>
  <c r="U4515" i="2"/>
  <c r="S4515" i="2"/>
  <c r="S4514" i="2"/>
  <c r="T4514" i="2" s="1"/>
  <c r="U4514" i="2" s="1"/>
  <c r="U4513" i="2"/>
  <c r="S4513" i="2"/>
  <c r="U4511" i="2"/>
  <c r="U4510" i="2"/>
  <c r="U4509" i="2"/>
  <c r="S4509" i="2"/>
  <c r="U4508" i="2"/>
  <c r="S4508" i="2"/>
  <c r="S4507" i="2"/>
  <c r="T4507" i="2" s="1"/>
  <c r="U4507" i="2" s="1"/>
  <c r="U4506" i="2"/>
  <c r="S4506" i="2"/>
  <c r="T4505" i="2"/>
  <c r="U4505" i="2" s="1"/>
  <c r="U4504" i="2"/>
  <c r="S4503" i="2"/>
  <c r="T4503" i="2" s="1"/>
  <c r="U4503" i="2" s="1"/>
  <c r="U4502" i="2"/>
  <c r="S4502" i="2"/>
  <c r="S4501" i="2"/>
  <c r="T4501" i="2" s="1"/>
  <c r="U4501" i="2" s="1"/>
  <c r="U4500" i="2"/>
  <c r="S4500" i="2"/>
  <c r="S4499" i="2"/>
  <c r="T4499" i="2" s="1"/>
  <c r="U4499" i="2" s="1"/>
  <c r="U4498" i="2"/>
  <c r="S4498" i="2"/>
  <c r="S4497" i="2"/>
  <c r="T4497" i="2" s="1"/>
  <c r="U4497" i="2" s="1"/>
  <c r="U4496" i="2"/>
  <c r="S4496" i="2"/>
  <c r="S4495" i="2"/>
  <c r="T4495" i="2" s="1"/>
  <c r="U4495" i="2" s="1"/>
  <c r="U4494" i="2"/>
  <c r="S4494" i="2"/>
  <c r="S4493" i="2"/>
  <c r="T4493" i="2" s="1"/>
  <c r="U4493" i="2" s="1"/>
  <c r="U4492" i="2"/>
  <c r="S4492" i="2"/>
  <c r="T4491" i="2"/>
  <c r="U4491" i="2" s="1"/>
  <c r="U4490" i="2"/>
  <c r="S4489" i="2"/>
  <c r="T4489" i="2" s="1"/>
  <c r="U4489" i="2" s="1"/>
  <c r="U4488" i="2"/>
  <c r="S4488" i="2"/>
  <c r="S4487" i="2"/>
  <c r="T4487" i="2" s="1"/>
  <c r="U4487" i="2" s="1"/>
  <c r="U4486" i="2"/>
  <c r="S4486" i="2"/>
  <c r="U4484" i="2"/>
  <c r="U4483" i="2"/>
  <c r="U4482" i="2"/>
  <c r="S4482" i="2"/>
  <c r="U4481" i="2"/>
  <c r="S4481" i="2"/>
  <c r="S4480" i="2"/>
  <c r="T4480" i="2" s="1"/>
  <c r="U4480" i="2" s="1"/>
  <c r="U4479" i="2"/>
  <c r="S4479" i="2"/>
  <c r="S4478" i="2"/>
  <c r="T4478" i="2" s="1"/>
  <c r="U4478" i="2" s="1"/>
  <c r="U4477" i="2"/>
  <c r="S4477" i="2"/>
  <c r="S4476" i="2"/>
  <c r="T4476" i="2" s="1"/>
  <c r="U4476" i="2" s="1"/>
  <c r="U4475" i="2"/>
  <c r="S4475" i="2"/>
  <c r="U4473" i="2"/>
  <c r="U4472" i="2"/>
  <c r="U4471" i="2"/>
  <c r="S4471" i="2"/>
  <c r="U4470" i="2"/>
  <c r="S4470" i="2"/>
  <c r="S4469" i="2"/>
  <c r="T4469" i="2" s="1"/>
  <c r="U4469" i="2" s="1"/>
  <c r="U4468" i="2"/>
  <c r="S4468" i="2"/>
  <c r="U4466" i="2"/>
  <c r="U4465" i="2"/>
  <c r="U4464" i="2"/>
  <c r="S4464" i="2"/>
  <c r="U4463" i="2"/>
  <c r="S4463" i="2"/>
  <c r="S4462" i="2"/>
  <c r="T4462" i="2" s="1"/>
  <c r="U4462" i="2" s="1"/>
  <c r="U4461" i="2"/>
  <c r="S4461" i="2"/>
  <c r="U4459" i="2"/>
  <c r="U4458" i="2"/>
  <c r="U4457" i="2"/>
  <c r="S4457" i="2"/>
  <c r="U4456" i="2"/>
  <c r="S4456" i="2"/>
  <c r="S4455" i="2"/>
  <c r="T4455" i="2" s="1"/>
  <c r="U4455" i="2" s="1"/>
  <c r="U4454" i="2"/>
  <c r="S4454" i="2"/>
  <c r="T4453" i="2"/>
  <c r="U4453" i="2" s="1"/>
  <c r="U4452" i="2"/>
  <c r="S4451" i="2"/>
  <c r="T4451" i="2" s="1"/>
  <c r="U4451" i="2" s="1"/>
  <c r="U4450" i="2"/>
  <c r="S4450" i="2"/>
  <c r="S4449" i="2"/>
  <c r="T4449" i="2" s="1"/>
  <c r="U4449" i="2" s="1"/>
  <c r="U4448" i="2"/>
  <c r="S4448" i="2"/>
  <c r="S4447" i="2"/>
  <c r="T4447" i="2" s="1"/>
  <c r="U4447" i="2" s="1"/>
  <c r="U4446" i="2"/>
  <c r="S4446" i="2"/>
  <c r="S4445" i="2"/>
  <c r="T4445" i="2" s="1"/>
  <c r="U4445" i="2" s="1"/>
  <c r="U4444" i="2"/>
  <c r="S4444" i="2"/>
  <c r="S4443" i="2"/>
  <c r="T4443" i="2" s="1"/>
  <c r="U4443" i="2" s="1"/>
  <c r="U4442" i="2"/>
  <c r="S4442" i="2"/>
  <c r="S4441" i="2"/>
  <c r="T4441" i="2" s="1"/>
  <c r="U4441" i="2" s="1"/>
  <c r="U4440" i="2"/>
  <c r="S4440" i="2"/>
  <c r="T4439" i="2"/>
  <c r="U4439" i="2" s="1"/>
  <c r="U4438" i="2"/>
  <c r="U4437" i="2"/>
  <c r="S4437" i="2"/>
  <c r="U4436" i="2"/>
  <c r="S4436" i="2"/>
  <c r="S4435" i="2"/>
  <c r="T4435" i="2" s="1"/>
  <c r="U4435" i="2" s="1"/>
  <c r="U4434" i="2"/>
  <c r="S4434" i="2"/>
  <c r="S4433" i="2"/>
  <c r="T4433" i="2" s="1"/>
  <c r="U4433" i="2" s="1"/>
  <c r="U4432" i="2"/>
  <c r="S4432" i="2"/>
  <c r="S4431" i="2"/>
  <c r="T4431" i="2" s="1"/>
  <c r="U4431" i="2" s="1"/>
  <c r="U4430" i="2"/>
  <c r="S4430" i="2"/>
  <c r="S4429" i="2"/>
  <c r="T4429" i="2" s="1"/>
  <c r="U4429" i="2" s="1"/>
  <c r="U4428" i="2"/>
  <c r="S4428" i="2"/>
  <c r="S4427" i="2"/>
  <c r="T4427" i="2" s="1"/>
  <c r="U4427" i="2" s="1"/>
  <c r="U4426" i="2"/>
  <c r="S4426" i="2"/>
  <c r="U4424" i="2"/>
  <c r="U4423" i="2"/>
  <c r="U4422" i="2"/>
  <c r="S4422" i="2"/>
  <c r="U4421" i="2"/>
  <c r="S4421" i="2"/>
  <c r="T4420" i="2"/>
  <c r="U4420" i="2" s="1"/>
  <c r="U4419" i="2"/>
  <c r="T4418" i="2"/>
  <c r="U4418" i="2" s="1"/>
  <c r="U4417" i="2"/>
  <c r="T4416" i="2"/>
  <c r="U4416" i="2" s="1"/>
  <c r="U4415" i="2"/>
  <c r="T4414" i="2"/>
  <c r="U4414" i="2" s="1"/>
  <c r="U4413" i="2"/>
  <c r="T4412" i="2"/>
  <c r="U4412" i="2" s="1"/>
  <c r="U4411" i="2"/>
  <c r="T4410" i="2"/>
  <c r="U4410" i="2" s="1"/>
  <c r="U4409" i="2"/>
  <c r="U4408" i="2"/>
  <c r="T4407" i="2"/>
  <c r="U4407" i="2" s="1"/>
  <c r="U4406" i="2"/>
  <c r="T4405" i="2"/>
  <c r="U4405" i="2" s="1"/>
  <c r="U4404" i="2"/>
  <c r="T4403" i="2"/>
  <c r="U4403" i="2" s="1"/>
  <c r="U4402" i="2"/>
  <c r="T4401" i="2"/>
  <c r="U4401" i="2" s="1"/>
  <c r="U4400" i="2"/>
  <c r="T4399" i="2"/>
  <c r="U4399" i="2" s="1"/>
  <c r="U4398" i="2"/>
  <c r="T4397" i="2"/>
  <c r="U4397" i="2" s="1"/>
  <c r="U4396" i="2"/>
  <c r="T4395" i="2"/>
  <c r="U4395" i="2" s="1"/>
  <c r="U4394" i="2"/>
  <c r="T4393" i="2"/>
  <c r="U4393" i="2" s="1"/>
  <c r="U4392" i="2"/>
  <c r="U4391" i="2"/>
  <c r="T4390" i="2"/>
  <c r="U4390" i="2" s="1"/>
  <c r="U4389" i="2"/>
  <c r="T4388" i="2"/>
  <c r="U4388" i="2" s="1"/>
  <c r="U4387" i="2"/>
  <c r="T4386" i="2"/>
  <c r="U4386" i="2" s="1"/>
  <c r="U4385" i="2"/>
  <c r="T4384" i="2"/>
  <c r="U4384" i="2" s="1"/>
  <c r="U4383" i="2"/>
  <c r="T4382" i="2"/>
  <c r="U4382" i="2" s="1"/>
  <c r="U4381" i="2"/>
  <c r="U4380" i="2"/>
  <c r="T4379" i="2"/>
  <c r="U4379" i="2" s="1"/>
  <c r="U4378" i="2"/>
  <c r="U4377" i="2"/>
  <c r="T4376" i="2"/>
  <c r="U4376" i="2" s="1"/>
  <c r="U4375" i="2"/>
  <c r="T4374" i="2"/>
  <c r="U4374" i="2" s="1"/>
  <c r="T4373" i="2"/>
  <c r="U4373" i="2" s="1"/>
  <c r="U4372" i="2"/>
  <c r="T4371" i="2"/>
  <c r="U4371" i="2" s="1"/>
  <c r="U4370" i="2"/>
  <c r="T4369" i="2"/>
  <c r="U4369" i="2" s="1"/>
  <c r="U4368" i="2"/>
  <c r="T4367" i="2"/>
  <c r="U4367" i="2" s="1"/>
  <c r="U4366" i="2"/>
  <c r="T4365" i="2"/>
  <c r="U4365" i="2" s="1"/>
  <c r="U4364" i="2"/>
  <c r="T4363" i="2"/>
  <c r="U4363" i="2" s="1"/>
  <c r="U4362" i="2"/>
  <c r="T4361" i="2"/>
  <c r="U4361" i="2" s="1"/>
  <c r="U4360" i="2"/>
  <c r="T4359" i="2"/>
  <c r="U4359" i="2" s="1"/>
  <c r="U4358" i="2"/>
  <c r="T4357" i="2"/>
  <c r="U4357" i="2" s="1"/>
  <c r="U4356" i="2"/>
  <c r="T4355" i="2"/>
  <c r="U4355" i="2" s="1"/>
  <c r="U4354" i="2"/>
  <c r="T4353" i="2"/>
  <c r="U4353" i="2" s="1"/>
  <c r="U4352" i="2"/>
  <c r="U4351" i="2"/>
  <c r="T4350" i="2"/>
  <c r="U4350" i="2" s="1"/>
  <c r="U4349" i="2"/>
  <c r="T4348" i="2"/>
  <c r="U4348" i="2" s="1"/>
  <c r="U4347" i="2"/>
  <c r="T4346" i="2"/>
  <c r="U4346" i="2" s="1"/>
  <c r="U4345" i="2"/>
  <c r="T4344" i="2"/>
  <c r="U4344" i="2" s="1"/>
  <c r="U4343" i="2"/>
  <c r="T4342" i="2"/>
  <c r="U4342" i="2" s="1"/>
  <c r="U4341" i="2"/>
  <c r="T4340" i="2"/>
  <c r="U4340" i="2" s="1"/>
  <c r="U4339" i="2"/>
  <c r="U4338" i="2"/>
  <c r="T4337" i="2"/>
  <c r="U4337" i="2" s="1"/>
  <c r="U4336" i="2"/>
  <c r="T4335" i="2"/>
  <c r="U4335" i="2" s="1"/>
  <c r="U4334" i="2"/>
  <c r="T4333" i="2"/>
  <c r="U4333" i="2" s="1"/>
  <c r="U4332" i="2"/>
  <c r="T4331" i="2"/>
  <c r="U4331" i="2" s="1"/>
  <c r="U4330" i="2"/>
  <c r="U4327" i="2"/>
  <c r="U4326" i="2"/>
  <c r="T4325" i="2"/>
  <c r="U4325" i="2" s="1"/>
  <c r="U4324" i="2"/>
  <c r="U4323" i="2"/>
  <c r="U4322" i="2"/>
  <c r="U4321" i="2"/>
  <c r="U4320" i="2"/>
  <c r="T4319" i="2"/>
  <c r="U4319" i="2" s="1"/>
  <c r="U4318" i="2"/>
  <c r="U4317" i="2"/>
  <c r="T4316" i="2"/>
  <c r="U4316" i="2" s="1"/>
  <c r="U4315" i="2"/>
  <c r="U4314" i="2"/>
  <c r="T4313" i="2"/>
  <c r="U4313" i="2" s="1"/>
  <c r="U4312" i="2"/>
  <c r="U4311" i="2"/>
  <c r="T4310" i="2"/>
  <c r="U4310" i="2" s="1"/>
  <c r="U4309" i="2"/>
  <c r="U4308" i="2"/>
  <c r="T4307" i="2"/>
  <c r="U4307" i="2" s="1"/>
  <c r="U4306" i="2"/>
  <c r="U4305" i="2"/>
  <c r="T4304" i="2"/>
  <c r="U4304" i="2" s="1"/>
  <c r="U4303" i="2"/>
  <c r="T4302" i="2"/>
  <c r="U4302" i="2" s="1"/>
  <c r="U4301" i="2"/>
  <c r="T4300" i="2"/>
  <c r="U4300" i="2" s="1"/>
  <c r="U4299" i="2"/>
  <c r="T4298" i="2"/>
  <c r="U4298" i="2" s="1"/>
  <c r="U4297" i="2"/>
  <c r="T4296" i="2"/>
  <c r="U4296" i="2" s="1"/>
  <c r="U4295" i="2"/>
  <c r="T4294" i="2"/>
  <c r="U4294" i="2" s="1"/>
  <c r="U4293" i="2"/>
  <c r="T4292" i="2"/>
  <c r="U4292" i="2" s="1"/>
  <c r="U4291" i="2"/>
  <c r="T4290" i="2"/>
  <c r="U4290" i="2" s="1"/>
  <c r="U4289" i="2"/>
  <c r="U4288" i="2"/>
  <c r="T4287" i="2"/>
  <c r="U4287" i="2" s="1"/>
  <c r="U4286" i="2"/>
  <c r="U4285" i="2"/>
  <c r="T4284" i="2"/>
  <c r="U4284" i="2" s="1"/>
  <c r="U4283" i="2"/>
  <c r="T4282" i="2"/>
  <c r="U4282" i="2" s="1"/>
  <c r="U4281" i="2"/>
  <c r="U4280" i="2"/>
  <c r="S4279" i="2"/>
  <c r="T4279" i="2" s="1"/>
  <c r="U4279" i="2" s="1"/>
  <c r="U4278" i="2"/>
  <c r="S4278" i="2"/>
  <c r="U4275" i="2"/>
  <c r="S4275" i="2"/>
  <c r="U4274" i="2"/>
  <c r="S4274" i="2"/>
  <c r="S4273" i="2"/>
  <c r="T4273" i="2" s="1"/>
  <c r="U4273" i="2" s="1"/>
  <c r="U4272" i="2"/>
  <c r="S4272" i="2"/>
  <c r="S4271" i="2"/>
  <c r="T4271" i="2" s="1"/>
  <c r="U4271" i="2" s="1"/>
  <c r="U4270" i="2"/>
  <c r="S4270" i="2"/>
  <c r="T4269" i="2"/>
  <c r="U4269" i="2" s="1"/>
  <c r="U4268" i="2"/>
  <c r="S4268" i="2"/>
  <c r="U4267" i="2"/>
  <c r="S4267" i="2"/>
  <c r="T4266" i="2"/>
  <c r="U4266" i="2" s="1"/>
  <c r="U4265" i="2"/>
  <c r="S4265" i="2"/>
  <c r="U4264" i="2"/>
  <c r="S4264" i="2"/>
  <c r="T4263" i="2"/>
  <c r="U4263" i="2" s="1"/>
  <c r="U4262" i="2"/>
  <c r="S4262" i="2"/>
  <c r="U4261" i="2"/>
  <c r="S4261" i="2"/>
  <c r="T4260" i="2"/>
  <c r="U4260" i="2" s="1"/>
  <c r="U4259" i="2"/>
  <c r="S4259" i="2"/>
  <c r="U4258" i="2"/>
  <c r="S4258" i="2"/>
  <c r="T4257" i="2"/>
  <c r="U4257" i="2" s="1"/>
  <c r="U4256" i="2"/>
  <c r="S4256" i="2"/>
  <c r="U4255" i="2"/>
  <c r="S4255" i="2"/>
  <c r="S4254" i="2"/>
  <c r="T4254" i="2" s="1"/>
  <c r="U4254" i="2" s="1"/>
  <c r="U4253" i="2"/>
  <c r="S4253" i="2"/>
  <c r="S4252" i="2"/>
  <c r="T4252" i="2" s="1"/>
  <c r="U4252" i="2" s="1"/>
  <c r="U4251" i="2"/>
  <c r="S4251" i="2"/>
  <c r="S4250" i="2"/>
  <c r="T4250" i="2" s="1"/>
  <c r="U4250" i="2" s="1"/>
  <c r="U4249" i="2"/>
  <c r="S4249" i="2"/>
  <c r="T4248" i="2"/>
  <c r="U4248" i="2" s="1"/>
  <c r="U4247" i="2"/>
  <c r="S4247" i="2"/>
  <c r="U4246" i="2"/>
  <c r="S4246" i="2"/>
  <c r="U4243" i="2"/>
  <c r="S4243" i="2"/>
  <c r="U4242" i="2"/>
  <c r="S4242" i="2"/>
  <c r="S4241" i="2"/>
  <c r="T4241" i="2" s="1"/>
  <c r="U4241" i="2" s="1"/>
  <c r="U4240" i="2"/>
  <c r="S4240" i="2"/>
  <c r="T4239" i="2"/>
  <c r="U4239" i="2" s="1"/>
  <c r="U4238" i="2"/>
  <c r="S4238" i="2"/>
  <c r="U4237" i="2"/>
  <c r="S4237" i="2"/>
  <c r="T4236" i="2"/>
  <c r="U4236" i="2" s="1"/>
  <c r="U4235" i="2"/>
  <c r="S4235" i="2"/>
  <c r="U4234" i="2"/>
  <c r="S4234" i="2"/>
  <c r="T4233" i="2"/>
  <c r="U4233" i="2" s="1"/>
  <c r="U4232" i="2"/>
  <c r="U4231" i="2"/>
  <c r="S4230" i="2"/>
  <c r="T4230" i="2" s="1"/>
  <c r="U4230" i="2" s="1"/>
  <c r="U4229" i="2"/>
  <c r="S4229" i="2"/>
  <c r="S4228" i="2"/>
  <c r="T4228" i="2" s="1"/>
  <c r="U4228" i="2" s="1"/>
  <c r="U4227" i="2"/>
  <c r="S4227" i="2"/>
  <c r="S4226" i="2"/>
  <c r="T4226" i="2" s="1"/>
  <c r="U4226" i="2" s="1"/>
  <c r="U4225" i="2"/>
  <c r="S4225" i="2"/>
  <c r="T4224" i="2"/>
  <c r="U4224" i="2" s="1"/>
  <c r="U4223" i="2"/>
  <c r="S4223" i="2"/>
  <c r="U4222" i="2"/>
  <c r="S4222" i="2"/>
  <c r="T4221" i="2"/>
  <c r="U4221" i="2" s="1"/>
  <c r="U4220" i="2"/>
  <c r="S4220" i="2"/>
  <c r="U4219" i="2"/>
  <c r="S4219" i="2"/>
  <c r="S4218" i="2"/>
  <c r="T4218" i="2" s="1"/>
  <c r="U4218" i="2" s="1"/>
  <c r="U4217" i="2"/>
  <c r="S4217" i="2"/>
  <c r="S4216" i="2"/>
  <c r="T4216" i="2" s="1"/>
  <c r="U4216" i="2" s="1"/>
  <c r="U4215" i="2"/>
  <c r="S4215" i="2"/>
  <c r="T4214" i="2"/>
  <c r="U4214" i="2" s="1"/>
  <c r="U4213" i="2"/>
  <c r="S4213" i="2"/>
  <c r="U4212" i="2"/>
  <c r="S4212" i="2"/>
  <c r="T4211" i="2"/>
  <c r="U4211" i="2" s="1"/>
  <c r="U4210" i="2"/>
  <c r="S4210" i="2"/>
  <c r="U4209" i="2"/>
  <c r="S4209" i="2"/>
  <c r="T4208" i="2"/>
  <c r="U4208" i="2" s="1"/>
  <c r="U4207" i="2"/>
  <c r="U4206" i="2"/>
  <c r="T4205" i="2"/>
  <c r="U4205" i="2" s="1"/>
  <c r="U4204" i="2"/>
  <c r="U4203" i="2"/>
  <c r="U4200" i="2"/>
  <c r="S4200" i="2"/>
  <c r="U4199" i="2"/>
  <c r="S4199" i="2"/>
  <c r="T4198" i="2"/>
  <c r="U4198" i="2" s="1"/>
  <c r="U4197" i="2"/>
  <c r="S4197" i="2"/>
  <c r="U4196" i="2"/>
  <c r="S4196" i="2"/>
  <c r="U4193" i="2"/>
  <c r="S4193" i="2"/>
  <c r="U4192" i="2"/>
  <c r="S4192" i="2"/>
  <c r="T4191" i="2"/>
  <c r="U4191" i="2" s="1"/>
  <c r="U4190" i="2"/>
  <c r="U4189" i="2"/>
  <c r="T4188" i="2"/>
  <c r="U4188" i="2" s="1"/>
  <c r="U4187" i="2"/>
  <c r="S4186" i="2"/>
  <c r="T4186" i="2" s="1"/>
  <c r="U4186" i="2" s="1"/>
  <c r="U4185" i="2"/>
  <c r="S4185" i="2"/>
  <c r="U4182" i="2"/>
  <c r="U4181" i="2"/>
  <c r="U4178" i="2"/>
  <c r="S4178" i="2"/>
  <c r="U4177" i="2"/>
  <c r="S4177" i="2"/>
  <c r="T4176" i="2"/>
  <c r="U4176" i="2" s="1"/>
  <c r="U4175" i="2"/>
  <c r="U4174" i="2"/>
  <c r="S4173" i="2"/>
  <c r="T4173" i="2" s="1"/>
  <c r="U4173" i="2" s="1"/>
  <c r="U4172" i="2"/>
  <c r="S4172" i="2"/>
  <c r="U4169" i="2"/>
  <c r="U4168" i="2"/>
  <c r="T4167" i="2"/>
  <c r="U4167" i="2" s="1"/>
  <c r="U4166" i="2"/>
  <c r="U4165" i="2"/>
  <c r="U4162" i="2"/>
  <c r="U4161" i="2"/>
  <c r="T4160" i="2"/>
  <c r="U4160" i="2" s="1"/>
  <c r="U4159" i="2"/>
  <c r="S4159" i="2"/>
  <c r="U4158" i="2"/>
  <c r="S4158" i="2"/>
  <c r="T4157" i="2"/>
  <c r="U4157" i="2" s="1"/>
  <c r="U4156" i="2"/>
  <c r="T4155" i="2"/>
  <c r="U4155" i="2" s="1"/>
  <c r="U4154" i="2"/>
  <c r="S4154" i="2"/>
  <c r="U4153" i="2"/>
  <c r="S4153" i="2"/>
  <c r="T4152" i="2"/>
  <c r="U4152" i="2" s="1"/>
  <c r="U4151" i="2"/>
  <c r="U4150" i="2"/>
  <c r="T4149" i="2"/>
  <c r="U4149" i="2" s="1"/>
  <c r="U4148" i="2"/>
  <c r="S4148" i="2"/>
  <c r="U4147" i="2"/>
  <c r="S4147" i="2"/>
  <c r="T4146" i="2"/>
  <c r="U4146" i="2" s="1"/>
  <c r="U4145" i="2"/>
  <c r="S4145" i="2"/>
  <c r="U4144" i="2"/>
  <c r="S4144" i="2"/>
  <c r="U4141" i="2"/>
  <c r="U4140" i="2"/>
  <c r="T4139" i="2"/>
  <c r="U4139" i="2" s="1"/>
  <c r="U4138" i="2"/>
  <c r="S4138" i="2"/>
  <c r="U4137" i="2"/>
  <c r="S4137" i="2"/>
  <c r="T4136" i="2"/>
  <c r="U4136" i="2" s="1"/>
  <c r="U4135" i="2"/>
  <c r="S4135" i="2"/>
  <c r="U4134" i="2"/>
  <c r="S4134" i="2"/>
  <c r="T4133" i="2"/>
  <c r="U4133" i="2" s="1"/>
  <c r="U4132" i="2"/>
  <c r="S4132" i="2"/>
  <c r="U4131" i="2"/>
  <c r="S4131" i="2"/>
  <c r="T4130" i="2"/>
  <c r="U4130" i="2" s="1"/>
  <c r="U4129" i="2"/>
  <c r="U4128" i="2"/>
  <c r="S4127" i="2"/>
  <c r="T4127" i="2" s="1"/>
  <c r="U4127" i="2" s="1"/>
  <c r="U4126" i="2"/>
  <c r="S4126" i="2"/>
  <c r="U4123" i="2"/>
  <c r="U4122" i="2"/>
  <c r="T4121" i="2"/>
  <c r="U4121" i="2" s="1"/>
  <c r="U4120" i="2"/>
  <c r="S4120" i="2"/>
  <c r="U4119" i="2"/>
  <c r="S4119" i="2"/>
  <c r="U4116" i="2"/>
  <c r="U4115" i="2"/>
  <c r="U4112" i="2"/>
  <c r="U4111" i="2"/>
  <c r="T4110" i="2"/>
  <c r="U4110" i="2" s="1"/>
  <c r="U4109" i="2"/>
  <c r="U4108" i="2"/>
  <c r="T4107" i="2"/>
  <c r="U4107" i="2" s="1"/>
  <c r="U4106" i="2"/>
  <c r="S4106" i="2"/>
  <c r="U4105" i="2"/>
  <c r="S4105" i="2"/>
  <c r="T4104" i="2"/>
  <c r="U4104" i="2" s="1"/>
  <c r="U4103" i="2"/>
  <c r="S4103" i="2"/>
  <c r="U4102" i="2"/>
  <c r="S4102" i="2"/>
  <c r="U4099" i="2"/>
  <c r="S4099" i="2"/>
  <c r="U4098" i="2"/>
  <c r="S4098" i="2"/>
  <c r="T4097" i="2"/>
  <c r="U4097" i="2" s="1"/>
  <c r="U4096" i="2"/>
  <c r="S4096" i="2"/>
  <c r="U4095" i="2"/>
  <c r="S4095" i="2"/>
  <c r="S4094" i="2"/>
  <c r="T4094" i="2" s="1"/>
  <c r="U4094" i="2" s="1"/>
  <c r="U4093" i="2"/>
  <c r="S4093" i="2"/>
  <c r="T4092" i="2"/>
  <c r="U4092" i="2" s="1"/>
  <c r="U4091" i="2"/>
  <c r="S4091" i="2"/>
  <c r="U4090" i="2"/>
  <c r="S4090" i="2"/>
  <c r="T4089" i="2"/>
  <c r="U4089" i="2" s="1"/>
  <c r="U4088" i="2"/>
  <c r="U4087" i="2"/>
  <c r="T4086" i="2"/>
  <c r="U4086" i="2" s="1"/>
  <c r="U4085" i="2"/>
  <c r="S4085" i="2"/>
  <c r="U4084" i="2"/>
  <c r="S4084" i="2"/>
  <c r="S4083" i="2"/>
  <c r="T4083" i="2" s="1"/>
  <c r="U4083" i="2" s="1"/>
  <c r="U4082" i="2"/>
  <c r="S4082" i="2"/>
  <c r="T4081" i="2"/>
  <c r="U4081" i="2" s="1"/>
  <c r="U4080" i="2"/>
  <c r="S4080" i="2"/>
  <c r="U4079" i="2"/>
  <c r="S4079" i="2"/>
  <c r="S4078" i="2"/>
  <c r="T4078" i="2" s="1"/>
  <c r="U4078" i="2" s="1"/>
  <c r="U4077" i="2"/>
  <c r="S4077" i="2"/>
  <c r="T4076" i="2"/>
  <c r="U4076" i="2" s="1"/>
  <c r="U4075" i="2"/>
  <c r="U4074" i="2"/>
  <c r="T4073" i="2"/>
  <c r="U4073" i="2" s="1"/>
  <c r="U4072" i="2"/>
  <c r="S4072" i="2"/>
  <c r="U4071" i="2"/>
  <c r="S4071" i="2"/>
  <c r="T4070" i="2"/>
  <c r="U4070" i="2" s="1"/>
  <c r="U4069" i="2"/>
  <c r="U4068" i="2"/>
  <c r="T4067" i="2"/>
  <c r="U4067" i="2" s="1"/>
  <c r="U4066" i="2"/>
  <c r="S4066" i="2"/>
  <c r="U4065" i="2"/>
  <c r="S4065" i="2"/>
  <c r="T4064" i="2"/>
  <c r="U4064" i="2" s="1"/>
  <c r="U4063" i="2"/>
  <c r="S4063" i="2"/>
  <c r="U4062" i="2"/>
  <c r="S4062" i="2"/>
  <c r="T4061" i="2"/>
  <c r="U4061" i="2" s="1"/>
  <c r="U4060" i="2"/>
  <c r="S4060" i="2"/>
  <c r="U4059" i="2"/>
  <c r="S4059" i="2"/>
  <c r="T4058" i="2"/>
  <c r="U4058" i="2" s="1"/>
  <c r="U4057" i="2"/>
  <c r="S4057" i="2"/>
  <c r="U4056" i="2"/>
  <c r="S4056" i="2"/>
  <c r="T4055" i="2"/>
  <c r="U4055" i="2" s="1"/>
  <c r="U4054" i="2"/>
  <c r="S4054" i="2"/>
  <c r="U4053" i="2"/>
  <c r="S4053" i="2"/>
  <c r="T4052" i="2"/>
  <c r="U4052" i="2" s="1"/>
  <c r="U4051" i="2"/>
  <c r="U4050" i="2"/>
  <c r="T4049" i="2"/>
  <c r="U4049" i="2" s="1"/>
  <c r="U4048" i="2"/>
  <c r="U4047" i="2"/>
  <c r="T4046" i="2"/>
  <c r="U4046" i="2" s="1"/>
  <c r="U4045" i="2"/>
  <c r="S4045" i="2"/>
  <c r="U4044" i="2"/>
  <c r="S4044" i="2"/>
  <c r="T4043" i="2"/>
  <c r="U4043" i="2" s="1"/>
  <c r="U4042" i="2"/>
  <c r="S4042" i="2"/>
  <c r="U4041" i="2"/>
  <c r="S4041" i="2"/>
  <c r="T4040" i="2"/>
  <c r="U4040" i="2" s="1"/>
  <c r="U4039" i="2"/>
  <c r="U4038" i="2"/>
  <c r="T4037" i="2"/>
  <c r="U4037" i="2" s="1"/>
  <c r="U4036" i="2"/>
  <c r="S4036" i="2"/>
  <c r="U4035" i="2"/>
  <c r="S4035" i="2"/>
  <c r="U4032" i="2"/>
  <c r="U4031" i="2"/>
  <c r="T4030" i="2"/>
  <c r="U4030" i="2" s="1"/>
  <c r="U4029" i="2"/>
  <c r="S4029" i="2"/>
  <c r="U4028" i="2"/>
  <c r="S4028" i="2"/>
  <c r="T4027" i="2"/>
  <c r="U4027" i="2" s="1"/>
  <c r="U4026" i="2"/>
  <c r="S4026" i="2"/>
  <c r="U4025" i="2"/>
  <c r="S4025" i="2"/>
  <c r="T4024" i="2"/>
  <c r="U4024" i="2" s="1"/>
  <c r="U4023" i="2"/>
  <c r="S4023" i="2"/>
  <c r="U4022" i="2"/>
  <c r="S4022" i="2"/>
  <c r="T4021" i="2"/>
  <c r="U4021" i="2" s="1"/>
  <c r="U4020" i="2"/>
  <c r="S4020" i="2"/>
  <c r="U4019" i="2"/>
  <c r="S4019" i="2"/>
  <c r="T4018" i="2"/>
  <c r="U4018" i="2" s="1"/>
  <c r="U4017" i="2"/>
  <c r="S4017" i="2"/>
  <c r="U4016" i="2"/>
  <c r="S4016" i="2"/>
  <c r="T4015" i="2"/>
  <c r="U4015" i="2" s="1"/>
  <c r="U4014" i="2"/>
  <c r="S4014" i="2"/>
  <c r="U4013" i="2"/>
  <c r="S4013" i="2"/>
  <c r="S4012" i="2"/>
  <c r="T4012" i="2" s="1"/>
  <c r="U4012" i="2" s="1"/>
  <c r="U4011" i="2"/>
  <c r="S4011" i="2"/>
  <c r="T4010" i="2"/>
  <c r="U4010" i="2" s="1"/>
  <c r="U4009" i="2"/>
  <c r="S4009" i="2"/>
  <c r="U4008" i="2"/>
  <c r="S4008" i="2"/>
  <c r="T4007" i="2"/>
  <c r="U4007" i="2" s="1"/>
  <c r="U4006" i="2"/>
  <c r="S4006" i="2"/>
  <c r="U4005" i="2"/>
  <c r="S4005" i="2"/>
  <c r="T4004" i="2"/>
  <c r="U4004" i="2" s="1"/>
  <c r="U4003" i="2"/>
  <c r="S4003" i="2"/>
  <c r="U4002" i="2"/>
  <c r="S4002" i="2"/>
  <c r="S4001" i="2"/>
  <c r="T4001" i="2" s="1"/>
  <c r="U4001" i="2" s="1"/>
  <c r="U4000" i="2"/>
  <c r="S4000" i="2"/>
  <c r="T3999" i="2"/>
  <c r="U3999" i="2" s="1"/>
  <c r="U3998" i="2"/>
  <c r="U3997" i="2"/>
  <c r="T3996" i="2"/>
  <c r="U3996" i="2" s="1"/>
  <c r="U3995" i="2"/>
  <c r="S3995" i="2"/>
  <c r="U3994" i="2"/>
  <c r="S3994" i="2"/>
  <c r="T3993" i="2"/>
  <c r="U3993" i="2" s="1"/>
  <c r="U3992" i="2"/>
  <c r="S3992" i="2"/>
  <c r="U3991" i="2"/>
  <c r="S3991" i="2"/>
  <c r="T3990" i="2"/>
  <c r="U3990" i="2" s="1"/>
  <c r="U3989" i="2"/>
  <c r="U3988" i="2"/>
  <c r="T3987" i="2"/>
  <c r="U3987" i="2" s="1"/>
  <c r="U3986" i="2"/>
  <c r="S3986" i="2"/>
  <c r="U3985" i="2"/>
  <c r="S3985" i="2"/>
  <c r="S3984" i="2"/>
  <c r="T3984" i="2" s="1"/>
  <c r="U3984" i="2" s="1"/>
  <c r="U3983" i="2"/>
  <c r="S3983" i="2"/>
  <c r="T3982" i="2"/>
  <c r="U3982" i="2" s="1"/>
  <c r="U3981" i="2"/>
  <c r="S3981" i="2"/>
  <c r="U3980" i="2"/>
  <c r="S3980" i="2"/>
  <c r="T3979" i="2"/>
  <c r="U3979" i="2" s="1"/>
  <c r="U3978" i="2"/>
  <c r="S3978" i="2"/>
  <c r="U3977" i="2"/>
  <c r="S3977" i="2"/>
  <c r="U3974" i="2"/>
  <c r="S3974" i="2"/>
  <c r="U3973" i="2"/>
  <c r="S3973" i="2"/>
  <c r="T3972" i="2"/>
  <c r="U3972" i="2" s="1"/>
  <c r="U3971" i="2"/>
  <c r="S3971" i="2"/>
  <c r="U3970" i="2"/>
  <c r="S3970" i="2"/>
  <c r="T3969" i="2"/>
  <c r="U3969" i="2" s="1"/>
  <c r="U3968" i="2"/>
  <c r="S3968" i="2"/>
  <c r="U3967" i="2"/>
  <c r="S3967" i="2"/>
  <c r="T3966" i="2"/>
  <c r="U3966" i="2" s="1"/>
  <c r="U3965" i="2"/>
  <c r="S3965" i="2"/>
  <c r="U3964" i="2"/>
  <c r="S3964" i="2"/>
  <c r="T3963" i="2"/>
  <c r="U3963" i="2" s="1"/>
  <c r="U3962" i="2"/>
  <c r="S3962" i="2"/>
  <c r="U3961" i="2"/>
  <c r="S3961" i="2"/>
  <c r="U3958" i="2"/>
  <c r="U3957" i="2"/>
  <c r="U3954" i="2"/>
  <c r="S3954" i="2"/>
  <c r="U3953" i="2"/>
  <c r="S3953" i="2"/>
  <c r="S3952" i="2"/>
  <c r="T3952" i="2" s="1"/>
  <c r="U3952" i="2" s="1"/>
  <c r="U3951" i="2"/>
  <c r="S3951" i="2"/>
  <c r="U3948" i="2"/>
  <c r="S3948" i="2"/>
  <c r="U3947" i="2"/>
  <c r="S3947" i="2"/>
  <c r="U3944" i="2"/>
  <c r="S3944" i="2"/>
  <c r="U3943" i="2"/>
  <c r="S3943" i="2"/>
  <c r="T3942" i="2"/>
  <c r="U3942" i="2" s="1"/>
  <c r="U3941" i="2"/>
  <c r="U3940" i="2"/>
  <c r="T3939" i="2"/>
  <c r="U3939" i="2" s="1"/>
  <c r="U3938" i="2"/>
  <c r="S3938" i="2"/>
  <c r="U3937" i="2"/>
  <c r="S3937" i="2"/>
  <c r="U3934" i="2"/>
  <c r="S3934" i="2"/>
  <c r="U3933" i="2"/>
  <c r="S3933" i="2"/>
  <c r="U3930" i="2"/>
  <c r="S3930" i="2"/>
  <c r="U3929" i="2"/>
  <c r="S3929" i="2"/>
  <c r="S3928" i="2"/>
  <c r="T3928" i="2" s="1"/>
  <c r="U3928" i="2" s="1"/>
  <c r="U3927" i="2"/>
  <c r="S3927" i="2"/>
  <c r="T3926" i="2"/>
  <c r="U3926" i="2" s="1"/>
  <c r="U3925" i="2"/>
  <c r="S3925" i="2"/>
  <c r="U3924" i="2"/>
  <c r="S3924" i="2"/>
  <c r="T3923" i="2"/>
  <c r="U3923" i="2" s="1"/>
  <c r="U3922" i="2"/>
  <c r="S3922" i="2"/>
  <c r="U3921" i="2"/>
  <c r="S3921" i="2"/>
  <c r="U3918" i="2"/>
  <c r="U3917" i="2"/>
  <c r="T3916" i="2"/>
  <c r="U3916" i="2" s="1"/>
  <c r="U3915" i="2"/>
  <c r="U3914" i="2"/>
  <c r="S3913" i="2"/>
  <c r="T3913" i="2" s="1"/>
  <c r="U3913" i="2" s="1"/>
  <c r="U3912" i="2"/>
  <c r="S3912" i="2"/>
  <c r="S3911" i="2"/>
  <c r="T3911" i="2" s="1"/>
  <c r="U3911" i="2" s="1"/>
  <c r="U3910" i="2"/>
  <c r="S3910" i="2"/>
  <c r="T3909" i="2"/>
  <c r="U3909" i="2" s="1"/>
  <c r="U3908" i="2"/>
  <c r="S3907" i="2"/>
  <c r="T3907" i="2" s="1"/>
  <c r="U3907" i="2" s="1"/>
  <c r="U3906" i="2"/>
  <c r="S3906" i="2"/>
  <c r="T3905" i="2"/>
  <c r="U3905" i="2" s="1"/>
  <c r="U3904" i="2"/>
  <c r="S3904" i="2"/>
  <c r="U3903" i="2"/>
  <c r="S3903" i="2"/>
  <c r="T3902" i="2"/>
  <c r="U3902" i="2" s="1"/>
  <c r="U3901" i="2"/>
  <c r="S3901" i="2"/>
  <c r="U3900" i="2"/>
  <c r="S3900" i="2"/>
  <c r="T3899" i="2"/>
  <c r="U3899" i="2" s="1"/>
  <c r="U3898" i="2"/>
  <c r="S3898" i="2"/>
  <c r="U3897" i="2"/>
  <c r="S3897" i="2"/>
  <c r="U3894" i="2"/>
  <c r="U3893" i="2"/>
  <c r="S3892" i="2"/>
  <c r="T3892" i="2" s="1"/>
  <c r="U3892" i="2" s="1"/>
  <c r="U3891" i="2"/>
  <c r="S3891" i="2"/>
  <c r="U3888" i="2"/>
  <c r="U3887" i="2"/>
  <c r="U3884" i="2"/>
  <c r="U3883" i="2"/>
  <c r="T3882" i="2"/>
  <c r="U3882" i="2" s="1"/>
  <c r="U3881" i="2"/>
  <c r="U3880" i="2"/>
  <c r="T3879" i="2"/>
  <c r="U3879" i="2" s="1"/>
  <c r="U3878" i="2"/>
  <c r="S3878" i="2"/>
  <c r="U3877" i="2"/>
  <c r="S3877" i="2"/>
  <c r="T3876" i="2"/>
  <c r="U3876" i="2" s="1"/>
  <c r="U3875" i="2"/>
  <c r="S3875" i="2"/>
  <c r="U3874" i="2"/>
  <c r="S3874" i="2"/>
  <c r="T3873" i="2"/>
  <c r="U3873" i="2" s="1"/>
  <c r="U3872" i="2"/>
  <c r="S3872" i="2"/>
  <c r="U3871" i="2"/>
  <c r="S3871" i="2"/>
  <c r="T3870" i="2"/>
  <c r="U3870" i="2" s="1"/>
  <c r="U3869" i="2"/>
  <c r="S3869" i="2"/>
  <c r="U3868" i="2"/>
  <c r="S3868" i="2"/>
  <c r="U3865" i="2"/>
  <c r="S3865" i="2"/>
  <c r="U3864" i="2"/>
  <c r="S3864" i="2"/>
  <c r="T3863" i="2"/>
  <c r="U3863" i="2" s="1"/>
  <c r="U3862" i="2"/>
  <c r="S3862" i="2"/>
  <c r="U3861" i="2"/>
  <c r="S3861" i="2"/>
  <c r="U3858" i="2"/>
  <c r="S3858" i="2"/>
  <c r="U3857" i="2"/>
  <c r="S3857" i="2"/>
  <c r="T3856" i="2"/>
  <c r="U3856" i="2" s="1"/>
  <c r="T3855" i="2"/>
  <c r="U3855" i="2" s="1"/>
  <c r="T3854" i="2"/>
  <c r="U3854" i="2" s="1"/>
  <c r="T3853" i="2"/>
  <c r="U3853" i="2" s="1"/>
  <c r="T3852" i="2"/>
  <c r="U3852" i="2" s="1"/>
  <c r="T3851" i="2"/>
  <c r="U3851" i="2" s="1"/>
  <c r="T3850" i="2"/>
  <c r="U3850" i="2" s="1"/>
  <c r="T3849" i="2"/>
  <c r="U3849" i="2" s="1"/>
  <c r="T3848" i="2"/>
  <c r="U3848" i="2" s="1"/>
  <c r="T3847" i="2"/>
  <c r="U3847" i="2" s="1"/>
  <c r="T3846" i="2"/>
  <c r="U3846" i="2" s="1"/>
  <c r="S3845" i="2"/>
  <c r="T3845" i="2" s="1"/>
  <c r="U3845" i="2" s="1"/>
  <c r="S3844" i="2"/>
  <c r="T3844" i="2" s="1"/>
  <c r="U3844" i="2" s="1"/>
  <c r="T3843" i="2"/>
  <c r="U3843" i="2" s="1"/>
  <c r="T3842" i="2"/>
  <c r="U3842" i="2" s="1"/>
  <c r="T3841" i="2"/>
  <c r="U3841" i="2" s="1"/>
  <c r="T3840" i="2"/>
  <c r="U3840" i="2" s="1"/>
  <c r="T3839" i="2"/>
  <c r="U3839" i="2" s="1"/>
  <c r="T3838" i="2"/>
  <c r="U3838" i="2" s="1"/>
  <c r="T3837" i="2"/>
  <c r="U3837" i="2" s="1"/>
  <c r="T3836" i="2"/>
  <c r="U3836" i="2" s="1"/>
  <c r="T3835" i="2"/>
  <c r="U3835" i="2" s="1"/>
  <c r="T3834" i="2"/>
  <c r="U3834" i="2" s="1"/>
  <c r="T3833" i="2"/>
  <c r="U3833" i="2" s="1"/>
  <c r="T3832" i="2"/>
  <c r="U3832" i="2" s="1"/>
  <c r="S3831" i="2"/>
  <c r="T3831" i="2" s="1"/>
  <c r="U3831" i="2" s="1"/>
  <c r="T3830" i="2"/>
  <c r="U3830" i="2" s="1"/>
  <c r="T3829" i="2"/>
  <c r="U3829" i="2" s="1"/>
  <c r="T3828" i="2"/>
  <c r="U3828" i="2" s="1"/>
  <c r="T3827" i="2"/>
  <c r="U3827" i="2" s="1"/>
  <c r="T3826" i="2"/>
  <c r="U3826" i="2" s="1"/>
  <c r="T3825" i="2"/>
  <c r="U3825" i="2" s="1"/>
  <c r="T3824" i="2"/>
  <c r="U3824" i="2" s="1"/>
  <c r="T3823" i="2"/>
  <c r="U3823" i="2" s="1"/>
  <c r="T3822" i="2"/>
  <c r="U3822" i="2" s="1"/>
  <c r="S3821" i="2"/>
  <c r="T3821" i="2" s="1"/>
  <c r="U3821" i="2" s="1"/>
  <c r="T3820" i="2"/>
  <c r="U3820" i="2" s="1"/>
  <c r="T3819" i="2"/>
  <c r="U3819" i="2" s="1"/>
  <c r="T3818" i="2"/>
  <c r="U3818" i="2" s="1"/>
  <c r="T3817" i="2"/>
  <c r="U3817" i="2" s="1"/>
  <c r="T3816" i="2"/>
  <c r="U3816" i="2" s="1"/>
  <c r="T3815" i="2"/>
  <c r="U3815" i="2" s="1"/>
  <c r="T3814" i="2"/>
  <c r="U3814" i="2" s="1"/>
  <c r="S3813" i="2"/>
  <c r="T3813" i="2" s="1"/>
  <c r="U3813" i="2" s="1"/>
  <c r="S3812" i="2"/>
  <c r="T3812" i="2" s="1"/>
  <c r="U3812" i="2" s="1"/>
  <c r="T3811" i="2"/>
  <c r="U3811" i="2" s="1"/>
  <c r="T3810" i="2"/>
  <c r="U3810" i="2" s="1"/>
  <c r="S3809" i="2"/>
  <c r="T3809" i="2" s="1"/>
  <c r="U3809" i="2" s="1"/>
  <c r="T3808" i="2"/>
  <c r="U3808" i="2" s="1"/>
  <c r="T3807" i="2"/>
  <c r="U3807" i="2" s="1"/>
  <c r="S3806" i="2"/>
  <c r="T3806" i="2" s="1"/>
  <c r="U3806" i="2" s="1"/>
  <c r="S3805" i="2"/>
  <c r="T3805" i="2" s="1"/>
  <c r="U3805" i="2" s="1"/>
  <c r="T3804" i="2"/>
  <c r="U3804" i="2" s="1"/>
  <c r="T3803" i="2"/>
  <c r="U3803" i="2" s="1"/>
  <c r="S3802" i="2"/>
  <c r="T3802" i="2" s="1"/>
  <c r="U3802" i="2" s="1"/>
  <c r="T3801" i="2"/>
  <c r="U3801" i="2" s="1"/>
  <c r="S3800" i="2"/>
  <c r="T3800" i="2" s="1"/>
  <c r="U3800" i="2" s="1"/>
  <c r="T3799" i="2"/>
  <c r="U3799" i="2" s="1"/>
  <c r="S3798" i="2"/>
  <c r="T3798" i="2" s="1"/>
  <c r="U3798" i="2" s="1"/>
  <c r="T3797" i="2"/>
  <c r="U3797" i="2" s="1"/>
  <c r="T3796" i="2"/>
  <c r="U3796" i="2" s="1"/>
  <c r="S3795" i="2"/>
  <c r="T3795" i="2" s="1"/>
  <c r="U3795" i="2" s="1"/>
  <c r="T3794" i="2"/>
  <c r="U3794" i="2" s="1"/>
  <c r="U3792" i="2"/>
  <c r="U3791" i="2"/>
  <c r="U3790" i="2"/>
  <c r="U3788" i="2"/>
  <c r="U3787" i="2"/>
  <c r="U3786" i="2"/>
  <c r="T3785" i="2"/>
  <c r="U3785" i="2" s="1"/>
  <c r="T3784" i="2"/>
  <c r="U3784" i="2" s="1"/>
  <c r="T3783" i="2"/>
  <c r="U3783" i="2" s="1"/>
  <c r="T3782" i="2"/>
  <c r="U3782" i="2" s="1"/>
  <c r="T3781" i="2"/>
  <c r="U3781" i="2" s="1"/>
  <c r="T3780" i="2"/>
  <c r="U3780" i="2" s="1"/>
  <c r="S3779" i="2"/>
  <c r="T3779" i="2" s="1"/>
  <c r="U3779" i="2" s="1"/>
  <c r="T3778" i="2"/>
  <c r="U3778" i="2" s="1"/>
  <c r="U3776" i="2"/>
  <c r="U3775" i="2"/>
  <c r="U3774" i="2"/>
  <c r="U3772" i="2"/>
  <c r="U3771" i="2"/>
  <c r="U3770" i="2"/>
  <c r="S3769" i="2"/>
  <c r="T3769" i="2" s="1"/>
  <c r="U3769" i="2" s="1"/>
  <c r="T3768" i="2"/>
  <c r="U3768" i="2" s="1"/>
  <c r="T3767" i="2"/>
  <c r="U3767" i="2" s="1"/>
  <c r="T3766" i="2"/>
  <c r="U3766" i="2" s="1"/>
  <c r="S3765" i="2"/>
  <c r="T3765" i="2" s="1"/>
  <c r="U3765" i="2" s="1"/>
  <c r="T3764" i="2"/>
  <c r="U3764" i="2" s="1"/>
  <c r="S3763" i="2"/>
  <c r="T3763" i="2" s="1"/>
  <c r="U3763" i="2" s="1"/>
  <c r="S3762" i="2"/>
  <c r="T3762" i="2" s="1"/>
  <c r="U3762" i="2" s="1"/>
  <c r="T3761" i="2"/>
  <c r="U3761" i="2" s="1"/>
  <c r="T3760" i="2"/>
  <c r="U3760" i="2" s="1"/>
  <c r="T3759" i="2"/>
  <c r="U3759" i="2" s="1"/>
  <c r="U3758" i="2"/>
  <c r="T3757" i="2"/>
  <c r="U3757" i="2" s="1"/>
  <c r="U3756" i="2"/>
  <c r="T3755" i="2"/>
  <c r="U3755" i="2" s="1"/>
  <c r="U3754" i="2"/>
  <c r="T3753" i="2"/>
  <c r="U3753" i="2" s="1"/>
  <c r="U3752" i="2"/>
  <c r="U3751" i="2"/>
  <c r="U3748" i="2"/>
  <c r="U3747" i="2"/>
  <c r="U3746" i="2"/>
  <c r="T3745" i="2"/>
  <c r="U3745" i="2" s="1"/>
  <c r="U3744" i="2"/>
  <c r="T3743" i="2"/>
  <c r="U3743" i="2" s="1"/>
  <c r="U3742" i="2"/>
  <c r="T3741" i="2"/>
  <c r="U3741" i="2" s="1"/>
  <c r="U3740" i="2"/>
  <c r="U3739" i="2"/>
  <c r="T3738" i="2"/>
  <c r="U3738" i="2" s="1"/>
  <c r="U3737" i="2"/>
  <c r="U3736" i="2"/>
  <c r="T3735" i="2"/>
  <c r="U3735" i="2" s="1"/>
  <c r="U3734" i="2"/>
  <c r="U3733" i="2"/>
  <c r="U3731" i="2"/>
  <c r="U3730" i="2"/>
  <c r="U3729" i="2"/>
  <c r="T3728" i="2"/>
  <c r="U3728" i="2" s="1"/>
  <c r="U3727" i="2"/>
  <c r="U3726" i="2"/>
  <c r="T3725" i="2"/>
  <c r="U3725" i="2" s="1"/>
  <c r="U3724" i="2"/>
  <c r="T3723" i="2"/>
  <c r="U3723" i="2" s="1"/>
  <c r="U3722" i="2"/>
  <c r="T3721" i="2"/>
  <c r="U3721" i="2" s="1"/>
  <c r="U3720" i="2"/>
  <c r="T3719" i="2"/>
  <c r="U3719" i="2" s="1"/>
  <c r="U3718" i="2"/>
  <c r="T3717" i="2"/>
  <c r="U3717" i="2" s="1"/>
  <c r="U3716" i="2"/>
  <c r="T3715" i="2"/>
  <c r="U3715" i="2" s="1"/>
  <c r="U3714" i="2"/>
  <c r="T3713" i="2"/>
  <c r="U3713" i="2" s="1"/>
  <c r="U3712" i="2"/>
  <c r="T3711" i="2"/>
  <c r="U3711" i="2" s="1"/>
  <c r="U3710" i="2"/>
  <c r="T3709" i="2"/>
  <c r="U3709" i="2" s="1"/>
  <c r="U3708" i="2"/>
  <c r="U3705" i="2"/>
  <c r="T3704" i="2"/>
  <c r="U3704" i="2" s="1"/>
  <c r="U3703" i="2"/>
  <c r="U3700" i="2"/>
  <c r="T3699" i="2"/>
  <c r="U3699" i="2" s="1"/>
  <c r="U3698" i="2"/>
  <c r="T3697" i="2"/>
  <c r="U3697" i="2" s="1"/>
  <c r="U3696" i="2"/>
  <c r="T3695" i="2"/>
  <c r="U3695" i="2" s="1"/>
  <c r="U3694" i="2"/>
  <c r="U3691" i="2"/>
  <c r="T3690" i="2"/>
  <c r="U3690" i="2" s="1"/>
  <c r="U3689" i="2"/>
  <c r="U3686" i="2"/>
  <c r="T3685" i="2"/>
  <c r="U3685" i="2" s="1"/>
  <c r="T3684" i="2"/>
  <c r="U3684" i="2" s="1"/>
  <c r="T3683" i="2"/>
  <c r="U3683" i="2" s="1"/>
  <c r="T3682" i="2"/>
  <c r="U3682" i="2" s="1"/>
  <c r="T3681" i="2"/>
  <c r="U3681" i="2" s="1"/>
  <c r="T3680" i="2"/>
  <c r="U3680" i="2" s="1"/>
  <c r="T3679" i="2"/>
  <c r="U3679" i="2" s="1"/>
  <c r="T3678" i="2"/>
  <c r="U3678" i="2" s="1"/>
  <c r="T3677" i="2"/>
  <c r="U3677" i="2" s="1"/>
  <c r="T3676" i="2"/>
  <c r="U3676" i="2" s="1"/>
  <c r="T3675" i="2"/>
  <c r="U3675" i="2" s="1"/>
  <c r="T3674" i="2"/>
  <c r="U3674" i="2" s="1"/>
  <c r="U3673" i="2"/>
  <c r="T3672" i="2"/>
  <c r="U3672" i="2" s="1"/>
  <c r="U3671" i="2"/>
  <c r="T3670" i="2"/>
  <c r="U3670" i="2" s="1"/>
  <c r="U3669" i="2"/>
  <c r="U3666" i="2"/>
  <c r="U3665" i="2"/>
  <c r="U3664" i="2"/>
  <c r="U3662" i="2"/>
  <c r="U3661" i="2"/>
  <c r="U3660" i="2"/>
  <c r="U3659" i="2"/>
  <c r="U3657" i="2"/>
  <c r="U3656" i="2"/>
  <c r="U3655" i="2"/>
  <c r="U3654" i="2"/>
  <c r="U3652" i="2"/>
  <c r="U3651" i="2"/>
  <c r="U3650" i="2"/>
  <c r="U3649" i="2"/>
  <c r="U3647" i="2"/>
  <c r="U3646" i="2"/>
  <c r="U3645" i="2"/>
  <c r="U3644" i="2"/>
  <c r="T3643" i="2"/>
  <c r="U3643" i="2" s="1"/>
  <c r="U3642" i="2"/>
  <c r="T3641" i="2"/>
  <c r="U3641" i="2" s="1"/>
  <c r="U3640" i="2"/>
  <c r="U3638" i="2"/>
  <c r="U3637" i="2"/>
  <c r="U3636" i="2"/>
  <c r="U3635" i="2"/>
  <c r="T3634" i="2"/>
  <c r="U3634" i="2" s="1"/>
  <c r="U3633" i="2"/>
  <c r="U3631" i="2"/>
  <c r="U3630" i="2"/>
  <c r="U3629" i="2"/>
  <c r="U3628" i="2"/>
  <c r="U3626" i="2"/>
  <c r="U3625" i="2"/>
  <c r="U3624" i="2"/>
  <c r="U3623" i="2"/>
  <c r="U3622" i="2"/>
  <c r="U3620" i="2"/>
  <c r="U3619" i="2"/>
  <c r="U3618" i="2"/>
  <c r="U3617" i="2"/>
  <c r="U3615" i="2"/>
  <c r="U3614" i="2"/>
  <c r="U3613" i="2"/>
  <c r="U3612" i="2"/>
  <c r="U3609" i="2"/>
  <c r="U3608" i="2"/>
  <c r="U3607" i="2"/>
  <c r="T3606" i="2"/>
  <c r="U3606" i="2" s="1"/>
  <c r="T3605" i="2"/>
  <c r="U3605" i="2" s="1"/>
  <c r="T3604" i="2"/>
  <c r="U3604" i="2" s="1"/>
  <c r="T3603" i="2"/>
  <c r="U3603" i="2" s="1"/>
  <c r="T3602" i="2"/>
  <c r="U3602" i="2" s="1"/>
  <c r="T3601" i="2"/>
  <c r="U3601" i="2" s="1"/>
  <c r="T3600" i="2"/>
  <c r="U3600" i="2" s="1"/>
  <c r="T3599" i="2"/>
  <c r="U3599" i="2" s="1"/>
  <c r="T3598" i="2"/>
  <c r="U3598" i="2" s="1"/>
  <c r="T3597" i="2"/>
  <c r="U3597" i="2" s="1"/>
  <c r="T3596" i="2"/>
  <c r="U3596" i="2" s="1"/>
  <c r="T3595" i="2"/>
  <c r="U3595" i="2" s="1"/>
  <c r="T3594" i="2"/>
  <c r="U3594" i="2" s="1"/>
  <c r="T3593" i="2"/>
  <c r="U3593" i="2" s="1"/>
  <c r="T3592" i="2"/>
  <c r="U3592" i="2" s="1"/>
  <c r="T3591" i="2"/>
  <c r="U3591" i="2" s="1"/>
  <c r="U3590" i="2"/>
  <c r="T3589" i="2"/>
  <c r="U3589" i="2" s="1"/>
  <c r="U3588" i="2"/>
  <c r="T3587" i="2"/>
  <c r="U3587" i="2" s="1"/>
  <c r="U3586" i="2"/>
  <c r="T3585" i="2"/>
  <c r="U3585" i="2" s="1"/>
  <c r="T3584" i="2"/>
  <c r="U3584" i="2" s="1"/>
  <c r="T3583" i="2"/>
  <c r="U3583" i="2" s="1"/>
  <c r="U3582" i="2"/>
  <c r="U3581" i="2"/>
  <c r="T3580" i="2"/>
  <c r="U3580" i="2" s="1"/>
  <c r="U3579" i="2"/>
  <c r="U3578" i="2"/>
  <c r="T3577" i="2"/>
  <c r="U3577" i="2" s="1"/>
  <c r="U3576" i="2"/>
  <c r="U3575" i="2"/>
  <c r="T3574" i="2"/>
  <c r="U3574" i="2" s="1"/>
  <c r="U3573" i="2"/>
  <c r="U3572" i="2"/>
  <c r="T3571" i="2"/>
  <c r="U3571" i="2" s="1"/>
  <c r="U3570" i="2"/>
  <c r="U3569" i="2"/>
  <c r="T3568" i="2"/>
  <c r="U3568" i="2" s="1"/>
  <c r="U3567" i="2"/>
  <c r="U3566" i="2"/>
  <c r="U3564" i="2"/>
  <c r="U3563" i="2"/>
  <c r="U3562" i="2"/>
  <c r="U3561" i="2"/>
  <c r="U3560" i="2"/>
  <c r="U3558" i="2"/>
  <c r="U3557" i="2"/>
  <c r="U3556" i="2"/>
  <c r="U3555" i="2"/>
  <c r="U3554" i="2"/>
  <c r="U3552" i="2"/>
  <c r="U3551" i="2"/>
  <c r="U3550" i="2"/>
  <c r="U3549" i="2"/>
  <c r="U3548" i="2"/>
  <c r="U3546" i="2"/>
  <c r="U3545" i="2"/>
  <c r="U3544" i="2"/>
  <c r="U3543" i="2"/>
  <c r="U3542" i="2"/>
  <c r="U3540" i="2"/>
  <c r="U3539" i="2"/>
  <c r="U3538" i="2"/>
  <c r="U3537" i="2"/>
  <c r="U3536" i="2"/>
  <c r="U3534" i="2"/>
  <c r="U3533" i="2"/>
  <c r="U3532" i="2"/>
  <c r="U3531" i="2"/>
  <c r="U3530" i="2"/>
  <c r="U3528" i="2"/>
  <c r="U3527" i="2"/>
  <c r="U3526" i="2"/>
  <c r="U3525" i="2"/>
  <c r="U3524" i="2"/>
  <c r="U3522" i="2"/>
  <c r="U3521" i="2"/>
  <c r="U3520" i="2"/>
  <c r="U3519" i="2"/>
  <c r="U3518" i="2"/>
  <c r="U3516" i="2"/>
  <c r="U3515" i="2"/>
  <c r="U3514" i="2"/>
  <c r="U3513" i="2"/>
  <c r="U3512" i="2"/>
  <c r="U3510" i="2"/>
  <c r="U3509" i="2"/>
  <c r="U3508" i="2"/>
  <c r="U3507" i="2"/>
  <c r="U3506" i="2"/>
  <c r="U3504" i="2"/>
  <c r="U3503" i="2"/>
  <c r="U3502" i="2"/>
  <c r="U3501" i="2"/>
  <c r="U3500" i="2"/>
  <c r="U3498" i="2"/>
  <c r="U3497" i="2"/>
  <c r="U3496" i="2"/>
  <c r="U3495" i="2"/>
  <c r="U3493" i="2"/>
  <c r="U3492" i="2"/>
  <c r="U3491" i="2"/>
  <c r="U3490" i="2"/>
  <c r="U3488" i="2"/>
  <c r="U3487" i="2"/>
  <c r="U3486" i="2"/>
  <c r="U3485" i="2"/>
  <c r="U3483" i="2"/>
  <c r="U3482" i="2"/>
  <c r="U3481" i="2"/>
  <c r="U3480" i="2"/>
  <c r="U3477" i="2"/>
  <c r="U3476" i="2"/>
  <c r="U3474" i="2"/>
  <c r="U3473" i="2"/>
  <c r="U3472" i="2"/>
  <c r="U3471" i="2"/>
  <c r="U3469" i="2"/>
  <c r="U3468" i="2"/>
  <c r="U3467" i="2"/>
  <c r="U3466" i="2"/>
  <c r="U3464" i="2"/>
  <c r="U3463" i="2"/>
  <c r="U3462" i="2"/>
  <c r="U3461" i="2"/>
  <c r="U3459" i="2"/>
  <c r="U3458" i="2"/>
  <c r="U3457" i="2"/>
  <c r="U3456" i="2"/>
  <c r="T3455" i="2"/>
  <c r="U3455" i="2" s="1"/>
  <c r="U3454" i="2"/>
  <c r="U3453" i="2"/>
  <c r="T3452" i="2"/>
  <c r="U3452" i="2" s="1"/>
  <c r="U3451" i="2"/>
  <c r="U3450" i="2"/>
  <c r="T3449" i="2"/>
  <c r="U3449" i="2" s="1"/>
  <c r="U3448" i="2"/>
  <c r="U3447" i="2"/>
  <c r="T3446" i="2"/>
  <c r="U3446" i="2" s="1"/>
  <c r="U3445" i="2"/>
  <c r="U3444" i="2"/>
  <c r="T3443" i="2"/>
  <c r="U3443" i="2" s="1"/>
  <c r="U3442" i="2"/>
  <c r="U3441" i="2"/>
  <c r="T3440" i="2"/>
  <c r="U3440" i="2" s="1"/>
  <c r="U3439" i="2"/>
  <c r="U3438" i="2"/>
  <c r="T3437" i="2"/>
  <c r="U3437" i="2" s="1"/>
  <c r="U3436" i="2"/>
  <c r="U3435" i="2"/>
  <c r="U3433" i="2"/>
  <c r="U3432" i="2"/>
  <c r="U3431" i="2"/>
  <c r="U3430" i="2"/>
  <c r="U3427" i="2"/>
  <c r="U3426" i="2"/>
  <c r="U3424" i="2"/>
  <c r="U3423" i="2"/>
  <c r="U3422" i="2"/>
  <c r="U3421" i="2"/>
  <c r="U3418" i="2"/>
  <c r="U3417" i="2"/>
  <c r="U3415" i="2"/>
  <c r="U3414" i="2"/>
  <c r="U3413" i="2"/>
  <c r="U3412" i="2"/>
  <c r="U3410" i="2"/>
  <c r="U3409" i="2"/>
  <c r="U3408" i="2"/>
  <c r="U3407" i="2"/>
  <c r="U3405" i="2"/>
  <c r="U3404" i="2"/>
  <c r="U3403" i="2"/>
  <c r="U3402" i="2"/>
  <c r="T3401" i="2"/>
  <c r="U3401" i="2" s="1"/>
  <c r="U3400" i="2"/>
  <c r="U3399" i="2"/>
  <c r="T3398" i="2"/>
  <c r="U3398" i="2" s="1"/>
  <c r="U3397" i="2"/>
  <c r="U3396" i="2"/>
  <c r="T3395" i="2"/>
  <c r="U3395" i="2" s="1"/>
  <c r="U3394" i="2"/>
  <c r="U3393" i="2"/>
  <c r="T3392" i="2"/>
  <c r="U3392" i="2" s="1"/>
  <c r="U3391" i="2"/>
  <c r="U3390" i="2"/>
  <c r="T3389" i="2"/>
  <c r="U3389" i="2" s="1"/>
  <c r="U3388" i="2"/>
  <c r="U3387" i="2"/>
  <c r="T3386" i="2"/>
  <c r="U3386" i="2" s="1"/>
  <c r="U3385" i="2"/>
  <c r="U3384" i="2"/>
  <c r="T3383" i="2"/>
  <c r="U3383" i="2" s="1"/>
  <c r="U3382" i="2"/>
  <c r="U3381" i="2"/>
  <c r="T3380" i="2"/>
  <c r="U3380" i="2" s="1"/>
  <c r="U3379" i="2"/>
  <c r="U3378" i="2"/>
  <c r="U3375" i="2"/>
  <c r="U3374" i="2"/>
  <c r="U3371" i="2"/>
  <c r="U3370" i="2"/>
  <c r="T3369" i="2"/>
  <c r="U3369" i="2" s="1"/>
  <c r="U3368" i="2"/>
  <c r="U3367" i="2"/>
  <c r="U3365" i="2"/>
  <c r="U3364" i="2"/>
  <c r="U3363" i="2"/>
  <c r="U3362" i="2"/>
  <c r="U3360" i="2"/>
  <c r="U3359" i="2"/>
  <c r="U3358" i="2"/>
  <c r="U3357" i="2"/>
  <c r="U3354" i="2"/>
  <c r="U3353" i="2"/>
  <c r="U3351" i="2"/>
  <c r="U3350" i="2"/>
  <c r="U3349" i="2"/>
  <c r="U3348" i="2"/>
  <c r="U3346" i="2"/>
  <c r="U3345" i="2"/>
  <c r="U3344" i="2"/>
  <c r="U3343" i="2"/>
  <c r="T3342" i="2"/>
  <c r="U3342" i="2" s="1"/>
  <c r="U3341" i="2"/>
  <c r="U3340" i="2"/>
  <c r="U3338" i="2"/>
  <c r="U3337" i="2"/>
  <c r="U3336" i="2"/>
  <c r="U3335" i="2"/>
  <c r="U3333" i="2"/>
  <c r="U3332" i="2"/>
  <c r="U3331" i="2"/>
  <c r="U3330" i="2"/>
  <c r="T3329" i="2"/>
  <c r="U3329" i="2" s="1"/>
  <c r="U3328" i="2"/>
  <c r="U3327" i="2"/>
  <c r="T3326" i="2"/>
  <c r="U3326" i="2" s="1"/>
  <c r="U3325" i="2"/>
  <c r="U3324" i="2"/>
  <c r="T3323" i="2"/>
  <c r="U3323" i="2" s="1"/>
  <c r="U3322" i="2"/>
  <c r="U3321" i="2"/>
  <c r="U3320" i="2"/>
  <c r="T3319" i="2"/>
  <c r="U3319" i="2" s="1"/>
  <c r="U3318" i="2"/>
  <c r="U3317" i="2"/>
  <c r="U3316" i="2"/>
  <c r="U3314" i="2"/>
  <c r="U3313" i="2"/>
  <c r="U3312" i="2"/>
  <c r="U3311" i="2"/>
  <c r="U3310" i="2"/>
  <c r="T3309" i="2"/>
  <c r="U3309" i="2" s="1"/>
  <c r="U3308" i="2"/>
  <c r="U3307" i="2"/>
  <c r="U3306" i="2"/>
  <c r="T3305" i="2"/>
  <c r="U3305" i="2" s="1"/>
  <c r="U3304" i="2"/>
  <c r="U3303" i="2"/>
  <c r="U3302" i="2"/>
  <c r="T3301" i="2"/>
  <c r="U3301" i="2" s="1"/>
  <c r="U3300" i="2"/>
  <c r="U3299" i="2"/>
  <c r="U3298" i="2"/>
  <c r="T3297" i="2"/>
  <c r="U3297" i="2" s="1"/>
  <c r="U3296" i="2"/>
  <c r="U3295" i="2"/>
  <c r="U3294" i="2"/>
  <c r="T3293" i="2"/>
  <c r="U3293" i="2" s="1"/>
  <c r="U3292" i="2"/>
  <c r="U3291" i="2"/>
  <c r="U3290" i="2"/>
  <c r="T3289" i="2"/>
  <c r="U3289" i="2" s="1"/>
  <c r="U3288" i="2"/>
  <c r="U3287" i="2"/>
  <c r="T3286" i="2"/>
  <c r="U3286" i="2" s="1"/>
  <c r="U3285" i="2"/>
  <c r="U3284" i="2"/>
  <c r="U3282" i="2"/>
  <c r="U3281" i="2"/>
  <c r="U3280" i="2"/>
  <c r="U3279" i="2"/>
  <c r="U3278" i="2"/>
  <c r="U3277" i="2"/>
  <c r="U3276" i="2"/>
  <c r="T3275" i="2"/>
  <c r="U3275" i="2" s="1"/>
  <c r="U3274" i="2"/>
  <c r="U3273" i="2"/>
  <c r="T3272" i="2"/>
  <c r="U3272" i="2" s="1"/>
  <c r="U3271" i="2"/>
  <c r="U3270" i="2"/>
  <c r="U3268" i="2"/>
  <c r="U3267" i="2"/>
  <c r="U3266" i="2"/>
  <c r="U3265" i="2"/>
  <c r="T3264" i="2"/>
  <c r="U3264" i="2" s="1"/>
  <c r="U3263" i="2"/>
  <c r="U3262" i="2"/>
  <c r="T3261" i="2"/>
  <c r="U3261" i="2" s="1"/>
  <c r="U3260" i="2"/>
  <c r="U3259" i="2"/>
  <c r="T3258" i="2"/>
  <c r="U3258" i="2" s="1"/>
  <c r="U3257" i="2"/>
  <c r="U3256" i="2"/>
  <c r="T3255" i="2"/>
  <c r="U3255" i="2" s="1"/>
  <c r="T3254" i="2"/>
  <c r="U3254" i="2" s="1"/>
  <c r="U3253" i="2"/>
  <c r="U3251" i="2"/>
  <c r="U3250" i="2"/>
  <c r="U3249" i="2"/>
  <c r="U3248" i="2"/>
  <c r="U3246" i="2"/>
  <c r="U3245" i="2"/>
  <c r="U3244" i="2"/>
  <c r="U3243" i="2"/>
  <c r="U3241" i="2"/>
  <c r="U3240" i="2"/>
  <c r="U3239" i="2"/>
  <c r="U3238" i="2"/>
  <c r="U3236" i="2"/>
  <c r="U3235" i="2"/>
  <c r="U3234" i="2"/>
  <c r="U3233" i="2"/>
  <c r="T3232" i="2"/>
  <c r="U3232" i="2" s="1"/>
  <c r="U3231" i="2"/>
  <c r="U3230" i="2"/>
  <c r="T3229" i="2"/>
  <c r="U3229" i="2" s="1"/>
  <c r="U3228" i="2"/>
  <c r="T3227" i="2"/>
  <c r="U3227" i="2" s="1"/>
  <c r="U3226" i="2"/>
  <c r="T3225" i="2"/>
  <c r="U3225" i="2" s="1"/>
  <c r="U3224" i="2"/>
  <c r="T3223" i="2"/>
  <c r="U3223" i="2" s="1"/>
  <c r="U3222" i="2"/>
  <c r="T3221" i="2"/>
  <c r="U3221" i="2" s="1"/>
  <c r="U3220" i="2"/>
  <c r="T3219" i="2"/>
  <c r="U3219" i="2" s="1"/>
  <c r="U3218" i="2"/>
  <c r="T3217" i="2"/>
  <c r="U3217" i="2" s="1"/>
  <c r="T3216" i="2"/>
  <c r="U3216" i="2" s="1"/>
  <c r="T3215" i="2"/>
  <c r="U3215" i="2" s="1"/>
  <c r="T3214" i="2"/>
  <c r="U3214" i="2" s="1"/>
  <c r="U3213" i="2"/>
  <c r="T3212" i="2"/>
  <c r="U3212" i="2" s="1"/>
  <c r="T3211" i="2"/>
  <c r="U3211" i="2" s="1"/>
  <c r="T3210" i="2"/>
  <c r="U3210" i="2" s="1"/>
  <c r="T3209" i="2"/>
  <c r="U3209" i="2" s="1"/>
  <c r="T3208" i="2"/>
  <c r="U3208" i="2" s="1"/>
  <c r="T3207" i="2"/>
  <c r="U3207" i="2" s="1"/>
  <c r="T3206" i="2"/>
  <c r="U3206" i="2" s="1"/>
  <c r="T3205" i="2"/>
  <c r="U3205" i="2" s="1"/>
  <c r="T3204" i="2"/>
  <c r="U3204" i="2" s="1"/>
  <c r="T3203" i="2"/>
  <c r="U3203" i="2" s="1"/>
  <c r="T3202" i="2"/>
  <c r="U3202" i="2" s="1"/>
  <c r="T3201" i="2"/>
  <c r="U3201" i="2" s="1"/>
  <c r="U3199" i="2"/>
  <c r="U3198" i="2"/>
  <c r="U3196" i="2"/>
  <c r="U3195" i="2"/>
  <c r="T3194" i="2"/>
  <c r="U3194" i="2" s="1"/>
  <c r="U3193" i="2"/>
  <c r="U3191" i="2"/>
  <c r="U3190" i="2"/>
  <c r="T3189" i="2"/>
  <c r="U3189" i="2" s="1"/>
  <c r="T3188" i="2"/>
  <c r="U3188" i="2" s="1"/>
  <c r="U3185" i="2"/>
  <c r="U3183" i="2"/>
  <c r="U3182" i="2"/>
  <c r="T3181" i="2"/>
  <c r="U3181" i="2" s="1"/>
  <c r="U3180" i="2"/>
  <c r="T3179" i="2"/>
  <c r="U3179" i="2" s="1"/>
  <c r="U3178" i="2"/>
  <c r="T3177" i="2"/>
  <c r="U3177" i="2" s="1"/>
  <c r="U3176" i="2"/>
  <c r="U3174" i="2"/>
  <c r="U3173" i="2"/>
  <c r="U3172" i="2"/>
  <c r="U3170" i="2"/>
  <c r="U3169" i="2"/>
  <c r="U3168" i="2"/>
  <c r="U3166" i="2"/>
  <c r="U3165" i="2"/>
  <c r="U3164" i="2"/>
  <c r="U3162" i="2"/>
  <c r="U3161" i="2"/>
  <c r="U3160" i="2"/>
  <c r="U3158" i="2"/>
  <c r="U3157" i="2"/>
  <c r="U3156" i="2"/>
  <c r="U3154" i="2"/>
  <c r="U3153" i="2"/>
  <c r="U3152" i="2"/>
  <c r="T3151" i="2"/>
  <c r="U3151" i="2" s="1"/>
  <c r="T3150" i="2"/>
  <c r="U3150" i="2" s="1"/>
  <c r="T3149" i="2"/>
  <c r="U3149" i="2" s="1"/>
  <c r="T3148" i="2"/>
  <c r="U3148" i="2" s="1"/>
  <c r="T3147" i="2"/>
  <c r="U3147" i="2" s="1"/>
  <c r="T3146" i="2"/>
  <c r="U3146" i="2" s="1"/>
  <c r="T3145" i="2"/>
  <c r="U3145" i="2" s="1"/>
  <c r="T3144" i="2"/>
  <c r="U3144" i="2" s="1"/>
  <c r="T3143" i="2"/>
  <c r="U3143" i="2" s="1"/>
  <c r="T3142" i="2"/>
  <c r="U3142" i="2" s="1"/>
  <c r="T3141" i="2"/>
  <c r="U3141" i="2" s="1"/>
  <c r="T3140" i="2"/>
  <c r="U3140" i="2" s="1"/>
  <c r="T3139" i="2"/>
  <c r="U3139" i="2" s="1"/>
  <c r="T3138" i="2"/>
  <c r="U3138" i="2" s="1"/>
  <c r="T3137" i="2"/>
  <c r="U3137" i="2" s="1"/>
  <c r="T3136" i="2"/>
  <c r="U3136" i="2" s="1"/>
  <c r="T3135" i="2"/>
  <c r="U3135" i="2" s="1"/>
  <c r="T3134" i="2"/>
  <c r="U3134" i="2" s="1"/>
  <c r="T3133" i="2"/>
  <c r="U3133" i="2" s="1"/>
  <c r="T3132" i="2"/>
  <c r="U3132" i="2" s="1"/>
  <c r="T3131" i="2"/>
  <c r="U3131" i="2" s="1"/>
  <c r="T3130" i="2"/>
  <c r="U3130" i="2" s="1"/>
  <c r="T3129" i="2"/>
  <c r="U3129" i="2" s="1"/>
  <c r="T3128" i="2"/>
  <c r="U3128" i="2" s="1"/>
  <c r="T3127" i="2"/>
  <c r="U3127" i="2" s="1"/>
  <c r="T3126" i="2"/>
  <c r="U3126" i="2" s="1"/>
  <c r="T3125" i="2"/>
  <c r="U3125" i="2" s="1"/>
  <c r="T3124" i="2"/>
  <c r="U3124" i="2" s="1"/>
  <c r="T3123" i="2"/>
  <c r="U3123" i="2" s="1"/>
  <c r="T3122" i="2"/>
  <c r="U3122" i="2" s="1"/>
  <c r="T3121" i="2"/>
  <c r="U3121" i="2" s="1"/>
  <c r="T3120" i="2"/>
  <c r="U3120" i="2" s="1"/>
  <c r="T3119" i="2"/>
  <c r="U3119" i="2" s="1"/>
  <c r="T3118" i="2"/>
  <c r="U3118" i="2" s="1"/>
  <c r="T3117" i="2"/>
  <c r="U3117" i="2" s="1"/>
  <c r="T3116" i="2"/>
  <c r="U3116" i="2" s="1"/>
  <c r="T3115" i="2"/>
  <c r="U3115" i="2" s="1"/>
  <c r="T3114" i="2"/>
  <c r="U3114" i="2" s="1"/>
  <c r="T3113" i="2"/>
  <c r="U3113" i="2" s="1"/>
  <c r="T3112" i="2"/>
  <c r="U3112" i="2" s="1"/>
  <c r="T3111" i="2"/>
  <c r="U3111" i="2" s="1"/>
  <c r="T3110" i="2"/>
  <c r="U3110" i="2" s="1"/>
  <c r="T3109" i="2"/>
  <c r="U3109" i="2" s="1"/>
  <c r="T3108" i="2"/>
  <c r="U3108" i="2" s="1"/>
  <c r="T3107" i="2"/>
  <c r="U3107" i="2" s="1"/>
  <c r="T3106" i="2"/>
  <c r="U3106" i="2" s="1"/>
  <c r="T3105" i="2"/>
  <c r="U3105" i="2" s="1"/>
  <c r="T3104" i="2"/>
  <c r="U3104" i="2" s="1"/>
  <c r="T3103" i="2"/>
  <c r="U3103" i="2" s="1"/>
  <c r="U3100" i="2"/>
  <c r="T3099" i="2"/>
  <c r="U3099" i="2" s="1"/>
  <c r="U3098" i="2"/>
  <c r="T3097" i="2"/>
  <c r="U3097" i="2" s="1"/>
  <c r="U3096" i="2"/>
  <c r="T3095" i="2"/>
  <c r="U3095" i="2" s="1"/>
  <c r="U3094" i="2"/>
  <c r="T3093" i="2"/>
  <c r="U3093" i="2" s="1"/>
  <c r="U3092" i="2"/>
  <c r="T3091" i="2"/>
  <c r="U3091" i="2" s="1"/>
  <c r="U3090" i="2"/>
  <c r="T3089" i="2"/>
  <c r="U3089" i="2" s="1"/>
  <c r="U3088" i="2"/>
  <c r="T3087" i="2"/>
  <c r="U3087" i="2" s="1"/>
  <c r="U3086" i="2"/>
  <c r="T3085" i="2"/>
  <c r="U3085" i="2" s="1"/>
  <c r="U3084" i="2"/>
  <c r="T3083" i="2"/>
  <c r="U3083" i="2" s="1"/>
  <c r="U3082" i="2"/>
  <c r="U3081" i="2"/>
  <c r="T3080" i="2"/>
  <c r="U3080" i="2" s="1"/>
  <c r="U3079" i="2"/>
  <c r="T3078" i="2"/>
  <c r="U3078" i="2" s="1"/>
  <c r="U3077" i="2"/>
  <c r="S3076" i="2"/>
  <c r="T3076" i="2" s="1"/>
  <c r="U3076" i="2" s="1"/>
  <c r="S3075" i="2"/>
  <c r="T3075" i="2" s="1"/>
  <c r="U3075" i="2" s="1"/>
  <c r="S3074" i="2"/>
  <c r="T3074" i="2" s="1"/>
  <c r="U3074" i="2" s="1"/>
  <c r="S3073" i="2"/>
  <c r="T3073" i="2" s="1"/>
  <c r="U3073" i="2" s="1"/>
  <c r="T3072" i="2"/>
  <c r="U3072" i="2" s="1"/>
  <c r="T3071" i="2"/>
  <c r="U3071" i="2" s="1"/>
  <c r="U3070" i="2"/>
  <c r="T3069" i="2"/>
  <c r="U3069" i="2" s="1"/>
  <c r="T3068" i="2"/>
  <c r="U3068" i="2" s="1"/>
  <c r="T3067" i="2"/>
  <c r="U3067" i="2" s="1"/>
  <c r="U3066" i="2"/>
  <c r="U3065" i="2"/>
  <c r="T3064" i="2"/>
  <c r="U3064" i="2" s="1"/>
  <c r="U3063" i="2"/>
  <c r="U3062" i="2"/>
  <c r="T3061" i="2"/>
  <c r="U3061" i="2" s="1"/>
  <c r="U3060" i="2"/>
  <c r="U3059" i="2"/>
  <c r="T3058" i="2"/>
  <c r="U3058" i="2" s="1"/>
  <c r="U3057" i="2"/>
  <c r="U3056" i="2"/>
  <c r="T3055" i="2"/>
  <c r="U3055" i="2" s="1"/>
  <c r="U3054" i="2"/>
  <c r="U3053" i="2"/>
  <c r="T3052" i="2"/>
  <c r="U3052" i="2" s="1"/>
  <c r="U3051" i="2"/>
  <c r="U3050" i="2"/>
  <c r="T3049" i="2"/>
  <c r="U3049" i="2" s="1"/>
  <c r="U3048" i="2"/>
  <c r="U3047" i="2"/>
  <c r="T3046" i="2"/>
  <c r="U3046" i="2" s="1"/>
  <c r="U3045" i="2"/>
  <c r="U3044" i="2"/>
  <c r="T3043" i="2"/>
  <c r="U3043" i="2" s="1"/>
  <c r="U3042" i="2"/>
  <c r="U3041" i="2"/>
  <c r="T3040" i="2"/>
  <c r="U3040" i="2" s="1"/>
  <c r="U3039" i="2"/>
  <c r="U3038" i="2"/>
  <c r="T3037" i="2"/>
  <c r="U3037" i="2" s="1"/>
  <c r="U3036" i="2"/>
  <c r="U3035" i="2"/>
  <c r="T3034" i="2"/>
  <c r="U3034" i="2" s="1"/>
  <c r="U3033" i="2"/>
  <c r="U3032" i="2"/>
  <c r="T3031" i="2"/>
  <c r="U3031" i="2" s="1"/>
  <c r="U3030" i="2"/>
  <c r="U3029" i="2"/>
  <c r="T3028" i="2"/>
  <c r="U3028" i="2" s="1"/>
  <c r="U3027" i="2"/>
  <c r="U3026" i="2"/>
  <c r="T3025" i="2"/>
  <c r="U3025" i="2" s="1"/>
  <c r="U3024" i="2"/>
  <c r="U3023" i="2"/>
  <c r="T3022" i="2"/>
  <c r="U3022" i="2" s="1"/>
  <c r="U3021" i="2"/>
  <c r="U3020" i="2"/>
  <c r="T3019" i="2"/>
  <c r="U3019" i="2" s="1"/>
  <c r="U3018" i="2"/>
  <c r="U3017" i="2"/>
  <c r="T3016" i="2"/>
  <c r="U3016" i="2" s="1"/>
  <c r="U3015" i="2"/>
  <c r="U3014" i="2"/>
  <c r="T3013" i="2"/>
  <c r="U3013" i="2" s="1"/>
  <c r="U3012" i="2"/>
  <c r="U3011" i="2"/>
  <c r="T3010" i="2"/>
  <c r="U3010" i="2" s="1"/>
  <c r="U3009" i="2"/>
  <c r="U3008" i="2"/>
  <c r="T3007" i="2"/>
  <c r="U3007" i="2" s="1"/>
  <c r="U3006" i="2"/>
  <c r="U3005" i="2"/>
  <c r="T3004" i="2"/>
  <c r="U3004" i="2" s="1"/>
  <c r="U3003" i="2"/>
  <c r="U3002" i="2"/>
  <c r="T3001" i="2"/>
  <c r="U3001" i="2" s="1"/>
  <c r="U3000" i="2"/>
  <c r="U2999" i="2"/>
  <c r="T2998" i="2"/>
  <c r="U2998" i="2" s="1"/>
  <c r="U2997" i="2"/>
  <c r="U2996" i="2"/>
  <c r="T2995" i="2"/>
  <c r="U2995" i="2" s="1"/>
  <c r="U2994" i="2"/>
  <c r="U2993" i="2"/>
  <c r="T2992" i="2"/>
  <c r="U2992" i="2" s="1"/>
  <c r="U2991" i="2"/>
  <c r="U2990" i="2"/>
  <c r="T2989" i="2"/>
  <c r="U2989" i="2" s="1"/>
  <c r="U2988" i="2"/>
  <c r="U2987" i="2"/>
  <c r="T2986" i="2"/>
  <c r="U2986" i="2" s="1"/>
  <c r="U2985" i="2"/>
  <c r="U2984" i="2"/>
  <c r="T2983" i="2"/>
  <c r="U2983" i="2" s="1"/>
  <c r="U2982" i="2"/>
  <c r="U2981" i="2"/>
  <c r="T2980" i="2"/>
  <c r="U2980" i="2" s="1"/>
  <c r="U2979" i="2"/>
  <c r="U2978" i="2"/>
  <c r="T2977" i="2"/>
  <c r="U2977" i="2" s="1"/>
  <c r="U2976" i="2"/>
  <c r="U2975" i="2"/>
  <c r="T2974" i="2"/>
  <c r="U2974" i="2" s="1"/>
  <c r="U2973" i="2"/>
  <c r="U2972" i="2"/>
  <c r="T2971" i="2"/>
  <c r="U2971" i="2" s="1"/>
  <c r="U2970" i="2"/>
  <c r="U2969" i="2"/>
  <c r="T2968" i="2"/>
  <c r="U2968" i="2" s="1"/>
  <c r="U2967" i="2"/>
  <c r="U2966" i="2"/>
  <c r="T2965" i="2"/>
  <c r="U2965" i="2" s="1"/>
  <c r="U2964" i="2"/>
  <c r="U2963" i="2"/>
  <c r="T2962" i="2"/>
  <c r="U2962" i="2" s="1"/>
  <c r="U2961" i="2"/>
  <c r="U2960" i="2"/>
  <c r="T2959" i="2"/>
  <c r="U2959" i="2" s="1"/>
  <c r="U2958" i="2"/>
  <c r="U2957" i="2"/>
  <c r="T2956" i="2"/>
  <c r="U2956" i="2" s="1"/>
  <c r="U2955" i="2"/>
  <c r="U2954" i="2"/>
  <c r="T2953" i="2"/>
  <c r="U2953" i="2" s="1"/>
  <c r="U2952" i="2"/>
  <c r="U2951" i="2"/>
  <c r="T2950" i="2"/>
  <c r="U2950" i="2" s="1"/>
  <c r="T2949" i="2"/>
  <c r="U2949" i="2" s="1"/>
  <c r="T2948" i="2"/>
  <c r="U2948" i="2" s="1"/>
  <c r="U2946" i="2"/>
  <c r="U2945" i="2"/>
  <c r="U2944" i="2"/>
  <c r="T2943" i="2"/>
  <c r="U2943" i="2" s="1"/>
  <c r="U2942" i="2"/>
  <c r="T2941" i="2"/>
  <c r="U2941" i="2" s="1"/>
  <c r="U2940" i="2"/>
  <c r="S2939" i="2"/>
  <c r="T2939" i="2" s="1"/>
  <c r="U2939" i="2" s="1"/>
  <c r="U2938" i="2"/>
  <c r="S2938" i="2"/>
  <c r="T2937" i="2"/>
  <c r="U2937" i="2" s="1"/>
  <c r="U2936" i="2"/>
  <c r="T2935" i="2"/>
  <c r="U2935" i="2" s="1"/>
  <c r="T2934" i="2"/>
  <c r="U2934" i="2" s="1"/>
  <c r="T2933" i="2"/>
  <c r="U2933" i="2" s="1"/>
  <c r="T2932" i="2"/>
  <c r="U2932" i="2" s="1"/>
  <c r="T2931" i="2"/>
  <c r="U2931" i="2" s="1"/>
  <c r="T2930" i="2"/>
  <c r="U2930" i="2" s="1"/>
  <c r="U2929" i="2"/>
  <c r="S2929" i="2"/>
  <c r="T2928" i="2"/>
  <c r="U2928" i="2" s="1"/>
  <c r="U2927" i="2"/>
  <c r="S2927" i="2"/>
  <c r="T2926" i="2"/>
  <c r="U2926" i="2" s="1"/>
  <c r="U2924" i="2"/>
  <c r="U2923" i="2"/>
  <c r="U2922" i="2"/>
  <c r="T2921" i="2"/>
  <c r="U2921" i="2" s="1"/>
  <c r="U2920" i="2"/>
  <c r="U2919" i="2"/>
  <c r="U2918" i="2"/>
  <c r="U2917" i="2"/>
  <c r="U2916" i="2"/>
  <c r="U2915" i="2"/>
  <c r="U2914" i="2"/>
  <c r="U2913" i="2"/>
  <c r="U2912" i="2"/>
  <c r="U2911" i="2"/>
  <c r="T2910" i="2"/>
  <c r="U2910" i="2" s="1"/>
  <c r="U2909" i="2"/>
  <c r="U2908" i="2"/>
  <c r="U2907" i="2"/>
  <c r="U2906" i="2"/>
  <c r="T2905" i="2"/>
  <c r="U2905" i="2" s="1"/>
  <c r="U2904" i="2"/>
  <c r="U2903" i="2"/>
  <c r="U2902" i="2"/>
  <c r="U2901" i="2"/>
  <c r="T2900" i="2"/>
  <c r="U2900" i="2" s="1"/>
  <c r="U2899" i="2"/>
  <c r="U2898" i="2"/>
  <c r="U2897" i="2"/>
  <c r="U2896" i="2"/>
  <c r="T2895" i="2"/>
  <c r="U2895" i="2" s="1"/>
  <c r="U2894" i="2"/>
  <c r="U2893" i="2"/>
  <c r="U2892" i="2"/>
  <c r="T2891" i="2"/>
  <c r="U2891" i="2" s="1"/>
  <c r="U2890" i="2"/>
  <c r="U2889" i="2"/>
  <c r="U2888" i="2"/>
  <c r="U2887" i="2"/>
  <c r="U2886" i="2"/>
  <c r="U2885" i="2"/>
  <c r="U2884" i="2"/>
  <c r="U2883" i="2"/>
  <c r="T2882" i="2"/>
  <c r="U2882" i="2" s="1"/>
  <c r="U2881" i="2"/>
  <c r="U2880" i="2"/>
  <c r="U2879" i="2"/>
  <c r="T2878" i="2"/>
  <c r="U2878" i="2" s="1"/>
  <c r="U2877" i="2"/>
  <c r="U2876" i="2"/>
  <c r="U2875" i="2"/>
  <c r="U2874" i="2"/>
  <c r="U2873" i="2"/>
  <c r="U2872" i="2"/>
  <c r="U2871" i="2"/>
  <c r="U2870" i="2"/>
  <c r="U2869" i="2"/>
  <c r="U2868" i="2"/>
  <c r="U2867" i="2"/>
  <c r="U2866" i="2"/>
  <c r="U2865" i="2"/>
  <c r="U2864" i="2"/>
  <c r="U2863" i="2"/>
  <c r="U2862" i="2"/>
  <c r="U2861" i="2"/>
  <c r="U2860" i="2"/>
  <c r="U2859" i="2"/>
  <c r="T2858" i="2"/>
  <c r="U2858" i="2" s="1"/>
  <c r="U2857" i="2"/>
  <c r="U2856" i="2"/>
  <c r="T2855" i="2"/>
  <c r="U2855" i="2" s="1"/>
  <c r="U2854" i="2"/>
  <c r="U2853" i="2"/>
  <c r="U2852" i="2"/>
  <c r="U2851" i="2"/>
  <c r="T2850" i="2"/>
  <c r="U2850" i="2" s="1"/>
  <c r="U2849" i="2"/>
  <c r="U2848" i="2"/>
  <c r="U2847" i="2"/>
  <c r="U2846" i="2"/>
  <c r="T2845" i="2"/>
  <c r="U2845" i="2" s="1"/>
  <c r="U2844" i="2"/>
  <c r="U2843" i="2"/>
  <c r="U2842" i="2"/>
  <c r="U2841" i="2"/>
  <c r="T2840" i="2"/>
  <c r="U2840" i="2" s="1"/>
  <c r="U2839" i="2"/>
  <c r="U2838" i="2"/>
  <c r="U2837" i="2"/>
  <c r="U2836" i="2"/>
  <c r="T2835" i="2"/>
  <c r="U2835" i="2" s="1"/>
  <c r="U2834" i="2"/>
  <c r="U2833" i="2"/>
  <c r="U2832" i="2"/>
  <c r="U2831" i="2"/>
  <c r="T2830" i="2"/>
  <c r="U2830" i="2" s="1"/>
  <c r="U2829" i="2"/>
  <c r="U2828" i="2"/>
  <c r="U2827" i="2"/>
  <c r="T2826" i="2"/>
  <c r="U2826" i="2" s="1"/>
  <c r="U2825" i="2"/>
  <c r="U2824" i="2"/>
  <c r="U2823" i="2"/>
  <c r="T2822" i="2"/>
  <c r="U2822" i="2" s="1"/>
  <c r="U2821" i="2"/>
  <c r="T2820" i="2"/>
  <c r="U2820" i="2" s="1"/>
  <c r="U2819" i="2"/>
  <c r="U2818" i="2"/>
  <c r="T2817" i="2"/>
  <c r="U2817" i="2" s="1"/>
  <c r="U2816" i="2"/>
  <c r="U2815" i="2"/>
  <c r="T2814" i="2"/>
  <c r="U2814" i="2" s="1"/>
  <c r="U2813" i="2"/>
  <c r="U2812" i="2"/>
  <c r="U2811" i="2"/>
  <c r="T2810" i="2"/>
  <c r="U2810" i="2" s="1"/>
  <c r="U2809" i="2"/>
  <c r="U2808" i="2"/>
  <c r="U2807" i="2"/>
  <c r="T2806" i="2"/>
  <c r="U2806" i="2" s="1"/>
  <c r="U2805" i="2"/>
  <c r="U2804" i="2"/>
  <c r="U2803" i="2"/>
  <c r="T2802" i="2"/>
  <c r="U2802" i="2" s="1"/>
  <c r="U2801" i="2"/>
  <c r="U2800" i="2"/>
  <c r="U2799" i="2"/>
  <c r="T2798" i="2"/>
  <c r="U2798" i="2" s="1"/>
  <c r="U2797" i="2"/>
  <c r="U2796" i="2"/>
  <c r="U2795" i="2"/>
  <c r="T2794" i="2"/>
  <c r="U2794" i="2" s="1"/>
  <c r="U2793" i="2"/>
  <c r="U2792" i="2"/>
  <c r="U2791" i="2"/>
  <c r="T2790" i="2"/>
  <c r="U2790" i="2" s="1"/>
  <c r="U2789" i="2"/>
  <c r="U2788" i="2"/>
  <c r="U2787" i="2"/>
  <c r="T2786" i="2"/>
  <c r="U2786" i="2" s="1"/>
  <c r="U2785" i="2"/>
  <c r="U2784" i="2"/>
  <c r="U2783" i="2"/>
  <c r="T2782" i="2"/>
  <c r="U2782" i="2" s="1"/>
  <c r="U2781" i="2"/>
  <c r="U2780" i="2"/>
  <c r="U2779" i="2"/>
  <c r="T2778" i="2"/>
  <c r="U2778" i="2" s="1"/>
  <c r="U2777" i="2"/>
  <c r="U2776" i="2"/>
  <c r="T2775" i="2"/>
  <c r="U2775" i="2" s="1"/>
  <c r="U2774" i="2"/>
  <c r="U2773" i="2"/>
  <c r="T2772" i="2"/>
  <c r="U2772" i="2" s="1"/>
  <c r="U2771" i="2"/>
  <c r="U2770" i="2"/>
  <c r="T2769" i="2"/>
  <c r="U2769" i="2" s="1"/>
  <c r="U2768" i="2"/>
  <c r="U2767" i="2"/>
  <c r="T2766" i="2"/>
  <c r="U2766" i="2" s="1"/>
  <c r="U2765" i="2"/>
  <c r="U2764" i="2"/>
  <c r="T2763" i="2"/>
  <c r="U2763" i="2" s="1"/>
  <c r="U2762" i="2"/>
  <c r="U2761" i="2"/>
  <c r="T2760" i="2"/>
  <c r="U2760" i="2" s="1"/>
  <c r="U2759" i="2"/>
  <c r="U2758" i="2"/>
  <c r="T2757" i="2"/>
  <c r="U2757" i="2" s="1"/>
  <c r="U2756" i="2"/>
  <c r="U2755" i="2"/>
  <c r="T2754" i="2"/>
  <c r="U2754" i="2" s="1"/>
  <c r="U2753" i="2"/>
  <c r="U2752" i="2"/>
  <c r="T2751" i="2"/>
  <c r="U2751" i="2" s="1"/>
  <c r="U2750" i="2"/>
  <c r="U2749" i="2"/>
  <c r="T2748" i="2"/>
  <c r="U2748" i="2" s="1"/>
  <c r="U2747" i="2"/>
  <c r="U2746" i="2"/>
  <c r="T2745" i="2"/>
  <c r="U2745" i="2" s="1"/>
  <c r="U2744" i="2"/>
  <c r="U2743" i="2"/>
  <c r="T2742" i="2"/>
  <c r="U2742" i="2" s="1"/>
  <c r="U2741" i="2"/>
  <c r="U2740" i="2"/>
  <c r="U2739" i="2"/>
  <c r="T2738" i="2"/>
  <c r="U2738" i="2" s="1"/>
  <c r="U2737" i="2"/>
  <c r="U2736" i="2"/>
  <c r="U2735" i="2"/>
  <c r="T2734" i="2"/>
  <c r="U2734" i="2" s="1"/>
  <c r="U2733" i="2"/>
  <c r="U2732" i="2"/>
  <c r="U2731" i="2"/>
  <c r="T2730" i="2"/>
  <c r="U2730" i="2" s="1"/>
  <c r="U2729" i="2"/>
  <c r="U2728" i="2"/>
  <c r="U2727" i="2"/>
  <c r="T2726" i="2"/>
  <c r="U2726" i="2" s="1"/>
  <c r="U2725" i="2"/>
  <c r="U2724" i="2"/>
  <c r="U2723" i="2"/>
  <c r="T2722" i="2"/>
  <c r="U2722" i="2" s="1"/>
  <c r="U2721" i="2"/>
  <c r="U2720" i="2"/>
  <c r="U2719" i="2"/>
  <c r="T2718" i="2"/>
  <c r="U2718" i="2" s="1"/>
  <c r="U2717" i="2"/>
  <c r="U2716" i="2"/>
  <c r="U2715" i="2"/>
  <c r="T2714" i="2"/>
  <c r="U2714" i="2" s="1"/>
  <c r="U2713" i="2"/>
  <c r="U2712" i="2"/>
  <c r="U2711" i="2"/>
  <c r="T2710" i="2"/>
  <c r="U2710" i="2" s="1"/>
  <c r="U2709" i="2"/>
  <c r="U2708" i="2"/>
  <c r="U2707" i="2"/>
  <c r="T2706" i="2"/>
  <c r="U2706" i="2" s="1"/>
  <c r="U2705" i="2"/>
  <c r="U2704" i="2"/>
  <c r="U2703" i="2"/>
  <c r="T2702" i="2"/>
  <c r="U2702" i="2" s="1"/>
  <c r="U2701" i="2"/>
  <c r="U2700" i="2"/>
  <c r="U2699" i="2"/>
  <c r="T2698" i="2"/>
  <c r="U2698" i="2" s="1"/>
  <c r="U2697" i="2"/>
  <c r="U2696" i="2"/>
  <c r="U2695" i="2"/>
  <c r="T2694" i="2"/>
  <c r="U2694" i="2" s="1"/>
  <c r="U2693" i="2"/>
  <c r="U2692" i="2"/>
  <c r="U2691" i="2"/>
  <c r="T2690" i="2"/>
  <c r="U2690" i="2" s="1"/>
  <c r="U2689" i="2"/>
  <c r="U2688" i="2"/>
  <c r="U2687" i="2"/>
  <c r="T2686" i="2"/>
  <c r="U2686" i="2" s="1"/>
  <c r="U2685" i="2"/>
  <c r="U2684" i="2"/>
  <c r="U2683" i="2"/>
  <c r="T2682" i="2"/>
  <c r="U2682" i="2" s="1"/>
  <c r="U2681" i="2"/>
  <c r="U2680" i="2"/>
  <c r="U2679" i="2"/>
  <c r="T2678" i="2"/>
  <c r="U2678" i="2" s="1"/>
  <c r="U2677" i="2"/>
  <c r="U2676" i="2"/>
  <c r="U2675" i="2"/>
  <c r="T2674" i="2"/>
  <c r="U2674" i="2" s="1"/>
  <c r="U2673" i="2"/>
  <c r="U2672" i="2"/>
  <c r="U2671" i="2"/>
  <c r="T2670" i="2"/>
  <c r="U2670" i="2" s="1"/>
  <c r="U2669" i="2"/>
  <c r="U2668" i="2"/>
  <c r="U2667" i="2"/>
  <c r="T2666" i="2"/>
  <c r="U2666" i="2" s="1"/>
  <c r="U2665" i="2"/>
  <c r="U2664" i="2"/>
  <c r="U2663" i="2"/>
  <c r="T2662" i="2"/>
  <c r="U2662" i="2" s="1"/>
  <c r="U2661" i="2"/>
  <c r="U2660" i="2"/>
  <c r="U2659" i="2"/>
  <c r="T2658" i="2"/>
  <c r="U2658" i="2" s="1"/>
  <c r="U2657" i="2"/>
  <c r="U2656" i="2"/>
  <c r="U2655" i="2"/>
  <c r="T2654" i="2"/>
  <c r="U2654" i="2" s="1"/>
  <c r="U2653" i="2"/>
  <c r="U2652" i="2"/>
  <c r="U2651" i="2"/>
  <c r="T2650" i="2"/>
  <c r="U2650" i="2" s="1"/>
  <c r="U2649" i="2"/>
  <c r="U2648" i="2"/>
  <c r="U2647" i="2"/>
  <c r="T2646" i="2"/>
  <c r="U2646" i="2" s="1"/>
  <c r="U2645" i="2"/>
  <c r="U2644" i="2"/>
  <c r="U2643" i="2"/>
  <c r="T2642" i="2"/>
  <c r="U2642" i="2" s="1"/>
  <c r="U2641" i="2"/>
  <c r="U2640" i="2"/>
  <c r="U2639" i="2"/>
  <c r="T2638" i="2"/>
  <c r="U2638" i="2" s="1"/>
  <c r="U2637" i="2"/>
  <c r="U2636" i="2"/>
  <c r="U2635" i="2"/>
  <c r="T2634" i="2"/>
  <c r="U2634" i="2" s="1"/>
  <c r="U2633" i="2"/>
  <c r="U2632" i="2"/>
  <c r="U2631" i="2"/>
  <c r="T2630" i="2"/>
  <c r="U2630" i="2" s="1"/>
  <c r="U2629" i="2"/>
  <c r="U2628" i="2"/>
  <c r="U2627" i="2"/>
  <c r="T2626" i="2"/>
  <c r="U2626" i="2" s="1"/>
  <c r="U2625" i="2"/>
  <c r="U2624" i="2"/>
  <c r="U2623" i="2"/>
  <c r="T2622" i="2"/>
  <c r="U2622" i="2" s="1"/>
  <c r="U2621" i="2"/>
  <c r="U2620" i="2"/>
  <c r="U2619" i="2"/>
  <c r="T2618" i="2"/>
  <c r="U2618" i="2" s="1"/>
  <c r="U2617" i="2"/>
  <c r="U2616" i="2"/>
  <c r="U2615" i="2"/>
  <c r="T2614" i="2"/>
  <c r="U2614" i="2" s="1"/>
  <c r="U2613" i="2"/>
  <c r="U2612" i="2"/>
  <c r="U2611" i="2"/>
  <c r="T2610" i="2"/>
  <c r="U2610" i="2" s="1"/>
  <c r="U2609" i="2"/>
  <c r="U2608" i="2"/>
  <c r="U2607" i="2"/>
  <c r="T2606" i="2"/>
  <c r="U2606" i="2" s="1"/>
  <c r="U2605" i="2"/>
  <c r="U2604" i="2"/>
  <c r="U2603" i="2"/>
  <c r="T2602" i="2"/>
  <c r="U2602" i="2" s="1"/>
  <c r="U2601" i="2"/>
  <c r="U2600" i="2"/>
  <c r="T2599" i="2"/>
  <c r="U2599" i="2" s="1"/>
  <c r="U2598" i="2"/>
  <c r="U2597" i="2"/>
  <c r="T2596" i="2"/>
  <c r="U2596" i="2" s="1"/>
  <c r="U2595" i="2"/>
  <c r="U2594" i="2"/>
  <c r="T2593" i="2"/>
  <c r="U2593" i="2" s="1"/>
  <c r="U2592" i="2"/>
  <c r="U2591" i="2"/>
  <c r="T2590" i="2"/>
  <c r="U2590" i="2" s="1"/>
  <c r="U2589" i="2"/>
  <c r="U2588" i="2"/>
  <c r="T2587" i="2"/>
  <c r="U2587" i="2" s="1"/>
  <c r="U2586" i="2"/>
  <c r="U2585" i="2"/>
  <c r="T2584" i="2"/>
  <c r="U2584" i="2" s="1"/>
  <c r="U2583" i="2"/>
  <c r="U2582" i="2"/>
  <c r="T2581" i="2"/>
  <c r="U2581" i="2" s="1"/>
  <c r="U2580" i="2"/>
  <c r="U2579" i="2"/>
  <c r="T2578" i="2"/>
  <c r="U2578" i="2" s="1"/>
  <c r="U2577" i="2"/>
  <c r="U2576" i="2"/>
  <c r="U2575" i="2"/>
  <c r="T2574" i="2"/>
  <c r="U2574" i="2" s="1"/>
  <c r="U2573" i="2"/>
  <c r="U2572" i="2"/>
  <c r="U2571" i="2"/>
  <c r="T2570" i="2"/>
  <c r="U2570" i="2" s="1"/>
  <c r="U2569" i="2"/>
  <c r="U2568" i="2"/>
  <c r="U2567" i="2"/>
  <c r="T2566" i="2"/>
  <c r="U2566" i="2" s="1"/>
  <c r="U2565" i="2"/>
  <c r="U2564" i="2"/>
  <c r="U2563" i="2"/>
  <c r="T2562" i="2"/>
  <c r="U2562" i="2" s="1"/>
  <c r="U2561" i="2"/>
  <c r="U2560" i="2"/>
  <c r="U2559" i="2"/>
  <c r="T2558" i="2"/>
  <c r="U2558" i="2" s="1"/>
  <c r="U2557" i="2"/>
  <c r="U2556" i="2"/>
  <c r="U2555" i="2"/>
  <c r="T2554" i="2"/>
  <c r="U2554" i="2" s="1"/>
  <c r="U2553" i="2"/>
  <c r="U2552" i="2"/>
  <c r="U2551" i="2"/>
  <c r="T2550" i="2"/>
  <c r="U2550" i="2" s="1"/>
  <c r="U2549" i="2"/>
  <c r="U2548" i="2"/>
  <c r="U2547" i="2"/>
  <c r="T2546" i="2"/>
  <c r="U2546" i="2" s="1"/>
  <c r="U2545" i="2"/>
  <c r="U2544" i="2"/>
  <c r="U2543" i="2"/>
  <c r="T2542" i="2"/>
  <c r="U2542" i="2" s="1"/>
  <c r="U2541" i="2"/>
  <c r="U2540" i="2"/>
  <c r="U2539" i="2"/>
  <c r="T2538" i="2"/>
  <c r="U2538" i="2" s="1"/>
  <c r="U2537" i="2"/>
  <c r="U2536" i="2"/>
  <c r="U2535" i="2"/>
  <c r="T2534" i="2"/>
  <c r="U2534" i="2" s="1"/>
  <c r="U2533" i="2"/>
  <c r="U2532" i="2"/>
  <c r="U2531" i="2"/>
  <c r="T2530" i="2"/>
  <c r="U2530" i="2" s="1"/>
  <c r="U2529" i="2"/>
  <c r="U2528" i="2"/>
  <c r="U2527" i="2"/>
  <c r="T2526" i="2"/>
  <c r="U2526" i="2" s="1"/>
  <c r="U2525" i="2"/>
  <c r="U2524" i="2"/>
  <c r="U2523" i="2"/>
  <c r="T2522" i="2"/>
  <c r="U2522" i="2" s="1"/>
  <c r="U2521" i="2"/>
  <c r="U2520" i="2"/>
  <c r="U2519" i="2"/>
  <c r="T2518" i="2"/>
  <c r="U2518" i="2" s="1"/>
  <c r="U2517" i="2"/>
  <c r="U2516" i="2"/>
  <c r="U2515" i="2"/>
  <c r="T2514" i="2"/>
  <c r="U2514" i="2" s="1"/>
  <c r="U2513" i="2"/>
  <c r="U2512" i="2"/>
  <c r="U2511" i="2"/>
  <c r="T2510" i="2"/>
  <c r="U2510" i="2" s="1"/>
  <c r="U2509" i="2"/>
  <c r="U2508" i="2"/>
  <c r="U2507" i="2"/>
  <c r="U2506" i="2"/>
  <c r="U2505" i="2"/>
  <c r="U2504" i="2"/>
  <c r="U2503" i="2"/>
  <c r="U2502" i="2"/>
  <c r="U2501" i="2"/>
  <c r="U2500" i="2"/>
  <c r="U2499" i="2"/>
  <c r="U2498" i="2"/>
  <c r="U2497" i="2"/>
  <c r="U2496" i="2"/>
  <c r="U2495" i="2"/>
  <c r="U2494" i="2"/>
  <c r="U2493" i="2"/>
  <c r="U2492" i="2"/>
  <c r="U2491" i="2"/>
  <c r="U2490" i="2"/>
  <c r="U2489" i="2"/>
  <c r="U2488" i="2"/>
  <c r="U2487" i="2"/>
  <c r="T2486" i="2"/>
  <c r="U2486" i="2" s="1"/>
  <c r="U2485" i="2"/>
  <c r="U2484" i="2"/>
  <c r="T2483" i="2"/>
  <c r="U2483" i="2" s="1"/>
  <c r="U2482" i="2"/>
  <c r="U2481" i="2"/>
  <c r="U2480" i="2"/>
  <c r="T2479" i="2"/>
  <c r="U2479" i="2" s="1"/>
  <c r="U2478" i="2"/>
  <c r="U2477" i="2"/>
  <c r="U2476" i="2"/>
  <c r="T2475" i="2"/>
  <c r="U2475" i="2" s="1"/>
  <c r="U2474" i="2"/>
  <c r="U2473" i="2"/>
  <c r="U2472" i="2"/>
  <c r="T2471" i="2"/>
  <c r="U2471" i="2" s="1"/>
  <c r="U2470" i="2"/>
  <c r="U2469" i="2"/>
  <c r="U2468" i="2"/>
  <c r="T2467" i="2"/>
  <c r="U2467" i="2" s="1"/>
  <c r="U2466" i="2"/>
  <c r="U2465" i="2"/>
  <c r="U2464" i="2"/>
  <c r="T2463" i="2"/>
  <c r="U2463" i="2" s="1"/>
  <c r="U2462" i="2"/>
  <c r="U2461" i="2"/>
  <c r="U2460" i="2"/>
  <c r="T2459" i="2"/>
  <c r="U2459" i="2" s="1"/>
  <c r="U2458" i="2"/>
  <c r="U2457" i="2"/>
  <c r="U2456" i="2"/>
  <c r="T2455" i="2"/>
  <c r="U2455" i="2" s="1"/>
  <c r="U2454" i="2"/>
  <c r="U2453" i="2"/>
  <c r="U2452" i="2"/>
  <c r="T2451" i="2"/>
  <c r="U2451" i="2" s="1"/>
  <c r="U2450" i="2"/>
  <c r="U2449" i="2"/>
  <c r="U2448" i="2"/>
  <c r="U2447" i="2"/>
  <c r="U2446" i="2"/>
  <c r="U2445" i="2"/>
  <c r="U2444" i="2"/>
  <c r="U2443" i="2"/>
  <c r="U2442" i="2"/>
  <c r="U2441" i="2"/>
  <c r="U2440" i="2"/>
  <c r="U2439" i="2"/>
  <c r="U2438" i="2"/>
  <c r="U2437" i="2"/>
  <c r="U2436" i="2"/>
  <c r="U2435" i="2"/>
  <c r="U2434" i="2"/>
  <c r="U2433" i="2"/>
  <c r="U2432" i="2"/>
  <c r="U2431" i="2"/>
  <c r="U2430" i="2"/>
  <c r="U2429" i="2"/>
  <c r="U2428" i="2"/>
  <c r="U2427" i="2"/>
  <c r="U2426" i="2"/>
  <c r="U2425" i="2"/>
  <c r="U2424" i="2"/>
  <c r="U2423" i="2"/>
  <c r="U2422" i="2"/>
  <c r="U2421" i="2"/>
  <c r="U2420" i="2"/>
  <c r="T2419" i="2"/>
  <c r="U2419" i="2" s="1"/>
  <c r="U2418" i="2"/>
  <c r="U2417" i="2"/>
  <c r="T2416" i="2"/>
  <c r="U2416" i="2" s="1"/>
  <c r="U2415" i="2"/>
  <c r="U2414" i="2"/>
  <c r="T2413" i="2"/>
  <c r="U2413" i="2" s="1"/>
  <c r="U2412" i="2"/>
  <c r="U2411" i="2"/>
  <c r="T2410" i="2"/>
  <c r="U2410" i="2" s="1"/>
  <c r="U2409" i="2"/>
  <c r="U2408" i="2"/>
  <c r="T2407" i="2"/>
  <c r="U2407" i="2" s="1"/>
  <c r="U2406" i="2"/>
  <c r="U2405" i="2"/>
  <c r="U2402" i="2"/>
  <c r="U2401" i="2"/>
  <c r="U2400" i="2"/>
  <c r="U2399" i="2"/>
  <c r="T2398" i="2"/>
  <c r="U2398" i="2" s="1"/>
  <c r="U2397" i="2"/>
  <c r="T2396" i="2"/>
  <c r="U2396" i="2" s="1"/>
  <c r="U2395" i="2"/>
  <c r="U2394" i="2"/>
  <c r="T2393" i="2"/>
  <c r="U2393" i="2" s="1"/>
  <c r="U2392" i="2"/>
  <c r="U2391" i="2"/>
  <c r="U2390" i="2"/>
  <c r="U2389" i="2"/>
  <c r="T2388" i="2"/>
  <c r="U2388" i="2" s="1"/>
  <c r="U2387" i="2"/>
  <c r="U2386" i="2"/>
  <c r="U2385" i="2"/>
  <c r="U2384" i="2"/>
  <c r="T2383" i="2"/>
  <c r="U2383" i="2" s="1"/>
  <c r="U2382" i="2"/>
  <c r="U2381" i="2"/>
  <c r="U2380" i="2"/>
  <c r="U2379" i="2"/>
  <c r="T2378" i="2"/>
  <c r="U2378" i="2" s="1"/>
  <c r="U2377" i="2"/>
  <c r="U2376" i="2"/>
  <c r="U2375" i="2"/>
  <c r="T2374" i="2"/>
  <c r="U2374" i="2" s="1"/>
  <c r="U2373" i="2"/>
  <c r="U2372" i="2"/>
  <c r="U2371" i="2"/>
  <c r="U2370" i="2"/>
  <c r="T2369" i="2"/>
  <c r="U2369" i="2" s="1"/>
  <c r="U2368" i="2"/>
  <c r="U2367" i="2"/>
  <c r="T2366" i="2"/>
  <c r="U2366" i="2" s="1"/>
  <c r="U2365" i="2"/>
  <c r="U2364" i="2"/>
  <c r="U2363" i="2"/>
  <c r="T2362" i="2"/>
  <c r="U2362" i="2" s="1"/>
  <c r="U2361" i="2"/>
  <c r="U2360" i="2"/>
  <c r="T2359" i="2"/>
  <c r="U2359" i="2" s="1"/>
  <c r="U2358" i="2"/>
  <c r="U2357" i="2"/>
  <c r="T2356" i="2"/>
  <c r="U2356" i="2" s="1"/>
  <c r="U2355" i="2"/>
  <c r="U2354" i="2"/>
  <c r="T2353" i="2"/>
  <c r="U2353" i="2" s="1"/>
  <c r="U2352" i="2"/>
  <c r="U2351" i="2"/>
  <c r="T2350" i="2"/>
  <c r="U2350" i="2" s="1"/>
  <c r="U2349" i="2"/>
  <c r="U2348" i="2"/>
  <c r="T2347" i="2"/>
  <c r="U2347" i="2" s="1"/>
  <c r="U2346" i="2"/>
  <c r="U2345" i="2"/>
  <c r="U2344" i="2"/>
  <c r="U2343" i="2"/>
  <c r="U2342" i="2"/>
  <c r="U2341" i="2"/>
  <c r="T2340" i="2"/>
  <c r="U2340" i="2" s="1"/>
  <c r="U2339" i="2"/>
  <c r="U2338" i="2"/>
  <c r="U2337" i="2"/>
  <c r="T2336" i="2"/>
  <c r="U2336" i="2" s="1"/>
  <c r="U2335" i="2"/>
  <c r="U2334" i="2"/>
  <c r="U2333" i="2"/>
  <c r="T2332" i="2"/>
  <c r="U2332" i="2" s="1"/>
  <c r="U2331" i="2"/>
  <c r="U2330" i="2"/>
  <c r="U2329" i="2"/>
  <c r="T2328" i="2"/>
  <c r="U2328" i="2" s="1"/>
  <c r="U2327" i="2"/>
  <c r="U2326" i="2"/>
  <c r="U2325" i="2"/>
  <c r="U2324" i="2"/>
  <c r="T2323" i="2"/>
  <c r="U2323" i="2" s="1"/>
  <c r="U2322" i="2"/>
  <c r="U2321" i="2"/>
  <c r="U2320" i="2"/>
  <c r="U2319" i="2"/>
  <c r="U2318" i="2"/>
  <c r="U2317" i="2"/>
  <c r="U2316" i="2"/>
  <c r="U2315" i="2"/>
  <c r="U2314" i="2"/>
  <c r="U2313" i="2"/>
  <c r="U2312" i="2"/>
  <c r="U2311" i="2"/>
  <c r="T2310" i="2"/>
  <c r="U2310" i="2" s="1"/>
  <c r="U2309" i="2"/>
  <c r="U2308" i="2"/>
  <c r="U2307" i="2"/>
  <c r="T2306" i="2"/>
  <c r="U2306" i="2" s="1"/>
  <c r="U2305" i="2"/>
  <c r="U2304" i="2"/>
  <c r="U2303" i="2"/>
  <c r="T2302" i="2"/>
  <c r="U2302" i="2" s="1"/>
  <c r="U2301" i="2"/>
  <c r="U2300" i="2"/>
  <c r="U2299" i="2"/>
  <c r="T2298" i="2"/>
  <c r="U2298" i="2" s="1"/>
  <c r="U2297" i="2"/>
  <c r="U2296" i="2"/>
  <c r="T2295" i="2"/>
  <c r="U2295" i="2" s="1"/>
  <c r="U2294" i="2"/>
  <c r="U2293" i="2"/>
  <c r="T2292" i="2"/>
  <c r="U2292" i="2" s="1"/>
  <c r="U2291" i="2"/>
  <c r="U2290" i="2"/>
  <c r="U2289" i="2"/>
  <c r="T2288" i="2"/>
  <c r="U2288" i="2" s="1"/>
  <c r="U2287" i="2"/>
  <c r="U2286" i="2"/>
  <c r="U2285" i="2"/>
  <c r="T2284" i="2"/>
  <c r="U2284" i="2" s="1"/>
  <c r="U2283" i="2"/>
  <c r="U2282" i="2"/>
  <c r="U2281" i="2"/>
  <c r="T2280" i="2"/>
  <c r="U2280" i="2" s="1"/>
  <c r="U2279" i="2"/>
  <c r="U2278" i="2"/>
  <c r="U2277" i="2"/>
  <c r="T2276" i="2"/>
  <c r="U2276" i="2" s="1"/>
  <c r="U2275" i="2"/>
  <c r="U2274" i="2"/>
  <c r="U2273" i="2"/>
  <c r="U2272" i="2"/>
  <c r="T2271" i="2"/>
  <c r="U2271" i="2" s="1"/>
  <c r="U2270" i="2"/>
  <c r="U2269" i="2"/>
  <c r="U2268" i="2"/>
  <c r="U2267" i="2"/>
  <c r="T2266" i="2"/>
  <c r="U2266" i="2" s="1"/>
  <c r="U2265" i="2"/>
  <c r="U2264" i="2"/>
  <c r="U2263" i="2"/>
  <c r="U2262" i="2"/>
  <c r="T2261" i="2"/>
  <c r="U2261" i="2" s="1"/>
  <c r="U2260" i="2"/>
  <c r="U2259" i="2"/>
  <c r="U2258" i="2"/>
  <c r="T2257" i="2"/>
  <c r="U2257" i="2" s="1"/>
  <c r="U2256" i="2"/>
  <c r="U2255" i="2"/>
  <c r="T2254" i="2"/>
  <c r="U2254" i="2" s="1"/>
  <c r="U2253" i="2"/>
  <c r="U2252" i="2"/>
  <c r="T2251" i="2"/>
  <c r="U2251" i="2" s="1"/>
  <c r="U2250" i="2"/>
  <c r="U2249" i="2"/>
  <c r="T2248" i="2"/>
  <c r="U2248" i="2" s="1"/>
  <c r="U2247" i="2"/>
  <c r="U2246" i="2"/>
  <c r="T2245" i="2"/>
  <c r="U2245" i="2" s="1"/>
  <c r="U2244" i="2"/>
  <c r="U2243" i="2"/>
  <c r="T2242" i="2"/>
  <c r="U2242" i="2" s="1"/>
  <c r="U2241" i="2"/>
  <c r="U2240" i="2"/>
  <c r="T2239" i="2"/>
  <c r="U2239" i="2" s="1"/>
  <c r="U2238" i="2"/>
  <c r="U2237" i="2"/>
  <c r="T2236" i="2"/>
  <c r="U2236" i="2" s="1"/>
  <c r="U2235" i="2"/>
  <c r="U2234" i="2"/>
  <c r="T2233" i="2"/>
  <c r="U2233" i="2" s="1"/>
  <c r="U2232" i="2"/>
  <c r="U2231" i="2"/>
  <c r="T2230" i="2"/>
  <c r="U2230" i="2" s="1"/>
  <c r="U2229" i="2"/>
  <c r="U2228" i="2"/>
  <c r="T2227" i="2"/>
  <c r="U2227" i="2" s="1"/>
  <c r="U2226" i="2"/>
  <c r="U2225" i="2"/>
  <c r="T2224" i="2"/>
  <c r="U2224" i="2" s="1"/>
  <c r="U2223" i="2"/>
  <c r="U2222" i="2"/>
  <c r="T2221" i="2"/>
  <c r="U2221" i="2" s="1"/>
  <c r="U2220" i="2"/>
  <c r="U2219" i="2"/>
  <c r="T2218" i="2"/>
  <c r="U2218" i="2" s="1"/>
  <c r="U2217" i="2"/>
  <c r="U2216" i="2"/>
  <c r="T2215" i="2"/>
  <c r="U2215" i="2" s="1"/>
  <c r="U2214" i="2"/>
  <c r="U2213" i="2"/>
  <c r="T2212" i="2"/>
  <c r="U2212" i="2" s="1"/>
  <c r="U2211" i="2"/>
  <c r="U2210" i="2"/>
  <c r="T2209" i="2"/>
  <c r="U2209" i="2" s="1"/>
  <c r="U2208" i="2"/>
  <c r="U2207" i="2"/>
  <c r="T2206" i="2"/>
  <c r="U2206" i="2" s="1"/>
  <c r="U2205" i="2"/>
  <c r="U2204" i="2"/>
  <c r="T2203" i="2"/>
  <c r="U2203" i="2" s="1"/>
  <c r="U2202" i="2"/>
  <c r="U2201" i="2"/>
  <c r="T2200" i="2"/>
  <c r="U2200" i="2" s="1"/>
  <c r="U2199" i="2"/>
  <c r="U2198" i="2"/>
  <c r="T2197" i="2"/>
  <c r="U2197" i="2" s="1"/>
  <c r="U2196" i="2"/>
  <c r="U2195" i="2"/>
  <c r="T2194" i="2"/>
  <c r="U2194" i="2" s="1"/>
  <c r="U2193" i="2"/>
  <c r="U2192" i="2"/>
  <c r="U2189" i="2"/>
  <c r="U2188" i="2"/>
  <c r="U2187" i="2"/>
  <c r="U2184" i="2"/>
  <c r="U2183" i="2"/>
  <c r="U2182" i="2"/>
  <c r="T2181" i="2"/>
  <c r="U2181" i="2" s="1"/>
  <c r="T2180" i="2"/>
  <c r="U2180" i="2" s="1"/>
  <c r="U2179" i="2"/>
  <c r="T2178" i="2"/>
  <c r="U2178" i="2" s="1"/>
  <c r="U2177" i="2"/>
  <c r="T2176" i="2"/>
  <c r="U2176" i="2" s="1"/>
  <c r="U2175" i="2"/>
  <c r="U2174" i="2"/>
  <c r="U2173" i="2"/>
  <c r="T2172" i="2"/>
  <c r="U2172" i="2" s="1"/>
  <c r="U2171" i="2"/>
  <c r="U2170" i="2"/>
  <c r="U2169" i="2"/>
  <c r="T2168" i="2"/>
  <c r="U2168" i="2" s="1"/>
  <c r="U2167" i="2"/>
  <c r="U2166" i="2"/>
  <c r="U2165" i="2"/>
  <c r="U2163" i="2"/>
  <c r="U2162" i="2"/>
  <c r="U2161" i="2"/>
  <c r="U2160" i="2"/>
  <c r="U2159" i="2"/>
  <c r="U2158" i="2"/>
  <c r="U2157" i="2"/>
  <c r="U2156" i="2"/>
  <c r="T2155" i="2"/>
  <c r="U2155" i="2" s="1"/>
  <c r="U2154" i="2"/>
  <c r="U2153" i="2"/>
  <c r="T2152" i="2"/>
  <c r="U2152" i="2" s="1"/>
  <c r="U2151" i="2"/>
  <c r="U2150" i="2"/>
  <c r="T2149" i="2"/>
  <c r="U2149" i="2" s="1"/>
  <c r="U2148" i="2"/>
  <c r="U2147" i="2"/>
  <c r="U2146" i="2"/>
  <c r="T2145" i="2"/>
  <c r="U2145" i="2" s="1"/>
  <c r="U2144" i="2"/>
  <c r="U2143" i="2"/>
  <c r="U2142" i="2"/>
  <c r="T2141" i="2"/>
  <c r="U2141" i="2" s="1"/>
  <c r="U2140" i="2"/>
  <c r="U2139" i="2"/>
  <c r="U2138" i="2"/>
  <c r="T2137" i="2"/>
  <c r="U2137" i="2" s="1"/>
  <c r="U2136" i="2"/>
  <c r="U2135" i="2"/>
  <c r="U2134" i="2"/>
  <c r="T2133" i="2"/>
  <c r="U2133" i="2" s="1"/>
  <c r="U2132" i="2"/>
  <c r="U2131" i="2"/>
  <c r="U2130" i="2"/>
  <c r="U2129" i="2"/>
  <c r="U2128" i="2"/>
  <c r="U2127" i="2"/>
  <c r="U2126" i="2"/>
  <c r="U2125" i="2"/>
  <c r="U2124" i="2"/>
  <c r="U2123" i="2"/>
  <c r="U2122" i="2"/>
  <c r="T2121" i="2"/>
  <c r="U2121" i="2" s="1"/>
  <c r="U2120" i="2"/>
  <c r="U2119" i="2"/>
  <c r="U2118" i="2"/>
  <c r="U2117" i="2"/>
  <c r="T2116" i="2"/>
  <c r="U2116" i="2" s="1"/>
  <c r="U2115" i="2"/>
  <c r="U2114" i="2"/>
  <c r="U2113" i="2"/>
  <c r="U2112" i="2"/>
  <c r="T2111" i="2"/>
  <c r="U2111" i="2" s="1"/>
  <c r="U2110" i="2"/>
  <c r="T2109" i="2"/>
  <c r="U2109" i="2" s="1"/>
  <c r="U2108" i="2"/>
  <c r="T2107" i="2"/>
  <c r="U2107" i="2" s="1"/>
  <c r="U2106" i="2"/>
  <c r="T2105" i="2"/>
  <c r="U2105" i="2" s="1"/>
  <c r="U2104" i="2"/>
  <c r="U2103" i="2"/>
  <c r="U2102" i="2"/>
  <c r="T2101" i="2"/>
  <c r="U2101" i="2" s="1"/>
  <c r="U2100" i="2"/>
  <c r="U2099" i="2"/>
  <c r="U2098" i="2"/>
  <c r="T2097" i="2"/>
  <c r="U2097" i="2" s="1"/>
  <c r="U2096" i="2"/>
  <c r="U2095" i="2"/>
  <c r="U2094" i="2"/>
  <c r="T2093" i="2"/>
  <c r="U2093" i="2" s="1"/>
  <c r="U2092" i="2"/>
  <c r="U2091" i="2"/>
  <c r="U2090" i="2"/>
  <c r="T2089" i="2"/>
  <c r="U2089" i="2" s="1"/>
  <c r="U2088" i="2"/>
  <c r="U2087" i="2"/>
  <c r="U2086" i="2"/>
  <c r="T2085" i="2"/>
  <c r="U2085" i="2" s="1"/>
  <c r="U2084" i="2"/>
  <c r="U2083" i="2"/>
  <c r="U2082" i="2"/>
  <c r="T2081" i="2"/>
  <c r="U2081" i="2" s="1"/>
  <c r="U2080" i="2"/>
  <c r="U2079" i="2"/>
  <c r="U2078" i="2"/>
  <c r="T2077" i="2"/>
  <c r="U2077" i="2" s="1"/>
  <c r="U2076" i="2"/>
  <c r="U2075" i="2"/>
  <c r="U2074" i="2"/>
  <c r="T2073" i="2"/>
  <c r="U2073" i="2" s="1"/>
  <c r="T2072" i="2"/>
  <c r="U2072" i="2" s="1"/>
  <c r="T2071" i="2"/>
  <c r="U2071" i="2" s="1"/>
  <c r="U2070" i="2"/>
  <c r="T2069" i="2"/>
  <c r="U2069" i="2" s="1"/>
  <c r="U2068" i="2"/>
  <c r="U2067" i="2"/>
  <c r="U2066" i="2"/>
  <c r="T2065" i="2"/>
  <c r="U2065" i="2" s="1"/>
  <c r="U2064" i="2"/>
  <c r="U2063" i="2"/>
  <c r="U2062" i="2"/>
  <c r="T2061" i="2"/>
  <c r="U2061" i="2" s="1"/>
  <c r="U2060" i="2"/>
  <c r="U2059" i="2"/>
  <c r="U2058" i="2"/>
  <c r="T2057" i="2"/>
  <c r="U2057" i="2" s="1"/>
  <c r="U2056" i="2"/>
  <c r="U2055" i="2"/>
  <c r="U2054" i="2"/>
  <c r="T2053" i="2"/>
  <c r="U2053" i="2" s="1"/>
  <c r="U2052" i="2"/>
  <c r="U2051" i="2"/>
  <c r="U2050" i="2"/>
  <c r="T2049" i="2"/>
  <c r="U2049" i="2" s="1"/>
  <c r="U2048" i="2"/>
  <c r="U2047" i="2"/>
  <c r="U2046" i="2"/>
  <c r="T2045" i="2"/>
  <c r="U2045" i="2" s="1"/>
  <c r="U2044" i="2"/>
  <c r="U2043" i="2"/>
  <c r="U2042" i="2"/>
  <c r="T2041" i="2"/>
  <c r="U2041" i="2" s="1"/>
  <c r="U2040" i="2"/>
  <c r="U2039" i="2"/>
  <c r="U2038" i="2"/>
  <c r="T2037" i="2"/>
  <c r="U2037" i="2" s="1"/>
  <c r="U2036" i="2"/>
  <c r="U2035" i="2"/>
  <c r="U2034" i="2"/>
  <c r="U2033" i="2"/>
  <c r="T2032" i="2"/>
  <c r="U2032" i="2" s="1"/>
  <c r="U2031" i="2"/>
  <c r="U2030" i="2"/>
  <c r="U2029" i="2"/>
  <c r="T2028" i="2"/>
  <c r="U2028" i="2" s="1"/>
  <c r="U2027" i="2"/>
  <c r="U2026" i="2"/>
  <c r="U2025" i="2"/>
  <c r="T2024" i="2"/>
  <c r="U2024" i="2" s="1"/>
  <c r="U2023" i="2"/>
  <c r="U2022" i="2"/>
  <c r="U2021" i="2"/>
  <c r="T2020" i="2"/>
  <c r="U2020" i="2" s="1"/>
  <c r="U2019" i="2"/>
  <c r="U2018" i="2"/>
  <c r="U2017" i="2"/>
  <c r="T2016" i="2"/>
  <c r="U2016" i="2" s="1"/>
  <c r="U2015" i="2"/>
  <c r="U2014" i="2"/>
  <c r="U2013" i="2"/>
  <c r="T2012" i="2"/>
  <c r="U2012" i="2" s="1"/>
  <c r="U2011" i="2"/>
  <c r="U2010" i="2"/>
  <c r="U2009" i="2"/>
  <c r="U2008" i="2"/>
  <c r="U2007" i="2"/>
  <c r="U2006" i="2"/>
  <c r="U2005" i="2"/>
  <c r="U2004" i="2"/>
  <c r="U2002" i="2"/>
  <c r="U2001" i="2"/>
  <c r="U2000" i="2"/>
  <c r="U1999" i="2"/>
  <c r="U1997" i="2"/>
  <c r="U1996" i="2"/>
  <c r="U1995" i="2"/>
  <c r="U1994" i="2"/>
  <c r="U1991" i="2"/>
  <c r="U1990" i="2"/>
  <c r="U1989" i="2"/>
  <c r="U1987" i="2"/>
  <c r="U1986" i="2"/>
  <c r="U1985" i="2"/>
  <c r="U1984" i="2"/>
  <c r="T1983" i="2"/>
  <c r="U1983" i="2" s="1"/>
  <c r="U1982" i="2"/>
  <c r="U1981" i="2"/>
  <c r="U1980" i="2"/>
  <c r="U1978" i="2"/>
  <c r="U1977" i="2"/>
  <c r="U1976" i="2"/>
  <c r="U1975" i="2"/>
  <c r="T1974" i="2"/>
  <c r="U1974" i="2" s="1"/>
  <c r="U1973" i="2"/>
  <c r="U1972" i="2"/>
  <c r="T1971" i="2"/>
  <c r="U1971" i="2" s="1"/>
  <c r="U1970" i="2"/>
  <c r="U1969" i="2"/>
  <c r="T1968" i="2"/>
  <c r="U1968" i="2" s="1"/>
  <c r="U1967" i="2"/>
  <c r="U1966" i="2"/>
  <c r="T1965" i="2"/>
  <c r="U1965" i="2" s="1"/>
  <c r="U1964" i="2"/>
  <c r="U1963" i="2"/>
  <c r="U1962" i="2"/>
  <c r="T1961" i="2"/>
  <c r="U1961" i="2" s="1"/>
  <c r="U1960" i="2"/>
  <c r="U1959" i="2"/>
  <c r="U1958" i="2"/>
  <c r="T1957" i="2"/>
  <c r="U1957" i="2" s="1"/>
  <c r="U1956" i="2"/>
  <c r="U1955" i="2"/>
  <c r="T1954" i="2"/>
  <c r="U1954" i="2" s="1"/>
  <c r="U1953" i="2"/>
  <c r="U1952" i="2"/>
  <c r="T1951" i="2"/>
  <c r="U1951" i="2" s="1"/>
  <c r="U1950" i="2"/>
  <c r="U1949" i="2"/>
  <c r="T1948" i="2"/>
  <c r="U1948" i="2" s="1"/>
  <c r="U1947" i="2"/>
  <c r="U1946" i="2"/>
  <c r="T1945" i="2"/>
  <c r="U1945" i="2" s="1"/>
  <c r="U1944" i="2"/>
  <c r="U1943" i="2"/>
  <c r="T1942" i="2"/>
  <c r="U1942" i="2" s="1"/>
  <c r="U1941" i="2"/>
  <c r="U1940" i="2"/>
  <c r="U1939" i="2"/>
  <c r="U1938" i="2"/>
  <c r="U1937" i="2"/>
  <c r="U1936" i="2"/>
  <c r="T1935" i="2"/>
  <c r="U1935" i="2" s="1"/>
  <c r="U1934" i="2"/>
  <c r="T1933" i="2"/>
  <c r="U1933" i="2" s="1"/>
  <c r="U1932" i="2"/>
  <c r="U1931" i="2"/>
  <c r="U1930" i="2"/>
  <c r="T1929" i="2"/>
  <c r="U1929" i="2" s="1"/>
  <c r="U1928" i="2"/>
  <c r="U1927" i="2"/>
  <c r="T1926" i="2"/>
  <c r="U1926" i="2" s="1"/>
  <c r="U1925" i="2"/>
  <c r="U1924" i="2"/>
  <c r="T1923" i="2"/>
  <c r="U1923" i="2" s="1"/>
  <c r="U1922" i="2"/>
  <c r="U1921" i="2"/>
  <c r="T1920" i="2"/>
  <c r="U1920" i="2" s="1"/>
  <c r="U1919" i="2"/>
  <c r="U1918" i="2"/>
  <c r="T1917" i="2"/>
  <c r="U1917" i="2" s="1"/>
  <c r="U1916" i="2"/>
  <c r="U1915" i="2"/>
  <c r="T1914" i="2"/>
  <c r="U1914" i="2" s="1"/>
  <c r="U1913" i="2"/>
  <c r="U1912" i="2"/>
  <c r="T1911" i="2"/>
  <c r="U1911" i="2" s="1"/>
  <c r="U1910" i="2"/>
  <c r="U1909" i="2"/>
  <c r="T1908" i="2"/>
  <c r="U1908" i="2" s="1"/>
  <c r="U1907" i="2"/>
  <c r="T1906" i="2"/>
  <c r="U1906" i="2" s="1"/>
  <c r="U1905" i="2"/>
  <c r="U1904" i="2"/>
  <c r="T1903" i="2"/>
  <c r="U1903" i="2" s="1"/>
  <c r="U1902" i="2"/>
  <c r="T1901" i="2"/>
  <c r="U1901" i="2" s="1"/>
  <c r="U1900" i="2"/>
  <c r="U1899" i="2"/>
  <c r="U1898" i="2"/>
  <c r="T1897" i="2"/>
  <c r="U1897" i="2" s="1"/>
  <c r="U1896" i="2"/>
  <c r="U1895" i="2"/>
  <c r="U1894" i="2"/>
  <c r="T1893" i="2"/>
  <c r="U1893" i="2" s="1"/>
  <c r="U1892" i="2"/>
  <c r="T1891" i="2"/>
  <c r="U1891" i="2" s="1"/>
  <c r="U1890" i="2"/>
  <c r="T1889" i="2"/>
  <c r="U1889" i="2" s="1"/>
  <c r="U1888" i="2"/>
  <c r="U1887" i="2"/>
  <c r="U1886" i="2"/>
  <c r="T1885" i="2"/>
  <c r="U1885" i="2" s="1"/>
  <c r="U1884" i="2"/>
  <c r="U1883" i="2"/>
  <c r="U1882" i="2"/>
  <c r="T1881" i="2"/>
  <c r="U1881" i="2" s="1"/>
  <c r="U1880" i="2"/>
  <c r="U1879" i="2"/>
  <c r="U1878" i="2"/>
  <c r="T1877" i="2"/>
  <c r="U1877" i="2" s="1"/>
  <c r="U1876" i="2"/>
  <c r="U1875" i="2"/>
  <c r="U1874" i="2"/>
  <c r="T1873" i="2"/>
  <c r="U1873" i="2" s="1"/>
  <c r="U1872" i="2"/>
  <c r="U1871" i="2"/>
  <c r="U1870" i="2"/>
  <c r="T1869" i="2"/>
  <c r="U1869" i="2" s="1"/>
  <c r="U1868" i="2"/>
  <c r="U1867" i="2"/>
  <c r="U1866" i="2"/>
  <c r="T1865" i="2"/>
  <c r="U1865" i="2" s="1"/>
  <c r="U1864" i="2"/>
  <c r="U1863" i="2"/>
  <c r="U1862" i="2"/>
  <c r="T1861" i="2"/>
  <c r="U1861" i="2" s="1"/>
  <c r="U1860" i="2"/>
  <c r="U1859" i="2"/>
  <c r="T1858" i="2"/>
  <c r="U1858" i="2" s="1"/>
  <c r="U1857" i="2"/>
  <c r="U1856" i="2"/>
  <c r="U1855" i="2"/>
  <c r="T1854" i="2"/>
  <c r="U1854" i="2" s="1"/>
  <c r="U1853" i="2"/>
  <c r="U1852" i="2"/>
  <c r="T1851" i="2"/>
  <c r="U1851" i="2" s="1"/>
  <c r="U1850" i="2"/>
  <c r="U1849" i="2"/>
  <c r="T1848" i="2"/>
  <c r="U1848" i="2" s="1"/>
  <c r="U1847" i="2"/>
  <c r="U1846" i="2"/>
  <c r="T1845" i="2"/>
  <c r="U1845" i="2" s="1"/>
  <c r="U1844" i="2"/>
  <c r="T1843" i="2"/>
  <c r="U1843" i="2" s="1"/>
  <c r="U1842" i="2"/>
  <c r="U1841" i="2"/>
  <c r="U1840" i="2"/>
  <c r="T1839" i="2"/>
  <c r="U1839" i="2" s="1"/>
  <c r="U1838" i="2"/>
  <c r="U1837" i="2"/>
  <c r="U1836" i="2"/>
  <c r="T1835" i="2"/>
  <c r="U1835" i="2" s="1"/>
  <c r="U1834" i="2"/>
  <c r="U1833" i="2"/>
  <c r="U1832" i="2"/>
  <c r="T1831" i="2"/>
  <c r="U1831" i="2" s="1"/>
  <c r="U1830" i="2"/>
  <c r="U1829" i="2"/>
  <c r="T1828" i="2"/>
  <c r="U1828" i="2" s="1"/>
  <c r="U1827" i="2"/>
  <c r="U1826" i="2"/>
  <c r="T1825" i="2"/>
  <c r="U1825" i="2" s="1"/>
  <c r="U1824" i="2"/>
  <c r="U1823" i="2"/>
  <c r="U1822" i="2"/>
  <c r="U1821" i="2"/>
  <c r="U1820" i="2"/>
  <c r="U1819" i="2"/>
  <c r="T1818" i="2"/>
  <c r="U1818" i="2" s="1"/>
  <c r="U1817" i="2"/>
  <c r="U1816" i="2"/>
  <c r="U1815" i="2"/>
  <c r="T1814" i="2"/>
  <c r="U1814" i="2" s="1"/>
  <c r="U1813" i="2"/>
  <c r="U1812" i="2"/>
  <c r="U1811" i="2"/>
  <c r="T1810" i="2"/>
  <c r="U1810" i="2" s="1"/>
  <c r="U1809" i="2"/>
  <c r="U1808" i="2"/>
  <c r="U1807" i="2"/>
  <c r="T1806" i="2"/>
  <c r="U1806" i="2" s="1"/>
  <c r="U1805" i="2"/>
  <c r="T1804" i="2"/>
  <c r="U1804" i="2" s="1"/>
  <c r="U1803" i="2"/>
  <c r="T1802" i="2"/>
  <c r="U1802" i="2" s="1"/>
  <c r="U1801" i="2"/>
  <c r="U1799" i="2"/>
  <c r="U1798" i="2"/>
  <c r="U1797" i="2"/>
  <c r="T1796" i="2"/>
  <c r="U1796" i="2" s="1"/>
  <c r="U1795" i="2"/>
  <c r="U1794" i="2"/>
  <c r="U1793" i="2"/>
  <c r="T1792" i="2"/>
  <c r="U1792" i="2" s="1"/>
  <c r="U1791" i="2"/>
  <c r="U1790" i="2"/>
  <c r="U1789" i="2"/>
  <c r="T1788" i="2"/>
  <c r="U1788" i="2" s="1"/>
  <c r="U1787" i="2"/>
  <c r="U1786" i="2"/>
  <c r="T1785" i="2"/>
  <c r="U1785" i="2" s="1"/>
  <c r="U1784" i="2"/>
  <c r="U1783" i="2"/>
  <c r="T1782" i="2"/>
  <c r="U1782" i="2" s="1"/>
  <c r="U1781" i="2"/>
  <c r="U1780" i="2"/>
  <c r="U1779" i="2"/>
  <c r="T1778" i="2"/>
  <c r="U1778" i="2" s="1"/>
  <c r="U1777" i="2"/>
  <c r="U1776" i="2"/>
  <c r="U1775" i="2"/>
  <c r="T1774" i="2"/>
  <c r="U1774" i="2" s="1"/>
  <c r="U1773" i="2"/>
  <c r="U1772" i="2"/>
  <c r="T1771" i="2"/>
  <c r="U1771" i="2" s="1"/>
  <c r="U1770" i="2"/>
  <c r="U1769" i="2"/>
  <c r="T1768" i="2"/>
  <c r="U1768" i="2" s="1"/>
  <c r="T1767" i="2"/>
  <c r="U1767" i="2" s="1"/>
  <c r="U1766" i="2"/>
  <c r="U1765" i="2"/>
  <c r="T1764" i="2"/>
  <c r="U1764" i="2" s="1"/>
  <c r="U1763" i="2"/>
  <c r="U1762" i="2"/>
  <c r="T1761" i="2"/>
  <c r="U1761" i="2" s="1"/>
  <c r="U1760" i="2"/>
  <c r="U1759" i="2"/>
  <c r="T1758" i="2"/>
  <c r="U1758" i="2" s="1"/>
  <c r="U1757" i="2"/>
  <c r="U1756" i="2"/>
  <c r="T1755" i="2"/>
  <c r="U1755" i="2" s="1"/>
  <c r="T1754" i="2"/>
  <c r="U1754" i="2" s="1"/>
  <c r="U1753" i="2"/>
  <c r="T1752" i="2"/>
  <c r="U1752" i="2" s="1"/>
  <c r="T1751" i="2"/>
  <c r="U1751" i="2" s="1"/>
  <c r="T1750" i="2"/>
  <c r="U1750" i="2" s="1"/>
  <c r="U1749" i="2"/>
  <c r="U1748" i="2"/>
  <c r="T1747" i="2"/>
  <c r="U1747" i="2" s="1"/>
  <c r="U1746" i="2"/>
  <c r="U1745" i="2"/>
  <c r="T1744" i="2"/>
  <c r="U1744" i="2" s="1"/>
  <c r="U1743" i="2"/>
  <c r="T1742" i="2"/>
  <c r="U1742" i="2" s="1"/>
  <c r="U1741" i="2"/>
  <c r="U1740" i="2"/>
  <c r="T1739" i="2"/>
  <c r="U1739" i="2" s="1"/>
  <c r="U1738" i="2"/>
  <c r="U1737" i="2"/>
  <c r="T1736" i="2"/>
  <c r="U1736" i="2" s="1"/>
  <c r="U1735" i="2"/>
  <c r="U1734" i="2"/>
  <c r="U1733" i="2"/>
  <c r="T1732" i="2"/>
  <c r="U1732" i="2" s="1"/>
  <c r="U1731" i="2"/>
  <c r="U1730" i="2"/>
  <c r="U1727" i="2"/>
  <c r="U1726" i="2"/>
  <c r="U1725" i="2"/>
  <c r="T1724" i="2"/>
  <c r="U1724" i="2" s="1"/>
  <c r="U1723" i="2"/>
  <c r="T1722" i="2"/>
  <c r="U1722" i="2" s="1"/>
  <c r="U1721" i="2"/>
  <c r="T1720" i="2"/>
  <c r="U1720" i="2" s="1"/>
  <c r="U1719" i="2"/>
  <c r="T1718" i="2"/>
  <c r="U1718" i="2" s="1"/>
  <c r="U1717" i="2"/>
  <c r="T1716" i="2"/>
  <c r="U1716" i="2" s="1"/>
  <c r="U1715" i="2"/>
  <c r="T1714" i="2"/>
  <c r="U1714" i="2" s="1"/>
  <c r="U1713" i="2"/>
  <c r="T1712" i="2"/>
  <c r="U1712" i="2" s="1"/>
  <c r="U1711" i="2"/>
  <c r="U1710" i="2"/>
  <c r="T1709" i="2"/>
  <c r="U1709" i="2" s="1"/>
  <c r="U1708" i="2"/>
  <c r="U1707" i="2"/>
  <c r="T1706" i="2"/>
  <c r="U1706" i="2" s="1"/>
  <c r="U1705" i="2"/>
  <c r="U1704" i="2"/>
  <c r="T1703" i="2"/>
  <c r="U1703" i="2" s="1"/>
  <c r="U1702" i="2"/>
  <c r="U1701" i="2"/>
  <c r="T1700" i="2"/>
  <c r="U1700" i="2" s="1"/>
  <c r="U1699" i="2"/>
  <c r="U1698" i="2"/>
  <c r="T1697" i="2"/>
  <c r="U1697" i="2" s="1"/>
  <c r="U1696" i="2"/>
  <c r="T1695" i="2"/>
  <c r="U1695" i="2" s="1"/>
  <c r="U1694" i="2"/>
  <c r="T1693" i="2"/>
  <c r="U1693" i="2" s="1"/>
  <c r="U1692" i="2"/>
  <c r="T1691" i="2"/>
  <c r="U1691" i="2" s="1"/>
  <c r="U1690" i="2"/>
  <c r="T1689" i="2"/>
  <c r="U1689" i="2" s="1"/>
  <c r="U1688" i="2"/>
  <c r="U1687" i="2"/>
  <c r="U1686" i="2"/>
  <c r="T1685" i="2"/>
  <c r="U1685" i="2" s="1"/>
  <c r="U1684" i="2"/>
  <c r="U1683" i="2"/>
  <c r="U1682" i="2"/>
  <c r="T1681" i="2"/>
  <c r="U1681" i="2" s="1"/>
  <c r="U1680" i="2"/>
  <c r="U1679" i="2"/>
  <c r="U1678" i="2"/>
  <c r="T1677" i="2"/>
  <c r="U1677" i="2" s="1"/>
  <c r="U1676" i="2"/>
  <c r="U1675" i="2"/>
  <c r="T1674" i="2"/>
  <c r="U1674" i="2" s="1"/>
  <c r="U1673" i="2"/>
  <c r="U1672" i="2"/>
  <c r="U1671" i="2"/>
  <c r="U1670" i="2"/>
  <c r="T1669" i="2"/>
  <c r="U1669" i="2" s="1"/>
  <c r="U1668" i="2"/>
  <c r="U1667" i="2"/>
  <c r="U1666" i="2"/>
  <c r="T1665" i="2"/>
  <c r="U1665" i="2" s="1"/>
  <c r="U1664" i="2"/>
  <c r="U1663" i="2"/>
  <c r="U1662" i="2"/>
  <c r="U1659" i="2"/>
  <c r="U1658" i="2"/>
  <c r="U1657" i="2"/>
  <c r="T1656" i="2"/>
  <c r="U1656" i="2" s="1"/>
  <c r="U1655" i="2"/>
  <c r="T1654" i="2"/>
  <c r="U1654" i="2" s="1"/>
  <c r="U1653" i="2"/>
  <c r="T1652" i="2"/>
  <c r="U1652" i="2" s="1"/>
  <c r="U1651" i="2"/>
  <c r="U1650" i="2"/>
  <c r="U1649" i="2"/>
  <c r="U1648" i="2"/>
  <c r="T1647" i="2"/>
  <c r="U1647" i="2" s="1"/>
  <c r="U1646" i="2"/>
  <c r="U1645" i="2"/>
  <c r="U1644" i="2"/>
  <c r="U1643" i="2"/>
  <c r="T1642" i="2"/>
  <c r="U1642" i="2" s="1"/>
  <c r="U1641" i="2"/>
  <c r="U1640" i="2"/>
  <c r="U1639" i="2"/>
  <c r="T1638" i="2"/>
  <c r="U1638" i="2" s="1"/>
  <c r="U1637" i="2"/>
  <c r="T1636" i="2"/>
  <c r="U1636" i="2" s="1"/>
  <c r="U1635" i="2"/>
  <c r="U1634" i="2"/>
  <c r="U1633" i="2"/>
  <c r="T1632" i="2"/>
  <c r="U1632" i="2" s="1"/>
  <c r="U1631" i="2"/>
  <c r="U1630" i="2"/>
  <c r="U1629" i="2"/>
  <c r="U1628" i="2"/>
  <c r="T1627" i="2"/>
  <c r="U1627" i="2" s="1"/>
  <c r="U1626" i="2"/>
  <c r="U1625" i="2"/>
  <c r="U1624" i="2"/>
  <c r="U1623" i="2"/>
  <c r="T1622" i="2"/>
  <c r="U1622" i="2" s="1"/>
  <c r="U1621" i="2"/>
  <c r="U1620" i="2"/>
  <c r="U1619" i="2"/>
  <c r="U1618" i="2"/>
  <c r="U1617" i="2"/>
  <c r="T1616" i="2"/>
  <c r="U1616" i="2" s="1"/>
  <c r="U1615" i="2"/>
  <c r="T1614" i="2"/>
  <c r="U1614" i="2" s="1"/>
  <c r="U1613" i="2"/>
  <c r="U1612" i="2"/>
  <c r="U1611" i="2"/>
  <c r="T1610" i="2"/>
  <c r="U1610" i="2" s="1"/>
  <c r="U1609" i="2"/>
  <c r="U1608" i="2"/>
  <c r="U1607" i="2"/>
  <c r="T1606" i="2"/>
  <c r="U1606" i="2" s="1"/>
  <c r="U1605" i="2"/>
  <c r="U1604" i="2"/>
  <c r="U1603" i="2"/>
  <c r="T1602" i="2"/>
  <c r="U1602" i="2" s="1"/>
  <c r="U1601" i="2"/>
  <c r="T1600" i="2"/>
  <c r="U1600" i="2" s="1"/>
  <c r="U1599" i="2"/>
  <c r="U1598" i="2"/>
  <c r="U1597" i="2"/>
  <c r="T1596" i="2"/>
  <c r="U1596" i="2" s="1"/>
  <c r="U1595" i="2"/>
  <c r="U1594" i="2"/>
  <c r="U1593" i="2"/>
  <c r="U1592" i="2"/>
  <c r="T1591" i="2"/>
  <c r="U1591" i="2" s="1"/>
  <c r="U1590" i="2"/>
  <c r="U1589" i="2"/>
  <c r="U1588" i="2"/>
  <c r="U1587" i="2"/>
  <c r="T1586" i="2"/>
  <c r="U1586" i="2" s="1"/>
  <c r="U1585" i="2"/>
  <c r="U1584" i="2"/>
  <c r="U1583" i="2"/>
  <c r="T1582" i="2"/>
  <c r="U1582" i="2" s="1"/>
  <c r="U1581" i="2"/>
  <c r="U1580" i="2"/>
  <c r="U1579" i="2"/>
  <c r="T1578" i="2"/>
  <c r="U1578" i="2" s="1"/>
  <c r="U1577" i="2"/>
  <c r="U1576" i="2"/>
  <c r="U1575" i="2"/>
  <c r="T1574" i="2"/>
  <c r="U1574" i="2" s="1"/>
  <c r="U1573" i="2"/>
  <c r="U1572" i="2"/>
  <c r="U1571" i="2"/>
  <c r="U1570" i="2"/>
  <c r="T1569" i="2"/>
  <c r="U1569" i="2" s="1"/>
  <c r="U1568" i="2"/>
  <c r="U1567" i="2"/>
  <c r="U1566" i="2"/>
  <c r="T1565" i="2"/>
  <c r="U1565" i="2" s="1"/>
  <c r="U1564" i="2"/>
  <c r="U1563" i="2"/>
  <c r="U1562" i="2"/>
  <c r="U1561" i="2"/>
  <c r="T1560" i="2"/>
  <c r="U1560" i="2" s="1"/>
  <c r="U1559" i="2"/>
  <c r="U1558" i="2"/>
  <c r="U1557" i="2"/>
  <c r="U1556" i="2"/>
  <c r="U1555" i="2"/>
  <c r="U1554" i="2"/>
  <c r="U1553" i="2"/>
  <c r="U1552" i="2"/>
  <c r="U1551" i="2"/>
  <c r="U1550" i="2"/>
  <c r="U1549" i="2"/>
  <c r="U1548" i="2"/>
  <c r="U1547" i="2"/>
  <c r="U1546" i="2"/>
  <c r="U1545" i="2"/>
  <c r="U1544" i="2"/>
  <c r="U1543" i="2"/>
  <c r="U1542" i="2"/>
  <c r="U1541" i="2"/>
  <c r="U1538" i="2"/>
  <c r="U1537" i="2"/>
  <c r="U1536" i="2"/>
  <c r="U1533" i="2"/>
  <c r="U1532" i="2"/>
  <c r="U1531" i="2"/>
  <c r="U1530" i="2"/>
  <c r="U1529" i="2"/>
  <c r="U1528" i="2"/>
  <c r="T1527" i="2"/>
  <c r="U1527" i="2" s="1"/>
  <c r="U1526" i="2"/>
  <c r="U1525" i="2"/>
  <c r="U1524" i="2"/>
  <c r="U1523" i="2"/>
  <c r="T1522" i="2"/>
  <c r="U1522" i="2" s="1"/>
  <c r="U1521" i="2"/>
  <c r="U1520" i="2"/>
  <c r="U1519" i="2"/>
  <c r="U1518" i="2"/>
  <c r="U1515" i="2"/>
  <c r="U1514" i="2"/>
  <c r="U1513" i="2"/>
  <c r="T1512" i="2"/>
  <c r="U1512" i="2" s="1"/>
  <c r="U1511" i="2"/>
  <c r="U1510" i="2"/>
  <c r="U1509" i="2"/>
  <c r="U1508" i="2"/>
  <c r="T1507" i="2"/>
  <c r="U1507" i="2" s="1"/>
  <c r="U1506" i="2"/>
  <c r="U1505" i="2"/>
  <c r="U1504" i="2"/>
  <c r="T1503" i="2"/>
  <c r="U1503" i="2" s="1"/>
  <c r="U1502" i="2"/>
  <c r="U1501" i="2"/>
  <c r="U1500" i="2"/>
  <c r="T1499" i="2"/>
  <c r="U1499" i="2" s="1"/>
  <c r="U1498" i="2"/>
  <c r="U1497" i="2"/>
  <c r="T1496" i="2"/>
  <c r="U1496" i="2" s="1"/>
  <c r="U1495" i="2"/>
  <c r="U1494" i="2"/>
  <c r="T1493" i="2"/>
  <c r="U1493" i="2" s="1"/>
  <c r="U1492" i="2"/>
  <c r="U1491" i="2"/>
  <c r="T1490" i="2"/>
  <c r="U1490" i="2" s="1"/>
  <c r="U1489" i="2"/>
  <c r="T1488" i="2"/>
  <c r="U1488" i="2" s="1"/>
  <c r="U1487" i="2"/>
  <c r="T1486" i="2"/>
  <c r="U1486" i="2" s="1"/>
  <c r="U1485" i="2"/>
  <c r="U1484" i="2"/>
  <c r="U1483" i="2"/>
  <c r="T1482" i="2"/>
  <c r="U1482" i="2" s="1"/>
  <c r="T1481" i="2"/>
  <c r="U1481" i="2" s="1"/>
  <c r="T1480" i="2"/>
  <c r="U1480" i="2" s="1"/>
  <c r="U1479" i="2"/>
  <c r="U1478" i="2"/>
  <c r="U1477" i="2"/>
  <c r="U1476" i="2"/>
  <c r="U1475" i="2"/>
  <c r="U1474" i="2"/>
  <c r="U1473" i="2"/>
  <c r="U1472" i="2"/>
  <c r="U1471" i="2"/>
  <c r="U1470" i="2"/>
  <c r="U1469" i="2"/>
  <c r="U1466" i="2"/>
  <c r="U1465" i="2"/>
  <c r="U1464" i="2"/>
  <c r="U1462" i="2"/>
  <c r="U1461" i="2"/>
  <c r="U1460" i="2"/>
  <c r="U1459" i="2"/>
  <c r="U1458" i="2"/>
  <c r="T1457" i="2"/>
  <c r="U1457" i="2" s="1"/>
  <c r="U1456" i="2"/>
  <c r="U1455" i="2"/>
  <c r="U1454" i="2"/>
  <c r="U1453" i="2"/>
  <c r="T1452" i="2"/>
  <c r="U1452" i="2" s="1"/>
  <c r="U1451" i="2"/>
  <c r="U1450" i="2"/>
  <c r="U1449" i="2"/>
  <c r="U1447" i="2"/>
  <c r="U1446" i="2"/>
  <c r="U1445" i="2"/>
  <c r="U1444" i="2"/>
  <c r="U1443" i="2"/>
  <c r="T1442" i="2"/>
  <c r="U1442" i="2" s="1"/>
  <c r="U1441" i="2"/>
  <c r="U1440" i="2"/>
  <c r="U1439" i="2"/>
  <c r="T1438" i="2"/>
  <c r="U1438" i="2" s="1"/>
  <c r="U1437" i="2"/>
  <c r="U1436" i="2"/>
  <c r="U1435" i="2"/>
  <c r="T1434" i="2"/>
  <c r="U1434" i="2" s="1"/>
  <c r="U1433" i="2"/>
  <c r="U1432" i="2"/>
  <c r="U1431" i="2"/>
  <c r="U1430" i="2"/>
  <c r="T1429" i="2"/>
  <c r="U1429" i="2" s="1"/>
  <c r="U1428" i="2"/>
  <c r="U1427" i="2"/>
  <c r="U1426" i="2"/>
  <c r="U1425" i="2"/>
  <c r="T1424" i="2"/>
  <c r="U1424" i="2" s="1"/>
  <c r="U1423" i="2"/>
  <c r="U1422" i="2"/>
  <c r="T1421" i="2"/>
  <c r="U1421" i="2" s="1"/>
  <c r="U1420" i="2"/>
  <c r="U1419" i="2"/>
  <c r="U1418" i="2"/>
  <c r="U1417" i="2"/>
  <c r="T1416" i="2"/>
  <c r="U1416" i="2" s="1"/>
  <c r="U1415" i="2"/>
  <c r="U1414" i="2"/>
  <c r="U1413" i="2"/>
  <c r="U1412" i="2"/>
  <c r="U1411" i="2"/>
  <c r="U1410" i="2"/>
  <c r="U1409" i="2"/>
  <c r="U1408" i="2"/>
  <c r="U1407" i="2"/>
  <c r="U1406" i="2"/>
  <c r="U1405" i="2"/>
  <c r="U1404" i="2"/>
  <c r="U1403" i="2"/>
  <c r="U1402" i="2"/>
  <c r="U1401" i="2"/>
  <c r="U1400" i="2"/>
  <c r="U1399" i="2"/>
  <c r="U1398" i="2"/>
  <c r="U1397" i="2"/>
  <c r="U1395" i="2"/>
  <c r="U1394" i="2"/>
  <c r="U1393" i="2"/>
  <c r="U1392" i="2"/>
  <c r="U1391" i="2"/>
  <c r="T1390" i="2"/>
  <c r="U1390" i="2" s="1"/>
  <c r="U1389" i="2"/>
  <c r="U1388" i="2"/>
  <c r="U1387" i="2"/>
  <c r="T1386" i="2"/>
  <c r="U1386" i="2" s="1"/>
  <c r="U1385" i="2"/>
  <c r="U1384" i="2"/>
  <c r="U1383" i="2"/>
  <c r="T1382" i="2"/>
  <c r="U1382" i="2" s="1"/>
  <c r="U1381" i="2"/>
  <c r="U1380" i="2"/>
  <c r="U1379" i="2"/>
  <c r="T1378" i="2"/>
  <c r="U1378" i="2" s="1"/>
  <c r="U1377" i="2"/>
  <c r="T1376" i="2"/>
  <c r="U1376" i="2" s="1"/>
  <c r="T1375" i="2"/>
  <c r="U1375" i="2" s="1"/>
  <c r="T1374" i="2"/>
  <c r="U1374" i="2" s="1"/>
  <c r="T1373" i="2"/>
  <c r="U1373" i="2" s="1"/>
  <c r="T1372" i="2"/>
  <c r="U1372" i="2" s="1"/>
  <c r="T1371" i="2"/>
  <c r="U1371" i="2" s="1"/>
  <c r="U1370" i="2"/>
  <c r="U1369" i="2"/>
  <c r="U1368" i="2"/>
  <c r="T1367" i="2"/>
  <c r="U1367" i="2" s="1"/>
  <c r="U1366" i="2"/>
  <c r="U1365" i="2"/>
  <c r="U1364" i="2"/>
  <c r="T1363" i="2"/>
  <c r="U1363" i="2" s="1"/>
  <c r="T1362" i="2"/>
  <c r="U1362" i="2" s="1"/>
  <c r="U1361" i="2"/>
  <c r="U1360" i="2"/>
  <c r="U1359" i="2"/>
  <c r="T1358" i="2"/>
  <c r="U1358" i="2" s="1"/>
  <c r="U1357" i="2"/>
  <c r="T1356" i="2"/>
  <c r="U1356" i="2" s="1"/>
  <c r="U1355" i="2"/>
  <c r="U1354" i="2"/>
  <c r="U1353" i="2"/>
  <c r="U1352" i="2"/>
  <c r="U1351" i="2"/>
  <c r="U1350" i="2"/>
  <c r="T1349" i="2"/>
  <c r="U1349" i="2" s="1"/>
  <c r="U1348" i="2"/>
  <c r="U1347" i="2"/>
  <c r="T1346" i="2"/>
  <c r="U1346" i="2" s="1"/>
  <c r="U1345" i="2"/>
  <c r="U1344" i="2"/>
  <c r="U1343" i="2"/>
  <c r="T1342" i="2"/>
  <c r="U1342" i="2" s="1"/>
  <c r="U1341" i="2"/>
  <c r="U1340" i="2"/>
  <c r="U1339" i="2"/>
  <c r="U1338" i="2"/>
  <c r="U1337" i="2"/>
  <c r="U1335" i="2"/>
  <c r="U1334" i="2"/>
  <c r="U1333" i="2"/>
  <c r="U1332" i="2"/>
  <c r="U1331" i="2"/>
  <c r="U1330" i="2"/>
  <c r="U1329" i="2"/>
  <c r="U1328" i="2"/>
  <c r="U1326" i="2"/>
  <c r="U1325" i="2"/>
  <c r="U1324" i="2"/>
  <c r="U1323" i="2"/>
  <c r="T1322" i="2"/>
  <c r="U1322" i="2" s="1"/>
  <c r="U1321" i="2"/>
  <c r="U1320" i="2"/>
  <c r="T1319" i="2"/>
  <c r="U1319" i="2" s="1"/>
  <c r="U1318" i="2"/>
  <c r="U1317" i="2"/>
  <c r="U1316" i="2"/>
  <c r="U1315" i="2"/>
  <c r="U1313" i="2"/>
  <c r="U1312" i="2"/>
  <c r="U1311" i="2"/>
  <c r="T1310" i="2"/>
  <c r="U1310" i="2" s="1"/>
  <c r="U1309" i="2"/>
  <c r="U1308" i="2"/>
  <c r="U1307" i="2"/>
  <c r="U1306" i="2"/>
  <c r="U1305" i="2"/>
  <c r="U1303" i="2"/>
  <c r="U1302" i="2"/>
  <c r="U1301" i="2"/>
  <c r="U1300" i="2"/>
  <c r="T1299" i="2"/>
  <c r="U1299" i="2" s="1"/>
  <c r="T1298" i="2"/>
  <c r="U1298" i="2" s="1"/>
  <c r="U1297" i="2"/>
  <c r="U1296" i="2"/>
  <c r="U1294" i="2"/>
  <c r="U1293" i="2"/>
  <c r="U1292" i="2"/>
  <c r="T1291" i="2"/>
  <c r="U1291" i="2" s="1"/>
  <c r="U1290" i="2"/>
  <c r="U1289" i="2"/>
  <c r="T1288" i="2"/>
  <c r="U1288" i="2" s="1"/>
  <c r="U1287" i="2"/>
  <c r="U1286" i="2"/>
  <c r="U1285" i="2"/>
  <c r="U1284" i="2"/>
  <c r="U1283" i="2"/>
  <c r="T1282" i="2"/>
  <c r="U1282" i="2" s="1"/>
  <c r="U1281" i="2"/>
  <c r="T1280" i="2"/>
  <c r="U1280" i="2" s="1"/>
  <c r="U1279" i="2"/>
  <c r="U1278" i="2"/>
  <c r="T1277" i="2"/>
  <c r="U1277" i="2" s="1"/>
  <c r="U1276" i="2"/>
  <c r="U1275" i="2"/>
  <c r="U1272" i="2"/>
  <c r="U1271" i="2"/>
  <c r="U1270" i="2"/>
  <c r="U1269" i="2"/>
  <c r="U1268" i="2"/>
  <c r="U1267" i="2"/>
  <c r="U1266" i="2"/>
  <c r="U1263" i="2"/>
  <c r="U1262" i="2"/>
  <c r="U1261" i="2"/>
  <c r="U1260" i="2"/>
  <c r="U1259" i="2"/>
  <c r="U1258" i="2"/>
  <c r="U1254" i="2"/>
  <c r="U1253" i="2"/>
  <c r="U1251" i="2"/>
  <c r="U1250" i="2"/>
  <c r="U1249" i="2"/>
  <c r="U1248" i="2"/>
  <c r="T1247" i="2"/>
  <c r="U1247" i="2" s="1"/>
  <c r="U1246" i="2"/>
  <c r="U1245" i="2"/>
  <c r="T1244" i="2"/>
  <c r="U1244" i="2" s="1"/>
  <c r="U1243" i="2"/>
  <c r="U1242" i="2"/>
  <c r="T1241" i="2"/>
  <c r="U1241" i="2" s="1"/>
  <c r="U1240" i="2"/>
  <c r="U1239" i="2"/>
  <c r="U1238" i="2"/>
  <c r="U1237" i="2"/>
  <c r="T1236" i="2"/>
  <c r="U1236" i="2" s="1"/>
  <c r="U1235" i="2"/>
  <c r="T1234" i="2"/>
  <c r="U1234" i="2" s="1"/>
  <c r="U1233" i="2"/>
  <c r="U1232" i="2"/>
  <c r="U1231" i="2"/>
  <c r="U1230" i="2"/>
  <c r="U1229" i="2"/>
  <c r="U1228" i="2"/>
  <c r="U1227" i="2"/>
  <c r="U1226" i="2"/>
  <c r="U1225" i="2"/>
  <c r="U1224" i="2"/>
  <c r="U1223" i="2"/>
  <c r="U1222" i="2"/>
  <c r="U1221" i="2"/>
  <c r="U1220" i="2"/>
  <c r="U1219" i="2"/>
  <c r="U1218" i="2"/>
  <c r="U1217" i="2"/>
  <c r="U1216" i="2"/>
  <c r="U1215" i="2"/>
  <c r="U1214" i="2"/>
  <c r="U1213" i="2"/>
  <c r="U1212" i="2"/>
  <c r="U1211" i="2"/>
  <c r="U1210" i="2"/>
  <c r="U1209" i="2"/>
  <c r="U1208" i="2"/>
  <c r="U1207" i="2"/>
  <c r="T1206" i="2"/>
  <c r="U1206" i="2" s="1"/>
  <c r="U1205" i="2"/>
  <c r="U1204" i="2"/>
  <c r="U1203" i="2"/>
  <c r="U1200" i="2"/>
  <c r="U1199" i="2"/>
  <c r="U1198" i="2"/>
  <c r="U1195" i="2"/>
  <c r="U1194" i="2"/>
  <c r="T1193" i="2"/>
  <c r="U1193" i="2" s="1"/>
  <c r="U1192" i="2"/>
  <c r="U1191" i="2"/>
  <c r="T1190" i="2"/>
  <c r="U1190" i="2" s="1"/>
  <c r="U1189" i="2"/>
  <c r="T1188" i="2"/>
  <c r="U1188" i="2" s="1"/>
  <c r="U1187" i="2"/>
  <c r="T1186" i="2"/>
  <c r="U1186" i="2" s="1"/>
  <c r="U1185" i="2"/>
  <c r="T1184" i="2"/>
  <c r="U1184" i="2" s="1"/>
  <c r="U1183" i="2"/>
  <c r="U1182" i="2"/>
  <c r="T1181" i="2"/>
  <c r="U1181" i="2" s="1"/>
  <c r="U1180" i="2"/>
  <c r="U1179" i="2"/>
  <c r="T1178" i="2"/>
  <c r="U1178" i="2" s="1"/>
  <c r="U1177" i="2"/>
  <c r="U1176" i="2"/>
  <c r="U1175" i="2"/>
  <c r="T1174" i="2"/>
  <c r="U1174" i="2" s="1"/>
  <c r="U1173" i="2"/>
  <c r="U1172" i="2"/>
  <c r="T1171" i="2"/>
  <c r="U1171" i="2" s="1"/>
  <c r="U1170" i="2"/>
  <c r="U1169" i="2"/>
  <c r="T1168" i="2"/>
  <c r="U1168" i="2" s="1"/>
  <c r="U1167" i="2"/>
  <c r="U1166" i="2"/>
  <c r="T1165" i="2"/>
  <c r="U1165" i="2" s="1"/>
  <c r="U1164" i="2"/>
  <c r="U1163" i="2"/>
  <c r="T1162" i="2"/>
  <c r="U1162" i="2" s="1"/>
  <c r="U1161" i="2"/>
  <c r="U1160" i="2"/>
  <c r="T1159" i="2"/>
  <c r="U1159" i="2" s="1"/>
  <c r="U1158" i="2"/>
  <c r="U1157" i="2"/>
  <c r="T1156" i="2"/>
  <c r="U1156" i="2" s="1"/>
  <c r="U1155" i="2"/>
  <c r="U1154" i="2"/>
  <c r="U1153" i="2"/>
  <c r="T1152" i="2"/>
  <c r="U1152" i="2" s="1"/>
  <c r="U1151" i="2"/>
  <c r="U1150" i="2"/>
  <c r="T1149" i="2"/>
  <c r="U1149" i="2" s="1"/>
  <c r="U1148" i="2"/>
  <c r="T1147" i="2"/>
  <c r="U1147" i="2" s="1"/>
  <c r="T1146" i="2"/>
  <c r="U1146" i="2" s="1"/>
  <c r="U1145" i="2"/>
  <c r="U1144" i="2"/>
  <c r="U1143" i="2"/>
  <c r="U1142" i="2"/>
  <c r="U1141" i="2"/>
  <c r="T1140" i="2"/>
  <c r="U1140" i="2" s="1"/>
  <c r="U1139" i="2"/>
  <c r="U1138" i="2"/>
  <c r="U1137" i="2"/>
  <c r="T1136" i="2"/>
  <c r="U1136" i="2" s="1"/>
  <c r="U1135" i="2"/>
  <c r="U1134" i="2"/>
  <c r="U1133" i="2"/>
  <c r="T1132" i="2"/>
  <c r="U1132" i="2" s="1"/>
  <c r="U1131" i="2"/>
  <c r="U1130" i="2"/>
  <c r="U1129" i="2"/>
  <c r="U1126" i="2"/>
  <c r="U1125" i="2"/>
  <c r="U1124" i="2"/>
  <c r="U1123" i="2"/>
  <c r="U1121" i="2"/>
  <c r="U1120" i="2"/>
  <c r="U1119" i="2"/>
  <c r="T1118" i="2"/>
  <c r="U1118" i="2" s="1"/>
  <c r="U1117" i="2"/>
  <c r="U1116" i="2"/>
  <c r="T1115" i="2"/>
  <c r="U1115" i="2" s="1"/>
  <c r="U1114" i="2"/>
  <c r="U1113" i="2"/>
  <c r="U1112" i="2"/>
  <c r="U1111" i="2"/>
  <c r="U1110" i="2"/>
  <c r="U1109" i="2"/>
  <c r="U1108" i="2"/>
  <c r="U1107" i="2"/>
  <c r="U1106" i="2"/>
  <c r="U1105" i="2"/>
  <c r="U1104" i="2"/>
  <c r="U1103" i="2"/>
  <c r="U1102" i="2"/>
  <c r="U1101" i="2"/>
  <c r="U1100" i="2"/>
  <c r="T1099" i="2"/>
  <c r="U1099" i="2" s="1"/>
  <c r="U1098" i="2"/>
  <c r="U1097" i="2"/>
  <c r="U1096" i="2"/>
  <c r="U1095" i="2"/>
  <c r="U1094" i="2"/>
  <c r="U1093" i="2"/>
  <c r="T1092" i="2"/>
  <c r="U1092" i="2" s="1"/>
  <c r="U1091" i="2"/>
  <c r="U1090" i="2"/>
  <c r="U1089" i="2"/>
  <c r="U1088" i="2"/>
  <c r="U1087" i="2"/>
  <c r="U1086" i="2"/>
  <c r="U1085" i="2"/>
  <c r="U1084" i="2"/>
  <c r="U1080" i="2"/>
  <c r="U1079" i="2"/>
  <c r="U1078" i="2"/>
  <c r="T1077" i="2"/>
  <c r="U1077" i="2" s="1"/>
  <c r="U1076" i="2"/>
  <c r="U1075" i="2"/>
  <c r="U1074" i="2"/>
  <c r="U1073" i="2"/>
  <c r="U1072" i="2"/>
  <c r="U1071" i="2"/>
  <c r="T1070" i="2"/>
  <c r="U1070" i="2" s="1"/>
  <c r="U1069" i="2"/>
  <c r="T1068" i="2"/>
  <c r="U1068" i="2" s="1"/>
  <c r="U1067" i="2"/>
  <c r="U1066" i="2"/>
  <c r="U1065" i="2"/>
  <c r="U1064" i="2"/>
  <c r="U1063" i="2"/>
  <c r="U1062" i="2"/>
  <c r="T1061" i="2"/>
  <c r="U1061" i="2" s="1"/>
  <c r="U1060" i="2"/>
  <c r="U1059" i="2"/>
  <c r="U1058" i="2"/>
  <c r="U1057" i="2"/>
  <c r="T1056" i="2"/>
  <c r="U1056" i="2" s="1"/>
  <c r="U1055" i="2"/>
  <c r="U1054" i="2"/>
  <c r="U1053" i="2"/>
  <c r="T1052" i="2"/>
  <c r="U1052" i="2" s="1"/>
  <c r="U1051" i="2"/>
  <c r="U1050" i="2"/>
  <c r="U1049" i="2"/>
  <c r="U1048" i="2"/>
  <c r="T1047" i="2"/>
  <c r="U1047" i="2" s="1"/>
  <c r="U1046" i="2"/>
  <c r="U1045" i="2"/>
  <c r="U1044" i="2"/>
  <c r="U1043" i="2"/>
  <c r="U1042" i="2"/>
  <c r="T1041" i="2"/>
  <c r="U1041" i="2" s="1"/>
  <c r="U1040" i="2"/>
  <c r="U1039" i="2"/>
  <c r="U1038" i="2"/>
  <c r="T1037" i="2"/>
  <c r="U1037" i="2" s="1"/>
  <c r="U1036" i="2"/>
  <c r="U1035" i="2"/>
  <c r="U1034" i="2"/>
  <c r="T1033" i="2"/>
  <c r="U1033" i="2" s="1"/>
  <c r="U1032" i="2"/>
  <c r="U1031" i="2"/>
  <c r="U1030" i="2"/>
  <c r="U1029" i="2"/>
  <c r="U1028" i="2"/>
  <c r="T1027" i="2"/>
  <c r="U1027" i="2" s="1"/>
  <c r="U1026" i="2"/>
  <c r="U1025" i="2"/>
  <c r="T1024" i="2"/>
  <c r="U1024" i="2" s="1"/>
  <c r="U1023" i="2"/>
  <c r="U1022" i="2"/>
  <c r="T1021" i="2"/>
  <c r="U1021" i="2" s="1"/>
  <c r="U1020" i="2"/>
  <c r="U1019" i="2"/>
  <c r="T1018" i="2"/>
  <c r="U1018" i="2" s="1"/>
  <c r="U1017" i="2"/>
  <c r="U1016" i="2"/>
  <c r="T1015" i="2"/>
  <c r="U1015" i="2" s="1"/>
  <c r="U1014" i="2"/>
  <c r="U1013" i="2"/>
  <c r="T1012" i="2"/>
  <c r="U1012" i="2" s="1"/>
  <c r="U1011" i="2"/>
  <c r="U1010" i="2"/>
  <c r="U1009" i="2"/>
  <c r="U1008" i="2"/>
  <c r="U1007" i="2"/>
  <c r="T1006" i="2"/>
  <c r="U1006" i="2" s="1"/>
  <c r="U1005" i="2"/>
  <c r="U1004" i="2"/>
  <c r="U1003" i="2"/>
  <c r="U1002" i="2"/>
  <c r="U1001" i="2"/>
  <c r="T1000" i="2"/>
  <c r="U1000" i="2" s="1"/>
  <c r="U999" i="2"/>
  <c r="U998" i="2"/>
  <c r="U997" i="2"/>
  <c r="T996" i="2"/>
  <c r="U996" i="2" s="1"/>
  <c r="U995" i="2"/>
  <c r="U994" i="2"/>
  <c r="U993" i="2"/>
  <c r="U992" i="2"/>
  <c r="T991" i="2"/>
  <c r="U991" i="2" s="1"/>
  <c r="U990" i="2"/>
  <c r="U989" i="2"/>
  <c r="U988" i="2"/>
  <c r="T987" i="2"/>
  <c r="U987" i="2" s="1"/>
  <c r="U986" i="2"/>
  <c r="T985" i="2"/>
  <c r="U985" i="2" s="1"/>
  <c r="U984" i="2"/>
  <c r="U983" i="2"/>
  <c r="T982" i="2"/>
  <c r="U982" i="2" s="1"/>
  <c r="U981" i="2"/>
  <c r="T980" i="2"/>
  <c r="U980" i="2" s="1"/>
  <c r="U979" i="2"/>
  <c r="U978" i="2"/>
  <c r="U977" i="2"/>
  <c r="U976" i="2"/>
  <c r="U975" i="2"/>
  <c r="U974" i="2"/>
  <c r="U973" i="2"/>
  <c r="T972" i="2"/>
  <c r="U972" i="2" s="1"/>
  <c r="U971" i="2"/>
  <c r="U970" i="2"/>
  <c r="U969" i="2"/>
  <c r="U968" i="2"/>
  <c r="U967" i="2"/>
  <c r="U966" i="2"/>
  <c r="T965" i="2"/>
  <c r="U965" i="2" s="1"/>
  <c r="U964" i="2"/>
  <c r="U963" i="2"/>
  <c r="T962" i="2"/>
  <c r="U962" i="2" s="1"/>
  <c r="U961" i="2"/>
  <c r="U960" i="2"/>
  <c r="T959" i="2"/>
  <c r="U959" i="2" s="1"/>
  <c r="U958" i="2"/>
  <c r="U957" i="2"/>
  <c r="T956" i="2"/>
  <c r="U956" i="2" s="1"/>
  <c r="U955" i="2"/>
  <c r="U954" i="2"/>
  <c r="T953" i="2"/>
  <c r="U953" i="2" s="1"/>
  <c r="U952" i="2"/>
  <c r="U951" i="2"/>
  <c r="T950" i="2"/>
  <c r="U950" i="2" s="1"/>
  <c r="U949" i="2"/>
  <c r="U948" i="2"/>
  <c r="T947" i="2"/>
  <c r="U947" i="2" s="1"/>
  <c r="U946" i="2"/>
  <c r="U945" i="2"/>
  <c r="U944" i="2"/>
  <c r="U943" i="2"/>
  <c r="U942" i="2"/>
  <c r="U941" i="2"/>
  <c r="U940" i="2"/>
  <c r="T939" i="2"/>
  <c r="U939" i="2" s="1"/>
  <c r="U938" i="2"/>
  <c r="U937" i="2"/>
  <c r="T936" i="2"/>
  <c r="U936" i="2" s="1"/>
  <c r="U935" i="2"/>
  <c r="U934" i="2"/>
  <c r="U933" i="2"/>
  <c r="U932" i="2"/>
  <c r="U931" i="2"/>
  <c r="U930" i="2"/>
  <c r="U929" i="2"/>
  <c r="U928" i="2"/>
  <c r="U927" i="2"/>
  <c r="T926" i="2"/>
  <c r="U926" i="2" s="1"/>
  <c r="U925" i="2"/>
  <c r="U924" i="2"/>
  <c r="U923" i="2"/>
  <c r="U922" i="2"/>
  <c r="U921" i="2"/>
  <c r="T920" i="2"/>
  <c r="U920" i="2" s="1"/>
  <c r="U919" i="2"/>
  <c r="T918" i="2"/>
  <c r="U918" i="2" s="1"/>
  <c r="U917" i="2"/>
  <c r="T916" i="2"/>
  <c r="U916" i="2" s="1"/>
  <c r="U915" i="2"/>
  <c r="T914" i="2"/>
  <c r="U914" i="2" s="1"/>
  <c r="U913" i="2"/>
  <c r="U912" i="2"/>
  <c r="T911" i="2"/>
  <c r="U911" i="2" s="1"/>
  <c r="U910" i="2"/>
  <c r="T909" i="2"/>
  <c r="U909" i="2" s="1"/>
  <c r="T908" i="2"/>
  <c r="U908" i="2" s="1"/>
  <c r="U907" i="2"/>
  <c r="U906" i="2"/>
  <c r="T905" i="2"/>
  <c r="U905" i="2" s="1"/>
  <c r="U904" i="2"/>
  <c r="U903" i="2"/>
  <c r="U902" i="2"/>
  <c r="T901" i="2"/>
  <c r="U901" i="2" s="1"/>
  <c r="U900" i="2"/>
  <c r="U899" i="2"/>
  <c r="T898" i="2"/>
  <c r="U898" i="2" s="1"/>
  <c r="U897" i="2"/>
  <c r="U896" i="2"/>
  <c r="U895" i="2"/>
  <c r="U894" i="2"/>
  <c r="U893" i="2"/>
  <c r="U892" i="2"/>
  <c r="U889" i="2"/>
  <c r="U888" i="2"/>
  <c r="U887" i="2"/>
  <c r="U886" i="2"/>
  <c r="U885" i="2"/>
  <c r="U882" i="2"/>
  <c r="U881" i="2"/>
  <c r="U880" i="2"/>
  <c r="U879" i="2"/>
  <c r="U878" i="2"/>
  <c r="U877" i="2"/>
  <c r="U876" i="2"/>
  <c r="U875" i="2"/>
  <c r="U874" i="2"/>
  <c r="T873" i="2"/>
  <c r="U873" i="2" s="1"/>
  <c r="U872" i="2"/>
  <c r="U871" i="2"/>
  <c r="T870" i="2"/>
  <c r="U870" i="2" s="1"/>
  <c r="U869" i="2"/>
  <c r="U868" i="2"/>
  <c r="U867" i="2"/>
  <c r="U866" i="2"/>
  <c r="T865" i="2"/>
  <c r="U865" i="2" s="1"/>
  <c r="U864" i="2"/>
  <c r="U863" i="2"/>
  <c r="U862" i="2"/>
  <c r="T861" i="2"/>
  <c r="U861" i="2" s="1"/>
  <c r="U860" i="2"/>
  <c r="U859" i="2"/>
  <c r="U858" i="2"/>
  <c r="U857" i="2"/>
  <c r="U856" i="2"/>
  <c r="U855" i="2"/>
  <c r="U854" i="2"/>
  <c r="U853" i="2"/>
  <c r="U852" i="2"/>
  <c r="U851" i="2"/>
  <c r="T850" i="2"/>
  <c r="U850" i="2" s="1"/>
  <c r="U849" i="2"/>
  <c r="U848" i="2"/>
  <c r="U847" i="2"/>
  <c r="U846" i="2"/>
  <c r="U845" i="2"/>
  <c r="U844" i="2"/>
  <c r="U843" i="2"/>
  <c r="U842" i="2"/>
  <c r="U841" i="2"/>
  <c r="T840" i="2"/>
  <c r="U840" i="2" s="1"/>
  <c r="U839" i="2"/>
  <c r="U838" i="2"/>
  <c r="U837" i="2"/>
  <c r="T836" i="2"/>
  <c r="U836" i="2" s="1"/>
  <c r="U835" i="2"/>
  <c r="U834" i="2"/>
  <c r="U831" i="2"/>
  <c r="U830" i="2"/>
  <c r="U829" i="2"/>
  <c r="U828" i="2"/>
  <c r="T827" i="2"/>
  <c r="U827" i="2" s="1"/>
  <c r="U826" i="2"/>
  <c r="U824" i="2"/>
  <c r="T823" i="2"/>
  <c r="U823" i="2" s="1"/>
  <c r="U822" i="2"/>
  <c r="U821" i="2"/>
  <c r="U820" i="2"/>
  <c r="U819" i="2"/>
  <c r="U816" i="2"/>
  <c r="U815" i="2"/>
  <c r="U814" i="2"/>
  <c r="U813" i="2"/>
  <c r="T812" i="2"/>
  <c r="U812" i="2" s="1"/>
  <c r="U811" i="2"/>
  <c r="U810" i="2"/>
  <c r="U809" i="2"/>
  <c r="T808" i="2"/>
  <c r="U808" i="2" s="1"/>
  <c r="U807" i="2"/>
  <c r="U806" i="2"/>
  <c r="U805" i="2"/>
  <c r="T804" i="2"/>
  <c r="U804" i="2" s="1"/>
  <c r="U803" i="2"/>
  <c r="T802" i="2"/>
  <c r="U802" i="2" s="1"/>
  <c r="U801" i="2"/>
  <c r="T800" i="2"/>
  <c r="U800" i="2" s="1"/>
  <c r="U799" i="2"/>
  <c r="T798" i="2"/>
  <c r="U798" i="2" s="1"/>
  <c r="U797" i="2"/>
  <c r="T796" i="2"/>
  <c r="U796" i="2" s="1"/>
  <c r="U795" i="2"/>
  <c r="T794" i="2"/>
  <c r="U794" i="2" s="1"/>
  <c r="U793" i="2"/>
  <c r="T792" i="2"/>
  <c r="U792" i="2" s="1"/>
  <c r="U791" i="2"/>
  <c r="U790" i="2"/>
  <c r="U789" i="2"/>
  <c r="U788" i="2"/>
  <c r="T787" i="2"/>
  <c r="U787" i="2" s="1"/>
  <c r="U786" i="2"/>
  <c r="U785" i="2"/>
  <c r="U784" i="2"/>
  <c r="U782" i="2"/>
  <c r="U781" i="2"/>
  <c r="U780" i="2"/>
  <c r="U779" i="2"/>
  <c r="U778" i="2"/>
  <c r="T777" i="2"/>
  <c r="U777" i="2" s="1"/>
  <c r="U776" i="2"/>
  <c r="U775" i="2"/>
  <c r="T774" i="2"/>
  <c r="U774" i="2" s="1"/>
  <c r="U773" i="2"/>
  <c r="U769" i="2"/>
  <c r="U765" i="2"/>
  <c r="U764" i="2"/>
  <c r="U760" i="2"/>
  <c r="U759" i="2"/>
  <c r="U758" i="2"/>
  <c r="U757" i="2"/>
  <c r="U756" i="2"/>
  <c r="T755" i="2"/>
  <c r="U755" i="2" s="1"/>
  <c r="U754" i="2"/>
  <c r="U753" i="2"/>
  <c r="U752" i="2"/>
  <c r="T751" i="2"/>
  <c r="U751" i="2" s="1"/>
  <c r="U750" i="2"/>
  <c r="U749" i="2"/>
  <c r="U748" i="2"/>
  <c r="U744" i="2"/>
  <c r="U743" i="2"/>
  <c r="U742" i="2"/>
  <c r="U741" i="2"/>
  <c r="U740" i="2"/>
  <c r="T739" i="2"/>
  <c r="U739" i="2" s="1"/>
  <c r="T738" i="2"/>
  <c r="U738" i="2" s="1"/>
  <c r="U737" i="2"/>
  <c r="U736" i="2"/>
  <c r="U732" i="2"/>
  <c r="U731" i="2"/>
  <c r="U730" i="2"/>
  <c r="T729" i="2"/>
  <c r="U729" i="2" s="1"/>
  <c r="U728" i="2"/>
  <c r="T727" i="2"/>
  <c r="U727" i="2" s="1"/>
  <c r="U726" i="2"/>
  <c r="U725" i="2"/>
  <c r="U723" i="2"/>
  <c r="U722" i="2"/>
  <c r="U720" i="2"/>
  <c r="U719" i="2"/>
  <c r="U718" i="2"/>
  <c r="U717" i="2"/>
  <c r="U716" i="2"/>
  <c r="U715" i="2"/>
  <c r="U714" i="2"/>
  <c r="T713" i="2"/>
  <c r="U713" i="2" s="1"/>
  <c r="U712" i="2"/>
  <c r="U711" i="2"/>
  <c r="T710" i="2"/>
  <c r="U710" i="2" s="1"/>
  <c r="U709" i="2"/>
  <c r="U708" i="2"/>
  <c r="U707" i="2"/>
  <c r="U706" i="2"/>
  <c r="U705" i="2"/>
  <c r="U704" i="2"/>
  <c r="U703" i="2"/>
  <c r="T702" i="2"/>
  <c r="U702" i="2" s="1"/>
  <c r="U701" i="2"/>
  <c r="T700" i="2"/>
  <c r="U700" i="2" s="1"/>
  <c r="U699" i="2"/>
  <c r="U698" i="2"/>
  <c r="T697" i="2"/>
  <c r="U697" i="2" s="1"/>
  <c r="U696" i="2"/>
  <c r="U695" i="2"/>
  <c r="U694" i="2"/>
  <c r="T693" i="2"/>
  <c r="U693" i="2" s="1"/>
  <c r="U692" i="2"/>
  <c r="U691" i="2"/>
  <c r="T690" i="2"/>
  <c r="U690" i="2" s="1"/>
  <c r="U689" i="2"/>
  <c r="T688" i="2"/>
  <c r="U688" i="2" s="1"/>
  <c r="U687" i="2"/>
  <c r="U686" i="2"/>
  <c r="T685" i="2"/>
  <c r="U685" i="2" s="1"/>
  <c r="U684" i="2"/>
  <c r="U683" i="2"/>
  <c r="U682" i="2"/>
  <c r="T681" i="2"/>
  <c r="U681" i="2" s="1"/>
  <c r="U680" i="2"/>
  <c r="U679" i="2"/>
  <c r="U678" i="2"/>
  <c r="T677" i="2"/>
  <c r="U677" i="2" s="1"/>
  <c r="U676" i="2"/>
  <c r="U675" i="2"/>
  <c r="T674" i="2"/>
  <c r="U674" i="2" s="1"/>
  <c r="U673" i="2"/>
  <c r="U671" i="2"/>
  <c r="U670" i="2"/>
  <c r="T669" i="2"/>
  <c r="U669" i="2" s="1"/>
  <c r="U668" i="2"/>
  <c r="T667" i="2"/>
  <c r="U667" i="2" s="1"/>
  <c r="U666" i="2"/>
  <c r="U665" i="2"/>
  <c r="U664" i="2"/>
  <c r="U663" i="2"/>
  <c r="T662" i="2"/>
  <c r="U662" i="2" s="1"/>
  <c r="U661" i="2"/>
  <c r="T660" i="2"/>
  <c r="U660" i="2" s="1"/>
  <c r="U659" i="2"/>
  <c r="U658" i="2"/>
  <c r="U657" i="2"/>
  <c r="T656" i="2"/>
  <c r="U656" i="2" s="1"/>
  <c r="U655" i="2"/>
  <c r="U654" i="2"/>
  <c r="U653" i="2"/>
  <c r="T652" i="2"/>
  <c r="U652" i="2" s="1"/>
  <c r="U651" i="2"/>
  <c r="U650" i="2"/>
  <c r="U649" i="2"/>
  <c r="T648" i="2"/>
  <c r="U648" i="2" s="1"/>
  <c r="U647" i="2"/>
  <c r="U646" i="2"/>
  <c r="T645" i="2"/>
  <c r="U645" i="2" s="1"/>
  <c r="U644" i="2"/>
  <c r="T643" i="2"/>
  <c r="U643" i="2" s="1"/>
  <c r="U642" i="2"/>
  <c r="T641" i="2"/>
  <c r="U641" i="2" s="1"/>
  <c r="U640" i="2"/>
  <c r="U639" i="2"/>
  <c r="T638" i="2"/>
  <c r="U638" i="2" s="1"/>
  <c r="T637" i="2"/>
  <c r="U637" i="2" s="1"/>
  <c r="U636" i="2"/>
  <c r="T635" i="2"/>
  <c r="U635" i="2" s="1"/>
  <c r="T634" i="2"/>
  <c r="U634" i="2" s="1"/>
  <c r="U633" i="2"/>
  <c r="T632" i="2"/>
  <c r="U632" i="2" s="1"/>
  <c r="U631" i="2"/>
  <c r="U630" i="2"/>
  <c r="T629" i="2"/>
  <c r="U629" i="2" s="1"/>
  <c r="T628" i="2"/>
  <c r="U628" i="2" s="1"/>
  <c r="U627" i="2"/>
  <c r="U626" i="2"/>
  <c r="U625" i="2"/>
  <c r="T624" i="2"/>
  <c r="U624" i="2" s="1"/>
  <c r="U623" i="2"/>
  <c r="T622" i="2"/>
  <c r="U622" i="2" s="1"/>
  <c r="U621" i="2"/>
  <c r="U620" i="2"/>
  <c r="T619" i="2"/>
  <c r="U619" i="2" s="1"/>
  <c r="U618" i="2"/>
  <c r="U617" i="2"/>
  <c r="T616" i="2"/>
  <c r="U616" i="2" s="1"/>
  <c r="U615" i="2"/>
  <c r="U614" i="2"/>
  <c r="T613" i="2"/>
  <c r="U613" i="2" s="1"/>
  <c r="U612" i="2"/>
  <c r="U611" i="2"/>
  <c r="U608" i="2"/>
  <c r="U607" i="2"/>
  <c r="T606" i="2"/>
  <c r="U606" i="2" s="1"/>
  <c r="U605" i="2"/>
  <c r="T604" i="2"/>
  <c r="U604" i="2" s="1"/>
  <c r="U603" i="2"/>
  <c r="U602" i="2"/>
  <c r="T601" i="2"/>
  <c r="U601" i="2" s="1"/>
  <c r="U600" i="2"/>
  <c r="U599" i="2"/>
  <c r="U598" i="2"/>
  <c r="U597" i="2"/>
  <c r="U596" i="2"/>
  <c r="U595" i="2"/>
  <c r="U594" i="2"/>
  <c r="T593" i="2"/>
  <c r="U593" i="2" s="1"/>
  <c r="U592" i="2"/>
  <c r="U591" i="2"/>
  <c r="T590" i="2"/>
  <c r="U590" i="2" s="1"/>
  <c r="U589" i="2"/>
  <c r="U588" i="2"/>
  <c r="U587" i="2"/>
  <c r="U586" i="2"/>
  <c r="U585" i="2"/>
  <c r="T584" i="2"/>
  <c r="U584" i="2" s="1"/>
  <c r="U583" i="2"/>
  <c r="U582" i="2"/>
  <c r="T581" i="2"/>
  <c r="U581" i="2" s="1"/>
  <c r="U580" i="2"/>
  <c r="T579" i="2"/>
  <c r="U579" i="2" s="1"/>
  <c r="U578" i="2"/>
  <c r="U577" i="2"/>
  <c r="U576" i="2"/>
  <c r="T575" i="2"/>
  <c r="U575" i="2" s="1"/>
  <c r="U574" i="2"/>
  <c r="U573" i="2"/>
  <c r="U572" i="2"/>
  <c r="T571" i="2"/>
  <c r="U571" i="2" s="1"/>
  <c r="U570" i="2"/>
  <c r="U569" i="2"/>
  <c r="U568" i="2"/>
  <c r="T567" i="2"/>
  <c r="U567" i="2" s="1"/>
  <c r="U566" i="2"/>
  <c r="U565" i="2"/>
  <c r="U564" i="2"/>
  <c r="U563" i="2"/>
  <c r="U562" i="2"/>
  <c r="U561" i="2"/>
  <c r="T560" i="2"/>
  <c r="U560" i="2" s="1"/>
  <c r="U559" i="2"/>
  <c r="U558" i="2"/>
  <c r="U557" i="2"/>
  <c r="U556" i="2"/>
  <c r="T555" i="2"/>
  <c r="U555" i="2" s="1"/>
  <c r="U554" i="2"/>
  <c r="U553" i="2"/>
  <c r="U552" i="2"/>
  <c r="T551" i="2"/>
  <c r="U551" i="2" s="1"/>
  <c r="U550" i="2"/>
  <c r="U549" i="2"/>
  <c r="U548" i="2"/>
  <c r="U547" i="2"/>
  <c r="U546" i="2"/>
  <c r="U545" i="2"/>
  <c r="U544" i="2"/>
  <c r="T543" i="2"/>
  <c r="U543" i="2" s="1"/>
  <c r="U542" i="2"/>
  <c r="U541" i="2"/>
  <c r="U540" i="2"/>
  <c r="T539" i="2"/>
  <c r="U539" i="2" s="1"/>
  <c r="U538" i="2"/>
  <c r="U537" i="2"/>
  <c r="U536" i="2"/>
  <c r="U535" i="2"/>
  <c r="T534" i="2"/>
  <c r="U534" i="2" s="1"/>
  <c r="U533" i="2"/>
  <c r="U532" i="2"/>
  <c r="U531" i="2"/>
  <c r="T530" i="2"/>
  <c r="U530" i="2" s="1"/>
  <c r="U529" i="2"/>
  <c r="U528" i="2"/>
  <c r="U527" i="2"/>
  <c r="T526" i="2"/>
  <c r="U526" i="2" s="1"/>
  <c r="U525" i="2"/>
  <c r="U524" i="2"/>
  <c r="U523" i="2"/>
  <c r="U522" i="2"/>
  <c r="U521" i="2"/>
  <c r="T520" i="2"/>
  <c r="U520" i="2" s="1"/>
  <c r="U519" i="2"/>
  <c r="U518" i="2"/>
  <c r="U517" i="2"/>
  <c r="T516" i="2"/>
  <c r="U516" i="2" s="1"/>
  <c r="U515" i="2"/>
  <c r="U514" i="2"/>
  <c r="U513" i="2"/>
  <c r="U512" i="2"/>
  <c r="T511" i="2"/>
  <c r="U511" i="2" s="1"/>
  <c r="U510" i="2"/>
  <c r="U509" i="2"/>
  <c r="T508" i="2"/>
  <c r="U508" i="2" s="1"/>
  <c r="U507" i="2"/>
  <c r="U506" i="2"/>
  <c r="U505" i="2"/>
  <c r="T504" i="2"/>
  <c r="U504" i="2" s="1"/>
  <c r="U503" i="2"/>
  <c r="U502" i="2"/>
  <c r="T501" i="2"/>
  <c r="U501" i="2" s="1"/>
  <c r="U500" i="2"/>
  <c r="U499" i="2"/>
  <c r="T498" i="2"/>
  <c r="U498" i="2" s="1"/>
  <c r="U497" i="2"/>
  <c r="U496" i="2"/>
  <c r="U495" i="2"/>
  <c r="U494" i="2"/>
  <c r="U493" i="2"/>
  <c r="U492" i="2"/>
  <c r="U491" i="2"/>
  <c r="U490" i="2"/>
  <c r="U489" i="2"/>
  <c r="U488" i="2"/>
  <c r="U487" i="2"/>
  <c r="U486" i="2"/>
  <c r="U485" i="2"/>
  <c r="U484" i="2"/>
  <c r="U483" i="2"/>
  <c r="U482" i="2"/>
  <c r="U481" i="2"/>
  <c r="U480" i="2"/>
  <c r="U479" i="2"/>
  <c r="U478" i="2"/>
  <c r="U477" i="2"/>
  <c r="U476" i="2"/>
  <c r="U475" i="2"/>
  <c r="U474" i="2"/>
  <c r="U473" i="2"/>
  <c r="U470" i="2"/>
  <c r="U469" i="2"/>
  <c r="U468" i="2"/>
  <c r="U467" i="2"/>
  <c r="T466" i="2"/>
  <c r="U466" i="2" s="1"/>
  <c r="U465" i="2"/>
  <c r="U464" i="2"/>
  <c r="U462" i="2"/>
  <c r="U461" i="2"/>
  <c r="U460" i="2"/>
  <c r="U459" i="2"/>
  <c r="U457" i="2"/>
  <c r="U456" i="2"/>
  <c r="U455" i="2"/>
  <c r="U454" i="2"/>
  <c r="U453" i="2"/>
  <c r="T452" i="2"/>
  <c r="U452" i="2" s="1"/>
  <c r="U451" i="2"/>
  <c r="U450" i="2"/>
  <c r="U449" i="2"/>
  <c r="U446" i="2"/>
  <c r="U445" i="2"/>
  <c r="U444" i="2"/>
  <c r="U442" i="2"/>
  <c r="U441" i="2"/>
  <c r="U440" i="2"/>
  <c r="U439" i="2"/>
  <c r="U438" i="2"/>
  <c r="U436" i="2"/>
  <c r="U435" i="2"/>
  <c r="U434" i="2"/>
  <c r="U433" i="2"/>
  <c r="U432" i="2"/>
  <c r="U430" i="2"/>
  <c r="U429" i="2"/>
  <c r="U428" i="2"/>
  <c r="U427" i="2"/>
  <c r="U424" i="2"/>
  <c r="U423" i="2"/>
  <c r="U422" i="2"/>
  <c r="U421" i="2"/>
  <c r="U420" i="2"/>
  <c r="U419" i="2"/>
  <c r="U418" i="2"/>
  <c r="T417" i="2"/>
  <c r="U417" i="2" s="1"/>
  <c r="U416" i="2"/>
  <c r="U415" i="2"/>
  <c r="U414" i="2"/>
  <c r="U413" i="2"/>
  <c r="U412" i="2"/>
  <c r="U411" i="2"/>
  <c r="U410" i="2"/>
  <c r="U409" i="2"/>
  <c r="U408" i="2"/>
  <c r="T407" i="2"/>
  <c r="U407" i="2" s="1"/>
  <c r="U406" i="2"/>
  <c r="U405" i="2"/>
  <c r="U404" i="2"/>
  <c r="U403" i="2"/>
  <c r="T402" i="2"/>
  <c r="U402" i="2" s="1"/>
  <c r="U401" i="2"/>
  <c r="U400" i="2"/>
  <c r="U399" i="2"/>
  <c r="U398" i="2"/>
  <c r="U396" i="2"/>
  <c r="U395" i="2"/>
  <c r="U394" i="2"/>
  <c r="U393" i="2"/>
  <c r="U392" i="2"/>
  <c r="U390" i="2"/>
  <c r="U389" i="2"/>
  <c r="U388" i="2"/>
  <c r="U387" i="2"/>
  <c r="U386" i="2"/>
  <c r="U383" i="2"/>
  <c r="U382" i="2"/>
  <c r="U381" i="2"/>
  <c r="U380" i="2"/>
  <c r="U379" i="2"/>
  <c r="T378" i="2"/>
  <c r="U378" i="2" s="1"/>
  <c r="U377" i="2"/>
  <c r="U376" i="2"/>
  <c r="T375" i="2"/>
  <c r="U375" i="2" s="1"/>
  <c r="U374" i="2"/>
  <c r="U373" i="2"/>
  <c r="U372" i="2"/>
  <c r="U371" i="2"/>
  <c r="U370" i="2"/>
  <c r="U369" i="2"/>
  <c r="U366" i="2"/>
  <c r="U365" i="2"/>
  <c r="U364" i="2"/>
  <c r="U362" i="2"/>
  <c r="U361" i="2"/>
  <c r="U360" i="2"/>
  <c r="U359" i="2"/>
  <c r="U358" i="2"/>
  <c r="U357" i="2"/>
  <c r="U356" i="2"/>
  <c r="U355" i="2"/>
  <c r="T354" i="2"/>
  <c r="U354" i="2" s="1"/>
  <c r="U353" i="2"/>
  <c r="U352" i="2"/>
  <c r="U351" i="2"/>
  <c r="T349" i="2"/>
  <c r="U349" i="2" s="1"/>
  <c r="U348" i="2"/>
  <c r="U347" i="2"/>
  <c r="U346" i="2"/>
  <c r="U345" i="2"/>
  <c r="U344" i="2"/>
  <c r="U343" i="2"/>
  <c r="U342" i="2"/>
  <c r="U341" i="2"/>
  <c r="U340" i="2"/>
  <c r="T339" i="2"/>
  <c r="U339" i="2" s="1"/>
  <c r="U338" i="2"/>
  <c r="U335" i="2"/>
  <c r="U334" i="2"/>
  <c r="T333" i="2"/>
  <c r="U333" i="2" s="1"/>
  <c r="T332" i="2"/>
  <c r="U332" i="2" s="1"/>
  <c r="U331" i="2"/>
  <c r="T330" i="2"/>
  <c r="U330" i="2" s="1"/>
  <c r="U329" i="2"/>
  <c r="T328" i="2"/>
  <c r="U328" i="2" s="1"/>
  <c r="U327" i="2"/>
  <c r="U326" i="2"/>
  <c r="U325" i="2"/>
  <c r="U324" i="2"/>
  <c r="U323" i="2"/>
  <c r="U322" i="2"/>
  <c r="U321" i="2"/>
  <c r="U320" i="2"/>
  <c r="U318" i="2"/>
  <c r="U316" i="2"/>
  <c r="U315" i="2"/>
  <c r="U314" i="2"/>
  <c r="U311" i="2"/>
  <c r="U308" i="2"/>
  <c r="U307" i="2"/>
  <c r="U304" i="2"/>
  <c r="U301" i="2"/>
  <c r="U300" i="2"/>
  <c r="U296" i="2"/>
  <c r="T295" i="2"/>
  <c r="U295" i="2" s="1"/>
  <c r="U294" i="2"/>
  <c r="U293" i="2"/>
  <c r="U292" i="2"/>
  <c r="T291" i="2"/>
  <c r="U291" i="2" s="1"/>
  <c r="U290" i="2"/>
  <c r="U289" i="2"/>
  <c r="U288" i="2"/>
  <c r="U285" i="2"/>
  <c r="U284" i="2"/>
  <c r="U283" i="2"/>
  <c r="T282" i="2"/>
  <c r="U282" i="2" s="1"/>
  <c r="U281" i="2"/>
  <c r="U280" i="2"/>
  <c r="U277" i="2"/>
  <c r="U276" i="2"/>
  <c r="T275" i="2"/>
  <c r="U275" i="2" s="1"/>
  <c r="U274" i="2"/>
  <c r="U273" i="2"/>
  <c r="U272" i="2"/>
  <c r="T271" i="2"/>
  <c r="U271" i="2" s="1"/>
  <c r="U270" i="2"/>
  <c r="U269" i="2"/>
  <c r="U268" i="2"/>
  <c r="T267" i="2"/>
  <c r="U267" i="2" s="1"/>
  <c r="U266" i="2"/>
  <c r="T265" i="2"/>
  <c r="U265" i="2" s="1"/>
  <c r="U264" i="2"/>
  <c r="T263" i="2"/>
  <c r="U263" i="2" s="1"/>
  <c r="T262" i="2"/>
  <c r="U262" i="2" s="1"/>
  <c r="U261" i="2"/>
  <c r="U260" i="2"/>
  <c r="U258" i="2"/>
  <c r="U257" i="2"/>
  <c r="U256" i="2"/>
  <c r="U255" i="2"/>
  <c r="U254" i="2"/>
  <c r="T253" i="2"/>
  <c r="U253" i="2" s="1"/>
  <c r="U252" i="2"/>
  <c r="U251" i="2"/>
  <c r="U250" i="2"/>
  <c r="U249" i="2"/>
  <c r="T248" i="2"/>
  <c r="U248" i="2" s="1"/>
  <c r="U247" i="2"/>
  <c r="U246" i="2"/>
  <c r="U245" i="2"/>
  <c r="U244" i="2"/>
  <c r="U240" i="2"/>
  <c r="U239" i="2"/>
  <c r="U238" i="2"/>
  <c r="T237" i="2"/>
  <c r="U237" i="2" s="1"/>
  <c r="U236" i="2"/>
  <c r="U235" i="2"/>
  <c r="U233" i="2"/>
  <c r="U232" i="2"/>
  <c r="U231" i="2"/>
  <c r="U230" i="2"/>
  <c r="U229" i="2"/>
  <c r="U227" i="2"/>
  <c r="U226" i="2"/>
  <c r="U225" i="2"/>
  <c r="U224" i="2"/>
  <c r="U223" i="2"/>
  <c r="U220" i="2"/>
  <c r="U219" i="2"/>
  <c r="U218" i="2"/>
  <c r="U217" i="2"/>
  <c r="T216" i="2"/>
  <c r="U216" i="2" s="1"/>
  <c r="U215" i="2"/>
  <c r="U214" i="2"/>
  <c r="U213" i="2"/>
  <c r="U212" i="2"/>
  <c r="U211" i="2"/>
  <c r="U208" i="2"/>
  <c r="U207" i="2"/>
  <c r="U206" i="2"/>
  <c r="U205" i="2"/>
  <c r="T204" i="2"/>
  <c r="U204" i="2" s="1"/>
  <c r="U203" i="2"/>
  <c r="U202" i="2"/>
  <c r="U201" i="2"/>
  <c r="U200" i="2"/>
  <c r="T199" i="2"/>
  <c r="U199" i="2" s="1"/>
  <c r="U198" i="2"/>
  <c r="U197" i="2"/>
  <c r="U194" i="2"/>
  <c r="U193" i="2"/>
  <c r="U190" i="2"/>
  <c r="U189" i="2"/>
  <c r="U188" i="2"/>
  <c r="U185" i="2"/>
  <c r="U184" i="2"/>
  <c r="U183" i="2"/>
  <c r="U182" i="2"/>
  <c r="T181" i="2"/>
  <c r="U181" i="2" s="1"/>
  <c r="U180" i="2"/>
  <c r="U179" i="2"/>
  <c r="U178" i="2"/>
  <c r="U175" i="2"/>
  <c r="U174" i="2"/>
  <c r="U173" i="2"/>
  <c r="T172" i="2"/>
  <c r="U172" i="2" s="1"/>
  <c r="U171" i="2"/>
  <c r="U166" i="2"/>
  <c r="U165" i="2"/>
  <c r="U164" i="2"/>
  <c r="U159" i="2"/>
  <c r="U158" i="2"/>
  <c r="U157" i="2"/>
  <c r="U154" i="2"/>
  <c r="U153" i="2"/>
  <c r="U152" i="2"/>
  <c r="U151" i="2"/>
  <c r="T150" i="2"/>
  <c r="U150" i="2" s="1"/>
  <c r="U149" i="2"/>
  <c r="U148" i="2"/>
  <c r="U147" i="2"/>
  <c r="U143" i="2"/>
  <c r="U142" i="2"/>
  <c r="U141" i="2"/>
  <c r="U138" i="2"/>
  <c r="U137" i="2"/>
  <c r="U135" i="2"/>
  <c r="U134" i="2"/>
  <c r="T133" i="2"/>
  <c r="U133" i="2" s="1"/>
  <c r="T132" i="2"/>
  <c r="U132" i="2" s="1"/>
  <c r="T131" i="2"/>
  <c r="U131" i="2" s="1"/>
  <c r="T130" i="2"/>
  <c r="U130" i="2" s="1"/>
  <c r="T129" i="2"/>
  <c r="U129" i="2" s="1"/>
  <c r="T128" i="2"/>
  <c r="U128" i="2" s="1"/>
  <c r="T127" i="2"/>
  <c r="U127" i="2" s="1"/>
  <c r="T126" i="2"/>
  <c r="U126" i="2" s="1"/>
  <c r="T125" i="2"/>
  <c r="U125" i="2" s="1"/>
  <c r="T124" i="2"/>
  <c r="U124" i="2" s="1"/>
  <c r="T123" i="2"/>
  <c r="U123" i="2" s="1"/>
  <c r="T122" i="2"/>
  <c r="U122" i="2" s="1"/>
  <c r="T121" i="2"/>
  <c r="U121" i="2" s="1"/>
  <c r="T120" i="2"/>
  <c r="U120" i="2" s="1"/>
  <c r="T119" i="2"/>
  <c r="U119" i="2" s="1"/>
  <c r="T118" i="2"/>
  <c r="U118" i="2" s="1"/>
  <c r="T117" i="2"/>
  <c r="U117" i="2" s="1"/>
  <c r="T116" i="2"/>
  <c r="U116" i="2" s="1"/>
  <c r="T115" i="2"/>
  <c r="U115" i="2" s="1"/>
  <c r="T114" i="2"/>
  <c r="U114" i="2" s="1"/>
  <c r="T113" i="2"/>
  <c r="U113" i="2" s="1"/>
  <c r="T112" i="2"/>
  <c r="U112" i="2" s="1"/>
  <c r="T111" i="2"/>
  <c r="U111" i="2" s="1"/>
  <c r="T110" i="2"/>
  <c r="U110" i="2" s="1"/>
  <c r="T109" i="2"/>
  <c r="U109" i="2" s="1"/>
  <c r="T108" i="2"/>
  <c r="U108" i="2" s="1"/>
  <c r="T107" i="2"/>
  <c r="U107" i="2" s="1"/>
  <c r="T106" i="2"/>
  <c r="U106" i="2" s="1"/>
  <c r="U105" i="2"/>
  <c r="T104" i="2"/>
  <c r="U104" i="2" s="1"/>
  <c r="T103" i="2"/>
  <c r="U103" i="2" s="1"/>
  <c r="T102" i="2"/>
  <c r="U102" i="2" s="1"/>
  <c r="U101" i="2"/>
  <c r="U100" i="2"/>
  <c r="U99" i="2"/>
  <c r="U98" i="2"/>
  <c r="U97" i="2"/>
  <c r="U96" i="2"/>
  <c r="U95" i="2"/>
  <c r="T94" i="2"/>
  <c r="U94" i="2" s="1"/>
  <c r="U93" i="2"/>
  <c r="U92" i="2"/>
  <c r="T91" i="2"/>
  <c r="U91" i="2" s="1"/>
  <c r="U90" i="2"/>
  <c r="U89" i="2"/>
  <c r="T88" i="2"/>
  <c r="U88" i="2" s="1"/>
  <c r="U87" i="2"/>
  <c r="U86" i="2"/>
  <c r="T85" i="2"/>
  <c r="U85" i="2" s="1"/>
  <c r="T84" i="2"/>
  <c r="U84" i="2" s="1"/>
  <c r="U83" i="2"/>
  <c r="T82" i="2"/>
  <c r="U82" i="2" s="1"/>
  <c r="U81" i="2"/>
  <c r="T80" i="2"/>
  <c r="U80" i="2" s="1"/>
  <c r="U79" i="2"/>
  <c r="U78" i="2"/>
  <c r="T77" i="2"/>
  <c r="U77" i="2" s="1"/>
  <c r="U76" i="2"/>
  <c r="U75" i="2"/>
  <c r="T74" i="2"/>
  <c r="U74" i="2" s="1"/>
  <c r="U73" i="2"/>
  <c r="U72" i="2"/>
  <c r="T71" i="2"/>
  <c r="U71" i="2" s="1"/>
  <c r="U70" i="2"/>
  <c r="T69" i="2"/>
  <c r="U69" i="2" s="1"/>
  <c r="U68" i="2"/>
  <c r="T67" i="2"/>
  <c r="U67" i="2" s="1"/>
  <c r="U66" i="2"/>
  <c r="T65" i="2"/>
  <c r="U65" i="2" s="1"/>
  <c r="U64" i="2"/>
  <c r="T63" i="2"/>
  <c r="U63" i="2" s="1"/>
  <c r="U62" i="2"/>
  <c r="T61" i="2"/>
  <c r="U61" i="2" s="1"/>
  <c r="T60" i="2"/>
  <c r="U60" i="2" s="1"/>
  <c r="T59" i="2"/>
  <c r="U59" i="2" s="1"/>
  <c r="T58" i="2"/>
  <c r="U58" i="2" s="1"/>
  <c r="T57" i="2"/>
  <c r="U57" i="2" s="1"/>
  <c r="T56" i="2"/>
  <c r="U56" i="2" s="1"/>
  <c r="U55" i="2"/>
  <c r="U54" i="2"/>
  <c r="T53" i="2"/>
  <c r="U53" i="2" s="1"/>
  <c r="U52" i="2"/>
  <c r="U51" i="2"/>
  <c r="U50" i="2"/>
  <c r="T49" i="2"/>
  <c r="U49" i="2" s="1"/>
  <c r="U48" i="2"/>
  <c r="U47" i="2"/>
  <c r="U46" i="2"/>
  <c r="T45" i="2"/>
  <c r="U45" i="2" s="1"/>
  <c r="T44" i="2"/>
  <c r="U44" i="2" s="1"/>
  <c r="U43" i="2"/>
  <c r="T42" i="2"/>
  <c r="U42" i="2" s="1"/>
  <c r="U41" i="2"/>
  <c r="T40" i="2"/>
  <c r="U40" i="2" s="1"/>
  <c r="T39" i="2"/>
  <c r="U39" i="2" s="1"/>
  <c r="U38" i="2"/>
  <c r="U35" i="2"/>
  <c r="U32" i="2"/>
  <c r="T29" i="2"/>
  <c r="U29" i="2" s="1"/>
  <c r="U26" i="2"/>
  <c r="T25" i="2"/>
  <c r="U24" i="2"/>
  <c r="T9187" i="2" l="1"/>
  <c r="U8293" i="2"/>
  <c r="U8285" i="2"/>
  <c r="U8527" i="2"/>
  <c r="U25" i="2"/>
  <c r="U8897" i="2"/>
  <c r="U9187" i="2" l="1"/>
</calcChain>
</file>

<file path=xl/sharedStrings.xml><?xml version="1.0" encoding="utf-8"?>
<sst xmlns="http://schemas.openxmlformats.org/spreadsheetml/2006/main" count="137559" uniqueCount="19671">
  <si>
    <t xml:space="preserve"> Годовой  план закупок товаров, работ и услуг ТОО "Oil Construction Company" на 2014 год</t>
  </si>
  <si>
    <t>№</t>
  </si>
  <si>
    <t>Наименование организации</t>
  </si>
  <si>
    <t>Код ТРУ</t>
  </si>
  <si>
    <t>Наименование закупаемых товаров, работ и услуг</t>
  </si>
  <si>
    <t>Краткая харак-ка (описание) товаров, работ и услуг с указанием  СТ РК, ГОСТ, ТУ и т.д.</t>
  </si>
  <si>
    <t>Дополнительная  харак-ка</t>
  </si>
  <si>
    <t>Способ закупок</t>
  </si>
  <si>
    <t>Прогноз казахстанского содержание %</t>
  </si>
  <si>
    <t>Код КАТО места осуществления закупок</t>
  </si>
  <si>
    <t>Место (адрес) осуществления закупок</t>
  </si>
  <si>
    <t>Срок осуществления закупок (предлагаемая дата/месяц проведения)</t>
  </si>
  <si>
    <t>Регион, место поставки товара, выполнения работ, оказания услуг</t>
  </si>
  <si>
    <t>Условия поставки по ИНКОТЕРМС 2010Условия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</si>
  <si>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</si>
  <si>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</si>
  <si>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</si>
  <si>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t>
  </si>
  <si>
    <t>Сумма планируемая для закупок ТРУ без НДС, тенге</t>
  </si>
  <si>
    <t>Сумма планируемая для закупок ТРУ с НДС, тенге</t>
  </si>
  <si>
    <t>Приоритет закупки</t>
  </si>
  <si>
    <t>Год закупки</t>
  </si>
  <si>
    <t>Примечание</t>
  </si>
  <si>
    <t>9</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</si>
  <si>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</si>
  <si>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</si>
  <si>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</si>
  <si>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</si>
  <si>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</si>
  <si>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</si>
  <si>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</si>
  <si>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</si>
  <si>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</si>
  <si>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</si>
  <si>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</si>
  <si>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</si>
  <si>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ГОСТ 980-80, тип 1 для продольной распиловки, диаметр 200 мм</t>
  </si>
  <si>
    <t>Полутерки</t>
  </si>
  <si>
    <t>Сокол штукатурный</t>
  </si>
  <si>
    <t xml:space="preserve">Электрорубанок </t>
  </si>
  <si>
    <t>Ведро оцинкованое</t>
  </si>
  <si>
    <t>Углишлифовальная машина ф180 мм 1,8квт</t>
  </si>
  <si>
    <t>Набор электрика в дипломате</t>
  </si>
  <si>
    <t>Сумка электромонтажная</t>
  </si>
  <si>
    <t>Гвоздодер</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</si>
  <si>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</si>
  <si>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</si>
  <si>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</si>
  <si>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</si>
  <si>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</si>
  <si>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</si>
  <si>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</si>
  <si>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</si>
  <si>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</si>
  <si>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</si>
  <si>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</si>
  <si>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</si>
  <si>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</si>
  <si>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</si>
  <si>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</si>
  <si>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</si>
  <si>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</si>
  <si>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</si>
  <si>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</si>
  <si>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</si>
  <si>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Ø325х8мм</t>
  </si>
  <si>
    <t>Труба стальная электросварная прямошовная Ø325х6мм</t>
  </si>
  <si>
    <t>Труба стальная электросварная прямошовная Ø325х5мм</t>
  </si>
  <si>
    <t>Труба стальная электросварная прямошовная Ø159х8мм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</si>
  <si>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</si>
  <si>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</si>
  <si>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</si>
  <si>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</si>
  <si>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</si>
  <si>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</si>
  <si>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Труба стальная водогазопроводная оцинкованная Ø60х3,5мм (Ду50)</t>
  </si>
  <si>
    <t xml:space="preserve">Переход стальной К273х7 – 159х4,5 </t>
  </si>
  <si>
    <t>Переход стальной К219х6 – 108х4,0</t>
  </si>
  <si>
    <t>Переход К-530х12-377х12</t>
  </si>
  <si>
    <t>Переход К-426х10-325х10</t>
  </si>
  <si>
    <t>Переход К-325х12-219х12</t>
  </si>
  <si>
    <t>Переход К-325х8-219х8</t>
  </si>
  <si>
    <t>Переход К-273х10-219х10</t>
  </si>
  <si>
    <t>Переход Кф273х10 – ф159х6</t>
  </si>
  <si>
    <t>Переход Кф273х10 – ф108х5</t>
  </si>
  <si>
    <t xml:space="preserve">Переход Кф219х10 – ф159х8 </t>
  </si>
  <si>
    <t>Переход К-219х8-159х8</t>
  </si>
  <si>
    <t>Переход К-219х8-114х8</t>
  </si>
  <si>
    <t xml:space="preserve">Переход К ф219х10 – ф108х6 </t>
  </si>
  <si>
    <t>Переход К-159х8-114х8</t>
  </si>
  <si>
    <t>Переход К-159х8-89х8</t>
  </si>
  <si>
    <t>Переход К-114х8-89х8</t>
  </si>
  <si>
    <t>Переход К-114х8-57х5</t>
  </si>
  <si>
    <t>Переход К-219х6-159х4,5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</si>
  <si>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</si>
  <si>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</si>
  <si>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</si>
  <si>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</si>
  <si>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</si>
  <si>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</si>
  <si>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159х8</t>
  </si>
  <si>
    <t>Тройник стальной 114х12</t>
  </si>
  <si>
    <t>Тройник стальной 89х6</t>
  </si>
  <si>
    <t>Клапан дыхательный НДКМ-250</t>
  </si>
  <si>
    <t>Быстроразъемное соединение БРС-2,5</t>
  </si>
  <si>
    <t>Вентиль бронзовый муфтовый Ду50, Ру16</t>
  </si>
  <si>
    <t>Вентиль бронзовый муфтовый Ду40,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</si>
  <si>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</si>
  <si>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</si>
  <si>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</si>
  <si>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</si>
  <si>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Кран "Маевского" Ду15</t>
  </si>
  <si>
    <t>Вентиль пробоотборник Ду 15 Ру 140  ВП 1 -15х14</t>
  </si>
  <si>
    <t>Вентиль игольчатый муфтовый НЖ Ду15, Ру160</t>
  </si>
  <si>
    <t>Вентиль фланцевой Ду25, Ру63</t>
  </si>
  <si>
    <t>Вентиль латунный запорный муфтовый Ду25, Ру10</t>
  </si>
  <si>
    <t>Вентиль муфтовый Ду20</t>
  </si>
  <si>
    <t>Вентиль муфтовый Ду15</t>
  </si>
  <si>
    <t>Кран шаровый  Ду50, Ру16МПа</t>
  </si>
  <si>
    <t>Кран двойной регулировки КДР-20, Ду-20</t>
  </si>
  <si>
    <t>Труба полиэтиленовая канализационная Ø150мм</t>
  </si>
  <si>
    <t>Отвод полиэтиленовый Ø100мм, 90град.</t>
  </si>
  <si>
    <t>Отвод полиэтиленовый Ø50мм, 90град.</t>
  </si>
  <si>
    <t>Полуотвод полиэтиленовый Ø100мм, 45град.</t>
  </si>
  <si>
    <t>Патрубка переходная полиэтиленовая 100х50мм</t>
  </si>
  <si>
    <t>Тройник полиэтиленовый 50х50х50мм</t>
  </si>
  <si>
    <t>Тройник полиэтиленовый 100х50х50мм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</si>
  <si>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</si>
  <si>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</si>
  <si>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</si>
  <si>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</si>
  <si>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</si>
  <si>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Заглушка полиэтиленовая Ø100мм</t>
  </si>
  <si>
    <t>Ревизия полиэтиленовая Ø50мм</t>
  </si>
  <si>
    <t>Ревизия полиэтиленовая Ø100мм</t>
  </si>
  <si>
    <t>Трап ТВ50П полиэтиленовая</t>
  </si>
  <si>
    <t>Трап ТП 100 полиэтиленновый</t>
  </si>
  <si>
    <t>Крестовина  полиэтиленовая Ø100</t>
  </si>
  <si>
    <t>Труба полипропиленовая (PN20) Ø20мм</t>
  </si>
  <si>
    <t>Труба полипропиленовая (PN20) Ø25мм</t>
  </si>
  <si>
    <t>Труба полипропиленовая (PN20) Ø32мм</t>
  </si>
  <si>
    <t>Труба полипропиленовая (PN20) Ø40мм</t>
  </si>
  <si>
    <t>Труба полипропиленовая (PN20) Ø50мм</t>
  </si>
  <si>
    <t>Отвод полипропиленовая Ø20мм, 90град.</t>
  </si>
  <si>
    <t>Отвод полипропиленовая Ø25мм, 90град.</t>
  </si>
  <si>
    <t>Отвод полипропиленовая Ø32мм, 90град.</t>
  </si>
  <si>
    <t>Отвод полипропиленовая Ø40мм,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</si>
  <si>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</si>
  <si>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</si>
  <si>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</si>
  <si>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</si>
  <si>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</si>
  <si>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</si>
  <si>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</si>
  <si>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</si>
  <si>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Полотенцесушитель водяной</t>
  </si>
  <si>
    <t>Шпилька М27х210</t>
  </si>
  <si>
    <t>Шпилька М27х120</t>
  </si>
  <si>
    <t>Шпилька М24х100</t>
  </si>
  <si>
    <t>Шпилька М20х100.35</t>
  </si>
  <si>
    <t>Шпилька М16х100</t>
  </si>
  <si>
    <t>Шпилька М16х80</t>
  </si>
  <si>
    <t>Патрон монтажный строительный Д4 (красный)</t>
  </si>
  <si>
    <t>Гвозди шиферные 4х120</t>
  </si>
  <si>
    <t>Шуруп кровельный 4,8х70</t>
  </si>
  <si>
    <t>Грунтовка   Аmerkoеt 400</t>
  </si>
  <si>
    <t>Краска эмаль  Аmerkot 400</t>
  </si>
  <si>
    <t>Краска алюминиевая АЛ-177</t>
  </si>
  <si>
    <t>Грунтовка ГФ-021</t>
  </si>
  <si>
    <t>Уайт-спирт</t>
  </si>
  <si>
    <t>Герметик силиконовый</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</si>
  <si>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</si>
  <si>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</si>
  <si>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</si>
  <si>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</si>
  <si>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</si>
  <si>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</si>
  <si>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</si>
  <si>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</si>
  <si>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</si>
  <si>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</si>
  <si>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</si>
  <si>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</si>
  <si>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ФБС-24.4.6-Т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</si>
  <si>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</si>
  <si>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</si>
  <si>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</si>
  <si>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</si>
  <si>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</si>
  <si>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1ПР38.20.12.19у</t>
  </si>
  <si>
    <t>Перемычка 1ПР38.18.12.19у</t>
  </si>
  <si>
    <t>Перемычка 1ПР38.15.12.19у</t>
  </si>
  <si>
    <t>Перемычка 1ПР38.12.12.19у</t>
  </si>
  <si>
    <t>Перемычка 1ПР38.10.12.19у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</si>
  <si>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</si>
  <si>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</si>
  <si>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</si>
  <si>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</si>
  <si>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</si>
  <si>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</si>
  <si>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</si>
  <si>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</si>
  <si>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 xml:space="preserve"> плита аэродромная 6,0х1,75</t>
  </si>
  <si>
    <t>Плиты ленточного фундамента ФЛ10.30-1</t>
  </si>
  <si>
    <t>Плиты ленточного фундамента ФЛ10.12-1</t>
  </si>
  <si>
    <t>Труба круглая железобетонная ЗКП1.100</t>
  </si>
  <si>
    <t>Емкость пластиковая для питьевой воды V-2куб.м</t>
  </si>
  <si>
    <t xml:space="preserve">Столбик сигнальный СС-1 </t>
  </si>
  <si>
    <t>декабрь2013, январь 2014г.</t>
  </si>
  <si>
    <t>март-апрель  2014г.</t>
  </si>
  <si>
    <t>март-апрель 2014г.</t>
  </si>
  <si>
    <t>май-июнь 2014г.</t>
  </si>
  <si>
    <t>июль-август 2014г.</t>
  </si>
  <si>
    <t>сентябрь- октябрь 2014г.</t>
  </si>
  <si>
    <t>январь-февраль 2014г.</t>
  </si>
  <si>
    <t>февраль-март 2014г.</t>
  </si>
  <si>
    <t>март - апрель 2014г.</t>
  </si>
  <si>
    <t>апрель-май 2014г.</t>
  </si>
  <si>
    <t>март-май 2014г.</t>
  </si>
  <si>
    <t>февраль- апрель 2014г.</t>
  </si>
  <si>
    <t>июнь-июль 2014г.</t>
  </si>
  <si>
    <t>июнь-июль2014г.</t>
  </si>
  <si>
    <t>июль-агуст 2014г.</t>
  </si>
  <si>
    <t>декабрь 2013г.-январь 2014г.</t>
  </si>
  <si>
    <t>апрель-октябрь 2014г.</t>
  </si>
  <si>
    <t>июнь-октябрь 2014г.</t>
  </si>
  <si>
    <t>февраль- октябрь 2014г.</t>
  </si>
  <si>
    <t>январь-октябрь 2014г.</t>
  </si>
  <si>
    <t>март-июнь 2014г.</t>
  </si>
  <si>
    <t>РК, г. Актау, мкр 23, ТОО "ОСС", каб:1А</t>
  </si>
  <si>
    <t>DDP</t>
  </si>
  <si>
    <t>Республика Казахстан, 130000, Мангистауская область, пос.Ынтымак,БПО,ТОО «Oil Construction Company»</t>
  </si>
  <si>
    <t>Республика Казахстан, 130000, Мангистауская область, месторождения Каламкас,Жетыбай  ТОО «Oil Construction Company»</t>
  </si>
  <si>
    <t>авансовый платеж 0%, 90% после подписания акты-приемки, 10% после подписания акта-сверки в течение 30 рабочих дней</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</si>
  <si>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</si>
  <si>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</si>
  <si>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</si>
  <si>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</si>
  <si>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</si>
  <si>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</si>
  <si>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</si>
  <si>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</si>
  <si>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</si>
  <si>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</si>
  <si>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</si>
  <si>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</si>
  <si>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</si>
  <si>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</si>
  <si>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</si>
  <si>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</si>
  <si>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</si>
  <si>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</si>
  <si>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018</t>
  </si>
  <si>
    <t>метр погонный</t>
  </si>
  <si>
    <t>22.21.21.00.00.40.62.00.1</t>
  </si>
  <si>
    <t>Труба</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</si>
  <si>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</si>
  <si>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Труба стеклопластиковая</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</si>
  <si>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</si>
  <si>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</si>
  <si>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</si>
  <si>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3,9 мм
</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</si>
  <si>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</si>
  <si>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</si>
  <si>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</si>
  <si>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</si>
  <si>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</si>
  <si>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</si>
  <si>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</si>
  <si>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</si>
  <si>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</si>
  <si>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</si>
  <si>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</si>
  <si>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</si>
  <si>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</si>
  <si>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</si>
  <si>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</si>
  <si>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</si>
  <si>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</si>
  <si>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-100мм,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</si>
  <si>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25.73.30.00.00.30.10.13.1</t>
  </si>
  <si>
    <t>Шпатель</t>
  </si>
  <si>
    <t>металлический, 50 мм</t>
  </si>
  <si>
    <t>25.73.30.00.00.30.10.17.1</t>
  </si>
  <si>
    <t>металлический, 100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</si>
  <si>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</si>
  <si>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</si>
  <si>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</si>
  <si>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</si>
  <si>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</si>
  <si>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</si>
  <si>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</si>
  <si>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</si>
  <si>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</si>
  <si>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</si>
  <si>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</si>
  <si>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</si>
  <si>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</si>
  <si>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</si>
  <si>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</si>
  <si>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</si>
  <si>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</si>
  <si>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</si>
  <si>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</si>
  <si>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</si>
  <si>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</si>
  <si>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</si>
  <si>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</si>
  <si>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</si>
  <si>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</si>
  <si>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</si>
  <si>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</si>
  <si>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</si>
  <si>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</si>
  <si>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</si>
  <si>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</si>
  <si>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</si>
  <si>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</si>
  <si>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</si>
  <si>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</si>
  <si>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</si>
  <si>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</si>
  <si>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</si>
  <si>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</si>
  <si>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</si>
  <si>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</si>
  <si>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</si>
  <si>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</si>
  <si>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</si>
  <si>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</si>
  <si>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</si>
  <si>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</si>
  <si>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</si>
  <si>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</si>
  <si>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</si>
  <si>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</si>
  <si>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</si>
  <si>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</si>
  <si>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</si>
  <si>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</si>
  <si>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Аппарат телефонный</t>
  </si>
  <si>
    <t>КВВГ     4х1,5</t>
  </si>
  <si>
    <t>КВВГ     5х1,5</t>
  </si>
  <si>
    <t>Кабель</t>
  </si>
  <si>
    <t>Выключатель</t>
  </si>
  <si>
    <t>Серьга</t>
  </si>
  <si>
    <t>Зажим</t>
  </si>
  <si>
    <t>Розетка открытой  проводки брызгозащищенная 10А 220в со шторками</t>
  </si>
  <si>
    <t>Выключатель герметичный исп. индекс 02640</t>
  </si>
  <si>
    <t>КП-1 (Подрозетник)</t>
  </si>
  <si>
    <t>Подрозетник КSC-11-505</t>
  </si>
  <si>
    <t>Блок релейный БР-12-1</t>
  </si>
  <si>
    <t>Сплитер 1х2</t>
  </si>
  <si>
    <t>Резистор</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</si>
  <si>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</si>
  <si>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</si>
  <si>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</si>
  <si>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Хомут крепления для крепления монтажного кронштейна с натяжным замком</t>
  </si>
  <si>
    <t>ШУ-ССТ-1 в комплекте с  оборудованием (Автоматы, реле регулятор,барьер безопасности, контактор,) согласно схеме</t>
  </si>
  <si>
    <t xml:space="preserve">Реле </t>
  </si>
  <si>
    <t>Текстолит</t>
  </si>
  <si>
    <t>ТОО "Oil Construction Company"</t>
  </si>
  <si>
    <t>ОТП</t>
  </si>
  <si>
    <t>февраль</t>
  </si>
  <si>
    <t>РК Мангистауская обл. пос. Даулет база ТОО "ОСС" УТиСТ</t>
  </si>
  <si>
    <t>авансовый платеж - 0%, 90% с момента подписания акта-приемки в течение 30 рабочих дней, 10% течении 30 рабочих дней с момента подписания акта-сверки</t>
  </si>
  <si>
    <t>август</t>
  </si>
  <si>
    <t>километр</t>
  </si>
  <si>
    <t>Ремень</t>
  </si>
  <si>
    <t>апрель</t>
  </si>
  <si>
    <t>S=19мм ГОСТ 2879-69</t>
  </si>
  <si>
    <t>S=22мм ГОСТ 2879-69</t>
  </si>
  <si>
    <t>S=24мм ГОСТ 2879-69</t>
  </si>
  <si>
    <t>Д 80 мм</t>
  </si>
  <si>
    <t>Д100мм</t>
  </si>
  <si>
    <t>Д150 мм</t>
  </si>
  <si>
    <t>Д 170мм</t>
  </si>
  <si>
    <t>Припой</t>
  </si>
  <si>
    <t>РЗП,  ГОСТ 5191-79</t>
  </si>
  <si>
    <t xml:space="preserve">Рулетка </t>
  </si>
  <si>
    <t>Штангенциркуль</t>
  </si>
  <si>
    <t>Ареометр</t>
  </si>
  <si>
    <t>Шкурка шлифовальная</t>
  </si>
  <si>
    <t>Тачка</t>
  </si>
  <si>
    <t>Щетка</t>
  </si>
  <si>
    <t>Аккумулятор</t>
  </si>
  <si>
    <t>Корпус</t>
  </si>
  <si>
    <t>Прокладка</t>
  </si>
  <si>
    <t>Генератор</t>
  </si>
  <si>
    <t>Воздушный фильтр</t>
  </si>
  <si>
    <t>Топливный фильтр</t>
  </si>
  <si>
    <t xml:space="preserve">Домкрат </t>
  </si>
  <si>
    <t xml:space="preserve">Съемник </t>
  </si>
  <si>
    <t>Поршень</t>
  </si>
  <si>
    <t>Датчик расхода топлива</t>
  </si>
  <si>
    <t>Рукава для битума</t>
  </si>
  <si>
    <t xml:space="preserve">796 </t>
  </si>
  <si>
    <t>Подшипник</t>
  </si>
  <si>
    <t>Сальник</t>
  </si>
  <si>
    <t xml:space="preserve">Краска </t>
  </si>
  <si>
    <t xml:space="preserve">Растворитель </t>
  </si>
  <si>
    <t>112</t>
  </si>
  <si>
    <t>литр</t>
  </si>
  <si>
    <t>январь</t>
  </si>
  <si>
    <t>РК, Мангистауская область, пос Ынтымак,   ТОО "ОСС", УТиСТ</t>
  </si>
  <si>
    <t>Плунжерная пара</t>
  </si>
  <si>
    <t>Распылитель</t>
  </si>
  <si>
    <t>Турбокомпрессор</t>
  </si>
  <si>
    <t>Диск сцепления</t>
  </si>
  <si>
    <t xml:space="preserve">Вал карданный </t>
  </si>
  <si>
    <t>Главная передача</t>
  </si>
  <si>
    <t>Рессора</t>
  </si>
  <si>
    <t>Влагоотделитель</t>
  </si>
  <si>
    <t>Шланг тормозной</t>
  </si>
  <si>
    <t>Переключатель</t>
  </si>
  <si>
    <t>Шестерня</t>
  </si>
  <si>
    <t>Манжета</t>
  </si>
  <si>
    <t>Шайба</t>
  </si>
  <si>
    <t>тройник</t>
  </si>
  <si>
    <t>Привод вентилятора</t>
  </si>
  <si>
    <t xml:space="preserve">Вилка переключения </t>
  </si>
  <si>
    <t>Штанга реактивная</t>
  </si>
  <si>
    <t>Реле</t>
  </si>
  <si>
    <t>Пластина</t>
  </si>
  <si>
    <t>Клапан</t>
  </si>
  <si>
    <t>Термостат</t>
  </si>
  <si>
    <t>Крыло</t>
  </si>
  <si>
    <t>Капот</t>
  </si>
  <si>
    <t>Ремкомплект</t>
  </si>
  <si>
    <t>Редуктор</t>
  </si>
  <si>
    <t>Компрессор</t>
  </si>
  <si>
    <t>комлект</t>
  </si>
  <si>
    <t>Блок цилиндров</t>
  </si>
  <si>
    <t>Радиатор</t>
  </si>
  <si>
    <t>Балка передней оси</t>
  </si>
  <si>
    <t>Привод</t>
  </si>
  <si>
    <t>Спидометр</t>
  </si>
  <si>
    <t>Шатун</t>
  </si>
  <si>
    <t>Карбюратор</t>
  </si>
  <si>
    <t>Цилиндр сцепления</t>
  </si>
  <si>
    <t>Поршневая группа</t>
  </si>
  <si>
    <t>Стартер</t>
  </si>
  <si>
    <t>Коммутатор транзисторный</t>
  </si>
  <si>
    <t>Тент</t>
  </si>
  <si>
    <t>Кулак поворотный</t>
  </si>
  <si>
    <t>Резонатор</t>
  </si>
  <si>
    <t>Ступица</t>
  </si>
  <si>
    <t xml:space="preserve">Накладка тормазная </t>
  </si>
  <si>
    <t>Дифференциал</t>
  </si>
  <si>
    <t>Подушка рессорная 451Д-2902430</t>
  </si>
  <si>
    <t>Гидрораспределитель</t>
  </si>
  <si>
    <t>Коробка отбора мощности</t>
  </si>
  <si>
    <t>Гидроцилиндр</t>
  </si>
  <si>
    <t>Гидрозамок</t>
  </si>
  <si>
    <t>Манометр</t>
  </si>
  <si>
    <t>Фара</t>
  </si>
  <si>
    <t>Стекло</t>
  </si>
  <si>
    <t>Муфта</t>
  </si>
  <si>
    <t>Кольцо</t>
  </si>
  <si>
    <t xml:space="preserve">Топливный фильтр </t>
  </si>
  <si>
    <t>Элемент фильтра</t>
  </si>
  <si>
    <t>Кардан</t>
  </si>
  <si>
    <t>Втулка</t>
  </si>
  <si>
    <t>Форсунка</t>
  </si>
  <si>
    <t>Камера тормозная</t>
  </si>
  <si>
    <t>Мост ведущий</t>
  </si>
  <si>
    <t xml:space="preserve">Тормазок КПП К-702 </t>
  </si>
  <si>
    <t>Фланец</t>
  </si>
  <si>
    <t>Диск</t>
  </si>
  <si>
    <t>Ступица заднего, среднего моста правый</t>
  </si>
  <si>
    <t>Ступица заднего, среднего моста левый</t>
  </si>
  <si>
    <t>Венец маховика</t>
  </si>
  <si>
    <t>Прокладка головки блока цилиндров</t>
  </si>
  <si>
    <t xml:space="preserve">Поршень </t>
  </si>
  <si>
    <t>Лента тормозная</t>
  </si>
  <si>
    <t>Кольцо уплотнительное</t>
  </si>
  <si>
    <t>Резцы на Бар РП-3</t>
  </si>
  <si>
    <t>р\к сервомеханизма борт.фрикциона</t>
  </si>
  <si>
    <t>валик КПП</t>
  </si>
  <si>
    <t>Валик</t>
  </si>
  <si>
    <t>шестерня верхнего вала</t>
  </si>
  <si>
    <t>колесо зубчатое</t>
  </si>
  <si>
    <t>шестерня</t>
  </si>
  <si>
    <t>шестерня вала</t>
  </si>
  <si>
    <t>Насос НШ-32Л круглый</t>
  </si>
  <si>
    <t>Насос НШ-32 плоский</t>
  </si>
  <si>
    <t>Рем.комплект насоса НШ-32 круглый РТИ</t>
  </si>
  <si>
    <t>Рем.комплект насоса НШ-32 плоский РТИ</t>
  </si>
  <si>
    <t>Рем.комплект насоса НШ-71 круглый РТИ</t>
  </si>
  <si>
    <t>Рем.комплект насоса НШ-100 круглый РТИ</t>
  </si>
  <si>
    <t>Рем.комплект насоса НШ-50 плоский</t>
  </si>
  <si>
    <t>Рем.комплект  сервомеханизма  поворота</t>
  </si>
  <si>
    <t>Рем.комплект сервомеханизма  сцепления</t>
  </si>
  <si>
    <t>Рем.комплект водяного насоса Д-160</t>
  </si>
  <si>
    <t>Фильтр</t>
  </si>
  <si>
    <t>Фильтр воздушный</t>
  </si>
  <si>
    <t>Камера</t>
  </si>
  <si>
    <t>Вал коромысла в сборе</t>
  </si>
  <si>
    <t>Датчик масляный ММ-358</t>
  </si>
  <si>
    <t>Крестовина</t>
  </si>
  <si>
    <t>Набор прокладок ДВС ГАЗ-21 Д-406</t>
  </si>
  <si>
    <t>Набор прокладок ДВС ГАЗ-24 Д-406</t>
  </si>
  <si>
    <t>Насос топливного механизма</t>
  </si>
  <si>
    <t>поршневая группа Æ 100мм</t>
  </si>
  <si>
    <t>Провод высокого напряжения</t>
  </si>
  <si>
    <t>маятник рулевой в сборе</t>
  </si>
  <si>
    <t>шкворень поворотной цапфы</t>
  </si>
  <si>
    <t>Головка блока цилиндров</t>
  </si>
  <si>
    <t>Крестовина карданного вала</t>
  </si>
  <si>
    <t>Крышка клапанов</t>
  </si>
  <si>
    <t>насос топливный</t>
  </si>
  <si>
    <t>Шайбы регулировочные клапана ГРМ</t>
  </si>
  <si>
    <t>шатун</t>
  </si>
  <si>
    <t xml:space="preserve">Аммортизатор передний </t>
  </si>
  <si>
    <t>Стабилизатор</t>
  </si>
  <si>
    <t>Подшипник ступицы</t>
  </si>
  <si>
    <t>Март-Апрель 2014г</t>
  </si>
  <si>
    <t>Февраль-март 2014г</t>
  </si>
  <si>
    <t>февраль-март 2014г</t>
  </si>
  <si>
    <t>Апрель-Май 2014г</t>
  </si>
  <si>
    <t>Май-июнь 2014г</t>
  </si>
  <si>
    <t>в течение 50 дней с даты заключения договора</t>
  </si>
  <si>
    <t>в течение 65  дней с даты заключения договора</t>
  </si>
  <si>
    <t>в течение 65 дней с даты заключения договора</t>
  </si>
  <si>
    <t>в течение 60 дней с даты заключения договора</t>
  </si>
  <si>
    <t>в течение 75 дней с даты заключения договора</t>
  </si>
  <si>
    <t>в течение 90 дней с даты заключения договора</t>
  </si>
  <si>
    <t>в течение 150 дней с даты заключения договора</t>
  </si>
  <si>
    <t>в течение 30 дней с даты заключения договора</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</si>
  <si>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</si>
  <si>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</si>
  <si>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</si>
  <si>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</si>
  <si>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</si>
  <si>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</si>
  <si>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</si>
  <si>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</si>
  <si>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</si>
  <si>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</si>
  <si>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</si>
  <si>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</si>
  <si>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</si>
  <si>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</si>
  <si>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</si>
  <si>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</si>
  <si>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</si>
  <si>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</si>
  <si>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</si>
  <si>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</si>
  <si>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</si>
  <si>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</si>
  <si>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</si>
  <si>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</si>
  <si>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</si>
  <si>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</si>
  <si>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</si>
  <si>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</si>
  <si>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</si>
  <si>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</si>
  <si>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</si>
  <si>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</si>
  <si>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</si>
  <si>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</si>
  <si>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</si>
  <si>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</si>
  <si>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</si>
  <si>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</si>
  <si>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</si>
  <si>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</si>
  <si>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</si>
  <si>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</si>
  <si>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</si>
  <si>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</si>
  <si>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</si>
  <si>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</si>
  <si>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</si>
  <si>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</si>
  <si>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</si>
  <si>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</si>
  <si>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</si>
  <si>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</si>
  <si>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</si>
  <si>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</si>
  <si>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</si>
  <si>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</si>
  <si>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</si>
  <si>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</si>
  <si>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</si>
  <si>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Отвертка со сменным набором наконечниковГОСТ 1405-83</t>
  </si>
  <si>
    <t>25.73.30.00.00.23.25.10.1</t>
  </si>
  <si>
    <t>Отвертка</t>
  </si>
  <si>
    <t>отвертки в наборе</t>
  </si>
  <si>
    <t>Ножницы-кусачки для пластиковых труб кабельные НС-95Ø15÷50мм, в форме пистолета</t>
  </si>
  <si>
    <t>25.71.11.00.00.30.24.10.1</t>
  </si>
  <si>
    <t>Кабельные рычажные. Диаметр перерезаемых кабелей до 30мм</t>
  </si>
  <si>
    <t>25.73.30.00.00.21.12.10.1</t>
  </si>
  <si>
    <t>ручное рычажно-клиновое приспособление для вытаскивания (выдирания) вбитых в материал (дерево, пластик и др.) гвоздей</t>
  </si>
  <si>
    <t>Ножницы кабельные НС-9512V, 0-1300 об/мин, Øнасадок до 10 мм, 2 аккумулятора, зарядное устройтсво, 55 единиц насадок, 3-х уровневый ударопрочный кейс</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</si>
  <si>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</si>
  <si>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</si>
  <si>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</si>
  <si>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</si>
  <si>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36.00.11.00.00.00.00.10.1</t>
  </si>
  <si>
    <t xml:space="preserve">Вода питьевая </t>
  </si>
  <si>
    <t>СТ РК ГОСТ Р 51232 для коммунальных нужд</t>
  </si>
  <si>
    <t>ОИ</t>
  </si>
  <si>
    <t xml:space="preserve">РК, Мангистауская обл, м/р Каламкас </t>
  </si>
  <si>
    <t>до 31 декабря 2014 год
по заявкам заказчика.</t>
  </si>
  <si>
    <t>авансовый платеж - 0%, оставшаяся часть в течении 30  дней с момента подписания первичных документов</t>
  </si>
  <si>
    <t>метр кубуческий</t>
  </si>
  <si>
    <t>ОВХ</t>
  </si>
  <si>
    <t>Волжская</t>
  </si>
  <si>
    <t xml:space="preserve">РК, Мангистауская обл, м/р Жетыбай </t>
  </si>
  <si>
    <t>36.00.12.00.00.00.10.10.1</t>
  </si>
  <si>
    <t xml:space="preserve">Вода непитьевая </t>
  </si>
  <si>
    <t>Вода непитьевая для коммунальных нужд</t>
  </si>
  <si>
    <t>морская вода</t>
  </si>
  <si>
    <t>Волжская техническая вода</t>
  </si>
  <si>
    <t>19.20.31.00.00.00.00.10.2</t>
  </si>
  <si>
    <t>Пропан технический</t>
  </si>
  <si>
    <t>Массовая доля сероводорода и меркаптановой серы, %, не больше 0,013, Интенсивность запаха, баллов, не менее 3</t>
  </si>
  <si>
    <t>РК, Мангистауская область, г.Актау</t>
  </si>
  <si>
    <t>авансовый платеж - 0%, 90 %  в течение 30  дней после поставки, 10 % после акта сверки  взаиморасчетов</t>
  </si>
  <si>
    <t>20.14.11.00.10.20.50.40.2</t>
  </si>
  <si>
    <t>Ацетилен</t>
  </si>
  <si>
    <t>газообразный технический, 98,5%, ГОСТ 5457-75</t>
  </si>
  <si>
    <t xml:space="preserve">Поставка  ацетилена  </t>
  </si>
  <si>
    <t>Метр кубический</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</si>
  <si>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</si>
  <si>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</si>
  <si>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</si>
  <si>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t>РК, Мангистауская область , м/р Жетыбай</t>
  </si>
  <si>
    <t>Тысяча метров кубических</t>
  </si>
  <si>
    <t>март, апрель</t>
  </si>
  <si>
    <t>РК, Мангистауская область , м/р Каламкас</t>
  </si>
  <si>
    <t>20.11.11.00.00.80.00.10.1</t>
  </si>
  <si>
    <t>Кислород</t>
  </si>
  <si>
    <t>технический, первый сорт (99,7%), ГОСТ 5583-78</t>
  </si>
  <si>
    <t xml:space="preserve"> Поставка кислорода с транспортировкой на м/р Каламкас, м/р Жетыбай</t>
  </si>
  <si>
    <t>РК, Мангистауская область,  м/р Каламкас, м/р Жетыбай</t>
  </si>
  <si>
    <t>Скоба</t>
  </si>
  <si>
    <t>февраль, март</t>
  </si>
  <si>
    <t>апрель, май</t>
  </si>
  <si>
    <t>Адаптер</t>
  </si>
  <si>
    <t xml:space="preserve">авансовый платеж - 0%,  90 %  в течении 30 кал. дней с момента подписания первичных документов, 10% после акта сверки </t>
  </si>
  <si>
    <t>РК, Мангистауская область, пос Даулет,  база УТиСТ  ТОО "ОСС"</t>
  </si>
  <si>
    <t>Тележка</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</si>
  <si>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</si>
  <si>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</si>
  <si>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</si>
  <si>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</si>
  <si>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</si>
  <si>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</si>
  <si>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</si>
  <si>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</si>
  <si>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</si>
  <si>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</si>
  <si>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</si>
  <si>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</si>
  <si>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</si>
  <si>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</si>
  <si>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</si>
  <si>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</si>
  <si>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</si>
  <si>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</si>
  <si>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</si>
  <si>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</si>
  <si>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</si>
  <si>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</si>
  <si>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</si>
  <si>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</si>
  <si>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</si>
  <si>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</si>
  <si>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</si>
  <si>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</si>
  <si>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</si>
  <si>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</si>
  <si>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</si>
  <si>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</si>
  <si>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</si>
  <si>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</si>
  <si>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</si>
  <si>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</si>
  <si>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</si>
  <si>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</si>
  <si>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</si>
  <si>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</si>
  <si>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</si>
  <si>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</si>
  <si>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</si>
  <si>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</si>
  <si>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</si>
  <si>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</si>
  <si>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</si>
  <si>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</si>
  <si>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</si>
  <si>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</si>
  <si>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</si>
  <si>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</si>
  <si>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</si>
  <si>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</si>
  <si>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</si>
  <si>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</si>
  <si>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</si>
  <si>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</si>
  <si>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</si>
  <si>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</si>
  <si>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</si>
  <si>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</si>
  <si>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</si>
  <si>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</si>
  <si>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</si>
  <si>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</si>
  <si>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</si>
  <si>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</si>
  <si>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</si>
  <si>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</si>
  <si>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</si>
  <si>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</si>
  <si>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</si>
  <si>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</si>
  <si>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</si>
  <si>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</si>
  <si>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</si>
  <si>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</si>
  <si>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</si>
  <si>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</si>
  <si>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</si>
  <si>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</si>
  <si>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</si>
  <si>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</si>
  <si>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</si>
  <si>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</si>
  <si>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</si>
  <si>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</si>
  <si>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</si>
  <si>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</si>
  <si>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</si>
  <si>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</si>
  <si>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</si>
  <si>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</si>
  <si>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</si>
  <si>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</si>
  <si>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</si>
  <si>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</si>
  <si>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</si>
  <si>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</si>
  <si>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</si>
  <si>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</si>
  <si>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</si>
  <si>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</si>
  <si>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</si>
  <si>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</si>
  <si>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</si>
  <si>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</si>
  <si>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</si>
  <si>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</si>
  <si>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</si>
  <si>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</si>
  <si>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</si>
  <si>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</si>
  <si>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</si>
  <si>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</si>
  <si>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</si>
  <si>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</si>
  <si>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</si>
  <si>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</si>
  <si>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</si>
  <si>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</si>
  <si>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</si>
  <si>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</si>
  <si>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</si>
  <si>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</si>
  <si>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</si>
  <si>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</si>
  <si>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</si>
  <si>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</si>
  <si>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</si>
  <si>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</si>
  <si>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</si>
  <si>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</si>
  <si>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</si>
  <si>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</si>
  <si>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</si>
  <si>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</si>
  <si>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</si>
  <si>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</si>
  <si>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</si>
  <si>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</si>
  <si>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</si>
  <si>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</si>
  <si>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</si>
  <si>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</si>
  <si>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</si>
  <si>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</si>
  <si>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</si>
  <si>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</si>
  <si>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</si>
  <si>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</si>
  <si>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</si>
  <si>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</si>
  <si>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</si>
  <si>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</si>
  <si>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</si>
  <si>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</si>
  <si>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</si>
  <si>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</si>
  <si>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</si>
  <si>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</si>
  <si>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</si>
  <si>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</si>
  <si>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</si>
  <si>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</si>
  <si>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</si>
  <si>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</si>
  <si>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</si>
  <si>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</si>
  <si>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</si>
  <si>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</si>
  <si>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</si>
  <si>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</si>
  <si>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</si>
  <si>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</si>
  <si>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</si>
  <si>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</si>
  <si>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</si>
  <si>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</si>
  <si>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</si>
  <si>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</si>
  <si>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</si>
  <si>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</si>
  <si>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</si>
  <si>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</si>
  <si>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</si>
  <si>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</si>
  <si>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</si>
  <si>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</si>
  <si>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</si>
  <si>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</si>
  <si>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</si>
  <si>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</si>
  <si>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</si>
  <si>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</si>
  <si>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</si>
  <si>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</si>
  <si>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</si>
  <si>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</si>
  <si>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</si>
  <si>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</si>
  <si>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</si>
  <si>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</si>
  <si>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</si>
  <si>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</si>
  <si>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</si>
  <si>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</si>
  <si>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</si>
  <si>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</si>
  <si>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</si>
  <si>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</si>
  <si>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</si>
  <si>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</si>
  <si>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</si>
  <si>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</si>
  <si>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</si>
  <si>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</si>
  <si>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</si>
  <si>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</si>
  <si>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</si>
  <si>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</si>
  <si>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</si>
  <si>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</si>
  <si>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</si>
  <si>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</si>
  <si>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</si>
  <si>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</si>
  <si>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</si>
  <si>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</si>
  <si>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</si>
  <si>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</si>
  <si>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</si>
  <si>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</si>
  <si>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</si>
  <si>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</si>
  <si>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</si>
  <si>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</si>
  <si>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</si>
  <si>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</si>
  <si>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</si>
  <si>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</si>
  <si>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</si>
  <si>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</si>
  <si>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</si>
  <si>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</si>
  <si>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</si>
  <si>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</si>
  <si>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</si>
  <si>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</si>
  <si>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</si>
  <si>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</si>
  <si>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</si>
  <si>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</si>
  <si>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</si>
  <si>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</si>
  <si>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</si>
  <si>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</si>
  <si>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</si>
  <si>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</si>
  <si>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</si>
  <si>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</si>
  <si>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</si>
  <si>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</si>
  <si>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</si>
  <si>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</si>
  <si>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</si>
  <si>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</si>
  <si>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</si>
  <si>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</si>
  <si>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</si>
  <si>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</si>
  <si>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</si>
  <si>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</si>
  <si>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</si>
  <si>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</si>
  <si>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</si>
  <si>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</si>
  <si>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</si>
  <si>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</si>
  <si>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</si>
  <si>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</si>
  <si>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</si>
  <si>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</si>
  <si>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</si>
  <si>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</si>
  <si>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</si>
  <si>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</si>
  <si>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</si>
  <si>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</si>
  <si>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</si>
  <si>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</si>
  <si>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</si>
  <si>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</si>
  <si>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</si>
  <si>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</si>
  <si>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</si>
  <si>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</si>
  <si>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</si>
  <si>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</si>
  <si>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</si>
  <si>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</si>
  <si>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</si>
  <si>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</si>
  <si>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</si>
  <si>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</si>
  <si>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</si>
  <si>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</si>
  <si>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</si>
  <si>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</si>
  <si>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</si>
  <si>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</si>
  <si>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</si>
  <si>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</si>
  <si>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</si>
  <si>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</si>
  <si>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</si>
  <si>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</si>
  <si>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</si>
  <si>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</si>
  <si>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</si>
  <si>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</si>
  <si>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</si>
  <si>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</si>
  <si>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</si>
  <si>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</si>
  <si>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</si>
  <si>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</si>
  <si>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</si>
  <si>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</si>
  <si>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</si>
  <si>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</si>
  <si>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</si>
  <si>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</si>
  <si>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</si>
  <si>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</si>
  <si>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</si>
  <si>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</si>
  <si>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</si>
  <si>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</si>
  <si>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</si>
  <si>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</si>
  <si>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</si>
  <si>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</si>
  <si>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</si>
  <si>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</si>
  <si>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</si>
  <si>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</si>
  <si>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</si>
  <si>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</si>
  <si>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</si>
  <si>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</si>
  <si>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</si>
  <si>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</si>
  <si>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</si>
  <si>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</si>
  <si>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</si>
  <si>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</si>
  <si>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</si>
  <si>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</si>
  <si>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</si>
  <si>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</si>
  <si>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</si>
  <si>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</si>
  <si>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</si>
  <si>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</si>
  <si>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</si>
  <si>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</si>
  <si>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</si>
  <si>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</si>
  <si>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</si>
  <si>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</si>
  <si>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</si>
  <si>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</si>
  <si>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</si>
  <si>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</si>
  <si>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</si>
  <si>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</si>
  <si>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</si>
  <si>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</si>
  <si>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</si>
  <si>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</si>
  <si>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</si>
  <si>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</si>
  <si>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</si>
  <si>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</si>
  <si>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</si>
  <si>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</si>
  <si>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</si>
  <si>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</si>
  <si>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</si>
  <si>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</si>
  <si>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</si>
  <si>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</si>
  <si>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</si>
  <si>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</si>
  <si>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</si>
  <si>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</si>
  <si>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</si>
  <si>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</si>
  <si>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</si>
  <si>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</si>
  <si>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</si>
  <si>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</si>
  <si>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</si>
  <si>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</si>
  <si>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</si>
  <si>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</si>
  <si>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</si>
  <si>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</si>
  <si>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</si>
  <si>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</si>
  <si>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</si>
  <si>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</si>
  <si>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</si>
  <si>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</si>
  <si>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</si>
  <si>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</si>
  <si>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</si>
  <si>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</si>
  <si>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</si>
  <si>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</si>
  <si>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</si>
  <si>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</si>
  <si>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</si>
  <si>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</si>
  <si>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</si>
  <si>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</si>
  <si>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</si>
  <si>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</si>
  <si>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</si>
  <si>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</si>
  <si>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</si>
  <si>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</si>
  <si>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</si>
  <si>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</si>
  <si>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</si>
  <si>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</si>
  <si>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</si>
  <si>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</si>
  <si>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</si>
  <si>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</si>
  <si>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</si>
  <si>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</si>
  <si>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</si>
  <si>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</si>
  <si>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</si>
  <si>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</si>
  <si>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</si>
  <si>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</si>
  <si>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</si>
  <si>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</si>
  <si>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</si>
  <si>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</si>
  <si>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</si>
  <si>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</si>
  <si>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</si>
  <si>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</si>
  <si>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</si>
  <si>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</si>
  <si>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</si>
  <si>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</si>
  <si>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</si>
  <si>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</si>
  <si>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</si>
  <si>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</si>
  <si>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</si>
  <si>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</si>
  <si>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</si>
  <si>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</si>
  <si>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</si>
  <si>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</si>
  <si>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</si>
  <si>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</si>
  <si>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</si>
  <si>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</si>
  <si>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</si>
  <si>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</si>
  <si>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</si>
  <si>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</si>
  <si>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</si>
  <si>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</si>
  <si>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</si>
  <si>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</si>
  <si>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</si>
  <si>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</si>
  <si>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</si>
  <si>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</si>
  <si>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</si>
  <si>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</si>
  <si>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</si>
  <si>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</si>
  <si>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</si>
  <si>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</si>
  <si>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</si>
  <si>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</si>
  <si>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</si>
  <si>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</si>
  <si>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</si>
  <si>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</si>
  <si>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</si>
  <si>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</si>
  <si>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</si>
  <si>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</si>
  <si>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</si>
  <si>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</si>
  <si>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</si>
  <si>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</si>
  <si>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</si>
  <si>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</si>
  <si>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</si>
  <si>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</si>
  <si>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</si>
  <si>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</si>
  <si>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</si>
  <si>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</si>
  <si>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</si>
  <si>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</si>
  <si>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</si>
  <si>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</si>
  <si>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</si>
  <si>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</si>
  <si>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</si>
  <si>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</si>
  <si>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</si>
  <si>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</si>
  <si>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</si>
  <si>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</si>
  <si>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</si>
  <si>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</si>
  <si>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</si>
  <si>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</si>
  <si>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</si>
  <si>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</si>
  <si>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</si>
  <si>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</si>
  <si>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</si>
  <si>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</si>
  <si>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</si>
  <si>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</si>
  <si>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</si>
  <si>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</si>
  <si>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</si>
  <si>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</si>
  <si>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</si>
  <si>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</si>
  <si>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</si>
  <si>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</si>
  <si>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</si>
  <si>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</si>
  <si>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</si>
  <si>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</si>
  <si>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</si>
  <si>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</si>
  <si>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</si>
  <si>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</si>
  <si>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</si>
  <si>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</si>
  <si>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</si>
  <si>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</si>
  <si>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</si>
  <si>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</si>
  <si>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</si>
  <si>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</si>
  <si>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</si>
  <si>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</si>
  <si>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</si>
  <si>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</si>
  <si>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</si>
  <si>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</si>
  <si>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</si>
  <si>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</si>
  <si>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</si>
  <si>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</si>
  <si>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</si>
  <si>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</si>
  <si>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</si>
  <si>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</si>
  <si>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</si>
  <si>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</si>
  <si>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</si>
  <si>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</si>
  <si>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</si>
  <si>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</si>
  <si>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</si>
  <si>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</si>
  <si>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</si>
  <si>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</si>
  <si>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</si>
  <si>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</si>
  <si>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</si>
  <si>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</si>
  <si>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</si>
  <si>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</si>
  <si>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</si>
  <si>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</si>
  <si>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</si>
  <si>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</si>
  <si>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</si>
  <si>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</si>
  <si>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</si>
  <si>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</si>
  <si>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</si>
  <si>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</si>
  <si>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</si>
  <si>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</si>
  <si>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</si>
  <si>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</si>
  <si>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</si>
  <si>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</si>
  <si>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</si>
  <si>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</si>
  <si>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</si>
  <si>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</si>
  <si>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</si>
  <si>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</si>
  <si>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</si>
  <si>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</si>
  <si>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</si>
  <si>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</si>
  <si>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</si>
  <si>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</si>
  <si>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</si>
  <si>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</si>
  <si>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</si>
  <si>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</si>
  <si>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</si>
  <si>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</si>
  <si>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</si>
  <si>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</si>
  <si>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</si>
  <si>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</si>
  <si>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</si>
  <si>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</si>
  <si>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</si>
  <si>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</si>
  <si>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</si>
  <si>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</si>
  <si>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</si>
  <si>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</si>
  <si>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</si>
  <si>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</si>
  <si>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</si>
  <si>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</si>
  <si>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</si>
  <si>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</si>
  <si>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</si>
  <si>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</si>
  <si>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</si>
  <si>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</si>
  <si>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</si>
  <si>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</si>
  <si>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</si>
  <si>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</si>
  <si>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</si>
  <si>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</si>
  <si>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</si>
  <si>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</si>
  <si>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</si>
  <si>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</si>
  <si>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</si>
  <si>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</si>
  <si>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</si>
  <si>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</si>
  <si>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</si>
  <si>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</si>
  <si>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</si>
  <si>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</si>
  <si>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</si>
  <si>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</si>
  <si>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</si>
  <si>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</si>
  <si>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</si>
  <si>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</si>
  <si>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</si>
  <si>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</si>
  <si>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</si>
  <si>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</si>
  <si>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</si>
  <si>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</si>
  <si>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</si>
  <si>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</si>
  <si>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</si>
  <si>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</si>
  <si>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</si>
  <si>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</si>
  <si>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</si>
  <si>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</si>
  <si>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</si>
  <si>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</si>
  <si>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</si>
  <si>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</si>
  <si>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</si>
  <si>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</si>
  <si>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</si>
  <si>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</si>
  <si>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</si>
  <si>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</si>
  <si>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</si>
  <si>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</si>
  <si>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</si>
  <si>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</si>
  <si>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</si>
  <si>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</si>
  <si>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</si>
  <si>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</si>
  <si>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</si>
  <si>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</si>
  <si>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</si>
  <si>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</si>
  <si>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</si>
  <si>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</si>
  <si>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</si>
  <si>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</si>
  <si>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</si>
  <si>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</si>
  <si>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</si>
  <si>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</si>
  <si>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</si>
  <si>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</si>
  <si>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</si>
  <si>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</si>
  <si>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</si>
  <si>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</si>
  <si>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</si>
  <si>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</si>
  <si>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</si>
  <si>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</si>
  <si>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</si>
  <si>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</si>
  <si>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</si>
  <si>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</si>
  <si>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</si>
  <si>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</si>
  <si>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</si>
  <si>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</si>
  <si>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</si>
  <si>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</si>
  <si>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</si>
  <si>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</si>
  <si>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</si>
  <si>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</si>
  <si>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</si>
  <si>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</si>
  <si>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</si>
  <si>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</si>
  <si>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</si>
  <si>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</si>
  <si>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</si>
  <si>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</si>
  <si>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</si>
  <si>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</si>
  <si>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</si>
  <si>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</si>
  <si>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</si>
  <si>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</si>
  <si>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</si>
  <si>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</si>
  <si>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</si>
  <si>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</si>
  <si>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</si>
  <si>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</si>
  <si>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</si>
  <si>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</si>
  <si>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</si>
  <si>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</si>
  <si>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</si>
  <si>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</si>
  <si>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</si>
  <si>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</si>
  <si>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</si>
  <si>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</si>
  <si>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</si>
  <si>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</si>
  <si>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</si>
  <si>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</si>
  <si>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</si>
  <si>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</si>
  <si>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</si>
  <si>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</si>
  <si>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</si>
  <si>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</si>
  <si>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</si>
  <si>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</si>
  <si>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</si>
  <si>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</si>
  <si>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</si>
  <si>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</si>
  <si>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</si>
  <si>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</si>
  <si>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</si>
  <si>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</si>
  <si>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</si>
  <si>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</si>
  <si>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</si>
  <si>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</si>
  <si>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</si>
  <si>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</si>
  <si>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</si>
  <si>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</si>
  <si>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</si>
  <si>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</si>
  <si>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</si>
  <si>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</si>
  <si>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</si>
  <si>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</si>
  <si>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</si>
  <si>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</si>
  <si>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</si>
  <si>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</si>
  <si>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</si>
  <si>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</si>
  <si>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</si>
  <si>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</si>
  <si>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</si>
  <si>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</si>
  <si>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</si>
  <si>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</si>
  <si>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</si>
  <si>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</si>
  <si>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</si>
  <si>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</si>
  <si>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</si>
  <si>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</si>
  <si>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</si>
  <si>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</si>
  <si>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</si>
  <si>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</si>
  <si>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</si>
  <si>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</si>
  <si>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</si>
  <si>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</si>
  <si>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</si>
  <si>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</si>
  <si>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</si>
  <si>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</si>
  <si>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</si>
  <si>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</si>
  <si>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</si>
  <si>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</si>
  <si>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</si>
  <si>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</si>
  <si>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</si>
  <si>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</si>
  <si>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</si>
  <si>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</si>
  <si>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</si>
  <si>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</si>
  <si>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</si>
  <si>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</si>
  <si>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</si>
  <si>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</si>
  <si>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</si>
  <si>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</si>
  <si>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</si>
  <si>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</si>
  <si>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</si>
  <si>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</si>
  <si>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</si>
  <si>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</si>
  <si>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</si>
  <si>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</si>
  <si>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</si>
  <si>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</si>
  <si>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</si>
  <si>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</si>
  <si>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</si>
  <si>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</si>
  <si>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</si>
  <si>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</si>
  <si>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</si>
  <si>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</si>
  <si>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</si>
  <si>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</si>
  <si>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</si>
  <si>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</si>
  <si>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</si>
  <si>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</si>
  <si>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</si>
  <si>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</si>
  <si>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</si>
  <si>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</si>
  <si>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</si>
  <si>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</si>
  <si>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</si>
  <si>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</si>
  <si>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</si>
  <si>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</si>
  <si>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</si>
  <si>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</si>
  <si>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</si>
  <si>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</si>
  <si>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</si>
  <si>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</si>
  <si>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</si>
  <si>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</si>
  <si>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</si>
  <si>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</si>
  <si>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</si>
  <si>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</si>
  <si>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</si>
  <si>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</si>
  <si>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</si>
  <si>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</si>
  <si>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</si>
  <si>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</si>
  <si>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</si>
  <si>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</si>
  <si>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</si>
  <si>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</si>
  <si>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</si>
  <si>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</si>
  <si>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</si>
  <si>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</si>
  <si>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</si>
  <si>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</si>
  <si>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</si>
  <si>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</si>
  <si>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</si>
  <si>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</si>
  <si>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</si>
  <si>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</si>
  <si>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</si>
  <si>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</si>
  <si>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</si>
  <si>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</si>
  <si>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</si>
  <si>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</si>
  <si>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</si>
  <si>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</si>
  <si>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</si>
  <si>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</si>
  <si>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</si>
  <si>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</si>
  <si>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</si>
  <si>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</si>
  <si>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</si>
  <si>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</si>
  <si>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</si>
  <si>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</si>
  <si>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</si>
  <si>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</si>
  <si>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</si>
  <si>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</si>
  <si>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</si>
  <si>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</si>
  <si>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</si>
  <si>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</si>
  <si>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</si>
  <si>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</si>
  <si>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</si>
  <si>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</si>
  <si>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</si>
  <si>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</si>
  <si>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</si>
  <si>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</si>
  <si>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</si>
  <si>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</si>
  <si>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</si>
  <si>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</si>
  <si>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</si>
  <si>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</si>
  <si>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</si>
  <si>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</si>
  <si>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</si>
  <si>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</si>
  <si>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</si>
  <si>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</si>
  <si>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</si>
  <si>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</si>
  <si>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</si>
  <si>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</si>
  <si>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</si>
  <si>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</si>
  <si>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</si>
  <si>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</si>
  <si>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</si>
  <si>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</si>
  <si>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</si>
  <si>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</si>
  <si>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</si>
  <si>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</si>
  <si>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</si>
  <si>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</si>
  <si>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</si>
  <si>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</si>
  <si>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</si>
  <si>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</si>
  <si>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</si>
  <si>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</si>
  <si>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</si>
  <si>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</si>
  <si>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</si>
  <si>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</si>
  <si>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</si>
  <si>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</si>
  <si>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</si>
  <si>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</si>
  <si>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</si>
  <si>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</si>
  <si>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</si>
  <si>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</si>
  <si>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</si>
  <si>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</si>
  <si>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</si>
  <si>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</si>
  <si>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</si>
  <si>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</si>
  <si>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</si>
  <si>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</si>
  <si>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</si>
  <si>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</si>
  <si>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</si>
  <si>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</si>
  <si>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</si>
  <si>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</si>
  <si>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</si>
  <si>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</si>
  <si>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</si>
  <si>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</si>
  <si>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</si>
  <si>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</si>
  <si>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</si>
  <si>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</si>
  <si>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</si>
  <si>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</si>
  <si>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</si>
  <si>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</si>
  <si>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</si>
  <si>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</si>
  <si>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</si>
  <si>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</si>
  <si>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</si>
  <si>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</si>
  <si>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</si>
  <si>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</si>
  <si>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</si>
  <si>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</si>
  <si>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</si>
  <si>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</si>
  <si>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</si>
  <si>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</si>
  <si>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</si>
  <si>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</si>
  <si>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</si>
  <si>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</si>
  <si>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</si>
  <si>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</si>
  <si>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</si>
  <si>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</si>
  <si>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</si>
  <si>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</si>
  <si>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</si>
  <si>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</si>
  <si>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</si>
  <si>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</si>
  <si>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</si>
  <si>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</si>
  <si>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</si>
  <si>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</si>
  <si>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</si>
  <si>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</si>
  <si>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</si>
  <si>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</si>
  <si>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</si>
  <si>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</si>
  <si>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</si>
  <si>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</si>
  <si>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</si>
  <si>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</si>
  <si>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</si>
  <si>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</si>
  <si>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</si>
  <si>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</si>
  <si>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</si>
  <si>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</si>
  <si>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</si>
  <si>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</si>
  <si>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</si>
  <si>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</si>
  <si>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</si>
  <si>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</si>
  <si>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</si>
  <si>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</si>
  <si>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</si>
  <si>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</si>
  <si>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</si>
  <si>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</si>
  <si>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</si>
  <si>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</si>
  <si>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</si>
  <si>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</si>
  <si>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</si>
  <si>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</si>
  <si>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</si>
  <si>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</si>
  <si>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</si>
  <si>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</si>
  <si>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</si>
  <si>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</si>
  <si>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</si>
  <si>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</si>
  <si>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</si>
  <si>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</si>
  <si>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</si>
  <si>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</si>
  <si>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</si>
  <si>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</si>
  <si>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</si>
  <si>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</si>
  <si>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</si>
  <si>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</si>
  <si>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</si>
  <si>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</si>
  <si>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</si>
  <si>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</si>
  <si>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</si>
  <si>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</si>
  <si>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</si>
  <si>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</si>
  <si>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</si>
  <si>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</si>
  <si>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</si>
  <si>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</si>
  <si>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</si>
  <si>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</si>
  <si>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</si>
  <si>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</si>
  <si>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</si>
  <si>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</si>
  <si>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</si>
  <si>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</si>
  <si>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</si>
  <si>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</si>
  <si>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</si>
  <si>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</si>
  <si>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</si>
  <si>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</si>
  <si>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</si>
  <si>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</si>
  <si>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</si>
  <si>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</si>
  <si>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</si>
  <si>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</si>
  <si>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</si>
  <si>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</si>
  <si>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</si>
  <si>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</si>
  <si>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</si>
  <si>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</si>
  <si>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</si>
  <si>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</si>
  <si>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</si>
  <si>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</si>
  <si>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</si>
  <si>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</si>
  <si>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</si>
  <si>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</si>
  <si>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</si>
  <si>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</si>
  <si>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</si>
  <si>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</si>
  <si>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</si>
  <si>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</si>
  <si>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</si>
  <si>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</si>
  <si>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</si>
  <si>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</si>
  <si>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</si>
  <si>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</si>
  <si>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</si>
  <si>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</si>
  <si>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</si>
  <si>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</si>
  <si>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</si>
  <si>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</si>
  <si>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</si>
  <si>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</si>
  <si>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</si>
  <si>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</si>
  <si>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</si>
  <si>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</si>
  <si>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</si>
  <si>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</si>
  <si>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</si>
  <si>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</si>
  <si>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</si>
  <si>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</si>
  <si>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</si>
  <si>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</si>
  <si>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</si>
  <si>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</si>
  <si>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</si>
  <si>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</si>
  <si>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</si>
  <si>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</si>
  <si>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</si>
  <si>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</si>
  <si>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</si>
  <si>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</si>
  <si>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</si>
  <si>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</si>
  <si>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</si>
  <si>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</si>
  <si>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</si>
  <si>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</si>
  <si>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</si>
  <si>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</si>
  <si>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</si>
  <si>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</si>
  <si>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</si>
  <si>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</si>
  <si>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</si>
  <si>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</si>
  <si>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</si>
  <si>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</si>
  <si>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</si>
  <si>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</si>
  <si>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</si>
  <si>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</si>
  <si>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</si>
  <si>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</si>
  <si>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</si>
  <si>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</si>
  <si>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</si>
  <si>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</si>
  <si>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</si>
  <si>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</si>
  <si>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</si>
  <si>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</si>
  <si>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</si>
  <si>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</si>
  <si>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</si>
  <si>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</si>
  <si>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</si>
  <si>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</si>
  <si>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</si>
  <si>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</si>
  <si>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</si>
  <si>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</si>
  <si>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</si>
  <si>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</si>
  <si>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</si>
  <si>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</si>
  <si>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</si>
  <si>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</si>
  <si>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</si>
  <si>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</si>
  <si>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</si>
  <si>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</si>
  <si>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</si>
  <si>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</si>
  <si>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</si>
  <si>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</si>
  <si>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</si>
  <si>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</si>
  <si>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</si>
  <si>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</si>
  <si>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</si>
  <si>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</si>
  <si>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</si>
  <si>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</si>
  <si>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</si>
  <si>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</si>
  <si>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</si>
  <si>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</si>
  <si>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</si>
  <si>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</si>
  <si>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</si>
  <si>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</si>
  <si>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</si>
  <si>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</si>
  <si>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</si>
  <si>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</si>
  <si>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</si>
  <si>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</si>
  <si>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</si>
  <si>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</si>
  <si>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</si>
  <si>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</si>
  <si>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</si>
  <si>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</si>
  <si>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</si>
  <si>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</si>
  <si>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</si>
  <si>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</si>
  <si>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</si>
  <si>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</si>
  <si>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</si>
  <si>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</si>
  <si>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</si>
  <si>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</si>
  <si>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</si>
  <si>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</si>
  <si>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</si>
  <si>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</si>
  <si>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</si>
  <si>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</si>
  <si>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</si>
  <si>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</si>
  <si>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</si>
  <si>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</si>
  <si>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</si>
  <si>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</si>
  <si>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</si>
  <si>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</si>
  <si>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</si>
  <si>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</si>
  <si>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</si>
  <si>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</si>
  <si>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</si>
  <si>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</si>
  <si>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</si>
  <si>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</si>
  <si>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</si>
  <si>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</si>
  <si>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</si>
  <si>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</si>
  <si>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</si>
  <si>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</si>
  <si>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</si>
  <si>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</si>
  <si>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</si>
  <si>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</si>
  <si>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</si>
  <si>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</si>
  <si>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</si>
  <si>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</si>
  <si>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</si>
  <si>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</si>
  <si>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</si>
  <si>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</si>
  <si>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</si>
  <si>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</si>
  <si>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</si>
  <si>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</si>
  <si>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</si>
  <si>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</si>
  <si>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</si>
  <si>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</si>
  <si>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</si>
  <si>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</si>
  <si>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</si>
  <si>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</si>
  <si>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</si>
  <si>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</si>
  <si>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</si>
  <si>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</si>
  <si>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</si>
  <si>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</si>
  <si>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</si>
  <si>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</si>
  <si>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</si>
  <si>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</si>
  <si>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</si>
  <si>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</si>
  <si>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</si>
  <si>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</si>
  <si>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</si>
  <si>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</si>
  <si>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</si>
  <si>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</si>
  <si>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</si>
  <si>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</si>
  <si>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</si>
  <si>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</si>
  <si>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</si>
  <si>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</si>
  <si>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</si>
  <si>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</si>
  <si>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</si>
  <si>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</si>
  <si>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</si>
  <si>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</si>
  <si>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</si>
  <si>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</si>
  <si>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</si>
  <si>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</si>
  <si>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</si>
  <si>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</si>
  <si>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</si>
  <si>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</si>
  <si>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</si>
  <si>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</si>
  <si>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</si>
  <si>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</si>
  <si>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</si>
  <si>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</si>
  <si>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</si>
  <si>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</si>
  <si>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</si>
  <si>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</si>
  <si>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</si>
  <si>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</si>
  <si>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</si>
  <si>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</si>
  <si>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</si>
  <si>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</si>
  <si>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</si>
  <si>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</si>
  <si>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</si>
  <si>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</si>
  <si>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</si>
  <si>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</si>
  <si>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</si>
  <si>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</si>
  <si>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</si>
  <si>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</si>
  <si>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</si>
  <si>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</si>
  <si>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</si>
  <si>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</si>
  <si>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</si>
  <si>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</si>
  <si>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</si>
  <si>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</si>
  <si>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</si>
  <si>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</si>
  <si>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</si>
  <si>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</si>
  <si>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</si>
  <si>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</si>
  <si>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</si>
  <si>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</si>
  <si>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</si>
  <si>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</si>
  <si>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</si>
  <si>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</si>
  <si>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</si>
  <si>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</si>
  <si>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</si>
  <si>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</si>
  <si>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</si>
  <si>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</si>
  <si>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</si>
  <si>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</si>
  <si>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</si>
  <si>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</si>
  <si>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</si>
  <si>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</si>
  <si>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</si>
  <si>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</si>
  <si>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</si>
  <si>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</si>
  <si>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</si>
  <si>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</si>
  <si>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</si>
  <si>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</si>
  <si>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</si>
  <si>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</si>
  <si>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</si>
  <si>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</si>
  <si>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</si>
  <si>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</si>
  <si>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</si>
  <si>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</si>
  <si>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</si>
  <si>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</si>
  <si>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</si>
  <si>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</si>
  <si>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</si>
  <si>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</si>
  <si>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</si>
  <si>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</si>
  <si>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</si>
  <si>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</si>
  <si>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</si>
  <si>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</si>
  <si>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</si>
  <si>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</si>
  <si>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</si>
  <si>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</si>
  <si>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</si>
  <si>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</si>
  <si>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</si>
  <si>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</si>
  <si>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</si>
  <si>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</si>
  <si>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</si>
  <si>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</si>
  <si>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</si>
  <si>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</si>
  <si>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</si>
  <si>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</si>
  <si>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</si>
  <si>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</si>
  <si>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</si>
  <si>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</si>
  <si>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</si>
  <si>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</si>
  <si>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</si>
  <si>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</si>
  <si>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</si>
  <si>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</si>
  <si>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</si>
  <si>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</si>
  <si>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</si>
  <si>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</si>
  <si>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</si>
  <si>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</si>
  <si>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</si>
  <si>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</si>
  <si>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</si>
  <si>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</si>
  <si>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</si>
  <si>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</si>
  <si>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</si>
  <si>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</si>
  <si>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</si>
  <si>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</si>
  <si>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</si>
  <si>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</si>
  <si>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</si>
  <si>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</si>
  <si>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</si>
  <si>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</si>
  <si>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</si>
  <si>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</si>
  <si>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</si>
  <si>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</si>
  <si>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</si>
  <si>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</si>
  <si>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</si>
  <si>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</si>
  <si>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</si>
  <si>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</si>
  <si>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</si>
  <si>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</si>
  <si>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</si>
  <si>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</si>
  <si>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</si>
  <si>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</si>
  <si>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</si>
  <si>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</si>
  <si>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</si>
  <si>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</si>
  <si>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</si>
  <si>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</si>
  <si>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</si>
  <si>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</si>
  <si>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</si>
  <si>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</si>
  <si>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</si>
  <si>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</si>
  <si>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</si>
  <si>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</si>
  <si>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</si>
  <si>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</si>
  <si>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</si>
  <si>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</si>
  <si>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</si>
  <si>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</si>
  <si>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</si>
  <si>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</si>
  <si>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</si>
  <si>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</si>
  <si>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</si>
  <si>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</si>
  <si>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</si>
  <si>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</si>
  <si>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</si>
  <si>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</si>
  <si>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</si>
  <si>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</si>
  <si>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</si>
  <si>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</si>
  <si>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</si>
  <si>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</si>
  <si>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</si>
  <si>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</si>
  <si>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</si>
  <si>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</si>
  <si>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</si>
  <si>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</si>
  <si>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</si>
  <si>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</si>
  <si>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</si>
  <si>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</si>
  <si>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</si>
  <si>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</si>
  <si>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</si>
  <si>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</si>
  <si>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</si>
  <si>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</si>
  <si>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</si>
  <si>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</si>
  <si>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</si>
  <si>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</si>
  <si>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</si>
  <si>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</si>
  <si>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</si>
  <si>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</si>
  <si>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</si>
  <si>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</si>
  <si>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</si>
  <si>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</si>
  <si>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2028 Т</t>
  </si>
  <si>
    <t>2029 Т</t>
  </si>
  <si>
    <t>2030 Т</t>
  </si>
  <si>
    <t>2031 Т</t>
  </si>
  <si>
    <t>2032 Т</t>
  </si>
  <si>
    <t>2033 Т</t>
  </si>
  <si>
    <t>2035 Т</t>
  </si>
  <si>
    <t>2044 Т</t>
  </si>
  <si>
    <t>2045 Т</t>
  </si>
  <si>
    <t>2047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</si>
  <si>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</si>
  <si>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</si>
  <si>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</si>
  <si>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</si>
  <si>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</si>
  <si>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</si>
  <si>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</si>
  <si>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</si>
  <si>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</si>
  <si>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</si>
  <si>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</si>
  <si>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</si>
  <si>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</si>
  <si>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</si>
  <si>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</si>
  <si>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</si>
  <si>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</si>
  <si>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</si>
  <si>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</si>
  <si>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</si>
  <si>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</si>
  <si>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</si>
  <si>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</si>
  <si>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</si>
  <si>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</si>
  <si>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</si>
  <si>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</si>
  <si>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</si>
  <si>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</si>
  <si>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</si>
  <si>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</si>
  <si>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</si>
  <si>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</si>
  <si>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</si>
  <si>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</si>
  <si>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</si>
  <si>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</si>
  <si>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</si>
  <si>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</si>
  <si>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</si>
  <si>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</si>
  <si>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</si>
  <si>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</si>
  <si>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</si>
  <si>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</si>
  <si>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</si>
  <si>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</si>
  <si>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</si>
  <si>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</si>
  <si>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</si>
  <si>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</si>
  <si>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</si>
  <si>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</si>
  <si>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</si>
  <si>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</si>
  <si>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</si>
  <si>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</si>
  <si>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</si>
  <si>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</si>
  <si>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</si>
  <si>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</si>
  <si>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</si>
  <si>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</si>
  <si>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</si>
  <si>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</si>
  <si>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</si>
  <si>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</si>
  <si>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</si>
  <si>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</si>
  <si>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</si>
  <si>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</si>
  <si>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</si>
  <si>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</si>
  <si>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</si>
  <si>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</si>
  <si>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</si>
  <si>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</si>
  <si>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</si>
  <si>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</si>
  <si>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</si>
  <si>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</si>
  <si>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</si>
  <si>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</si>
  <si>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</si>
  <si>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</si>
  <si>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</si>
  <si>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</si>
  <si>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</si>
  <si>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</si>
  <si>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</si>
  <si>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</si>
  <si>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</si>
  <si>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</si>
  <si>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</si>
  <si>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</si>
  <si>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</si>
  <si>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</si>
  <si>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</si>
  <si>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</si>
  <si>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</si>
  <si>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</si>
  <si>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</si>
  <si>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</si>
  <si>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</si>
  <si>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</si>
  <si>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</si>
  <si>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</si>
  <si>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</si>
  <si>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</si>
  <si>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</si>
  <si>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</si>
  <si>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</si>
  <si>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</si>
  <si>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</si>
  <si>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</si>
  <si>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</si>
  <si>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</si>
  <si>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</si>
  <si>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</si>
  <si>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</si>
  <si>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</si>
  <si>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</si>
  <si>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</si>
  <si>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</si>
  <si>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</si>
  <si>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</si>
  <si>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</si>
  <si>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</si>
  <si>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</si>
  <si>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</si>
  <si>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</si>
  <si>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</si>
  <si>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</si>
  <si>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</si>
  <si>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</si>
  <si>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</si>
  <si>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</si>
  <si>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</si>
  <si>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</si>
  <si>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</si>
  <si>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</si>
  <si>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</si>
  <si>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</si>
  <si>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</si>
  <si>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</si>
  <si>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</si>
  <si>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</si>
  <si>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</si>
  <si>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</si>
  <si>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</si>
  <si>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</si>
  <si>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</si>
  <si>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</si>
  <si>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</si>
  <si>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</si>
  <si>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</si>
  <si>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</si>
  <si>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</si>
  <si>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</si>
  <si>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</si>
  <si>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</si>
  <si>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</si>
  <si>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</si>
  <si>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</si>
  <si>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</si>
  <si>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</si>
  <si>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</si>
  <si>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</si>
  <si>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</si>
  <si>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</si>
  <si>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</si>
  <si>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</si>
  <si>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</si>
  <si>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</si>
  <si>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</si>
  <si>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</si>
  <si>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</si>
  <si>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</si>
  <si>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</si>
  <si>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</si>
  <si>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</si>
  <si>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</si>
  <si>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</si>
  <si>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</si>
  <si>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</si>
  <si>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</si>
  <si>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</si>
  <si>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</si>
  <si>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</si>
  <si>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</si>
  <si>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</si>
  <si>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</si>
  <si>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</si>
  <si>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</si>
  <si>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</si>
  <si>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</si>
  <si>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</si>
  <si>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</si>
  <si>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</si>
  <si>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</si>
  <si>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</si>
  <si>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</si>
  <si>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</si>
  <si>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</si>
  <si>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</si>
  <si>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</si>
  <si>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</si>
  <si>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</si>
  <si>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</si>
  <si>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</si>
  <si>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</si>
  <si>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</si>
  <si>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</si>
  <si>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</si>
  <si>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</si>
  <si>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</si>
  <si>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</si>
  <si>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</si>
  <si>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</si>
  <si>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</si>
  <si>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</si>
  <si>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</si>
  <si>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</si>
  <si>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</si>
  <si>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</si>
  <si>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</si>
  <si>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</si>
  <si>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</si>
  <si>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</si>
  <si>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</si>
  <si>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</si>
  <si>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</si>
  <si>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</si>
  <si>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</si>
  <si>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</si>
  <si>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</si>
  <si>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</si>
  <si>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</si>
  <si>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</si>
  <si>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</si>
  <si>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</si>
  <si>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</si>
  <si>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</si>
  <si>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</si>
  <si>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</si>
  <si>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</si>
  <si>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</si>
  <si>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</si>
  <si>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</si>
  <si>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</si>
  <si>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</si>
  <si>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</si>
  <si>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</si>
  <si>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</si>
  <si>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</si>
  <si>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</si>
  <si>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</si>
  <si>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</si>
  <si>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</si>
  <si>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</si>
  <si>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</si>
  <si>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</si>
  <si>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</si>
  <si>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</si>
  <si>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</si>
  <si>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</si>
  <si>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</si>
  <si>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</si>
  <si>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</si>
  <si>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</si>
  <si>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</si>
  <si>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</si>
  <si>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</si>
  <si>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</si>
  <si>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</si>
  <si>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</si>
  <si>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</si>
  <si>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</si>
  <si>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</si>
  <si>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</si>
  <si>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</si>
  <si>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</si>
  <si>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</si>
  <si>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</si>
  <si>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</si>
  <si>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</si>
  <si>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</si>
  <si>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</si>
  <si>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</si>
  <si>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</si>
  <si>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</si>
  <si>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</si>
  <si>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</si>
  <si>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</si>
  <si>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</si>
  <si>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</si>
  <si>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</si>
  <si>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</si>
  <si>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</si>
  <si>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</si>
  <si>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</si>
  <si>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</si>
  <si>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</si>
  <si>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</si>
  <si>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</si>
  <si>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</si>
  <si>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</si>
  <si>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</si>
  <si>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</si>
  <si>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</si>
  <si>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</si>
  <si>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</si>
  <si>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</si>
  <si>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</si>
  <si>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</si>
  <si>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</si>
  <si>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</si>
  <si>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</si>
  <si>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</si>
  <si>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</si>
  <si>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</si>
  <si>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</si>
  <si>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</si>
  <si>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</si>
  <si>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</si>
  <si>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</si>
  <si>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</si>
  <si>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</si>
  <si>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</si>
  <si>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</si>
  <si>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</si>
  <si>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</si>
  <si>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</si>
  <si>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</si>
  <si>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</si>
  <si>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</si>
  <si>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</si>
  <si>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</si>
  <si>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</si>
  <si>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</si>
  <si>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</si>
  <si>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</si>
  <si>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</si>
  <si>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</si>
  <si>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</si>
  <si>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</si>
  <si>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</si>
  <si>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</si>
  <si>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</si>
  <si>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</si>
  <si>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</si>
  <si>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</si>
  <si>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</si>
  <si>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</si>
  <si>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</si>
  <si>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</si>
  <si>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</si>
  <si>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</si>
  <si>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</si>
  <si>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</si>
  <si>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</si>
  <si>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</si>
  <si>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</si>
  <si>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</si>
  <si>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</si>
  <si>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</si>
  <si>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</si>
  <si>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</si>
  <si>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</si>
  <si>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</si>
  <si>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</si>
  <si>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</si>
  <si>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</si>
  <si>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</si>
  <si>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</si>
  <si>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</si>
  <si>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</si>
  <si>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2440 Т</t>
  </si>
  <si>
    <t>2441 Т</t>
  </si>
  <si>
    <t>2442 Т</t>
  </si>
  <si>
    <t>2443 Т</t>
  </si>
  <si>
    <t>2444 Т</t>
  </si>
  <si>
    <t>2445 Т</t>
  </si>
  <si>
    <t>2446 Т</t>
  </si>
  <si>
    <t>2447 Т</t>
  </si>
  <si>
    <t>2448 Т</t>
  </si>
  <si>
    <t>2449 Т</t>
  </si>
  <si>
    <t>2450 Т</t>
  </si>
  <si>
    <t>2451 Т</t>
  </si>
  <si>
    <t>2454 Т</t>
  </si>
  <si>
    <t>2455 Т</t>
  </si>
  <si>
    <t>2456 Т</t>
  </si>
  <si>
    <t>2457 Т</t>
  </si>
  <si>
    <t>2458 Т</t>
  </si>
  <si>
    <t>2459 Т</t>
  </si>
  <si>
    <t>2460 Т</t>
  </si>
  <si>
    <t>2461 Т</t>
  </si>
  <si>
    <t>2462 Т</t>
  </si>
  <si>
    <t>2463 Т</t>
  </si>
  <si>
    <t>2464 Т</t>
  </si>
  <si>
    <t>2466 Т</t>
  </si>
  <si>
    <t>2467 Т</t>
  </si>
  <si>
    <t>2469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</si>
  <si>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</si>
  <si>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</si>
  <si>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</si>
  <si>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</si>
  <si>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</si>
  <si>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</si>
  <si>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</si>
  <si>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</si>
  <si>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</si>
  <si>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</si>
  <si>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</si>
  <si>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</si>
  <si>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</si>
  <si>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</si>
  <si>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</si>
  <si>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</si>
  <si>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</si>
  <si>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</si>
  <si>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</si>
  <si>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</si>
  <si>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</si>
  <si>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</si>
  <si>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</si>
  <si>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</si>
  <si>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</si>
  <si>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</si>
  <si>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</si>
  <si>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</si>
  <si>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</si>
  <si>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</si>
  <si>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</si>
  <si>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</si>
  <si>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</si>
  <si>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</si>
  <si>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</si>
  <si>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</si>
  <si>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</si>
  <si>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</si>
  <si>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</si>
  <si>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</si>
  <si>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</si>
  <si>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</si>
  <si>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</si>
  <si>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</si>
  <si>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</si>
  <si>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</si>
  <si>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</si>
  <si>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</si>
  <si>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</si>
  <si>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</si>
  <si>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</si>
  <si>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</si>
  <si>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</si>
  <si>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</si>
  <si>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</si>
  <si>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</si>
  <si>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</si>
  <si>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</si>
  <si>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</si>
  <si>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</si>
  <si>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</si>
  <si>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</si>
  <si>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</si>
  <si>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</si>
  <si>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</si>
  <si>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</si>
  <si>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</si>
  <si>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</si>
  <si>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</si>
  <si>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</si>
  <si>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</si>
  <si>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</si>
  <si>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</si>
  <si>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</si>
  <si>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</si>
  <si>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</si>
  <si>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</si>
  <si>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</si>
  <si>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</si>
  <si>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</si>
  <si>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</si>
  <si>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</si>
  <si>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</si>
  <si>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</si>
  <si>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</si>
  <si>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</si>
  <si>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</si>
  <si>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</si>
  <si>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</si>
  <si>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</si>
  <si>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</si>
  <si>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</si>
  <si>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</si>
  <si>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</si>
  <si>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</si>
  <si>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</si>
  <si>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</si>
  <si>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</si>
  <si>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</si>
  <si>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</si>
  <si>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</si>
  <si>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</si>
  <si>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</si>
  <si>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</si>
  <si>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</si>
  <si>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</si>
  <si>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</si>
  <si>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</si>
  <si>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</si>
  <si>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</si>
  <si>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</si>
  <si>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</si>
  <si>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</si>
  <si>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</si>
  <si>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</si>
  <si>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</si>
  <si>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</si>
  <si>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</si>
  <si>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</si>
  <si>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</si>
  <si>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</si>
  <si>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</si>
  <si>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</si>
  <si>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</si>
  <si>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</si>
  <si>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</si>
  <si>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</si>
  <si>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</si>
  <si>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</si>
  <si>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</si>
  <si>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</si>
  <si>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</si>
  <si>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</si>
  <si>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</si>
  <si>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</si>
  <si>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</si>
  <si>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</si>
  <si>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</si>
  <si>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</si>
  <si>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</si>
  <si>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</si>
  <si>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</si>
  <si>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</si>
  <si>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</si>
  <si>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</si>
  <si>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</si>
  <si>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</si>
  <si>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</si>
  <si>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</si>
  <si>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</si>
  <si>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</si>
  <si>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</si>
  <si>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</si>
  <si>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</si>
  <si>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</si>
  <si>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</si>
  <si>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</si>
  <si>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</si>
  <si>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</si>
  <si>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</si>
  <si>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</si>
  <si>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</si>
  <si>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</si>
  <si>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</si>
  <si>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</si>
  <si>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</si>
  <si>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</si>
  <si>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</si>
  <si>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</si>
  <si>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</si>
  <si>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</si>
  <si>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</si>
  <si>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</si>
  <si>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</si>
  <si>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</si>
  <si>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</si>
  <si>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</si>
  <si>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</si>
  <si>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</si>
  <si>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</si>
  <si>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</si>
  <si>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</si>
  <si>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</si>
  <si>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</si>
  <si>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</si>
  <si>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</si>
  <si>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</si>
  <si>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</si>
  <si>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</si>
  <si>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</si>
  <si>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</si>
  <si>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</si>
  <si>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</si>
  <si>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</si>
  <si>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</si>
  <si>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</si>
  <si>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</si>
  <si>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</si>
  <si>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</si>
  <si>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</si>
  <si>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</si>
  <si>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</si>
  <si>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</si>
  <si>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</si>
  <si>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</si>
  <si>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</si>
  <si>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</si>
  <si>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</si>
  <si>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</si>
  <si>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</si>
  <si>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</si>
  <si>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</si>
  <si>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</si>
  <si>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</si>
  <si>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</si>
  <si>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</si>
  <si>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</si>
  <si>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</si>
  <si>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</si>
  <si>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</si>
  <si>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</si>
  <si>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</si>
  <si>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</si>
  <si>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</si>
  <si>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</si>
  <si>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</si>
  <si>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</si>
  <si>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</si>
  <si>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</si>
  <si>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</si>
  <si>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</si>
  <si>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</si>
  <si>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</si>
  <si>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</si>
  <si>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</si>
  <si>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</si>
  <si>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</si>
  <si>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</si>
  <si>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</si>
  <si>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</si>
  <si>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</si>
  <si>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</si>
  <si>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</si>
  <si>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</si>
  <si>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</si>
  <si>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</si>
  <si>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</si>
  <si>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</si>
  <si>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</si>
  <si>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</si>
  <si>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</si>
  <si>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</si>
  <si>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</si>
  <si>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</si>
  <si>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</si>
  <si>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</si>
  <si>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</si>
  <si>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</si>
  <si>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</si>
  <si>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</si>
  <si>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</si>
  <si>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</si>
  <si>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</si>
  <si>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</si>
  <si>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</si>
  <si>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</si>
  <si>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</si>
  <si>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</si>
  <si>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</si>
  <si>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</si>
  <si>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</si>
  <si>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</si>
  <si>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</si>
  <si>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</si>
  <si>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</si>
  <si>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</si>
  <si>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</si>
  <si>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</si>
  <si>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</si>
  <si>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</si>
  <si>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</si>
  <si>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</si>
  <si>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</si>
  <si>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</si>
  <si>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</si>
  <si>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</si>
  <si>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</si>
  <si>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</si>
  <si>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</si>
  <si>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</si>
  <si>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</si>
  <si>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</si>
  <si>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</si>
  <si>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</si>
  <si>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</si>
  <si>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</si>
  <si>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</si>
  <si>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</si>
  <si>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</si>
  <si>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</si>
  <si>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</si>
  <si>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</si>
  <si>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</si>
  <si>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</si>
  <si>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</si>
  <si>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</si>
  <si>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</si>
  <si>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</si>
  <si>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</si>
  <si>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</si>
  <si>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</si>
  <si>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</si>
  <si>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</si>
  <si>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</si>
  <si>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</si>
  <si>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</si>
  <si>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</si>
  <si>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</si>
  <si>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</si>
  <si>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</si>
  <si>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Кол-во на 2014г</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</si>
  <si>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</si>
  <si>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</si>
  <si>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</si>
  <si>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</si>
  <si>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</si>
  <si>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</si>
  <si>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</si>
  <si>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</si>
  <si>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</si>
  <si>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</si>
  <si>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</si>
  <si>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</si>
  <si>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</si>
  <si>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</si>
  <si>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</si>
  <si>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</si>
  <si>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</si>
  <si>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</si>
  <si>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</si>
  <si>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</si>
  <si>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</si>
  <si>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</si>
  <si>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</si>
  <si>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</si>
  <si>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</si>
  <si>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</si>
  <si>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</si>
  <si>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</si>
  <si>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</si>
  <si>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</si>
  <si>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</si>
  <si>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</si>
  <si>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</si>
  <si>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</si>
  <si>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</si>
  <si>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</si>
  <si>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22.21.29.00.00.23.10.10.1</t>
  </si>
  <si>
    <t>Отвод</t>
  </si>
  <si>
    <t>из полипропилена</t>
  </si>
  <si>
    <t xml:space="preserve">Отвод СП Ø152-47,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</si>
  <si>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Ø152-47,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</si>
  <si>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</si>
  <si>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</si>
  <si>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</si>
  <si>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</si>
  <si>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</si>
  <si>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</si>
  <si>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</si>
  <si>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</si>
  <si>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</si>
  <si>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</si>
  <si>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</si>
  <si>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</si>
  <si>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</si>
  <si>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</si>
  <si>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</si>
  <si>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</si>
  <si>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</si>
  <si>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</si>
  <si>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</si>
  <si>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</si>
  <si>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</si>
  <si>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</si>
  <si>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</si>
  <si>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</si>
  <si>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</si>
  <si>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</si>
  <si>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</si>
  <si>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</si>
  <si>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</si>
  <si>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</si>
  <si>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</si>
  <si>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</si>
  <si>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</si>
  <si>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Ø426х12мм,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</si>
  <si>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</si>
  <si>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</si>
  <si>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</si>
  <si>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</si>
  <si>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</si>
  <si>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</si>
  <si>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</si>
  <si>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</si>
  <si>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</si>
  <si>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</si>
  <si>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Ø159х10мм,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</si>
  <si>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</si>
  <si>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</si>
  <si>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</si>
  <si>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</si>
  <si>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 Ø114х6мм, ГОСТ 8732-79</t>
  </si>
  <si>
    <t>Труба стальная бесшовная Ø108х5мм, ГОСТ 8732-79</t>
  </si>
  <si>
    <t>Труба стальная бесшовная Ø89х8мм, ГОСТ 8732-79</t>
  </si>
  <si>
    <t>Труба стальная бесшовная Ø89х5мм, ГОСТ 8732-79</t>
  </si>
  <si>
    <t>24.20.13.01.12.10.16.11.1</t>
  </si>
  <si>
    <t>Стальная бесшовная горячедеформированная, 57х4 мм ГОСТ 8732-78</t>
  </si>
  <si>
    <t>Труба стальная бесшовная Ø76х5мм, ГОСТ 8732-78</t>
  </si>
  <si>
    <t>24.20.13.01.12.10.10.11.1</t>
  </si>
  <si>
    <t>Стальная бесшовная горячедеформированная, 108х6 мм, ГОСТ 8732-78</t>
  </si>
  <si>
    <t>24.20.11.01.10.13.19.11.1</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</si>
  <si>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</si>
  <si>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</si>
  <si>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</si>
  <si>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24.20.13.01.12.10.27.11.1</t>
  </si>
  <si>
    <t>Стальная бесшовная горячедеформированная, 325х9мм ГОСТ 8732-78</t>
  </si>
  <si>
    <t>24.20.13.01.12.10.27.10.1</t>
  </si>
  <si>
    <t>Стальная бесшовная горячедеформированная, 325х8мм ГОСТ 8732-78</t>
  </si>
  <si>
    <t>24.20.13.01.12.10.25.11.3</t>
  </si>
  <si>
    <t>24.20.13.01.12.10.25.13.1</t>
  </si>
  <si>
    <t>Стальная бесшовная горячедеформированная, 426х12мм ГОСТ 8732-78</t>
  </si>
  <si>
    <t>24.20.13.01.12.10.24.11.2</t>
  </si>
  <si>
    <t>Стальная бесшовная горячедеформированная, 273х8мм ГОСТ 8732-78</t>
  </si>
  <si>
    <t>24.20.13.01.12.10.21.10.1</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</si>
  <si>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</si>
  <si>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</si>
  <si>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</si>
  <si>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</si>
  <si>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</si>
  <si>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</si>
  <si>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</si>
  <si>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</si>
  <si>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</si>
  <si>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</si>
  <si>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</si>
  <si>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</si>
  <si>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24.20.13.01.13.10.17.11.1</t>
  </si>
  <si>
    <t>Стальная, электросварная, прямошовная,   76х4 мм, ГОСТ 10704-91</t>
  </si>
  <si>
    <t>24.20.13.01.13.10.18.11.1</t>
  </si>
  <si>
    <t>Стальная, электросварная, прямошовная,   159х5 мм, ГОСТ 10704-91</t>
  </si>
  <si>
    <t>24.20.13.01.13.10.11.10.1</t>
  </si>
  <si>
    <t>Стальная, электросварная, прямошовная, 325х4, ГОСТ 10704-91</t>
  </si>
  <si>
    <t>24.20.13.01.13.10.11.11.1</t>
  </si>
  <si>
    <t>Стальная, электросварная, прямошовная, 325х7 ст.3, ГОСТ 10704-91</t>
  </si>
  <si>
    <t>24.20.13.01.13.10.11.11.2</t>
  </si>
  <si>
    <t>Подшипник 114</t>
  </si>
  <si>
    <t>Подшипник 115</t>
  </si>
  <si>
    <t>28.11.42.00.00.00.10.36.1</t>
  </si>
  <si>
    <t>блок цилиндров</t>
  </si>
  <si>
    <t>для дизельного двигателя</t>
  </si>
  <si>
    <t>28.11.42.00.00.00.10.22.1</t>
  </si>
  <si>
    <t>коленчатый вал</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</si>
  <si>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</si>
  <si>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</si>
  <si>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</si>
  <si>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29.10.19.00.00.30.19.11.2</t>
  </si>
  <si>
    <t>Коренной вкладыш</t>
  </si>
  <si>
    <t>29.10.19.00.00.40.19.11.2</t>
  </si>
  <si>
    <t>29.10.19.00.00.10.18.11.2</t>
  </si>
  <si>
    <t>Шатунный вкладыш</t>
  </si>
  <si>
    <t>29.10.19.00.00.20.18.11.2</t>
  </si>
  <si>
    <t>Труба стальная водогазопроводная неоцинкованная Ø88,5х4мм (Ду89)ГОСТ 3262-75</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</si>
  <si>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</si>
  <si>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</si>
  <si>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</si>
  <si>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</si>
  <si>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</si>
  <si>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</si>
  <si>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</si>
  <si>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</si>
  <si>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</si>
  <si>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24.20.31.01.10.10.18.11.1</t>
  </si>
  <si>
    <t>Стальная, водогазопроводная, сварная,  легкая, Условный проход - 50 мм, наружный диаметр - 60,0 мм, толщина стенки - 3,0 мм, ГОСТ 3262-75</t>
  </si>
  <si>
    <t>24.20.31.01.10.10.21.11.1</t>
  </si>
  <si>
    <t>Стальная, водогазопроводная, сварная,  легкая, Условный проход - 90 мм, наружный диаметр - 101,3 мм, толщина стенки - 3,5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</si>
  <si>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</si>
  <si>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</si>
  <si>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</si>
  <si>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Ø159х10,  90гр.Ст20, ГОСТ 17375-2001</t>
  </si>
  <si>
    <t>Отвод стальной Ø159х8,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</si>
  <si>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</si>
  <si>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</si>
  <si>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</si>
  <si>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Ø89х8,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</si>
  <si>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</si>
  <si>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</si>
  <si>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</si>
  <si>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</si>
  <si>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</si>
  <si>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</si>
  <si>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</si>
  <si>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</si>
  <si>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</si>
  <si>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Ø219х12,  90гр.Ст20, ГОСТ 17375-2001</t>
  </si>
  <si>
    <t>Отвод стальной Ø219х10,  90гр.Ст20, ГОСТ 17375-2001</t>
  </si>
  <si>
    <t>Отвод стальной Ø219х8,  90гр.Ст20, ГОСТ 17375-2001</t>
  </si>
  <si>
    <t>24.20.40.00.10.11.22.11.1</t>
  </si>
  <si>
    <t>Стальной, типоразмер (DНxS) - 426x9 - 426x16 мм, сталь марок 10, 20, 09Г2С, 10Г2, 20ЮЧ, 15ГС, ГОСТ 17375-83          </t>
  </si>
  <si>
    <t>24.20.40.00.10.11.20.11.1</t>
  </si>
  <si>
    <t>Стальной, типоразмер (DНxS) - 325x7 - 325x16 мм, сталь марок 10, 20, 09Г2С, 10Г2, 20ЮЧ, 15ГС, ГОСТ 17375-83        </t>
  </si>
  <si>
    <t>24.20.40.00.10.10.17.11.1</t>
  </si>
  <si>
    <t>Стальной, крутоизогнутый штампованный, диаметр 325х10, ГОСТ 17375 - 2001 </t>
  </si>
  <si>
    <t>24.20.40.00.10.11.19.11.1</t>
  </si>
  <si>
    <t>Стальной, типоразмер (DНxS) - 273x6 - 273x16 мм, сталь марок 10, 20, 09Г2С, 10Г2, 20ЮЧ, 15ГС, ГОСТ 17375-83      </t>
  </si>
  <si>
    <t>24.20.40.00.10.10.16.11.1</t>
  </si>
  <si>
    <t>Стальной, крутоизогнутый штампованный, диаметр 273х10, ГОСТ 17375 - 2001</t>
  </si>
  <si>
    <t>Отвод стальной Ø273х10,  90гр.Ст20, ГОСТ 17375-2002</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</si>
  <si>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</si>
  <si>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</si>
  <si>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</si>
  <si>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</si>
  <si>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24.20.40.00.10.10.15.14.1</t>
  </si>
  <si>
    <t>Стальной, крутоизогнутый штампованный, диаметр 219х12, ГОСТ 17375 - 2001    </t>
  </si>
  <si>
    <t>24.20.40.00.10.10.15.11.1</t>
  </si>
  <si>
    <t>Стальной, крутоизогнутый штампованный, диаметр 219х10, ГОСТ 17375 - 2001    </t>
  </si>
  <si>
    <t>24.20.40.00.10.10.15.09.1</t>
  </si>
  <si>
    <t>Стальной, крутоизогнутый штампованный, диаметр 219х8, ГОСТ 17375 - 2001  </t>
  </si>
  <si>
    <t>Стальной, типоразмер (DНxS) - 159x4 - 159x10 мм, сталь марок 10, 20, 09Г2С, 10Г2, 20ЮЧ, 15ГС, ГОСТ 17375-83    </t>
  </si>
  <si>
    <t>24.20.40.00.10.10.14.11.1</t>
  </si>
  <si>
    <t>Стальной, крутоизогнутый штампованный, диаметр 159х10, ГОСТ 17375 - 2001  </t>
  </si>
  <si>
    <t>24.20.40.00.10.11.17.11.1</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</si>
  <si>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</si>
  <si>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</si>
  <si>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</si>
  <si>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</si>
  <si>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</si>
  <si>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</si>
  <si>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24.20.40.00.10.11.11.11.1</t>
  </si>
  <si>
    <t>Стальной, типоразмер (DНxS) - 57x3 - 57x5, мм, сталь марок 10, 20, 09Г2С, 10Г2, 20ЮЧ, 15ГС, ГОСТ 17375-83</t>
  </si>
  <si>
    <t>24.20.13.01.12.10.17.11.1</t>
  </si>
  <si>
    <t>Фланец стальной 1-150-160, ГОСТ 12815-80*</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</si>
  <si>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</si>
  <si>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</si>
  <si>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</si>
  <si>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</si>
  <si>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1-150-16,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</si>
  <si>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</si>
  <si>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</si>
  <si>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</si>
  <si>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</si>
  <si>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</si>
  <si>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Изолирующее фланцевое соединение ИФС Ду50 Ру16МПа, ГОСТ 25660-83</t>
  </si>
  <si>
    <t>Фланец стальной 1-350-16, ГОСТ 12821-80</t>
  </si>
  <si>
    <t>Фланец стальной 1-250-16, ГОСТ 12821-80</t>
  </si>
  <si>
    <t>Переход стальной К159х4,5 – 108х4, ГОСТ17378-2001</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</si>
  <si>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</si>
  <si>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</si>
  <si>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</si>
  <si>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</si>
  <si>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</si>
  <si>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</si>
  <si>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</si>
  <si>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</si>
  <si>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</si>
  <si>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</si>
  <si>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</si>
  <si>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</si>
  <si>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</si>
  <si>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</si>
  <si>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ЗКЛ-2-150-16, 30с41нж , 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</si>
  <si>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</si>
  <si>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</si>
  <si>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стальная с ответными фланцами ЗКЛ-2-80-64, 31с45нж,Клиновая с ручным приводом в комплекте с ответными фланцами, шпильками, гайками, прокладками, ТУ 3741-001-07533604-94</t>
  </si>
  <si>
    <t xml:space="preserve">Задвижка стальная с ответными фланцами ЗКЛ-2-80-16, 31с45нж,Клиновая с ручным приводом в комплекте с ответными фланцами, шпильками, гайками, прокладками, ТУ 3741-001-07533604-94 </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</si>
  <si>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</si>
  <si>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</si>
  <si>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Задвижка шиберная ЗМС Ду65Ру140, ТУ3665-003-74208584-2007</t>
  </si>
  <si>
    <t>Дроссель регулируемый ДРП 50/210, Ду50 Ру210</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</si>
  <si>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</si>
  <si>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</si>
  <si>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</si>
  <si>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</si>
  <si>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</si>
  <si>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28.14.11.13.00.00.00.02.1</t>
  </si>
  <si>
    <t>Клапан регулирующий дроссельный</t>
  </si>
  <si>
    <t>Клапан дроссельный проходной</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</si>
  <si>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</si>
  <si>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</si>
  <si>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</si>
  <si>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</si>
  <si>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Труба стальная прямоугольная 80х40х3мм, ГОСТ 8645-68</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</si>
  <si>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</si>
  <si>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</si>
  <si>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</si>
  <si>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</si>
  <si>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</si>
  <si>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</si>
  <si>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Огнепреградитель ОП 200АА У1,    ТУ 3689-014-10524112-02</t>
  </si>
  <si>
    <t>Генератор пены ГПСС-2000 ДСТУ 2113-92Е, (ГОСТ 12962-93)</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</si>
  <si>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</si>
  <si>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</si>
  <si>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</si>
  <si>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</si>
  <si>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</si>
  <si>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</si>
  <si>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</si>
  <si>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</si>
  <si>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Отборное устройство давления 16-200-Ст-Л, ТУ 4218-008-51216464-01</t>
  </si>
  <si>
    <t xml:space="preserve">Клапан обратный поворотный КОП-250-16, 19с38нж, фланцевый Ду250 Ру1,6МПа, в комплекте с ответными фланцами и крепежом </t>
  </si>
  <si>
    <t xml:space="preserve">Клапан обратный  фланцевый Ду100 Ру40, в комплекте с ответными фланцами и крепежом, 19с53нж  </t>
  </si>
  <si>
    <t>Клапан обратный поворотный  фланцевый Ду80, Ру40 МПа, 19с53нж, с ответными фланцами и крепежом</t>
  </si>
  <si>
    <t>26.30.50.00.00.00.05.20.1</t>
  </si>
  <si>
    <t>Пеногенератор</t>
  </si>
  <si>
    <t>стационарный</t>
  </si>
  <si>
    <t>26.51.82.00.00.00.05.25.1</t>
  </si>
  <si>
    <t>Отборное устройство давления</t>
  </si>
  <si>
    <t>для приборов измерения давления</t>
  </si>
  <si>
    <t>28.14.13.56.00.00.00.01.1</t>
  </si>
  <si>
    <t>Быстроразъемное соединение</t>
  </si>
  <si>
    <t>стальное</t>
  </si>
  <si>
    <t>Быстроразъемное соединение 4-100-Р-0, Ду-100, с ручкой</t>
  </si>
  <si>
    <t>Термометр</t>
  </si>
  <si>
    <t>Клапан предохранительный СППК5Р 80-16, 17с6нж, Пружинный с ручным подрывом, СППК5Р, Ду-80, Ру-16, 17с6нж, ТУ26-07-367-85</t>
  </si>
  <si>
    <t>Клапан обратный Ду-25, 16ч3р, муфтовый</t>
  </si>
  <si>
    <t>Клапан обратный Ду-25,16кч11р, муфтовый</t>
  </si>
  <si>
    <t>Предохранительный пружинный клапан</t>
  </si>
  <si>
    <t>Предохранительный клапан пружинный, стальной,  тип соединенеия- фланцевое</t>
  </si>
  <si>
    <t>28.14.13.15.00.00.00.12.1</t>
  </si>
  <si>
    <t>Клапан обратный стальной, условное давление P -16 Мпа, тип присоединения к трубопроводу - муфтовое ГОСТ 27477-87</t>
  </si>
  <si>
    <t>23.44.11.00.00.00.23.23.1</t>
  </si>
  <si>
    <t>Вставка</t>
  </si>
  <si>
    <t>Вентиль стальной фланцевой Ду25, Ру16,15нж64бк, в комплекте с ответными фланцами, шпильками, гайками, прокладками</t>
  </si>
  <si>
    <t>Вентиль стальной фланцевой Ду20, Ру16, 15нж64бк, в комплекте с ответными фланцами, шпильками, гайками, прокладками</t>
  </si>
  <si>
    <t>Кран шаровой Ду15, Ру16, муфтовый латунный 11Б27п1, ГОСТ 21345-78</t>
  </si>
  <si>
    <t>Кран шаровой Ду20, Ру16, муфтовый латунный 11Б27п1, ГОСТ 21345-78</t>
  </si>
  <si>
    <t>Кран шаровой Ду32, Ру16, муфтовый латунный 11Б27п1, ГОСТ 21345-78</t>
  </si>
  <si>
    <t>Кран шаровой Ду50, Ру16, муфтовый латунный 11Б27п1, ГОСТ 21345-78</t>
  </si>
  <si>
    <t>28.14.13.42.00.00.00.05.1</t>
  </si>
  <si>
    <t>Вентиль запорный</t>
  </si>
  <si>
    <t>Вентиль запорный фланцевый стальной прямоточный</t>
  </si>
  <si>
    <t>28.14.13.45.00.00.00.01.1</t>
  </si>
  <si>
    <t>Вентиль бронзовый</t>
  </si>
  <si>
    <t>Вентиль бронзовый проходной муфтовый</t>
  </si>
  <si>
    <t>Кран шаровый</t>
  </si>
  <si>
    <t>28.14.13.22.00.00.00.68.1</t>
  </si>
  <si>
    <t>Шаровой кран, общепромышленного назначения, номинальный диаметр 20 мм ГОСТ 21345-2005</t>
  </si>
  <si>
    <t>28.14.13.22.00.00.00.53.1</t>
  </si>
  <si>
    <t>ГОСТ 28343-89,  кран шаровой стальной фланцевый, условный проход 50 мм</t>
  </si>
  <si>
    <t>Кран шаровый фланцевый Ду20, Ру16, 11с67п, в комплекте с ответными фланцами, шпильками, гайками, прокладками. ГОСТ 28343-89</t>
  </si>
  <si>
    <t>Кран шаровый фланцевый Ду25, Ру16, 11с67п, в комплекте с ответными фланцами, шпильками, гайками, прокладками. ГОСТ 28343-89</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</si>
  <si>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</si>
  <si>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</si>
  <si>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</si>
  <si>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</si>
  <si>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</si>
  <si>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28.14.13.22.00.00.00.69.1</t>
  </si>
  <si>
    <t>Шаровой кран, общепромышленного назначения, номинальный диаметр 25 мм ГОСТ 21345-2005</t>
  </si>
  <si>
    <t>22.21.29.00.00.35.40.11.1</t>
  </si>
  <si>
    <t>Кран</t>
  </si>
  <si>
    <t>маевского</t>
  </si>
  <si>
    <t>26.30.50.00.00.00.03.20.1</t>
  </si>
  <si>
    <t>Гидрант</t>
  </si>
  <si>
    <t>пожарный</t>
  </si>
  <si>
    <t>Гидрант пожарный подземный Н-1м , с ответными фланцами, ГОСТ 8220-85</t>
  </si>
  <si>
    <t>28.14.13.48.00.00.00.01.1</t>
  </si>
  <si>
    <t>Вентиль латунный</t>
  </si>
  <si>
    <t>Вентиль латунный проходной муфтовый</t>
  </si>
  <si>
    <t>26.51.53.07.00.00.00.01.1</t>
  </si>
  <si>
    <t>Вентиль</t>
  </si>
  <si>
    <t>для пробоотборника</t>
  </si>
  <si>
    <t>24.20.40.00.15.10.10.11.1</t>
  </si>
  <si>
    <t>Стальной, ГОСТ 12815-80</t>
  </si>
  <si>
    <t>28.14.13.48.00.00.00.03.1</t>
  </si>
  <si>
    <t>Вентиль латунный угловой муфтовый</t>
  </si>
  <si>
    <t>28.24.22.00.00.00.11.11.1</t>
  </si>
  <si>
    <t>Кран запорно-регулировочный</t>
  </si>
  <si>
    <t>Труба полиэтиленовая канализационная  Ø50мм,ГОСТ 22689.0-89</t>
  </si>
  <si>
    <t>Труба полиэтиленовая канализационная Ø100мм, ГОСТ 22689.0-89</t>
  </si>
  <si>
    <t>22.21.21.00.00.40.71.10.2</t>
  </si>
  <si>
    <t>пластиковая, канализационная</t>
  </si>
  <si>
    <t>22.21.29.00.00.23.33.19.1</t>
  </si>
  <si>
    <t>Отвод из полиэтилена с углом поворота 90 градусов диаметр 110 мм</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</si>
  <si>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</si>
  <si>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</si>
  <si>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</si>
  <si>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</si>
  <si>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</si>
  <si>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</si>
  <si>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</si>
  <si>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</si>
  <si>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22.21.29.00.00.12.40.13.1</t>
  </si>
  <si>
    <t>тройник переходной из полиэтилена низкого давления с уголом поворота 90º, диаметр 50 мм</t>
  </si>
  <si>
    <t>22.21.29.00.00.12.41.12.1</t>
  </si>
  <si>
    <t>тройник редукционный полиэтиленовый переходной из полиэтилена низкого давления диаметр 110х63 мм</t>
  </si>
  <si>
    <t>22.21.29.00.00.12.50.20.1</t>
  </si>
  <si>
    <t>тройник из поливинилхлорида равносторонний 90 градусов, диаметр в мм 110</t>
  </si>
  <si>
    <t>22.21.29.00.00.29.10.01.1</t>
  </si>
  <si>
    <t>муфта полиэтиленовая</t>
  </si>
  <si>
    <t>22.21.29.00.00.30.30.10.1</t>
  </si>
  <si>
    <t>заглушка</t>
  </si>
  <si>
    <t>заглушка из полиэтилена</t>
  </si>
  <si>
    <t>22.21.29.40.10.10.10.10.1</t>
  </si>
  <si>
    <t>Трап</t>
  </si>
  <si>
    <t>Полипропиленовый, прямой</t>
  </si>
  <si>
    <t>22.21.29.00.00.25.30.10.1</t>
  </si>
  <si>
    <t>Крестовина из полиэтилена 1-плоскостная диаметр</t>
  </si>
  <si>
    <t>Труба полипропиленовая PN20 для отопления (стекловолокно) диаметр в мм/толщина в мм/давление атм 20/2,8/20</t>
  </si>
  <si>
    <t>22.21.21.00.00.40.23.10.2</t>
  </si>
  <si>
    <t>22.21.21.00.00.40.23.11.2</t>
  </si>
  <si>
    <t>Труба полипропиленовая PN20 для отопления (стекловолокно) диаметр в мм/толщина в мм/давление атм 25/3,5/20</t>
  </si>
  <si>
    <t>22.21.21.00.00.40.23.12.2</t>
  </si>
  <si>
    <t>Труба полипропиленовая PN20 для отопления (стекловолокно) диаметр в мм/толщина в мм/давление атм 32/4,4/20</t>
  </si>
  <si>
    <t>22.21.21.00.00.40.23.13.2</t>
  </si>
  <si>
    <t>Труба полипропиленовая PN20 для отопления (стекловолокно) диаметр в мм/толщина в мм/давление атм 40/5,5/20</t>
  </si>
  <si>
    <t>22.21.21.00.00.40.23.14.2</t>
  </si>
  <si>
    <t>Труба полипропиленовая PN20 для отопления (стекловолокно) диаметр в мм/толщина в мм/давление атм 50/6,9/20</t>
  </si>
  <si>
    <t>22.21.29.00.00.23.13.11.1</t>
  </si>
  <si>
    <t>Отвод полипропиленовый с углом поворота 90 градусов диаметр 20 мм</t>
  </si>
  <si>
    <t>22.21.29.00.00.23.13.12.1</t>
  </si>
  <si>
    <t>Отвод полипропиленовый с углом поворота 90 градусов диаметр 25 мм</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</si>
  <si>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</si>
  <si>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</si>
  <si>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</si>
  <si>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</si>
  <si>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</si>
  <si>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</si>
  <si>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</si>
  <si>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</si>
  <si>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</si>
  <si>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</si>
  <si>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</si>
  <si>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</si>
  <si>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</si>
  <si>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</si>
  <si>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</si>
  <si>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Унитаз с бачком, Тип Компакт, комплектация:  арматура, комплект крепления унитаза к полу, цвет белый</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</si>
  <si>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</si>
  <si>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</si>
  <si>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</si>
  <si>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</si>
  <si>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Смеситель для мойки См-МДЦБА, двухрукояточный, хром, поворотный излив, высота излива 185мм, кранбукс резиновый, гибкая подводка 1/2 дюйма, ГОСТ 25809-96</t>
  </si>
  <si>
    <t>Смеситель для умывальника См-УмДЦБА, двухрукояточный, хром, поворотный излив,  кранбукс резиновый, гибкая подводка 1/2 дюйма, ГОСТ 25809-96</t>
  </si>
  <si>
    <t>Смеситель для душа См-ДшДРНШл, Никелированная стойка, с гибким шлангом и лейкой, ГОСТ 25809-96</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</si>
  <si>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</si>
  <si>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</si>
  <si>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23.42.10.12.00.00.33.20.1</t>
  </si>
  <si>
    <t>Унитаз</t>
  </si>
  <si>
    <t>унитаз фаянсовый воронкообразный с косым выпуском с цельноотлитой полочкой с бачком.  ГОСТ 30493-96</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</si>
  <si>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</si>
  <si>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</si>
  <si>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</si>
  <si>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</si>
  <si>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</si>
  <si>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</si>
  <si>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</si>
  <si>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</si>
  <si>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</si>
  <si>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</si>
  <si>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</si>
  <si>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</si>
  <si>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</si>
  <si>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</si>
  <si>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</si>
  <si>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</si>
  <si>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25.99.11.00.00.22.10.10.1</t>
  </si>
  <si>
    <t>Смеситель душевой</t>
  </si>
  <si>
    <t>Электросушитель для рук</t>
  </si>
  <si>
    <t>Термический, механический, пластиковый</t>
  </si>
  <si>
    <t>Шпилька М27х220, ГОСТ 9066-75</t>
  </si>
  <si>
    <t>25.94.11.00.00.26.40.01.1</t>
  </si>
  <si>
    <t>Шпилька</t>
  </si>
  <si>
    <t>длина 220 мм</t>
  </si>
  <si>
    <t>25.94.11.00.00.26.54.01.1</t>
  </si>
  <si>
    <t>длина 210 мм</t>
  </si>
  <si>
    <t>25.94.11.00.00.26.31.01.1</t>
  </si>
  <si>
    <t>длина 120 мм</t>
  </si>
  <si>
    <t>25.94.11.00.00.26.27.01.1</t>
  </si>
  <si>
    <t>длина 100 мм</t>
  </si>
  <si>
    <t>Шпилька М20х250, ГОСТ 9066-75</t>
  </si>
  <si>
    <t>25.94.11.00.00.26.42.01.1</t>
  </si>
  <si>
    <t>длина 260 мм</t>
  </si>
  <si>
    <t>25.94.11.00.00.26.23.01.1</t>
  </si>
  <si>
    <t>длина 80 мм</t>
  </si>
  <si>
    <t>25.94.11.00.00.12.13.10.3</t>
  </si>
  <si>
    <t>Гайка</t>
  </si>
  <si>
    <t>Шестигранная</t>
  </si>
  <si>
    <t>Гайка М30, ГОСТ 5915-70</t>
  </si>
  <si>
    <t>Гайка М27, ГОСТ 5915-70</t>
  </si>
  <si>
    <t>Гайка М24, ГОСТ 5915-70</t>
  </si>
  <si>
    <t>Гайка М20, ГОСТ 5915-70</t>
  </si>
  <si>
    <t>Гайка М16, ГОСТ 5915-70</t>
  </si>
  <si>
    <t>Гайка М12, ГОСТ 5915-70</t>
  </si>
  <si>
    <t>Гайка М10, ГОСТ 9515-70</t>
  </si>
  <si>
    <t>Шайба 27, ГОСТ 11371-83</t>
  </si>
  <si>
    <t>Шайба 24, ГОСТ 11371-83</t>
  </si>
  <si>
    <t>Шайба 20, ГОСТ 11371-83</t>
  </si>
  <si>
    <t>Шайба 16, ГОСТ 11371-83</t>
  </si>
  <si>
    <t>25.94.12.00.00.10.12.14.1</t>
  </si>
  <si>
    <t>стопорная с носком для резьбы с диаметром 27 мм</t>
  </si>
  <si>
    <t>25.94.12.00.00.10.13.13.1</t>
  </si>
  <si>
    <t>стопорная с лапкой для резьбы с диаметром 24 мм</t>
  </si>
  <si>
    <t>25.94.12.00.00.10.13.11.1</t>
  </si>
  <si>
    <t>стопорная с лапкой для резьбы с диаметром 20 мм</t>
  </si>
  <si>
    <t>25.94.12.00.00.10.13.09.1</t>
  </si>
  <si>
    <t>стопорная с лапкой для резьбы с диаметром 16 мм</t>
  </si>
  <si>
    <t>Болт с двумя гайками и шайбой М16х60, оцинкованные с покрытием полная резьба с гайкой и шайбой, ГОСТ 7798-70, ГОСТ 5915-70</t>
  </si>
  <si>
    <t>Болт с гайкой и шайбой М12х35, оцинкованные с покрытием полная резьба с гайкой и шайбой, ГОСТ 7798-70, ГОСТ 5915-70</t>
  </si>
  <si>
    <t>Болт с гайкой и шайбой М8х45,  оцинкованные с покрытием полная резьба с гайкой и шайбой, ГОСТ 7798-70, ГОСТ 5915-70</t>
  </si>
  <si>
    <t>Болт с гайкой и шайбой М8х30,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</si>
  <si>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</si>
  <si>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М6х40,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</si>
  <si>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</si>
  <si>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</si>
  <si>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</si>
  <si>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</si>
  <si>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</si>
  <si>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</si>
  <si>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</si>
  <si>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</si>
  <si>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</si>
  <si>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</si>
  <si>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25.94.11.00.00.17.10.24.1</t>
  </si>
  <si>
    <t>Болт с шестигранной головкой  с  диаметром резьбы 6 мм , длиной болта 40 мм</t>
  </si>
  <si>
    <t>25.94.11.00.00.17.10.25.1</t>
  </si>
  <si>
    <t>Болт с шестигранной головкой  с  диаметром резьбы 6 мм , длиной болта 45 мм</t>
  </si>
  <si>
    <t>25.94.11.00.00.17.11.20.1</t>
  </si>
  <si>
    <t>Болт с шестигранной головкой  с  диаметром резьбы 8 мм , длиной болта 30 мм</t>
  </si>
  <si>
    <t>25.94.11.00.00.17.11.25.1</t>
  </si>
  <si>
    <t>Болт с шестигранной головкой  с  диаметром резьбы 8 мм , длиной болта 45 мм</t>
  </si>
  <si>
    <t>25.94.11.00.00.17.13.22.1</t>
  </si>
  <si>
    <t>Болт с шестигранной головкой  с  диаметром резьбы 12 мм , длиной болта 35 мм</t>
  </si>
  <si>
    <t>25.94.11.00.00.17.15.28.1</t>
  </si>
  <si>
    <t>Болт с шестигранной головкой  с  диаметром резьбы 16 мм , длиной болта 60 мм</t>
  </si>
  <si>
    <t>25.94.12.00.00.11.10.14.1</t>
  </si>
  <si>
    <t>Саморез</t>
  </si>
  <si>
    <t>Саморез с цилиндрической головкой</t>
  </si>
  <si>
    <t>25.94.12.00.00.12.12.10.1</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</si>
  <si>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</si>
  <si>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</si>
  <si>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</si>
  <si>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</si>
  <si>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</si>
  <si>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</si>
  <si>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</si>
  <si>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</si>
  <si>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Гвозди строительные К 2,5х60, ГОСТ 4028-63*</t>
  </si>
  <si>
    <t>Гвозди строительные К 2,5х50, ГОСТ 4028-63*</t>
  </si>
  <si>
    <t>Гвоздь</t>
  </si>
  <si>
    <t>25.93.14.00.00.10.11.20.1</t>
  </si>
  <si>
    <t>ГОСТ 4034-63, гвозди с плоской головкой 2,5х50 мм</t>
  </si>
  <si>
    <t>25.93.14.00.00.10.17.28.1</t>
  </si>
  <si>
    <t>ГОСТ 4028-63, 2,5х60 мм</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</si>
  <si>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</si>
  <si>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</si>
  <si>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</si>
  <si>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</si>
  <si>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</si>
  <si>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</si>
  <si>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</si>
  <si>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</si>
  <si>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</si>
  <si>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</si>
  <si>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</si>
  <si>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</si>
  <si>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</si>
  <si>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</si>
  <si>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</si>
  <si>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</si>
  <si>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</si>
  <si>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Резина маслобензостойкая МБС-С, толщина 6мм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</si>
  <si>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</si>
  <si>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</si>
  <si>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</si>
  <si>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</si>
  <si>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</si>
  <si>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</si>
  <si>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</si>
  <si>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</si>
  <si>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</si>
  <si>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</si>
  <si>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</si>
  <si>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</si>
  <si>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22.19.26.00.00.00.00.04.1</t>
  </si>
  <si>
    <t>Резина круглая МБС ф= 6мм</t>
  </si>
  <si>
    <t>Резина круглая МБС ф= 6мм.</t>
  </si>
  <si>
    <t>Краска эмаль ПФ-115 черная, ГОСТ 6465-76, расфассовка по 50кг</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</si>
  <si>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</si>
  <si>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</si>
  <si>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</si>
  <si>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</si>
  <si>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</si>
  <si>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голубая,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</si>
  <si>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</si>
  <si>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</si>
  <si>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</si>
  <si>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</si>
  <si>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20.30.21.00.21.06.12.09.1</t>
  </si>
  <si>
    <t>ПФ-115 высший сорт голубой 423, массовая доля нелетучих веществ, %, не менее 60-66, ГОСТ 6465-76</t>
  </si>
  <si>
    <t>20.30.21.00.21.06.13.24.1</t>
  </si>
  <si>
    <t>ПФ-115 первый сорт черный, массовая доля нелетучих веществ, %, не менее 49-55,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</si>
  <si>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</si>
  <si>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</si>
  <si>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</si>
  <si>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</si>
  <si>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</si>
  <si>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</si>
  <si>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</si>
  <si>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</si>
  <si>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</si>
  <si>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</si>
  <si>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</si>
  <si>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</si>
  <si>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</si>
  <si>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Двухкомпонентная краска Transpoxy TAR AA 2.12, расфассовка по 20л</t>
  </si>
  <si>
    <t>20.30.21.00.23.00.00.10.1</t>
  </si>
  <si>
    <t>двухкомпонентная, с отвердителем</t>
  </si>
  <si>
    <t>Двухкомпонентная краска Transpoxy Primer 1.16, расфассовка по 20л</t>
  </si>
  <si>
    <t>Растворитель EPOXY TRINNER 6.03, расфассовка по 20л</t>
  </si>
  <si>
    <t>Грунтовка НЕМРАDUR -15570, расфассовка по 20л</t>
  </si>
  <si>
    <t>Краска НЕМРАDUR -15130, расфассовка по 20л</t>
  </si>
  <si>
    <t>20.30.21.00.26.00.00.10.1</t>
  </si>
  <si>
    <t>Грунт-эмаль</t>
  </si>
  <si>
    <t>однокомпонентная</t>
  </si>
  <si>
    <t>20.30.21.00.21.01.11.00.1</t>
  </si>
  <si>
    <t>грунтовая</t>
  </si>
  <si>
    <t>20.59.59.00.17.10.20.01.1</t>
  </si>
  <si>
    <t>Растворитель</t>
  </si>
  <si>
    <t>жидкость для растворения различных органических веществ</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</si>
  <si>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</si>
  <si>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</si>
  <si>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</si>
  <si>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</si>
  <si>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</si>
  <si>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</si>
  <si>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</si>
  <si>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</si>
  <si>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</si>
  <si>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</si>
  <si>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</si>
  <si>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</si>
  <si>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</si>
  <si>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</si>
  <si>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Пудра алюминиевая, Марка ПАП-1, ГОСТ 5494-95</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</si>
  <si>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</si>
  <si>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</si>
  <si>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</si>
  <si>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</si>
  <si>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</si>
  <si>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20.30.22.00.00.00.67.10.1</t>
  </si>
  <si>
    <t>Алюминиевая пудра (серебрянка)</t>
  </si>
  <si>
    <t>марки ПАП-1, ГОСТ 5494-95</t>
  </si>
  <si>
    <t>Колеровочная паста: розовый, ISEP-Color, универсальный №1, объем 0,25л</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</si>
  <si>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</si>
  <si>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</si>
  <si>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</si>
  <si>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</si>
  <si>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</si>
  <si>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</si>
  <si>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</si>
  <si>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</si>
  <si>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</si>
  <si>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</si>
  <si>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</si>
  <si>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</si>
  <si>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</si>
  <si>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</si>
  <si>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</si>
  <si>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</si>
  <si>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</si>
  <si>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</si>
  <si>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</si>
  <si>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гипсовая "AlinEX Глатт"в мешках по 25кг</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</si>
  <si>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</si>
  <si>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</si>
  <si>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</si>
  <si>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Пена монтажная, Морозостойкий, емкость 750мл</t>
  </si>
  <si>
    <t>Герметик силиконовый, Универсальный, емкость 310мл</t>
  </si>
  <si>
    <t>Серпянка самоклеящаяся,  размер 50ммх90м</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</si>
  <si>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</si>
  <si>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</si>
  <si>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</si>
  <si>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</si>
  <si>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</si>
  <si>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</si>
  <si>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</si>
  <si>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</si>
  <si>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</si>
  <si>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</si>
  <si>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</si>
  <si>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</si>
  <si>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</si>
  <si>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20.59.59.00.16.00.00.14.3</t>
  </si>
  <si>
    <t>Монтажная пена (пенополиуретановый герметик)</t>
  </si>
  <si>
    <t>однокомпонентная, зимняя, в аэрозольной упаковке, бытовая</t>
  </si>
  <si>
    <t>20.52.10.00.00.00.09.09.4</t>
  </si>
  <si>
    <t>марки У-30М, ГОСТ 13489-79</t>
  </si>
  <si>
    <t>22.29.21.20.00.00.10.20.1</t>
  </si>
  <si>
    <t>Серпянка</t>
  </si>
  <si>
    <t>лента в виде переплетенных стекловолокон для армирования, соединения и укрепления гипсокартонных плит, ДСП, ДВП и других листовых материалов</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</si>
  <si>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</si>
  <si>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</si>
  <si>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</si>
  <si>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Керомогранит, 600х600мм на польный не скользящий с шероховатыстый</t>
  </si>
  <si>
    <t>Керамогранит 300х300мм настенный</t>
  </si>
  <si>
    <t>Подвесной потолок "Армстронг", Потолочная плитка 600х600</t>
  </si>
  <si>
    <t>Гипсокартон влагостойки 12,5мм, для облицовка стен, ГОСТ 2666-97</t>
  </si>
  <si>
    <t>Панели ХДМ, пластиковый, с комплектующими</t>
  </si>
  <si>
    <t>Комплектующие к подвесного потолка "Армстронг", Несущий профиль белый Т24х32 L=3700</t>
  </si>
  <si>
    <t>Комплектующие к подвесного потолка "Армстронг", Поперечный профиль белый Т24х28 L=1200</t>
  </si>
  <si>
    <t>Профиль для гипсокартона 60х27, Комплектующие к ГКЛ</t>
  </si>
  <si>
    <t>Профиль для гипсокартона 28х27, Комплектующие к ГКЛ</t>
  </si>
  <si>
    <t>Подвес S-3, Комплектующие к подвесного потолка "Армстронг"</t>
  </si>
  <si>
    <t>Профиль угловой белый 19/24 L=3000, Комплектующие к подвесного потолка "Армстронг"</t>
  </si>
  <si>
    <t>Поперечный профиль белый Т24х28 L=600, Комплектующие к подвесного потолка "Армстронг"</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</si>
  <si>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</si>
  <si>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</si>
  <si>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</si>
  <si>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</si>
  <si>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</si>
  <si>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</si>
  <si>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Решетки вентиляционные настенные  Размер 200х200(h)</t>
  </si>
  <si>
    <t>Решетки вентиляционные настенные Размер 150х200(h)</t>
  </si>
  <si>
    <t>Перила из хромированного металла, Высота перил 900мм. Перила 1-го м.п. (комплект): поручень Ø50,8мм; стойка Ø38,0мм – 2шт; ригель Ø16,0мм – 3шт; держатель поручня «чашечка» - 2шт; низ стойки (фланец) – 2шт</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</si>
  <si>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</si>
  <si>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</si>
  <si>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</si>
  <si>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</si>
  <si>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</si>
  <si>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23.31.10.01.03.01.01.15.1</t>
  </si>
  <si>
    <t>Плитка (керамогранит)</t>
  </si>
  <si>
    <t>из керамического грамита, напольная, размер 600х600 мм</t>
  </si>
  <si>
    <t>23.31.10.01.03.02.01.15.1</t>
  </si>
  <si>
    <t>из керамического грамита, фасадная, размер 600х600 мм</t>
  </si>
  <si>
    <t>23.31.10.01.03.02.01.07.1</t>
  </si>
  <si>
    <t>из керамического грамита, фасадная, размер 300х300 мм</t>
  </si>
  <si>
    <t>22.23.11.00.00.30.10.12.1</t>
  </si>
  <si>
    <t>плитка</t>
  </si>
  <si>
    <t>Неламинированная потолочная плитка  , размеры 600*600 мм, толщина 8 мм</t>
  </si>
  <si>
    <t>23.62.10.00.10.14.02.93.2</t>
  </si>
  <si>
    <t>Лист гипсокартонный (гипсокартон)</t>
  </si>
  <si>
    <t>22.23.11.00.00.20.10.10.1</t>
  </si>
  <si>
    <t>Панель</t>
  </si>
  <si>
    <t>Панель стеновая из поливинилхлорида</t>
  </si>
  <si>
    <t>25.11.23.00.00.10.40.11.4</t>
  </si>
  <si>
    <t>Профиль</t>
  </si>
  <si>
    <t>Из алюминия</t>
  </si>
  <si>
    <t>25.11.23.00.00.10.40.12.4</t>
  </si>
  <si>
    <t>оцинкованный для гипсокартона</t>
  </si>
  <si>
    <t>24.33.11.00.13.10.10.11.1</t>
  </si>
  <si>
    <t>Подвес</t>
  </si>
  <si>
    <t>из стали оцинкованной по ГОСТ Р 52246—2004, ГОСТ 14918—80</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</si>
  <si>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</si>
  <si>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</si>
  <si>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</si>
  <si>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</si>
  <si>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</si>
  <si>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</si>
  <si>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марки Д 50Н, ГОСТ 18992-80</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</si>
  <si>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</si>
  <si>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</si>
  <si>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</si>
  <si>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</si>
  <si>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</si>
  <si>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</si>
  <si>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</si>
  <si>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</si>
  <si>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</si>
  <si>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</si>
  <si>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</si>
  <si>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</si>
  <si>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</si>
  <si>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</si>
  <si>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</si>
  <si>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</si>
  <si>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</si>
  <si>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</si>
  <si>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марки КС-1, размер 1130х380х7,5 мм, ГОСТ 30340-95</t>
  </si>
  <si>
    <t>25.93.13.00.00.10.18.50.1</t>
  </si>
  <si>
    <t>Решетка</t>
  </si>
  <si>
    <t>вентиляционная</t>
  </si>
  <si>
    <t>25.72.14.00.00.20.13.10.1</t>
  </si>
  <si>
    <t>Перила</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</si>
  <si>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</si>
  <si>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</si>
  <si>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</si>
  <si>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</si>
  <si>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</si>
  <si>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</si>
  <si>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</si>
  <si>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</si>
  <si>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</si>
  <si>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</si>
  <si>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</si>
  <si>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</si>
  <si>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</si>
  <si>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</si>
  <si>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</si>
  <si>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</si>
  <si>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</si>
  <si>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</si>
  <si>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</si>
  <si>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</si>
  <si>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</si>
  <si>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</si>
  <si>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</si>
  <si>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</si>
  <si>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</si>
  <si>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</si>
  <si>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</si>
  <si>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</si>
  <si>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</si>
  <si>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</si>
  <si>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</si>
  <si>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</si>
  <si>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</si>
  <si>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</si>
  <si>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</si>
  <si>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</si>
  <si>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</si>
  <si>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</si>
  <si>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</si>
  <si>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</si>
  <si>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неравнополочный 110х70х7, Ст3пс5, ГОСТ 8510-86*</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</si>
  <si>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</si>
  <si>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</si>
  <si>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</si>
  <si>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</si>
  <si>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</si>
  <si>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</si>
  <si>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</si>
  <si>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широкополочный 45Ш1, СТО АСЧМ20-95,ГОСТ 27772-88*</t>
  </si>
  <si>
    <t>Двутавр специальный 36М, СТО АСЧМ20-95,ГОСТ 27772-88*</t>
  </si>
  <si>
    <t>Двутавр нормальный (Б) 55Б1, СТО АСЧМ20-95,ГОСТ 27772-88*</t>
  </si>
  <si>
    <t>Двутавр №30М, стальные горячекатаные, ГОСТ 8239-89</t>
  </si>
  <si>
    <t>Двутавр №22, стальные горячекатаные, ГОСТ 8239-89</t>
  </si>
  <si>
    <t>Швеллер 24П, Ст3пс5. ГОСТ 8240-97</t>
  </si>
  <si>
    <t>Швеллер 20П, Ст3пс5. ГОСТ 8240-97</t>
  </si>
  <si>
    <t>Швеллер 16П, Ст3пс5. ГОСТ 8240-97</t>
  </si>
  <si>
    <t>Швеллер 14П, Ст3пс5. ГОСТ 8240-97</t>
  </si>
  <si>
    <t>Швеллер 12П, Ст3пс5. ГОСТ 8240-97</t>
  </si>
  <si>
    <t>Швеллер 10П, Ст3пс5. ГОСТ 8240-97</t>
  </si>
  <si>
    <t>Швеллер 8П, Ст3пс5. ГОСТ 8240-97</t>
  </si>
  <si>
    <t>Профиль o  160х5мм, ГОСТ30245-94,ГОСТ27772-88*</t>
  </si>
  <si>
    <t>Профили стальные, гнутые  o 180х80х5, ГОСТ8278-83,ГОСТ27772-88</t>
  </si>
  <si>
    <t>Квадрат стальной 10х10мм, ГОСТ 2591-88</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</si>
  <si>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</si>
  <si>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</si>
  <si>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</si>
  <si>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</si>
  <si>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</si>
  <si>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</si>
  <si>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</si>
  <si>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</si>
  <si>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</si>
  <si>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6мм,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</si>
  <si>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</si>
  <si>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</si>
  <si>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</si>
  <si>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</si>
  <si>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</si>
  <si>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</si>
  <si>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</si>
  <si>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</si>
  <si>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</si>
  <si>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</si>
  <si>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</si>
  <si>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</si>
  <si>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</si>
  <si>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Сетка плетеная "Рабица" 2-50-3,0-0, Сетка с квадратной ячейкой №50, из оцинкованной проволоки, Ø3,0мм. Ширина 2м. ГОСТ 5336-80*</t>
  </si>
  <si>
    <t>Арматура стальная, класс А-I, Ø8мм, ГОСТ 5781-82</t>
  </si>
  <si>
    <t>Арматура стальная, класс А-I, Ø10мм,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</si>
  <si>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</si>
  <si>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</si>
  <si>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</si>
  <si>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</si>
  <si>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</si>
  <si>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</si>
  <si>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Проволока Ø2-П-2Ц-II стальная оцинкованная, ГОСТ 3282-74</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</si>
  <si>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</si>
  <si>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</si>
  <si>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</si>
  <si>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</si>
  <si>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</si>
  <si>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</si>
  <si>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</si>
  <si>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 xml:space="preserve">Уголок стальной 180х110х10, ГОСТ 8510-86*, Неравнополочный. Ст3пс5, </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</si>
  <si>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</si>
  <si>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</si>
  <si>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</si>
  <si>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</si>
  <si>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</si>
  <si>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</si>
  <si>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</si>
  <si>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</si>
  <si>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</si>
  <si>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</si>
  <si>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24.10.72.00.00.10.10.15.1</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</si>
  <si>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</si>
  <si>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</si>
  <si>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</si>
  <si>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</si>
  <si>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</si>
  <si>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</si>
  <si>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24.10.71.00.00.11.11.41.1</t>
  </si>
  <si>
    <t>Швеллеры</t>
  </si>
  <si>
    <t>стальные, горячекатаные, с параллельными гранями полок, № швеллера 24П, ГОСТ 8240-89</t>
  </si>
  <si>
    <t>24.10.71.00.00.11.11.33.1</t>
  </si>
  <si>
    <t>стальные, горячекатаные, с параллельными гранями полок, № швеллера 12П, ГОСТ 8240-89</t>
  </si>
  <si>
    <t>24.10.71.00.00.11.11.34.1</t>
  </si>
  <si>
    <t>стальные, горячекатаные, с параллельными гранями полок, № швеллера 14П, ГОСТ 8240-89</t>
  </si>
  <si>
    <t>24.10.71.00.00.11.11.35.1</t>
  </si>
  <si>
    <t>стальные, горячекатаные, с параллельными гранями полок, № швеллера 16П, ГОСТ 8240-89</t>
  </si>
  <si>
    <t>24.10.71.00.00.11.11.39.1</t>
  </si>
  <si>
    <t>стальные, горячекатаные, с параллельными гранями полок, № швеллера 20П, ГОСТ 8240-89</t>
  </si>
  <si>
    <t>24.10.71.00.00.11.11.31.1</t>
  </si>
  <si>
    <t>стальные, горячекатаные, с параллельными гранями полок, № швеллера 8П, ГОСТ 8240-89</t>
  </si>
  <si>
    <t>24.10.71.00.00.11.11.32.1</t>
  </si>
  <si>
    <t>стальные, горячекатаные, с параллельными гранями полок, № швеллера 10П, ГОСТ 8240-89</t>
  </si>
  <si>
    <t>25.93.13.00.00.10.21.10.2</t>
  </si>
  <si>
    <t>Профиль стальной</t>
  </si>
  <si>
    <t>ГОСТ 24045-94, Для настила покрытий</t>
  </si>
  <si>
    <t>24.10.36.00.00.11.00.00.1</t>
  </si>
  <si>
    <t>Прокат</t>
  </si>
  <si>
    <t>стальной горячекатаный квадратный</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</si>
  <si>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</si>
  <si>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</si>
  <si>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</si>
  <si>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</si>
  <si>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</si>
  <si>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</si>
  <si>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</si>
  <si>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</si>
  <si>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</si>
  <si>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</si>
  <si>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</si>
  <si>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</si>
  <si>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</si>
  <si>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</si>
  <si>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листовая  б-5 мм ГОСТ 19903-89 ст.3сп.</t>
  </si>
  <si>
    <t>24.10.31.00.00.11.10.13.2</t>
  </si>
  <si>
    <t>листовая б-6 мм ГОСТ 1050-88 (взамен ГОСТ 1050-74) ст.20</t>
  </si>
  <si>
    <t>24.10.31.00.00.11.11.10.1</t>
  </si>
  <si>
    <t>листовая</t>
  </si>
  <si>
    <t>24.10.31.00.00.11.11.13.2</t>
  </si>
  <si>
    <t>листовая б.-20 ГОСТ 19903-89 ст.3сп.</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</si>
  <si>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</si>
  <si>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</si>
  <si>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</si>
  <si>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</si>
  <si>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</si>
  <si>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</si>
  <si>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</si>
  <si>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листовая б-10 мм ГОСТ 19903-89 ст.3сп.</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</si>
  <si>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</si>
  <si>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</si>
  <si>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</si>
  <si>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</si>
  <si>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</si>
  <si>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</si>
  <si>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</si>
  <si>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</si>
  <si>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</si>
  <si>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</si>
  <si>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24.34.13.00.00.20.12.14.1</t>
  </si>
  <si>
    <t>Проволока стальная</t>
  </si>
  <si>
    <t>номинальным диаметром 2,0 мм, ГОСТ 10543-98</t>
  </si>
  <si>
    <t>24.34.13.00.00.20.14.01.1</t>
  </si>
  <si>
    <t>Сетка</t>
  </si>
  <si>
    <t>25.11.23.00.00.10.50.10.2</t>
  </si>
  <si>
    <t>Арматурная сталь</t>
  </si>
  <si>
    <t>ГОСТ 5781-81, класс арматурной стали А-I (240), диамер профиля 6-40 мм</t>
  </si>
  <si>
    <t>25.11.23.00.00.10.50.15.2</t>
  </si>
  <si>
    <t>ГОСТ 5781-81, класс арматурной стали А-III (A400), диамер профиля 6-40 мм</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</si>
  <si>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</si>
  <si>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</si>
  <si>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</si>
  <si>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</si>
  <si>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</si>
  <si>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</si>
  <si>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Брус деревянный 100х100мм, пиломатериалы хвойных пород, длина 6м,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</si>
  <si>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</si>
  <si>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</si>
  <si>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</si>
  <si>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</si>
  <si>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</si>
  <si>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</si>
  <si>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</si>
  <si>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 xml:space="preserve">Окно металлопластиковое, с подоконной доской и москитной сеткой </t>
  </si>
  <si>
    <t xml:space="preserve">Оконные блоки ОС деревянные, с фурнитурами и подоконниками, ГОСТ 11214-2003 </t>
  </si>
  <si>
    <t>Дверные блоки металлопластиковые с замком</t>
  </si>
  <si>
    <t>Дверные блоки деревянные ДГ 21-7, к-те с наличником, коробкой, порогом и петля ГОСТ 6629-88</t>
  </si>
  <si>
    <t>Дверные блоки деревянные ДГ 21-9, к-те с наличником, коробкой, порогом и петля ГОСТ 6629-88</t>
  </si>
  <si>
    <t>Дверные блоки деревянные ДНГ 21-9, к-те с наличником, коробкой, порогом и петля ГОСТ 14624-84</t>
  </si>
  <si>
    <t>Дверные блоки деревянные ДВГ 21-15, к-те с наличником, коробкой, порогом и петля ГОСТ 14624-84</t>
  </si>
  <si>
    <t>Дверный блок ДГ 21-7 декоративный, к-те с наличником, коробкой, порогом и петля</t>
  </si>
  <si>
    <t>Дверный блок ДГ 21-9 декоративный, к-те с наличником, коробкой, порогом и петля</t>
  </si>
  <si>
    <t>Дверный блок ДО 21-13 декоративный, к-те с наличником, коробкой, порогом и петля</t>
  </si>
  <si>
    <t>Замок врезной "КАЛЕ", врезной 152/R 35мм, 5 ключей в комплекте с ручкой</t>
  </si>
  <si>
    <t>Доводчик дверной дверной DS-41А</t>
  </si>
  <si>
    <t>Дверные блоки откатные 2,6х2,5м, Двери холодилных камер,откатные с рельсовым и направляющим изделием</t>
  </si>
  <si>
    <t>Дверные блоки 2,2х2,5м,откатные, Двери холодилных камер,откатные с рельсовым и направляющим изделием</t>
  </si>
  <si>
    <t>16.23.11.00.00.00.00.35.1</t>
  </si>
  <si>
    <t>Блок дверной</t>
  </si>
  <si>
    <t>Блок дверной в сборе (комплектно) филенчатый для жилых и общественных зданий</t>
  </si>
  <si>
    <t>25.12.10.00.00.14.15.10.1</t>
  </si>
  <si>
    <t>Дверной блок</t>
  </si>
  <si>
    <t>металлопластиковый</t>
  </si>
  <si>
    <t>Блок оконный</t>
  </si>
  <si>
    <t>16.23.11.00.00.00.00.10.3</t>
  </si>
  <si>
    <t>Блок оконный в сборе (комплектно) со спаренными переплетами для жилых и общественных зданий</t>
  </si>
  <si>
    <t>22.23.14.00.00.40.10.10.2</t>
  </si>
  <si>
    <t>Оконный блок</t>
  </si>
  <si>
    <t>из поливинилхлорида ГОСТ 30673-99</t>
  </si>
  <si>
    <t>25.72.11.00.00.12.14.10.1</t>
  </si>
  <si>
    <t>Замки врезные</t>
  </si>
  <si>
    <t>25.72.14.00.00.60.49.10.1</t>
  </si>
  <si>
    <t>Доводчик двери</t>
  </si>
  <si>
    <t>Доводчик до 90кг</t>
  </si>
  <si>
    <t>Плита дорожная ДП-8х2, ГОСТ 21924.0-84</t>
  </si>
  <si>
    <t>Опоры под трубопроводы ОТ-1,  9-4-6 с закладными деталями</t>
  </si>
  <si>
    <t>23.61.12.00.20.21.01.29.1</t>
  </si>
  <si>
    <t>Дорожная плита</t>
  </si>
  <si>
    <t>марки ПД10, ГОСТ 8020-90</t>
  </si>
  <si>
    <t>23.61.12.00.10.10.10.12.1</t>
  </si>
  <si>
    <t>Блок</t>
  </si>
  <si>
    <t>фундаментный из тяжелого бетона, марки ФБС9.4.6-Т, ГОСТ 13579-78</t>
  </si>
  <si>
    <t>23.61.12.00.10.10.10.02.1</t>
  </si>
  <si>
    <t>фундаментный из тяжелого бетона, марки ФБС24.4.6-Т,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</si>
  <si>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</si>
  <si>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</si>
  <si>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</si>
  <si>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</si>
  <si>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</si>
  <si>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</si>
  <si>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</si>
  <si>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</si>
  <si>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</si>
  <si>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</si>
  <si>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</si>
  <si>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</si>
  <si>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</si>
  <si>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</si>
  <si>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</si>
  <si>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</si>
  <si>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23.61.20.00.20.70.01.33.1</t>
  </si>
  <si>
    <t>железобетонная, брусковая, марки 3ПБ21-8-п, ГОСТ 948-84</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</si>
  <si>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</si>
  <si>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</si>
  <si>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</si>
  <si>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</si>
  <si>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</si>
  <si>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</si>
  <si>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23.61.20.00.20.70.01.25.1</t>
  </si>
  <si>
    <t>железобетонная, брусковая, марки 3ПБ13-37-п,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</si>
  <si>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</si>
  <si>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</si>
  <si>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</si>
  <si>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</si>
  <si>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</si>
  <si>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</si>
  <si>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</si>
  <si>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</si>
  <si>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</si>
  <si>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</si>
  <si>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</si>
  <si>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</si>
  <si>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</si>
  <si>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</si>
  <si>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</si>
  <si>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</si>
  <si>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</si>
  <si>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</si>
  <si>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</si>
  <si>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</si>
  <si>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</si>
  <si>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</si>
  <si>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</si>
  <si>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</si>
  <si>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</si>
  <si>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</si>
  <si>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</si>
  <si>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</si>
  <si>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</si>
  <si>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</si>
  <si>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</si>
  <si>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</si>
  <si>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</si>
  <si>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</si>
  <si>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</si>
  <si>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</si>
  <si>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</si>
  <si>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</si>
  <si>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</si>
  <si>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</si>
  <si>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</si>
  <si>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</si>
  <si>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</si>
  <si>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</si>
  <si>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</si>
  <si>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</si>
  <si>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Фундаментные плиты №45, Габаритный размер: 1500х1500х200(h)мм.  Серия 3.501-104 часть 3</t>
  </si>
  <si>
    <t>Фундаментные плиты №46, Габаритный размер: 1250х1500х200(h)мм.  Серия 3.501-104 часть 3</t>
  </si>
  <si>
    <t>23.61.20.00.10.10.01.36.1</t>
  </si>
  <si>
    <t>Фундамент</t>
  </si>
  <si>
    <t>железобетонный под колонны сельскохозяйственных зданий стаканного типа, марки 2Ф15.15-2, ГОСТ 24022-80</t>
  </si>
  <si>
    <t xml:space="preserve">Труба круглая железобетонная ЗКП11.170, Водопропускная круглая сборная. Оголовка. Отверстие трубы 100см. Габаритный размер: 1420х1710(h)х1700мм. Серия 3.501.1-144.0-2 </t>
  </si>
  <si>
    <t>Железобетонный блок противофильтрационный экран БФ-1, Габаритный размер: 700х1200(h)х2000мм.  Серия 3.501.1-144 вып.1.</t>
  </si>
  <si>
    <t xml:space="preserve">Железобетонная откосная стенка СТ1 (п.л.), Габаритный размер: 1850х2270(h)х300мм.  СТ1(л) левая-7шт, СТ1(п) правая-7шт. Серия 3.501.1-144.0-2 </t>
  </si>
  <si>
    <t xml:space="preserve">Железобетонная откосная стенка СТ2 (п.л.), Габаритный размер: 2200х2470(h)х300мм.  СТ2(л) левая-7шт, СТ2(п) правая-7шт. Серия 3.501.1-144.0-2 </t>
  </si>
  <si>
    <t>Блок упора У-1, Габаритный размер: 1500х400х500(h)мм.  Серия 3.501.1-156</t>
  </si>
  <si>
    <t>Блок упора У-2, Габаритный размер: 2000х400х500(h)мм.  Серия 3.501.1-156</t>
  </si>
  <si>
    <t>23.61.12.00.20.11.15.00.1</t>
  </si>
  <si>
    <t>железобетонная водопропускная</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</si>
  <si>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</si>
  <si>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</si>
  <si>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</si>
  <si>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</si>
  <si>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</si>
  <si>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</si>
  <si>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</si>
  <si>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</si>
  <si>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</si>
  <si>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</si>
  <si>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</si>
  <si>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</si>
  <si>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</si>
  <si>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</si>
  <si>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</si>
  <si>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</si>
  <si>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Резервуар вертикальный стальной РВС V=300м3, Резервуар для нефти. В комплекте: лестница, патрубок приемный Ду150мм - 1шт, патрубок раздаточный Ду150 - 2шт, патрубок светового люка Ду500 - 1шт, патрубок вентиляционный Ду200 - 1шт, патрубок замерного люка Ду150 - 1шт, патрубок для уровнемера Ду200 - 1шт, люк-лаз Ду600 - 1шт, молнеприемники - 3шт</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</si>
  <si>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</si>
  <si>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22.23.13.00.00.10.10.10.1</t>
  </si>
  <si>
    <t>Резервуар</t>
  </si>
  <si>
    <t>стеклопластиковый, объем 2000 л для жидких и сыпучих материалов</t>
  </si>
  <si>
    <t>25.29.11.00.00.11.10.12.1</t>
  </si>
  <si>
    <t>ГОСТ 31385-2008, объем 300 м3</t>
  </si>
  <si>
    <t>25.29.11.00.00.11.10.18.1</t>
  </si>
  <si>
    <t>ГОСТ 31385-2008, объем 5000 м3</t>
  </si>
  <si>
    <t>23.61.20.00.50.50.10.10.1</t>
  </si>
  <si>
    <t>Столбик</t>
  </si>
  <si>
    <t>железобетонный</t>
  </si>
  <si>
    <t>Ограждение дорожное металлические барьерного типа 11ДО-ММ.2, типа 11ДО-ММ.2 по 150м - 2 комплекта.  Начальный участок типа 11ДО-ММ.Н - 4шт. Состав: металлическая профильная планка, металлическая стойка с шагом 2м, элементы световозвращающий, консоль жесткая. Горячее цинкование.</t>
  </si>
  <si>
    <t>27.40.24.00.00.13.11.21.1</t>
  </si>
  <si>
    <t>Дорожный знак</t>
  </si>
  <si>
    <t>для безопасности дорожного движения</t>
  </si>
  <si>
    <t>Знаки предупреждающие Дорожные знаки: 1.11.1"Опасный поворот" закругление дороги малого радиуса с ограниченной видимостью направо-7шт , 1.11.2 "Опасный поворот" Закругление дороги малого радиуса с ограниченной видимостьюд налево-7шт, 1.13 "Крутой спуск"-2шт, 1.14 "Крутой подъем"-2шт.                          СТ РК 1125-2003</t>
  </si>
  <si>
    <t>Знаки предупреждающие Дорожные знаки: 1.31.3 "Направление поворота" на Т-образном перекрестке или разветвлении дорог.-1шт. СТ РК 1125-2003</t>
  </si>
  <si>
    <t>Знаки приоритета Дорожные знаки: 2.3.2 "Примыкание второстепенной дороги" примыкание справа-1шт; 2.3.3-"Примыкание второстепенной дороги" слева- 1шт; 2.4-"Уступите дорогу"-1шт. СТ РК 1125-2003</t>
  </si>
  <si>
    <t>27.40.39.00.00.00.00.04.1</t>
  </si>
  <si>
    <t>Дорожный светодиодный знак - тип излучателей- энергосберегающий, сверх яркие светодиоды, цвет излучения одноцветный - ССБе.Напряжение питания 220В переменного тока, частота - 50 Гц.</t>
  </si>
  <si>
    <t>Знаки информационно-указательные, Дорожные знаки: 5.8.3-"Начало полосы"-1шт; 5.8.5 "Конец полосы"-1шт, 5.21.1"Указатель направления -2шт, 5.21.2 "Указатель направления" Направления к пунктам маршрута -1шт, 5.26 "Наименование объекта"-1шт, 5.28-20шт. СТ РК 1125-2003</t>
  </si>
  <si>
    <t>Манометр пропановый типа МП-2У (d=60мм) с пределами  измерения ГОСТ 2405-88 от 0 до 6 кгс/см2</t>
  </si>
  <si>
    <t>Манометр кислородный  типа МП-2У с пределами  измерения  (d=60мм), ГОСТ 2405-88от 0 до 250 кгс/см2</t>
  </si>
  <si>
    <t>Манометр ацетиленовый типа МП-2У с пределами  измерения  (d=60мм), ГОСТ 2405-88 от 0 до 4,0 кгс/см2</t>
  </si>
  <si>
    <t>Манометр ацетиленовый типа МП-2У с пределами  измерения  (d=60мм), ГОСТ 2405-88от 0 до 40,0 кгс/см2</t>
  </si>
  <si>
    <t xml:space="preserve">Манометры технические типа МП-2У  (d=60мм) с пределами  измерения, ГОСТ 2405-88 от 0 до 10 кгс\см2 </t>
  </si>
  <si>
    <t>26.51.52.14.11.11.10.14.1</t>
  </si>
  <si>
    <t>диаметр  корпуса 60 мм, класс  точности 1,5, диапазон показаний от 0 до 10</t>
  </si>
  <si>
    <t>26.51.52.14.11.11.10.13.1</t>
  </si>
  <si>
    <t>диаметр  корпуса 60 мм, класс  точности 1,5, диапазон показаний от 0 до 6</t>
  </si>
  <si>
    <t>26.51.52.14.11.11.10.21.1</t>
  </si>
  <si>
    <t>диаметр  корпуса 60 мм, класс  точности 1,5, диапазон показаний от 0 до 250</t>
  </si>
  <si>
    <t>26.51.52.14.11.11.10.35.1</t>
  </si>
  <si>
    <t>диаметр  корпуса 60 мм, класс  точности  2,5, диапазон показаний от 0 до 4</t>
  </si>
  <si>
    <t>26.51.52.14.11.11.10.40.1</t>
  </si>
  <si>
    <t>диаметр  корпуса 60 мм, класс  точности  2,5, диапазон показаний от 0 до 40</t>
  </si>
  <si>
    <t>Манометр термометр ДМ 2010 СГ УД2-250 кгс/см2 20 ВА, 10w</t>
  </si>
  <si>
    <t>Кислородные баллоны ГОСТ 949-73</t>
  </si>
  <si>
    <t>28.29.82.00.00.00.14.25.1</t>
  </si>
  <si>
    <t>дифференциальный</t>
  </si>
  <si>
    <t>25.29.12.00.10.10.17.12.1</t>
  </si>
  <si>
    <t>Баллон</t>
  </si>
  <si>
    <t>толщина стенки баллонов на давление, 19,6(200) МПа (кгс/см2), не менее5,7. Масса баллонов на давление 19,6(200) МПа (кгс/см2) 7,9кг</t>
  </si>
  <si>
    <t xml:space="preserve">Кабель сварочный   КГ  1х25, одножильный, медный, гибкий ГОСТ 6731-77         </t>
  </si>
  <si>
    <t xml:space="preserve">Кабель сварочный   КГ  1х50, одножильный, медный, гибкий ГОСТ 6731-78      </t>
  </si>
  <si>
    <t>КГ 1*25</t>
  </si>
  <si>
    <t>27.32.13.00.02.01.62.07.2</t>
  </si>
  <si>
    <t>27.32.13.00.02.01.62.10.2</t>
  </si>
  <si>
    <t>КГ 1*50</t>
  </si>
  <si>
    <t>28.12.12.00.00.00.24.15.1</t>
  </si>
  <si>
    <t>Насос-мотор</t>
  </si>
  <si>
    <t>Насос-мотор шестеренный ГОСТ 17752-81</t>
  </si>
  <si>
    <t>22.19.42.00.00.10.30.42.1</t>
  </si>
  <si>
    <t> Ремень клиновый приводный  с сечением В(Б)-5000. ГОСТ 1284-89.</t>
  </si>
  <si>
    <t>22.19.42.00.00.10.30.26.1</t>
  </si>
  <si>
    <t> Ремень клиновый приводный  с сечением В(Б)-2000. ГОСТ 1284-89.</t>
  </si>
  <si>
    <t>22.19.42.00.00.10.30.34.1</t>
  </si>
  <si>
    <t> Ремень клиновый приводный с сечением  В(Б)-3150. ГОСТ 1284-89.</t>
  </si>
  <si>
    <t>Канаты стальные d-18 мм  ГОСТ-2688-80</t>
  </si>
  <si>
    <t>Канаты стальные ф15мм, ГОСТ 7668-80</t>
  </si>
  <si>
    <t>Канаты стальные ф7,6мм, ГОСТ 3071-80</t>
  </si>
  <si>
    <t>25.93.11.00.00.14.10.29.1</t>
  </si>
  <si>
    <t>Канат стальной</t>
  </si>
  <si>
    <t>ГОСТ 2688-80, диаметр каната 18,0 мм</t>
  </si>
  <si>
    <t>25.93.11.00.00.14.10.01.1</t>
  </si>
  <si>
    <t>канат двойной свивки типа ЛК-Р</t>
  </si>
  <si>
    <t>25.93.11.00.00.09.15.10.1</t>
  </si>
  <si>
    <t>Канат стальной двойной свивки типа ТК конструкции с органическим сердечником, диаметр 7,6 мм</t>
  </si>
  <si>
    <t>МГ-46</t>
  </si>
  <si>
    <t>HLP-46</t>
  </si>
  <si>
    <t>ВМГЗ</t>
  </si>
  <si>
    <t>L-HM32</t>
  </si>
  <si>
    <t>Литол</t>
  </si>
  <si>
    <t>Солидол</t>
  </si>
  <si>
    <t>Тосол-40</t>
  </si>
  <si>
    <t>Масло моторное</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</si>
  <si>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</si>
  <si>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для дизельных двигателей с обозначением по SAE 10W-40 к использованию при температуре -25... +35 °С</t>
  </si>
  <si>
    <t>ТАД-17и, плотность 907 кг/м3 при 20° С, вязкость кинематическая  при 50 °С не менее 17,5 мм2/с (сСт)</t>
  </si>
  <si>
    <t>Масло трансмиссионное</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</si>
  <si>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</si>
  <si>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</si>
  <si>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19.20.29.00.00.11.40.17.2</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</si>
  <si>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</si>
  <si>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</si>
  <si>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</si>
  <si>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</si>
  <si>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</si>
  <si>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</si>
  <si>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</si>
  <si>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</si>
  <si>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</si>
  <si>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19.20.29.00.00.00.12.31.1</t>
  </si>
  <si>
    <t>Масло гидравлическое прочее</t>
  </si>
  <si>
    <t>19.20.29.00.00.00.12.17.1</t>
  </si>
  <si>
    <t>19.20.29.00.00.00.12.00.2</t>
  </si>
  <si>
    <t>для гидравлических систем</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</si>
  <si>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</si>
  <si>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</si>
  <si>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</si>
  <si>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19.20.29.00.00.20.11.10.1</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</si>
  <si>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</si>
  <si>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</si>
  <si>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</si>
  <si>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t>
  </si>
  <si>
    <t>60 дней с момента заключения договора</t>
  </si>
  <si>
    <t>тонна (метрическая</t>
  </si>
  <si>
    <t>27.51.25.01.03.00.00.10.1</t>
  </si>
  <si>
    <t xml:space="preserve">Водонагреватель </t>
  </si>
  <si>
    <t>Электрический. Быстрого или продолжительного нагрева.</t>
  </si>
  <si>
    <t>28.13.21.00.00.00.21.20.1</t>
  </si>
  <si>
    <t>насос вакуумный малой производительности</t>
  </si>
  <si>
    <t>насос вакуумный малой производительности с  производительность до 30 л/мин</t>
  </si>
  <si>
    <t>28.13.21.00.00.00.21.13.1</t>
  </si>
  <si>
    <t>насос вакуумный малой производительности с  производительность до 17/8,5 л/мин</t>
  </si>
  <si>
    <t>27.51.25.01.02.02.01.40.1</t>
  </si>
  <si>
    <t>Бойлер</t>
  </si>
  <si>
    <t>Накопительного типа. Открытого типа. Объем от 50 до 59,99 литров.</t>
  </si>
  <si>
    <t>27.51.25.01.02.02.01.65.1</t>
  </si>
  <si>
    <t>Накопительного типа. Открытого типа. Объем от 100 и более литров.</t>
  </si>
  <si>
    <t>27.51.23.00.00.03.02.10.1</t>
  </si>
  <si>
    <t>Термический, сенсорный, пластиковый</t>
  </si>
  <si>
    <t>28.25.20.00.00.00.11.15.1</t>
  </si>
  <si>
    <t>вентилятор осевой одноступенчатый</t>
  </si>
  <si>
    <t>вентилятор осевой одноступенчатый с диаметром 180 мм</t>
  </si>
  <si>
    <t>27.32.14.00.00.02.17.10.2</t>
  </si>
  <si>
    <t>АСБ 3*70-10</t>
  </si>
  <si>
    <t>27.32.14.00.00.02.17.15.2</t>
  </si>
  <si>
    <t>АСБ 3*95-10</t>
  </si>
  <si>
    <t>27.32.13.00.02.01.27.35.2</t>
  </si>
  <si>
    <t>АВВГ 4*4</t>
  </si>
  <si>
    <t>27.32.13.00.02.01.27.20.2</t>
  </si>
  <si>
    <t>АВВГ 3*6+1*4</t>
  </si>
  <si>
    <t>27.32.13.00.02.01.27.23.2</t>
  </si>
  <si>
    <t>АВВГ 3*16+1*10</t>
  </si>
  <si>
    <t>27.32.13.00.02.01.27.25.2</t>
  </si>
  <si>
    <t>АВВГ 3*35+1*16</t>
  </si>
  <si>
    <t>27.32.13.00.02.01.27.09.2</t>
  </si>
  <si>
    <t>АВВГ 2*70</t>
  </si>
  <si>
    <t>27.32.13.00.02.01.27.04.2</t>
  </si>
  <si>
    <t>АВВГ 2*10</t>
  </si>
  <si>
    <t>27.32.13.00.02.01.37.10.2</t>
  </si>
  <si>
    <t>ВВГ 3*2.5</t>
  </si>
  <si>
    <t>27.32.13.00.02.01.37.34.2</t>
  </si>
  <si>
    <t>ВВГ 4*2.5</t>
  </si>
  <si>
    <t>27.32.13.00.02.01.37.41.2</t>
  </si>
  <si>
    <t>ВВГ 5*2.5</t>
  </si>
  <si>
    <t>27.32.13.00.02.01.37.35.2</t>
  </si>
  <si>
    <t>ВВГ 4*4</t>
  </si>
  <si>
    <t>27.32.13.00.02.01.37.42.2</t>
  </si>
  <si>
    <t>ВВГ 5*4</t>
  </si>
  <si>
    <t>27.32.14.00.00.02.01.05.2</t>
  </si>
  <si>
    <t>СБГ 3*35-6</t>
  </si>
  <si>
    <t>27.32.13.00.02.01.50.04.2</t>
  </si>
  <si>
    <t>ВБбШв 4*16</t>
  </si>
  <si>
    <t>27.32.13.00.02.01.50.03.2</t>
  </si>
  <si>
    <t>ВБбШв 4*4</t>
  </si>
  <si>
    <t>27.32.13.00.02.01.50.02.2</t>
  </si>
  <si>
    <t>27.32.13.00.02.01.50.05.2</t>
  </si>
  <si>
    <t>ВБбШв 4*25</t>
  </si>
  <si>
    <t>27.32.13.00.02.01.37.02.2</t>
  </si>
  <si>
    <t>ВБбШв 4*2.5</t>
  </si>
  <si>
    <t>27.32.13.00.02.01.62.24.2</t>
  </si>
  <si>
    <t>КГ 3*2.5</t>
  </si>
  <si>
    <t>27.32.13.00.02.01.62.33.2</t>
  </si>
  <si>
    <t>27.32.13.00.02.01.62.46.2</t>
  </si>
  <si>
    <t>27.32.13.00.02.01.62.55.2</t>
  </si>
  <si>
    <t>27.32.13.00.02.03.06.02.2</t>
  </si>
  <si>
    <t>КВВГ 4*1</t>
  </si>
  <si>
    <t>27.32.13.00.02.03.04.01.2</t>
  </si>
  <si>
    <t>27.32.13.00.02.03.06.07.2</t>
  </si>
  <si>
    <t>27.32.13.00.02.03.06.15.2</t>
  </si>
  <si>
    <t>КВВГ 10*0,75</t>
  </si>
  <si>
    <t>27.32.13.00.02.03.06.23.2</t>
  </si>
  <si>
    <t>КВВГ 27*1,5</t>
  </si>
  <si>
    <t>27.32.13.00.02.03.05.09.2</t>
  </si>
  <si>
    <t xml:space="preserve">  КВВГэ  7х1,5 (экранирован)</t>
  </si>
  <si>
    <t>27.32.13.00.02.03.02.01.2</t>
  </si>
  <si>
    <t>КВБбШв 4*1.0</t>
  </si>
  <si>
    <t>27.32.13.00.02.03.02.02.2</t>
  </si>
  <si>
    <t>КВБбШв 4*1.5</t>
  </si>
  <si>
    <t>27.32.13.00.02.03.02.03.2</t>
  </si>
  <si>
    <t>КВБбШв 5*2.5</t>
  </si>
  <si>
    <t>27.32.13.00.02.03.07.01.2</t>
  </si>
  <si>
    <t>КВВГнг 4*1,5</t>
  </si>
  <si>
    <t>КВБбШв 7*1.5</t>
  </si>
  <si>
    <t>27.32.13.00.02.02.14.06.2</t>
  </si>
  <si>
    <t>ТППэп 50*2*0.5</t>
  </si>
  <si>
    <t>27.32.13.00.02.02.03.02.2</t>
  </si>
  <si>
    <t>КСПП 1*4*1.2</t>
  </si>
  <si>
    <t>27.32.13.00.02.04.04.03.2</t>
  </si>
  <si>
    <t>КСПВ 4*0,5</t>
  </si>
  <si>
    <t>27.32.13.00.02.02.11.05.2</t>
  </si>
  <si>
    <t>ТПП 20*2*0,5</t>
  </si>
  <si>
    <t>27.32.13.00.02.02.19.02.2</t>
  </si>
  <si>
    <t>Витая пара - UTP, САТ5Е</t>
  </si>
  <si>
    <t>27.32.13.00.01.03.15.10.2</t>
  </si>
  <si>
    <t xml:space="preserve">Провод  </t>
  </si>
  <si>
    <t xml:space="preserve">ШВВП 2*0.75 </t>
  </si>
  <si>
    <t>Провод</t>
  </si>
  <si>
    <t>27.32.13.00.01.01.10.10.3</t>
  </si>
  <si>
    <t>27.32.13.00.01.01.10.15.3</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</si>
  <si>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</si>
  <si>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</si>
  <si>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</si>
  <si>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</si>
  <si>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</si>
  <si>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</si>
  <si>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</si>
  <si>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</si>
  <si>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</si>
  <si>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</si>
  <si>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</si>
  <si>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</si>
  <si>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27.12.22.11.15.13.10.10.1</t>
  </si>
  <si>
    <t>трехполюсный, с комбинированным размыкателем (расцепитель), номинальный ток до 100 А</t>
  </si>
  <si>
    <t>27.12.22.11.15.13.10.12.1</t>
  </si>
  <si>
    <t>трехполюсный, с комбинированным размыкателем (расцепитель), номинальный ток до 400 А</t>
  </si>
  <si>
    <t>27.12.31.20.11.11.12.10.1</t>
  </si>
  <si>
    <t>Пускатель магнитный</t>
  </si>
  <si>
    <t>серии ПМЛ нереверсивный с термореле, величина пускателя в зависимости от номинального тока 10 А</t>
  </si>
  <si>
    <t>27.12.31.20.11.11.12.20.1</t>
  </si>
  <si>
    <t>серии ПМЛ нереверсивный с термореле, величина пускателя в зависимости от номинального тока 25 А</t>
  </si>
  <si>
    <t>27.12.31.20.11.11.12.30.1</t>
  </si>
  <si>
    <t>серии ПМЛ нереверсивный с термореле, величина пускателя в зависимости от номинального тока 40 А</t>
  </si>
  <si>
    <t>27.12.31.20.14.15.30.11.1</t>
  </si>
  <si>
    <t>серии ПМ 12, нереверсивный с реле, величина пускателя в зависимости от номинального тока 25А</t>
  </si>
  <si>
    <t>27.12.31.20.14.15.20.13.1</t>
  </si>
  <si>
    <t>серии ПМ 12, реверсивный без реле, Величина пускателя в зависимости от номинального тока 63А</t>
  </si>
  <si>
    <t>27.12.31.20.14.15.30.10.1</t>
  </si>
  <si>
    <t>серии ПМ 12, нереверсивный с реле, величина пускателя в зависимости от номинального тока 10А</t>
  </si>
  <si>
    <t>27.12.31.20.14.15.30.13.1</t>
  </si>
  <si>
    <t>серии ПМ 12, нереверсивный с реле, величина пускателя в зависимости от номинального тока 63А</t>
  </si>
  <si>
    <t>27.12.24.12.11.11.11.30.1</t>
  </si>
  <si>
    <t>промежуточное типа РП</t>
  </si>
  <si>
    <t>27.12.24.12.11.11.11.40.1</t>
  </si>
  <si>
    <t>промежуточное типа РЭП</t>
  </si>
  <si>
    <t>26.51.52.14.11.11.13.01.1</t>
  </si>
  <si>
    <t>диаметр  корпуса 100  мм, класс  точности 1,5, диапазон показаний от 0 до 2,5</t>
  </si>
  <si>
    <t>26.51.51.11.13.13.11.12.1</t>
  </si>
  <si>
    <t>ТТЖ-М. Диапазон измерения от 0 до 100 С°.</t>
  </si>
  <si>
    <t>26.51.52.14.11.11.11.21.1</t>
  </si>
  <si>
    <t>диаметр  корпуса 150 мм, класс  точности 1,5, диапазон показаний от 0 до 16</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</si>
  <si>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</si>
  <si>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</si>
  <si>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</si>
  <si>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25.11.22.00.00.10.10.10.4</t>
  </si>
  <si>
    <t>Решетчатая мачта</t>
  </si>
  <si>
    <t>Для использования в металлоконструкциях</t>
  </si>
  <si>
    <t>23.61.20.00.50.20.21.01.1</t>
  </si>
  <si>
    <t>Опора</t>
  </si>
  <si>
    <t>железобетонная промежуточная, ВЛ 10 кВ</t>
  </si>
  <si>
    <t>25.11.10.00.00.30.12.10.1</t>
  </si>
  <si>
    <t>Комплект модульной сборной конструкции</t>
  </si>
  <si>
    <t>27.33.11.00.00.01.09.01.1</t>
  </si>
  <si>
    <t>Рубильник</t>
  </si>
  <si>
    <t>ЯБПВ - 1 - рубильник с предохранителем, в металлическом корпусе с боковой рукояткой, номинальный ток - 100 А.</t>
  </si>
  <si>
    <t>27.12.31.14.11.11.11.10.2</t>
  </si>
  <si>
    <t>Щит управления (ЩУ)</t>
  </si>
  <si>
    <t xml:space="preserve">для управления в системах автоматики. </t>
  </si>
  <si>
    <t>27.12.40.16.11.11.11.10.1</t>
  </si>
  <si>
    <t>Пост управления</t>
  </si>
  <si>
    <t>кнопочный  взрывозащищёный</t>
  </si>
  <si>
    <t>25.99.29.00.10.11.12.20.1</t>
  </si>
  <si>
    <t>натяжной болтовый, тип - НБ</t>
  </si>
  <si>
    <t>25.99.29.00.10.11.11.30.1</t>
  </si>
  <si>
    <t>для образования шарнирного цепного соединения, тип - СК</t>
  </si>
  <si>
    <t>25.99.29.00.10.11.11.10.1</t>
  </si>
  <si>
    <t>для комплектации изолирующих подвесок проводов и молниезащитных тросов воздушных линий электропередачи, тип - СР</t>
  </si>
  <si>
    <t>25.99.29.00.10.11.11.20.1</t>
  </si>
  <si>
    <t>Ушко</t>
  </si>
  <si>
    <t>однолапчатое, тип - У1</t>
  </si>
  <si>
    <t>25.99.29.00.10.11.11.71.1</t>
  </si>
  <si>
    <t>Звено</t>
  </si>
  <si>
    <t>промежуточное переходное, тип ПРТ</t>
  </si>
  <si>
    <t>25.99.29.00.10.11.10.31.1</t>
  </si>
  <si>
    <t>соединительный плашечный, тип - ПА</t>
  </si>
  <si>
    <t>25.99.29.00.10.11.10.30.1</t>
  </si>
  <si>
    <t>соединительный плашечный, тип - ПС</t>
  </si>
  <si>
    <t>Трубчатый электронагреватель (ТЭН)</t>
  </si>
  <si>
    <t>27.40.22.00.00.11.10.13.1</t>
  </si>
  <si>
    <t>Прожектор</t>
  </si>
  <si>
    <t>ГОСТ 6047-90, Ж-лампы натриевые типа ДНаТ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</si>
  <si>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</si>
  <si>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</si>
  <si>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</si>
  <si>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27.40.22.00.00.11.10.15.1</t>
  </si>
  <si>
    <t>ГОСТ 6047-90, Ж-лампы ртутные типа ДРЛ</t>
  </si>
  <si>
    <t>27.40.22.00.00.13.11.20.1</t>
  </si>
  <si>
    <t>Светильник</t>
  </si>
  <si>
    <t>ГОСТ 17677-82, источник света (лампа) Л - прямые трубчатые люминисцентные</t>
  </si>
  <si>
    <t>27.40.22.00.00.10.10.20.1</t>
  </si>
  <si>
    <t>С люминесцентной лампой</t>
  </si>
  <si>
    <t>27.40.21.00.00.10.12.10.1</t>
  </si>
  <si>
    <t>ГОСТ 8607-82, светильники подвесные</t>
  </si>
  <si>
    <t>27.40.21.00.00.11.10.20.1</t>
  </si>
  <si>
    <t>Фонарь</t>
  </si>
  <si>
    <t>ГОСТ 4677-82, вид источника тока А-с аккумуляторами со встроенными зарядными устройствами</t>
  </si>
  <si>
    <t>27.40.21.00.00.10.15.14.1</t>
  </si>
  <si>
    <t>ГОСТ 8607-82, светильники потолочные</t>
  </si>
  <si>
    <t>27.40.22.00.00.13.11.23.1</t>
  </si>
  <si>
    <t xml:space="preserve">ГОСТ 17677-82, источник света (лампа) Р - ртутные типа ДРЛ </t>
  </si>
  <si>
    <t>27.40.22.00.00.10.10.40.1</t>
  </si>
  <si>
    <t>С энергосберегающей лампой</t>
  </si>
  <si>
    <t>27.40.12.00.00.10.10.24.1</t>
  </si>
  <si>
    <t>Лампа накаливания</t>
  </si>
  <si>
    <t>ГОСТ 2239-70, тип ламп (биспиральная аргоновая) Б215-225-60-1, мощность 60 Вт</t>
  </si>
  <si>
    <t>27.40.12.00.00.10.10.63.1</t>
  </si>
  <si>
    <t>ГОСТ 2239-70, тип ламп (газополная моноспиральная (аргоновая) Г220-230-500-1, мощность 500 Вт</t>
  </si>
  <si>
    <t>27.40.15.00.00.40.10.13.1</t>
  </si>
  <si>
    <t>Металлогалогенная лампа</t>
  </si>
  <si>
    <t>Металлогалогенная лампа, мощность 250 Вт</t>
  </si>
  <si>
    <t>27.40.15.00.00.40.10.14.1</t>
  </si>
  <si>
    <t>Металлогалогенная лампа, мощность 400 Вт</t>
  </si>
  <si>
    <t>27.40.15.00.00.20.10.11.1</t>
  </si>
  <si>
    <t>Лампа дуговая ртутная</t>
  </si>
  <si>
    <t>Лампа дуговая ртутная, ДРЛ-250</t>
  </si>
  <si>
    <t>27.40.12.00.00.14.10.13.1</t>
  </si>
  <si>
    <t xml:space="preserve">типа МО 36-40 </t>
  </si>
  <si>
    <t>27.40.15.00.00.13.01.10.1</t>
  </si>
  <si>
    <t xml:space="preserve">Лампа люминесцентная </t>
  </si>
  <si>
    <t>компактная (энергосберегающая), цоколь Е27</t>
  </si>
  <si>
    <t>27.40.15.00.00.10.30.15.1</t>
  </si>
  <si>
    <t xml:space="preserve">Лампы люминесцентные </t>
  </si>
  <si>
    <t>Лампа люминесцентная, тип цоколя 2G10, мощность 10 Ватт</t>
  </si>
  <si>
    <t>27.40.15.00.00.10.30.21.1</t>
  </si>
  <si>
    <t>Лампа люминесцентная, тип цоколя 2G10, мощность 18 Ватт</t>
  </si>
  <si>
    <t>27.40.15.00.00.10.10.41.1</t>
  </si>
  <si>
    <t>Лампа люминесцентная, тип цоколя h23, мощность 65 Ватт</t>
  </si>
  <si>
    <t>27.40.12.00.00.20.10.56.1</t>
  </si>
  <si>
    <t xml:space="preserve">Галогенная лампа накаливания </t>
  </si>
  <si>
    <t>Галогенная лампа накаливания, тип цоколя G4, мощность 500 Вт</t>
  </si>
  <si>
    <t>27.40.12.00.00.20.10.59.1</t>
  </si>
  <si>
    <t>Галогенная лампа накаливания, тип цоколя G4, мощность 1000 Вт</t>
  </si>
  <si>
    <t>27.33.13.00.00.00.02.08.1</t>
  </si>
  <si>
    <t>Розетка</t>
  </si>
  <si>
    <t>С защитой от проникновения, расчитана на силу тока не более 10/16 А, напряжение - 250 В</t>
  </si>
  <si>
    <t>27.33.11.00.00.03.01.12.1</t>
  </si>
  <si>
    <t>Выключатель пакетный</t>
  </si>
  <si>
    <t>ПВ 2-16 А</t>
  </si>
  <si>
    <t>27.33.11.00.00.03.20.20.1</t>
  </si>
  <si>
    <t>одноклавишный, наружней установки</t>
  </si>
  <si>
    <t>27.33.11.00.00.03.20.10.1</t>
  </si>
  <si>
    <t>одноклавишный, внутренней установки</t>
  </si>
  <si>
    <t>27.33.11.00.00.03.20.11.1</t>
  </si>
  <si>
    <t>двухклавишный, внутренней установки</t>
  </si>
  <si>
    <t>27.33.13.00.00.00.01.02.1</t>
  </si>
  <si>
    <t>Вилка</t>
  </si>
  <si>
    <t>С2b -  двухполюсная, с боковыми заземляющими контактами, расчитана на силу тока не более 10/16 А, напряжение - 250 В. ГОСТ 7396.1-89</t>
  </si>
  <si>
    <t>27.33.13.00.00.00.04.12.1</t>
  </si>
  <si>
    <t>Коробка взрывозащищенная</t>
  </si>
  <si>
    <t>КПА-40 - проходная алюминиевая</t>
  </si>
  <si>
    <t>27.33.13.00.00.00.04.37.1</t>
  </si>
  <si>
    <t>клеммная - ККВ-4</t>
  </si>
  <si>
    <t>27.90.12.00.00.02.00.00.1</t>
  </si>
  <si>
    <t xml:space="preserve">Коробка </t>
  </si>
  <si>
    <t xml:space="preserve">Коробка электромонтажная пластмассовая </t>
  </si>
  <si>
    <t>25.73.60.00.00.12.12.12.1</t>
  </si>
  <si>
    <t>Наконечник</t>
  </si>
  <si>
    <t>кабельный, алюминиевый, под опрессовку</t>
  </si>
  <si>
    <t>25.73.60.00.00.12.12.10.1</t>
  </si>
  <si>
    <t>кабельный, медный, под опрессовку</t>
  </si>
  <si>
    <t>22.19.57.00.00.00.10.10.1</t>
  </si>
  <si>
    <t>13.99.19.00.00.00.20.10.1</t>
  </si>
  <si>
    <t>27.90.12.00.00.03.03.20.1</t>
  </si>
  <si>
    <t>Трубка</t>
  </si>
  <si>
    <t>Трубка электроизоляционная гибкая марки ТВ-50, внутренний диаметр 16 мм. ГОСТ 17675-87</t>
  </si>
  <si>
    <t>27.90.12.00.00.03.03.22.1</t>
  </si>
  <si>
    <t>Трубка электроизоляционная гибкая марки ТВ-50, внутренний диаметр 20 мм. ГОСТ 17675-87</t>
  </si>
  <si>
    <t>22.21.29.00.00.26.10.43.2</t>
  </si>
  <si>
    <t>Хомут - стяжка пластиковая крепежная, длина 135 мм</t>
  </si>
  <si>
    <t>22.21.29.00.00.26.10.44.2</t>
  </si>
  <si>
    <t>Хомут - стяжка пластиковая крепежная, длина 160 мм</t>
  </si>
  <si>
    <t>22.21.29.00.00.26.10.22.1</t>
  </si>
  <si>
    <t>Хомут - стяжка пластиковая крепежная, длина 300 мм, ширина 4 мм</t>
  </si>
  <si>
    <t>22.21.29.00.00.26.10.17.1</t>
  </si>
  <si>
    <t>Хомут - стяжка пластиковая крепежная, длина 200 мм, ширина 5 мм</t>
  </si>
  <si>
    <t>22.21.29.00.00.26.10.30.1</t>
  </si>
  <si>
    <t>Хомут - стяжка пластиковая крепежная, длина 450 мм, ширина 5 мм</t>
  </si>
  <si>
    <t>24.20.40.00.22.10.10.11.1</t>
  </si>
  <si>
    <t>ГОСТ 24140-80</t>
  </si>
  <si>
    <t>26.30.60.00.00.00.27.10.1</t>
  </si>
  <si>
    <t>контрольная пожарная</t>
  </si>
  <si>
    <t>27.20.22.00.00.00.03.10.1</t>
  </si>
  <si>
    <t>Номинальная емкость от 1.2 до 50 Ач, номинальное напряжение 12 В</t>
  </si>
  <si>
    <t>26.30.60.00.00.00.24.10.1</t>
  </si>
  <si>
    <t>Батарея</t>
  </si>
  <si>
    <t>Резервная.</t>
  </si>
  <si>
    <t>26.30.50.00.00.00.05.35.1</t>
  </si>
  <si>
    <t>Пульт контроля и управления</t>
  </si>
  <si>
    <t>охранно-пожарный</t>
  </si>
  <si>
    <t>26.30.60.00.00.00.21.55.1</t>
  </si>
  <si>
    <t>Контрольно-пусковой блок</t>
  </si>
  <si>
    <t>для систем автоматического пожаротушения</t>
  </si>
  <si>
    <t>26.51.44.00.00.00.01.12.1</t>
  </si>
  <si>
    <t>Преобразователи систем дистанционной передачи информации</t>
  </si>
  <si>
    <t>С унифицированными сигналами.</t>
  </si>
  <si>
    <t>26.30.60.00.00.00.22.30.1</t>
  </si>
  <si>
    <t>Пожарный извещатель (Датчик)</t>
  </si>
  <si>
    <t>Тепловой. Извещатель максимально-дифференциальный.</t>
  </si>
  <si>
    <t>26.30.60.00.00.00.22.10.1</t>
  </si>
  <si>
    <t>Проводной.</t>
  </si>
  <si>
    <t>26.30.60.00.00.00.22.50.1</t>
  </si>
  <si>
    <t>Дымовой. Извещатель дыма оптический.</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</si>
  <si>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</si>
  <si>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</si>
  <si>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</si>
  <si>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26.30.60.00.00.00.23.10.1</t>
  </si>
  <si>
    <t>Сирена</t>
  </si>
  <si>
    <t>Звуковая противопожарная.</t>
  </si>
  <si>
    <t>27.90.20.00.02.02.01.02.1</t>
  </si>
  <si>
    <t xml:space="preserve">Оповещатель </t>
  </si>
  <si>
    <t>Пожарный световой оповещатель, функция указания путей выхода, исполнительный элемент - светодиод.</t>
  </si>
  <si>
    <t>26.30.60.00.00.00.13.10.1</t>
  </si>
  <si>
    <t>27.33.13.00.00.00.08.10.1</t>
  </si>
  <si>
    <t>Клеммник</t>
  </si>
  <si>
    <t>для системы телемеханики</t>
  </si>
  <si>
    <t>26.30.30.12.11.11.11.11.1</t>
  </si>
  <si>
    <t>Разъем телефонный</t>
  </si>
  <si>
    <t>Коннектор модульный RJ11</t>
  </si>
  <si>
    <t>26.30.30.12.11.11.11.15.1</t>
  </si>
  <si>
    <t>Коннектор модульный RJ45</t>
  </si>
  <si>
    <t>26.30.30.15.00.00.10.08.1</t>
  </si>
  <si>
    <t>RJ 45, 2 порта</t>
  </si>
  <si>
    <t>26.30.30.15.00.00.10.09.1</t>
  </si>
  <si>
    <t>RJ 45, 3 порта или больше</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</si>
  <si>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</si>
  <si>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</si>
  <si>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</si>
  <si>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27.90.60.00.00.01.01.04.1</t>
  </si>
  <si>
    <t>С5-2.2 КОМ - постоянный резистор, проволочный, номинальное сопротивление - 2.2 КОМ.</t>
  </si>
  <si>
    <t>27.40.24.00.00.10.11.18.1</t>
  </si>
  <si>
    <t>Предупреждающий знак</t>
  </si>
  <si>
    <t>27.32.13.00.02.04.09.02.2</t>
  </si>
  <si>
    <t>20XTV-20CT</t>
  </si>
  <si>
    <t>27.32.13.00.02.04.09.01.2</t>
  </si>
  <si>
    <t>8ВTV2-CT</t>
  </si>
  <si>
    <t>27.33.14.00.00.00.03.10.2</t>
  </si>
  <si>
    <t>27.33.13.00.00.00.04.35.1</t>
  </si>
  <si>
    <t>клеммная - ККВ-2</t>
  </si>
  <si>
    <t>27.33.13.00.00.00.04.36.1</t>
  </si>
  <si>
    <t>клеммная - ККВ-3</t>
  </si>
  <si>
    <t>30.20.40.00.00.08.02.92.1</t>
  </si>
  <si>
    <t>Датчик</t>
  </si>
  <si>
    <t>контроля нагрева, реле, температуры и прочее</t>
  </si>
  <si>
    <t>25.94.11.00.00.16.10.26.1</t>
  </si>
  <si>
    <t xml:space="preserve">Хомут </t>
  </si>
  <si>
    <t>ГОСТ 24137-80, диаметр 75, высота 120 мм</t>
  </si>
  <si>
    <t>13.99.19.00.00.00.20.17.1</t>
  </si>
  <si>
    <t>27.33.14.00.00.00.04.10.1</t>
  </si>
  <si>
    <t>Разветвительный комплект</t>
  </si>
  <si>
    <t>для муфт</t>
  </si>
  <si>
    <t>27.12.31.02.11.11.11.10.2</t>
  </si>
  <si>
    <t>27.90.12.00.00.03.05.02.1</t>
  </si>
  <si>
    <t>27.90.12.00.00.03.05.21.1</t>
  </si>
  <si>
    <t>22.23.14.00.00.82.11.10.1</t>
  </si>
  <si>
    <t>кабель-канал</t>
  </si>
  <si>
    <t xml:space="preserve">кабель-канал с двойным замком, размеры 12х12 </t>
  </si>
  <si>
    <t>22.23.14.00.00.82.11.14.1</t>
  </si>
  <si>
    <t>кабель-канал с двойным замком, размеры 25х16</t>
  </si>
  <si>
    <t>22.23.14.00.00.82.11.15.1</t>
  </si>
  <si>
    <t>кабель-канал с двойным замком, размеры 25х25</t>
  </si>
  <si>
    <t>27.40.23.00.00.00.10.15.1</t>
  </si>
  <si>
    <t>Сигнальная лампа</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</si>
  <si>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</si>
  <si>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</si>
  <si>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27.90.70.10.00.00.00.14.1</t>
  </si>
  <si>
    <t>для электросигнализации</t>
  </si>
  <si>
    <t>27.90.70.00.00.20.10.48.1</t>
  </si>
  <si>
    <t>Блок электронного управления</t>
  </si>
  <si>
    <t>26.51.63.14.12.11.11.11.1</t>
  </si>
  <si>
    <t>Счетчик электроэнергии</t>
  </si>
  <si>
    <t xml:space="preserve">Электронный. Однофазный (измерение переменного тока 220 В, 50 Гц). </t>
  </si>
  <si>
    <t>26.51.63.14.12.12.11.12.1</t>
  </si>
  <si>
    <t>Электронный. Трехфазный (измерение переменного тока 100 В, 50 Гц).</t>
  </si>
  <si>
    <t>27.12.40.17.11.11.11.10.1</t>
  </si>
  <si>
    <t>Дроссель</t>
  </si>
  <si>
    <t>для люминисцентных ламп</t>
  </si>
  <si>
    <t>25.94.12.00.00.12.13.10.2</t>
  </si>
  <si>
    <t>Дюбель-гвоздь с шайбой</t>
  </si>
  <si>
    <t>ЭВН-9        9 квт  380в</t>
  </si>
  <si>
    <t xml:space="preserve">РК, Мангистауская обл, г: Актау  ТОО "ОСС" База БПО  </t>
  </si>
  <si>
    <t>авансовый платеж - 0%, оставшаяся часть в течении 30 рабочих дней с момента подписания первичных документов</t>
  </si>
  <si>
    <t>ЭВН-12        12 квт  380в</t>
  </si>
  <si>
    <t>РК, Мангистауская обл, г: Актау  23 мкр.ТОО "ОСС" БПО</t>
  </si>
  <si>
    <t>0,8квт 220в</t>
  </si>
  <si>
    <t>Вентилятор осевой L=40м3/час N=0.015 квт 2650 об/мин</t>
  </si>
  <si>
    <t>Вентилятор осевой L=65м3/час N=0.02 квт 2650 об/мин</t>
  </si>
  <si>
    <t>Вентилятор осевой L=100м3/час N=0.03 квт 2650 об/мин</t>
  </si>
  <si>
    <t xml:space="preserve">Аппарат телефонный кнопочный </t>
  </si>
  <si>
    <t>АСБ 3х70        6 кв</t>
  </si>
  <si>
    <t>АСБ 3х95        6 кв</t>
  </si>
  <si>
    <t>АСБ 3х95        10 кв</t>
  </si>
  <si>
    <t>АВВГ 4х4       0,4 кв</t>
  </si>
  <si>
    <t>АВВГ 3х6+1х4       0,4 кв</t>
  </si>
  <si>
    <t>АВВГ 4х10  0,4 кв</t>
  </si>
  <si>
    <t>АВВГ 3х16+1х10       0,4 кв</t>
  </si>
  <si>
    <t>АВВГ 3х35+1х16  0,4 кв</t>
  </si>
  <si>
    <t>АВРГ 1х70   0,22.кв</t>
  </si>
  <si>
    <t>АВРГ 1х10   0,22.кв</t>
  </si>
  <si>
    <t>ВВГ 3х2,5 0,22кв</t>
  </si>
  <si>
    <t>ВВГ 4х2,5 0,4кв</t>
  </si>
  <si>
    <t>ВВГ 5х2,5 0,4кв</t>
  </si>
  <si>
    <t>ВВГ 4х4          0,4 кв</t>
  </si>
  <si>
    <t>ВВГ 5х4          0,4 кв</t>
  </si>
  <si>
    <t>ВВГ 4х16        0,4 кв</t>
  </si>
  <si>
    <t xml:space="preserve">ВВГ 3х35      6 кв </t>
  </si>
  <si>
    <t xml:space="preserve">ВВГ 3х70           6 кв </t>
  </si>
  <si>
    <t>ВБбШв 3х95      6 кв</t>
  </si>
  <si>
    <t>ВБбШв 3х240  6 кв</t>
  </si>
  <si>
    <t>ВБбШв 3х16+1х10 0,4кв</t>
  </si>
  <si>
    <t>ВБбШв 3х6+1х4        0,4кв</t>
  </si>
  <si>
    <t>ВБбШв 4х2,5        0,4кв</t>
  </si>
  <si>
    <t>ВБбШв 4х4                0,4 кв</t>
  </si>
  <si>
    <t>ВБбШв 4х10                0,4 кв</t>
  </si>
  <si>
    <t>ВБбШв 4х16               0,4 кв</t>
  </si>
  <si>
    <t>ВБбШв 4х35               0,4 кв</t>
  </si>
  <si>
    <t>ВБбШв 1х10               0,22 кв</t>
  </si>
  <si>
    <t>ВВГ 1х16   0,22кв</t>
  </si>
  <si>
    <t>ВБбШв 5х2,5  0,4 кв</t>
  </si>
  <si>
    <t>ВБбШв 5х4                0,4 кв</t>
  </si>
  <si>
    <t>ВБбШв 5х6               0,4 кв</t>
  </si>
  <si>
    <t>ВБбШв 5х10              0,4 кв</t>
  </si>
  <si>
    <t>ВБбШв 5х16              0,4 кв</t>
  </si>
  <si>
    <t>ВБбШв 5х25              0,4 кв</t>
  </si>
  <si>
    <t>ВБбШв 5х35              0,4 кв</t>
  </si>
  <si>
    <t>ВБбШв 5х50              0,4 кв</t>
  </si>
  <si>
    <t>КГ 3х2,5             0,22кв</t>
  </si>
  <si>
    <t xml:space="preserve">  КГ 3х6+1х4  0,4 кв</t>
  </si>
  <si>
    <t xml:space="preserve"> КГ 3х35+1х16   0,4 кв</t>
  </si>
  <si>
    <t>КГ 3х95+1х35  0,4 кв</t>
  </si>
  <si>
    <t>КВВГ 10х1</t>
  </si>
  <si>
    <t>КВБбШв 5*1.5</t>
  </si>
  <si>
    <t>КПБПнг 5*1,5</t>
  </si>
  <si>
    <t>Кабель контрольный брониров.               RS-485</t>
  </si>
  <si>
    <t>Кабель MM FO набор из 20 BFOC соединители оптический кабель 6К1901-ODA20-OAAO</t>
  </si>
  <si>
    <t>Кабель связи ТППэп  50х2х0,5</t>
  </si>
  <si>
    <t>Кабель связи КСПП 1*4*1,2</t>
  </si>
  <si>
    <t>Кабель связи КПСВЭВ 1х2х0,5</t>
  </si>
  <si>
    <t>Кабель связи КПСВВ 1х2х1,5</t>
  </si>
  <si>
    <t>Кабель связи КСПВ 4*0,5</t>
  </si>
  <si>
    <t>Кабель связи PHS-190-EPC</t>
  </si>
  <si>
    <t>Кабель связи ТТП 20х2х0,5</t>
  </si>
  <si>
    <t xml:space="preserve">Провод ШВВП 2*0.75 </t>
  </si>
  <si>
    <t>Провод связи HO5 сеч 0,75</t>
  </si>
  <si>
    <t>Провод связи HO7V-U  сеч 2,5</t>
  </si>
  <si>
    <t>Провод МКЭКШВнг 2*2*1.5</t>
  </si>
  <si>
    <t>Провод  МКЭКШВ   2*2*1</t>
  </si>
  <si>
    <t>Провод  МКЭКШВ   2*2*1,5</t>
  </si>
  <si>
    <t>Провод  МКЭКШВ   4*2*1,5</t>
  </si>
  <si>
    <t>Провод             АС-35</t>
  </si>
  <si>
    <t>Провод              АС-50</t>
  </si>
  <si>
    <t>Муфта концевая 0,4 кв, 4КВТП 1х35-50</t>
  </si>
  <si>
    <t>Муфта концевая 0,4 кв, 4КВТП 1х70-120</t>
  </si>
  <si>
    <t>Муфта соединит.       0,4 кв             СТп 1х35-50 с гильзой</t>
  </si>
  <si>
    <t>Муфта соединит.       0,4 кв               СТп 1х70-120 с гильзой</t>
  </si>
  <si>
    <t>Выключатель пакетный ВП 16-23 РЕ-236 16А 380в</t>
  </si>
  <si>
    <t>Выключатель пакетный ВП 15К-21  Б-211 10А 380в</t>
  </si>
  <si>
    <t>Выключатель пакетный ВПК 2112А  10А 380в</t>
  </si>
  <si>
    <t>Выключатель пакетный ВП 15К-21  Б-231 10А 380в</t>
  </si>
  <si>
    <t>Выключатель пакетный ВПК 2110 БУ2  10А 380в</t>
  </si>
  <si>
    <t>Выключатель пакетный ВК 200   16А 380в</t>
  </si>
  <si>
    <t>Выключатель пакетный       ПВ2 -250 М3 закрытый 160А 380в</t>
  </si>
  <si>
    <t>Выключатель автомати ческий   1ф  6А</t>
  </si>
  <si>
    <t>Выключатель автомати ческий   3ф         А 3716   63А</t>
  </si>
  <si>
    <t>Выключатель автомати ческий   3ф         АЕ-2056М 100    80А</t>
  </si>
  <si>
    <t>Выключатель автомати ческий   380в           В А 5739-34000   400А</t>
  </si>
  <si>
    <t>Выключатель автомати ческий   380в          В А 5739-34000   630А</t>
  </si>
  <si>
    <t>Магнит. Пускатель ПМЛ-1100 04 220в 10А</t>
  </si>
  <si>
    <t>Магнит. Пускатель ПМЛ-2100 04 220в 25А</t>
  </si>
  <si>
    <t>Магнит. Пускатель ПМЛ-3160 04 220в 40А</t>
  </si>
  <si>
    <t xml:space="preserve">Магнит. Пускатель                       ПМ-12-025200  25А 380в </t>
  </si>
  <si>
    <t>Магнит. Пускатель                       ПМ-12-063640  63А 380в   реверсивный</t>
  </si>
  <si>
    <t xml:space="preserve">Магнит. Пускатель                       ПМ-012-010-250  10А  220/380в </t>
  </si>
  <si>
    <t xml:space="preserve">Магнит. Пускатель                       ПМ-063-261-250  63А Uкат 220/380в </t>
  </si>
  <si>
    <t>Реле пр. РП-21-003 УХЛ4   Uкат=110в переменное с розеткой тип 2</t>
  </si>
  <si>
    <t>Реле пр. РЭК 77/4   10А  230в  АС ИЭК с розеткой (разъемом)</t>
  </si>
  <si>
    <t>Эл.контактный ДМ2005 СаiEx У3 0-40кас/см2-1,5 iV-МП IP-53-ЦСМ в комплекте с вентильным блоком  В-01Д</t>
  </si>
  <si>
    <t>Манометр ОБМ 1-100  с трехходовым краном</t>
  </si>
  <si>
    <t xml:space="preserve">Термометр предел измерения 0-100грС серия 211 ф корпуса 100 БТ-52.211 (0-100)в комплекте с бобышкой БП-1М20 присоед радиальное </t>
  </si>
  <si>
    <t>Манометр МП 4У 0-40 кгс/см2 от0 до 16 Мпа ф корпуса 160мм в комплекте с бобышкой БШ-55 и вент блоком В-01Д</t>
  </si>
  <si>
    <t>ПР 11-7078 в/в 25А отх 3ф 10А 1шт. 1ф.25А 6шт. 1ф. 16А 2шт. 1ф 10А 4шт</t>
  </si>
  <si>
    <t>ПР 8503 в/в 630А             3ф. 250А. 2шт 3ф.160А 2шт  3ф 100А 2шт</t>
  </si>
  <si>
    <t>ПР 8503 в/в 400А             3ф. 250А. 2шт 3ф.100А 2шт  3ф 40А 2шт</t>
  </si>
  <si>
    <t>Прож. Мачта железобетон ная ПМЖ-22,8 (на опоре СК-26.3-20. с оцинкован ного метала в комплекте с лестницами, обслуж. площадкой Серия 3.407.9-172)</t>
  </si>
  <si>
    <t>СВ 105-3,5</t>
  </si>
  <si>
    <t>СВ 105-5</t>
  </si>
  <si>
    <t>Профиль зетовый ZП 45х25 У1 оцинкован ный  L=2м</t>
  </si>
  <si>
    <t>Профиль зетовый К239 У2  оцинкован ный L=2м</t>
  </si>
  <si>
    <t>Профиль зетовый К241 У2  оцинкован ный L=2м</t>
  </si>
  <si>
    <t>Лоток кабельный ЛП3 А50H50T07 L=2500ии ГОСТ Р52868-2007</t>
  </si>
  <si>
    <t>Крышка на лоток  ЛП3 А50H50T07 L=2500ии ГОСТ Р52868-2007</t>
  </si>
  <si>
    <t>Лоток перфорир.       Оцинкованн         60х200х3000 t=0,7 мм  CLP10-060-200-070-3</t>
  </si>
  <si>
    <t>Лоток перфорир.       Оцинкованн         60х100х3000 t=0,7 мм CLP10-060-100-070-3</t>
  </si>
  <si>
    <t>Лоток перфорир.       Оцинкованн         2000х50х24 HKc-5-П1.87 У3</t>
  </si>
  <si>
    <t>Лоток перфорир.       Оцинкованн         60х150х3000 t=0,7 мм  CLP10-060-150-070-3</t>
  </si>
  <si>
    <t>Крышка на лоток  200х3000х0,8мм  CLPIK-200-3</t>
  </si>
  <si>
    <t>Крышка на лоток  100х3000х0,8мм  CLPIK-100-3</t>
  </si>
  <si>
    <t>Крышка на лоток         CLPIK-150-3</t>
  </si>
  <si>
    <t>Крышка на лоток       Оцинкованн         2000х50х24 HKc-5-П1.87 У3</t>
  </si>
  <si>
    <t>Угол лотка УГ 90АSH5 ГОСТ  Р  52868-2007</t>
  </si>
  <si>
    <t>Крышка угла лотка КУГ 90АSH5 ГОСТ  Р  52868-2007</t>
  </si>
  <si>
    <t>Стойка кабельная К1151 L-600мм  ТУ-36 1496-75</t>
  </si>
  <si>
    <t>Полка кабельная К1163  ТУ-36-1496-75</t>
  </si>
  <si>
    <t>Пластина соединитель ная h=60х10 CLPIS-060</t>
  </si>
  <si>
    <t>Комплект соединит.        КС М6х10 CLPIM-CS-6-10</t>
  </si>
  <si>
    <t>Стойка кабельная К305 (для установка кнопок управления)</t>
  </si>
  <si>
    <t>Ящик с рубильником    ЯБПВУ1        100А</t>
  </si>
  <si>
    <t>Ящик с рубильником    ЯБПВУ1        250А</t>
  </si>
  <si>
    <t>Ящик управления освещением ЯУО-9602-3474 IP-51 In=25A</t>
  </si>
  <si>
    <t>ПКЕ 223    (3х кнопочный)</t>
  </si>
  <si>
    <t>ПКТ 40    (на 4 кнопки 220в)</t>
  </si>
  <si>
    <t>ПКТ 60    (на 6 кнопок 220в)</t>
  </si>
  <si>
    <t>Зажим НБ 2-6 ГОСТ 2531-82</t>
  </si>
  <si>
    <t>Скоба                 СК 7-1А ( СК 7-16) ГОСТ 2425-78</t>
  </si>
  <si>
    <t>Серьга               СР 7-16  ГОСТ 2425-78</t>
  </si>
  <si>
    <t>Ушко                 У 7-16 ГОСТ 2727-77</t>
  </si>
  <si>
    <t>Звено                 ПРТ-7-1   ГОСТ 2728-82</t>
  </si>
  <si>
    <t>Зажим плашечный         ПА 3-2 ГОСТ 4161-82</t>
  </si>
  <si>
    <t>Зажим                       ПС-3  ГОСТ 4261-82</t>
  </si>
  <si>
    <t>Зажим               ПС-2 ГОСТ 4261-82</t>
  </si>
  <si>
    <t>Зажим               ПС-1 ГОСТ 4261-78</t>
  </si>
  <si>
    <t>Сжим плашечный       У 876</t>
  </si>
  <si>
    <t>ТЭН обребренной, воздух, дл. 60см.,ТЭНР-60в. -13/2,5квт. S-220в.</t>
  </si>
  <si>
    <t>ТЭНы блочные ТЭНБ-12 12квт</t>
  </si>
  <si>
    <t>ТЭНы блочные ТЭНБ-6   6квт</t>
  </si>
  <si>
    <t>Электрока минка ЭКМ-12 с выносным пультом управления ПУ ЭКМ-12       на 12квт</t>
  </si>
  <si>
    <t>Прожектор       ИО-04-500-003У1</t>
  </si>
  <si>
    <t>Прожектор      ЖСП-250</t>
  </si>
  <si>
    <t>Прожектор               LED  {N 2103 blask 222-16105</t>
  </si>
  <si>
    <t>Прожектор               LED  {N 2103 blask 222-16110</t>
  </si>
  <si>
    <t>Светильник                      дневного цвета 2x35  код 15023530</t>
  </si>
  <si>
    <t>Светильник      дневного цвета PTF 235 4х36</t>
  </si>
  <si>
    <t>Светильник пыле-влаго защищенный 2х36вт  LZG 236</t>
  </si>
  <si>
    <t>Светильник       H4EЛ  1х80-11-У3</t>
  </si>
  <si>
    <t>Светильник взрывозащи  щенный                   ВЗГ-200</t>
  </si>
  <si>
    <t>Светильник взрывозащи  щенный                   ВЗГ-100</t>
  </si>
  <si>
    <t>Светильники  EFS-193 с лампой 8 вт с аккумулятор ной батарей 3,6v 4Ah</t>
  </si>
  <si>
    <t>Светильник             NTV 12M125</t>
  </si>
  <si>
    <t>Светильник      NBT 17F123</t>
  </si>
  <si>
    <t>Светильник             NBT 17F123</t>
  </si>
  <si>
    <t>Светильник      РС-190   8вт с акумулятором</t>
  </si>
  <si>
    <t xml:space="preserve"> Светильник     РКУ-03-125  со стеклом</t>
  </si>
  <si>
    <t>Светильники энергосбере гающие      RGL-C85 85 вт  АС-85 -264В</t>
  </si>
  <si>
    <t>Светильники энергосбере гающие       RGL-C160  160 вт  АС-85-264В</t>
  </si>
  <si>
    <t>Лампа                       220в   Е-27   220х60</t>
  </si>
  <si>
    <t>Лампа               220х500</t>
  </si>
  <si>
    <t>Лампа              ДРЛ-250</t>
  </si>
  <si>
    <t>Лампа 36в    МО 36х40 вт</t>
  </si>
  <si>
    <t>Лампа энерго-сберегающая          SNV YS1228  E-27  28вт 220в</t>
  </si>
  <si>
    <t>Лампа свето-диодная     RGL-TB1-10        L-60см  10 вт АС85-265V</t>
  </si>
  <si>
    <t>Лампа свето-диодная     RGL-TB1-10        L-120см  18 вт АС85-265V</t>
  </si>
  <si>
    <t>май-июнь 2014г</t>
  </si>
  <si>
    <t>Лампа свето-диодная       RGQ-65 110B10  E-27</t>
  </si>
  <si>
    <t>Лампа галогеновая       КГ 500</t>
  </si>
  <si>
    <t>Лампа галогеновая       КГ 1000</t>
  </si>
  <si>
    <t>Выключатель   пакетный       ГОСТ 7398-88Е  ПВ 2-16 М1 16А 1ф</t>
  </si>
  <si>
    <t>Вилки штепсельные 220в 10-16А  с заземл контактом</t>
  </si>
  <si>
    <t>Коробка соеддинит.      340х302х125  КС 40 с клемами</t>
  </si>
  <si>
    <t>Корбка металическая             КМТ  1-1</t>
  </si>
  <si>
    <t xml:space="preserve">Наконечник    алюминиевый      А-8-7- 10   ГОСТ 7386-80                    </t>
  </si>
  <si>
    <t xml:space="preserve">Наконечник    алюминиевый      А-8-7- 16   ГОСТ 7386-80                    </t>
  </si>
  <si>
    <t xml:space="preserve">Наконечник    алюминиевый      А-8-7- 25   ГОСТ 7386-80                    </t>
  </si>
  <si>
    <t>Гильза кабельная алюминиевая ГА-16</t>
  </si>
  <si>
    <t>Гильза кабельная алюминиевая     ГА-25</t>
  </si>
  <si>
    <t>Гильза кабельная алюминиевая ГА-35</t>
  </si>
  <si>
    <t>Гильза кабельная алюминиевая ГА-50</t>
  </si>
  <si>
    <t>Гильза кабельная алюминиевая ГА-70</t>
  </si>
  <si>
    <t>Гильза кабельная алюминиевая ГА-95</t>
  </si>
  <si>
    <t>Гильза кабельная алюминиевая ГА-120</t>
  </si>
  <si>
    <t>Гильза кабельная алюминиевая ГА-150</t>
  </si>
  <si>
    <t>Гильза кабельная медная            ГМ-10</t>
  </si>
  <si>
    <t>Гильза кабельная медная            ГМ-16</t>
  </si>
  <si>
    <t>Гильза кабельная медная            ГМ-25</t>
  </si>
  <si>
    <t>Гильза кабельная медная            ГМ-35</t>
  </si>
  <si>
    <t>Гильза кабельная медная            ГМ-50</t>
  </si>
  <si>
    <t>Гильза кабельная медная            ГМ-70</t>
  </si>
  <si>
    <t>Гильза кабельная медная            ГМ-95</t>
  </si>
  <si>
    <t>Гильза кабельная медная            ГМ-120</t>
  </si>
  <si>
    <t>Матрт-Апрель 2014г</t>
  </si>
  <si>
    <t>Изолента          ХБ ( по 400г шт)</t>
  </si>
  <si>
    <t>Металлорукав ф 15 мм ( В пластик. оплетке)</t>
  </si>
  <si>
    <t>Металлорукав ф 20 мм ( В пластик. оплетке)</t>
  </si>
  <si>
    <t>Металлорукав ф 70 мм ( В пластик. оплетке)</t>
  </si>
  <si>
    <t>Хомут                       2.5х150 ( в упаковке 100 шт)</t>
  </si>
  <si>
    <t>Хомут               3,6х200  ( в упаковке 100шт)</t>
  </si>
  <si>
    <t>Хомут               3,6х300 (в упаковке 100 шт</t>
  </si>
  <si>
    <t>Скобы плоские L=12мм</t>
  </si>
  <si>
    <t>Скобы плоские L=14мм</t>
  </si>
  <si>
    <t>Скобы плоские L=16мм</t>
  </si>
  <si>
    <t>Скобы   круглые             L-8 мм</t>
  </si>
  <si>
    <t>Скобы   круглые             L-10 мм</t>
  </si>
  <si>
    <t>Скобы   круглые             L-12 мм</t>
  </si>
  <si>
    <t>Приемо-контрольный прибор  Гранит-5</t>
  </si>
  <si>
    <t>Приемо-контрольный прибор  Гранит-8</t>
  </si>
  <si>
    <t>Аккумулятор        GP 1207</t>
  </si>
  <si>
    <t>Резервный источник питания      РИП-12 RS</t>
  </si>
  <si>
    <t xml:space="preserve">Резервный источник питания      РИП-12 </t>
  </si>
  <si>
    <t>Пульт контроля и управления   Сигнал-10</t>
  </si>
  <si>
    <t>Блок сигнально пусковой С2000-СП1</t>
  </si>
  <si>
    <t>Преобразова  тель Интерфейсов С2000-ПИ</t>
  </si>
  <si>
    <t>Передатчик тревожного сигнала RR701-TS</t>
  </si>
  <si>
    <t>Извещатель    ИП -103-3А2  ( ИП 101-07е)</t>
  </si>
  <si>
    <t>Извещатель    ИП -103-3</t>
  </si>
  <si>
    <t>Извещатель пожарный тепловой      ИП -114-5А2</t>
  </si>
  <si>
    <t>Извещатель пожарный ручной        ИПР-ЗСУ</t>
  </si>
  <si>
    <t>Извещатель пожарный дымовой       ИП-212-45</t>
  </si>
  <si>
    <t>Оповещатель  светозвуко вой  Маяк-12 КП</t>
  </si>
  <si>
    <t>Оповещатель  звуковой                      Свирель-2</t>
  </si>
  <si>
    <t>Световое табло "Выход" Молния-12</t>
  </si>
  <si>
    <t>Коробка связи            БМ 2-2</t>
  </si>
  <si>
    <t xml:space="preserve">Кросс блок  на 30 пар с плинтами  </t>
  </si>
  <si>
    <t xml:space="preserve">Кросс блок  на 10 пар с плинтами  </t>
  </si>
  <si>
    <t>Кросс блок на 50 пар с плинтами</t>
  </si>
  <si>
    <t>Коннектор  RJ11</t>
  </si>
  <si>
    <t>Конектор под витую пару RJ-45</t>
  </si>
  <si>
    <t>Розетка телефонная RJ-45</t>
  </si>
  <si>
    <t>Розетка телефонная      РТШК-4</t>
  </si>
  <si>
    <t>Резистор                2,2 ком</t>
  </si>
  <si>
    <t>Разъем            F-6</t>
  </si>
  <si>
    <t>Этикетка         «Внимание обогрев»</t>
  </si>
  <si>
    <t>Саморегулир. Греющий кабель       HSB 33  33-37  вт/м  АС 230в в медной оплетке</t>
  </si>
  <si>
    <t>Саморегулир. Греющий кабель       HSB 10  10-12  вт/м  АС 230в в медной оплетке</t>
  </si>
  <si>
    <t xml:space="preserve"> Комплект концевых заделок                    PCB</t>
  </si>
  <si>
    <t>Датчик                   РТ 100 диапазон регулирования   От -50+200грС    с кабелем 1,5 м      ( универсальный)</t>
  </si>
  <si>
    <t>Лента крепежная  алюминиевая клейкая лента 50 мм ширина  и  50 м длина</t>
  </si>
  <si>
    <t>Устройство ввода под изоляцию   LEK|U</t>
  </si>
  <si>
    <t>Трубка термоусажива        ТУТ  6/3 мм  6/2,5</t>
  </si>
  <si>
    <t>Трубка термоусажива        ТУТ  8/4 мм  8/2,5</t>
  </si>
  <si>
    <t>Трубка термоусажива        ТУТ  12/6 мм  12/6</t>
  </si>
  <si>
    <t>Трубка термоусажива        ТУТ  16/8 мм  16/8</t>
  </si>
  <si>
    <t>Трубка термоусажива        ТУТ  20/8 мм  20/8</t>
  </si>
  <si>
    <t>Трубка термоусажива        ТУТ  28/11 мм  28/11</t>
  </si>
  <si>
    <t>Трубка термоусажива        ТУТ  40/20 мм  40/20</t>
  </si>
  <si>
    <t>Трубка термоусажива        ТУТ  50/20 мм  50/20</t>
  </si>
  <si>
    <t>Кабель-каналы  12х12</t>
  </si>
  <si>
    <t>Кабель-каналы  25х10 (25х16)</t>
  </si>
  <si>
    <t>Кабель-каналы  25х25</t>
  </si>
  <si>
    <t>Арматура сигн. Светодиодная        АД22-220S 220 в зеленая</t>
  </si>
  <si>
    <t>Арматура сигн. Светодиодная         АД22-220S 220 в  красная</t>
  </si>
  <si>
    <t>Реле                       RМ-84-2012-35-1024 с колодкой GZT-80          220в 8А</t>
  </si>
  <si>
    <t>Реле                       RМ-84-2012-35-5220 с колодкой GZT-80          220в 8А</t>
  </si>
  <si>
    <t>Датчик контроля пламени ионизированный   ДПЗ-01/220К в комплекте с контрольным зондом ИЗОМС-01-1 220в 1А</t>
  </si>
  <si>
    <t>Датчик реле                  ДНТ-1  220в</t>
  </si>
  <si>
    <t>Датчик  реле         ДН-6  220в</t>
  </si>
  <si>
    <t>Текстолит                      ПКТ-10мм</t>
  </si>
  <si>
    <t>Текстолит                      ПКТ-40мм</t>
  </si>
  <si>
    <t>Шина медная  3х30х4000 мм</t>
  </si>
  <si>
    <t>Шина алюминиевая  5х40х4000 мм</t>
  </si>
  <si>
    <t>Дроссель               1 И 1000 ДРЛ   1000вт</t>
  </si>
  <si>
    <t>Клема                    4-контрольная (0,75-2.5мм)</t>
  </si>
  <si>
    <t>Дюбель монтажный         5х50 мм</t>
  </si>
  <si>
    <t>DIN- рейка  50 см ИЭК</t>
  </si>
  <si>
    <t>Блок зажимов в наборе  на 5 клем БЗН-18 -2,5        П25-Д/Д Зажим  наборный</t>
  </si>
  <si>
    <t>13.96.14.00.00.00.11.30.1</t>
  </si>
  <si>
    <t>слоистый листовой или фасонный материал на основе хлопчатобумажной ткани, пропитанной термореактивным связующим</t>
  </si>
  <si>
    <t>24.44.21.00.00.12.10.11.2</t>
  </si>
  <si>
    <t>Шина</t>
  </si>
  <si>
    <t>Медная, ГОСТ 434-91</t>
  </si>
  <si>
    <t>26.30.60.00.00.00.22.80.1</t>
  </si>
  <si>
    <t>Ионизационный датчик пламени</t>
  </si>
  <si>
    <t>25.11.23.00.00.10.41.02.1</t>
  </si>
  <si>
    <t>Рейка монтажная</t>
  </si>
  <si>
    <t>С-образного типа</t>
  </si>
  <si>
    <t>Стропа канатные 2СК-2,0/4000 (обжимка втулкой)</t>
  </si>
  <si>
    <t>Стропа канатные 2СК-3,2/4000</t>
  </si>
  <si>
    <t>Стропа канатные 2СК-4,0/2000</t>
  </si>
  <si>
    <t>Стропа канатные 2СК-5,0/1600</t>
  </si>
  <si>
    <t>Стропа канатные 4СК-1,6/2000</t>
  </si>
  <si>
    <t xml:space="preserve">Стропа канатные 4СК-10,0/2500 </t>
  </si>
  <si>
    <t>Стропа канатные 4СК-10,0/3150</t>
  </si>
  <si>
    <t>Стропа канатные 4СК-10,0/4000</t>
  </si>
  <si>
    <t>Стропа канатные 4СК-5,0/5000</t>
  </si>
  <si>
    <t>Стропа канатные 4СК-10,0/5000</t>
  </si>
  <si>
    <t>Стропа канатные 4СК-6,0/4500</t>
  </si>
  <si>
    <t>Стропа канатные 4СК-2,0/1700</t>
  </si>
  <si>
    <t>Стропа канатные 4СК-3,2/1500</t>
  </si>
  <si>
    <t>Стропа канатные 4СК-3,2/3000</t>
  </si>
  <si>
    <t xml:space="preserve">Стропа канатные 4СК-4,0/2000 </t>
  </si>
  <si>
    <t xml:space="preserve">Стропа канатные 4СК-4,0/2500 </t>
  </si>
  <si>
    <t>Стропа канатные 4СК-4,0/4000</t>
  </si>
  <si>
    <t>Стропа канатные 4СК-5,0/3000</t>
  </si>
  <si>
    <t>Стропа канатные 4СК-6,3/2000</t>
  </si>
  <si>
    <t>Стропа канатные УСК1-1,0/1500</t>
  </si>
  <si>
    <t>Стропа канатные УСК1-1,0/2000</t>
  </si>
  <si>
    <t>Стропа канатные УСК1-0,5/800</t>
  </si>
  <si>
    <t>Стропа канатные УСК1-0,5/1000</t>
  </si>
  <si>
    <t>Стропа канатные УСК2-1/2000</t>
  </si>
  <si>
    <t>Стропы канатные УСК1 2,0/3000</t>
  </si>
  <si>
    <t>Стропы канатные УСК1 2,0/5000</t>
  </si>
  <si>
    <t>Стропы канатные УСК1 5,0/3000</t>
  </si>
  <si>
    <t>Стропа канатные УСК2-5,0/5000</t>
  </si>
  <si>
    <t>Стропа канатные УСК1-3,0/3000</t>
  </si>
  <si>
    <t>Стропа канатные УСК1-10,0/4000</t>
  </si>
  <si>
    <t>Стропа канатные 2СК-5,0/2500</t>
  </si>
  <si>
    <t>25.93.11.00.00.16.10.17.1</t>
  </si>
  <si>
    <t>Строп</t>
  </si>
  <si>
    <t>ГОСТ 25573-82, 2СК-2,0 т</t>
  </si>
  <si>
    <t>25.93.11.00.00.16.10.19.1</t>
  </si>
  <si>
    <t>ГОСТ 25573-82, 2СК-3,2 т</t>
  </si>
  <si>
    <t>25.93.11.00.00.16.10.20.1</t>
  </si>
  <si>
    <t>ГОСТ 25573-82, 2СК-4,0 т</t>
  </si>
  <si>
    <t>25.93.11.00.00.16.10.21.1</t>
  </si>
  <si>
    <t>ГОСТ 25573-82, 2СК-5,0 т</t>
  </si>
  <si>
    <t>25.93.11.00.00.18.10.14.1</t>
  </si>
  <si>
    <t>ГОСТ 25573-82, 4СК1-1,6 т.</t>
  </si>
  <si>
    <t>25.93.11.00.00.18.10.39.1</t>
  </si>
  <si>
    <t>ГОСТ 25573-82, 4СК1-5,0 т.</t>
  </si>
  <si>
    <t>25.93.11.00.00.18.10.40.1</t>
  </si>
  <si>
    <t>ГОСТ 25573-82, 4СК1-6,3 т.</t>
  </si>
  <si>
    <t>25.93.11.00.00.18.10.35.1</t>
  </si>
  <si>
    <t>ГОСТ 25573-82, 4СК1-2,0 т.</t>
  </si>
  <si>
    <t>25.93.11.00.00.18.10.37.1</t>
  </si>
  <si>
    <t>ГОСТ 25573-82, 4СК1-3,2 т.</t>
  </si>
  <si>
    <t>25.93.11.00.00.18.10.38.1</t>
  </si>
  <si>
    <t>ГОСТ 25573-82, 4СК1-4,0 т.</t>
  </si>
  <si>
    <t>25.93.11.00.00.22.11.15.1</t>
  </si>
  <si>
    <t>УСК1-1,0 т.</t>
  </si>
  <si>
    <t>25.93.11.00.00.22.11.12.1</t>
  </si>
  <si>
    <t>УСК1-0,5 т.</t>
  </si>
  <si>
    <t>25.93.11.00.00.22.12.02.1</t>
  </si>
  <si>
    <t>УСК2-1,0 т.</t>
  </si>
  <si>
    <t>25.93.11.00.00.22.11.18.1</t>
  </si>
  <si>
    <t>УСК1-2,0 т.</t>
  </si>
  <si>
    <t>25.93.11.00.00.22.11.26.1</t>
  </si>
  <si>
    <t>УСК1-10,0 т.</t>
  </si>
  <si>
    <t>25.93.11.00.00.22.10.10.1</t>
  </si>
  <si>
    <t>универсальный канатный УСК</t>
  </si>
  <si>
    <t>25.93.11.00.00.22.12.09.1</t>
  </si>
  <si>
    <t>УСК2-5,0 т.</t>
  </si>
  <si>
    <t>25.93.11.00.00.22.11.23.1</t>
  </si>
  <si>
    <t>УСК1-5,0 т.</t>
  </si>
  <si>
    <t>Стропа полиэстеровая г/п-3тн   L= 4 м</t>
  </si>
  <si>
    <t>Стропа полиэстеровая г/п-3тн   L= 3 м</t>
  </si>
  <si>
    <t>Стропа полиэстеровая г/п-3тн   L= 2 м</t>
  </si>
  <si>
    <t>Стропа полиэстеровая г/п-5тн   L= 3 м</t>
  </si>
  <si>
    <t>Стропа полиэстеровая г/п-5тн   L= 5 м</t>
  </si>
  <si>
    <t>13.94.11.00.00.50.10.12.1</t>
  </si>
  <si>
    <t>Ленточный строп текстильный</t>
  </si>
  <si>
    <t>Петлевой, грузоподъемностью  3 тн</t>
  </si>
  <si>
    <t>13.94.11.00.00.50.10.14.1</t>
  </si>
  <si>
    <t>Петлевой, грузоподъемностью  5 тн</t>
  </si>
  <si>
    <t>Шестигранник S=17мм ГОСТ 2879-69</t>
  </si>
  <si>
    <t>24.33.11.00.11.10.10.20.1</t>
  </si>
  <si>
    <t>Шестигранник</t>
  </si>
  <si>
    <t>Диаметр вписанного круга 17, ГОСТ 2879-88</t>
  </si>
  <si>
    <t>24.33.11.00.11.10.10.22.1</t>
  </si>
  <si>
    <t>Диаметр вписанного круга 19, ГОСТ 2879-88</t>
  </si>
  <si>
    <t>24.33.11.00.11.10.10.25.1</t>
  </si>
  <si>
    <t>Диаметр вписанного круга 22, ГОСТ 2879-88</t>
  </si>
  <si>
    <t>24.33.11.00.11.10.10.26.1</t>
  </si>
  <si>
    <t>Диаметр вписанного круга 24, ГОСТ 2879-88</t>
  </si>
  <si>
    <t>24.10.36.00.00.10.10.23.1</t>
  </si>
  <si>
    <t>стальной горячекатаный круглый, д 80 мм ГОСТ 2590-2006 Ст3сп</t>
  </si>
  <si>
    <t>24.10.36.00.00.10.10.26.1</t>
  </si>
  <si>
    <t>стальной горячекатаный круглый, д 100 мм ГОСТ 2590-2006 Ст45, Ст40Х</t>
  </si>
  <si>
    <t>24.10.36.00.00.10.10.27.1</t>
  </si>
  <si>
    <t>стальной горячекатаный круглый, д. 5-270  мм ГОСТ 2590-2006</t>
  </si>
  <si>
    <t>Электроды УОНИ 13/55 d=3мм  ГОСТ 9466-75/9467-75</t>
  </si>
  <si>
    <t>Электроды УОНИ 13/55 d=4мм  ГОСТ 9466-75/9467-75</t>
  </si>
  <si>
    <t>Припой ПОС-40, ГОСТ 21930-76</t>
  </si>
  <si>
    <t>27.90.13.00.00.03.06.03.1</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</si>
  <si>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</si>
  <si>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</si>
  <si>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27.90.13.00.00.03.06.05.1</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</si>
  <si>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</si>
  <si>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сплав медно-фосфористый</t>
  </si>
  <si>
    <t>27.90.32.00.00.01.04.01.1</t>
  </si>
  <si>
    <t>Горелка пропановая  Г2-06П,  ГОСТ 1077-70</t>
  </si>
  <si>
    <t>Редуктор кислородный  БКО-50-12.5, ГОСТ 13861-89</t>
  </si>
  <si>
    <t>Редуктор ацетиленовый БАО-5, ГОСТ 13861-89</t>
  </si>
  <si>
    <t>Редуктор пропановый БПО-5-12, ГОСТ 13861-89</t>
  </si>
  <si>
    <t xml:space="preserve"> Рукав пропановый    d=9 мм ГОСТ 9356-75, класс 1</t>
  </si>
  <si>
    <t>Резак</t>
  </si>
  <si>
    <t>пропановый</t>
  </si>
  <si>
    <t>27.90.31.00.01.02.04.10.1</t>
  </si>
  <si>
    <t>Горелка сварочная</t>
  </si>
  <si>
    <t>для проведения сварочных работ</t>
  </si>
  <si>
    <t>27.90.32.00.00.01.01.02.1</t>
  </si>
  <si>
    <t>БКО-50 - баллонный кислородный редуктор, одна ступень с пружинным заданием, пропускная способность - 50 м3/ч. ГОСТ 13861-89</t>
  </si>
  <si>
    <t>27.90.32.00.00.01.01.04.1</t>
  </si>
  <si>
    <t>БАО-5 - балонный ацетиленовый редуктор, одна ступень с пружинным заданием, пропускная способность - 5 м3/ч. ГОСТ 13861-89</t>
  </si>
  <si>
    <t>27.90.32.00.00.01.01.06.1</t>
  </si>
  <si>
    <t>БПО-5 - балонный пропановый редуктор, одна ступень с пружинным заданием, пропускная способность - 5 м3/ч. ГОСТ 13861-89</t>
  </si>
  <si>
    <t>27.90.32.00.00.02.01.01.1</t>
  </si>
  <si>
    <t>Шланг</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</si>
  <si>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</si>
  <si>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Поранит прокладочный ПОН-Б   б=3,0 мм ГОСТ 481-80</t>
  </si>
  <si>
    <t>Поранит прокладочный ПОН-Б   б=4,0 мм ГОСТ 481-80</t>
  </si>
  <si>
    <t>Картон прокладочный б=1,0 мм, ГОСТ 9347-74</t>
  </si>
  <si>
    <t>23.99.11.07.01.00.00.32.1</t>
  </si>
  <si>
    <t>общего назначения, марка - ПОН-Б, толщина - 4,0 мм. ГОСТ 481-80</t>
  </si>
  <si>
    <t>17.29.19.30.00.00.00.61.1</t>
  </si>
  <si>
    <t>Картон</t>
  </si>
  <si>
    <t>прокладочный</t>
  </si>
  <si>
    <t>Сверла спиральные  с цилиндр хвостовиком d=3,2 мм ГОСТ 4010-77</t>
  </si>
  <si>
    <t>Сверла спиральные с цилиндр хвостовиком d=4 мм ГОСТ 4010-77</t>
  </si>
  <si>
    <t>Сверла спиральные с цилиндр хвостовиком d=5 мм ГОСТ 4010-77</t>
  </si>
  <si>
    <t>Сверла спиральные с цилиндр хвостовиком d=5,4 мм ГОСТ 4010-77</t>
  </si>
  <si>
    <t>Сверла спиральные с цилиндр хвостовиком d=6 мм ГОСТ 4010-77</t>
  </si>
  <si>
    <t>Сверла спиральные с цилиндр хвостовиком d=6,8 мм ГОСТ 4010-77</t>
  </si>
  <si>
    <t>Сверла спиральные с цилиндр хвостовиком d=7 мм ГОСТ 4010-77</t>
  </si>
  <si>
    <t>Сверла спиральные с цилиндр хвостовиком d=8 мм ГОСТ 4010-77</t>
  </si>
  <si>
    <t>Сверла спиральные с цилиндр хвостовиком d=8,5 мм ГОСТ 4010-77</t>
  </si>
  <si>
    <t>Сверла спиральные с цилиндр хвостовиком d=10 мм ГОСТ 4010-77</t>
  </si>
  <si>
    <t>Сверла спиральные с цилиндр хвостовиком d=12 мм ГОСТ 4010-77</t>
  </si>
  <si>
    <t>Сверла спиральные с цилиндр хвостовиком d=14 мм ГОСТ 4010-77</t>
  </si>
  <si>
    <t>25.73.30.00.00.18.11.45.1</t>
  </si>
  <si>
    <t>Сверло</t>
  </si>
  <si>
    <t>спиральное, с цилиндрическим хвостовиком, 3,2 мм</t>
  </si>
  <si>
    <t>25.73.30.00.00.18.11.54.1</t>
  </si>
  <si>
    <t>спиральное, с цилиндрическим хвостовиком, 4,0 мм</t>
  </si>
  <si>
    <t>25.73.30.00.00.18.11.65.1</t>
  </si>
  <si>
    <t>спиральное, с цилиндрическим хвостовиком, 5,0 мм</t>
  </si>
  <si>
    <t>25.73.30.00.00.18.11.69.1</t>
  </si>
  <si>
    <t>спиральное, с цилиндрическим хвостовиком, 5,4 мм</t>
  </si>
  <si>
    <t>25.73.30.00.00.18.11.75.1</t>
  </si>
  <si>
    <t>спиральное, с цилиндрическим хвостовиком, 6,0 мм</t>
  </si>
  <si>
    <t>25.73.30.00.00.18.11.83.1</t>
  </si>
  <si>
    <t>спиральное, с цилиндрическим хвостовиком, 6,8 мм</t>
  </si>
  <si>
    <t>25.73.30.00.00.18.11.85.1</t>
  </si>
  <si>
    <t>спиральное, с цилиндрическим хвостовиком, 7,0 мм</t>
  </si>
  <si>
    <t>25.73.30.00.00.18.11.95.1</t>
  </si>
  <si>
    <t>спиральное, с цилиндрическим хвостовиком, 8,0 мм</t>
  </si>
  <si>
    <t>25.73.30.00.00.18.12.10.1</t>
  </si>
  <si>
    <t>спиральное, с цилиндрическим хвостовиком, 8,5мм</t>
  </si>
  <si>
    <t>25.73.30.00.00.18.12.25.1</t>
  </si>
  <si>
    <t>спиральное, с цилиндрическим хвостовиком, 10,0 мм</t>
  </si>
  <si>
    <t>25.73.30.00.00.18.12.45.1</t>
  </si>
  <si>
    <t>спиральное, с цилиндрическим хвостовиком, 12,0 мм</t>
  </si>
  <si>
    <t>25.73.30.00.00.18.12.65.1</t>
  </si>
  <si>
    <t>спиральное, с цилиндрическим хвостовиком, 14,0 мм</t>
  </si>
  <si>
    <t>Сверла спиральные с коническим  хвостовикомd=9 мм ГОСТ 10903-77</t>
  </si>
  <si>
    <t>Сверла спиральные с коническим  хвостовиком d=9,5 мм ГОСТ 10903-77</t>
  </si>
  <si>
    <t>Сверла спиральные с коническим  хвостовиком d=10 мм ГОСТ 10903-77</t>
  </si>
  <si>
    <t>Сверла спиральные с коническим  хвостовиком  d=11 мм ГОСТ 10903-77</t>
  </si>
  <si>
    <t>Сверла спиральные с коническим  хвостовиком d=12 мм ГОСТ 10903-77</t>
  </si>
  <si>
    <t>Сверла спиральные с коническим  хвостовиком  d=13 мм ГОСТ 10903-77</t>
  </si>
  <si>
    <t>Сверла спиральные с коническим  хвостовиком d=14 мм ГОСТ 10903-77</t>
  </si>
  <si>
    <t>Сверла спиральные с коническим  хвостовиком d=16 мм ГОСТ 10903-77</t>
  </si>
  <si>
    <t>Сверла спиральные с коническим  хвостовиком d=18 мм ГОСТ 10903-77</t>
  </si>
  <si>
    <t>Сверла спиральные с коническим  хвостовиком d=19 мм ГОСТ 10903-77</t>
  </si>
  <si>
    <t>Сверла спиральные с коническим  хвостовиком d=20 мм ГОСТ 10903-77</t>
  </si>
  <si>
    <t>Сверла спиральные с коническим  хвостовиком d=21 мм ГОСТ 10903-77</t>
  </si>
  <si>
    <t>Сверла спиральные с коническим  хвостовиком d=23 мм ГОСТ 10903-77</t>
  </si>
  <si>
    <t>25.73.30.00.00.18.14.30.1</t>
  </si>
  <si>
    <t>спиральное, с коническим хвостовиком, 9,0 мм</t>
  </si>
  <si>
    <t>25.73.30.00.00.18.14.32.1</t>
  </si>
  <si>
    <t>спиральное, с коническим хвостовиком, 9,5мм</t>
  </si>
  <si>
    <t>25.73.30.00.00.18.14.34.1</t>
  </si>
  <si>
    <t>спиральное, с коническим хвостовиком, 10,0 мм</t>
  </si>
  <si>
    <t>25.73.30.00.00.18.14.38.1</t>
  </si>
  <si>
    <t>спиральное, с коническим хвостовиком, 11,0 мм</t>
  </si>
  <si>
    <t>25.73.30.00.00.18.14.42.1</t>
  </si>
  <si>
    <t>спиральное, с коническим хвостовиком, 12,0 мм</t>
  </si>
  <si>
    <t>25.73.30.00.00.18.14.46.1</t>
  </si>
  <si>
    <t>спиральное, с коническим хвостовиком, 13,0 мм</t>
  </si>
  <si>
    <t>25.73.30.00.00.18.14.51.1</t>
  </si>
  <si>
    <t>спиральное, с коническим хвостовиком, 14,0 мм</t>
  </si>
  <si>
    <t>25.73.30.00.00.18.14.60.1</t>
  </si>
  <si>
    <t>спиральное, с коническим хвостовиком, 16 мм</t>
  </si>
  <si>
    <t>25.73.30.00.00.18.14.69.1</t>
  </si>
  <si>
    <t>спиральное, с коническим хвостовиком, 18,0 мм</t>
  </si>
  <si>
    <t>25.73.30.00.00.18.14.73.1</t>
  </si>
  <si>
    <t>спиральное, с коническим хвостовиком, 19,0 мм</t>
  </si>
  <si>
    <t>25.73.30.00.00.18.14.78.1</t>
  </si>
  <si>
    <t>спиральное, с коническим хвостовиком, 20,0 мм</t>
  </si>
  <si>
    <t>25.73.30.00.00.18.14.83.1</t>
  </si>
  <si>
    <t>спиральное, с коническим хвостовиком, 21,0 мм</t>
  </si>
  <si>
    <t>25.73.30.00.00.18.14.89.1</t>
  </si>
  <si>
    <t>спиральное, с коническим хвостовиком, 23,0 мм</t>
  </si>
  <si>
    <t>Сверло победитовое Ø5мм, L&lt;180мм</t>
  </si>
  <si>
    <t>Сверло победитовое Ø6мм, L&lt;180мм</t>
  </si>
  <si>
    <t>25.73.30.00.00.18.05.10.1</t>
  </si>
  <si>
    <t>с победитовым наконечником</t>
  </si>
  <si>
    <t>Метчики  машинно-ручные  (правая резьба)  М4х0,25, ГОСТ 3266-81</t>
  </si>
  <si>
    <t>Метчики  машинно-ручные  (правая резьба) М5х0,75, ГОСТ 3266-81</t>
  </si>
  <si>
    <t>Метчики  машинно-ручные  (правая резьба) М6х1, ГОСТ 3266-81</t>
  </si>
  <si>
    <t>Метчики машинно-ручные  (правая резьба) М8х1,25, ГОСТ 3266-81</t>
  </si>
  <si>
    <t>Метчики машинно-ручные  (правая резьба) М10х1,5, ГОСТ 3266-81</t>
  </si>
  <si>
    <t>Метчики машинно-ручные  (правая резьба) М12х1,75, ГОСТ 3266-81</t>
  </si>
  <si>
    <t>Метчики машинно-ручные  (правая резьба) М14х2, ГОСТ 3266-81</t>
  </si>
  <si>
    <t>Метчики машинно-ручные  (правая резьба) М16х2, ГОСТ 3266-81</t>
  </si>
  <si>
    <t>25.73.30.00.00.17.14.25.1</t>
  </si>
  <si>
    <t>Метчик</t>
  </si>
  <si>
    <t>Для дюймовой резьбы, номинальный диаметр - 6,350 мм (1/4 дюйма)</t>
  </si>
  <si>
    <t>25.73.30.00.00.17.14.11.1</t>
  </si>
  <si>
    <t>Машинный метчик. Номинальный диаметр до 8 мм</t>
  </si>
  <si>
    <t>25.73.30.00.00.17.14.12.1</t>
  </si>
  <si>
    <t>Машинный метчик. Номинальный диаметр свыше 8 до 16 мм</t>
  </si>
  <si>
    <t>Метчики машинно-ручные (левая резьба) М8х1,  ГОСТ 3266- 81</t>
  </si>
  <si>
    <t>Плашки М5х0,5, ГОСТ 9740-71</t>
  </si>
  <si>
    <t>Плашки М-4, ГОСТ 9740-71</t>
  </si>
  <si>
    <t>Плашки М6х1,0, ГОСТ 9740-71</t>
  </si>
  <si>
    <t>Плашки М8х1,25, ГОСТ 9740-71</t>
  </si>
  <si>
    <t>Плашки М10х1,5, ГОСТ 9740-71</t>
  </si>
  <si>
    <t>Плашки М12х1,5, ГОСТ 9740-71</t>
  </si>
  <si>
    <t>Плашки М14х1,5, ГОСТ 9740-71</t>
  </si>
  <si>
    <t>Плашки М14х2,0, ГОСТ 9740-71</t>
  </si>
  <si>
    <t>Плашки М16х2,0, ГОСТ 9740-71</t>
  </si>
  <si>
    <t>25.73.20.00.00.13.10.10.1</t>
  </si>
  <si>
    <t>Плашка</t>
  </si>
  <si>
    <t>Круглые плашки</t>
  </si>
  <si>
    <t>Метчики G1/2" ГОСТ 3266-81</t>
  </si>
  <si>
    <t>Метчики G3/4" ГОСТ 3266-81</t>
  </si>
  <si>
    <t>25.73.30.00.00.17.14.29.1</t>
  </si>
  <si>
    <t>Для дюймовой резьбы, номинальный диаметр - 12,700 мм (1/2 дюйма)</t>
  </si>
  <si>
    <t>25.73.30.00.00.17.14.32.1</t>
  </si>
  <si>
    <t>Для дюймовой резьбы, номинальный диаметр - 19,050 мм (3/4 дюйма)</t>
  </si>
  <si>
    <t>Плашки G1/2" ГОСТ 9740-71</t>
  </si>
  <si>
    <t>Плашки G3/4"  ГОСТ 9740-71</t>
  </si>
  <si>
    <t>Патрон к сверлильному станку конус №1,2,3  ГОСТ 2682-86</t>
  </si>
  <si>
    <t xml:space="preserve">Патрон  токарный 3-х кулачковый ф-400, ГОСТ 2675-80 </t>
  </si>
  <si>
    <t>Тиски слесарные ТСУ-150мм, ГОСТ 4045</t>
  </si>
  <si>
    <t>Ножницы  по металлу ручные  200 мм, ГОСТ 7210-75</t>
  </si>
  <si>
    <t>Плоскогубцы комбинированные  200 мм, ГОСТ 5547-75</t>
  </si>
  <si>
    <t>Щетки по металлу ручные , 6-ти рядная, ГОСТ 17-830-80</t>
  </si>
  <si>
    <t>Центр станочный усиленный 1-5-У (для токарного станка) ГОСТ-8742-75</t>
  </si>
  <si>
    <t>Центр станочный вращающийся 1-5-Н (для токарного станка) ГОСТ-8742-75</t>
  </si>
  <si>
    <t>Карандаш алмазный тип 3908-0054, для правки абразивных шлифовальных кругов</t>
  </si>
  <si>
    <t>28.49.22.00.00.00.11.38.1</t>
  </si>
  <si>
    <t>патрон токарный</t>
  </si>
  <si>
    <t>трехкулачковый,  самоцентрирующий, клиновый, диаметр патрона 400 мм</t>
  </si>
  <si>
    <t>28.24.22.00.00.00.10.11.1</t>
  </si>
  <si>
    <t>Патрон сверлильный</t>
  </si>
  <si>
    <t>трехкулачковый, ПСР-4</t>
  </si>
  <si>
    <t>25.73.30.00.00.25.10.10.1</t>
  </si>
  <si>
    <t>Тиски</t>
  </si>
  <si>
    <t>Слесарные</t>
  </si>
  <si>
    <t>25.73.10.00.00.30.11.10.1</t>
  </si>
  <si>
    <t>Ножница</t>
  </si>
  <si>
    <t>ножницы для работы одной рукой</t>
  </si>
  <si>
    <t>25.73.30.00.00.14.11.10.1</t>
  </si>
  <si>
    <t>Плоскогубцы</t>
  </si>
  <si>
    <t>Комбинированные</t>
  </si>
  <si>
    <t>32.91.19.00.00.00.50.12.1</t>
  </si>
  <si>
    <t>металлическая, четырехрядная</t>
  </si>
  <si>
    <t>28.49.22.00.00.00.12.10.1</t>
  </si>
  <si>
    <t>Центр вращающийся</t>
  </si>
  <si>
    <t>Центр вращающийся токарного станка</t>
  </si>
  <si>
    <t>Алмазный карандаш для правки шлифовальных кругов</t>
  </si>
  <si>
    <t>25.73.30.00.00.28.10.14.1</t>
  </si>
  <si>
    <t>ГОСТ 607-80, цилиндрические</t>
  </si>
  <si>
    <t>Ключи накидные двусторонние14х17 ГОСТ 2906-80</t>
  </si>
  <si>
    <t>Ключи гаечные рожковые двусторонние 8х10 ГОСТ10112-2001</t>
  </si>
  <si>
    <t>Ключи гаечные рожковые двусторонние 10х12 ГОСТ10112-2001</t>
  </si>
  <si>
    <t>Ключи гаечные рожковые двусторонние 12х14 ГОСТ10112-2001</t>
  </si>
  <si>
    <t>Ключи гаечные рожковые двусторонние 14х17 ГОСТ10112-2001</t>
  </si>
  <si>
    <t>Ключи гаечные рожковые двусторонние 17х19 ГОСТ10112-2001</t>
  </si>
  <si>
    <t>Ключи гаечные рожковые двусторонние 19х22 ГОСТ10112-2001</t>
  </si>
  <si>
    <t>Ключи гаечные рожковые двусторонние 22х24 ГОСТ10112-2001</t>
  </si>
  <si>
    <t>Ключи гаечные рожковые двусторонние 24х27 ГОСТ10112-2001</t>
  </si>
  <si>
    <t>Ключи гаечные рожковые двусторонние 27х30 ГОСТ10112-2001</t>
  </si>
  <si>
    <t>Ключи гаечные рожковые двусторонние 30х32 ГОСТ10112-2001</t>
  </si>
  <si>
    <t>Ключи гаечные рожковые двусторонние 32х36 ГОСТ10112-2001</t>
  </si>
  <si>
    <t>Ключи гаечные рожковые двусторонние 36х41 ГОСТ10112-2001</t>
  </si>
  <si>
    <t>Ключи гаечные рожковые двусторонние 41х46 ГОСТ10112-2001</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</si>
  <si>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</si>
  <si>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</si>
  <si>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</si>
  <si>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Ключ балонный двухсторонний Размер 24 х 27 мм (кованный, для колес а/м КАМАЗ,Газель) </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</si>
  <si>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</si>
  <si>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</si>
  <si>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25.73.30.00.00.16.09.19.1</t>
  </si>
  <si>
    <t>Ключ гаечный</t>
  </si>
  <si>
    <t>размеры зевов - 8*10 мм, ГОСТ 2839-80</t>
  </si>
  <si>
    <t>25.73.30.00.00.16.09.22.1</t>
  </si>
  <si>
    <t>размеры зевов - 10*12 мм, ГОСТ 2839-80</t>
  </si>
  <si>
    <t>25.73.30.00.00.16.09.28.1</t>
  </si>
  <si>
    <t>размеры зевов - 12*14 мм, ГОСТ 2839-80</t>
  </si>
  <si>
    <t>25.73.30.00.00.16.09.34.1</t>
  </si>
  <si>
    <t>размеры зевов - 14*17 мм, ГОСТ 2839-80</t>
  </si>
  <si>
    <t>25.73.30.00.00.16.09.36.1</t>
  </si>
  <si>
    <t>размеры зевов - 17*19 мм, ГОСТ 2839-80</t>
  </si>
  <si>
    <t>25.73.30.00.00.16.09.40.1</t>
  </si>
  <si>
    <t>размеры зевов - 19*22 мм, ГОСТ 2839-80</t>
  </si>
  <si>
    <t>25.73.30.00.00.16.09.44.1</t>
  </si>
  <si>
    <t>размеры зевов - 22*24 мм, ГОСТ 2839-80</t>
  </si>
  <si>
    <t>25.73.30.00.00.16.09.46.1</t>
  </si>
  <si>
    <t>размеры зевов - 24*27 мм, ГОСТ 2839-80</t>
  </si>
  <si>
    <t>25.73.30.00.00.16.09.48.1</t>
  </si>
  <si>
    <t>размеры зевов - 27*30 мм, ГОСТ 2839-80</t>
  </si>
  <si>
    <t>25.73.30.00.00.16.09.50.1</t>
  </si>
  <si>
    <t>размеры зевов - 30*32 мм, ГОСТ 2839-80</t>
  </si>
  <si>
    <t>25.73.30.00.00.16.09.54.1</t>
  </si>
  <si>
    <t>размеры зевов - 32*36 мм, ГОСТ 2839-80</t>
  </si>
  <si>
    <t>25.73.30.00.00.16.09.56.1</t>
  </si>
  <si>
    <t>размеры зевов - 36*41 мм, ГОСТ 2839-80</t>
  </si>
  <si>
    <t>25.73.30.00.00.16.09.57.1</t>
  </si>
  <si>
    <t>размеры зевов - 41*46 мм, ГОСТ 2839-80</t>
  </si>
  <si>
    <t>25.73.30.00.00.16.09.09.1</t>
  </si>
  <si>
    <t>Ключи гаечные</t>
  </si>
  <si>
    <t>25.73.30.00.00.37.01.01.1</t>
  </si>
  <si>
    <t>Ключ торцевой</t>
  </si>
  <si>
    <t>Ключи торцевые в наборе</t>
  </si>
  <si>
    <t>25.73.30.00.00.16.17.11.1</t>
  </si>
  <si>
    <t>Ключ балонный</t>
  </si>
  <si>
    <t>для грузовых автомобилей</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</si>
  <si>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</si>
  <si>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</si>
  <si>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</si>
  <si>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28.15.10.00.00.00.11.13.1</t>
  </si>
  <si>
    <t>подшипник качения шариковый радиальный однорядный со штампованным сепаратором наружным диаметром свыше 125 до 250 мм</t>
  </si>
  <si>
    <t>Подшипник 118</t>
  </si>
  <si>
    <t>28.15.10.00.00.00.11.11.1</t>
  </si>
  <si>
    <t>подшипник качения шариковый радиальный однорядный со штампованным сепаратором наружным диаметром от 30 до 55 мм</t>
  </si>
  <si>
    <t>Подшипник 203</t>
  </si>
  <si>
    <t>Подшипник 205</t>
  </si>
  <si>
    <t>Подшипник 206</t>
  </si>
  <si>
    <t>Подшипник 211</t>
  </si>
  <si>
    <t>Подшипник 212</t>
  </si>
  <si>
    <t>Подшипник 213</t>
  </si>
  <si>
    <t>Подшипник 217</t>
  </si>
  <si>
    <t>Подшипник 224</t>
  </si>
  <si>
    <t>28.15.10.00.00.00.11.19.1</t>
  </si>
  <si>
    <t>подшипник качения шариковый радиальный однорядный с массивным сепаратором наружным диаметром свыше 125 до 250 мм</t>
  </si>
  <si>
    <t>Подшипник 228</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</si>
  <si>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</si>
  <si>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</si>
  <si>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</si>
  <si>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Подшипник 306</t>
  </si>
  <si>
    <t>Подшипник 307</t>
  </si>
  <si>
    <t>Подшипник 308</t>
  </si>
  <si>
    <t>Подшипник 312</t>
  </si>
  <si>
    <t>Подшипник 407</t>
  </si>
  <si>
    <t>Подшипник 410</t>
  </si>
  <si>
    <t>Подшипник 415</t>
  </si>
  <si>
    <t>28.15.10.00.00.00.12.08.1</t>
  </si>
  <si>
    <t>подшипник роликовый радиальный</t>
  </si>
  <si>
    <t>Подшипник 2224</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</si>
  <si>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</si>
  <si>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</si>
  <si>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</si>
  <si>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</si>
  <si>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28.15.10.00.00.00.11.10.1</t>
  </si>
  <si>
    <t>подшипник качения шариковый радиальный однорядный со штампованным сепаратором наружным диаметром менее 30 мм</t>
  </si>
  <si>
    <t>Подшипник 6008</t>
  </si>
  <si>
    <t>Подшипник 6214</t>
  </si>
  <si>
    <t>Подшипник 6309</t>
  </si>
  <si>
    <t>Подшипник 7211</t>
  </si>
  <si>
    <t>Подшипник 7214</t>
  </si>
  <si>
    <t>Подшипник 7311</t>
  </si>
  <si>
    <t xml:space="preserve">Подшипник  7312А </t>
  </si>
  <si>
    <t>Подшипник 7510</t>
  </si>
  <si>
    <t xml:space="preserve">Подшипник  6-7515А </t>
  </si>
  <si>
    <t>Подшипник  6-7520А</t>
  </si>
  <si>
    <t xml:space="preserve">Подшипник  6-7610А </t>
  </si>
  <si>
    <t xml:space="preserve">Подшипник  7516 А </t>
  </si>
  <si>
    <t>Подшипник 6-7517А (роликовый)</t>
  </si>
  <si>
    <t>Подшипник 6-7815А (роликовый)</t>
  </si>
  <si>
    <t>Подшипник 7213 (30213)</t>
  </si>
  <si>
    <t>Подшипник 7518 А</t>
  </si>
  <si>
    <t>Подшипник 7612</t>
  </si>
  <si>
    <t>Подшипник  7608А</t>
  </si>
  <si>
    <t xml:space="preserve">Подшипник 7609КУ </t>
  </si>
  <si>
    <t xml:space="preserve">Подшипник 7613А </t>
  </si>
  <si>
    <t>28.15.10.00.00.00.38.12.1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</si>
  <si>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</si>
  <si>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свыше 55 до 125 мм</t>
  </si>
  <si>
    <t>Подшипник 8211</t>
  </si>
  <si>
    <t>28.15.10.00.00.00.46.13.1</t>
  </si>
  <si>
    <t>подшипник шариковый радиально-упорный специальный</t>
  </si>
  <si>
    <t>подшипник качения шариковый радиально-упорный двухрядные наружным диаметром свыше 125 до 250 мм</t>
  </si>
  <si>
    <t>Подшипник 12118</t>
  </si>
  <si>
    <t>28.15.10.00.00.00.46.12.1</t>
  </si>
  <si>
    <t>подшипник качения шариковый радиально-упорный двухрядные наружным диаметром свыше 55 до 125 мм</t>
  </si>
  <si>
    <t>Подшипник 12207</t>
  </si>
  <si>
    <t>Подшипник 12212</t>
  </si>
  <si>
    <t>Подшипник 2613</t>
  </si>
  <si>
    <t>Подшипник 22215</t>
  </si>
  <si>
    <t>Подшипник 22220</t>
  </si>
  <si>
    <t>28.15.10.00.00.00.67.12.1</t>
  </si>
  <si>
    <t>роликоподшипник конический однорядный</t>
  </si>
  <si>
    <t>подшипник качения роликовый с коническими роликами однорядные со штампованным сепаратором наружным диаметром свыше 55 до 125 мм</t>
  </si>
  <si>
    <t>Подшипник 27509</t>
  </si>
  <si>
    <t>Подшипник 27709</t>
  </si>
  <si>
    <t>28.15.10.00.00.00.13.10.1</t>
  </si>
  <si>
    <t>подшипник роликовый радиальный с короткими цилиндрическими роликами с однобортовым внутренним кольцом, наружным диаметром 52 мм</t>
  </si>
  <si>
    <t>Подшипник 32209</t>
  </si>
  <si>
    <t>28.15.10.00.00.00.13.11.1</t>
  </si>
  <si>
    <t>подшипник роликовый радиальный с короткими цилиндрическими роликами с однобортовым внутренним кольцом, наружным диаметром 62 мм</t>
  </si>
  <si>
    <t>Подшипник 32213</t>
  </si>
  <si>
    <t>Подшипник 32315</t>
  </si>
  <si>
    <t>Подшипник 32417</t>
  </si>
  <si>
    <t>Подшипник 32612</t>
  </si>
  <si>
    <t>Подшипник 32615</t>
  </si>
  <si>
    <t>Подшипник 32647</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</si>
  <si>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</si>
  <si>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</si>
  <si>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</si>
  <si>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</si>
  <si>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Подшипник 53522</t>
  </si>
  <si>
    <t>Подшипник 53610</t>
  </si>
  <si>
    <t>Подшипник 62205</t>
  </si>
  <si>
    <t>Подшипник 102304</t>
  </si>
  <si>
    <t>Подшипник 170314</t>
  </si>
  <si>
    <t>Подшипник 170412</t>
  </si>
  <si>
    <t>28.15.10.00.00.00.67.17.1</t>
  </si>
  <si>
    <t>подшипник качения роликовый с коническими роликами однорядные с массивным сепаратором наружным диаметром свыше 55 до 125 мм</t>
  </si>
  <si>
    <t>Подшипник 502207</t>
  </si>
  <si>
    <t>Подшипник 877907</t>
  </si>
  <si>
    <t>Подшипник 977907</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</si>
  <si>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</si>
  <si>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</si>
  <si>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2007124</t>
  </si>
  <si>
    <t>28.15.10.00.00.00.12.20.1</t>
  </si>
  <si>
    <t>подшипник роликовый радиальный с короткими цилиндрическими роликами  без бортов на внутреннем кольце, наружным диаметром 290 мм</t>
  </si>
  <si>
    <t xml:space="preserve">Подшипник  2312КМ </t>
  </si>
  <si>
    <t xml:space="preserve">Подшипник  50412АК  </t>
  </si>
  <si>
    <t>Подшипник 102308К1 /роликовый/</t>
  </si>
  <si>
    <t>28.15.10.00.00.00.17.18.1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</si>
  <si>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</si>
  <si>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90 мм</t>
  </si>
  <si>
    <t xml:space="preserve">Подшипник 127509АК </t>
  </si>
  <si>
    <t>28.15.10.00.00.00.17.30.1</t>
  </si>
  <si>
    <t>подшипник роликовый радиально-упорный с коническими роликами однорядный, наружным диаметром 215 мм</t>
  </si>
  <si>
    <t>Подшипник 2007128А</t>
  </si>
  <si>
    <t>Подшипник 20322220К</t>
  </si>
  <si>
    <t>Подшипник 20703К</t>
  </si>
  <si>
    <t xml:space="preserve">Подшипник 208А </t>
  </si>
  <si>
    <t xml:space="preserve">Подшипник 305А </t>
  </si>
  <si>
    <t xml:space="preserve">Подшипник 311А </t>
  </si>
  <si>
    <t>Подшипник 6-215К</t>
  </si>
  <si>
    <t>Подшипник 7606АУ</t>
  </si>
  <si>
    <t>Подшипник У-27911А</t>
  </si>
  <si>
    <t>Твердосплавный бур ТЕ-YX 20/52, Øбура 20мм, рабочая длина 400мм,  4-х витковые с Х-образным наконечником</t>
  </si>
  <si>
    <t>Твердосплавный бур ТЕ-YX 20/52, Øбура 25мм, рабочая длина 400мм,  4-х витковые с Х-образным наконечником</t>
  </si>
  <si>
    <t>Твердосплавный бур ТЕ-YX 20/52, Øбура 35мм, рабочая длина 400мм,  4-х витковые с Х-образным наконечником</t>
  </si>
  <si>
    <t>Двигатель  КамАЗ-740.11-1000400 (Евро-1, 240 л/с, с стартером, "КамАЗ- 55111,53215")</t>
  </si>
  <si>
    <t>29.10.19.00.00.10.14.45.1</t>
  </si>
  <si>
    <t>для дизельного двигателя мощностью более 235 л.с., но не более 240 л.с.</t>
  </si>
  <si>
    <t>29.10.19.00.00.10.14.46.1</t>
  </si>
  <si>
    <t>для дизельного двигателя мощностью более 240 л.с., но не более 300 л.с.</t>
  </si>
  <si>
    <t>29.10.19.00.00.10.17.11.1</t>
  </si>
  <si>
    <t>Шатун в сборе</t>
  </si>
  <si>
    <t xml:space="preserve">для дизельного двигателя </t>
  </si>
  <si>
    <t>29.10.19.00.00.10.15.15.2</t>
  </si>
  <si>
    <t>Поршневое кольцо</t>
  </si>
  <si>
    <t>для двигателей с непосредственным впрыском (инжекторные), ГОСТ 621-87, компрессионное</t>
  </si>
  <si>
    <t>29.10.19.00.00.10.15.12.2</t>
  </si>
  <si>
    <t xml:space="preserve">для двигателей с непосредственным впрыском (инжекторные), ГОСТ 621-87, маслосъемное </t>
  </si>
  <si>
    <t>28.11.41.00.00.00.10.11.1</t>
  </si>
  <si>
    <t>головка цилиндра</t>
  </si>
  <si>
    <t xml:space="preserve">к двигателю внутреннего сгорания </t>
  </si>
  <si>
    <t>30.20.40.00.00.05.01.32.1</t>
  </si>
  <si>
    <t>Прокладка клапана</t>
  </si>
  <si>
    <t>для подвижного состава</t>
  </si>
  <si>
    <t>29.32.30.00.15.00.51.01.1</t>
  </si>
  <si>
    <t>Прокладка коллектора</t>
  </si>
  <si>
    <t>к грузовому автотранспорту</t>
  </si>
  <si>
    <t>22.19.27.00.20.30.10.31.1</t>
  </si>
  <si>
    <t>Манжеты однокромочные</t>
  </si>
  <si>
    <t>Манжеты армированные, однокромочные, с механической обработанной кромкой для вала диаметром 42 мм</t>
  </si>
  <si>
    <t>29.32.30.00.15.00.31.02.1</t>
  </si>
  <si>
    <t>Комплект прокладок ДВС</t>
  </si>
  <si>
    <t>29.10.19.00.00.10.23.11.1</t>
  </si>
  <si>
    <t>Масляный насос в сборе</t>
  </si>
  <si>
    <t>для дизельного двигателя, односекционный</t>
  </si>
  <si>
    <t>28.29.82.00.00.00.16.14.1</t>
  </si>
  <si>
    <t>фильтрующий элемент масляного фильтра</t>
  </si>
  <si>
    <t>28.29.12.00.00.00.33.10.1</t>
  </si>
  <si>
    <t>Фильтрующий элемент</t>
  </si>
  <si>
    <t>тонкой очистки масла, фторопластовый</t>
  </si>
  <si>
    <t>28.29.13.00.00.00.11.11.1</t>
  </si>
  <si>
    <t xml:space="preserve">тонкой очистки для дизельных двигателей грузовых автомобилей </t>
  </si>
  <si>
    <t>28.29.13.00.00.00.12.02.1</t>
  </si>
  <si>
    <t>29.32.30.00.11.00.02.02.1</t>
  </si>
  <si>
    <t>Топливный насос высокого давления (ТНВД)</t>
  </si>
  <si>
    <t>V-образные (многосекционные)</t>
  </si>
  <si>
    <t>29.32.30.00.11.00.03.02.1</t>
  </si>
  <si>
    <t>28.11.42.00.00.00.60.10.1</t>
  </si>
  <si>
    <t>Комплект ремонтный</t>
  </si>
  <si>
    <t>топливной аппаратуры дизельного двигателя</t>
  </si>
  <si>
    <t>29.32.30.00.11.00.14.02.1</t>
  </si>
  <si>
    <t>28.11.42.00.00.00.10.45.1</t>
  </si>
  <si>
    <t>28.13.31.00.00.03.11.01.1</t>
  </si>
  <si>
    <t>для насоса высокого давления</t>
  </si>
  <si>
    <t>29.32.30.00.14.00.04.01.1</t>
  </si>
  <si>
    <t>Распылитель форсунки к грузовому автотранспорту</t>
  </si>
  <si>
    <t>24.20.13.03.00.00.01.00.1</t>
  </si>
  <si>
    <t>Рукав металлический (металлорукав)</t>
  </si>
  <si>
    <t>стальной</t>
  </si>
  <si>
    <t>29.32.30.00.01.01.05.02.1</t>
  </si>
  <si>
    <t>Радиатор системы охлаждения</t>
  </si>
  <si>
    <t>29.32.30.00.01.01.01.06.1</t>
  </si>
  <si>
    <t>Патрубок радиатора</t>
  </si>
  <si>
    <t>верхний подводящий, для грузовых автомобилей</t>
  </si>
  <si>
    <t>29.32.30.00.01.01.01.07.1</t>
  </si>
  <si>
    <t>нижний отводящий, для грузовых автомобилей</t>
  </si>
  <si>
    <t>29.10.19.00.00.40.25.11.1</t>
  </si>
  <si>
    <t>Водяной насос (помпа)</t>
  </si>
  <si>
    <t>28.11.42.00.00.00.60.11.1</t>
  </si>
  <si>
    <t>водяного насоса дизельного двигателя</t>
  </si>
  <si>
    <t>29.32.30.00.01.01.04.02.1</t>
  </si>
  <si>
    <t>Расширительный бачок</t>
  </si>
  <si>
    <t>29.32.30.00.15.00.05.05.1</t>
  </si>
  <si>
    <t xml:space="preserve">Включатель </t>
  </si>
  <si>
    <t>муфты привода вентилятора</t>
  </si>
  <si>
    <t>29.31.22.00.00.00.63.10.1</t>
  </si>
  <si>
    <t>системы питания двигателя грузовых автомобилей</t>
  </si>
  <si>
    <t>29.32.30.00.03.01.09.02.1</t>
  </si>
  <si>
    <t>29.32.30.00.03.01.02.02.1</t>
  </si>
  <si>
    <t>Нажимной диск (корзина сцепления)</t>
  </si>
  <si>
    <t>28.30.93.00.00.00.14.11.1</t>
  </si>
  <si>
    <t>Муфта сцепления и их части</t>
  </si>
  <si>
    <t>для кратковременного отключения двигателя от трансмиссии и плавного трогания</t>
  </si>
  <si>
    <t>29.32.30.00.03.01.11.02.1</t>
  </si>
  <si>
    <t>29.32.30.00.03.01.12.01.1</t>
  </si>
  <si>
    <t>Пневмогидроусилитель</t>
  </si>
  <si>
    <t xml:space="preserve"> привода сцепления в сборе, для грузовых автомобилей</t>
  </si>
  <si>
    <t>29.32.30.00.03.01.12.20.1</t>
  </si>
  <si>
    <t>ремонтный комплект</t>
  </si>
  <si>
    <t>к пневмогидроусилителю сцепления</t>
  </si>
  <si>
    <t>Вал первичный (ведущий)</t>
  </si>
  <si>
    <t>29.32.30.00.04.06.01.03.1</t>
  </si>
  <si>
    <t>Синхронизатор (муфта синхронизаторов)</t>
  </si>
  <si>
    <t>для переключения 4 и 5 передач</t>
  </si>
  <si>
    <t>29.32.30.00.04.06.02.03.1</t>
  </si>
  <si>
    <t>29.32.30.00.15.00.52.10.1</t>
  </si>
  <si>
    <t>Шестерня к грузовому автотранспорту</t>
  </si>
  <si>
    <t>29.32.30.00.15.00.65.11.1</t>
  </si>
  <si>
    <t>уплотнительная, для грузовых автомобилей</t>
  </si>
  <si>
    <t>29.32.30.00.05.02.01.02.1</t>
  </si>
  <si>
    <t>Промежуточный карданный вал</t>
  </si>
  <si>
    <t xml:space="preserve">Вал карданный среднего моста (основной) 53215-2205011-10 (КамАЗ-53215) </t>
  </si>
  <si>
    <t xml:space="preserve">Вал карданный среднего моста (торц.шлицы =629 мм.)  54105-2205011-10 (КамАЗ-54105, 65115)  </t>
  </si>
  <si>
    <t>29.32.30.00.05.02.02.02.1</t>
  </si>
  <si>
    <t>Задний карданный вал</t>
  </si>
  <si>
    <t>29.32.30.00.05.03.14.02.1</t>
  </si>
  <si>
    <t>29.32.30.00.09.00.01.06.1</t>
  </si>
  <si>
    <t>Амортизатор подвески</t>
  </si>
  <si>
    <t>29.32.30.00.09.00.02.02.1</t>
  </si>
  <si>
    <t>Рессора передняя</t>
  </si>
  <si>
    <t>29.32.30.00.09.00.03.02.1</t>
  </si>
  <si>
    <t>Рессора задняя</t>
  </si>
  <si>
    <t>29.32.30.00.09.00.33.03.1</t>
  </si>
  <si>
    <t>верхняя, для грузовых автомобилей, в сборе</t>
  </si>
  <si>
    <t xml:space="preserve">Штанга реактивная с пальцами в сборе 5511-2919013-15 (КамАЗ-53215, 54115)          </t>
  </si>
  <si>
    <t>29.32.30.00.09.00.33.04.1</t>
  </si>
  <si>
    <t>нижняя, для грузовых автомобилей, в сборе</t>
  </si>
  <si>
    <t>Штанга реактивная с пальцами в сборе 5511-2919013-01 /Евро/  (КамАЗ-65115)</t>
  </si>
  <si>
    <t>29.32.30.00.06.10.01.02.1</t>
  </si>
  <si>
    <t>22.19.27.00.20.40.50.10.1</t>
  </si>
  <si>
    <t>резиновая</t>
  </si>
  <si>
    <t>Рулевой механизм</t>
  </si>
  <si>
    <t>29.32.30.00.40.02.00.02.1</t>
  </si>
  <si>
    <t>гидроусилителя руля грузового автомобиля</t>
  </si>
  <si>
    <t>29.32.30.00.07.00.20.02.1</t>
  </si>
  <si>
    <t>Насос гидроусилителя рулевого управления</t>
  </si>
  <si>
    <t>29.32.30.00.07.00.21.02.1</t>
  </si>
  <si>
    <t>Ротор насоса гидроусилителя рулевого управления</t>
  </si>
  <si>
    <t>22.19.34.00.00.00.35.30.1</t>
  </si>
  <si>
    <t>Шланг гидроусилителя</t>
  </si>
  <si>
    <t>Шланг гидроусилителя для грузовых автомобилей</t>
  </si>
  <si>
    <t>29.32.30.00.07.00.04.30.1</t>
  </si>
  <si>
    <t>Пружина</t>
  </si>
  <si>
    <t>для тормозных колодок</t>
  </si>
  <si>
    <t>29.32.30.00.09.00.13.04.1</t>
  </si>
  <si>
    <t>Рычаг</t>
  </si>
  <si>
    <t>прочий</t>
  </si>
  <si>
    <t>29.32.30.00.15.00.60.02.1</t>
  </si>
  <si>
    <t>Рычаг регулировочный</t>
  </si>
  <si>
    <t>для заднего тормоза</t>
  </si>
  <si>
    <t>28.13.28.00.00.00.11.10.1</t>
  </si>
  <si>
    <t>компрессор прочие</t>
  </si>
  <si>
    <t>компрессор прочие, не включенные в другие группировки</t>
  </si>
  <si>
    <t>28.13.32.00.00.00.29.11.1</t>
  </si>
  <si>
    <t>компрессора</t>
  </si>
  <si>
    <t xml:space="preserve">Поршень компрессора  5320-3509160 /130-3509160-02/ (КамАЗ) </t>
  </si>
  <si>
    <t>28.13.32.00.00.00.16.10.1</t>
  </si>
  <si>
    <t>для ремонта компрессора</t>
  </si>
  <si>
    <t xml:space="preserve">Комплект поршневых колец  компрессора 5320-3509164 /130-3509167/ (КамАЗ) </t>
  </si>
  <si>
    <t>29.32.30.00.15.00.38.01.1</t>
  </si>
  <si>
    <t>29.32.30.00.15.00.23.03.1</t>
  </si>
  <si>
    <t>Регулятор давления</t>
  </si>
  <si>
    <t>29.32.30.00.08.00.19.01.2</t>
  </si>
  <si>
    <t>Комплект ремонтный (ремкоплект) к грузовому автотранспорту</t>
  </si>
  <si>
    <t>29.32.30.00.15.00.90.08.1</t>
  </si>
  <si>
    <t>Клапан ускорительный</t>
  </si>
  <si>
    <t>Клапан ускорительный пневмотормозов</t>
  </si>
  <si>
    <t>28.11.42.00.00.00.10.67.1</t>
  </si>
  <si>
    <t>Клапан перепускной</t>
  </si>
  <si>
    <t>29.32.30.00.07.00.22.05.1</t>
  </si>
  <si>
    <t>Энергоаккумулятор</t>
  </si>
  <si>
    <t>для тормозной системы грузовых автомобилей</t>
  </si>
  <si>
    <t>22.19.34.00.00.00.30.30.1</t>
  </si>
  <si>
    <t>Шланг тормозной для грузовых автомобилей</t>
  </si>
  <si>
    <t>29.32.30.00.07.00.43.01.1</t>
  </si>
  <si>
    <t>30.91.20.00.00.00.60.40.1</t>
  </si>
  <si>
    <t>используется для проворачивания коленчатого вала при пуске двигателя</t>
  </si>
  <si>
    <t>29.31.22.00.00.00.33.04.1</t>
  </si>
  <si>
    <t>Привод стартера</t>
  </si>
  <si>
    <t>для статера с инерционным или комбинированным приводом, для грузовых автомобилей</t>
  </si>
  <si>
    <t>29.31.22.00.00.00.37.05.1</t>
  </si>
  <si>
    <t>Щетки стартера</t>
  </si>
  <si>
    <t>графитные, для грузовых  автомобилей</t>
  </si>
  <si>
    <t>29.31.22.00.00.00.34.04.1</t>
  </si>
  <si>
    <t>Якорь стартера</t>
  </si>
  <si>
    <t>29.31.22.00.00.00.43.11.1</t>
  </si>
  <si>
    <t>Втягивающее реле</t>
  </si>
  <si>
    <t>29.31.22.00.00.00.01.03.1</t>
  </si>
  <si>
    <t>Щетки генератора</t>
  </si>
  <si>
    <t>меднографитные, для грузовых  автомобилей</t>
  </si>
  <si>
    <t>30.20.40.00.00.08.06.65.1</t>
  </si>
  <si>
    <t>Щеткодержатель</t>
  </si>
  <si>
    <t>29.32.30.00.15.00.25.06.1</t>
  </si>
  <si>
    <t>комбинированный -  света, поворотов, сигнала</t>
  </si>
  <si>
    <t>29.31.22.00.00.00.56.11.1</t>
  </si>
  <si>
    <t>Замок зажигания стартера</t>
  </si>
  <si>
    <t>29.32.30.00.15.00.11.03.1</t>
  </si>
  <si>
    <t>интегральное</t>
  </si>
  <si>
    <t>29.32.30.00.15.00.11.02.1</t>
  </si>
  <si>
    <t>Реле поворота</t>
  </si>
  <si>
    <t>29.31.23.00.00.00.11.11.1</t>
  </si>
  <si>
    <t>правый, задний</t>
  </si>
  <si>
    <t>29.31.23.00.00.00.11.10.1</t>
  </si>
  <si>
    <t>левый, задний</t>
  </si>
  <si>
    <t>29.32.30.00.15.00.01.01.1</t>
  </si>
  <si>
    <t>Амортизатор</t>
  </si>
  <si>
    <t>кабины</t>
  </si>
  <si>
    <t>29.32.30.00.15.00.82.10.1</t>
  </si>
  <si>
    <t>Радиатор отопителя</t>
  </si>
  <si>
    <t>29.32.30.00.15.00.56.10.1</t>
  </si>
  <si>
    <t>Электродвигатель отопителя</t>
  </si>
  <si>
    <t>Электродвигатель отопителя к грузовому автотранспорту</t>
  </si>
  <si>
    <t>28.29.82.00.00.00.16.11.1</t>
  </si>
  <si>
    <t>металлический корпус масляного фильтра</t>
  </si>
  <si>
    <t>28.29.82.00.00.00.20.10.1</t>
  </si>
  <si>
    <t>Крышка фильтра</t>
  </si>
  <si>
    <t>тонкой очистки топлива дизельного двигателя</t>
  </si>
  <si>
    <t>28.11.42.00.00.00.10.83.1</t>
  </si>
  <si>
    <t>29.32.30.00.03.01.07.20.1</t>
  </si>
  <si>
    <t>Полуось карданной передачи</t>
  </si>
  <si>
    <t>29.32.30.00.09.00.09.02.1</t>
  </si>
  <si>
    <t>Стремянка передней рессоры</t>
  </si>
  <si>
    <t>29.31.23.00.00.00.17.01.1</t>
  </si>
  <si>
    <t>Указатель поворота</t>
  </si>
  <si>
    <t>30.20.40.00.00.05.01.24.1</t>
  </si>
  <si>
    <t>29.32.30.00.07.00.18.02.1</t>
  </si>
  <si>
    <t>кран тормозной</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</si>
  <si>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</si>
  <si>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</si>
  <si>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</si>
  <si>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29.32.30.00.07.00.16.02.1</t>
  </si>
  <si>
    <t>Накладка тормозной колодки</t>
  </si>
  <si>
    <t>29.32.30.00.15.00.09.01.1</t>
  </si>
  <si>
    <t>массы</t>
  </si>
  <si>
    <t>29.32.30.00.10.10.10.11.2</t>
  </si>
  <si>
    <t>Ступица для грузовых автомобилей</t>
  </si>
  <si>
    <t>29.32.30.00.07.00.01.02.1</t>
  </si>
  <si>
    <t>Тормозной барабан</t>
  </si>
  <si>
    <t>для грузовых автомобилей, передний</t>
  </si>
  <si>
    <t>29.32.30.00.04.03.04.01.1</t>
  </si>
  <si>
    <t>реверсивная, для грузоавых машин</t>
  </si>
  <si>
    <t>29.10.19.00.00.10.27.11.1</t>
  </si>
  <si>
    <t>Прокладка поддона картера</t>
  </si>
  <si>
    <t>30.20.40.00.00.05.01.38.1</t>
  </si>
  <si>
    <t>Прокладка крышки</t>
  </si>
  <si>
    <t>26.51.51.15.11.11.11.10.1</t>
  </si>
  <si>
    <t>Датчик давления</t>
  </si>
  <si>
    <t>масла</t>
  </si>
  <si>
    <t>30.20.40.00.00.08.06.56.1</t>
  </si>
  <si>
    <t>29.32.30.00.15.00.61.11.1</t>
  </si>
  <si>
    <t>Крышка подшипника</t>
  </si>
  <si>
    <t>29.32.30.00.41.02.00.02.1</t>
  </si>
  <si>
    <t>коробки переключения передач грузового автомобиля</t>
  </si>
  <si>
    <t>30.20.40.00.00.07.01.09.1</t>
  </si>
  <si>
    <t>Крепежное изделие для подвижного состава</t>
  </si>
  <si>
    <t>30.20.40.00.00.05.01.50.1</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</si>
  <si>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</si>
  <si>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</si>
  <si>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30.20.40.00.00.08.40.10.1</t>
  </si>
  <si>
    <t>Труба перепускная</t>
  </si>
  <si>
    <t>30.20.40.00.00.08.06.29.1</t>
  </si>
  <si>
    <t>26.20.16.14.16.11.11.10.1</t>
  </si>
  <si>
    <t>Редуктора.</t>
  </si>
  <si>
    <t>30.20.40.00.00.08.07.04.1</t>
  </si>
  <si>
    <t>Стакан</t>
  </si>
  <si>
    <t>29.32.30.00.41.01.00.02.1</t>
  </si>
  <si>
    <t>моста грузового автомобиля</t>
  </si>
  <si>
    <t>30.20.40.00.00.08.02.19.1</t>
  </si>
  <si>
    <t>Втулка башмака</t>
  </si>
  <si>
    <t>29.32.30.00.04.08.07.01.1</t>
  </si>
  <si>
    <t>Механизм переключения делителя передач</t>
  </si>
  <si>
    <t>для грузового автомобиля</t>
  </si>
  <si>
    <t>28.13.32.00.00.00.48.01.1</t>
  </si>
  <si>
    <t>к компрессору</t>
  </si>
  <si>
    <t>28.13.32.00.00.00.24.20.1</t>
  </si>
  <si>
    <t>Головка компрессорная</t>
  </si>
  <si>
    <t>на поршневой компрессор</t>
  </si>
  <si>
    <t>29.32.30.00.04.25.01.01.1</t>
  </si>
  <si>
    <t>Кран управления делителем передач</t>
  </si>
  <si>
    <t>30.20.40.00.00.05.01.04.1</t>
  </si>
  <si>
    <t>30.20.40.00.00.08.03.00.1</t>
  </si>
  <si>
    <t>29.32.30.00.15.00.96.10.1</t>
  </si>
  <si>
    <t>Муфта опережения впрыска топлива</t>
  </si>
  <si>
    <t>29.32.30.00.03.01.03.02.1</t>
  </si>
  <si>
    <t>Подшипник выключения сцепления (выжимной подшипник)</t>
  </si>
  <si>
    <t>30.20.40.00.00.05.01.27.1</t>
  </si>
  <si>
    <t>29.32.30.00.08.00.19.01.1</t>
  </si>
  <si>
    <t>29.32.30.00.06.04.01.02.1</t>
  </si>
  <si>
    <t>Рулевая тяга</t>
  </si>
  <si>
    <t>29.32.30.00.15.00.41.02.1</t>
  </si>
  <si>
    <t>Гидроцилиндр опрокидывающего механизма в сборе 65111-8603010 (КамАЗ-65115 нагрузка 15 тн, рабочее давление до 24 Мпа)</t>
  </si>
  <si>
    <t>30.20.40.00.00.08.01.30.1</t>
  </si>
  <si>
    <t>Вал</t>
  </si>
  <si>
    <t>29.31.23.00.00.00.40.12.1</t>
  </si>
  <si>
    <t>Сигнал звуковой</t>
  </si>
  <si>
    <t>29.32.30.00.07.00.03.02.1</t>
  </si>
  <si>
    <t>Суппорт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</si>
  <si>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</si>
  <si>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</si>
  <si>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</si>
  <si>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29.10.19.00.00.20.10.11.1</t>
  </si>
  <si>
    <t>29.10.19.00.00.10.20.11.1</t>
  </si>
  <si>
    <t>Коленчатый вал</t>
  </si>
  <si>
    <t>28.11.42.00.00.00.10.24.1</t>
  </si>
  <si>
    <t>поршень</t>
  </si>
  <si>
    <t>28.11.42.00.00.00.10.23.1</t>
  </si>
  <si>
    <t>29.10.19.00.00.10.12.11.1</t>
  </si>
  <si>
    <t>29.10.19.00.00.40.28.11.1</t>
  </si>
  <si>
    <t>29.10.19.00.00.20.23.11.1</t>
  </si>
  <si>
    <t>28.11.42.00.00.00.10.32.1</t>
  </si>
  <si>
    <t>топливный насос</t>
  </si>
  <si>
    <t xml:space="preserve">Насос топливный высокого давления в сборе  80-1111005-30  (ТНВД ЯМЗ-238М2, КрАЗ)  </t>
  </si>
  <si>
    <t>28.29.13.00.00.00.11.08.1</t>
  </si>
  <si>
    <t>грубой очистки для дизельных двигателей грузовых автомобилей</t>
  </si>
  <si>
    <t>29.32.30.00.13.00.01.02.1</t>
  </si>
  <si>
    <t>Глушитель основной</t>
  </si>
  <si>
    <t>Радиатор водяной КрАЗ-65101 (4-х ряд.)  6437-1301010-10</t>
  </si>
  <si>
    <t>29.10.19.00.00.10.25.11.1</t>
  </si>
  <si>
    <t>29.32.30.00.01.01.14.02.1</t>
  </si>
  <si>
    <t>Коробка передач в сборе  236Н-1700003 (КрАЗ)</t>
  </si>
  <si>
    <t>29.32.30.00.04.06.01.05.1</t>
  </si>
  <si>
    <t>для переключения 2 и 3, 4 и 5 передач</t>
  </si>
  <si>
    <t>29.32.30.00.04.10.20.10.1</t>
  </si>
  <si>
    <t>Ось шестерни</t>
  </si>
  <si>
    <t>29.32.30.00.04.30.01.01.1</t>
  </si>
  <si>
    <t>Вилка механизма переключения передач</t>
  </si>
  <si>
    <t>29.32.30.00.04.03.02.05.1</t>
  </si>
  <si>
    <t>коробка передач - пятиступенчатая, трехвальная</t>
  </si>
  <si>
    <t>29.32.30.00.05.01.02.10.1</t>
  </si>
  <si>
    <t>Карданный вал</t>
  </si>
  <si>
    <t>для автомобильной техники</t>
  </si>
  <si>
    <t>29.32.30.00.09.00.33.01.1</t>
  </si>
  <si>
    <t>верхняя, для грузовых автомобилей</t>
  </si>
  <si>
    <t xml:space="preserve">Штанга реактивная  верхняя в сборе "КрАЗ-65101" (L=690 мм)  251-2919014 </t>
  </si>
  <si>
    <t>29.32.30.00.09.00.33.02.1</t>
  </si>
  <si>
    <t>нижняя, для грузовых автомобилей</t>
  </si>
  <si>
    <t xml:space="preserve">Штанга реактивная   нижняя в сборе "КрАЗ-65101"  (L=530 мм)  251-2919013 </t>
  </si>
  <si>
    <t>29.32.30.00.09.00.11.02.1</t>
  </si>
  <si>
    <t>Шкворень</t>
  </si>
  <si>
    <t>Шкворень повортного кулака  500А-3001019 (КрАЗ)</t>
  </si>
  <si>
    <t>29.32.30.00.15.00.06.01.1</t>
  </si>
  <si>
    <t>шкворня</t>
  </si>
  <si>
    <t>29.32.30.00.07.00.50.01.1</t>
  </si>
  <si>
    <t>Для питания сжатым воздухом тормозных систем грузовых автомобилей</t>
  </si>
  <si>
    <t>Компрессор  2-х цил. 161-3509012 /аналог 5336-3509010/ (КрАЗ, МАЗ)</t>
  </si>
  <si>
    <t>30.20.40.00.00.08.05.30.1</t>
  </si>
  <si>
    <t>Регулятор давления воздуха КрАЗ-65101 в сборе  11.3512010</t>
  </si>
  <si>
    <t>29.32.30.00.07.00.22.01.1</t>
  </si>
  <si>
    <t>камера тормозная для грузовых автомобилей</t>
  </si>
  <si>
    <t>29.32.30.00.15.00.11.07.1</t>
  </si>
  <si>
    <t>Реле регулятор</t>
  </si>
  <si>
    <t>29.31.22.00.00.00.10.13.1</t>
  </si>
  <si>
    <t>с инерционным или комбинированным приводом, для грузовых автомобилей</t>
  </si>
  <si>
    <t>30.20.40.00.00.08.05.40.1</t>
  </si>
  <si>
    <t>29.32.20.00.00.00.60.09.1</t>
  </si>
  <si>
    <t>Лобовое стекло</t>
  </si>
  <si>
    <t>автомобильное</t>
  </si>
  <si>
    <t>Стекло  лобовое правое  КрАЗ-, 6510 (905х604)  250-5206012-40</t>
  </si>
  <si>
    <t>Радиатор отопителя кабины КрАЗ-250, 6510  250Ш-8101058</t>
  </si>
  <si>
    <t>29.10.19.00.00.20.27.11.1</t>
  </si>
  <si>
    <t>30.20.40.00.00.08.04.90.1</t>
  </si>
  <si>
    <t>29.32.30.00.11.00.08.20.1</t>
  </si>
  <si>
    <t>для топливного насоса высокого давления грузовых автомобилей</t>
  </si>
  <si>
    <t>29.32.30.00.01.01.03.02.1</t>
  </si>
  <si>
    <t>29.31.22.00.00.00.34.03.1</t>
  </si>
  <si>
    <t>для статера с электромеханическим перемещением шестерни привода, для грузовых автомобилей</t>
  </si>
  <si>
    <t>29.10.19.00.00.20.28.13.1</t>
  </si>
  <si>
    <t>для впускного коллектора</t>
  </si>
  <si>
    <t>29.31.22.00.00.00.63.11.1</t>
  </si>
  <si>
    <t>системы питания двигателя прочих  автомобилей</t>
  </si>
  <si>
    <t>29.32.30.00.01.01.03.15.1</t>
  </si>
  <si>
    <t>Труба водяная</t>
  </si>
  <si>
    <t>для термостатов грузовых автомобилей</t>
  </si>
  <si>
    <t>29.32.20.00.00.00.20.15.1</t>
  </si>
  <si>
    <t>левое переднее, для грузовых автомобилей</t>
  </si>
  <si>
    <t>29.32.20.00.00.00.20.14.1</t>
  </si>
  <si>
    <t>правое переднее, для грузовых автомобилей</t>
  </si>
  <si>
    <t>29.32.20.00.00.00.20.16.1</t>
  </si>
  <si>
    <t>левое заднее, для грузовых автомобилей</t>
  </si>
  <si>
    <t>29.32.20.00.00.00.20.17.1</t>
  </si>
  <si>
    <t>правое заднее, для грузовых автомобилей</t>
  </si>
  <si>
    <t>29.32.20.00.00.00.10.20.1</t>
  </si>
  <si>
    <t>29.32.30.00.03.01.21.30.1</t>
  </si>
  <si>
    <t>накладка диска сцепления</t>
  </si>
  <si>
    <t>Накладка фрикционная для дисков сцепления КрАЗ МАЗ1211-3802012-У</t>
  </si>
  <si>
    <t>30.20.40.00.00.08.02.18.1</t>
  </si>
  <si>
    <t>Втулка балансира</t>
  </si>
  <si>
    <t>втулка балансира задней подвески 250Б-2918074-20 (бронза)</t>
  </si>
  <si>
    <t>кулак поворотный в сборе 500А-3001008 правый КрАЗ</t>
  </si>
  <si>
    <t>кулак поворотный в сборе 500А-3001009 левый КрАЗ</t>
  </si>
  <si>
    <t>30.20.40.00.00.08.06.38.1</t>
  </si>
  <si>
    <t>Усилитель</t>
  </si>
  <si>
    <t>30.20.40.00.00.08.06.64.1</t>
  </si>
  <si>
    <t>29.32.30.00.40.08.10.01.1</t>
  </si>
  <si>
    <t>Ремонтный комплект</t>
  </si>
  <si>
    <t>коробки передач автомобиля</t>
  </si>
  <si>
    <t>29.10.19.00.00.20.65.01.1</t>
  </si>
  <si>
    <t>Полукольцо коленчатого вала</t>
  </si>
  <si>
    <t>тяга поперечная рулевая в сб. 1500 мм   6422-3003052-10/КрАЗ-65101 МАЗ</t>
  </si>
  <si>
    <t>29.32.30.00.07.00.75.10.1</t>
  </si>
  <si>
    <t>Механизм управления тормозом</t>
  </si>
  <si>
    <t>механизм тормозной переднего колеса  правый в сборе 5336-3501004 (КрАЗ-65101, МАЗ)</t>
  </si>
  <si>
    <t>механизм тормозной переднего колеса  левый в сборе 5336-3501004 (КрАЗ-65101, МАЗ)</t>
  </si>
  <si>
    <t>29.32.30.00.07.00.07.02.1</t>
  </si>
  <si>
    <t>Главный тормозной цилиндр</t>
  </si>
  <si>
    <t>цилиндр главный включения сцепления 260-1602510-10 (КрАЗ-65101)</t>
  </si>
  <si>
    <t>28.13.32.00.00.00.65.01.1</t>
  </si>
  <si>
    <t>Крыльчатка</t>
  </si>
  <si>
    <t>центробежного вентилятора</t>
  </si>
  <si>
    <t>30.20.40.00.00.08.04.57.1</t>
  </si>
  <si>
    <t>Натяжное устройство привода генеатора</t>
  </si>
  <si>
    <t>30.20.40.00.00.05.01.25.1</t>
  </si>
  <si>
    <t>Мембрана</t>
  </si>
  <si>
    <t>29.10.19.00.00.10.16.11.1</t>
  </si>
  <si>
    <t>Поршневой палец</t>
  </si>
  <si>
    <t>29.32.30.00.03.01.13.02.1</t>
  </si>
  <si>
    <t>Цилиндр выключения сцепления</t>
  </si>
  <si>
    <t>Цилиндр выключения сцепления в сборе 260-1602350-10 (ПГУ с/о КрАЗ-65101)</t>
  </si>
  <si>
    <t>Ремкомплект ПГУ КрАЗ РТИ1609350-Н-260 (КрАЗ-65101)</t>
  </si>
  <si>
    <t>Рессора  передняя (14 листов, L=1910мм)  64221-2902012-04 /МАЗ-5551, 551605/</t>
  </si>
  <si>
    <t>Рессора задняя  (15 листов, L=1846мм)  509-2912012-12 /МАЗ-5551/</t>
  </si>
  <si>
    <t>Рессора задняя 500А-2912012 (МАЗ-5551)</t>
  </si>
  <si>
    <t>29.10.19.00.00.10.28.11.1</t>
  </si>
  <si>
    <t>29.32.30.00.15.20.10.10.1</t>
  </si>
  <si>
    <t>Тягово-сцепное устройство</t>
  </si>
  <si>
    <t>для специализированного автомобиля</t>
  </si>
  <si>
    <t>Седельно-сцепное устройство а/м Маз-642505 (Евро)</t>
  </si>
  <si>
    <t>Вал карданный  среднего моста в сборе 4320-2205010 (Урал-4320, 5557)</t>
  </si>
  <si>
    <t>Вал карданный заднего моста в сборе  4320-2201010 (Урал-4320, 5557)</t>
  </si>
  <si>
    <t>30.20.40.00.00.05.01.01.1</t>
  </si>
  <si>
    <t>Рессора  передняя  Урал-4320  в сборе 55571-2902012-02</t>
  </si>
  <si>
    <t xml:space="preserve">Рессора задняя  "Урал-4320" в сборе (15 листов, L=1550мм)  5557-2912122 </t>
  </si>
  <si>
    <t>29.32.30.00.06.03.03.08.1</t>
  </si>
  <si>
    <t>в сборе с усилителем, с  винтом и гайкой</t>
  </si>
  <si>
    <t>30.20.40.00.00.08.07.12.1</t>
  </si>
  <si>
    <t>Сальник 700-40-8611СП  700-40-8612СП  700-40-8676СП</t>
  </si>
  <si>
    <t>привода сцепления в сборе, для грузовых автомобилей</t>
  </si>
  <si>
    <t>28.12.12.00.00.00.26.17.1</t>
  </si>
  <si>
    <t>пневмоусилитель</t>
  </si>
  <si>
    <t>Пневмоусилители, совокупность пневмоаппаратов для преобразования и усиления мощности управляющего сигнала в мощность потока рабочей среды ГОСТ 5.1862-73</t>
  </si>
  <si>
    <t>29.10.14.00.00.00.40.17.1</t>
  </si>
  <si>
    <t>8 цилиндровый,  с оппозитным расположением цилиндров,  мощностью более 145 л.с., но не более 165 л.с., с рабочим объемом цилиндров более 3000 см3, но не более 4000 см3</t>
  </si>
  <si>
    <t>Двигатель ЗиЛ-508.1000400-21 ("ЗиЛ-130")</t>
  </si>
  <si>
    <t>29.10.19.00.00.10.10.10.1</t>
  </si>
  <si>
    <t>для поршневых двигателей с искровым зажиганием (карбюраторные)</t>
  </si>
  <si>
    <t>Блок цилиндров  "ЗиЛ-130"  130-1002010-Б</t>
  </si>
  <si>
    <t>28.11.41.00.00.00.10.18.1</t>
  </si>
  <si>
    <t>к двигателю внутреннего сгорания</t>
  </si>
  <si>
    <t>Вал  коленчатый 130-1005011-20</t>
  </si>
  <si>
    <t>29.10.19.00.00.10.12.10.2</t>
  </si>
  <si>
    <t xml:space="preserve">Головка блока цилиндров ЗиЛ-130 (бензин)  130-1003012-20 </t>
  </si>
  <si>
    <t>29.10.19.00.00.10.28.10.1</t>
  </si>
  <si>
    <t>Прокладка головки блока 130-1003020-10</t>
  </si>
  <si>
    <t>для поршневых двигателей с искровым зажиганием (карбюраторные), односекционный</t>
  </si>
  <si>
    <t>29.32.30.00.11.00.08.02.1</t>
  </si>
  <si>
    <t>Топливный насос</t>
  </si>
  <si>
    <t xml:space="preserve">Насос топливный ЗиЛ-130  130Т-1106011-Б2 (130Ш-1106011) /бензин/  </t>
  </si>
  <si>
    <t>29.32.30.00.14.00.02.50.1</t>
  </si>
  <si>
    <t>Карбюратор ЗиЛ, К-88АТ  431410-1107011</t>
  </si>
  <si>
    <t>Ремкомплект карбюратора  130-1107920-Б</t>
  </si>
  <si>
    <t xml:space="preserve">Глушитель 130-1201010-Б2 в сборе  </t>
  </si>
  <si>
    <t>30.99.10.10.25.33.10.10.1</t>
  </si>
  <si>
    <t>радиатор водяной</t>
  </si>
  <si>
    <t>для охлаждения охлаждающей жидкости</t>
  </si>
  <si>
    <t>Радиатор "ЗиЛ-130" (медный, 3-х рядный)  130-1301010-Б</t>
  </si>
  <si>
    <t>29.10.19.00.00.10.25.10.1</t>
  </si>
  <si>
    <t>Насос водяной ЗиЛ-130  130-1307010-Б4</t>
  </si>
  <si>
    <t xml:space="preserve">Ремкомплект водяного насоса, полный   (2 подшипника+вал+крыльчатка, РТИ) 130-1307009-Б3 </t>
  </si>
  <si>
    <t xml:space="preserve">Диск сцепления  нажимной с кожухом (корзина)  ЗиЛ-130 130-1601090 </t>
  </si>
  <si>
    <t>Диск сцепления  ведомый "ЗиЛ-130"  130-1601130</t>
  </si>
  <si>
    <t>Муфта сцепления ЗиЛ-130  130-1602052</t>
  </si>
  <si>
    <t>28.30.93.00.00.00.14.12.1</t>
  </si>
  <si>
    <t>Коробка перемены передач и их части</t>
  </si>
  <si>
    <t>для длительного отключения двигателя от трансмиссии, изменения скорости движения, или тягового усилия, и движения задним ходом.</t>
  </si>
  <si>
    <t>Коробка Переменных передач в сборе  ЗиЛ-130 130-1700010</t>
  </si>
  <si>
    <t>Вал КПП первичный ЗиЛ-130   130-1701030-Б</t>
  </si>
  <si>
    <t>Синхронизатор 4-5 передачи "ЗиЛ-130"   130-1701151-А</t>
  </si>
  <si>
    <t>29.32.30.00.04.07.01.01.1</t>
  </si>
  <si>
    <t>Шестерня вторичного (ведомого) вала</t>
  </si>
  <si>
    <t>первой передачи</t>
  </si>
  <si>
    <t xml:space="preserve">Шестерня КПП 1-й передачи вторичного вала  ЗиЛ-130  130-1701112  </t>
  </si>
  <si>
    <t>29.32.30.00.04.07.01.02.1</t>
  </si>
  <si>
    <t>второй передачи</t>
  </si>
  <si>
    <t>Шестерня КПП  2-й передачи вторичного вала  "ЗиЛ-130"   130-1701127</t>
  </si>
  <si>
    <t>29.32.30.00.04.07.01.03.1</t>
  </si>
  <si>
    <t>третьей передачи</t>
  </si>
  <si>
    <t xml:space="preserve">Шестерня КПП 3-й передачи вторичного вала " ЗиЛ-130"   130-1701131 </t>
  </si>
  <si>
    <t>29.32.30.00.04.07.01.04.1</t>
  </si>
  <si>
    <t>четвертой передачи</t>
  </si>
  <si>
    <t xml:space="preserve">Шестерня КПП 4-й передачи вторичного вала  ЗиЛ-130   130-1701181  </t>
  </si>
  <si>
    <t>Шестерня КПП  заднего хода ЗиЛ-130   130-1701054</t>
  </si>
  <si>
    <t>Блок шестерен КПП заднего хода  ЗИЛ-130   130-1701082</t>
  </si>
  <si>
    <t>29.32.30.00.08.00.01.02.2</t>
  </si>
  <si>
    <t>Балка передней оси "ЗиЛ-130"  130-3001010-А</t>
  </si>
  <si>
    <t>29.32.30.00.06.03.01.08.1</t>
  </si>
  <si>
    <t>Механизм рулевого управления в сборе  130-3400020-В (4331-3400020-20)</t>
  </si>
  <si>
    <t>Насос гидроусилителяв сборе  ЗиЛ-130   130-3407200-А</t>
  </si>
  <si>
    <t>Компрессор ЗиЛ-130  130-3509009-11</t>
  </si>
  <si>
    <t>Камера тормозная тип 16  100-3519010-01</t>
  </si>
  <si>
    <t xml:space="preserve">Стартер ЗиЛ-130  СТ230К4-3708000 </t>
  </si>
  <si>
    <t>27.90.32.00.00.01.05.20.1</t>
  </si>
  <si>
    <t>Реле стартера</t>
  </si>
  <si>
    <t>Реле стартера  РС-502 /ЗиЛ/  (СТ230Б2-3708800-10)</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</si>
  <si>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</si>
  <si>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</si>
  <si>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</si>
  <si>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</si>
  <si>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Реле регулятор напряжения  "ЗиЛ-130"   201.3702  (130-3702010-11)</t>
  </si>
  <si>
    <t xml:space="preserve">Радиатор отопителя 130-8101012-А  в сборе </t>
  </si>
  <si>
    <t>30.20.40.00.00.08.06.66.1</t>
  </si>
  <si>
    <t>Якорь</t>
  </si>
  <si>
    <t>30.20.40.00.00.05.01.26.1</t>
  </si>
  <si>
    <t>Манжета задний ступицы Зил-130 307287-П (142х168)</t>
  </si>
  <si>
    <t>29.31.22.00.00.00.52.10.1</t>
  </si>
  <si>
    <t>Коммутатор</t>
  </si>
  <si>
    <t>Коммутатор Зил-130 ТК102АІ130-3734010I</t>
  </si>
  <si>
    <t>29.32.30.00.04.06.03.05.1</t>
  </si>
  <si>
    <t>Синхронизатор 2-3 передачи  ЗиЛ-130   130-1701150-А</t>
  </si>
  <si>
    <t>29.32.30.00.41.05.15.10.1</t>
  </si>
  <si>
    <t>грузового автомобиля</t>
  </si>
  <si>
    <t xml:space="preserve">Фланец вторичного вала КПП с отражателем в сборе   130-1701147-140 </t>
  </si>
  <si>
    <t>Манжета передней ступицы Зил-130 607267-П</t>
  </si>
  <si>
    <t>29.10.19.00.00.40.20.10.1</t>
  </si>
  <si>
    <t>Вал коленчатый ГАЗ-53  66-1005011-20</t>
  </si>
  <si>
    <t>Вкладыши шатунные ГАЗ-53  d=0.05  ВК53-1000104-БР</t>
  </si>
  <si>
    <t>Вкладыши коренные ГАЗ-53  d=0.05  ВК53-1000102-11 (ОАО ЗМЗ</t>
  </si>
  <si>
    <t>Вкладыши шатунные ГАЗ-53  d=0.75</t>
  </si>
  <si>
    <t>Вкладыши коренные ГАЗ-53  d=0.75</t>
  </si>
  <si>
    <t xml:space="preserve">Комплект поршневых колец на 1 поршеньЗМЗ-53, 511, 513, d=92.0, 402-1000100 /пр-во СТК, ЗМЗ/ </t>
  </si>
  <si>
    <t>Ремкомплект прокладок  на двигатель полный "ГАЗ-53", 53-1001000*пРК</t>
  </si>
  <si>
    <t>Насос масляный ГАЗ-53   53-11-1011010-01</t>
  </si>
  <si>
    <t xml:space="preserve">Элемент фильтрующий  масла "ГАЗ-53"  53-1017140 </t>
  </si>
  <si>
    <t>Насос топливный Б9Д-Л /ГАЗ-3307, 53/  (902.1106010)</t>
  </si>
  <si>
    <t>Ремкомплект насоса топл., полн. с фильт.  ГАЗ, 51-1106150К*РК</t>
  </si>
  <si>
    <t>Элемент фильтрующий  воздуш. фильтра  3102-1109013-02  /ГАЗ-3307/</t>
  </si>
  <si>
    <t>Радиатор  3-х рядный ГАЗ-3307  3307-1301010</t>
  </si>
  <si>
    <t>Насос водяной ГАЗ-3307  66-1307010-Б</t>
  </si>
  <si>
    <t>Диск сцепления ведомый в сборе  53-1601130-12</t>
  </si>
  <si>
    <t>Диск сцепления нажимной в сборе  ГАЗ-53  53-1601090-11</t>
  </si>
  <si>
    <t xml:space="preserve">Цилиндр сцепления  главный  "ГАЗ- 3307" 66-11-1602300 </t>
  </si>
  <si>
    <t xml:space="preserve">Цилиндр сцепления рабочий   "ГАЗ- 3307" 66-01-1602510-10 </t>
  </si>
  <si>
    <t>Муфта сцепления  в сборе с подшипником ГАЗ-3307 3307-1601180</t>
  </si>
  <si>
    <t>Коробка переменых передач "ГАЗ-3307,53"  3307-1700010-01</t>
  </si>
  <si>
    <t>Вал КПП  первичный"ГАЗ-53"   53-12-1701030</t>
  </si>
  <si>
    <t>Шестерня КПП  1-й передачи и заднего хода  ГАЗ-53 52-1701110-31</t>
  </si>
  <si>
    <t>Шестерня КПП 2-й передачи вторичного вала   "ГАЗ-53" 52-1701111</t>
  </si>
  <si>
    <t>Шестерня КПП  3-й передачи вторичного вала  "ГАЗ-53" 52-1701113-10</t>
  </si>
  <si>
    <t>Блок шестерен КПП  промежуточного вала  ГАЗ-53, 3307   53-12-1701050</t>
  </si>
  <si>
    <t>Муфта КПП  скользящая 3-4 передачи ГАЗ-53  52-1701118-40</t>
  </si>
  <si>
    <t xml:space="preserve">Ступица скользящей муфты синхронизатора 3-4 передачи   52-1701119 </t>
  </si>
  <si>
    <t xml:space="preserve">Сальник вторичного вала КПП  51-1701210-А  </t>
  </si>
  <si>
    <t>Вал карданный в сборе  "ГАЗ-3307" 3307-2200011</t>
  </si>
  <si>
    <t>Крестовина карданного вала  53-2201025</t>
  </si>
  <si>
    <t>Ось передняя с тормозами в сборе  3307-3000012</t>
  </si>
  <si>
    <t>Редуктор заднего моста ГАЗ-53, 3307  53-2402010-11</t>
  </si>
  <si>
    <t>Амортизатор  передней подвески 53-2905006-15</t>
  </si>
  <si>
    <t xml:space="preserve">Рессора передняя ГАЗ-53, 3307 (12 листов, L=1225мм)  53-2902012-02  </t>
  </si>
  <si>
    <t xml:space="preserve">Механизм рулевой ГАЗ-3307   3307-3400014-01в сборе </t>
  </si>
  <si>
    <t>Кулак поворотный  правый  53-3001012</t>
  </si>
  <si>
    <t>Кулак поворотный  левый    53-3001013</t>
  </si>
  <si>
    <t>Цилиндр тормозной  главный в сборе "ГАЗ-3307"   66-11-3505010-01</t>
  </si>
  <si>
    <t>29.32.30.00.07.00.06.02.1</t>
  </si>
  <si>
    <t>Колесный цилиндр</t>
  </si>
  <si>
    <t>Цилиндр колесный переднего тормоза в сборе  ГАЗ-3307   4301-3501040</t>
  </si>
  <si>
    <t>29.32.30.00.07.00.06.05.1</t>
  </si>
  <si>
    <t>для грузовых автомобилей, задний</t>
  </si>
  <si>
    <t>Цилиндр колесный заднего тормоза в сборе  "ГАЗ-3307"  4301-3502040</t>
  </si>
  <si>
    <t>29.32.30.00.07.00.08.02.1</t>
  </si>
  <si>
    <t>Вакуумный усилитель</t>
  </si>
  <si>
    <t xml:space="preserve">Усилитель вакуумный "ГАЗ-53, 3307"  53-12-3550010 </t>
  </si>
  <si>
    <t>Стартер ГАЗ-53, 3307  СТ230А1-3708000</t>
  </si>
  <si>
    <t>29.31.21.00.00.00.26.15.1</t>
  </si>
  <si>
    <t>Катушка зажигания (бобина)</t>
  </si>
  <si>
    <t>для грузовых автомобилей, с замкнутым магнитопроводом</t>
  </si>
  <si>
    <t xml:space="preserve">Катушка зажигания Б116 ( ГАЗ-53) </t>
  </si>
  <si>
    <t>29.31.21.00.00.00.23.30.1</t>
  </si>
  <si>
    <t>для автомбилей с рабочим объемом цилиндров свыше 2500 см3 но не более 2600 см3,  </t>
  </si>
  <si>
    <t>Распределитель зажигания "ГАЗ-3307,ГАЗ-53" (б/к) 2402.3706-10</t>
  </si>
  <si>
    <t xml:space="preserve">Реле регулятора напряжения "ГАЗ-3307"  131.3702 </t>
  </si>
  <si>
    <t>Коммутатор транзисторный ГАЗ,   13.3734-01</t>
  </si>
  <si>
    <t>30.20.40.00.00.08.02.95.1</t>
  </si>
  <si>
    <t>Добавочное сопротивление</t>
  </si>
  <si>
    <t xml:space="preserve">Сопротивление добавочное 1402.3729  ГАЗ-53,сист.зажигания  </t>
  </si>
  <si>
    <t>29.31.23.00.00.00.30.12.1</t>
  </si>
  <si>
    <t>левая, передняя, двухсекционная (ближний и дальний свет раздельно)</t>
  </si>
  <si>
    <t>Фара ГАЗ в сборе ФГ122-БВ1 (12В)</t>
  </si>
  <si>
    <t>29.31.21.00.00.00.11.13.1</t>
  </si>
  <si>
    <t>Свеча зажигания</t>
  </si>
  <si>
    <t>на грузовые автомобили, короткие, резьба - М16</t>
  </si>
  <si>
    <t>Свеча зажигания А11 /, ГАЗ/,  (АИ-76)</t>
  </si>
  <si>
    <t>Радиатор отопителя ГАЗ-3307 в сборе 3307-8101056</t>
  </si>
  <si>
    <t>Электродвигатель отопителя с ротором в сборе 3307-8101178</t>
  </si>
  <si>
    <t>28.29.13.00.00.00.10.12.1</t>
  </si>
  <si>
    <t>фильтр масляный</t>
  </si>
  <si>
    <t>фильтр масляный, механический, бумажный</t>
  </si>
  <si>
    <t>Фильтр масляный  53-11-117010-11</t>
  </si>
  <si>
    <t>29.32.30.00.11.00.01.10.1</t>
  </si>
  <si>
    <t>Бак топливный</t>
  </si>
  <si>
    <t>объемом не более 90 л</t>
  </si>
  <si>
    <t>Бак топливный 4301-1101010-02</t>
  </si>
  <si>
    <t>22.19.34.00.00.00.75.30.1</t>
  </si>
  <si>
    <t>Шланг смазки подшипника</t>
  </si>
  <si>
    <t>Шланг смазки подшипника для грузовых автомобилей</t>
  </si>
  <si>
    <t>Шланг смазки подшипника выключения сцепления  52-1601230-10</t>
  </si>
  <si>
    <t>29.32.30.00.04.30.01.03.1</t>
  </si>
  <si>
    <t>Рычаг механизма переключения делителя передач</t>
  </si>
  <si>
    <t>Рычаг переключения передач 3307-1702120</t>
  </si>
  <si>
    <t>29.32.30.00.05.03.01.02.1</t>
  </si>
  <si>
    <t>Опора карданного вала</t>
  </si>
  <si>
    <t>Опора промежуточного вала 53А-2202081</t>
  </si>
  <si>
    <t>29.31.21.00.00.00.50.03.1</t>
  </si>
  <si>
    <t>Крышка распределителя</t>
  </si>
  <si>
    <t xml:space="preserve">Крышка распределителя Р12-3706500 в сборе </t>
  </si>
  <si>
    <t>29.31.10.00.00.00.12.11.1</t>
  </si>
  <si>
    <t>Провод зажигания 53-11-3707050</t>
  </si>
  <si>
    <t xml:space="preserve">Якорь стартера СТ230-3708200 в сборе </t>
  </si>
  <si>
    <t>29.31.22.00.00.00.33.05.1</t>
  </si>
  <si>
    <t>для статера с электромеханическим перемещением шестерни привода, для прочих автомобилей</t>
  </si>
  <si>
    <t xml:space="preserve">Привод СТ 230-3708600-01  в сборе </t>
  </si>
  <si>
    <t xml:space="preserve">Реле стартера СТ 230А-3708800 в сборе </t>
  </si>
  <si>
    <t>30.20.40.00.00.08.06.90.1</t>
  </si>
  <si>
    <t>Стеклоочиститель</t>
  </si>
  <si>
    <t xml:space="preserve">Стеклоочиститель 20.5205010 в сборе </t>
  </si>
  <si>
    <t>26.51.51.15.11.11.11.20.1</t>
  </si>
  <si>
    <t>аварийного давления масла</t>
  </si>
  <si>
    <t>Датчик аварийного давления масла  ММ111В</t>
  </si>
  <si>
    <t>Датчик указателя давления масла  ММ358</t>
  </si>
  <si>
    <t>29.10.14.00.00.00.26.11.1</t>
  </si>
  <si>
    <t>4 цилиндровый, с рядным расположением цилиндров,  мощностью более 90 л.с., но не более 100 л.с., с рабочим объемом цилиндров более 2000 см3, но не более 3000 см3</t>
  </si>
  <si>
    <t>Двигатель 511.1000450</t>
  </si>
  <si>
    <t>29.32.30.00.09.00.04.30.1</t>
  </si>
  <si>
    <t>Кронштейн</t>
  </si>
  <si>
    <t xml:space="preserve">Кронштейн опоры двигателя 53-12-1001012  с подушкой в сборе </t>
  </si>
  <si>
    <t>29.10.19.00.00.10.37.11.1</t>
  </si>
  <si>
    <t>к двигателю грузового автомобиля</t>
  </si>
  <si>
    <t>Прокладка гильзы цилиндра 66-1002024</t>
  </si>
  <si>
    <t>23.99.11.06.17.00.01.07.1</t>
  </si>
  <si>
    <t>Набивка</t>
  </si>
  <si>
    <t>сальниковая, асбестовая, АП (АП-31), круглая, 10 мм</t>
  </si>
  <si>
    <t>Набивка сальника 24-1005154-01</t>
  </si>
  <si>
    <t>Прокладка уплотнительная 53-11-1005162</t>
  </si>
  <si>
    <t>29.10.19.00.00.30.29.10.1</t>
  </si>
  <si>
    <t>Распределительный вал</t>
  </si>
  <si>
    <t xml:space="preserve">Вал 511-1006010 распределительный в сборе </t>
  </si>
  <si>
    <t>28.11.41.00.00.00.10.20.1</t>
  </si>
  <si>
    <t>Шестерня 13-1006020   распределительного вала</t>
  </si>
  <si>
    <t>Решетка облицовки 3307-8401012</t>
  </si>
  <si>
    <t xml:space="preserve">Капот 3307-8402010-10 с арматурой </t>
  </si>
  <si>
    <t xml:space="preserve">Крыло 3307-8403013  переднее левое в сборе </t>
  </si>
  <si>
    <t xml:space="preserve">Крыло 3307-8403012 переднее правое в сборе </t>
  </si>
  <si>
    <t>Оперение с радиатором в сборе 3307-8400008</t>
  </si>
  <si>
    <t>25.72.14.00.00.20.11.10.1</t>
  </si>
  <si>
    <t>Подножка</t>
  </si>
  <si>
    <t>Подножка правая 4301-8405012</t>
  </si>
  <si>
    <t>Подножка левая 4301-8405013</t>
  </si>
  <si>
    <t>Кабина в сборе 3307-5000008 (обитая и окрашенная)</t>
  </si>
  <si>
    <t>Вал КПП вторичный "ГАЗ-53" 53-12-1701105</t>
  </si>
  <si>
    <t>29.10.19.00.00.10.12.10.1</t>
  </si>
  <si>
    <t>Головка блока цилиндров 53-11-1003007-10</t>
  </si>
  <si>
    <t>28.29.82.20.10.30.00.10.1</t>
  </si>
  <si>
    <t>фильтрующий элемент воздушного фильтра</t>
  </si>
  <si>
    <t>Элемент фильтрующий воздушный 3102-1109013-03</t>
  </si>
  <si>
    <t>Радиатор отопителя КАВЗ-3976 медный 4-х ряд ШААЗ,  3976-8101060</t>
  </si>
  <si>
    <t>29.32.30.00.15.00.48.02.1</t>
  </si>
  <si>
    <t>Отопитель салона</t>
  </si>
  <si>
    <t>Отопитель салона КАВЗ-3976 в сборе  324-8101010</t>
  </si>
  <si>
    <t>26.51.64.16.12.11.11.20.1</t>
  </si>
  <si>
    <t>Спидометр "ГАЗ-3307" 16.3802</t>
  </si>
  <si>
    <t>29.32.30.00.07.00.19.20.1</t>
  </si>
  <si>
    <t>Тормоз передний</t>
  </si>
  <si>
    <t>в сборе, для грузовых автомобилей</t>
  </si>
  <si>
    <t>Тормоз передний в сборе ГАЗ-3307   4301-351011</t>
  </si>
  <si>
    <t>29.32.30.00.15.00.60.01.1</t>
  </si>
  <si>
    <t>Рычаг остановки двигателя</t>
  </si>
  <si>
    <t>Рычаг стояночного тормоза с тросом 33078-3508015</t>
  </si>
  <si>
    <t>Реле регулятор напряжения ГАЗ-3307 ГАЗ-53 (б/к) 2402  3706-11</t>
  </si>
  <si>
    <t>Вал карданный рулевого управл нижний в сборе 3307-3401042-10</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</si>
  <si>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</si>
  <si>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</si>
  <si>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</si>
  <si>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</si>
  <si>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</si>
  <si>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</si>
  <si>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29.10.19.00.00.30.20.10.2</t>
  </si>
  <si>
    <t xml:space="preserve">Вал коленчатый "УМЗ-4178"  417.1005011 </t>
  </si>
  <si>
    <t>29.10.19.00.00.20.19.12.2</t>
  </si>
  <si>
    <t>для двигателей с непосредственным впрыском (инжекторные)</t>
  </si>
  <si>
    <t>29.10.19.00.00.30.18.12.2</t>
  </si>
  <si>
    <t>28.11.41.00.00.00.10.17.1</t>
  </si>
  <si>
    <t>Шатун "УАЗ,ГАЗ-24"  24-1004045-02</t>
  </si>
  <si>
    <t>Головка блока цилиндров с клапанами  406.1003007-30 (дв. ЗМЗ-4062)</t>
  </si>
  <si>
    <t>29.10.19.00.00.10.37.10.1</t>
  </si>
  <si>
    <t>к двигателю легкового автомобиля</t>
  </si>
  <si>
    <t>Комплект прокладок двигателя  "УАЗ"  417-100170Н</t>
  </si>
  <si>
    <t>29.10.19.00.00.10.55.10.1</t>
  </si>
  <si>
    <t>для крышки клапанов легкового автомобиля</t>
  </si>
  <si>
    <t>Прокладка клапанной крышки  21-1007245Р</t>
  </si>
  <si>
    <t>29.32.30.00.12.00.03.01.1</t>
  </si>
  <si>
    <t>Прокладка впускной трубы</t>
  </si>
  <si>
    <t>для легковых автомобилей</t>
  </si>
  <si>
    <t>Прокладка газопровода  24-1008080-Г</t>
  </si>
  <si>
    <t xml:space="preserve">Насос масляный "УАЗ"  451М-1011009-02 </t>
  </si>
  <si>
    <t>29.32.30.00.14.00.01.50.1</t>
  </si>
  <si>
    <t>Карбюратор  "УАЗ"  К151В (151.12.1107010)</t>
  </si>
  <si>
    <t>29.32.30.00.11.00.08.01.1</t>
  </si>
  <si>
    <t>Насос топливный УАЗ  451М-1106010-30  (451М-1106011)</t>
  </si>
  <si>
    <t>28.30.93.00.00.00.13.11.1</t>
  </si>
  <si>
    <t>Масляный фильтр</t>
  </si>
  <si>
    <t>служит для очистки масла от продуктов износа</t>
  </si>
  <si>
    <t>Фильтр маслянный 2101-1012005 (М-001)</t>
  </si>
  <si>
    <t>28.29.13.00.00.00.12.01.1</t>
  </si>
  <si>
    <t>Элемент фильтрующий воздушного фильтра  31512-1109080  /НФ-125/</t>
  </si>
  <si>
    <t>29.32.30.00.13.00.01.01.1</t>
  </si>
  <si>
    <t>Глушитель "УАЗ-31512"  31512-1201010 (3151.00.1201010.11)</t>
  </si>
  <si>
    <t>Радиатор УАЗ" медный 3-х рядный ШААЗ  3741-1301010-04</t>
  </si>
  <si>
    <t>Насос водяной в сборе УАЗ /100 л.с./  421.1307010-01</t>
  </si>
  <si>
    <t>29.32.30.00.03.01.09.01.1</t>
  </si>
  <si>
    <t>Диск сцепления ведомый в сборе "УАЗ"  4021.1601130 (451.1601130)</t>
  </si>
  <si>
    <t>29.32.30.00.03.01.02.01.1</t>
  </si>
  <si>
    <t xml:space="preserve">Диск сцепления нажимной с кожухом в сборе  451-1601090 </t>
  </si>
  <si>
    <t>29.32.30.00.03.01.11.01.1</t>
  </si>
  <si>
    <t>Цилиндр сцепления  главный в сборе "УАЗ-469"  469-1602300</t>
  </si>
  <si>
    <t>Цилиндр сцепления  главный  в сборе "УАЗ-452" 3741-1602300</t>
  </si>
  <si>
    <t xml:space="preserve">Коробка переменых передач "УАЗ-452"  452-1700010-10 (4 синхр.)  </t>
  </si>
  <si>
    <t>29.32.30.00.04.03.03.01.1</t>
  </si>
  <si>
    <t>коробка передач - четырехступенчатая, двухвальная</t>
  </si>
  <si>
    <t>Вал КПП  первичный (4-х синхр.) в сборе  "УАЗ" 469-1701025</t>
  </si>
  <si>
    <t>29.32.30.00.04.02.01.01.1</t>
  </si>
  <si>
    <t>Вал вторичный (ведомый)</t>
  </si>
  <si>
    <t>Вал КПП"вторичный (4-х синхр.) с кольцом синхронизатора   "УАЗ" 469-1701105</t>
  </si>
  <si>
    <t>Вал КПП  промежуточный (н/о)  УАЗ 469-1701048</t>
  </si>
  <si>
    <t>Муфта КПП 1-2 передачи (н/о) со ступицей и сухарями в сборе  УАЗ 469-1701134</t>
  </si>
  <si>
    <t>Шестерня КПП 1-й пер.втор.вала (н/о) с зубчатым венцом в сборе УАЗ 469-1701111</t>
  </si>
  <si>
    <t>Шестерня КПП  "УАЗ" 2-й пер.втор.вала (н/о) с зубчатым венцом в сборе "УАЗ" 469-1701126</t>
  </si>
  <si>
    <t>Шестерня КПП  3-й пер.втор.вала (н/о) с зубчатым венцом в сборе  УАЗ 469-1701114</t>
  </si>
  <si>
    <t>Шестерня КПП заднего хода (н/о) с подшипником в сборе  УАЗ 469-1701080</t>
  </si>
  <si>
    <t>29.32.30.00.05.03.02.01.1</t>
  </si>
  <si>
    <t>Раздаточная коробка</t>
  </si>
  <si>
    <t>с соосными валами привода ведущих мостов</t>
  </si>
  <si>
    <t xml:space="preserve">Коробка раздаточная УАЗ-452 (н/о)  3741-1800020 </t>
  </si>
  <si>
    <t>29.10.19.00.00.10.13.08.1</t>
  </si>
  <si>
    <t>для поршневых двигателей с искровым зажиганием (карбюраторные), с объемом цилиндра от 1600 см3 до 1800 см3</t>
  </si>
  <si>
    <t>Вал карданный УАЗ-469,31512 задний (L=931мм) в сборе 31512-2201010  (3151.20.2201010)</t>
  </si>
  <si>
    <t>29.32.30.00.05.03.14.01.1</t>
  </si>
  <si>
    <t xml:space="preserve">Крестовина карданного вала  УАЗ  469-2201025 </t>
  </si>
  <si>
    <t>29.32.30.00.08.00.04.01.1</t>
  </si>
  <si>
    <t>Передний мост</t>
  </si>
  <si>
    <t>разъемный</t>
  </si>
  <si>
    <t>Мост  передний с тормозами и ступицами в сборе"УАЗ-452"  3741-2300011</t>
  </si>
  <si>
    <t>29.32.30.00.08.00.03.09.1</t>
  </si>
  <si>
    <t>Задний мост</t>
  </si>
  <si>
    <t>Мост задний "УАЗ-452" с тормозами и ступицами в сборе  3741-2400010</t>
  </si>
  <si>
    <t>29.32.30.00.09.00.01.01.1</t>
  </si>
  <si>
    <t>Амортизатор   "УАЗ" 3151-2915006-01в сборе</t>
  </si>
  <si>
    <t>30.20.40.00.00.04.04.08.1</t>
  </si>
  <si>
    <t>детали рессорного подвешивания</t>
  </si>
  <si>
    <t xml:space="preserve">Рессора УАЗ-452 (13 листов, L=1259мм) 452-2902012-03 в сборе </t>
  </si>
  <si>
    <t>29.32.30.00.06.03.01.07.1</t>
  </si>
  <si>
    <t>в сборе с усилителем, с  червяком и зубчатым сектором</t>
  </si>
  <si>
    <t xml:space="preserve">Механизм рулевой "УАЗ-469" 3151-3400013  в сборе с колонкой  </t>
  </si>
  <si>
    <t>29.32.30.00.06.10.01.01.1</t>
  </si>
  <si>
    <t>Кулак 3741-2304007 поворотный  левый, в сборе с тормозом</t>
  </si>
  <si>
    <t>Кулак  3741-2304006 поворотный  правый, в сборе с тормозом</t>
  </si>
  <si>
    <t xml:space="preserve">Кулак 31512-2304007 поворотный  левый, в сборе с тормозом </t>
  </si>
  <si>
    <t xml:space="preserve">Кулак 31512-2304006 поворотный  правый, в сборе с тормозом </t>
  </si>
  <si>
    <t>29.32.30.00.07.00.07.01.1</t>
  </si>
  <si>
    <t>Цилиндр тормозной (2-х контурн.)  3151-3505009  главный с сигнальным устр.</t>
  </si>
  <si>
    <t>29.32.30.00.07.00.40.01.1</t>
  </si>
  <si>
    <t>Рабочий тормозной цилиндр</t>
  </si>
  <si>
    <t>легкового автомобиля</t>
  </si>
  <si>
    <t>Цилиндр тормозной  469-3501040-01 колесный передний, правый</t>
  </si>
  <si>
    <t>Цилиндр тормозной  469-3501041-01 колесный передний, левый</t>
  </si>
  <si>
    <t xml:space="preserve">Цилиндр тормозной (d=25мм)  3151-3502040 колесный задний </t>
  </si>
  <si>
    <t>29.32.30.00.07.00.08.01.1</t>
  </si>
  <si>
    <t>Усилитель вакуумный тормоза УАЗ 3151-3510010</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</si>
  <si>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</si>
  <si>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</si>
  <si>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</si>
  <si>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29.31.22.00.00.00.10.10.1</t>
  </si>
  <si>
    <t>с электромеханическим перемещением шестерни привода, для легковых автомобилей</t>
  </si>
  <si>
    <t>Стартер "ГАЗ-24, УАЗ" СТ230-Б3  42.3708 в сборе</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</si>
  <si>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</si>
  <si>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</si>
  <si>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</si>
  <si>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26.51.66.18.11.11.26.10.1</t>
  </si>
  <si>
    <t>распределительный</t>
  </si>
  <si>
    <t>Датчик-распределитель 3706  (распределитель зажигания б/к) 3312.3706000  в сборе</t>
  </si>
  <si>
    <t>29.31.21.00.00.00.26.14.1</t>
  </si>
  <si>
    <t>для легковых автомобилей, с замкнутым магнитопроводом</t>
  </si>
  <si>
    <t>Катушка зажигания ГАЗ-24,УАЗ,ГАЗ-3307 Б-116-02</t>
  </si>
  <si>
    <t>29.32.30.00.15.00.19.01.1</t>
  </si>
  <si>
    <t>Коммутатор транзисторный "ГАЗ,УАЗ"  13.3734</t>
  </si>
  <si>
    <t>29.31.23.00.00.00.31.14.1</t>
  </si>
  <si>
    <t>передний</t>
  </si>
  <si>
    <t xml:space="preserve">Фонарь ПФ130-3712010  передний в сборе </t>
  </si>
  <si>
    <t>Каркас кузова (фермер 3909) 3909-40-5000010-20 /цвет: белая ночь/</t>
  </si>
  <si>
    <t xml:space="preserve">Каркас кузова с оперением в сборе ("УАЗ-469" легковой под тент) 3151-20-5000014-91 </t>
  </si>
  <si>
    <t xml:space="preserve">Окно ветровое 469Б-5200012 в сборе </t>
  </si>
  <si>
    <t>29.32.20.00.00.00.60.30.1</t>
  </si>
  <si>
    <t>Ветровое стекло прочее</t>
  </si>
  <si>
    <t>триплекс, для легковых автомобилей</t>
  </si>
  <si>
    <t>Стекло ветрового окна  452-5206010</t>
  </si>
  <si>
    <t>13.92.22.00.00.00.10.16.1</t>
  </si>
  <si>
    <t>из синтетических материалов</t>
  </si>
  <si>
    <t>Тент "УАЗ-39094 Фермер" 39094-8508020</t>
  </si>
  <si>
    <t>Тент  "УАЗ-31512" 3151-6002020</t>
  </si>
  <si>
    <t>29.10.19.00.00.40.29.10.1</t>
  </si>
  <si>
    <t>Вал распределительный с шестерней в сборе 417.1006010-02</t>
  </si>
  <si>
    <t>29.10.19.00.00.10.45.10.1</t>
  </si>
  <si>
    <t>Колпачок маслоотражательный</t>
  </si>
  <si>
    <t>для распределительного механизма легковых автомобилей</t>
  </si>
  <si>
    <t>Колпачок маслоотражательный клапана  в сборе  417.1007036</t>
  </si>
  <si>
    <t>Манжета с пружиной 55х80-8</t>
  </si>
  <si>
    <t>29.32.30.00.15.00.33.02.1</t>
  </si>
  <si>
    <t>вала коленчатого</t>
  </si>
  <si>
    <t>Сальник  2108-1005160 коленчатого вала задний с пружиной в сборе</t>
  </si>
  <si>
    <t>Кулак поворотный 31605-2304006  с шарниром правый</t>
  </si>
  <si>
    <t xml:space="preserve">Кулак поворотный 31605-2304007 с шарниром левый </t>
  </si>
  <si>
    <t xml:space="preserve">Манжета 3741-2304071  32х50-10 с пружиной в сборе </t>
  </si>
  <si>
    <t>29.32.30.00.09.00.15.01.1</t>
  </si>
  <si>
    <t>Шаровая опора</t>
  </si>
  <si>
    <t>Опора шаровая 3162-2304012  с опорой шкворни в сборе</t>
  </si>
  <si>
    <t>29.32.30.00.15.00.06.19.1</t>
  </si>
  <si>
    <t>головки амортизатора</t>
  </si>
  <si>
    <t>Втулка головки амортизатора 451-2905432</t>
  </si>
  <si>
    <t>Рессора 31512-2912010  с втулками в сборе</t>
  </si>
  <si>
    <t>Генератор 9422.3701000</t>
  </si>
  <si>
    <t>Катушка зажигания Б-116 (406.3705) 406.3705000-01</t>
  </si>
  <si>
    <t>29.10.19.00.00.10.40.10.1</t>
  </si>
  <si>
    <t>распределительного вала автомобиля</t>
  </si>
  <si>
    <t>Датчик распределитель 3312.3706000</t>
  </si>
  <si>
    <t>29.31.10.00.00.00.13.10.1</t>
  </si>
  <si>
    <t>Жгут проводов</t>
  </si>
  <si>
    <t>Жгут проводов высокого напряжения в сборе 4062-3707244</t>
  </si>
  <si>
    <t>29.32.30.00.09.00.01.45.1</t>
  </si>
  <si>
    <t>Подушка подвески</t>
  </si>
  <si>
    <t>Подушка верхняя 4691001020</t>
  </si>
  <si>
    <t>Подушка нижняя  4691001025-01</t>
  </si>
  <si>
    <t>29.32.30.00.13.00.15.10.1</t>
  </si>
  <si>
    <t>Труба приемная глушителя</t>
  </si>
  <si>
    <t>Труба приемная глушителя, для легковых автомобилей</t>
  </si>
  <si>
    <t>Труба приемная  глушителя выхлопа 452-1203010-10</t>
  </si>
  <si>
    <t>Глушитель выхлопа в сборе 3151-121010-11</t>
  </si>
  <si>
    <t>29.10.19.00.00.10.75.01.1</t>
  </si>
  <si>
    <t>для уменьшения шума работы двигателя</t>
  </si>
  <si>
    <t xml:space="preserve">Резонатор 3741-1202008  с выпускными тубами </t>
  </si>
  <si>
    <t xml:space="preserve">Кулак поворотный 452-2304010-01переднего моста правый </t>
  </si>
  <si>
    <t xml:space="preserve">Кулак поворотный 452-2304010-01переднего моста левый </t>
  </si>
  <si>
    <t>29.31.21.00.00.00.24.10.1</t>
  </si>
  <si>
    <t>Привод в сборе 42.3708600</t>
  </si>
  <si>
    <t>Якорь в сборе 42.3708200</t>
  </si>
  <si>
    <t>29.32.30.00.15.00.26.03.1</t>
  </si>
  <si>
    <t>Прерыватель</t>
  </si>
  <si>
    <t>указателей повоторота</t>
  </si>
  <si>
    <t>Прерыватель указателя поворота РС950-3726410</t>
  </si>
  <si>
    <t>26.51.66.18.11.11.60.10.1</t>
  </si>
  <si>
    <t>датчик тока, для передачи сигнала измерительной информации приборам измерения</t>
  </si>
  <si>
    <t>Датчик сигнализатора температуры ТМ111-09</t>
  </si>
  <si>
    <t>Автолампочка  АКГ12-60+55-1</t>
  </si>
  <si>
    <t>Автолампочка  А12-45+40</t>
  </si>
  <si>
    <t>29.10.19.00.00.20.19.10.2</t>
  </si>
  <si>
    <t>29.10.19.00.00.20.18.10.2</t>
  </si>
  <si>
    <t>22.19.34.00.00.00.60.10.1</t>
  </si>
  <si>
    <t>Шланг отводящий радиатора</t>
  </si>
  <si>
    <t>Шланг отводящий радиатора для легковых автомобилей</t>
  </si>
  <si>
    <t>Шланг радиатора отходящий 451-1303027</t>
  </si>
  <si>
    <t>22.19.34.00.00.00.55.10.1</t>
  </si>
  <si>
    <t>Шланг подводящий радиатора</t>
  </si>
  <si>
    <t>Шланг подводящий радиатора для легковых автомобилей</t>
  </si>
  <si>
    <t>Шланг радиатора подводящий  451Д-1303010</t>
  </si>
  <si>
    <t>29.32.30.00.01.01.03.01.1</t>
  </si>
  <si>
    <t xml:space="preserve">Термостат 421.1306008 с корпусом в сборе  </t>
  </si>
  <si>
    <t xml:space="preserve">Диск сцепление 4173.1601130  ведомый в сборе </t>
  </si>
  <si>
    <t>Колесо 6L-15 450-3101015-01</t>
  </si>
  <si>
    <t>29.32.30.00.10.10.10.10.2</t>
  </si>
  <si>
    <t>Ступица для легковых автомобилей</t>
  </si>
  <si>
    <t>Ступица 69-313010-13  с тормозным  барабаном  в сборе</t>
  </si>
  <si>
    <t>Фонарь задний в сборе ПФ130-3712010</t>
  </si>
  <si>
    <t>29.32.30.00.15.00.25.01.1</t>
  </si>
  <si>
    <t>поворотов</t>
  </si>
  <si>
    <t>Переключатель указателей поворота П110-В в сборе 3741-3709020</t>
  </si>
  <si>
    <t>Выключатель массы поворотного типа ВК31853704.000</t>
  </si>
  <si>
    <t>29.32.30.00.07.00.16.01.1</t>
  </si>
  <si>
    <t>30.20.40.00.00.08.07.22.1</t>
  </si>
  <si>
    <t>Элемент</t>
  </si>
  <si>
    <t>резино-металлический для подвижного состава</t>
  </si>
  <si>
    <t>Элемент фильтрующий 3160-1109080-10</t>
  </si>
  <si>
    <t>Двигатель в сборе с навесным оборудованием 4178 1000400-05</t>
  </si>
  <si>
    <t>29.32.30.00.07.00.01.01.1</t>
  </si>
  <si>
    <t>для легковых автомобилей, передний</t>
  </si>
  <si>
    <t>Барабан тормозной 3154-350170</t>
  </si>
  <si>
    <t>Блок цилиндров 421.1002009-10</t>
  </si>
  <si>
    <t>30.20.40.00.00.08.07.10.1</t>
  </si>
  <si>
    <t>Вилка КПП 1и2 передач (н/о) УАЗ 452-170202</t>
  </si>
  <si>
    <t>Вилка КПП 1и2 передач (н/о) УАЗ 469-1702024-12</t>
  </si>
  <si>
    <t>Вилка КПП 3и4 передач (н/о) УАЗ 452-1702030-02</t>
  </si>
  <si>
    <t>Вилка КПП 3и4 передач (н/о) УАЗ 469-170203-12</t>
  </si>
  <si>
    <t>Муфта сцепления УАЗ 3151, 3731  3151-1601180</t>
  </si>
  <si>
    <t>29.32.30.00.04.09.01.01.1</t>
  </si>
  <si>
    <t xml:space="preserve">Дифференциал 3741-2403010 с ведомой шестерней главной передачи </t>
  </si>
  <si>
    <t>29.32.30.00.15.00.57.10.1</t>
  </si>
  <si>
    <t>Ось коромысла</t>
  </si>
  <si>
    <t>Ось с коромыслами и стойками 417.1007098</t>
  </si>
  <si>
    <t>29.10.19.00.00.30.20.10.1</t>
  </si>
  <si>
    <t>Вал коленчатый  УМЗ-4178</t>
  </si>
  <si>
    <t>Коромысло клапана с втулкой в сборе 13-1007114-04</t>
  </si>
  <si>
    <t>Насос топливный УАЗ 451М-1106010-30</t>
  </si>
  <si>
    <t>29.32.30.00.09.00.04.10.1</t>
  </si>
  <si>
    <t>Подушка рессоры</t>
  </si>
  <si>
    <t>Механизм поворота платформы 3577.28.000-1 /КС-45717К-1/</t>
  </si>
  <si>
    <t>29.32.30.00.15.00.39.01.1</t>
  </si>
  <si>
    <t>Гидрораспределитель У3.19.00.000 (dу=15мм, Р=16МПа)  /КС-35715/</t>
  </si>
  <si>
    <t xml:space="preserve">Гидрораспределитель  У3.30.00.000-2-01 (dу=12мм Р=20Мпа)  /КС-45717К-1/ </t>
  </si>
  <si>
    <t>Коробка отбора мощности  (КОМ на шасси "КамАЗ") 45717.14.100  (20 зубьев)</t>
  </si>
  <si>
    <t>30.20.40.00.00.08.04.61.1</t>
  </si>
  <si>
    <t>Опора поворотная (КС-45717К-1)</t>
  </si>
  <si>
    <t>Ремкомплект гидроопоры КС-35713-1</t>
  </si>
  <si>
    <t>Гидроцилиндр Гидроцилиндр раздвижения опор 63*40*1420/КС-45717К-1/</t>
  </si>
  <si>
    <t>Блок управления крана КС-5579.2</t>
  </si>
  <si>
    <t>Механизм поворота платформы КС-5579.2</t>
  </si>
  <si>
    <t>30.20.40.00.00.08.02.77.1</t>
  </si>
  <si>
    <t>Гидронасос</t>
  </si>
  <si>
    <t>28.12.12.00.00.00.22.11.1</t>
  </si>
  <si>
    <t>гидромотор радиально-поршневой</t>
  </si>
  <si>
    <t>гидромотор радиально-поршневой регулируемые ГОСТ 17752-81</t>
  </si>
  <si>
    <t>Коробка отбора мощности Камаз53229</t>
  </si>
  <si>
    <t>Гидрораспределитель с электрогидравлическим управлением Ду=16мм, Рном=25МПа  ЭГР16П-Н21-1А23В23-2А9, 5В9, 5С1-12</t>
  </si>
  <si>
    <t>28.12.12.00.00.00.21.11.1</t>
  </si>
  <si>
    <t>гидромотор</t>
  </si>
  <si>
    <t>гидромотор аксиально-поршневой регулируемый ГОСТ 17752-81</t>
  </si>
  <si>
    <t>Гидромотор 3031.112.501.002 (3033.112.501.002)</t>
  </si>
  <si>
    <t>Гидрораспределитель с электрогидравлическим управлением Ду=6мм, Рном=20МПа  МКРН.306.153.005</t>
  </si>
  <si>
    <t>30.20.40.00.00.08.07.71.1</t>
  </si>
  <si>
    <t>Электромагнит включения</t>
  </si>
  <si>
    <t>к подвижному составу</t>
  </si>
  <si>
    <t>Электромагнит 24В</t>
  </si>
  <si>
    <t>Устройство вращающееся контактное МЗ-127.294.00.00</t>
  </si>
  <si>
    <t xml:space="preserve">Комплект электроуправления или аппарат управления V=24В,  Jmax=2,25A,  РЭУ-05.01.000  РСП.2.3.02  </t>
  </si>
  <si>
    <t>Водяной радиатор 100У.13.01.010.03 (ЕК-14, двиг. Д-245)</t>
  </si>
  <si>
    <t>28.92.61.00.00.00.07.07.1</t>
  </si>
  <si>
    <t>коронка зуба</t>
  </si>
  <si>
    <t>к экскаватору</t>
  </si>
  <si>
    <t>Коронка ковша  (ЕК-14) 314-03-23.21.001</t>
  </si>
  <si>
    <t>30.20.40.00.00.08.03.76.1</t>
  </si>
  <si>
    <t>Коллектор верхний</t>
  </si>
  <si>
    <t>Фильтр всасывающий MSZ-303 BMCVB  /ЕК-14/</t>
  </si>
  <si>
    <t>26.60.12.00.00.00.40.10.1</t>
  </si>
  <si>
    <t>Дозатор</t>
  </si>
  <si>
    <t>механический, одноканальный</t>
  </si>
  <si>
    <t>Насос-дозатор моноблочный (рулевой механизм) НДМ-80-У250-8-У, ТУ-23.5785851.1-91</t>
  </si>
  <si>
    <t>28.12.12.00.00.00.21.10.1</t>
  </si>
  <si>
    <t>гидромотор аксиально-поршневой нерегулируемые ГОСТ 17752-81</t>
  </si>
  <si>
    <t>29.32.30.00.07.00.14.02.1</t>
  </si>
  <si>
    <t>28.12.13.00.00.00.11.12.1</t>
  </si>
  <si>
    <t>шестеренчатый насос</t>
  </si>
  <si>
    <t>шестеренчатый насос с рабочим объемом от 100 до 150 см3</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</si>
  <si>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</si>
  <si>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</si>
  <si>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30.20.40.00.00.08.07.74.1</t>
  </si>
  <si>
    <t>боковое к подвижному составу</t>
  </si>
  <si>
    <t>Стекло дверное, гнутое  (1258х928)  312-20-02.40.001 /ЕК-14/</t>
  </si>
  <si>
    <t>Стекло левое боковое, гнутое (1184х430)  312-20-02.00.001  /ЕК-14/</t>
  </si>
  <si>
    <t>Стекло лобовое верхнее, гнутое (959х833) 312-20-02.30.001  /ЕК-14/</t>
  </si>
  <si>
    <t>Стекло лобовое нижнее, гнутое (835х540) 312-20-02.20.001/ЕК-14/</t>
  </si>
  <si>
    <t>27.90.32.00.00.01.05.25.1</t>
  </si>
  <si>
    <t>Стартер типа СТ</t>
  </si>
  <si>
    <t>28.29.12.00.00.00.34.21.1</t>
  </si>
  <si>
    <t>сетчатый, условный проход 10 мм, тонкость фильтрации свыше 160 мкм</t>
  </si>
  <si>
    <t>Вал карданный  695Е-2201010-40 (ЕК-12)</t>
  </si>
  <si>
    <t>30.20.40.00.00.08.05.15.1</t>
  </si>
  <si>
    <t>Пульт управления</t>
  </si>
  <si>
    <t>Блок управления 100ВНМ-08 (пульт управления ЕК-12)</t>
  </si>
  <si>
    <t>28.11.42.00.00.00.10.43.1</t>
  </si>
  <si>
    <t>Дизельного двигателя</t>
  </si>
  <si>
    <t>29.32.30.00.15.00.48.03.1</t>
  </si>
  <si>
    <t>для прочих автомобилей</t>
  </si>
  <si>
    <t>Отопитель кабины ЕК-14, 24 V</t>
  </si>
  <si>
    <t>29.32.30.00.40.05.10.10.1</t>
  </si>
  <si>
    <t>принадлежности и материалы для проведения работ по ремонту техники</t>
  </si>
  <si>
    <t>Р/к-т центрального коллектора платформы (РТИ) ЕК-12,ЕК-14</t>
  </si>
  <si>
    <t>28.92.61.00.00.00.13.01.1</t>
  </si>
  <si>
    <t>Комплект уплотнений</t>
  </si>
  <si>
    <t>комплект уплотнений гидроцилиндра экскаватора</t>
  </si>
  <si>
    <t>28.13.31.00.00.00.89.10.1</t>
  </si>
  <si>
    <t>Ремкомплект к насосу</t>
  </si>
  <si>
    <t>28.29.12.00.00.00.30.90.1</t>
  </si>
  <si>
    <t>фильтрующий элемент топливного фильтра</t>
  </si>
  <si>
    <t>Гидрораспределитель 314-02-520.00-10 (ЕК-18)</t>
  </si>
  <si>
    <t>Ремкомплект г/цилиндра ковша (100х63х280) РТИ</t>
  </si>
  <si>
    <t>ТКР (турбокомпрессор) ТКР-6-01/ ТКР-7Н-2т</t>
  </si>
  <si>
    <t>29.32.30.00.15.00.67.15.1</t>
  </si>
  <si>
    <t>Лента гусеничная (гусеница)</t>
  </si>
  <si>
    <t>для трактора</t>
  </si>
  <si>
    <t>Гусеница ЕТ-14 в комплекте У2110.15.00.000-08</t>
  </si>
  <si>
    <t>30.99.10.10.20.10.43.10.1</t>
  </si>
  <si>
    <t>Каток опорный</t>
  </si>
  <si>
    <t>для гусеничного транспортера</t>
  </si>
  <si>
    <t>29.31.22.00.00.00.31.02.1</t>
  </si>
  <si>
    <t>номинальное напряжение не более 14 В, постоянного тока, с последовательным возбуждением</t>
  </si>
  <si>
    <t>29.10.19.00.00.10.18.11.1</t>
  </si>
  <si>
    <t>29.32.30.00.15.00.41.03.1</t>
  </si>
  <si>
    <t>28.30.93.00.00.00.12.19.1</t>
  </si>
  <si>
    <t>Насос  НШ-14Л  (круглый, пульт управления ЕК-18) шестеренчатый</t>
  </si>
  <si>
    <t>28.13.32.00.00.00.66.01.1</t>
  </si>
  <si>
    <t>Блок клапанный</t>
  </si>
  <si>
    <t>Привод хода 18.33.05.000 (ЕТ-14)</t>
  </si>
  <si>
    <t>Шестерня солнечная 18.31.04.008  (привод хода  ЕТ-14)</t>
  </si>
  <si>
    <t>30.20.40.00.00.08.01.33.1</t>
  </si>
  <si>
    <t>Вал - шестерня</t>
  </si>
  <si>
    <t>Вал-шестерня 18.33.05.003  (привод хода  ЕТ-14)</t>
  </si>
  <si>
    <t>Муфта  18.31.04.023  (ЕТ-14)</t>
  </si>
  <si>
    <t>30.20.40.00.00.08.04.22.1</t>
  </si>
  <si>
    <t>Крышка передняя</t>
  </si>
  <si>
    <t>Крышка 18.33.05.002  (привод хода  ЕТ-14)</t>
  </si>
  <si>
    <t>Диск подвижный 18.31.04.027  (привод хода  ЕТ-14)</t>
  </si>
  <si>
    <t>Диск неподвижный 18.31.04.026 (привод хода  ЕТ-14)</t>
  </si>
  <si>
    <t>29.32.30.00.04.10.01.03.1</t>
  </si>
  <si>
    <t>Саттелит дифференциала</t>
  </si>
  <si>
    <t>Сателлит  18.31.03.010  (привод хода  ЕТ-14)</t>
  </si>
  <si>
    <t>Сателлит  18.31.03.011 (привод хода  ЕТ-14)</t>
  </si>
  <si>
    <t>Сателлит 18.33.05.004  (привод хода  ЕТ-14)</t>
  </si>
  <si>
    <t>Подшипник 5377.502207  (привод хода  ЕТ-14)</t>
  </si>
  <si>
    <t>Подшипник 8328.102304М  (привод хода  ЕТ-14)</t>
  </si>
  <si>
    <t>Подшипник 8338.1000856  (привод хода  ЕТ-14)</t>
  </si>
  <si>
    <t>Кольцо 18.31.04.029  (привод хода  ЕТ-14)</t>
  </si>
  <si>
    <t>Кольцо 9833.190-195-36-2-3  (привод хода  ЕТ-14)</t>
  </si>
  <si>
    <t>Кольцо 9833.125-130-36-2-3  (привод хода  ЕТ-14)</t>
  </si>
  <si>
    <t>Кольцо 13940.В50  (привод хода  ЕТ-14)</t>
  </si>
  <si>
    <t>Кольцо 18.31.04.032  (привод хода  ЕТ-14)</t>
  </si>
  <si>
    <t>Кольцо 18.31.03.020  (привод хода  ЕТ-14)</t>
  </si>
  <si>
    <t>30.99.10.10.20.10.47.10.1</t>
  </si>
  <si>
    <t>Каток ленивца</t>
  </si>
  <si>
    <t xml:space="preserve">Каток опорный 18.31.06.100 (ЕТ-14) в комплекте </t>
  </si>
  <si>
    <t>30.99.10.10.20.10.41.10.1</t>
  </si>
  <si>
    <t>Колесо ведущее</t>
  </si>
  <si>
    <t xml:space="preserve">Колесо направляющее с натяжным механизмом ЭО-3122.30.10.000 (ЕТ-14) </t>
  </si>
  <si>
    <t xml:space="preserve">Гидроцилиндр (натяжитель) 18.30.10.300 (ЕТ-14) </t>
  </si>
  <si>
    <t>30.20.40.00.00.05.01.46.1</t>
  </si>
  <si>
    <t>Уплотнение</t>
  </si>
  <si>
    <t>Гидроцилиндр подъема ВП-05  070.70.16.00.000.99  (005-00-33.90.000-10)</t>
  </si>
  <si>
    <t>Гидроцилиндр  наклона  ВП-05 (100х63х170)  005-00-33.91/92.000-20</t>
  </si>
  <si>
    <t xml:space="preserve">Гидроцилиндр поворота колес ВП-05 (100х63х300)  070.01.80.09.000.99 </t>
  </si>
  <si>
    <t>Коронка ковша ЭО 5221.15.01.0011</t>
  </si>
  <si>
    <t>29.31.22.00.00.00.32.19.1</t>
  </si>
  <si>
    <t>номинальное напряжение не более 28 В, постоянного тока, с самовозбуждением</t>
  </si>
  <si>
    <t>Радиатор водяной ЭО-5126</t>
  </si>
  <si>
    <t>30.30.16.00.00.00.50.24.1</t>
  </si>
  <si>
    <t>топливный</t>
  </si>
  <si>
    <t>28.29.82.00.00.00.19.10.1</t>
  </si>
  <si>
    <t>тонкой очистки масла</t>
  </si>
  <si>
    <t>30.20.40.00.00.08.06.42.1</t>
  </si>
  <si>
    <t>28.29.60.00.00.00.21.10.1</t>
  </si>
  <si>
    <t>вентилятора</t>
  </si>
  <si>
    <t>30.20.31.00.00.00.80.13.1</t>
  </si>
  <si>
    <t>Ремень кондиционера</t>
  </si>
  <si>
    <t>планировщика балласта</t>
  </si>
  <si>
    <t>30.20.40.00.00.08.03.12.1</t>
  </si>
  <si>
    <t>30.20.40.00.00.08.02.53.1</t>
  </si>
  <si>
    <t>Втулка цилиндра</t>
  </si>
  <si>
    <t>25.73.30.00.00.33.10.10.1</t>
  </si>
  <si>
    <t>Пика</t>
  </si>
  <si>
    <t>на отбойный молоток</t>
  </si>
  <si>
    <t xml:space="preserve">Пики на гидромолот "HYUNDAI" модель R200W-7 (d=139мм.)форма пики </t>
  </si>
  <si>
    <t>Шланг высокого давления 31N6-60120 "HYUNDAI" R200W-7, SKIVE 781-12, WP 35.0Мра(500pS1), MSHAX 40\17 /002126-42UU38 шланг + 31N6-60120 патрубок/</t>
  </si>
  <si>
    <t>28.30.93.00.00.20.26.10.1</t>
  </si>
  <si>
    <t>Крестовина карданная</t>
  </si>
  <si>
    <t>для тракторной техники</t>
  </si>
  <si>
    <t>Крестовина Hyundai 200W7 100-GUMZ8</t>
  </si>
  <si>
    <t>28.30.93.00.00.20.38.10.1</t>
  </si>
  <si>
    <t>28.30.93.00.00.20.04.10.1</t>
  </si>
  <si>
    <t>29.32.30.00.15.00.33.08.1</t>
  </si>
  <si>
    <t>ступицы</t>
  </si>
  <si>
    <t>28.92.61.00.00.00.14.00.1</t>
  </si>
  <si>
    <t>Зуб ковша</t>
  </si>
  <si>
    <t>30.20.40.00.00.08.06.31.1</t>
  </si>
  <si>
    <t>Тяга</t>
  </si>
  <si>
    <t>30.20.40.00.00.08.03.45.1</t>
  </si>
  <si>
    <t>Клапан предохранительный</t>
  </si>
  <si>
    <t>30.20.40.00.00.08.03.47.1</t>
  </si>
  <si>
    <t>Клапан разгрузочный</t>
  </si>
  <si>
    <t>29.32.30.00.15.00.91.10.1</t>
  </si>
  <si>
    <t>клапан</t>
  </si>
  <si>
    <t>электромагнитный для регулирования впрыска топлива</t>
  </si>
  <si>
    <t>29.31.23.00.00.00.31.11.1</t>
  </si>
  <si>
    <t>29.31.23.00.00.00.31.10.1</t>
  </si>
  <si>
    <t>29.10.13.00.00.00.10.00.1</t>
  </si>
  <si>
    <t>дизельный, 4 цилиндровый, с рядным расположением цилиндров</t>
  </si>
  <si>
    <t>Двигатель Д-245.5  ("ЕК-14; ЕК-18")</t>
  </si>
  <si>
    <t xml:space="preserve">Комплект коренных вкладышей  Р2 А23.01-81-240-Р2 (Р2 50-1004140А)  /Д-243Л; 245.5/ </t>
  </si>
  <si>
    <t>Комплект шатунных вкладышей  Р2 А23.01-74-240-Р2  /Д-243Л; 245.5/</t>
  </si>
  <si>
    <t>Комплект шатунных вкладышей Р1 А23.01-74-240-Р1 /Д-243Л; 245.5/</t>
  </si>
  <si>
    <t xml:space="preserve">Комплект коренных вкладышей  Р2 А23.01-84-260Р2 /Д-260/ </t>
  </si>
  <si>
    <t xml:space="preserve">Комплект шатунных вкладышей Р2 А23.01-74-260Р2 /Д-260/ </t>
  </si>
  <si>
    <t>29.10.19.00.00.10.13.37.1</t>
  </si>
  <si>
    <t>для дизельного двигателя,  мощностью более 136 л.с., но не более 150 л.с.</t>
  </si>
  <si>
    <t>28.11.41.00.00.20.10.00.1</t>
  </si>
  <si>
    <t>Кольцо поршневое</t>
  </si>
  <si>
    <t>для двигателя внутреннего сгорания</t>
  </si>
  <si>
    <t>29.10.19.00.00.20.28.11.1</t>
  </si>
  <si>
    <t>Прокладка головки блока 50-1003020-А2-01 /Д-243Л; 245.5/</t>
  </si>
  <si>
    <t>29.10.19.00.00.40.23.11.1</t>
  </si>
  <si>
    <t>Насос масляный 240-1403010-02</t>
  </si>
  <si>
    <t xml:space="preserve">Насос топливный  ТНВД  4УТНМ-1111005-243  /Д-240;243Л/ </t>
  </si>
  <si>
    <t>Пара плунжерная  771-1111150  /ТНВД 363-40.02/</t>
  </si>
  <si>
    <t>Форсунка ФД-22 11.1112010-02 /Д-243/</t>
  </si>
  <si>
    <t>Форсунка ФДМ-22 17.1112010 /Д-245; 260/</t>
  </si>
  <si>
    <t>28.11.42.00.00.00.10.84.1</t>
  </si>
  <si>
    <t>Распылитель  11.1112110-А  /Д-243/</t>
  </si>
  <si>
    <t>Распылитель  17.1112110  /Д-245; 260/</t>
  </si>
  <si>
    <t xml:space="preserve">Элемент фильтрующий 260-1017060 масляный  </t>
  </si>
  <si>
    <t>Элемент фильтрующий  240-1117030 топливный, тонкой очистки</t>
  </si>
  <si>
    <t>Элемент фильтрующий  А23.11.100 топливный, грубой очистки</t>
  </si>
  <si>
    <t>Элемент фильтрующий (к-т 3 шт.)  240-1109165 воздушный</t>
  </si>
  <si>
    <t>29.10.19.00.00.30.25.11.1</t>
  </si>
  <si>
    <t>Насос водяной  240-1307010-01</t>
  </si>
  <si>
    <t>28.11.42.00.00.00.10.71.1</t>
  </si>
  <si>
    <t>Турбокомпрессор ТКР-6-01 /ТКР-7Н-2т/</t>
  </si>
  <si>
    <t>Пневмокомпрессор А29.01.000  /Д-243Л; 245.5/</t>
  </si>
  <si>
    <t xml:space="preserve">Генератор Г994.3701-1 (Г700.08.01)  /Д-245.5 </t>
  </si>
  <si>
    <t>Генератор Г464.3701 /Д-243;245/</t>
  </si>
  <si>
    <t>Стартер 24.3708, (12V, 4 кВт)  /Д-243; Д-65/</t>
  </si>
  <si>
    <t>29.31.22.00.00.00.34.06.1</t>
  </si>
  <si>
    <t>для статера с инерционным или комбинированным приводом, для прочих автомобилей</t>
  </si>
  <si>
    <t>Якорь стартера 24.37082</t>
  </si>
  <si>
    <t xml:space="preserve">Реле включения стартера 738.3747-20  /ТО-18Б3/ </t>
  </si>
  <si>
    <t>Стартер 242.3708, (12V, 4 кВт)  /Д-243; Д-65/</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</si>
  <si>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</si>
  <si>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</si>
  <si>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</si>
  <si>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Вал коленчатый  с вкладышами в комплекте 260-1005020 /Д-260/</t>
  </si>
  <si>
    <t>29.10.19.00.00.10.36.11.1</t>
  </si>
  <si>
    <t>Венец маховика  50-1005121 /Д-260/</t>
  </si>
  <si>
    <t xml:space="preserve">Шатун  260-1004112  /Д-260/ </t>
  </si>
  <si>
    <t>Пневмокомпрессор А29.05.000 /Д-260.14/</t>
  </si>
  <si>
    <t>Прокладка головки блока 260-1003025 /Д-260/</t>
  </si>
  <si>
    <t>Элемент фильтрующий (к-т) 260-1109300 воздушный</t>
  </si>
  <si>
    <t>Стартер  20.3708 (24V, 5,9 кВт)  /Д-260/</t>
  </si>
  <si>
    <t>Форсунка 273М</t>
  </si>
  <si>
    <t>Распылитель форсунки 2073М</t>
  </si>
  <si>
    <t>Плунжерная пара от ТНВД 363.1111005-40</t>
  </si>
  <si>
    <t>РТИ для ТНВД 363.1111005-40</t>
  </si>
  <si>
    <t>29.32.30.00.03.01.09.03.1</t>
  </si>
  <si>
    <t>29.32.30.00.03.01.02.03.1</t>
  </si>
  <si>
    <t>28.30.93.00.00.20.06.10.1</t>
  </si>
  <si>
    <t>Вилка переключения передач</t>
  </si>
  <si>
    <t>26.51.51.19.25.11.11.11.2</t>
  </si>
  <si>
    <t>Насос пробоотборный</t>
  </si>
  <si>
    <t>ручной</t>
  </si>
  <si>
    <t>29.32.30.00.04.03.01.06.1</t>
  </si>
  <si>
    <t>коробка передач - пятиступенчатая, многовальная</t>
  </si>
  <si>
    <t>Вал ведущий КПП К-701  700А.17.01.010-2сб</t>
  </si>
  <si>
    <t>29.32.30.00.05.02.02.03.1</t>
  </si>
  <si>
    <t>29.31.22.00.00.00.32.18.1</t>
  </si>
  <si>
    <t>30.20.40.00.00.08.05.33.1</t>
  </si>
  <si>
    <t>Регулятор перенапряжения</t>
  </si>
  <si>
    <t>28.12.13.00.00.00.11.15.1</t>
  </si>
  <si>
    <t>шестеренчатый насос с рабочим объемом от 300 до 350 см3</t>
  </si>
  <si>
    <t>Насос НШ-100А-3 (круглый правого вращения)</t>
  </si>
  <si>
    <t>Насос НШ-100А-3Л (круглый левого вращения)</t>
  </si>
  <si>
    <t>28.12.13.00.00.00.11.14.1</t>
  </si>
  <si>
    <t>шестеренчатый насос с рабочим объемом от 250 до 300 см3</t>
  </si>
  <si>
    <t>29.32.30.00.15.00.39.02.1</t>
  </si>
  <si>
    <t>30.20.40.00.00.06.01.05.1</t>
  </si>
  <si>
    <t>дизель-генератора</t>
  </si>
  <si>
    <t>29.32.30.00.08.00.05.20.1</t>
  </si>
  <si>
    <t>штампосварной неразъемный, с установленными ступицами ведущих колес, главной передачей, дифференциалом и полуосями</t>
  </si>
  <si>
    <t>Мост ведущий   702.23.00.000  ("К-702")</t>
  </si>
  <si>
    <t>Гидрораспределитель  276.5020-34.16.000-1  (К-702)</t>
  </si>
  <si>
    <t>29.32.30.00.07.00.20.03.1</t>
  </si>
  <si>
    <t>Насос рулевой  63.00А (К-702)</t>
  </si>
  <si>
    <t>Коробка переменных передач (КПП К-702)  2765015-1700000</t>
  </si>
  <si>
    <t>29.32.30.00.02.01.01.11.1</t>
  </si>
  <si>
    <t>Масляный насос</t>
  </si>
  <si>
    <t>с шестернями наружного зацепления для прочих  автомобилей</t>
  </si>
  <si>
    <t>Насос масляный КПП  НМШ-25А (К-702)</t>
  </si>
  <si>
    <t>Ремкомплект (РТИ) ведущего вала К-702</t>
  </si>
  <si>
    <t>30.99.10.10.20.10.24.10.1</t>
  </si>
  <si>
    <t>Фрикцион</t>
  </si>
  <si>
    <t>Фрикцион на ведущий вал К-702 (ведомый,ведущий)</t>
  </si>
  <si>
    <t>Радиатор водяной К-702</t>
  </si>
  <si>
    <t>Вал ведущий КПП К-702</t>
  </si>
  <si>
    <t>Гидрораспределитель SВ23LS  (К-744)</t>
  </si>
  <si>
    <t>Элемент фильтра гидравлики(рулевого) сен 302FVI SOFIMA 045</t>
  </si>
  <si>
    <t>Элемент фильтрующий  ДЗ-98В.32.10.002</t>
  </si>
  <si>
    <t>29.32.30.00.09.00.33.05.1</t>
  </si>
  <si>
    <t>верхняя, для прочих  автомобилей</t>
  </si>
  <si>
    <t>Штанга реактивная  Д3-94.02.02.902</t>
  </si>
  <si>
    <t>Сервомеханизм ДЗ-98 10.03.120</t>
  </si>
  <si>
    <t>Гидроруль ДЗ-140 А.50.01.190</t>
  </si>
  <si>
    <t>Гидроцилиндр ДЗ-98В.43.25.000</t>
  </si>
  <si>
    <t>28.30.93.00.00.20.01.10.1</t>
  </si>
  <si>
    <t>Муфта КПП ДЗ-95Б.04.013-1</t>
  </si>
  <si>
    <t>Муфта КПП ДЗ-95В.10.033</t>
  </si>
  <si>
    <t>Муфта ДЗ-95Б.04.127</t>
  </si>
  <si>
    <t>28.30.93.00.00.20.39.10.1</t>
  </si>
  <si>
    <t>Фланец хвостовика</t>
  </si>
  <si>
    <t>Фланец ДЗ-95В.16.01.130</t>
  </si>
  <si>
    <t>30.20.40.00.00.08.06.13.1</t>
  </si>
  <si>
    <t>Сухарь</t>
  </si>
  <si>
    <t>Сухарик ДЗ-95Б.04.071</t>
  </si>
  <si>
    <t>Кольцо ДЗ-95Б.04.128</t>
  </si>
  <si>
    <t>29.32.30.00.15.00.67.04.1</t>
  </si>
  <si>
    <t>вала коробки передач</t>
  </si>
  <si>
    <t>Диск в сборе ДЗ-95А.02.01.921</t>
  </si>
  <si>
    <t>Втулка неподвижная ДЗ-94.02.02.016</t>
  </si>
  <si>
    <t>Втулка полим.ПЛ 010.01.00.001 (ДЗ-98Б.29.00.041-01)</t>
  </si>
  <si>
    <t>Втулка полим.ПЛ 010.01.00.001-01 (ДЗ-98Б.29.00.041-02)</t>
  </si>
  <si>
    <t>Диск ДЗ-94.0201.067 в сборе</t>
  </si>
  <si>
    <t>30.20.40.00.00.08.06.56.2</t>
  </si>
  <si>
    <t>Шестерня ДЗ-94.0201.088 в сборе</t>
  </si>
  <si>
    <t>28.30.93.00.00.20.24.10.1</t>
  </si>
  <si>
    <t>Бортовой редуктор заднего и среднего моста правый ДЗ-98 в сборе</t>
  </si>
  <si>
    <t>Бортовой редуктор заднего и среднего моста левый ДЗ-98 в сборе</t>
  </si>
  <si>
    <t>29.32.30.00.03.01.12.02.1</t>
  </si>
  <si>
    <t>привода сцепления в сборе, для прочих автомобилей</t>
  </si>
  <si>
    <t>30.91.20.00.00.00.40.10.1</t>
  </si>
  <si>
    <t>Коробка передач</t>
  </si>
  <si>
    <t>для изменения крутящего момента на заднем колесе и отъединения двигателя от силовой передачи</t>
  </si>
  <si>
    <t>29.32.30.00.10.10.10.12.2</t>
  </si>
  <si>
    <t>Ступица для прочих автомобилей</t>
  </si>
  <si>
    <t>32.50.13.00.00.35.10.10.1</t>
  </si>
  <si>
    <t>Дозатор механический</t>
  </si>
  <si>
    <t>одноканальный фиксированного объема</t>
  </si>
  <si>
    <t>Дозатор ДДР ORCTA LVPO  7-11 (каток  ДУ-47,48, 85)</t>
  </si>
  <si>
    <t>Насос НП-90ЭР</t>
  </si>
  <si>
    <t>Насос НШ 10</t>
  </si>
  <si>
    <t>Гидромотор 310.3.56.00.06</t>
  </si>
  <si>
    <t>Гидромотор 210.12.01.03 (ДУ-47)</t>
  </si>
  <si>
    <t>Гидронасос 416.0.90RY4S33C22 HDMVF1NNBY1</t>
  </si>
  <si>
    <t>Шестерня бортовая ДУ-47</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</si>
  <si>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</si>
  <si>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</si>
  <si>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</si>
  <si>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Вал коленчатый "Д-160" 16-03-126СП</t>
  </si>
  <si>
    <t>Венец маховика 03618-1   59-03-21</t>
  </si>
  <si>
    <t>27.90.32.00.00.01.05.35.1</t>
  </si>
  <si>
    <t>Вкладыш</t>
  </si>
  <si>
    <t>Вкладыш коренной</t>
  </si>
  <si>
    <t>Комплект коренных вкладышей Р1 А23.01-103-160СБ Р1</t>
  </si>
  <si>
    <t>Комплект шатунных вкладышей Р1  А23.01-100-160Р1</t>
  </si>
  <si>
    <t>29.10.19.00.00.10.13.39.1</t>
  </si>
  <si>
    <t>для дизельного двигателя мощностью более 165 л.с., но не более 175 л.с.</t>
  </si>
  <si>
    <t>Группа поршневая  d=150мм,П+Г+палец+кольца (мед)</t>
  </si>
  <si>
    <t>Комплект поршневых колец  d=150мм,  51-03-130СП</t>
  </si>
  <si>
    <t>Шатун  51-03-112СП</t>
  </si>
  <si>
    <t>Головка блока цилиндров 51-02-3СП</t>
  </si>
  <si>
    <t>Прокладка головки блока цилиндров 51-02-107-01СП (медь)</t>
  </si>
  <si>
    <t>28.30.93.00.00.00.13.10.1</t>
  </si>
  <si>
    <t>служит для создания давления масла в системе и подачи его к трущимся поверхностям деталей</t>
  </si>
  <si>
    <t>Насос масляный  29-09-124СП</t>
  </si>
  <si>
    <t xml:space="preserve">Элемент фильтрующий Реготмас 635-1-06 УХЛ-2  </t>
  </si>
  <si>
    <t xml:space="preserve">Элемент фильтрующий топл. тонкой очистки  24.1117.030-01 (ЭФТ-75)                     </t>
  </si>
  <si>
    <t>Насос топливный /ТНВД на двиг. Д-160/   51-67-9-01СП  (Т-170)</t>
  </si>
  <si>
    <t>Насос топливный с регулятором /ТНВД для двигателя 170 л.с / 51-157-02СП (Т-10)</t>
  </si>
  <si>
    <t>30.20.40.00.00.08.04.98.1</t>
  </si>
  <si>
    <t>Плунжер</t>
  </si>
  <si>
    <t>Плунжер секции топливного насоса  51-67-98  /для ТНВД с двигателем 170 л.с. /</t>
  </si>
  <si>
    <t xml:space="preserve">Форсунка "Д-160" 14-69-117-1СП в сборе </t>
  </si>
  <si>
    <t>Плунжер-гильза ТНВД  1 и 4 секции  16-67-102СП</t>
  </si>
  <si>
    <t>Плунжер-гильза ТНВД  2 и 3 секции  16-67-108СП</t>
  </si>
  <si>
    <t>Плунжер-гильза ТНВД  51-67-126СП  (Т-10)</t>
  </si>
  <si>
    <t>Плунжер-гильза ТНВД  51-67-127СП  (Т-10)</t>
  </si>
  <si>
    <t>28.30.60.00.00.00.31.10.1</t>
  </si>
  <si>
    <t>Распылитель Д-160,  14-69-107-1СП</t>
  </si>
  <si>
    <t>29.32.30.00.11.00.05.01.1</t>
  </si>
  <si>
    <t>Топливоподкачивающий насос</t>
  </si>
  <si>
    <t>для рядных ТНВД</t>
  </si>
  <si>
    <t>Насос топливоподкачивающий  51-71-3СП</t>
  </si>
  <si>
    <t>Турбокомпрессор  ТКР-8,5      /51-54-10СП/</t>
  </si>
  <si>
    <t>Турбокомпрессор ТКР-11Н-3  /92.000-06/</t>
  </si>
  <si>
    <t>Радиатор водяной Д-160  130У.13.010-1СП</t>
  </si>
  <si>
    <t>Насос водяной  16-08-140СП</t>
  </si>
  <si>
    <t>Ремкомплект водяного насоса (валик, гофр.уплотн., пружина, седло) 16-08-140*РК</t>
  </si>
  <si>
    <t>Элемен фильтрующий  воздушный  А41.10.000-02СП (51-05-345СП)</t>
  </si>
  <si>
    <t>28.30.93.00.00.00.10.02.1</t>
  </si>
  <si>
    <t>Двигатель пусковой</t>
  </si>
  <si>
    <t>для пуска двигателя трактора</t>
  </si>
  <si>
    <t>Двигатель пусковой ПД-23 17-23СП</t>
  </si>
  <si>
    <t>Вал коленчатый  ПД-23 /03341/ 17-03-26СП</t>
  </si>
  <si>
    <t xml:space="preserve">Прокладка г/блока ПД-23   /40944/  700-40-7399 </t>
  </si>
  <si>
    <t>Комплект вкладышей   ПД-23  А23.01-54-130СБР1</t>
  </si>
  <si>
    <t>Комплект поршневых колец ПД-23  03712СП</t>
  </si>
  <si>
    <t>28.11.41.00.00.00.10.16.1</t>
  </si>
  <si>
    <t>Поршень ПД-23 /03349-1/ 17-03-27</t>
  </si>
  <si>
    <t>Муфта сцепления  в сборе ПД-23  в сб. с кожухом,  17-73-7СП</t>
  </si>
  <si>
    <t xml:space="preserve">Муфта механизма включения ПД-23  /бендикс/ 72118СП </t>
  </si>
  <si>
    <t>30.30.15.00.00.00.10.60.1</t>
  </si>
  <si>
    <t>прибор для приготовления горючей смеси из легкого жидкого топлива и воздуха для питания</t>
  </si>
  <si>
    <t>Карбюратор К-125Л   к ПД-23</t>
  </si>
  <si>
    <t>28.30.93.00.00.00.10.29.1</t>
  </si>
  <si>
    <t>Магнето</t>
  </si>
  <si>
    <t>контактное к двигателю</t>
  </si>
  <si>
    <t>Магнето М149А  на ПД-23</t>
  </si>
  <si>
    <t>29.31.22.00.00.00.31.20.1</t>
  </si>
  <si>
    <t>номинальное напряжение более 28 В, постоянного тока, с самовозбуждением</t>
  </si>
  <si>
    <t>Генератор Г966.3701 на двиг. "Д-160" (24В, 75А, 1,0КВт)</t>
  </si>
  <si>
    <t>Муфта сцепления 18-14-4СП   в сборе</t>
  </si>
  <si>
    <t>Сервомеханизм  50-15-118СП   малый муфты сцепления</t>
  </si>
  <si>
    <t>29.32.30.00.06.11.01.01.1</t>
  </si>
  <si>
    <t>Механизм поворота</t>
  </si>
  <si>
    <t>комплексное устройство, узел для осуществления поворота машин на базе гусеничного шасси</t>
  </si>
  <si>
    <t>Сервомеханизм  21-17-4СП  в сборе</t>
  </si>
  <si>
    <t>30.99.10.10.20.10.21.10.1</t>
  </si>
  <si>
    <t>Коробка передач 50-12-12СП  (КПП) в сборе</t>
  </si>
  <si>
    <t>30.99.10.10.20.10.27.10.1</t>
  </si>
  <si>
    <t>Лента тормозная 18360-01СП  (50-18-116СП)</t>
  </si>
  <si>
    <t xml:space="preserve">Фрикцион бортовой,  24-16-102СП левый </t>
  </si>
  <si>
    <t>Фрикцион бортовой,  24-16-101СП правый</t>
  </si>
  <si>
    <t>Манжета 700-40-3372 (бортовой редуктор)</t>
  </si>
  <si>
    <t>Кольцо уплотнительное 700-40-2733 (бортовой редуктор)</t>
  </si>
  <si>
    <t xml:space="preserve">Набор для ремонта редуктора   "Т-170" (полный) 3309 </t>
  </si>
  <si>
    <t>Колесо натяжное 50-21-305-02СП  правое</t>
  </si>
  <si>
    <t xml:space="preserve">Колесо натяжное 50-21-306-02СП  левое             </t>
  </si>
  <si>
    <t>28.30.93.00.00.00.50.01.1</t>
  </si>
  <si>
    <t>тракторной техники</t>
  </si>
  <si>
    <t>Механизм натяжения 50-21-134СП (Т-170)</t>
  </si>
  <si>
    <t>Каток  однобортный в сборе 24-21-169СП</t>
  </si>
  <si>
    <t>Каток  двубортный в сборе  24-21-170СП</t>
  </si>
  <si>
    <t>Гусеница (лента, с замык. звеном)   24-22-1СП/50-22-9СП</t>
  </si>
  <si>
    <t>28.13.31.00.00.00.58.10.1</t>
  </si>
  <si>
    <t>гидрораспределитель клапанный</t>
  </si>
  <si>
    <t>гидрораспределитель клапанный с ручным управлением</t>
  </si>
  <si>
    <t>Гидрораспределитель  Р-160-3/1-111 (50-26-702СП)</t>
  </si>
  <si>
    <t>Гидрораспределитель 48-26-23g-01СП (ТР-12)</t>
  </si>
  <si>
    <t>28.92.61.00.00.00.07.01.1</t>
  </si>
  <si>
    <t>Цепь привода</t>
  </si>
  <si>
    <t>Цепь привода лебедки 2Пр-25.4-11400 (ТР-12)</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</si>
  <si>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</si>
  <si>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</si>
  <si>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</si>
  <si>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</si>
  <si>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Механизм управления поворота 50-13-5СП</t>
  </si>
  <si>
    <t>Рем.комплект сервомеханизма муфты сцепления (50-15-118СП)</t>
  </si>
  <si>
    <t>Рем.комплект сервомеханизма управления (21-17-4СП )</t>
  </si>
  <si>
    <t>30.20.40.00.00.05.01.45.1</t>
  </si>
  <si>
    <t>Рем.комплект  гидрораспределителя (Р-160-3/1-111)</t>
  </si>
  <si>
    <t xml:space="preserve">Комплект коренных вкладышей Н2  А23.01-103-160СБ Н2 </t>
  </si>
  <si>
    <t xml:space="preserve">Комплект шатунных вкладышей  Н2  А23.01-100-160Н2 </t>
  </si>
  <si>
    <t>29.10.19.00.00.40.12.11.1</t>
  </si>
  <si>
    <t>Головка цилиндров ПД-23 02240-02</t>
  </si>
  <si>
    <t xml:space="preserve">Диск сцепления  ПД-23 /738-4СП/  17-73-139СП </t>
  </si>
  <si>
    <t>Диск сцепления 18-14-135СП  ведомый</t>
  </si>
  <si>
    <t>28.11.42.00.00.00.15.10.1</t>
  </si>
  <si>
    <t>Кожух сцепления</t>
  </si>
  <si>
    <t>Кожух механизма управления  муфтой сцепления 50-15-122 /50-15-154СП/ (Т-10)</t>
  </si>
  <si>
    <t>Диск 4-19-21 (бортовой редуктор)</t>
  </si>
  <si>
    <t>Диск 24-19-27 (бортовой редуктор)</t>
  </si>
  <si>
    <t>Лабиринт 24-19-47 (бортовой редуктор)</t>
  </si>
  <si>
    <t>Лабиринт 50-19-170 (бортовой редуктор)</t>
  </si>
  <si>
    <t>29.32.30.00.15.00.67.11.1</t>
  </si>
  <si>
    <t>Венец ведущего колеса</t>
  </si>
  <si>
    <t>к трактору</t>
  </si>
  <si>
    <t>Венец  60-19-2  (бортовой редуктор)</t>
  </si>
  <si>
    <t>Шестерня 50-19-148 (бортовой редуктор)</t>
  </si>
  <si>
    <t xml:space="preserve">Шестерня  50-19-149 (бортовой редуктор) </t>
  </si>
  <si>
    <t>Шестерня 50-19-150 (бортовой редуктор)</t>
  </si>
  <si>
    <t>Шестерня 60-19-1 (бортовой редуктор)</t>
  </si>
  <si>
    <t>Кольцо 40-10-16 (Т-10, бортовой редуктор)</t>
  </si>
  <si>
    <t>Кольцо 20-19-28 (Т-10, бортовой редуктор)</t>
  </si>
  <si>
    <t>Манжета 2.2-9х120-2 (Т-10, бортовой редуктор)</t>
  </si>
  <si>
    <t>Манжета 700-9-2163 (Т-10, бортовой редуктор)</t>
  </si>
  <si>
    <t>Насос  НШ-71А-3Л (Т-10)</t>
  </si>
  <si>
    <t>30.20.40.00.00.08.03.28.1</t>
  </si>
  <si>
    <t>Клапан выпускной</t>
  </si>
  <si>
    <t>Клапан впускной 14-02-33-В</t>
  </si>
  <si>
    <t>Клапан выпускной 14.02.1932</t>
  </si>
  <si>
    <t>28.11.42.00.00.00.10.55.1</t>
  </si>
  <si>
    <t>Кольцо уплотнительное 700-40-9163</t>
  </si>
  <si>
    <t>Вилка переключения  50-12-581</t>
  </si>
  <si>
    <t>Вилка 50-12-563</t>
  </si>
  <si>
    <t>Вилка 50-12-565</t>
  </si>
  <si>
    <t>28.30.93.00.00.10.01.10.1</t>
  </si>
  <si>
    <t>к тракторной технике</t>
  </si>
  <si>
    <t>Валик 50-12-682-01</t>
  </si>
  <si>
    <t>Валик 50-12-683-01</t>
  </si>
  <si>
    <t>Валик 50-12-684-01</t>
  </si>
  <si>
    <t>Валик 50-12-685-01</t>
  </si>
  <si>
    <t>Шестерня 18-12-321</t>
  </si>
  <si>
    <t>Шестерня 18-12-322</t>
  </si>
  <si>
    <t>Шестерня 18-12-323</t>
  </si>
  <si>
    <t>Шестерня 50-12-642</t>
  </si>
  <si>
    <t>Шестерня 18-12-107</t>
  </si>
  <si>
    <t xml:space="preserve">Шестерня 160-12-31 </t>
  </si>
  <si>
    <t>Шестерня 18-12-147</t>
  </si>
  <si>
    <t>30.20.40.00.00.08.03.64.1</t>
  </si>
  <si>
    <t>Колесо зубчатое</t>
  </si>
  <si>
    <t>шестерня 50-12-635</t>
  </si>
  <si>
    <t>поршневые кольца 51-03-115СП/130СП</t>
  </si>
  <si>
    <t>28.12.13.00.00.00.11.13.1</t>
  </si>
  <si>
    <t>шестеренчатый насос с рабочим объемом от 200 до 250 см3</t>
  </si>
  <si>
    <t>Рем.комплект цилиндра (отвала) лопаты 18-26-270 СП (Т-170)</t>
  </si>
  <si>
    <t>Рем.комплект гидрораспределителя Р-160-3/1-111</t>
  </si>
  <si>
    <t>Рем.комплект гидрораспределителя 48-26-23д-01СП</t>
  </si>
  <si>
    <t>Рем.комплект ТКР 8,5/51-54-10сп</t>
  </si>
  <si>
    <t>Рем.комплект ТКР 11Н-3(92.000.06)</t>
  </si>
  <si>
    <t>28.29.13.00.00.00.10.18.1</t>
  </si>
  <si>
    <t>для фильтрования масла или топлива в двигателях внутреннего сгорания прочее</t>
  </si>
  <si>
    <t xml:space="preserve">Фильтр (LF 747 ) масленный </t>
  </si>
  <si>
    <t>30.20.40.00.00.08.08.45.1</t>
  </si>
  <si>
    <t xml:space="preserve">Фильтр  (АF 472) воздушный наружный </t>
  </si>
  <si>
    <t xml:space="preserve">Фильтр  (АF 471) воздушный внутренний </t>
  </si>
  <si>
    <t>тонкой очистки для дизельных двигателей грузовых автомобилей</t>
  </si>
  <si>
    <t xml:space="preserve">Фильтр (FF 225)  топливный </t>
  </si>
  <si>
    <t>28.92.61.00.00.00.12.00.1</t>
  </si>
  <si>
    <t>для гидравлической системы экскаватора</t>
  </si>
  <si>
    <t>Фильтр (HF 6356)гидравлический</t>
  </si>
  <si>
    <t>30.20.40.00.00.07.01.08.1</t>
  </si>
  <si>
    <t>Болт прочий</t>
  </si>
  <si>
    <t>Болт  195-27-31640</t>
  </si>
  <si>
    <t>30.20.40.00.00.07.01.09.2</t>
  </si>
  <si>
    <t>Nut  01803-02430 (гайка)</t>
  </si>
  <si>
    <t>29.32.30.00.04.13.01.03.1</t>
  </si>
  <si>
    <t>Фильтр коробки передач</t>
  </si>
  <si>
    <t>Фильтр КПП 175-49-11580 ELEMENT</t>
  </si>
  <si>
    <t>Фильтр масляный GX0818А</t>
  </si>
  <si>
    <t>Фильтр топливный GX180</t>
  </si>
  <si>
    <t>Фильтр воздушный 1G6100007005</t>
  </si>
  <si>
    <t>Фильтр масляный влагоделителя YGI:4080739А</t>
  </si>
  <si>
    <t>29.31.22.00.00.00.10.12.1</t>
  </si>
  <si>
    <t>с электромеханическим перемещением шестерни привода, для грузовых автомобилей</t>
  </si>
  <si>
    <t>Стартер 10 зуб 612600090287</t>
  </si>
  <si>
    <t>Фильтр масляный DEUTZ 01174421</t>
  </si>
  <si>
    <t>Фильтр топливный DEUTZ 01180597</t>
  </si>
  <si>
    <t>Насос топливный ТНВД к ДВС ЯМЗ-842410088728</t>
  </si>
  <si>
    <t>Аммортизатор опоры КС8976</t>
  </si>
  <si>
    <t>28.22.19.10.00.30.10.01.1</t>
  </si>
  <si>
    <t>Комплект ремонтный гидроцилиндра</t>
  </si>
  <si>
    <t>к передвижному стреловому крану</t>
  </si>
  <si>
    <t>Ремкомплект  гидроцилиндров опоры КС-8976</t>
  </si>
  <si>
    <t>Фильтр масляный LF 16015</t>
  </si>
  <si>
    <t>Фильтр топливный РL 16015</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</si>
  <si>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</si>
  <si>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</si>
  <si>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</si>
  <si>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</si>
  <si>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</si>
  <si>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</si>
  <si>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</si>
  <si>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</si>
  <si>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</si>
  <si>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</si>
  <si>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</si>
  <si>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</si>
  <si>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</si>
  <si>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</si>
  <si>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</si>
  <si>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</si>
  <si>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</si>
  <si>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</si>
  <si>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</si>
  <si>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</si>
  <si>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</si>
  <si>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</si>
  <si>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</si>
  <si>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</si>
  <si>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</si>
  <si>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Автошины 16.00R25ХGC б/к (445/95R25)</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</si>
  <si>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</si>
  <si>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</si>
  <si>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</si>
  <si>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</si>
  <si>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</si>
  <si>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</si>
  <si>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</si>
  <si>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</si>
  <si>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 xml:space="preserve">Автошины 16.00-24 /Я-140/ </t>
  </si>
  <si>
    <t>22.11.13.00.00.11.10.02.1</t>
  </si>
  <si>
    <t>Размер: 8.25R15. Шина резиновая пневматическая новая для автобусов или автомобилей грузовых. Конструкция шины: радиальная.  Комплектность: шина бескамерная.</t>
  </si>
  <si>
    <t xml:space="preserve">Автошины 8.25R15 /R187 </t>
  </si>
  <si>
    <t>22.11.13.00.00.00.12.28.1</t>
  </si>
  <si>
    <t>Размер: 15.5/70х18 (1025х420х457). Шины резиновые пневматические новые для автобусов или автомобилей грузовых. Конструкция шины: диагональная.</t>
  </si>
  <si>
    <t>Автошины 1025х420-457</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</si>
  <si>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</si>
  <si>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</si>
  <si>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</si>
  <si>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</si>
  <si>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</si>
  <si>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</si>
  <si>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</si>
  <si>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</si>
  <si>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</si>
  <si>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</si>
  <si>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</si>
  <si>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</si>
  <si>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</si>
  <si>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</si>
  <si>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</si>
  <si>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</si>
  <si>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</si>
  <si>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</si>
  <si>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</si>
  <si>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</si>
  <si>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275/65 R17 </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</si>
  <si>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</si>
  <si>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</si>
  <si>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16S</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</si>
  <si>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</si>
  <si>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</si>
  <si>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12.00R20 (320х508R) 14 сл прицеп ПП-24</t>
  </si>
  <si>
    <t>22.11.13.00.00.11.20.18.1</t>
  </si>
  <si>
    <t>Размер:14.00R20 (320x508). Шина резиновая пневматическая новая для автобусов или автомобилей грузовых. Конструкция шины: радиальная.  Комплектность: камерная шина.  Норма слойности 10/14.</t>
  </si>
  <si>
    <t>Автошины 370х508 (18 сл.) чмзап-83991</t>
  </si>
  <si>
    <t>Автошины 11,2х20 (гладкие)ДУ-85</t>
  </si>
  <si>
    <t>Автошины 245/70R19,5 Манипуляторы камаз</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</si>
  <si>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</si>
  <si>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</si>
  <si>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</si>
  <si>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</si>
  <si>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</si>
  <si>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</si>
  <si>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</si>
  <si>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</si>
  <si>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</si>
  <si>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</si>
  <si>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</si>
  <si>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8.25-15(240х381)</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</si>
  <si>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</si>
  <si>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</si>
  <si>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</si>
  <si>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</si>
  <si>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</si>
  <si>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Автошины 1065х420-457</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</si>
  <si>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</si>
  <si>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</si>
  <si>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Автошины 500/70-20 (1200х500-508)</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</si>
  <si>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</si>
  <si>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</si>
  <si>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</si>
  <si>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Автошины 16.00-24 /Я-140/ (гладкие)Каток дУ-85</t>
  </si>
  <si>
    <t>Автошины 23,5-25-16PR</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</si>
  <si>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</si>
  <si>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</si>
  <si>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t>
  </si>
  <si>
    <t>Автошины 6,5х16</t>
  </si>
  <si>
    <t>Автошины 240х508 (14 сл.)</t>
  </si>
  <si>
    <t>Автошины 14,00х24 БФ206</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</si>
  <si>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</si>
  <si>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</si>
  <si>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</si>
  <si>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22.11.15.00.00.00.13.30.1</t>
  </si>
  <si>
    <t>Размер:8.25-20. Камера резиновая для автобусов или грузовых автомобилей ГОСТ 5513-97.</t>
  </si>
  <si>
    <t>Камера 240х508К  "ГАЗ-53; КАВЗ-3976" (8.25R20)</t>
  </si>
  <si>
    <t>22.11.15.00.00.00.13.40.1</t>
  </si>
  <si>
    <t>Размер:9.00-20. (260-508) Камера резиновая для автобусов или грузовых автомобилей ГОСТ 5513-97.</t>
  </si>
  <si>
    <t>Камера 260х508К  "КамАЗ-5320; ЗиЛ-130" (9.00R20)</t>
  </si>
  <si>
    <t>22.11.15.00.00.00.13.50.1</t>
  </si>
  <si>
    <t>Размер:10.00-20. Камера резиновая для автобусов или грузовых автомобилей ГОСТ 5513-97.</t>
  </si>
  <si>
    <t>Камера 280х508К  "КамАЗ-53229; 65115" (10.00R20)</t>
  </si>
  <si>
    <t>22.11.15.00.00.00.13.60.1</t>
  </si>
  <si>
    <t>Размер:11.00-20. Камера резиновая для автобусов или грузовых автомобилей ГОСТ 5513-97.</t>
  </si>
  <si>
    <t>Камера 300х508К  "Икарус-256; МАЗ" (11.00R20)</t>
  </si>
  <si>
    <t>22.11.15.00.00.00.13.70.1</t>
  </si>
  <si>
    <t>Камера 320х508К  "КрАЗ-65101; МАЗ" (12.00R20)</t>
  </si>
  <si>
    <t>22.11.15.00.00.00.15.08.1</t>
  </si>
  <si>
    <t>Размер:8.40-15. Камера резиновая для легковых автомобилей ГОСТ 4754-97.</t>
  </si>
  <si>
    <t>Камера 8.40-15 "УАЗ-452; 469; 31512" (R15)</t>
  </si>
  <si>
    <t>27.20.21.00.00.00.02.15.3</t>
  </si>
  <si>
    <t>ГОСТ 959-2002 марка 6СТ-60 АЗ; кислотный, стартерный, напряжением 12 В, емкостью 60 А*час, с общей крышкой З – залитая электролитом и полностью заряженная.</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</si>
  <si>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</si>
  <si>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</si>
  <si>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</si>
  <si>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</si>
  <si>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</si>
  <si>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</si>
  <si>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</si>
  <si>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</si>
  <si>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22.19.35.00.00.00.30.05.1</t>
  </si>
  <si>
    <t>Рукава резиновые высокого давления</t>
  </si>
  <si>
    <t>Рукав 10х22,4, здесь 10мм-внутренний диаметр рукова(предельное отклонение -0,3 до +0,5), 22,4мм - наружный диаметр рукова(предельное отклонение ±0,8). Рукав резиновый высокого давления с металлическими навивками неармированный. ГОСТ 25452-90</t>
  </si>
  <si>
    <t>Рукав резиновый с ниточной плеткой d=10 мм, Ру=16 кг/ см2 ГОСТ 10362-76</t>
  </si>
  <si>
    <t>22.19.35.00.00.00.60.30.1</t>
  </si>
  <si>
    <t>РВД армированные</t>
  </si>
  <si>
    <t>РВД армированные с номинальным размером (диаметр) 10мм и номинальным давлением 21мм.  ГОСТ Р 51207-98</t>
  </si>
  <si>
    <t xml:space="preserve">РВД d=10 мм,  L=600 мм , ТУ3500 РК 391606607-2004  Р-38МПа </t>
  </si>
  <si>
    <t>22.19.35.00.00.00.60.40.1</t>
  </si>
  <si>
    <t>РВД армированные с номинальным размером (диаметр) 12мм и номинальным давлением 21мм.  ГОСТ Р 51207-98</t>
  </si>
  <si>
    <t>РВД d=12 мм,  L=752 мм  ГОСТ 25452</t>
  </si>
  <si>
    <t>22.19.35.00.00.00.60.50.1</t>
  </si>
  <si>
    <t>РВД армированные с номинальным размером (диаметр) 16мм и номинальным давлением 21мм.  ГОСТ Р 51207-98</t>
  </si>
  <si>
    <t>РВД d=16 мм,  L=2000 мм  ГОСТ 25452</t>
  </si>
  <si>
    <t>22.19.35.00.00.00.60.60.1</t>
  </si>
  <si>
    <t>РВД армированные с номинальным размером (диаметр) 20мм и номинальным давлением 21мм.  ГОСТ Р 51207-98</t>
  </si>
  <si>
    <t>РВД d=20 мм,  L=500 мм  ГОСТ 6286-73</t>
  </si>
  <si>
    <t>РВД d=20 мм,  L=1000 мм  ГОСТ 6286-73</t>
  </si>
  <si>
    <t>РВД d=20 мм,  L=2000 мм  ГОСТ 6286-73</t>
  </si>
  <si>
    <t>РВД d=25 мм,  L=500 мм  ГОСТ 25452</t>
  </si>
  <si>
    <t>РВД d=25 мм,  L=1000 мм  ГОСТ 25452</t>
  </si>
  <si>
    <t>РВД d=25 мм,  L=2000 мм  ГОСТ 25452</t>
  </si>
  <si>
    <t>РВД d8х20 М16х1,5   L=500 мм, S19  ГОСТ 6286</t>
  </si>
  <si>
    <t>РВД d12х24 М22х1,5 L=450 мм, S27  ГОСТ 25452</t>
  </si>
  <si>
    <t>РВД d12х24 М22х1,5 L=600 мм, S27  ГОСТ 25452</t>
  </si>
  <si>
    <t>РВД d12х24 М22х1,5 L=800 мм, S27  ГОСТ 25452</t>
  </si>
  <si>
    <t>РВД d12-25-650    (ТУ 22-4756-80)    /ВП-0,5/</t>
  </si>
  <si>
    <t>РВД d12-25-1250  (ТУ 22-4756-80)    /ВП-0,5/</t>
  </si>
  <si>
    <t>РВД d16х28 М27х1,5 L=450 мм, S32  ГОСТ 6286</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</si>
  <si>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</si>
  <si>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</si>
  <si>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</si>
  <si>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</si>
  <si>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</si>
  <si>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 xml:space="preserve">РВД d20х32 М30х1,5 L=1000 мм, S36 ГОСТ 25452 </t>
  </si>
  <si>
    <t>РВД d20х32 М30х1,5 L=500 мм,   S36 ГОСТ 25452</t>
  </si>
  <si>
    <t>РВД d20х32 М33х2,0 L=800 мм,   S41 ГОСТ 25452</t>
  </si>
  <si>
    <t>РВД d20х32 М33х2.0 L=3000 мм, S41 ГОСТ 25452</t>
  </si>
  <si>
    <t>РВД d20х32 М33х2.0 L=4000 мм, S41 ГОСТ 25452</t>
  </si>
  <si>
    <t>РВД 20х33 L=0800 М32х2    (ТУ38-105373-91)  /УПА-60/</t>
  </si>
  <si>
    <t>РВД d25х39 М42х2,0 L=500 мм,   S50 ГОСТ 25452</t>
  </si>
  <si>
    <t>РВД d25х39 М42х2,0 L=1000 мм, S50 ГОСТ 25452</t>
  </si>
  <si>
    <t>РВД d25х39 М42х2,0 L=1600 мм, S50 ГОСТ 25452</t>
  </si>
  <si>
    <t>РВД d25х39 М42х2,0 L=1800 мм, S50 ГОСТ 25452</t>
  </si>
  <si>
    <t>РВД d25х39 М42х2,0 L=2000 мм, S50 ГОСТ 25452</t>
  </si>
  <si>
    <t>РВД d25х39 М42х2,0 L=3000 мм, S50 ГОСТ 25452</t>
  </si>
  <si>
    <t>Ремень 8,5*8*833 (Газ)</t>
  </si>
  <si>
    <t>22.19.43.00.00.00.00.01.1</t>
  </si>
  <si>
    <t> Ремень вентиляторный клиновый 8.5х8-850 ГОСТ 5813-93.</t>
  </si>
  <si>
    <t>Ремень 8,5*8*850 (ЯМЗ)</t>
  </si>
  <si>
    <t>22.19.43.00.00.00.00.02.1</t>
  </si>
  <si>
    <t> Ремень вентиляторный клиновый 8.5х8-875 ГОСТ 5813-93.</t>
  </si>
  <si>
    <t>Ремень 8,5*8-875</t>
  </si>
  <si>
    <t>22.19.43.00.00.00.00.26.1</t>
  </si>
  <si>
    <t> Ремень вентиляторный клиновый 14х10-937 ГОСТ 5813-93.</t>
  </si>
  <si>
    <t>Ремень 14*10*937 (ЯМЗ)</t>
  </si>
  <si>
    <t>22.19.43.00.00.00.00.27.1</t>
  </si>
  <si>
    <t>Ремень 14*10*987 (ЯМЗ)</t>
  </si>
  <si>
    <t>22.19.43.00.00.00.00.04.1</t>
  </si>
  <si>
    <t> Ремень вентиляторный клиновый 8.5х8-1018 ГОСТ 5813-93.</t>
  </si>
  <si>
    <t>Ремень 8,5*8*1018 (ГАЗ, УАЗ)</t>
  </si>
  <si>
    <t>22.19.43.00.00.00.00.09.1</t>
  </si>
  <si>
    <t> Ремень вентиляторный клиновый 8.5х8-1320 ГОСТ 5813-93.</t>
  </si>
  <si>
    <t xml:space="preserve">Ремень 8,5*8*1320 </t>
  </si>
  <si>
    <t>22.19.43.00.00.00.00.37.1</t>
  </si>
  <si>
    <t> Ремень вентиляторный клиновый 16х11-1650 ГОСТ 5813-93.</t>
  </si>
  <si>
    <t>Ремень 16*11*1650 (Т-170) зубчатый</t>
  </si>
  <si>
    <t xml:space="preserve">Ремень А1045  (ГАЗ)         </t>
  </si>
  <si>
    <t>22.19.42.00.00.10.20.10.1</t>
  </si>
  <si>
    <t> Ремень клиновый приводный с сечением А-1120. ГОСТ 1284-89.</t>
  </si>
  <si>
    <t>Ремень А1120</t>
  </si>
  <si>
    <t>Ремень А1703/ КамАЗ, Евро-2/</t>
  </si>
  <si>
    <t>22.19.42.00.00.10.30.17.1</t>
  </si>
  <si>
    <t> Ремень клиновый приводный  с сечением В(Б)-1450. ГОСТ 1284-89.</t>
  </si>
  <si>
    <t>Ремень Б1450</t>
  </si>
  <si>
    <t>22.19.42.00.00.10.30.12.1</t>
  </si>
  <si>
    <t> Ремень клиновый приводный  с сечением В(Б)-1180. ГОСТ 1284-89.</t>
  </si>
  <si>
    <t>Ремень В(Б) -1180</t>
  </si>
  <si>
    <t>22.19.42.00.00.10.30.16.1</t>
  </si>
  <si>
    <t> Ремень клиновый приводный  с сечением В(Б)-1400. ГОСТ 1284-89.</t>
  </si>
  <si>
    <t>Ремень В(Б) -1400</t>
  </si>
  <si>
    <t>22.19.42.00.00.10.30.24.1</t>
  </si>
  <si>
    <t>Ремень В(Б) -1800</t>
  </si>
  <si>
    <t>Ремень В 2000</t>
  </si>
  <si>
    <t>Амортизаторы задние 232.2905010</t>
  </si>
  <si>
    <t>Амортизаторы передние 232.2905010</t>
  </si>
  <si>
    <t>29.32.30.00.07.00.12.01.1</t>
  </si>
  <si>
    <t>Бачок расширительный 2705-1311010</t>
  </si>
  <si>
    <t>30.20.40.00.00.08.01.26.1</t>
  </si>
  <si>
    <t>Буфер</t>
  </si>
  <si>
    <t>Буфер передний 3110-2803010-10</t>
  </si>
  <si>
    <t>29.32.30.00.07.00.09.01.1</t>
  </si>
  <si>
    <t>Гидровакуммный усилитель</t>
  </si>
  <si>
    <t>вакуум усилитель тормоза 24-3510010</t>
  </si>
  <si>
    <t>29.10.19.00.00.40.36.10.1</t>
  </si>
  <si>
    <t>Венец маховика ГАЗ-21 406.1005125</t>
  </si>
  <si>
    <t>Венец маховика ГАЗ-24               24-1005125</t>
  </si>
  <si>
    <t>29.10.19.00.00.30.19.10.2</t>
  </si>
  <si>
    <t>Вкладыш коренной ST, 0,25, 0,5 406.1000102 ВК24-1000102-21 ВК24-1000102ДР</t>
  </si>
  <si>
    <t>Вкладыш шатунный ST, 0,25, 0,6 А23.01-74-260Н1  ВК24-1000104ДР ЗМЗ</t>
  </si>
  <si>
    <t>30.20.40.00.00.08.02.17.1</t>
  </si>
  <si>
    <t>Втулка рессорная 13-2912028</t>
  </si>
  <si>
    <t>29.31.22.00.00.00.31.10.1</t>
  </si>
  <si>
    <t>номинальное напряжение не более 14 В, постоянного тока, с параллельным возбуждением</t>
  </si>
  <si>
    <t>Генератор 12В со шкивом25.02.3771 7702.3701</t>
  </si>
  <si>
    <t>29.32.30.00.03.01.20.10.1</t>
  </si>
  <si>
    <t>Сцепление</t>
  </si>
  <si>
    <t>в сборе, для легковых автомобилей</t>
  </si>
  <si>
    <t>Главный цилиндр сцепления 3302-1602290</t>
  </si>
  <si>
    <t>Главный цилиндр тормоза 31029-3505010</t>
  </si>
  <si>
    <t>Глушитель в сборе 33104-1201005</t>
  </si>
  <si>
    <t>29.10.19.00.00.20.12.10.1</t>
  </si>
  <si>
    <t>Головка блока цилиндров в сборе ГАЗ-21 402.3906562</t>
  </si>
  <si>
    <t>Головка блока цилиндров в сборе ГАЗ-24 406.3906562</t>
  </si>
  <si>
    <t>26.51.51.15.13.11.11.20.1</t>
  </si>
  <si>
    <t>Датчик аварийный ММ-111 Д/6012.3829</t>
  </si>
  <si>
    <t>29.31.22.00.00.00.71.20.1</t>
  </si>
  <si>
    <t>датчик положения коленчатого вала</t>
  </si>
  <si>
    <t>к легковым автомобилям</t>
  </si>
  <si>
    <t>Датчик коленчатого вала 0261210113 BOSCH</t>
  </si>
  <si>
    <t>29.32.30.00.02.05.01.01.1</t>
  </si>
  <si>
    <t>Датчик контроля уровня масла</t>
  </si>
  <si>
    <t>Датчик масляный 3902.3829010</t>
  </si>
  <si>
    <t>Датчик распределительного вала ГРМ 20.3855-10</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</si>
  <si>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</si>
  <si>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</si>
  <si>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</si>
  <si>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Диск сцепления 4061.1601130</t>
  </si>
  <si>
    <t>Диск сцепления нажимной в сборе 4301-1601130</t>
  </si>
  <si>
    <t>29.32.30.00.10.00.01.04.1</t>
  </si>
  <si>
    <t>Диск колеса</t>
  </si>
  <si>
    <t>железный, правый, для легковых автомобилей</t>
  </si>
  <si>
    <t>Диски колес R15 3110-3101015КЭ</t>
  </si>
  <si>
    <t>29.32.20.00.00.00.10.10.1</t>
  </si>
  <si>
    <t>капот передний 3110-8402012-20</t>
  </si>
  <si>
    <t>Карбюратор Пекар К135МУ</t>
  </si>
  <si>
    <t>Катушка зажигания 406.3705</t>
  </si>
  <si>
    <t>29.32.30.00.13.00.04.01.1</t>
  </si>
  <si>
    <t>Клапан впускной (коллектор)</t>
  </si>
  <si>
    <t>Клапан всасывающий 406.1007010</t>
  </si>
  <si>
    <t>29.10.19.00.00.20.30.13.1</t>
  </si>
  <si>
    <t>клапан выхлопной 406.1007012</t>
  </si>
  <si>
    <t>29.32.30.00.03.01.40.10.1</t>
  </si>
  <si>
    <t>Кожух сцепленимя ГАЗ-21 Д-406 4021601015</t>
  </si>
  <si>
    <t>Кожух сцепленимя ГАЗ-24 Д-406 4062.1601015-10</t>
  </si>
  <si>
    <t>29.10.19.00.00.20.20.12.1</t>
  </si>
  <si>
    <t>вал коленчатый 406.1005014</t>
  </si>
  <si>
    <t>Коромысло ГРМ 13-1007112-01</t>
  </si>
  <si>
    <t>29.32.30.00.04.01.03.04.1</t>
  </si>
  <si>
    <t>пятиступенчатая, механизированная, двухвальная</t>
  </si>
  <si>
    <t>КПП 5-ти ступенчатая 3110-1700010</t>
  </si>
  <si>
    <t>29.32.30.00.05.03.15.01.1</t>
  </si>
  <si>
    <t>в сборе  с подшипниками и манжетами, для легковых автомобилей</t>
  </si>
  <si>
    <t>Крестовина 3102-2201025</t>
  </si>
  <si>
    <t>29.10.19.00.00.20.23.13.1</t>
  </si>
  <si>
    <t>для поршневых двигателей с искровым зажиганием (карбюраторные), двухсекционный</t>
  </si>
  <si>
    <t>Насос масляный ГАЗ-21, ГАЗ-24 406.1011010</t>
  </si>
  <si>
    <t>29.32.30.00.01.01.01.20.1</t>
  </si>
  <si>
    <t>набор патрубков системы охлаждения 3110-1303010-10    3110-1303025</t>
  </si>
  <si>
    <t>29.32.30.00.15.00.31.03.1</t>
  </si>
  <si>
    <t>29.10.19.00.00.30.25.10.1</t>
  </si>
  <si>
    <t>Насос водяной 4022-1307010</t>
  </si>
  <si>
    <t>29.10.19.00.00.40.25.12.1</t>
  </si>
  <si>
    <t>Насос водяной к двигателю Д-406  4062.3906629-10</t>
  </si>
  <si>
    <t>насос топливный электрический 24-1106011</t>
  </si>
  <si>
    <t>29.32.30.00.05.03.01.01.1</t>
  </si>
  <si>
    <t>опора промежуточная карданного вала 31029-2202076-10</t>
  </si>
  <si>
    <t>29.10.19.00.00.30.13.66.1</t>
  </si>
  <si>
    <t>для двигателей с непосредственным впрыском (инжекторные), с объемом цилиндра от 1000 см3 до 1200 см3</t>
  </si>
  <si>
    <t>поршневая группа Æ 92мм 406.1004015 ЗМЗ</t>
  </si>
  <si>
    <t>29.31.21.00.00.00.23.20.1</t>
  </si>
  <si>
    <t>для автомбилей с рабочим объемом цилиндров свыше 1000 см3 но не более 1500 см3,  </t>
  </si>
  <si>
    <t>прерыаватель-распределитель 1901.3706</t>
  </si>
  <si>
    <t>29.31.10.00.00.00.12.10.1</t>
  </si>
  <si>
    <t>Провод высокого напряжения 4216.3707090-10</t>
  </si>
  <si>
    <t>29.32.30.00.09.00.12.03.1</t>
  </si>
  <si>
    <t>пружина передней подвески 23-2902712</t>
  </si>
  <si>
    <t>29.32.30.00.01.01.05.01.1</t>
  </si>
  <si>
    <t>Радиатор основной 3110-1301010-20</t>
  </si>
  <si>
    <t>29.10.19.00.00.30.29.12.1</t>
  </si>
  <si>
    <t>Распределительный вал ГРМ 4061.1006015</t>
  </si>
  <si>
    <t>болты регулировочные с гайкой клапана 66-1007075-02</t>
  </si>
  <si>
    <t>30.20.40.00.00.08.05.28.1</t>
  </si>
  <si>
    <t>Регулятор</t>
  </si>
  <si>
    <t>Регулятор холостого хода 406-1147051-02</t>
  </si>
  <si>
    <t>29.32.30.00.08.00.03.10.1</t>
  </si>
  <si>
    <t>неразъемный</t>
  </si>
  <si>
    <t>мост задний 3302-2400012-01</t>
  </si>
  <si>
    <t>ремкомплект карбюратора К151Ц-1107820Л*РК</t>
  </si>
  <si>
    <t>29.32.30.00.15.00.44.01.1</t>
  </si>
  <si>
    <t>Ролик</t>
  </si>
  <si>
    <t>натяжной, элемент ременной передачи</t>
  </si>
  <si>
    <t>ролик неатяжителя ремня 406.3407067</t>
  </si>
  <si>
    <t>29.32.30.00.06.20.01.01.1</t>
  </si>
  <si>
    <t>Маятник</t>
  </si>
  <si>
    <t>маятник рулевой, к легковому автомобилю</t>
  </si>
  <si>
    <t>маятник рулевой в сборе 24-3003084-10</t>
  </si>
  <si>
    <t>29.32.30.00.06.03.02.11.1</t>
  </si>
  <si>
    <t>в сборе с усилителем, с  червяком и роликом</t>
  </si>
  <si>
    <t>рулевой усилитель (насос) ШНКФ.453471.090-40Т</t>
  </si>
  <si>
    <t>29.32.30.00.09.00.19.01.1</t>
  </si>
  <si>
    <t>Сайлентблок</t>
  </si>
  <si>
    <t>передней подвески, для легковых автомобилей</t>
  </si>
  <si>
    <t>Сайлентблоки передней подвески верхние 3110-2904172</t>
  </si>
  <si>
    <t>Сайлентблоки передней подвески нижние 3110-2904152</t>
  </si>
  <si>
    <t>Сальник 55 х 70 х 8 406.1005034</t>
  </si>
  <si>
    <t>Сальник 55 х 80 53-1005032-01</t>
  </si>
  <si>
    <t>Сальник 55 х 80 с металлической обоймой  53-1005032-01</t>
  </si>
  <si>
    <t>Сальник 80 х 100 4062.1005160</t>
  </si>
  <si>
    <t>29.32.30.00.15.00.33.09.1</t>
  </si>
  <si>
    <t>клапана</t>
  </si>
  <si>
    <t>Сальники клапана 24-1007036-01</t>
  </si>
  <si>
    <t>23.99.11.06.17.00.02.07.1</t>
  </si>
  <si>
    <t>сальниковая, асбестовая, АП (АП-31), квадратная, 10 мм</t>
  </si>
  <si>
    <t>Набивка сальниковая Æ 9 мм 24-1005154</t>
  </si>
  <si>
    <t>29.31.21.00.00.00.10.13.1</t>
  </si>
  <si>
    <t>на легковые автомобили, короткие, резьба - М16</t>
  </si>
  <si>
    <t>Свечи зажигания Æ 16 мм А14В1</t>
  </si>
  <si>
    <t>29.31.21.00.00.00.10.24.2</t>
  </si>
  <si>
    <t>Свечи зажигания Æ 21 мм А14ДВР</t>
  </si>
  <si>
    <t>Стартер 5112.37080</t>
  </si>
  <si>
    <t>ступица передняя 33104-3103004</t>
  </si>
  <si>
    <t>Счетчик подачи воздуха 0280140545 BOSCH (валеометр)</t>
  </si>
  <si>
    <t>Термостат ТС107-05 (82гр)</t>
  </si>
  <si>
    <t>29.32.30.00.07.00.04.01.2</t>
  </si>
  <si>
    <t>Тормозные колодки</t>
  </si>
  <si>
    <t>для легковых автомобилей, передние</t>
  </si>
  <si>
    <t>колодки тормозные передние 3302-3501800-03</t>
  </si>
  <si>
    <t>29.32.30.00.15.00.90.50.1</t>
  </si>
  <si>
    <t>Трос газа</t>
  </si>
  <si>
    <t>для автомобиля</t>
  </si>
  <si>
    <t>Тросс дросселя 3110-1108100</t>
  </si>
  <si>
    <t>Тросс стояночного тормоза 3110-3508800</t>
  </si>
  <si>
    <t>29.32.30.00.06.04.01.01.1</t>
  </si>
  <si>
    <t>тяга рулевая 24-3003050-01</t>
  </si>
  <si>
    <t>29.31.23.00.00.00.30.10.1</t>
  </si>
  <si>
    <t>левая, передняя, односекционная (ближний/дальний совмещен)</t>
  </si>
  <si>
    <t>Фара передняя с очками 502.3711</t>
  </si>
  <si>
    <t>Флажок коренной  ГАЗ-24</t>
  </si>
  <si>
    <t>30.20.40.00.00.08.06.44.1</t>
  </si>
  <si>
    <t>фланец вала коленчатого 406.1006262</t>
  </si>
  <si>
    <t>Цилиндр сцепления рабочий 3102-1602510</t>
  </si>
  <si>
    <t>цилиндр тормозной колесный 3102-3502040</t>
  </si>
  <si>
    <t>шайба осевого смещения вала коленчатого 4021-1005183/84</t>
  </si>
  <si>
    <t>опора шаровая верхняя 31105-2904412-55</t>
  </si>
  <si>
    <t>опора шаровая нижняя 31105-2904312-55</t>
  </si>
  <si>
    <t>шестерня вала коленчатого 24-1005031</t>
  </si>
  <si>
    <t>шестерня ГРМ текстолитовая 402-1006020(11-6256А</t>
  </si>
  <si>
    <t>29.32.30.00.09.00.11.01.1</t>
  </si>
  <si>
    <t>шкворень резьбовой с втулкой 33104-3000101</t>
  </si>
  <si>
    <t>30.20.40.00.00.08.06.59.1</t>
  </si>
  <si>
    <t>Штанга</t>
  </si>
  <si>
    <t>Штанга ГРМ ГАЗ-21 54-1007175</t>
  </si>
  <si>
    <t>Штанга ГРМ ГАЗ-24 24-1007175</t>
  </si>
  <si>
    <t>Элемент фильтрующий масляный NORDIX 5205  (резьбовой)</t>
  </si>
  <si>
    <t>Аммортизатор передний 113-2905005-63</t>
  </si>
  <si>
    <t>Аммортизатор задний 24-2915006\S452</t>
  </si>
  <si>
    <t>29.32.30.00.08.00.01.01.1</t>
  </si>
  <si>
    <t>Балка передняя 31105 31105-280\100</t>
  </si>
  <si>
    <t>Барабан тормозной 24-3501070</t>
  </si>
  <si>
    <t>29.32.30.00.07.00.01.04.1</t>
  </si>
  <si>
    <t>для легковых автомобилей, задний</t>
  </si>
  <si>
    <t>Барабан тормозной 3110-3502070</t>
  </si>
  <si>
    <t>27.11.27.00.00.00.10.12.1</t>
  </si>
  <si>
    <t>Генератор постоянного тока с последовательным возбуждением</t>
  </si>
  <si>
    <t>Генератор 90 А 406 дв. 3212.3771</t>
  </si>
  <si>
    <t>Глушитель 241031-02-1201008-03</t>
  </si>
  <si>
    <t>29.10.19.00.00.10.12.12.1</t>
  </si>
  <si>
    <t>Головка блока цилиндров Аи-92 402.3906562</t>
  </si>
  <si>
    <t>29.10.19.00.00.10.13.68.1</t>
  </si>
  <si>
    <t>для двигателей с непосредственным впрыском (инжекторные), с объемом цилиндра от 1400 см3 до 1600 см3</t>
  </si>
  <si>
    <t>Поршневая группа 402 дв. 4021.1000110-150</t>
  </si>
  <si>
    <t>Диск сцепления ведомый 402 дв. 40207.1601130-03</t>
  </si>
  <si>
    <t>Диск сцепления нажимной(корзина) 402 дв. 402 1601090</t>
  </si>
  <si>
    <t>Капот 31105-8402012</t>
  </si>
  <si>
    <t>29.32.30.00.12.00.04.01.1</t>
  </si>
  <si>
    <t>Коллектор впускной в сборе 4021.1008012</t>
  </si>
  <si>
    <t>29.32.30.00.06.02.01.01.1</t>
  </si>
  <si>
    <t>Рулевая колонка</t>
  </si>
  <si>
    <t>Колонка рулевая 3110-3401100</t>
  </si>
  <si>
    <t>Крестовина карданного вала 3102.2201025-22</t>
  </si>
  <si>
    <t>30.20.40.00.00.08.04.30.1</t>
  </si>
  <si>
    <t>Крышка клапанов 405, 406, 409 дв. 406.1007230-41</t>
  </si>
  <si>
    <t>29.10.19.00.00.10.25.12.1</t>
  </si>
  <si>
    <t>Насос водяной 402 дв.KNZ 1307010-51</t>
  </si>
  <si>
    <t>Привод стартера Бендекс 402 дв.4211.3703.600</t>
  </si>
  <si>
    <t>Радиатор охлаждения 2-х рядный 3110.1301010-30</t>
  </si>
  <si>
    <t>Стартер 402 дв. СТ422.3708</t>
  </si>
  <si>
    <t>Сцепления в сборе 402,406 дв.SPK 24201</t>
  </si>
  <si>
    <t>29.32.30.00.06.05.01.01.1</t>
  </si>
  <si>
    <t>Рулевая трапеция</t>
  </si>
  <si>
    <t>Трапеция рулевая без ГУР 31105. 3404005</t>
  </si>
  <si>
    <t>Трапеция рулевая под ГУР 31105. 3404005-10</t>
  </si>
  <si>
    <t>30.20.40.00.00.08.06.48.1</t>
  </si>
  <si>
    <t>Форсунка 4060280158107</t>
  </si>
  <si>
    <t>29.31.22.00.00.00.34.02.1</t>
  </si>
  <si>
    <t>для статера с инерционным или комбинированным приводом, для легковых автомобилей</t>
  </si>
  <si>
    <t>Якорь стартера ГАЗ, УАЗ 402 дв 4211.3708200-01</t>
  </si>
  <si>
    <t>Амортизаторы передние 2121-2905402</t>
  </si>
  <si>
    <t>Амортизаторы задние 2121-2915402</t>
  </si>
  <si>
    <t>вакуум усилитель тормоза 2108-3510009</t>
  </si>
  <si>
    <t>Вкладыши коренные 0,25 0,5 0,75 0,1 2101-1000104-21  2101-1000104-22  2101-1000104-23  2101-1000104-24</t>
  </si>
  <si>
    <t>Вкладыши коренные 0,25 0,5 0,75 0,1 2101-1000102-21  2101-1000102-22  2101-1000102-23  2101-1000102-24</t>
  </si>
  <si>
    <t>Главный цилиндр сцепления 2121-1602610</t>
  </si>
  <si>
    <t>Главный цилиндр тормоза 2121-3505009</t>
  </si>
  <si>
    <t>Глушитель 2121-1201005 в сборе</t>
  </si>
  <si>
    <t>Диск сцепления ведомый 21213-1601130</t>
  </si>
  <si>
    <t>29.10.19.00.00.10.85.00.1</t>
  </si>
  <si>
    <t>Пробка</t>
  </si>
  <si>
    <t>для коленчатого вала двигателя</t>
  </si>
  <si>
    <t>Заглушки вала коленчатого 21-1005024-03</t>
  </si>
  <si>
    <t>Карбюратор 21083-1107010-31</t>
  </si>
  <si>
    <t>29.32.30.00.15.00.90.30.1</t>
  </si>
  <si>
    <t>Картер</t>
  </si>
  <si>
    <t>переднего моста</t>
  </si>
  <si>
    <t>Картер заднего моста ВАЗ-21213 2101-2401010-01</t>
  </si>
  <si>
    <t>29.10.19.00.00.10.30.10.1</t>
  </si>
  <si>
    <t>Клапан впускной</t>
  </si>
  <si>
    <t>клапан всасывающий 2101-1007012-01</t>
  </si>
  <si>
    <t>30.20.40.00.00.08.03.29.1</t>
  </si>
  <si>
    <t>Клапан выхлопной</t>
  </si>
  <si>
    <t>клапан выхлопной 2112-1007012-01</t>
  </si>
  <si>
    <t>29.10.19.00.00.10.20.10.1</t>
  </si>
  <si>
    <t>вал коленчатый с вкладышами 21213-1005015</t>
  </si>
  <si>
    <t>колодка тормозная передняя 2121-3501090</t>
  </si>
  <si>
    <t>Коромысло ГРМ 2101-1007116</t>
  </si>
  <si>
    <t>Набор прокладок ДВС ВАЗ-2106</t>
  </si>
  <si>
    <t>насос водяной 21214-1307010</t>
  </si>
  <si>
    <t>29.10.19.00.00.10.23.10.1</t>
  </si>
  <si>
    <t>Насос масляный  2121-1011010</t>
  </si>
  <si>
    <t>28.13.11.00.00.00.13.17.1</t>
  </si>
  <si>
    <t>насос топливный для двигателей внутреннего сгорания</t>
  </si>
  <si>
    <t>насос топливный 2123-1139009-20</t>
  </si>
  <si>
    <t>28.30.93.00.00.00.11.18.1</t>
  </si>
  <si>
    <t>Натяжитель</t>
  </si>
  <si>
    <t>устройство, с помощью которого устраняется чрезмерное провисание цепь, ремня гРМ</t>
  </si>
  <si>
    <t>натяжитель цепи ГРМ 2103-1006090</t>
  </si>
  <si>
    <t>29.32.30.00.03.01.07.01.1</t>
  </si>
  <si>
    <t>Полуось переднего ведущего моста</t>
  </si>
  <si>
    <t>фланцевая</t>
  </si>
  <si>
    <t>полуось передняя внутренняя ВАЗ-2121</t>
  </si>
  <si>
    <t>полуось передняя наружная ВАЗ-2122</t>
  </si>
  <si>
    <t>Прерыватель-распределитель бесконтактный 2107-3706010-10</t>
  </si>
  <si>
    <t>29.10.19.00.00.20.28.16.1</t>
  </si>
  <si>
    <t>крышки клапанов</t>
  </si>
  <si>
    <t>Прокладка клапанной крышки 2101-1003270</t>
  </si>
  <si>
    <t>опора промежуточного карданного вала 2101-2202080</t>
  </si>
  <si>
    <t>29.32.30.00.09.00.12.01.1</t>
  </si>
  <si>
    <t>пружины в комплекте 2121-2912712</t>
  </si>
  <si>
    <t>Радиатор основной 2123-8101060</t>
  </si>
  <si>
    <t>29.32.30.00.09.00.18.01.1</t>
  </si>
  <si>
    <t>Сайлентблок рычага</t>
  </si>
  <si>
    <t>переднего, для легковых автомобилей</t>
  </si>
  <si>
    <t>Сайлентблоки 2121-2904180</t>
  </si>
  <si>
    <t>Сальник задней крышки вала коленчатого 2101-1005160</t>
  </si>
  <si>
    <t>Сальник передней крышки вала коленчатого 2101-1005034-02</t>
  </si>
  <si>
    <t>29.10.19.00.00.20.31.10.1</t>
  </si>
  <si>
    <t>Клапанный сальник</t>
  </si>
  <si>
    <t>Сальник клапана 2101-1007026</t>
  </si>
  <si>
    <t>стартер 2111-3708010-01</t>
  </si>
  <si>
    <t>тяга рулевая 2121-3414053(52) в комплекте</t>
  </si>
  <si>
    <t>29.10.19.00.00.10.60.20.1</t>
  </si>
  <si>
    <t>Успокоитель цепи привода</t>
  </si>
  <si>
    <t>газораспределительного механизма, к легковому автомобилю</t>
  </si>
  <si>
    <t>Успокоитель цепи ГРМ 2101-1006100</t>
  </si>
  <si>
    <t>Цепь ГРМ со звездочками ВАЗ-2107  21214-1006040</t>
  </si>
  <si>
    <t>29.10.19.00.00.10.17.10.1</t>
  </si>
  <si>
    <t>шатун 2101-1004045</t>
  </si>
  <si>
    <t>Муфта сцепления ведомая 2101-1601085</t>
  </si>
  <si>
    <t>Диск сцепления нажимной (корзина) 2121-1601085</t>
  </si>
  <si>
    <t>29.32.30.00.03.01.03.01.1</t>
  </si>
  <si>
    <t>Подшипник выжимной 2101-1601180</t>
  </si>
  <si>
    <t>Цилиндр сцепления рабочий 2101-1602510</t>
  </si>
  <si>
    <t>Вал карданный (промвал) 21213-2202010</t>
  </si>
  <si>
    <t>Шрус Нива (22 шлица) внутренняя правая 21213-2215054</t>
  </si>
  <si>
    <t>Шрус Нива (22 шлица) внутренняя левая 21213-2215055</t>
  </si>
  <si>
    <t>29.32.30.00.08.00.02.01.1</t>
  </si>
  <si>
    <t>Балка задней оси</t>
  </si>
  <si>
    <t>Балка заднего моста 21213-2401010</t>
  </si>
  <si>
    <t>Полуось 2121-2403069</t>
  </si>
  <si>
    <t>29.32.30.00.05.01.02.01.1</t>
  </si>
  <si>
    <t>Вал карданный(задний) 21214-2201012</t>
  </si>
  <si>
    <t>29.32.30.00.08.00.11.03.1</t>
  </si>
  <si>
    <t>Редуктор заднего моста</t>
  </si>
  <si>
    <t>соосный планетарный редуктор</t>
  </si>
  <si>
    <t>Редуктор заднего моста 2103-2402010</t>
  </si>
  <si>
    <t>Опора шаровая 2121</t>
  </si>
  <si>
    <t>Тяга рулевая трапеции (левая\правая) ВИС2121-3414052</t>
  </si>
  <si>
    <t>Тяга рулевая трапеции (средняя) ВИС2121-344010</t>
  </si>
  <si>
    <t>Тяга рулевая трапеции (комплект) 2121-3414000-00</t>
  </si>
  <si>
    <t>29.32.30.00.09.00.13.10.1</t>
  </si>
  <si>
    <t>Ось рычага</t>
  </si>
  <si>
    <t>Ось нижнего рычага 2121-2904032</t>
  </si>
  <si>
    <t>30.20.40.00.00.08.06.01.1</t>
  </si>
  <si>
    <t>Стабилизатор 2123-2906010</t>
  </si>
  <si>
    <t>29.32.30.00.10.10.00.10.1</t>
  </si>
  <si>
    <t>Подшипник ступицы ГПЗ-6-2007108А</t>
  </si>
  <si>
    <t>Тяга рулевая правая 2123-3414052</t>
  </si>
  <si>
    <t>Тяга рулевая средняя 2123-3414010</t>
  </si>
  <si>
    <t>Тяга рулевая трапеции 2101-3003054</t>
  </si>
  <si>
    <t>Тяга рулевая левая 2123-3414053-10</t>
  </si>
  <si>
    <t>29.32.30.00.09.00.05.01.1</t>
  </si>
  <si>
    <t>Стойка амортизатора передняя</t>
  </si>
  <si>
    <t>Стойка телескопическая (правая) 2108-2905002</t>
  </si>
  <si>
    <t>Стойка телескопическая (левая) 2108-2905003</t>
  </si>
  <si>
    <t>29.32.30.00.09.00.06.01.1</t>
  </si>
  <si>
    <t>Стойка амортизатора задняя</t>
  </si>
  <si>
    <t>Аммортизатор задней подвески 2108-2915004</t>
  </si>
  <si>
    <t>Карбюратор 21-8-1107010</t>
  </si>
  <si>
    <t>29.32.30.00.06.06.01.01.1</t>
  </si>
  <si>
    <t>Рулевая рейка</t>
  </si>
  <si>
    <t>Рейка рулевого механизма 21086-3401067</t>
  </si>
  <si>
    <t>Головка блока цилиндров 2181-1003011</t>
  </si>
  <si>
    <t>28.29.13.00.00.00.11.06.1</t>
  </si>
  <si>
    <t>для прочих автомобилей с двигателем внутреннего сгорания с непосредственным впрыском (инжекторные)</t>
  </si>
  <si>
    <t>Фильтр топливный 2081071</t>
  </si>
  <si>
    <t>Фильтр воздушный 1209590</t>
  </si>
  <si>
    <t>Фильтр воздушный 1209620</t>
  </si>
  <si>
    <t>Фильтр масляный 2050089</t>
  </si>
  <si>
    <t>28.22.19.00.00.20.15.10.1</t>
  </si>
  <si>
    <t>для гидросистемы автопогрузчика</t>
  </si>
  <si>
    <t>Фильтр гидравлики 9624531001</t>
  </si>
  <si>
    <t>Фильтр гидравлики 9624541001</t>
  </si>
  <si>
    <t>Фильтр гидравлики 9624251000</t>
  </si>
  <si>
    <t>28.15.10.00.00.00.57.11.1</t>
  </si>
  <si>
    <t>подшипник шариковый закрытого типа</t>
  </si>
  <si>
    <t>подшипник качения шариковый закрытого типа специальный наружным диаметром от 30 до 55 мм</t>
  </si>
  <si>
    <t>29.32.30.00.07.00.30.01.2</t>
  </si>
  <si>
    <t>Колодка</t>
  </si>
  <si>
    <t>колодка стояночного тормоза для грузовых автомобилей</t>
  </si>
  <si>
    <t>29.32.30.00.40.01.00.02.1</t>
  </si>
  <si>
    <t>главного тормозного цилиндра грузового автомобиля</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</si>
  <si>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</si>
  <si>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</si>
  <si>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</si>
  <si>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29.31.23.00.00.00.20.10.1</t>
  </si>
  <si>
    <t>29.32.20.00.00.00.60.23.1</t>
  </si>
  <si>
    <t>Боковое ветровое стекло</t>
  </si>
  <si>
    <t>триплекс, для грузовых автомобилей</t>
  </si>
  <si>
    <t>29.32.30.00.04.03.01.04.1</t>
  </si>
  <si>
    <t>коробка передач - пятиступенчатая, двухвальная</t>
  </si>
  <si>
    <t>29.32.30.00.05.25.00.01.1</t>
  </si>
  <si>
    <t>Муфта вала привода</t>
  </si>
  <si>
    <t>к раздаточной коробке грузового автомобиля</t>
  </si>
  <si>
    <t>29.32.30.00.08.00.02.04.1</t>
  </si>
  <si>
    <t>Колесо</t>
  </si>
  <si>
    <t>с разборным ободом с коническими 5*-ными полками, для грузового автотранспорта</t>
  </si>
  <si>
    <t>29.32.30.00.07.00.60.01.1</t>
  </si>
  <si>
    <t>Ремонтный комплект тормозного суппорта</t>
  </si>
  <si>
    <t>28.13.31.00.00.00.37.13.1</t>
  </si>
  <si>
    <t>редукционный гидроклапан давления</t>
  </si>
  <si>
    <t>гидроклапан давления редукционный, стыкового монтажа работает на минеральных маслах с тонкостью фильтрации 40-80 мкм, вязкостью 22-200 сСт при температуре от +10 до +70оС,с условным проходом, Ду 20 мм</t>
  </si>
  <si>
    <t>29.32.20.00.00.00.60.24.1</t>
  </si>
  <si>
    <t>сталинит, для грузовых автомобилей</t>
  </si>
  <si>
    <t>29.32.30.00.03.01.50.10.1</t>
  </si>
  <si>
    <t>Клапан усилительный</t>
  </si>
  <si>
    <t>включения сцепления автомобиля</t>
  </si>
  <si>
    <t>30.99.10.10.25.15.38.10.1</t>
  </si>
  <si>
    <t>Клапан редукционный</t>
  </si>
  <si>
    <t>29.32.20.00.00.00.30.50.1</t>
  </si>
  <si>
    <t>правый передний, для грузовых автомобилей, внутренний  </t>
  </si>
  <si>
    <t>29.10.19.00.00.20.19.11.1</t>
  </si>
  <si>
    <t>28.29.12.00.00.00.30.02.1</t>
  </si>
  <si>
    <t>тонкость фильтрации от 3 до 5 мкм</t>
  </si>
  <si>
    <t>28.30.93.00.00.00.10.37.1</t>
  </si>
  <si>
    <t>Топливный насос низкого давления (ТННД)</t>
  </si>
  <si>
    <t>к специальной технике</t>
  </si>
  <si>
    <t>29.32.30.00.04.01.01.01.1</t>
  </si>
  <si>
    <t>четырехступенчатая, механизированная, двухвальная</t>
  </si>
  <si>
    <t>29.20.10.00.00.00.20.10.1</t>
  </si>
  <si>
    <t>Кузов (включая кабину) грузового автомобиля</t>
  </si>
  <si>
    <t>автомобилей общего назначения</t>
  </si>
  <si>
    <t>29.32.30.00.01.01.01.40.1</t>
  </si>
  <si>
    <t>29.10.19.00.00.30.18.10.1</t>
  </si>
  <si>
    <t>29.10.19.00.00.40.22.11.2</t>
  </si>
  <si>
    <t>29.32.30.00.04.03.01.05.1</t>
  </si>
  <si>
    <t>29.32.30.00.07.00.10.02.1</t>
  </si>
  <si>
    <t>Диафрагма вакуумного усилителя</t>
  </si>
  <si>
    <t>29.10.19.00.00.10.18.10.2</t>
  </si>
  <si>
    <t>29.10.19.00.00.10.19.10.2</t>
  </si>
  <si>
    <t>29.32.30.00.04.03.01.02.1</t>
  </si>
  <si>
    <t>коробка передач - четырехступенчатая, трехвальная</t>
  </si>
  <si>
    <t>29.32.30.00.04.04.01.01.1</t>
  </si>
  <si>
    <t>Блок шестерен промежуточного вала</t>
  </si>
  <si>
    <t>29.32.30.00.04.02.01.02.1</t>
  </si>
  <si>
    <t>25.94.13.00.00.10.18.10.1</t>
  </si>
  <si>
    <t>Ключ-редуктор в наборе</t>
  </si>
  <si>
    <t>Набор предназначен для монтажа/демонтажа колесного и прикипевшего крепежа</t>
  </si>
  <si>
    <t>25.73.30.00.00.32.46.81.1</t>
  </si>
  <si>
    <t>Резец</t>
  </si>
  <si>
    <t>победитовый</t>
  </si>
  <si>
    <t>22.11.13.00.00.11.20.06.1</t>
  </si>
  <si>
    <t>22.11.13.00.00.00.50.20.1</t>
  </si>
  <si>
    <t>22.11.13.00.00.11.20.08.1</t>
  </si>
  <si>
    <t>Размер:240х508. Шина резиновая пневматическая новая для автобусов или автомобилей грузовых. Конструкция шины: радиальная.  Комплектность: камерная шина.  </t>
  </si>
  <si>
    <t>22.11.13.00.00.00.12.45.1</t>
  </si>
  <si>
    <t>Размер:14.00-24. Шины резиновые пневматические новые для автобусов или автомобилей грузовых. Конструкция шины: диагональная.</t>
  </si>
  <si>
    <t>22.19.35.00.00.00.30.16.1</t>
  </si>
  <si>
    <t>22.19.35.00.00.00.30.15.1</t>
  </si>
  <si>
    <t>22.19.35.00.00.00.30.17.1</t>
  </si>
  <si>
    <t>22.19.42.00.00.10.20.05.1</t>
  </si>
  <si>
    <t>22.19.42.00.00.10.20.09.1</t>
  </si>
  <si>
    <t>22.19.42.00.00.10.20.22.1</t>
  </si>
  <si>
    <t>29.32.30.00.14.00.05.01.1</t>
  </si>
  <si>
    <t>Коромысло клапанов</t>
  </si>
  <si>
    <t>двигателей грузовых автомобилей</t>
  </si>
  <si>
    <t>28.11.41.00.00.00.10.22.1</t>
  </si>
  <si>
    <t>29.31.21.00.00.00.23.18.1</t>
  </si>
  <si>
    <t>28.30.93.00.00.00.15.10.1</t>
  </si>
  <si>
    <t>28.30.93.00.00.00.14.16.1</t>
  </si>
  <si>
    <t>Трансмиссия и их части прочие</t>
  </si>
  <si>
    <t>28.30.93.00.00.00.16.10.1</t>
  </si>
  <si>
    <t>Рулевое управление и их части</t>
  </si>
  <si>
    <t>29.32.30.00.15.00.42.02.1</t>
  </si>
  <si>
    <t>Шарнир регулировки угловых скоростей (граната)</t>
  </si>
  <si>
    <t>внутренняя</t>
  </si>
  <si>
    <t>28.12.13.00.00.00.12.10.1</t>
  </si>
  <si>
    <t>аксиально-поршневой насос</t>
  </si>
  <si>
    <t>22.21.29.00.00.34.30.10.1</t>
  </si>
  <si>
    <t>Втулка полипропиленовая</t>
  </si>
  <si>
    <t>28.49.21.00.00.00.10.11.1</t>
  </si>
  <si>
    <t>втулка</t>
  </si>
  <si>
    <t>29.10.19.00.00.10.39.01.1</t>
  </si>
  <si>
    <t>Муфта автоматическая</t>
  </si>
  <si>
    <t>для изменения угла опережения впрыска топлива</t>
  </si>
  <si>
    <t>30.20.40.00.00.02.01.13.1</t>
  </si>
  <si>
    <t>Составная часть воздухораспределителя</t>
  </si>
  <si>
    <t>28.12.20.00.00.00.10.10.1</t>
  </si>
  <si>
    <t>части оборудования гидравлического силового</t>
  </si>
  <si>
    <t>29.32.30.00.08.00.20.02.1</t>
  </si>
  <si>
    <t>28.30.93.00.00.00.11.17.1</t>
  </si>
  <si>
    <t>30.30.50.00.00.00.20.35.1</t>
  </si>
  <si>
    <t>колес стоек шасси</t>
  </si>
  <si>
    <t>29.32.20.00.00.00.60.03.1</t>
  </si>
  <si>
    <t>28.11.42.00.00.00.50.10.1</t>
  </si>
  <si>
    <t>Коромысло клапана</t>
  </si>
  <si>
    <t>29.20.10.00.00.00.10.10.1</t>
  </si>
  <si>
    <t>29.32.20.00.00.00.60.01.1</t>
  </si>
  <si>
    <t>29.32.30.00.05.03.03.02.1</t>
  </si>
  <si>
    <t>29.32.30.00.01.01.21.10.1</t>
  </si>
  <si>
    <t>Подушка крепления радиатора</t>
  </si>
  <si>
    <t>28.15.10.00.00.00.17.28.1</t>
  </si>
  <si>
    <t>28.15.10.00.00.00.17.23.1</t>
  </si>
  <si>
    <t>25.73.30.00.00.16.21.32.1</t>
  </si>
  <si>
    <t>Ключ</t>
  </si>
  <si>
    <t>Ключ рожково- накидной</t>
  </si>
  <si>
    <t>Ключи накидные двусторонние15х17 ГОСТ 2906-80</t>
  </si>
  <si>
    <t>Ключи накидные двусторонние17х19 ГОСТ 2906-80</t>
  </si>
  <si>
    <t>Ключи накидные двусторонние 19х22 ГОСТ 2906-80</t>
  </si>
  <si>
    <t>Ключи накидные двусторонние 22х24 ГОСТ 2906-80</t>
  </si>
  <si>
    <t>Ключи накидные двусторонние 24х27 ГОСТ 2906-80</t>
  </si>
  <si>
    <t>Ключи накидные двусторонние 27х30 ГОСТ 2906-80</t>
  </si>
  <si>
    <t>Ключи накидные двусторонние 30х32 ГОСТ 2906-80</t>
  </si>
  <si>
    <t>Ключи накидные двусторонние 32х36 ГОСТ 2906-80</t>
  </si>
  <si>
    <t>Ключи трубные рычажные №2, ГОСТ 18981-73</t>
  </si>
  <si>
    <t>Ножовочное полотно 50х40х2 Р9М3 ГОСТ 6645-86</t>
  </si>
  <si>
    <t>25.73.30.00.00.14.20.20.1</t>
  </si>
  <si>
    <t>25.73.20.00.00.10.22.10.1</t>
  </si>
  <si>
    <t>Штангенциркуль ШЦ-I 0-300мм ц-0,05</t>
  </si>
  <si>
    <t>26.51.31.00.00.01.16.10.1</t>
  </si>
  <si>
    <t>весы</t>
  </si>
  <si>
    <t>Товарные электронные</t>
  </si>
  <si>
    <t>Весы электронные настольные, МК-32,2-АВ11, г/п 32кг.</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</si>
  <si>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</si>
  <si>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</si>
  <si>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Рулетка стальная 5 м,  ГОСТ 7502-98</t>
  </si>
  <si>
    <t>Рулетка стальная 10 м, ГОСТ 7502-89</t>
  </si>
  <si>
    <t>Рулетка L-30, ГОСТ 7502-89</t>
  </si>
  <si>
    <t>25.73.30.00.00.29.11.10.1</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</si>
  <si>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</si>
  <si>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</si>
  <si>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25.73.30.00.00.22.15.11.1</t>
  </si>
  <si>
    <t>Лобзик</t>
  </si>
  <si>
    <t>Ручной электрический лобзик включает в себя корпус с плоской платформой внизу и рукояткой вверху.</t>
  </si>
  <si>
    <t>25.94.13.00.00.10.35.10.2</t>
  </si>
  <si>
    <t>28.24.11.00.00.00.17.11.1</t>
  </si>
  <si>
    <t>пила электрическая</t>
  </si>
  <si>
    <t>пила дисковая со встроенным электрическим двигателем</t>
  </si>
  <si>
    <t>25.73.30.00.00.21.11.10.1</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</si>
  <si>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</si>
  <si>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Кувалды тупоносые с ручкой 2-6 кг  , ГОСТ 11401-75 1212-0001</t>
  </si>
  <si>
    <t>25.73.30.00.00.21.10.12.1</t>
  </si>
  <si>
    <t>слесарный</t>
  </si>
  <si>
    <t>Молоток слесарный ТИП1 0,5 кг, ГОСТ 2310-77</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</si>
  <si>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</si>
  <si>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Ареометр для измерения плотности электролита в кислотных аккумуляторах в диапазоне измерения от 1.100-1.300 кг/м.3.</t>
  </si>
  <si>
    <t>23.91.11.00.00.00.30.12.1</t>
  </si>
  <si>
    <t>Круг шлифовальный</t>
  </si>
  <si>
    <t>Круг шлифовальный армированный</t>
  </si>
  <si>
    <t>Круг шлифовальный ПП 180х8х22 ГОСТ 2424-83</t>
  </si>
  <si>
    <t>Круг шлифовальный ПП 300х40х127, 63С-64С12С1 ГОСТ 2424-83</t>
  </si>
  <si>
    <t xml:space="preserve">Круг шлифовальный ПП 400х40х203,ГОСТ 2424-83  </t>
  </si>
  <si>
    <t>23.91.11.00.00.00.30.19.1</t>
  </si>
  <si>
    <t>Круг шлифовальный отрезной, предназначен для абразивной обрезки и абразивной прорезки</t>
  </si>
  <si>
    <t>Круг отрезной 180х3х22, ГОСТ 21963-82</t>
  </si>
  <si>
    <t>Круг отрезной 230х3х22, ГОСТ 21963-82</t>
  </si>
  <si>
    <t>25.73.20.00.00.10.15.10.1</t>
  </si>
  <si>
    <t>пила</t>
  </si>
  <si>
    <t>дисковая (циркулярная)</t>
  </si>
  <si>
    <t>Пила дисковая 360х50х2,5х72 для деревообрабат станка</t>
  </si>
  <si>
    <t>Ножи  строгальные 610х40х3 мм, для деревообрабат станка</t>
  </si>
  <si>
    <t>Нож к гильотине для гильотин НА3121,  540х60х16мм</t>
  </si>
  <si>
    <t>23.91.11.00.00.00.40.20.3</t>
  </si>
  <si>
    <t>Шкурка шлифовальная бумажная неводостойкая</t>
  </si>
  <si>
    <t>Шкурка шлифовальная М 50 14А(Р320) ГОСТ 6456-82</t>
  </si>
  <si>
    <t>Шкурка шлифовальная Б-200 6 Н (П220) ГОСТ 6456-82</t>
  </si>
  <si>
    <t>25.94.11.00.00.24.01.01.1</t>
  </si>
  <si>
    <t>Шприц для смазки</t>
  </si>
  <si>
    <t>плунжерный</t>
  </si>
  <si>
    <t>Щприц плунжерный, ГОСТ 19853-74, для нагнетания соледола ручной</t>
  </si>
  <si>
    <t>25.73.40.00.00.13.01.01.1</t>
  </si>
  <si>
    <t>Бита (насадка)</t>
  </si>
  <si>
    <t>двусторонная</t>
  </si>
  <si>
    <t>Насадка для шуруповерта двухсторонная ,РН2/РН2</t>
  </si>
  <si>
    <t>30.99.10.00.00.00.10.20.1</t>
  </si>
  <si>
    <t>Ручные двухколесные тележки для перевозки грузов массой до 200-250 кг</t>
  </si>
  <si>
    <t>27.90.32.00.00.01.06.50.1</t>
  </si>
  <si>
    <t>Насос топливный</t>
  </si>
  <si>
    <t>для сварочного оборудования</t>
  </si>
  <si>
    <t>25.72.14.00.00.20.23.10.1</t>
  </si>
  <si>
    <t>Гидравлический</t>
  </si>
  <si>
    <t>25.73.30.00.00.25.13.10.1</t>
  </si>
  <si>
    <t>предназначены для демонтажа деталей</t>
  </si>
  <si>
    <t>25.72.14.00.00.90.10.10.1</t>
  </si>
  <si>
    <t>стяжной, для крепления и стягивания груза</t>
  </si>
  <si>
    <t>Измеритель объема НАРА АЗТ.178.330.00 для измерения количества топлива, проходящего через колонку, в единицах объема</t>
  </si>
  <si>
    <t>Рукава резиновые напорные с текстильным каркасом ГОСТ 18698-79.внутр ф32мм, ПАР-2Х-32, для подачи насыщенного пара с температурой до 175° С; Рабочее давление - 0,8МПа;</t>
  </si>
  <si>
    <t>Рукава для битума металлооплеточный для перекачки битума  Ф100 мм ТУ 2554-187-05788889-2004</t>
  </si>
  <si>
    <t xml:space="preserve">Рукав напорно-всасывающий МБС (гофр.) d=100 мм, L=6м,  кл. "Б" с мет. каркасом ТУ38-105373-91, ГОСТ 5398-76 </t>
  </si>
  <si>
    <t>13.96.16.00.00.00.30.20.1</t>
  </si>
  <si>
    <t>Рукава резиновые напорные с текстильным каркасом, класса В. Рабочая среда вода техническая, горячая вода, воздух, инертные газы. ГОСТ 18698-79</t>
  </si>
  <si>
    <t>22.19.35.00.00.00.20.50.1</t>
  </si>
  <si>
    <t>Рукава для битума, 100 - 55атм</t>
  </si>
  <si>
    <t>Транспортерная лента  толщ.-10мм,ширина-500мм, ГОСТ 20-85</t>
  </si>
  <si>
    <t>20.30.21.00.21.05.18.24.1</t>
  </si>
  <si>
    <t>эмаль</t>
  </si>
  <si>
    <t>НЦ-132 белый, массовая доля нелетучих веществ, %, не менее 32-40, ГОСТ 6631-74</t>
  </si>
  <si>
    <t>20.30.21.00.21.05.18.02.1</t>
  </si>
  <si>
    <t>НЦ-132 черный, массовая доля нелетучих веществ, %, не менее 22-28, ГОСТ 6631-74</t>
  </si>
  <si>
    <t>20.30.21.00.21.05.18.28.1</t>
  </si>
  <si>
    <t>НЦ-132 голубого цвета</t>
  </si>
  <si>
    <t>20.30.21.00.21.05.18.14.1</t>
  </si>
  <si>
    <t>НЦ-132 серо-синий, массовая доля нелетучих веществ, %, не менее 32-40, ГОСТ 6631-74</t>
  </si>
  <si>
    <t>20.30.21.00.21.05.18.25.1</t>
  </si>
  <si>
    <t>НЦ-132 желтого цвета</t>
  </si>
  <si>
    <t>20.30.21.00.21.05.18.27.1</t>
  </si>
  <si>
    <t>НЦ-132 серого цвета</t>
  </si>
  <si>
    <t>20.30.21.00.21.05.18.01.1</t>
  </si>
  <si>
    <t>НЦ-132 красный, массовая доля нелетучих веществ, %, не менее 29-35, ГОСТ 6631-74</t>
  </si>
  <si>
    <t>20.30.21.00.21.05.18.09.1</t>
  </si>
  <si>
    <t>НЦ-132 бледно-зеленый, массовая доля нелетучих веществ, %, не менее 32-40, ГОСТ 6631-74</t>
  </si>
  <si>
    <t>20.30.21.00.21.05.18.26.1</t>
  </si>
  <si>
    <t>НЦ-132 цвета хаки</t>
  </si>
  <si>
    <t>20.59.59.00.17.10.10.11.2</t>
  </si>
  <si>
    <t>Диз.топливо, летнее ГОСТ 305-82</t>
  </si>
  <si>
    <t>Диз.топливо, зимнее ГОСТ 305-82</t>
  </si>
  <si>
    <t>Бензин Аи-80 ТУ-38.001165-2003</t>
  </si>
  <si>
    <t>Бензин Аи-92 ТУ-38.001165-2003</t>
  </si>
  <si>
    <t xml:space="preserve">Бензин Аи-95ТУ-38.001165-2003 </t>
  </si>
  <si>
    <t>25.73.20.00.00.10.11.25.1</t>
  </si>
  <si>
    <t>ГОСТ 980-80, тип 1 для продольной распиловки, диаметр 630 мм</t>
  </si>
  <si>
    <t>28.41.32.00.00.00.18.11.1</t>
  </si>
  <si>
    <t>пресс-ножницы</t>
  </si>
  <si>
    <t>ножницы комбинированные для резки листа, сортового и фасонного проката</t>
  </si>
  <si>
    <t>26.51.45.00.00.00.03.40.1</t>
  </si>
  <si>
    <t>Нагрузочная вилка</t>
  </si>
  <si>
    <t>для проверки исправности и степени заряда автомобильных аккумуляторных батарей</t>
  </si>
  <si>
    <t>26.51.51.16.15.11.11.11.1</t>
  </si>
  <si>
    <t>АЭ-1. Диапазон измерения плотности 1100-1300 кг/м.куб.</t>
  </si>
  <si>
    <t>29.32.30.00.15.00.33.16.1</t>
  </si>
  <si>
    <t>28.11.42.00.00.00.10.17.1</t>
  </si>
  <si>
    <t>топливный трубопровод</t>
  </si>
  <si>
    <t>29.32.30.00.15.00.51.03.1</t>
  </si>
  <si>
    <t>29.10.19.00.00.30.13.36.1</t>
  </si>
  <si>
    <t>28.30.93.00.00.00.11.11.1</t>
  </si>
  <si>
    <t>28.30.93.00.00.00.10.21.1</t>
  </si>
  <si>
    <t>28.30.93.00.00.00.17.10.1</t>
  </si>
  <si>
    <t>29.31.22.00.00.00.37.16.1</t>
  </si>
  <si>
    <t>29.10.19.00.00.30.28.11.1</t>
  </si>
  <si>
    <t>29.10.19.00.00.10.37.15.1</t>
  </si>
  <si>
    <t>клапанной крышки</t>
  </si>
  <si>
    <t>29.32.30.00.11.00.06.01.1</t>
  </si>
  <si>
    <t>28.11.42.00.00.00.10.30.1</t>
  </si>
  <si>
    <t>топливный клапан</t>
  </si>
  <si>
    <t>25.99.29.00.10.11.11.60.1</t>
  </si>
  <si>
    <t>22.11.14.00.00.00.40.15.1</t>
  </si>
  <si>
    <t>27.20.21.00.00.00.02.45.1</t>
  </si>
  <si>
    <t>29.32.30.00.15.00.53.10.1</t>
  </si>
  <si>
    <t>Шкив</t>
  </si>
  <si>
    <t>Шкив коленчатого вала для грузового автотранспорта</t>
  </si>
  <si>
    <t>30.92.40.00.00.00.20.10.1</t>
  </si>
  <si>
    <t>Корпусные детали</t>
  </si>
  <si>
    <t>для монтирования на шасси, включая съемные корпуса колясок, которые могут использоваться как люльки</t>
  </si>
  <si>
    <t>28.30.93.00.00.00.17.18.1</t>
  </si>
  <si>
    <t>трактора</t>
  </si>
  <si>
    <t>29.31.22.00.00.00.67.11.1</t>
  </si>
  <si>
    <t>Обмотка стартера</t>
  </si>
  <si>
    <t>Обмотка стартера автомобиля</t>
  </si>
  <si>
    <t>26.51.51.15.12.11.11.10.1</t>
  </si>
  <si>
    <t>26.51.51.12.11.11.13.10.1</t>
  </si>
  <si>
    <t>Датчик температуры</t>
  </si>
  <si>
    <t>воды</t>
  </si>
  <si>
    <t>27.30.32.00.00.01.05.90.1</t>
  </si>
  <si>
    <t>Замок зажигания</t>
  </si>
  <si>
    <t>для сварочного агрегата</t>
  </si>
  <si>
    <t>26.51.65.00.00.00.02.11.1</t>
  </si>
  <si>
    <t>Регулятор напряжения</t>
  </si>
  <si>
    <t>бесконтактный транзисторный</t>
  </si>
  <si>
    <t>28.11.42.00.00.00.10.40.1</t>
  </si>
  <si>
    <t>Насос-форсунка</t>
  </si>
  <si>
    <t>30.20.31.00.00.00.70.49.1</t>
  </si>
  <si>
    <t>28.13.32.00.00.00.99.45.1</t>
  </si>
  <si>
    <t>28.29.86.15.00.00.13.10.1</t>
  </si>
  <si>
    <t>Электроклапан</t>
  </si>
  <si>
    <t>для портальной машины плазменной резки</t>
  </si>
  <si>
    <t>27.11.61.00.00.00.12.11.1</t>
  </si>
  <si>
    <t>Панель управления</t>
  </si>
  <si>
    <t>автоматического управления</t>
  </si>
  <si>
    <t>28.29.13.00.00.00.12.03.1</t>
  </si>
  <si>
    <t>28.29.13.00.00.00.11.12.1</t>
  </si>
  <si>
    <t>28.30.93.00.00.00.10.36.1</t>
  </si>
  <si>
    <t>28.11.42.00.00.00.10.45.2</t>
  </si>
  <si>
    <t>25.73.20.00.00.11.16.10.1</t>
  </si>
  <si>
    <t>Часть пилы</t>
  </si>
  <si>
    <t>22.19.41.00.00.10.20.07.2</t>
  </si>
  <si>
    <t>28.13.31.00.00.00.14.11.1</t>
  </si>
  <si>
    <t>25.93.13.00.00.10.12.10.2</t>
  </si>
  <si>
    <t>28.11.42.00.00.00.14.10.1</t>
  </si>
  <si>
    <t>28.92.62.00.00.00.01.01.1</t>
  </si>
  <si>
    <t>Части машин для сортировки, дробления или прочи способов обработки грунта, камня и аналогичных материалов</t>
  </si>
  <si>
    <t>Части машин для сортировки, дробления, смешивания и аналогичной обработки грунта, камня, руды и прочих минеральных веществ: чугунные литые или стальные литые</t>
  </si>
  <si>
    <t>22.19.35.00.35.20.50.10.1</t>
  </si>
  <si>
    <t>Рукав резиновый напорно-всасывающий с текстильным каркасом неармированный</t>
  </si>
  <si>
    <t>Рукав напорно-всасывающий П-2-100 ГОСТ 5398-76.  Внутренний диаметр рукова 100(предельное отклонение ±1,5).</t>
  </si>
  <si>
    <t>тонкой очистки для дизельных двигателей прочих автомобилей</t>
  </si>
  <si>
    <t>27.90.32.00.00.01.06.41.1</t>
  </si>
  <si>
    <t>топливный, для сварочного оборудования</t>
  </si>
  <si>
    <t>26.51.66.19.10.10.10.10.1</t>
  </si>
  <si>
    <t>Счетчик моточасов</t>
  </si>
  <si>
    <t>для учета суммарной наработки оборудования и числа его включений в процессе эксплуатации на номинальное напряжение 24 вольт</t>
  </si>
  <si>
    <t>29.32.30.00.01.01.01.13.1</t>
  </si>
  <si>
    <t>малый, для прочих автомобилей</t>
  </si>
  <si>
    <t>29.32.30.00.01.01.01.32.1</t>
  </si>
  <si>
    <t>Патрубок системы охлаждения</t>
  </si>
  <si>
    <t>для прочих  автомобилей</t>
  </si>
  <si>
    <t>26.51.66.01.00.00.01.47.1</t>
  </si>
  <si>
    <t>Прибор измерительный</t>
  </si>
  <si>
    <t>Прибор измерительный Р483</t>
  </si>
  <si>
    <t>28.13.11.00.00.10.62.00.1</t>
  </si>
  <si>
    <t>на топливораздаточную колонку</t>
  </si>
  <si>
    <t>28.13.11.20.10.20.10.10.1</t>
  </si>
  <si>
    <t>Пистолет заправочный</t>
  </si>
  <si>
    <t>для автомобильной газонаполнительной компрессорной станции</t>
  </si>
  <si>
    <t>заправочный</t>
  </si>
  <si>
    <t>28.13.31.00.00.00.85.10.1</t>
  </si>
  <si>
    <t>Пульт дистанционного управления</t>
  </si>
  <si>
    <t>для управления насосом</t>
  </si>
  <si>
    <t>28.13.11.00.00.00.10.10.1</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</si>
  <si>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</si>
  <si>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28.15.10.00.00.00.14.45.1</t>
  </si>
  <si>
    <t>подшипник роликовый радиальный сферический двухрядный</t>
  </si>
  <si>
    <t>подшипник роликовый радиальный сферический двухрядный, наружным диаметром 420 мм</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</si>
  <si>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</si>
  <si>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</si>
  <si>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</si>
  <si>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</si>
  <si>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</si>
  <si>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19.20.21.00.00.00.11.60.1</t>
  </si>
  <si>
    <t>неэтилированный и этилированный, произведенный для двигателей с искровым зажиганием: АИ-95</t>
  </si>
  <si>
    <t>19.20.26.00.00.00.00.10.1</t>
  </si>
  <si>
    <t>Топливо дизельное</t>
  </si>
  <si>
    <t>летнее, плотность при 20 °С не более 860 кг/м3, температура застывания не выше -10°С</t>
  </si>
  <si>
    <t>19.20.26.00.00.00.00.20.1</t>
  </si>
  <si>
    <t>зимнее, плотность при 20 °С не более 840 кг/м3, температура застывания не выше -35°С - - 45°С</t>
  </si>
  <si>
    <t>26.30.40.00.00.00.05.20.1</t>
  </si>
  <si>
    <t>Приемопередатчик</t>
  </si>
  <si>
    <t>Сетевой трансивер</t>
  </si>
  <si>
    <t>28.21.12.00.00.00.26.11.1</t>
  </si>
  <si>
    <t>печь электрическая</t>
  </si>
  <si>
    <t>диэлектрическое нагревательное оборудование</t>
  </si>
  <si>
    <t>24.42.25.00.00.10.14.11.1</t>
  </si>
  <si>
    <t>Алюминиевая</t>
  </si>
  <si>
    <t>Труба стальная электросварная прямошовная Ø530х8мм б/у ГОСТ 10704-91</t>
  </si>
  <si>
    <t>Труба стальная электросварная прямошовная Ø426х8мм б/у ГОСТ 10704-91</t>
  </si>
  <si>
    <t>Труба стальная электросварная прямошовная Ø325х8мм б/у ГОСТ 10704-91</t>
  </si>
  <si>
    <t>24.20.21.01.11.10.11.17.1</t>
  </si>
  <si>
    <t>Стальная электросварная прямошовная, наружный диаметр - 426 мм, толщина стенки - 8,0 мм, ГОСТ 10704-91 (взамен ГОСТ 10704-76)</t>
  </si>
  <si>
    <t>Ежемесячно, по заявке заказчика</t>
  </si>
  <si>
    <t>27.12.31.11.11.11.11.10.1</t>
  </si>
  <si>
    <t>Щит учетно-распределительный</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</si>
  <si>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</si>
  <si>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</si>
  <si>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Щит ЩРУН в комплекте с 3-х фазным эл.счетчиком СА4У для включения через тр-ры тока 160/5 напряжением 3х220/380 в ток 5А</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</si>
  <si>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</si>
  <si>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</si>
  <si>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</si>
  <si>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</si>
  <si>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</si>
  <si>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25.99.29.00.10.11.27.00.1</t>
  </si>
  <si>
    <t>Заземлитель</t>
  </si>
  <si>
    <t>анодный</t>
  </si>
  <si>
    <t>26.51.66.01.00.00.01.17.1</t>
  </si>
  <si>
    <t>Комплект контрольно-проверочной аппаратуры</t>
  </si>
  <si>
    <t>для проверки параметров системы директорного управления</t>
  </si>
  <si>
    <t>поставка  ежемесячно по заявке заказчика</t>
  </si>
  <si>
    <t>поставка  по заявке заказчика</t>
  </si>
  <si>
    <t>22.21.29.00.00.23.22.19.1</t>
  </si>
  <si>
    <t>Отвод из поливинилхлорида с углом поворота 45 градусов диаметр 110 мм</t>
  </si>
  <si>
    <t>22.21.29.00.00.23.23.19.1</t>
  </si>
  <si>
    <t>Отвод из поливинилхлорида с углом поворота 90 градусов диаметр 110 мм</t>
  </si>
  <si>
    <t>22.21.29.00.00.23.23.22.1</t>
  </si>
  <si>
    <t>Отвод из поливинилхлорида с углом поворота 90 градусов диаметр 160 мм</t>
  </si>
  <si>
    <t>22.21.29.00.00.23.22.22.1</t>
  </si>
  <si>
    <t>Отвод из поливинилхлорида с углом поворота 45 градусов диаметр 160 мм</t>
  </si>
  <si>
    <t>22.21.29.00.00.23.23.25.1</t>
  </si>
  <si>
    <t>Отвод из поливинилхлорида с углом поворота 90 градусов диаметр 225 мм</t>
  </si>
  <si>
    <t>22.21.29.00.00.23.23.28.1</t>
  </si>
  <si>
    <t>Отвод из поливинилхлорида с углом поворота 90 градусов диаметр 315 мм</t>
  </si>
  <si>
    <t>22.21.29.00.00.23.22.25.1</t>
  </si>
  <si>
    <t>Отвод из поливинилхлорида с углом поворота 45 градусов диаметр 225 мм</t>
  </si>
  <si>
    <t>поставка по заявке заказчика  с даты вступления в силу договора до 31.12.14г.</t>
  </si>
  <si>
    <t>25.73.30.00.00.30.11.02.1</t>
  </si>
  <si>
    <t>металлический, для заделки внутренних углов</t>
  </si>
  <si>
    <t>22.21.29.00.00.24.50.10.1</t>
  </si>
  <si>
    <t>Раструб</t>
  </si>
  <si>
    <t>из поливинилхлорида</t>
  </si>
  <si>
    <t>22.11.13.00.00.11.30.10.2</t>
  </si>
  <si>
    <t>Шина для автомобилей специальных, новая, радиальная</t>
  </si>
  <si>
    <t>в течение 60 календарных дней с даты подписания договора</t>
  </si>
  <si>
    <t>в течение 30 календарных дней с даты подписания договора</t>
  </si>
  <si>
    <t>28.15.24.00.00.02.10.10.1</t>
  </si>
  <si>
    <t>редуктор зубчатый общего назначения: цилиндрический</t>
  </si>
  <si>
    <t>редуктор зубчатый общего назначения: цилиндрический одноступенчатые горизонтальные</t>
  </si>
  <si>
    <t xml:space="preserve">май, июнь </t>
  </si>
  <si>
    <t>июнь, июль</t>
  </si>
  <si>
    <t>24.33.11.00.10.11.10.28.1</t>
  </si>
  <si>
    <t>Неравнополочный, номер уголка11/07,с полками 110х70, ГОСТ 8510-86</t>
  </si>
  <si>
    <t>24.10.71.00.00.10.10.13.1</t>
  </si>
  <si>
    <t>двутавровые,  номер профиля 20Са,  ГОСТ 19425-74, горячекатаные</t>
  </si>
  <si>
    <t>Двутавр №20Б1, стальные горячекатаные, ГОСТ 8239-89</t>
  </si>
  <si>
    <t>Профили стальные, гнутые 160х80х5</t>
  </si>
  <si>
    <t>пиломатериалы хвойных пород, размер 6000х150х40мм, ГОСТ 24454-80*</t>
  </si>
  <si>
    <t xml:space="preserve">май-июнь </t>
  </si>
  <si>
    <t>комплет</t>
  </si>
  <si>
    <t>25.12.10.00.00.10.05.10.1</t>
  </si>
  <si>
    <t>Дверь</t>
  </si>
  <si>
    <t>Металлическая</t>
  </si>
  <si>
    <t>Фундаментная плита № 43 150х201х20см</t>
  </si>
  <si>
    <t>Фундаментная плита № 44 125х201х20см</t>
  </si>
  <si>
    <t>Звено оголовка ЗКП13.170 210х239х170см</t>
  </si>
  <si>
    <t>Редуктор для битумного насоса 1ЦУ-160 (зап.части к АБЗ ДС-117)</t>
  </si>
  <si>
    <t>Мотор- барабан МБ-3-600-4,0-1,6 (зап.части к АБЗ ДС-117)</t>
  </si>
  <si>
    <t>Ремень С (В)-5000 ГОСТ 1284.1-89 (ПДСУ-200)</t>
  </si>
  <si>
    <t>Ремен, В (Б)-2000 (ПДСУ-200)</t>
  </si>
  <si>
    <t>Ремень В(Б) 3150 (ПДСУ-200)</t>
  </si>
  <si>
    <t>Прокладка топливопровода (медные шайбы) Д30-1104352 (к сварочному агрегату)</t>
  </si>
  <si>
    <t>Сальник 85х110 ДВС 144 (к сварочному агрегату)</t>
  </si>
  <si>
    <t>Сальник 50х70 ДВС 144 (к сварочному агрегату)</t>
  </si>
  <si>
    <t>Прокладка выхлопного коллектора  Д-37-100300853Б (к сварочному агрегату)</t>
  </si>
  <si>
    <t>Прокладка всасывающего коллектора  Д-37-1008070Б (к сварочному агрегату)</t>
  </si>
  <si>
    <t>Поршневая группа  в компекте Г/П+К/П+К/У+П/П  Д144-1004021-А1 (к сварочному агрегату)</t>
  </si>
  <si>
    <t>Головка цилиндра с пружиной Д37М-1003008Б5 (к сварочному агрегату)</t>
  </si>
  <si>
    <t>Вал коленчатый Д-37-1005007 Б3 (к сварочному агрегату)</t>
  </si>
  <si>
    <t>Насос масляный в сбореД-37М-1403010-В1 (к сварочному агрегату)</t>
  </si>
  <si>
    <t>Топливный насос  4УТНМ - 1111005 (к сварочному агрегату)</t>
  </si>
  <si>
    <t>Стартер  2417.3708000 (к сварочному агрегату)</t>
  </si>
  <si>
    <t>Генератор  Г-306 462.3701(к сварочному агрегату)</t>
  </si>
  <si>
    <t xml:space="preserve">Реле втягивающее стартераСТ212-3708800-01 (к сварочному агрегату) </t>
  </si>
  <si>
    <t>Щетка  ИЛЕА68234.002 (к сварочному агрегату)</t>
  </si>
  <si>
    <t>Топливопроводы в комплекте 4 трубки (Д37М-1104200-22, 23, 24, 25) (к сварочному агрегату)</t>
  </si>
  <si>
    <t>Втулка шатунная Д37М-1004115 (к сварочному агрегату)</t>
  </si>
  <si>
    <t>Якорь 2407.3708200 (к сварочному агрегату)</t>
  </si>
  <si>
    <t>Обмотка стартера СТ 2417.3708 2417.3708100 (к сварочному агрегату)</t>
  </si>
  <si>
    <t>Штуцера из-под трубопроводов высокого давления  21.1111256-10 (к сварочному агрегату)</t>
  </si>
  <si>
    <t>Прокладка штуцеров трубопроводов 21.1111.249-01 (к сварочному агрегату)</t>
  </si>
  <si>
    <t>Прокладки  из-под клапанной крышки Д37М-1007419А2 (к сварочному агрегату)</t>
  </si>
  <si>
    <t>Насос ручной подкачки ТНВД 21.1106010-01(к сварочному агрегату)</t>
  </si>
  <si>
    <t>Обратный клапан ТНВД (к сварочному агрегату)</t>
  </si>
  <si>
    <t>Коромысло в сборе. со стойкой Д-37в комплекте (Д37М-1007210А2, Д37М-10007220А2, А46.16.000, Д37М-1007151) (к сварочному агрегату)</t>
  </si>
  <si>
    <t>Привод стартета (бендикс) 2407.3708600 (к сварочному агрегату)</t>
  </si>
  <si>
    <t>Щеткадержатель 2407.3708300А в комплекте с щеткой (к сварочному агрегату)</t>
  </si>
  <si>
    <t>Крышка клапанная Д37М-1007400Б (к сварочному агрегату)</t>
  </si>
  <si>
    <t>Вентилятор Д37Е-1308010А2-02 (к сварочному агрегату)</t>
  </si>
  <si>
    <t>Автошина для САГ 8.25R20 (240х508R)   (к сварочному агрегату)</t>
  </si>
  <si>
    <t>Шкив коленвала Д37Е-1308167А2 (к сварочному агрегату)</t>
  </si>
  <si>
    <t>Корпус Д37М-1401271В2 (к сварочному агрегату)</t>
  </si>
  <si>
    <t>Стартер Д-240 20.3708000 (к сварочному агрегату)</t>
  </si>
  <si>
    <t>Датчик  давления масла ДД-6М, 12в (к сварочному агрегату)</t>
  </si>
  <si>
    <t>Датчик  температуры воды ТМ-100В,12в (к сварочному агрегату)</t>
  </si>
  <si>
    <t>Генератор в сборе Г-964.3701-1 (к сварочному агрегату)</t>
  </si>
  <si>
    <t>Прокладка Д30-1002226-03 (к сварочному агрегату)</t>
  </si>
  <si>
    <t>Патрубок Д-37Е-1109534Ж2 воздушного фильтра ДВС Д-144 (к сварочному агрегату)</t>
  </si>
  <si>
    <t>Патрубок 50-1307044Б радиатора ДВС МТЗ-82 (к сварочному агрегату)</t>
  </si>
  <si>
    <t>Стартер  арт.0160374 (к сварочному агрегату)</t>
  </si>
  <si>
    <t>Водяной насос арт 155719 (к сварочному агрегату)</t>
  </si>
  <si>
    <t>Топливный насос  арт 0155706 (к сварочному агрегату)</t>
  </si>
  <si>
    <t>Блок замок зажигание LDW1003 (к сварочному агрегату)</t>
  </si>
  <si>
    <t>Регулятор напряжения 12Варт. 2837362228 (к сварочному агрегату)</t>
  </si>
  <si>
    <t>Насос форсунка в сборе арт. 0160379 (к сварочному агрегату)</t>
  </si>
  <si>
    <t>Ремень ГРМ z=113 арт. 0155697(к сварочному агрегату)</t>
  </si>
  <si>
    <t>Ремень генератора 835мм арт. 0160196 (к сварочному агрегату)</t>
  </si>
  <si>
    <t>Электроклапан 12V арт. 1073587119 (к сварочному агрегату)</t>
  </si>
  <si>
    <t>Панель управления двигателем арт. 0155754 (к сварочному агрегату)</t>
  </si>
  <si>
    <t>Генератор арт. 0155749 (к сварочному агрегату)</t>
  </si>
  <si>
    <t>Домкрат гидравлический ДГ, г/п 3-5тн.,  ГОСТ 15150 (гаражное оборудование)</t>
  </si>
  <si>
    <t>Домкрат идравлический ДГ, г/п 15 -20тн.,   ГОСТ 15150г (гаражное оборудование)</t>
  </si>
  <si>
    <t>Съемник подшипников с обратным молотком и тремя сменными насадками TRK201B (гаражное оборудование)</t>
  </si>
  <si>
    <t>Ремень крепления грузов 50мм 12м,10тн (гаражное оборудование)</t>
  </si>
  <si>
    <t>Поршень цилиндра низкого давления в сборе с шатуном С415М (компр.ПКСД-3,5)</t>
  </si>
  <si>
    <t>Поршень цилиндра высокого давления в сборе с шатуном С415М  (компр.ПКСД-3,5)</t>
  </si>
  <si>
    <t>Фильтр тонкой очистки L=200, Ø95 20 мкм, сквозной (ТРК Нара)</t>
  </si>
  <si>
    <t>Фильтр грубой очистки наборный 60мкр  (ТРК Нара)</t>
  </si>
  <si>
    <t>С116-400 Суммарный счетчик в сборе АЗТ5.105.252.00  (ТРК Нара)</t>
  </si>
  <si>
    <t>Датчик расхода топлива АЗТ5.105.252.00  (ТРК Нара)</t>
  </si>
  <si>
    <t>Автоматические заправочные пистолеты c пропускной способностью до 55 – 70 л/мин.  для бензина (в том числе с примесью этанола), дизтоплива и биодизтоплива. Рабочее давление 0,5  (ТРК Нара)</t>
  </si>
  <si>
    <t>Шланги для топливораздаточных колонок Цвет чёрный, диаметр 25 мм (внутр.), 37 мм (внеш.), рабочее давление до 16 бар., радиус изгиба 150 мм, длина в бухте max 80 м  (ТРК Нара)</t>
  </si>
  <si>
    <t>Пульт дистанционного управления Сапсан-2,1  (ТРК Нара)</t>
  </si>
  <si>
    <t>Насос приводной 50л АЗТ 5.883.430.00  (ТРК Нара)</t>
  </si>
  <si>
    <t>Рем. комплект для насоса (ротор, 8 лопаток) АЗТ 4.940.100.03  (ТРК Нара)</t>
  </si>
  <si>
    <t>Транспортерная лента  толщ.-12-14мм,ширина-650мм, ГОСТ 20-85 (ПДСУ-200)</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</si>
  <si>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</si>
  <si>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</si>
  <si>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</si>
  <si>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 xml:space="preserve">Сетки рифленые,  для грохота по ГОСТ 3306-88 из углеродистой проволоки (ТУ 14-4-1566-89) марок стали 50, 55. размером карты 1500мм.х 3700мм.=5,55 м2,размер ячейки 40х40, D проволки - 6,0 мм,                     ГОСТ 9389-78 (ПДСУ-200)
</t>
  </si>
  <si>
    <t>Подшипник № 13636АМН в комплекте со втулкой и гайкой, ГОСТ 8545-75  (Основные размеры 180х420х138мм) (ПДСУ-200)</t>
  </si>
  <si>
    <t>Подшипник № 3002244КМ   ГОСТ 520-2002 (Основные размеры 220х400х144мм) (ПДСУ-200)</t>
  </si>
  <si>
    <t>Подшипник 22340 АСМВW33 (международые обозначение) Основные размеры 200х420х138мм (3640АМНК обозначение РФ) (ПДСУ-200)</t>
  </si>
  <si>
    <t>Подшипник 22256 MBW33 (международые обозначение) Основные размеры 280х500х130 мм (3556АН обозначение РФ)  (ПДСУ-200)</t>
  </si>
  <si>
    <t>Сальник раз. 270 х 320 ГОСТ 8752-79. (ПДСУ-200)</t>
  </si>
  <si>
    <t>Сальник раз. 340 х 380 ГОСТ 8752-79. (ПДСУ-200)</t>
  </si>
  <si>
    <t>Сальник 1.2-220х260-2 , ГОСТ 8752-79 (ПДСУ-200)</t>
  </si>
  <si>
    <t>Противопыльный воротник на конусную дробилку КСД-600 модель ДРО-592 (ПДСУ-200)</t>
  </si>
  <si>
    <t>Зубья к пилам ф 680 мм.с напайками (КРМ СМ 89)</t>
  </si>
  <si>
    <t>Пила для камнерезных машин СМ 89,  ф 680 мм.  (КРМ СМ 89)</t>
  </si>
  <si>
    <t>Пневмораспределитель  В 64-33А03УХЛ 4  (КРМ СМ 89)</t>
  </si>
  <si>
    <t xml:space="preserve">Смазка ТF-15  для труб СПТ  </t>
  </si>
  <si>
    <t>Блок цилиндров 740.21-1002012 (Евро-1) (Камаз)</t>
  </si>
  <si>
    <t>Вал коленчатый 740.13-1000508-60 (Евро-1)   (Камаз)</t>
  </si>
  <si>
    <t xml:space="preserve">Комплект коренных вкладышей 7405.1000102-ST  (Камаз)  </t>
  </si>
  <si>
    <t>Комплект коренных вкладышей 7405.1000102-Р1  (Камаз)</t>
  </si>
  <si>
    <t>Комплект шатунных вкладышей 7405.1000104-SР  (Камаз)</t>
  </si>
  <si>
    <t>Комплект шатунных вкладышей 7405-1000104-Р1 (Камаз)</t>
  </si>
  <si>
    <t>Шатун в сборе 740-1004045  (Камаз)</t>
  </si>
  <si>
    <t>Головка цилиндров двигателя 740.30-1003010 в сборе    (Камаз)</t>
  </si>
  <si>
    <t>Прокладка 740.1003270-10 клапанной крышки   (Камаз)</t>
  </si>
  <si>
    <t>Прокладка  коллектора 7403.1008050 (металлоасбест)  (Камаз)</t>
  </si>
  <si>
    <t>Манжета маховика 25*42*10 в сборе 14.1701340  (Камаз)</t>
  </si>
  <si>
    <t>Ремкомплект на двигатель 740.11 (5 наим.)  РТИ1000400-740.11   (Камаз)</t>
  </si>
  <si>
    <t>Насос масляный 740.1011010-02  (Камаз)</t>
  </si>
  <si>
    <t>Насос масляный 740.11-1011010 (Евро-1)  (Камаз)</t>
  </si>
  <si>
    <t>Элемент фильтрующий  7405-1012040 (Евро-1) грубой очистки масла  (Камаз)</t>
  </si>
  <si>
    <t>Элемент фильтрующий 7405-1017040-02 (Евро-1, нитка) тонкой очистки масла   (Камаз)</t>
  </si>
  <si>
    <t>Элемент фильтрующий 740-1117040-01тонкой очистки топлива  (Камаз)</t>
  </si>
  <si>
    <t xml:space="preserve">Элемент фильтрующий  7405.1109560 (Евро-1) воздушный  (Камаз)  </t>
  </si>
  <si>
    <t>Насос ТНВД  33.1111007-10  (Камаз)</t>
  </si>
  <si>
    <t>Насос ТНВД  337.1111005-42 (Евро-1)  (Камаз)</t>
  </si>
  <si>
    <t>Ремкомплект ТНВД /Евро/  РТИ1111007-337 (13 поз.)  (Камаз)</t>
  </si>
  <si>
    <t>Плунжерная пара 33.1111074-01  (Камаз)</t>
  </si>
  <si>
    <t>Плунжерная пара 337.1111150-10 (Евро-1)  (Камаз)</t>
  </si>
  <si>
    <t>Форсунка  33.1112010 в сборе  (Камаз)</t>
  </si>
  <si>
    <t>Форсунка  273-1112010-31 (Евро-1) в сборе  (Камаз)</t>
  </si>
  <si>
    <t>Распылитель 33.1112110-12  (Камаз)</t>
  </si>
  <si>
    <t>Распылитель 273.1112110-30  (Евро-1)  (Камаз)</t>
  </si>
  <si>
    <t>Металлорукав  (турбосетка) 54115-1203012-01  (Камаз)</t>
  </si>
  <si>
    <t>Радиатор основной (медный, 4-х рядный)  54115-1301010-10  (Камаз)</t>
  </si>
  <si>
    <t>Патрубок радиатора верхний /кривой/  5320-1303010  (Камаз)</t>
  </si>
  <si>
    <t>Патрубок радиатора  5320-1303026 нижний, длинный /прямой/  (Камаз)</t>
  </si>
  <si>
    <t>Насос водяной 740.1307010-02 в сборе  (Камаз)</t>
  </si>
  <si>
    <t>Насос водяной  7406.1307010-01 /740.50-1307010/  (Евро-2, шкиф ручейковый) в сборе  (Камаз)</t>
  </si>
  <si>
    <t>Ремкомплект водяного насоса /18 наим./ (РТИ+подшипник+валик) , полный  740.1307010-02  (Камаз)</t>
  </si>
  <si>
    <t>Бачок расширительный системы охлаждения  5320-1311010-СБ в сборе  (Камаз)</t>
  </si>
  <si>
    <t>Включатель гидромуфты привода вентилятора  740.1318210-01 в сборе  (Камаз)</t>
  </si>
  <si>
    <t>Турбокомпрессор S2B/7624TAE/1,00D9 (45104-1118004-91) , левый  (Камаз)</t>
  </si>
  <si>
    <t>Диск сцепления 142.1601130-01   ведомый в сборе  (Камаз)</t>
  </si>
  <si>
    <t>Диск сцепления   14.1601094-10 ведущий средний  (Камаз)</t>
  </si>
  <si>
    <t xml:space="preserve">Диск сцепления 142.1601090 нажимной с кожухом в сборе  (Камаз) </t>
  </si>
  <si>
    <t>Муфта выключения сцепления 14.1601180  в сборе  (подшипник выжимной в сборе)  (Камаз)</t>
  </si>
  <si>
    <t>Цилиндр главный  управления сцеплением 5320-1602510-10 в сборе   (Камаз)</t>
  </si>
  <si>
    <t>Усилитель пневмогидравлический  5320-1609510  (ПГУ)  (Камаз)</t>
  </si>
  <si>
    <t>Ремкомплект ПГУ  РТИ1609510   (5320-1609000-05)  (Камаз)</t>
  </si>
  <si>
    <t>Вал первичный делителя передач  152.1770044  (Камаз)</t>
  </si>
  <si>
    <t>Синхронизатор 14.1701151  4 и 5 передачи   (Камаз)</t>
  </si>
  <si>
    <t>Синхронизатор делителя передач  в сборе 152.1770160  (Камаз)</t>
  </si>
  <si>
    <t>Шестерня 14.1701140  заднего хода КПП   (Камаз)</t>
  </si>
  <si>
    <t xml:space="preserve">Манжета КПП  с пружиной 45*64*8   14.1701230-01 в сборе  (Камаз) </t>
  </si>
  <si>
    <t>Манжета КПП с пружиной  45*60*7  14.1701238-01  в сборе  (Камаз)</t>
  </si>
  <si>
    <t>Манжета хвостовика  176 (70х92х12) левого вращения  864176  (Камаз)</t>
  </si>
  <si>
    <t>Манжета хвостовика  180 (70х92х16) правого вращения  864180  (Камаз)</t>
  </si>
  <si>
    <t>Вал карданный основной в сборе (4 отв., кв.фланец, L=409 мм)  4310-2202011-02  (Камаз)</t>
  </si>
  <si>
    <t xml:space="preserve">Крестовина карданного вала (малая)  53205-2201025-10  /Евро/  (Камаз)  </t>
  </si>
  <si>
    <t xml:space="preserve">Крестовина карданного вала   53205-2205025-10  /Евро/  (Камаз)   </t>
  </si>
  <si>
    <t>Главная передача среднего моста 5320-2502010-10   (ОИ= 6,53, 49/13)  (Камаз)</t>
  </si>
  <si>
    <t xml:space="preserve">Главная передача заднего моста 5320-2402010-10 (ОИ= 6,53, 49/13)  (Камаз)  </t>
  </si>
  <si>
    <t xml:space="preserve">Амортизатор передней подвески  53212-2905006-01  (Камаз)         </t>
  </si>
  <si>
    <t>Рессора (15 листов, L=1675 мм)  55111-2902012-01 передняя в сборе  (Камаз)</t>
  </si>
  <si>
    <t>Рессора (14 листов, L=1464 мм)  55111-2912012-03 задняя в сборе  (Камаз)</t>
  </si>
  <si>
    <t>Кулак поворотный 53205-3001009-02 /Евро/  правый в сборе  (Камаз)</t>
  </si>
  <si>
    <t xml:space="preserve">Кулак поворотный 53205-3001011-02 /Евро/ левый в сборе  (Камаз)  </t>
  </si>
  <si>
    <t>Манжета ступицы (130х162х16)  864149-30к  (Камаз)</t>
  </si>
  <si>
    <t>Манжета ступицы  (85х137х17) 53205-3104040-10 /Евро/заднего колеса   (Камаз)</t>
  </si>
  <si>
    <t>Механизм рулевого управления  4310-3400020 (ГУР) в сборе  (Камаз)</t>
  </si>
  <si>
    <t xml:space="preserve">Ремкомклект РТИ3400010 ГУР  (Камаз)  </t>
  </si>
  <si>
    <t>Насос гидроусилителя руля   4310-3407200-01в сборе  (Камаз)</t>
  </si>
  <si>
    <t>Статор-ротор 5320-3407244 (комплект) рулевого насоса   (Камаз)</t>
  </si>
  <si>
    <t>Шланг высокого давления  5320-3408020 насоса гидроусилителя руля в сборе  (Камаз)</t>
  </si>
  <si>
    <t>Ремкомплект насоса ГУР  /9 поз./ РТИ3407200 (5320-340000У)  (Камаз)</t>
  </si>
  <si>
    <t>Колодка тормоза 53212-3501090 с накладками в сборе  (Камаз)</t>
  </si>
  <si>
    <t>Пружина колодок стяжная  5320-3501035  (Камаз)</t>
  </si>
  <si>
    <t>Рычаг  регулировочный  53229-3502136 (трещотка), правый  (Камаз)</t>
  </si>
  <si>
    <t>Рычаг  регулировочный  53229-3502237 (трещотка), левый  (Камаз)</t>
  </si>
  <si>
    <t>Компрессор 5320-3509015 двухцилиндровый  (Камаз)</t>
  </si>
  <si>
    <t>Ремкомплект (4 поз.)  РТИ3509015-53205 (53205-3509100У)  1-но цилиндрового компрессора  (Камаз)</t>
  </si>
  <si>
    <t>Ремкомплект (5 поз.)  РТИ3509015-01    2-х цилиндрового компрессора  (Камаз)</t>
  </si>
  <si>
    <t>Влагоотделитель (Евро-1) 14.3512010-10  (Камаз)</t>
  </si>
  <si>
    <t>Ремкомплект регулятора давления воздуха (12 поз., РТИ+ пластмасса) РТИ3512010-10 /100-3512000-10У/  (Камаз)</t>
  </si>
  <si>
    <t>Ремкомплект крана тормозного двухсекционного РТИ3514008  (Камаз)</t>
  </si>
  <si>
    <t>Ремкомплект крана тормозного обратного действия  РТИ3562010  (Камаз)</t>
  </si>
  <si>
    <t>Регулятор давления 100.3512010 в сборе  (Камаз)</t>
  </si>
  <si>
    <t>Клапан ускорительный  100-3518010 (8001.3518010-10) в сборе  (Камаз)</t>
  </si>
  <si>
    <t>Клапан перепускной двухмагистральный 100-3562010  (Камаз)</t>
  </si>
  <si>
    <t>Ремкомплект клапана ускорительного РТИ3518210  (Камаз)</t>
  </si>
  <si>
    <t>Камера тормозная 100-3519100 (Энергоаккумулятор тип 20/20  960-3519100-01) с пружинным энергоаккумул.  в сборе  (Камаз)</t>
  </si>
  <si>
    <t xml:space="preserve">Шланг тормозной 5320-3506060-10  (Камаз) </t>
  </si>
  <si>
    <t>Шланг соединительный 5320-3506368  (Камаз)</t>
  </si>
  <si>
    <t>Ремкомплект тормозной камеры  РТИ3519100   (Камаз)</t>
  </si>
  <si>
    <t>Стартер  СТ142Б2-3708000  (2501.3708-11) /10зуб./  (Камаз)</t>
  </si>
  <si>
    <t>Привод стартера (бендикс) СТ142Б-3708600 (10 зуб.)  (Камаз)</t>
  </si>
  <si>
    <t>Щетка изолированная СТ142-3708060  (Камаз)</t>
  </si>
  <si>
    <t>Якорь стартера  СТ142-3708200   (СТ142Б2, СТ142, СТ142Т)  (Камаз)</t>
  </si>
  <si>
    <t>Реле стартера втягивающее СТ142 -3708800  (Камаз)</t>
  </si>
  <si>
    <t>Генератор переменного тока  в сборе Г273В1-У-ХЛ /1312.3771/  (28В, 45А)  (Камаз)</t>
  </si>
  <si>
    <t>Генератор переменного тока 6582.3701-03 (Евро-2, 28В, 80А)  в сборе  (Камаз)</t>
  </si>
  <si>
    <t>Щетка генератора Г266-3701020Б  (Камаз)</t>
  </si>
  <si>
    <t>Щеткодержатель   Г273-3701010   в сборе  (Камаз)</t>
  </si>
  <si>
    <t>Переключатель  комбинированный указателей поворота и света   5320-3709210 (П-145 старого образца)  (Камаз)</t>
  </si>
  <si>
    <t>Выключатель приборов и стартера (замок зажигания)  1902.3704 (Евро)  (Камаз)</t>
  </si>
  <si>
    <t>Интегральное реле Я-120М1 (регулятор напряжения, шоколадка)  Я120-3708360  (443.3702, 457-3710835)  (Камаз)</t>
  </si>
  <si>
    <t>Реле поворотов РС 951А-У-ХЛ  5320-3726410  (Камаз)</t>
  </si>
  <si>
    <t xml:space="preserve">Фара головного света  3416-3711010  /Евро/  (342.3711) (24В)  (Камаз) </t>
  </si>
  <si>
    <t>Фонарь  задний правый в сборе 35.3716 (354.3716)  ФП-132-АБ  /24В/  (Камаз)</t>
  </si>
  <si>
    <t>Фонарь задний левый в сборе   351.3716 (355.3716)  ФП-132-АБ  /24В/   (Камаз)</t>
  </si>
  <si>
    <t>Амортизатор 5320-5001076  заднего крепления кабины в сборе   (Камаз)</t>
  </si>
  <si>
    <t xml:space="preserve">Рессора 5320-5001080   заднего крепления кабины в сборе  (Камаз) </t>
  </si>
  <si>
    <t>Стекло  ветрового окна  5320-5206010  (Камаз)</t>
  </si>
  <si>
    <t>Радиатор отопителя  (медный, 4-х ряд.) в сборе 5320-8101060  (Камаз)</t>
  </si>
  <si>
    <t>Электродвигатель  отопителя  МЭ250-У-ХЛ (196.3730) /40ВТ/  (Камаз)</t>
  </si>
  <si>
    <t>Корпус масляного фильтра 74061012020  (Камаз)</t>
  </si>
  <si>
    <t>Крышка 740.1117027  в сборе (топливного фильтра)  (Камаз)</t>
  </si>
  <si>
    <t>Шестерня ведущая коническая  5320-2502017  (Камаз)</t>
  </si>
  <si>
    <t>Полуось 53229-2403069 левая  (Камаз)</t>
  </si>
  <si>
    <t>Полуось  53229-2403070 правая  (Камаз)</t>
  </si>
  <si>
    <t>Стремянка  передняя 5320-2902408  (Камаз)</t>
  </si>
  <si>
    <t>Указатель поворота передний  26.3726  (Камаз)</t>
  </si>
  <si>
    <t>Манжета  ступицы (142х168х16) заднего колеса   864129-02  (Камаз)</t>
  </si>
  <si>
    <t>Кран тормозной  100.3514010-01 двухсекционный в сборе  (Камаз)</t>
  </si>
  <si>
    <t>Главная передача 53229-2402011-20 заднего моста  (Камаз)</t>
  </si>
  <si>
    <t>Главная передача 53228-2502014-20  среднего моста  (Камаз)</t>
  </si>
  <si>
    <t>Главная передача  53228-2302010-20 переднего моста  (Камаз)</t>
  </si>
  <si>
    <t>Насос предпусковой прокачки топлива  37.1141010  (Камаз)</t>
  </si>
  <si>
    <t>Накладка фрикционная 53205-3501105-40  (Камаз)</t>
  </si>
  <si>
    <t>Накладка фрикционная колодки 53205-3501105-40  (Камаз)</t>
  </si>
  <si>
    <t>Выключатель массы 1402.3737  (Камаз)</t>
  </si>
  <si>
    <t>Кран  тормозной двухсекционный с педалью 5320-3514108  (Камаз)</t>
  </si>
  <si>
    <t>Ступица колеса  43114-310-3015-10    (Камаз)</t>
  </si>
  <si>
    <t>Барабан тормозной 4310-3501070  (Камаз)</t>
  </si>
  <si>
    <t>Кабина в сборе 53205-5000011 (без с/, обитая и окрашена с высокой крышей)  (Камаз)</t>
  </si>
  <si>
    <t>Коробка отбора мощности 5511-4202010-20  (Камаз)</t>
  </si>
  <si>
    <t>Прокладка поддона блока цилиндров 7401009040  (Камаз)</t>
  </si>
  <si>
    <t>Прокладка передней крышки 740 1002265-10  (Камаз)</t>
  </si>
  <si>
    <t>Манжета коленвала 105х130х12 задняя в сборе  740 1005160-01  (Камаз)</t>
  </si>
  <si>
    <t>датчик давления масла ММ370-УХЛ  (Камаз)</t>
  </si>
  <si>
    <t>Шланг смазывания муфты сцепления 5320-1601230  в сборе  (Камаз)</t>
  </si>
  <si>
    <t>Шестерня 14.1701130  3-й передачи КПП  (Камаз)</t>
  </si>
  <si>
    <t>Крышка подшипника 14.1701140  (Камаз)</t>
  </si>
  <si>
    <t>Фланец  142.1701240   (Камаз)</t>
  </si>
  <si>
    <t>Гайка  (027)  870511  круглая, первичного вала  (Камаз)</t>
  </si>
  <si>
    <t xml:space="preserve">Гайка (044)   870512  кольцевая, первичного вала  (Камаз)  </t>
  </si>
  <si>
    <t xml:space="preserve">Шайба упорная шестерни первой передачи   14.1701122  (Камаз)  </t>
  </si>
  <si>
    <t>Главная передача среднего моста  5320-2502010-30   (ОИ= 5,94, 48/14, с квадр.фланцем)  (Камаз)</t>
  </si>
  <si>
    <t>Главная передача заднего моста 5320-2402010-30 (ОИ= 5,94, 48/14, с квадр.фланцем)  (Камаз)</t>
  </si>
  <si>
    <t>Компрессор 53205-3509015 одноцилиндровый  (Камаз)</t>
  </si>
  <si>
    <t>труба 4326-1203014-10 левая  (Камаз)</t>
  </si>
  <si>
    <t>труба 4326-1203015-10 правая  (Камаз)</t>
  </si>
  <si>
    <t>тройник 55105-1201035-20  (Камаз)</t>
  </si>
  <si>
    <t>вал ведущий 4310-2502024  (Камаз)</t>
  </si>
  <si>
    <t>шестерня ведущая 4310-2502017  (Камаз)</t>
  </si>
  <si>
    <t>Стакан подшипников 5320-2402048  (Камаз)</t>
  </si>
  <si>
    <t>Фланец ведущего вала 4310-1802198  (Камаз)</t>
  </si>
  <si>
    <t>Шестерня ведомая коническая 53205-2402064-20  (Камаз)</t>
  </si>
  <si>
    <t>Коробка отбора мощности 4571714100 (20 зубьев)  (Камаз)</t>
  </si>
  <si>
    <t>втулка башмака 55111-2918074  (Камаз)</t>
  </si>
  <si>
    <t>механизм переключения делител МПДП-1771010  (Камаз)</t>
  </si>
  <si>
    <t>шатун компрессора 5320-3509180/1303509180  (Камаз)</t>
  </si>
  <si>
    <t>головка компрессора 5320-350903,9 2-х цил. В сборе  (Камаз)</t>
  </si>
  <si>
    <t>кран управления делителем с тросом в сборе 15.1772132  (Камаз)</t>
  </si>
  <si>
    <t>привод управления механизмом переключения передач 15.1703005-20  (Камаз)</t>
  </si>
  <si>
    <t>Колодка заднего тормоза 53212-350 1090-10  (Камаз)</t>
  </si>
  <si>
    <t>кольцо маслонагнетающее 15-1770092  (Камаз)</t>
  </si>
  <si>
    <t>кольцо маслонагнетающее 14-1701096  (Камаз)</t>
  </si>
  <si>
    <t>ступица с тормозным барабаном в сб. 4310-3103011-01  (Камаз)</t>
  </si>
  <si>
    <t xml:space="preserve">ступица с тормозным барабаном в сб. 65115-3103010 /65115-3103007/ (Евро, переднего колеса  (Камаз)  </t>
  </si>
  <si>
    <t>ступица с тормозным барабаном в сб. 65115-3104010/65115-3104007 Евро заднего колеса  (Камаз)</t>
  </si>
  <si>
    <t>хомут крепления фильтра 54112-1109433  (Камаз)</t>
  </si>
  <si>
    <t>муфта опережения впрыскивания топлива 333.1121010-10 (Евро-1)  (Камаз)</t>
  </si>
  <si>
    <t>Колесо дисковое 4310  (Камаз)</t>
  </si>
  <si>
    <t>Подшипник выжимной сцепления 14.1601180 (986714 КС17) (голый)  (Камаз)</t>
  </si>
  <si>
    <t>прокладка регулировочная КПП 14.1701035  (Камаз)</t>
  </si>
  <si>
    <t>прокладка регулировочная КПП 14.10701036  (Камаз)</t>
  </si>
  <si>
    <t>Комплект прокладок КПП РТИ1700025  (Камаз)</t>
  </si>
  <si>
    <t>манжета башмака балансира 115х145х15 864117  (Камаз)</t>
  </si>
  <si>
    <t>ступица с тормозным барабаном в сб. 5511-3104010-02/55113104007 заднего колеса  (Камаз)</t>
  </si>
  <si>
    <t>манжета ступицы 154х128х15 864135-02 переднего колеса  (Камаз)</t>
  </si>
  <si>
    <t>тяга рулевой трапеции в сборе 5320-3414049 (5297-3414049)  (поперечная)  (Камаз)</t>
  </si>
  <si>
    <t>головка компрессора 53205-3509039 1-но цилиндрового в сборе  (Камаз)</t>
  </si>
  <si>
    <t>кран пневматический 100.3537110 (8002.3537110-00) (аварийного растормаживания) в сборе  (Камаз)</t>
  </si>
  <si>
    <t>Ремкомплект крана аварийного растормаживания РТИ3537010  (ручного тормоза)   (Камаз)</t>
  </si>
  <si>
    <t>Клапан ограничения давления 100-3534010  в сборе  (Камаз)</t>
  </si>
  <si>
    <t>Стекло  форточки левое в сборе  5320-6103051-01  (Камаз)</t>
  </si>
  <si>
    <t>вал привода гидромуфты 740.1318082  (Камаз)</t>
  </si>
  <si>
    <t>клапан включения делителя в сборе 15.1772040  (Камаз)</t>
  </si>
  <si>
    <t>клапан редукционный в сборе 15.1772100  (Камаз)</t>
  </si>
  <si>
    <t>сигнал звуковой в сборе С306Д/С307Д-01-Т  (Камаз)</t>
  </si>
  <si>
    <t>Замок двери  5320-6105020/21-10  (Камаз)</t>
  </si>
  <si>
    <t>Прокладка  740.1318166-01  (Камаз)</t>
  </si>
  <si>
    <t>Суппорт заднего тормоза 43114-3501014  (Камаз)</t>
  </si>
  <si>
    <t>Рычаг  регулировочный  тормоза 5320-3501136  (Камаз)</t>
  </si>
  <si>
    <t>Вал карданный рулевого управления 4310-3422010  (Камаз)</t>
  </si>
  <si>
    <t>Вал коленчатый  238-1005009-Г2 ("КрАЗ)</t>
  </si>
  <si>
    <t>Комплект коренных вкладышей 238-1000102-Б2 ("КрАЗ)</t>
  </si>
  <si>
    <t>Комплект коренных вкладышей  238-1000102-Б2-Р1 ("КрАЗ)</t>
  </si>
  <si>
    <t>Комплект шатунных вкладышей 238-1000104-В2 ("КрАЗ)</t>
  </si>
  <si>
    <t>Комплект шатунных вкладышей  238-1000104-В2-Р1  ("КрАЗ)</t>
  </si>
  <si>
    <t>Головка блока цилиндров в сборе   238-1003013-Ж2  (нов. констр., короткий штуцер) ("КрАЗ)</t>
  </si>
  <si>
    <t>Прокладка головки блока 238-1003210-Б3("КрАЗ)</t>
  </si>
  <si>
    <t>Шатун в сборе 236-1004045-Б3 ("КрАЗ)</t>
  </si>
  <si>
    <t>Прокладка клапанной крышки 238-1003270 ("КрАЗ)</t>
  </si>
  <si>
    <t>Насос масляный в сборе  236-1011014-Г ("КрАЗ)</t>
  </si>
  <si>
    <t>Элемент фильтрующий масляного фильтра   840.1012040 ("КрАЗ)</t>
  </si>
  <si>
    <t>Пара плунжерная d=9 Н05-1111074 ("КрАЗ)</t>
  </si>
  <si>
    <t>Форсунка в сборе   26.1112010-04 (длинный штуцер) ("КрАЗ)</t>
  </si>
  <si>
    <t>Распылитель  26.1112110 (33-1112110-220) ("КрАЗ)</t>
  </si>
  <si>
    <t>Насос топливный  ручной подкачки (ТННД)  236-1106210-А2 ("КрАЗ)</t>
  </si>
  <si>
    <t>Элемент фильтрующий грубой очистки топлива  201-1105538 (пряжа) ("КрАЗ)</t>
  </si>
  <si>
    <t>Элемент фильтрующийтонкой очистки топлива 201-1117040 ("КрАЗ)</t>
  </si>
  <si>
    <t>Глушитель КрАЗ-65101  6444-1201010 ("КрАЗ)</t>
  </si>
  <si>
    <t>Патрубок радиатора  нижний  214Б-1303010 ("КрАЗ)</t>
  </si>
  <si>
    <t>Патрубок радиатора  верхний  6437-1303025 ("КрАЗ)</t>
  </si>
  <si>
    <t>Насос водяной в сборе  236-1307010-А3 ("КрАЗ)</t>
  </si>
  <si>
    <t>Насос водяной в сборе  7511.1307010 (ЯМЗ-238ДЕ2, Евро-2) ("КрАЗ)</t>
  </si>
  <si>
    <t>Ремкомплект водяного насоса, полный (РТИ+подшипник+валик) 236-1307002 ("КрАЗ)</t>
  </si>
  <si>
    <t>Привод вентилятора  3-х ручейный в сборе  236-1308011-Г2  ("КрАЗ)</t>
  </si>
  <si>
    <t>Диск сцепления  ведомый универсальный /передний, задний/ в сборе  238-1601130-Г2 ("КрАЗ)</t>
  </si>
  <si>
    <t>Диск сцепления  нажимной с кожухом /корзина/ 238-1601090-Г3 ("КрАЗ)</t>
  </si>
  <si>
    <t>Диск сцепления ведомый в сборе  182.1601130  (ЯМЗ-183, лепест. сцепл., КПП ЯМЗ-238ВМ7) ("КрАЗ)</t>
  </si>
  <si>
    <t>Диск сцепления  Нажимной с кожухом /корзина/ 183.1601090 (ЯМЗ-183, лепест. сцепл., КПП ЯМЗ-238ВМ7) ("КрАЗ)</t>
  </si>
  <si>
    <t>Муфта выключения сцепления в сборе  236-1601180-Б2 ("КрАЗ)</t>
  </si>
  <si>
    <t>Синхронизатор 2-3 передачи   236-1701150-Б2 ("КрАЗ)</t>
  </si>
  <si>
    <t>Синхронизатор 4-5 передачи   236-1701151-А ("КрАЗ)</t>
  </si>
  <si>
    <t>Шестерня 1 передачи и заднего хода вторичного вала  (50 зуб.)  236-1701112-Б  ("КрАЗ)</t>
  </si>
  <si>
    <t>Шестерня 3 передачи вторичного вала  (37 зуб.)  236-1701131  ("КрАЗ)</t>
  </si>
  <si>
    <t>Шестерня   5 передачи вторичного вала (23 зуб.)  236У-1701129 ("КрАЗ)</t>
  </si>
  <si>
    <t>Блок шестерен заднего хода (20 зуб.)  236-1701082-Б ("КрАЗ)</t>
  </si>
  <si>
    <t>Ось блока шестерён заднего хода  236-1701092 ("КрАЗ)</t>
  </si>
  <si>
    <t>Вилка переключения 2-ой и 3-ей передач  236-1702027 (КПП ЯМЗ-236, 238) ("КрАЗ)</t>
  </si>
  <si>
    <t>Вилка переключения  4-ой и 5-ой передач 236-1702033 (КПП ЯМЗ-236, 238) ("КрАЗ)</t>
  </si>
  <si>
    <t>Манжета крышки первичного вала  42х64х10, 236-1701230 ("КрАЗ)</t>
  </si>
  <si>
    <t>Манжета  вторичного вала  70х92х10, 210-1701210-А ("КрАЗ)</t>
  </si>
  <si>
    <t>Манжета КПП 75х100х10, 210-2402052 ("КрАЗ)</t>
  </si>
  <si>
    <t>Вал первичный в сборе  210-1802025 ("КрАЗ)</t>
  </si>
  <si>
    <t>Вал карданный от раздаточной коробки к промежуточной опоре (L=1699мм) 65101-2204010 ("КрАЗ)</t>
  </si>
  <si>
    <t>Вал карданный привода раздаточной коробки  (8 отв., L=555мм) 6510-2218010-02 ("КрАЗ)</t>
  </si>
  <si>
    <t>Крестовина карданного вала   255Б-2201030-03 ("КрАЗ)</t>
  </si>
  <si>
    <t>Амортизатор  /500/325/ 15.2905006-11 (А1-325/500.2905006-11) в сборе ("КрАЗ)</t>
  </si>
  <si>
    <t>Рессора передняя в сборе (14 листов, L=1510мм)  255Б-2902012-22 ("КрАЗ)</t>
  </si>
  <si>
    <t>Насос масляный рулевого усилителя в сборе  6505-3407190-В /256Б-3407199-01/  ("КрАЗ)</t>
  </si>
  <si>
    <t>Втулка шкворня средняя  (бронза, Н=60)   500А-3001016-04 ("КрАЗ)</t>
  </si>
  <si>
    <t>Втулка шкворня нижняя  (бронза, Н=70) 500А-3001017-04 ("КрАЗ)</t>
  </si>
  <si>
    <t>Рычаг  тормоза регулировочный, передний 500-3501136-05 ("КрАЗ)</t>
  </si>
  <si>
    <t>Рычаг  тормоза регулировочный, задний 256Б-3501136-03 ("КрАЗ)</t>
  </si>
  <si>
    <t>Ремкомплект регулятора давления,  РТИ3512010-10 полный ("КрАЗ)</t>
  </si>
  <si>
    <t>Кран тормозной  100-3514008 2-х секционный в сборе  ("КрАЗ)</t>
  </si>
  <si>
    <t>Камера тормозная передняя  тип 24х24  100-3519210 ("КрАЗ)</t>
  </si>
  <si>
    <t>Камера тормозная задняя  тип  24х24  100-3519200 ("КрАЗ)</t>
  </si>
  <si>
    <t>Генератор переменного тока  Г288Е  (28В, 47А)  /ЯМЗ-236М2, 238М2/ ("КрАЗ)</t>
  </si>
  <si>
    <t>Реле-регулятор напряжения  2712.3702000 (24В) ("КрАЗ)</t>
  </si>
  <si>
    <t>Стартер  2501.3708-40 (24В, 8,2 кВт, модуль 4,25 укороч. 11 зуб.) ("КрАЗ)</t>
  </si>
  <si>
    <t>Привод стартера в сборе  2502.3708600 (11 зуб., ЯМЗ-25.3708-01) ("КрАЗ)</t>
  </si>
  <si>
    <t>Реле  втягивающее  25.3708800-01 (ЯМЗ-25.3708-01) ("КрАЗ)</t>
  </si>
  <si>
    <t>Реле указателей поворота РС951А-3726010-У-ХЛ ("КрАЗ)</t>
  </si>
  <si>
    <t>Выключатель массы ВК318Б-3704000-У-ХЛ ("КрАЗ)</t>
  </si>
  <si>
    <t>Фара ФГ122-ВВ1 (24В) в сборе ("КрАЗ)</t>
  </si>
  <si>
    <t>Манжета 236-1005160-А3 ("КрАЗ)</t>
  </si>
  <si>
    <t>Манжета впускного клапана 236-1007262 ("КрАЗ)</t>
  </si>
  <si>
    <t>Прокладка  поддона  238-1009040-А ("КрАЗ)</t>
  </si>
  <si>
    <t>Пластина ТНВД 236-102 9274 ("КрАЗ)</t>
  </si>
  <si>
    <t>Трубка топливная  насоса высокого давления 236-1104308-62 ("КрАЗ)</t>
  </si>
  <si>
    <t>Клапан перепускной в сборе 33.111282 ("КрАЗ)</t>
  </si>
  <si>
    <t>Термостат ТС107-1306100-06 ("КрАЗ)</t>
  </si>
  <si>
    <t>Щеткадержатель Г273-3701010 ("КрАЗ)</t>
  </si>
  <si>
    <t>Якорь 25.3708200 ("КрАЗ)</t>
  </si>
  <si>
    <t>Привод вентилятора 236НЕ-1308011Е ("КрАЗ)</t>
  </si>
  <si>
    <t>Привод вентилятора 238-1308011Б Евро ("КрАЗ)</t>
  </si>
  <si>
    <t>Манжета передняя коленчатого вала 201-1005034-64 ("КрАЗ)</t>
  </si>
  <si>
    <t>Манжета задняя коленчатого вала 236-1005160-АЗ ("КрАЗ)</t>
  </si>
  <si>
    <t>Прокладка выпускного коллектора 236-1008050 ("КрАЗ)</t>
  </si>
  <si>
    <t>Турбокомпрессор ТКР11 ("КрАЗ)</t>
  </si>
  <si>
    <t>Труба водяная правая 238-1003290В ("КрАЗ)</t>
  </si>
  <si>
    <t>Труба  водяная левая238-1003291В ("КрАЗ)</t>
  </si>
  <si>
    <t>Крыло 6505-8403012  левое ("КрАЗ)</t>
  </si>
  <si>
    <t>Крыло 6505-8403290 правое ("КрАЗ)</t>
  </si>
  <si>
    <t>Боковина крыла 6505-8403016  левая ("КрАЗ)</t>
  </si>
  <si>
    <t>Боковина крыла 6505-8403017 правая ("КрАЗ)</t>
  </si>
  <si>
    <t xml:space="preserve">Капот 6437-8402010-10 в сборе ("КрАЗ) </t>
  </si>
  <si>
    <t>Облицовка радиатора 6505-8401010 ("КрАЗ)</t>
  </si>
  <si>
    <t>Кабина в сборе 6510-5000012-30 ("КрАЗ)</t>
  </si>
  <si>
    <t>фланец полуоси 238-1601138 ("КрАЗ)</t>
  </si>
  <si>
    <t>Элемент фильтрующий 236-1012027-А2 ("КрАЗ)</t>
  </si>
  <si>
    <t>Элемент фильтрующий 240-1017040-А3 ("КрАЗ)</t>
  </si>
  <si>
    <t>Прокладка поддона картера  238-1009040 ("КрАЗ)</t>
  </si>
  <si>
    <t>Манжета 201-1005034-64 ("КрАЗ)</t>
  </si>
  <si>
    <t>усилитель включения сцепления 5336-1602738-10 ("КрАЗ)</t>
  </si>
  <si>
    <t>Щетка 2500.3708050 ("КрАЗ)</t>
  </si>
  <si>
    <t>ремкомплект прокладок двигателя 238Ф-1002001 (25 поз) ("КрАЗ)</t>
  </si>
  <si>
    <t>ремкомплект прокладок КПП ЯМЗ-236 РТИ1700004-236 (10 наим) ("КрАЗ)</t>
  </si>
  <si>
    <t>полукольцо упорного подшипника 236-1005183Д ("КрАЗ)</t>
  </si>
  <si>
    <t>Вал карданный привода заднего моста 8 отв 1001 мм  210-2201010-17 ("КрАЗ)</t>
  </si>
  <si>
    <t>крыльчатка вентилятора 238НБ-1308012-6 ("КрАЗ)</t>
  </si>
  <si>
    <t>устройство натяжное 236-3509300-А3 ("КрАЗ)</t>
  </si>
  <si>
    <t>устройство натяжное 236-3509300-А4 ("КрАЗ)</t>
  </si>
  <si>
    <t>синхронизатор в сборе 200-1701152-А2 ("КрАЗ)</t>
  </si>
  <si>
    <t>мембрана тип 24 РТИ3519200 ("КрАЗ)</t>
  </si>
  <si>
    <t>палец поршневой 236-1004020 (пр-во ОАО "Мотордеталь") ("КрАЗ)</t>
  </si>
  <si>
    <t>Ремкомплект РТИ1111010-80 ТНВД (большой) ("КрАЗ)</t>
  </si>
  <si>
    <t>мембрана тип 24х24 100-3519250 (диафрагма тормозной камеры ("КрАЗ)</t>
  </si>
  <si>
    <t>крыльчатка вентилятора 236-1308012-А4 ("КрАЗ)</t>
  </si>
  <si>
    <t>Головка блока цилиндров 236Д-1003013 (ЯМЗ-236НЕ2, общая) (МАЗ)</t>
  </si>
  <si>
    <t>Прокладка головки блока 236-1003210-В2 (МАЗ)</t>
  </si>
  <si>
    <t>Манжета  в сборе  2.1-70х92, 375-2402052-07  (Урал)</t>
  </si>
  <si>
    <t>Вал карданный  переднего моста в сборе 375-2203010-02 (Урал)</t>
  </si>
  <si>
    <t>Редуктор   среднего моста (47 зубьев) 4320-2502010 (Урал)</t>
  </si>
  <si>
    <t>Редуктор заднего моста  (47 зубьев) 4320-2402010 (Урал)</t>
  </si>
  <si>
    <t>Амортизатор  А1-275/475-2905006 в сборе (Урал)</t>
  </si>
  <si>
    <t>Механизм усилительный 5557Я2-3405012 (Урал)</t>
  </si>
  <si>
    <t>Насос гидроусилителя руля  256Б-3407199-01(Урал)</t>
  </si>
  <si>
    <t>Компрессор 4331-3509009  в сборе (Урал)</t>
  </si>
  <si>
    <t>Ремкомплект муфты выключения сцепления 184-1601001.(Урал)</t>
  </si>
  <si>
    <t>Сальник 700-40-8611СП  700-40-8612СП  700-40-8676СП (Урал)</t>
  </si>
  <si>
    <t>Р/к-т гидрораспределителя  Р160 (Урал)</t>
  </si>
  <si>
    <t>Усилитель пневматический передний ГТЦ в сборе 5557-3510010 (Урал)</t>
  </si>
  <si>
    <t>усилитель пневматический задний ГТЦ в сборе 5557-3510011 (Урал)</t>
  </si>
  <si>
    <t>Цилиндр тормозов главный в сборе 4320-3505010 (Урал)</t>
  </si>
  <si>
    <t>Прокладка клапанной крышки  (Зил)13-1007245</t>
  </si>
  <si>
    <t>Насос  масляный 130-1011010-Б2 (Зил)</t>
  </si>
  <si>
    <t>Электродвигатель отопителя  192.3730 в сборе (Зил)</t>
  </si>
  <si>
    <t>Манжета 130-1007014-6  (Зил)</t>
  </si>
  <si>
    <t>Диафрагма 164-3519150  (Зил)</t>
  </si>
  <si>
    <t>Якорь СТ230-3708200  (Зил)</t>
  </si>
  <si>
    <t>Муфта СТ 230К-3708610-01  (Зил)</t>
  </si>
  <si>
    <t>Цилиндро-поршневая группа Комплект цилиндро-поршневой группы  КМЗ 53-1000105-04 (ГАЗ-53)</t>
  </si>
  <si>
    <t>Гидрораспределитель КС-5579.2</t>
  </si>
  <si>
    <t>Гидронасос аксиально-поршневой 310.112.00.06, КС-5579.2</t>
  </si>
  <si>
    <t>Гидромотор аксиально-поршневой 310.3.56.00.06 КС-5579.2</t>
  </si>
  <si>
    <t>Коллектор центральный  314-02-71.00.850 (ЕК-14)</t>
  </si>
  <si>
    <t>Элемент фильтра 55Р-661А-1-06 /460-1/ (Реготмас 661-1-05) (ЕК-14)</t>
  </si>
  <si>
    <t>Гидромотор 310.2.28.00.03 (вал шлицевой) (ЕК-14)</t>
  </si>
  <si>
    <t>Гидромотор 310.112.00.06  (гидромотор 210.25) (ЕК-14)</t>
  </si>
  <si>
    <t>Гидрозамок П786А ЛГФИ 304266.001.ТУ (ЕК-14)</t>
  </si>
  <si>
    <t>Гидромотор  аксиально-поршневой 310.3.56 (ЕК-14)</t>
  </si>
  <si>
    <t>Насосный агрегат 313.3.55.557.303 (ЕК-14)</t>
  </si>
  <si>
    <t xml:space="preserve">Насос НШ-10У-3, ГОСТ 8753-80 шестеренчатый (ЕК-14) </t>
  </si>
  <si>
    <t>Манометр МПЗ-60МПа х 1,5 черт. (160 кг  с/см2)  ТУ25.02.943-74 (ЕК-14)</t>
  </si>
  <si>
    <t>Манометр масляный с демпфером d=60 МТП-3-10МПа-1,5, (100 кг  с/см2)  ТУ 25-7310.0045-87 (ЕК-14)</t>
  </si>
  <si>
    <t>Манометр масляный с демпфером d=60 МТП-3-16МПа-1,5,  (400 кг  с/см2) ТУ 25-7310.0045-87 (ЕК-14)</t>
  </si>
  <si>
    <t>Манометр масляный с демпфером d=60 МТП-3-1МПа-1,5,  ТУ 25-7310.0045-87 (ЕК-14)</t>
  </si>
  <si>
    <t>Фара 42.3711 (ЕК-14)</t>
  </si>
  <si>
    <t>Фонарь ФП-115 задний  (ЕК-14)</t>
  </si>
  <si>
    <t>Фонарь  ФП-116 задний (ЕК-14)</t>
  </si>
  <si>
    <t>Р/к-т ТНВД (насос топливный) 4УТНМ-1111005-243 (Д-240,243) (ЕК-12)</t>
  </si>
  <si>
    <t>Пара плунжерная  ТНВД 4УТНМ-Т-1111410-02 (ЕК-12)</t>
  </si>
  <si>
    <t>Стартер 24.3708, (12 V, 4 квт)/Д-243;Д-65/ (ЕК-12)</t>
  </si>
  <si>
    <t>Стартер 242.3708, 12 в (ЕК-12)</t>
  </si>
  <si>
    <t>Рем. к-т г/цилиндра стрелы (РТИ) (110х70) РТИ (ЕК-12)</t>
  </si>
  <si>
    <t>Рем. к-т г/цилиндра рукоятки (РТИ) (125х90) РТИ (ЕК-12)</t>
  </si>
  <si>
    <t>Рем. к-т г/цилиндра (100х63) РТИ (ЕК-12)</t>
  </si>
  <si>
    <t>Рем. к-т г/цилиндра (110х80) РТИ (ЕК-12)</t>
  </si>
  <si>
    <t>Рем. к-т г/цилиндра (110х63) РТИ (ЕК-12)</t>
  </si>
  <si>
    <t>Рем. к-т г/цилиндра (125х63) (ЕК-12)</t>
  </si>
  <si>
    <t>Ремкомплект гидрораспределителя 314-02-520,00-10 (ЕК-12)</t>
  </si>
  <si>
    <t>Ремкомплект гидрораспределителя ЭО-3323А.07.21.010 (ЕК-12)</t>
  </si>
  <si>
    <t>Ремкомплект ТКР 6-01/ТКР7Н-2Т (ЕК-12)</t>
  </si>
  <si>
    <t>Ремкомплект г/цилиндра выносных опор (125х80х400) РТИ (ЕК-12)</t>
  </si>
  <si>
    <t>Ремкомплект г/цилиндра поворота колес (ЭО-3323А.71.80300) РТИ (ЕК-12)</t>
  </si>
  <si>
    <t>Ремкомплект гидронасоса 333.3.55.100.220 (ЕК-12)</t>
  </si>
  <si>
    <t>Рем. к-т г/насоса П+Г+Р 313.3.55.557.303 (ЕК-12)</t>
  </si>
  <si>
    <t>Рем. к-т г/мотора П+Г+Р 310.12.01.03 (ЕК-12)</t>
  </si>
  <si>
    <t>Рем. к-т г/мотора П+Г+Р 310.12.00 (ЕК-12)</t>
  </si>
  <si>
    <t>Рем. к-т г/мотора П+Г+Р 210.3.56 (ЕК-12)</t>
  </si>
  <si>
    <t>Элемент фильтра маслянный 260-1017060 (ЕК-12)</t>
  </si>
  <si>
    <t>Элемент фильтра топливный 240-1117030 (ЕК-12)</t>
  </si>
  <si>
    <t>Датчик указателя температуры   12 V (ЕК-12)</t>
  </si>
  <si>
    <t>Гидромотор хода 310.3.112 (ЕК-12)</t>
  </si>
  <si>
    <t>Каток поддерживающий 18.31.05.100 (ЕК-12)</t>
  </si>
  <si>
    <t>Генератор Г994.3701-1(Г700.08.01) Д-245.5 (ЕК-12)</t>
  </si>
  <si>
    <t>Вкладыш шатунной Д-260Р1 (ЕК-12)</t>
  </si>
  <si>
    <t>Вкладыш коренной Д-260Р1 (ЕК-12)</t>
  </si>
  <si>
    <t>Вкладыш шатуннойД-243 Р2 (ЕК-12)</t>
  </si>
  <si>
    <t>Вкладыш коренной Д-243 Р2 (ЕК-12)</t>
  </si>
  <si>
    <t>Гидроцилиндр стрелы (110х70х1100) 313-00-23.95.000-10 (ЕК-12)</t>
  </si>
  <si>
    <t>Водяной радиатор 100У.13.01.010.03 (ЕК-12)</t>
  </si>
  <si>
    <t>Насосный агрегат 333.3.55.100.220 (ЕК-12)</t>
  </si>
  <si>
    <t>Элемент фильтра гидравлики 55Р-661А-1-06/460 (ЕК-12)</t>
  </si>
  <si>
    <t>Блок переливных клапанов 520.70.00.000-10 ЕК-18</t>
  </si>
  <si>
    <t>Манжета Е32-090-4 (ЕТ-14)</t>
  </si>
  <si>
    <t>Кольцо Е22-090-30-30 (ЕТ-14)</t>
  </si>
  <si>
    <t>Кольцо защитное 34.64.00.913 (ЕТ-14)</t>
  </si>
  <si>
    <t>Кольцо 9833.115-125-58-2-3 (ЕТ-14)</t>
  </si>
  <si>
    <t>Кольцо 9833.055-060-30-2-3 (ЕТ-14)</t>
  </si>
  <si>
    <t>Кольцо Е21-125-15-30 (ЕТ-14)</t>
  </si>
  <si>
    <t>Уплотнение Е13М-125-5 (ЕТ-14)</t>
  </si>
  <si>
    <t>Кольцо 02-125 (ЕТ-14)</t>
  </si>
  <si>
    <t>Кольцо защитное 71.82.012 (ЕТ-14)</t>
  </si>
  <si>
    <t>Кольцо защитное 71.80.109 (ЕТ-14)</t>
  </si>
  <si>
    <t>Кольцо 9833.070-080-58-2-3 (ЕТ-14)</t>
  </si>
  <si>
    <t>Кольцо 34.64.00.903-01 (ЕТ-14)</t>
  </si>
  <si>
    <t>Уплотнение штока TS 90 110 11.5/LA (ЕТ-14)</t>
  </si>
  <si>
    <t>Уплотнение штока TS 70 85 12/LA (ЕТ-14)</t>
  </si>
  <si>
    <t>Уплотнение поршня DPS 125 108 (ЕТ-14)</t>
  </si>
  <si>
    <t>Уплотнение поршня DPS 110 96 (ЕТ-14)</t>
  </si>
  <si>
    <t>Уплотнение Е13М-110-3 (ЕТ-14)</t>
  </si>
  <si>
    <t>Кольцо Е1-070-3 (ЕТ-14)</t>
  </si>
  <si>
    <t>Кольцо 02-110 (ЕТ-14)</t>
  </si>
  <si>
    <t>Кольцо Е22-070-30-2.5 (ЕТ-14)</t>
  </si>
  <si>
    <t>Кольцо опорно-направляющее КОВ-70 00.00.12.070 (ЕТ-14)</t>
  </si>
  <si>
    <t>Кольцо 9833.100-110-58-2-3 (ЕТ-14)</t>
  </si>
  <si>
    <t>Кольцо Е21-110-12-3,0 (ЕТ-14)</t>
  </si>
  <si>
    <t>Кольцо защитное 313-00-23.94.008 (ЕТ-14)</t>
  </si>
  <si>
    <t>Кольцо опорно-направляющее КОН-110 00.00.11.110 (ЕТ-14)</t>
  </si>
  <si>
    <t>Гидроцилиндр рукояти   (160/100, L=1600) ЭО-5126</t>
  </si>
  <si>
    <t>Гидроцилиндр ковша   (160/100, L=1000) ЭО-5126</t>
  </si>
  <si>
    <t>Гидронасос 313.3.112.507.303-У1 ЭО-5126</t>
  </si>
  <si>
    <t>Гидронасос 210.16.11.00Г ЭО-5126</t>
  </si>
  <si>
    <t>Гидромотор  310.3.112-00У1 ЭО-5126</t>
  </si>
  <si>
    <t>Гидромотор 303.3.112-5010У1 ЭО-5126</t>
  </si>
  <si>
    <t>Блок управления 100 ВНМ ЭО-5126</t>
  </si>
  <si>
    <t>Блок управления (ТИП.606) 111ВFМ ЭО-5126</t>
  </si>
  <si>
    <t>Блок управления 101 ВНМ-01 ЭО-5126</t>
  </si>
  <si>
    <t>Генератор 1702.3771 /1322.3771/  (28В, 50А, 800Вт, тип Г-2738) ЭО-5126</t>
  </si>
  <si>
    <t>Стартер 25-3708 (24В, 8,2кВт) ЭО-5126</t>
  </si>
  <si>
    <t>Реле-регулятор 2712.3702 ЭО-5126</t>
  </si>
  <si>
    <t xml:space="preserve">Фара тип  763.3711 (А24-55+50)с лампой ЭО-5126  </t>
  </si>
  <si>
    <t>Насос НШ-10У-3Л  (круглый левого вращения) ЭО-5126</t>
  </si>
  <si>
    <t>стеклоочиститель СЛ-35 (1,8А 24В) ЭО-5126</t>
  </si>
  <si>
    <t>Рем.комплект г/цилиндра рукоятки 160/100 (РТИ) ЭО-5126</t>
  </si>
  <si>
    <t>Маслянный фильтр 11Е1-70140 /LF3349 (3934430)/ "HYUNDAI"</t>
  </si>
  <si>
    <t>Топливный фильтр 11Е1-70020 (11Е1-70010) "HYUNDAI"</t>
  </si>
  <si>
    <t>Топливный фильтр 11LB-20300 (11NB-70400) "HYUNDAI"</t>
  </si>
  <si>
    <t>Топливный фильтр  11Е1-70210 FS1280 "HYUNDAI"</t>
  </si>
  <si>
    <t>Воздушный фильтр  11ЕМ-21051 (внешн.) (11TEM-21051-A) "HYUNDAI"</t>
  </si>
  <si>
    <t>Воздушный фильтр 11ЕМ-21041 (внутр.) (11EM-21041-A) "HYUNDAI"</t>
  </si>
  <si>
    <t>Фильтр тонкой очистки 31Е3-0018-А (31Е3-0018) "HYUNDAI"</t>
  </si>
  <si>
    <t>Дренажный фильтр 31Е9-0126-А (31Е9-0126) "HYUNDAI"</t>
  </si>
  <si>
    <t>Гидравлический фильтр Е131-0212-А (Е131-0212) "HYUNDAI"</t>
  </si>
  <si>
    <t>Гидравлический фильтр Е131-0214-А (Е131-0214) "HYUNDAI"</t>
  </si>
  <si>
    <t>Элемент фильтра 31ЕЕ-02110-А (31ЕЕ-02110) "HYUNDAI"</t>
  </si>
  <si>
    <t>Элемент фильтра 31ЕН-00480 "HYUNDAI"</t>
  </si>
  <si>
    <t>Ремень генератора 8РК 1445 (3929330 (3929330S)  "HYUNDAI"</t>
  </si>
  <si>
    <t>Ремень 6РК 1703 (12Е2-3505) "HYUNDAI"</t>
  </si>
  <si>
    <t>Ремень 11Е-3601 (кондиионера) "HYUNDAI"</t>
  </si>
  <si>
    <t>Кардан  81ЕА-30052 (81ЕА-30052GG) "HYUNDAI"</t>
  </si>
  <si>
    <t>Комплект сальников  (г/ц стрелы) 31Y1-16885 "HYUNDAI"</t>
  </si>
  <si>
    <t>Комплект сальников (рукава) 31Y1-15233 "HYUNDAI"</t>
  </si>
  <si>
    <t>Комплект сальников (ковша) 31Y1-15705 "HYUNDAI"</t>
  </si>
  <si>
    <t>Комплект сальников  (аутригер) 31Y1-14270N (31Y1-14270) "HYUNDAI"</t>
  </si>
  <si>
    <t>Втулка (г/ц стрелы) S732-085030 "HYUNDAI"</t>
  </si>
  <si>
    <t>Втулка  (рукава) S732-100040 "HYUNDAI"</t>
  </si>
  <si>
    <t>Втулка  (ковша) S732-085030 "HYUNDAI"</t>
  </si>
  <si>
    <t>Втулка  (аутригер) S731-080040 "HYUNDAI"</t>
  </si>
  <si>
    <t>Подшипник  ZGAQ-01307 "HYUNDAI"</t>
  </si>
  <si>
    <t>Стартер ST-9138, 3957593  (24B, V-4,5KW) Nippo denso "HYUNDAI"</t>
  </si>
  <si>
    <t>Сальник хвостовика з/моста ZGAQ-ф1198 "HYUNDAI"</t>
  </si>
  <si>
    <t>Эл/двигатель печки AW 21002500-1 "HYUNDAI"</t>
  </si>
  <si>
    <t>Крестовина 100-GVWZ8 "HYUNDAI"</t>
  </si>
  <si>
    <t>Передняя ступица в сборе 1148 "HYUNDAI"</t>
  </si>
  <si>
    <t>Сальник ступицы з/моста ZGAQ-01150 "HYUNDAI"</t>
  </si>
  <si>
    <t>Сальник перед.ступицы ZGAQ-01269  ZGAQ-01273 "HYUNDAI"</t>
  </si>
  <si>
    <t>Зубья ковша 1,05куб.м Е161-3027 "HYUNDAI"</t>
  </si>
  <si>
    <t>Зубья ковша 1,25куб.м Е161-3027 "HYUNDAI"</t>
  </si>
  <si>
    <t>Тяга лопаты 51N6-36320 "HYUNDAI"</t>
  </si>
  <si>
    <t>Тяга лопаты 51N6-36430 "HYUNDAI"</t>
  </si>
  <si>
    <t>Тяга лопаты 51N6-36440 "HYUNDAI"</t>
  </si>
  <si>
    <t>Предохранительный клапан XKBL-00023 "HYUNDAI"</t>
  </si>
  <si>
    <t xml:space="preserve">Разгрузочный клапан XKBL-00022 "HYUNDAI" </t>
  </si>
  <si>
    <t>Клапан XKBL-00044 "HYUNDAI"</t>
  </si>
  <si>
    <t>Коронка зубья ковша "HYUNDAI"</t>
  </si>
  <si>
    <t>Насос НШ-10-3Л-Э  шестеренчатый (ТО-18БЗ)</t>
  </si>
  <si>
    <t>Элемент фильтрующий ТО-18.06.01.400 (ТО-18БЗ)</t>
  </si>
  <si>
    <t>Элемент фильтрующий  ФМ-182-200  /Реготмас/ (ТО-18БЗ)</t>
  </si>
  <si>
    <t>Фонарь  3733.3712 передний (ТО-18БЗ)</t>
  </si>
  <si>
    <t xml:space="preserve">Фонарь 7462.3716 задний, правый (ТО-18БЗ) </t>
  </si>
  <si>
    <t xml:space="preserve">Фонарь 7472.3716  задний, левый (ТО-18БЗ) </t>
  </si>
  <si>
    <t>Дроссель ТО-18Д.06.19.001 (62900А) (ТО-18БЗ)</t>
  </si>
  <si>
    <t>Электродвигатель 526-8104210 отпителя (ТО-18БЗ)</t>
  </si>
  <si>
    <t>Электродвигатель 49СО.3730 (ТО-18БЗ)</t>
  </si>
  <si>
    <t>Фара 8724.3.09 рабочая (ТО-18БЗ)</t>
  </si>
  <si>
    <t>Фара 8703.11/017 передняя (ТО-18БЗ)</t>
  </si>
  <si>
    <t>Фара 8703.302/6-01 дорожная (ТО-18БЗ)</t>
  </si>
  <si>
    <t xml:space="preserve">Эластическая муфта ТО-18 </t>
  </si>
  <si>
    <t>Пара плунжерная  4УТНМ-Т-1111410-02  /ТНВД 4УТНМ-Т/ Д-243; 245</t>
  </si>
  <si>
    <t>Радиатор 70У-1301010  водяной МТЗ-80; 82</t>
  </si>
  <si>
    <t>Диск сцепления ведомый  70-1601130 МТЗ-80; 82</t>
  </si>
  <si>
    <t>Диск сцепления нажимной 70-1601093 МТЗ-80; 82</t>
  </si>
  <si>
    <t xml:space="preserve">Диск сцепления опорный   70-1601125 МТЗ-80; 82  </t>
  </si>
  <si>
    <t>Муфта соединительная  70-1601081 МТЗ-80; 82</t>
  </si>
  <si>
    <t>Вилка выключения сцепления 50-1601203 МТЗ-80; 82</t>
  </si>
  <si>
    <t>Насос  ручной подкачки РНМ-1  700.11.00.130 (К-701)</t>
  </si>
  <si>
    <t>Радиатор водяной 700.13.01.000-3сб. (К-701)</t>
  </si>
  <si>
    <t>Коробка переменных передач  (КПП К-701)  700А.17.00.000  (К-701)</t>
  </si>
  <si>
    <t>Вал карданный переднего моста  700.22.03.000-4 (L=561мм)  (К-701)</t>
  </si>
  <si>
    <t>Вал карданный заднего моста  700А.22.04.000-3 (L=500 мм)  (К-701)</t>
  </si>
  <si>
    <t>Вал карданный КПП  701.22.08.000-2  (L=240 мм)  (К-701)</t>
  </si>
  <si>
    <t>Крестовина карданного вала КПП с подшипником в сборе   701.22.08.010Р  (К-701)</t>
  </si>
  <si>
    <t>Крестовина  карданного вала переднего и заднего моста  700.22.01.012-2  (К-701)</t>
  </si>
  <si>
    <t>Вал карданный   механизм отбора мощности, короткий 700А.42.38.000  (К-701)</t>
  </si>
  <si>
    <t>Вал карданный механизм отбора мощности, длинный  700А.42.39.000-2  (К-701)</t>
  </si>
  <si>
    <t>Компрессор  2-х цилиндровый 500-35090015-Б1  (К-701)</t>
  </si>
  <si>
    <t>Камера тормозная 700.23.00.220 в сборе  (К-701)</t>
  </si>
  <si>
    <t>Генератор 5702.3701, ТУ 37.003.1328-87  (Г287Е-0, 14В, 85А)  (К-701)</t>
  </si>
  <si>
    <t>Регулятор напряжения 2302.3702, ТУ 37.003.715-80  (К-701)</t>
  </si>
  <si>
    <t>Реле 738.3747-20,  ТУ 37.469.023-97  (К-701)</t>
  </si>
  <si>
    <t>Фара передняя ФГ122-БВ    700А.37.00.190  (К-701)</t>
  </si>
  <si>
    <t>Фара ФГ-16К, ТУ-37.003.517-81  (К-701)</t>
  </si>
  <si>
    <t>Насос НШ-100А-3 (круглый правого вращения)  (К-701)</t>
  </si>
  <si>
    <t>Насос НШ-100А-3Л (круглый левого вращения)  (К-701)</t>
  </si>
  <si>
    <t>Насос НШ-50А-3 (круглый правого вращения)  (К-701)</t>
  </si>
  <si>
    <t>Насос НШ-50А-3Л (круглый левого вращения)  (К-701)</t>
  </si>
  <si>
    <t>Гидрораспределитель  ГА-35000А-У1  (К-701)</t>
  </si>
  <si>
    <t>Турбокомпрессор 122.1118010-07  (К-701)</t>
  </si>
  <si>
    <t>Бак  расширительный  701.13.00.040  (К-701)</t>
  </si>
  <si>
    <t>Бак 701.13.01.010  (К-701)</t>
  </si>
  <si>
    <t>Бак 701.13.01.080  (К-701)</t>
  </si>
  <si>
    <t>Отопитель  кабины  701.81.00.000  (К-701)</t>
  </si>
  <si>
    <t>Гидроусилитель муфты сцепления ГС 1402</t>
  </si>
  <si>
    <t>КПП механический ГС 1402</t>
  </si>
  <si>
    <t>сентябрь-октябрь 2014г.</t>
  </si>
  <si>
    <t>август, сентябрь 2014г.</t>
  </si>
  <si>
    <t>27.32.13.00.02.04.26.10.1</t>
  </si>
  <si>
    <t xml:space="preserve">Для подключения периферийных устройств. Кабель питания блока питания "розетка" с заземлением. </t>
  </si>
  <si>
    <t>27.32.13.00.02.04.04.01.2</t>
  </si>
  <si>
    <t>КСПВ 2*0,5</t>
  </si>
  <si>
    <t>26.30.60.00.00.00.25.10.1</t>
  </si>
  <si>
    <t>27.32.13.00.01.05.05.18.2</t>
  </si>
  <si>
    <t>ПВ-3 0.75</t>
  </si>
  <si>
    <t>27.32.13.00.01.05.05.24.2</t>
  </si>
  <si>
    <t>ПВ-3 2.5</t>
  </si>
  <si>
    <t>19.20.29.00.00.11.40.15.1</t>
  </si>
  <si>
    <t>для дизельных двигателей с обозначением по SAE 5W-40 к использованию при температуре -30 ... +35°С</t>
  </si>
  <si>
    <t>2014</t>
  </si>
  <si>
    <t>Сувенирная продукция</t>
  </si>
  <si>
    <t>подарочная</t>
  </si>
  <si>
    <t xml:space="preserve">ф152-46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</si>
  <si>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</si>
  <si>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Стенка откосная СТ3 п.л. 322х311х30см</t>
  </si>
  <si>
    <t>24.10.62.00.00.11.10.11.1</t>
  </si>
  <si>
    <t>Стержни</t>
  </si>
  <si>
    <t>из арматурной стали, горячекатаной, длина от 6 до 12 м, класс стали-А-I (А240 ), диаметр профиля - 6 - 40 мм, марка стали - Ст3кп, Ст3пс, Ст3сп, ГОСТ 5781-82</t>
  </si>
  <si>
    <t>24.10.62.00.00.11.10.14.1</t>
  </si>
  <si>
    <t xml:space="preserve">из арматурной стали, горячекатаной, длина от 6 до 12 м, класс стали-A-III (А400), диаметр профиля - 6 - 40, 6 - 22 мм, марка стали -35ГС, 25Г2С,
32Г2Рпс ГОСТ 5781-82 </t>
  </si>
  <si>
    <t>Арматура: класса А-III, d=10 мм</t>
  </si>
  <si>
    <t>Арматура:  класса А-III, d=14 мм</t>
  </si>
  <si>
    <t>Арматура:   класса А-III, d=16  мм</t>
  </si>
  <si>
    <t>19.20.42.00.00.00.20.30.3</t>
  </si>
  <si>
    <t xml:space="preserve"> Битум нефтяной</t>
  </si>
  <si>
    <t>жидкий дорожный  СГ 130/200, условная вязкость по вискозиметру с отверстием 5 мм при 60°С, с 131-200, применяется для строительства капитальных и облегченных дорожных покрытий</t>
  </si>
  <si>
    <t>Битум нефтяной дорожный жидкий, марка МГ и СГ</t>
  </si>
  <si>
    <t>28.15.39.00.00.00.16.15.1</t>
  </si>
  <si>
    <t xml:space="preserve"> Втулка </t>
  </si>
  <si>
    <t>втулка из прочих материалов</t>
  </si>
  <si>
    <t>Втулка под фланец SDR (адаптер) диам.110мм</t>
  </si>
  <si>
    <t>Втулка под фланец SDR (адаптер) диам.140мм</t>
  </si>
  <si>
    <t>Втулка под фланец SDR (адаптер) диам.160мм</t>
  </si>
  <si>
    <t>Втулка под фланец SDR (адаптер) диам.40мм</t>
  </si>
  <si>
    <t>Втулка под фланец SDR (адаптер) диам.50мм</t>
  </si>
  <si>
    <t>Втулка под фланец SDR (адаптер) диам.65мм</t>
  </si>
  <si>
    <t>Втулка под фланец SDR (адаптер) диам.90мм</t>
  </si>
  <si>
    <t>Гидранты пожарные  1 МПа /10 кгс/ см2/, д=125 мм, высотой 500-2500 мм</t>
  </si>
  <si>
    <t>Камни бетонные бортовые .Камни бетонные бортовые /ГОСТ 6665-91/ М-300</t>
  </si>
  <si>
    <t xml:space="preserve"> рабочей камеры или горловины колодца, марки КС10.9, ГОСТ 8020-90</t>
  </si>
  <si>
    <t>ГОСТ 8020-90</t>
  </si>
  <si>
    <t>23.61.12.00.20.21.01.36.1</t>
  </si>
  <si>
    <t xml:space="preserve">Плита днища </t>
  </si>
  <si>
    <t xml:space="preserve"> марки ПН10, ГОСТ 8020-90</t>
  </si>
  <si>
    <t xml:space="preserve"> Плита днища</t>
  </si>
  <si>
    <t xml:space="preserve"> марки ПН15, ГОСТ 8020-90</t>
  </si>
  <si>
    <t>Люк чугунный легкий с крышкой ЛВ.ГОСТ 3634-89</t>
  </si>
  <si>
    <t>08.12.11.00.00.00.10.10.2</t>
  </si>
  <si>
    <t>ПГС.Смеси песчано-гравийнные природные</t>
  </si>
  <si>
    <t xml:space="preserve"> из природного камня</t>
  </si>
  <si>
    <t>22.21.21.00.00.40.30.13.2</t>
  </si>
  <si>
    <t>Труба полиэтиленовая ПЭ 100 для водоснабжения SDR 11 диаметр в мм/толщина в мм/давление атм 160/6,2/6</t>
  </si>
  <si>
    <t>Трубы водопроводные из полиэтилена HDPE 100   Dв 151,5 мм, ГОСТ 18599-2001/, Р 0,4 МПа, SDR 41</t>
  </si>
  <si>
    <t>22.21.21.00.00.40.34.19.2</t>
  </si>
  <si>
    <t>Труба полиэтиленовая ПЭ 100 для водоснабжения SDR 11 диаметр в мм/толщина в мм/давление атм 125/11,4/16</t>
  </si>
  <si>
    <t>Трубы водопроводные из полиэтилена HDPE 100 / ГОСТ 18599-2001/, Р 1,25 МПа, SDR 13,6, Dв 118,2 мм</t>
  </si>
  <si>
    <t>Трубы водопроводные из полиэтилена   HDPE 100 /ГОСТ 18599-2001/, Р 1,25 МПа, SDR 13,6 , Dв 154,8 мм</t>
  </si>
  <si>
    <t>22.21.21.00.00.40.34.12.2</t>
  </si>
  <si>
    <t>Труба полиэтиленовая ПЭ 100 для водоснабжения SDR 11 диаметр в мм/толщина в мм/давление атм 32/3/16</t>
  </si>
  <si>
    <t>Трубы водопроводные из полиэтилена HDPE 100 /ГОСТ 18599-2001/, Р 1,25 МПа, SDR 13,6   Dв 33,6 мм</t>
  </si>
  <si>
    <t>22.21.21.00.00.40.34.13.2</t>
  </si>
  <si>
    <t>Труба полиэтиленовая ПЭ 100 для водоснабжения SDR 11 диаметр в мм/толщина в мм/давление атм 40/3,7/16</t>
  </si>
  <si>
    <t>Трубы водопроводные из полиэтилена HDPE 100 /ГОСТ 18599-2001/, Р 1,25 МПа, SDR 13,6   Dв 42,2 мм</t>
  </si>
  <si>
    <t>22.21.21.00.00.40.34.14.2</t>
  </si>
  <si>
    <t>Труба полиэтиленовая ПЭ 100 для водоснабжения SDR 11 диаметр в мм/толщина в мм/давление атм 50/4,6/16</t>
  </si>
  <si>
    <t>Трубы водопроводные из полиэтилена HDPE 100 /ГОСТ 18599-2001/, Р 1,25 МПа, SDR 13,6 Dв 53 мм</t>
  </si>
  <si>
    <t>22.21.21.00.00.40.34.16.2</t>
  </si>
  <si>
    <t>Труба полиэтиленовая ПЭ 100 для водоснабжения SDR 11 диаметр в мм/толщина в мм/давление атм 75/6,8/16</t>
  </si>
  <si>
    <t>Трубы водопроводные из полиэтилена HDPE 100 /ГОСТ 18599-2001/, Р 1,25 МПа, SDR 13,6 Dв 75,8 мм  Dв 75,8 мм</t>
  </si>
  <si>
    <t>22.21.21.00.00.40.34.18.2</t>
  </si>
  <si>
    <t>Труба полиэтиленовая ПЭ 100 для водоснабжения SDR 11 диаметр в мм/толщина в мм/давление атм 110/10/16</t>
  </si>
  <si>
    <t>Трубы водопроводные из полиэтилена HDPE 100 /ГОСТ 18599-2001/, Р 1,25 МПа, SDR 13,6  Dв 92,8 мм</t>
  </si>
  <si>
    <t>22.21.21.00.00.40.34.65.1</t>
  </si>
  <si>
    <t>Труба полиэтиленовая ПЭ 100 диаметр в мм/толщина в мм 160х18</t>
  </si>
  <si>
    <t>Трубы напорные среднего типа из полиэтилена низкого давления, Dн 160 мм</t>
  </si>
  <si>
    <t>25.99.11.00.00.10.10.10.1</t>
  </si>
  <si>
    <t>Ванна</t>
  </si>
  <si>
    <t>Ванна моечная</t>
  </si>
  <si>
    <t>25.99.11.00.00.10.10.17.1</t>
  </si>
  <si>
    <t>Ванна моечная 3 секционная</t>
  </si>
  <si>
    <t>25.99.11.00.00.10.10.14.1</t>
  </si>
  <si>
    <t>Ванна чугунная эмалированная 1200х600х400</t>
  </si>
  <si>
    <t>28.94.21.00.00.00.05.07.1</t>
  </si>
  <si>
    <t xml:space="preserve"> Машина гладильная</t>
  </si>
  <si>
    <t>Машина гладильная прочая, не включенная в другие группировки</t>
  </si>
  <si>
    <t>Гладильная машина Ромашка</t>
  </si>
  <si>
    <t>22.23.13.30.00.00.10.20.1</t>
  </si>
  <si>
    <t xml:space="preserve"> Емкость кубовая (еврокуб)</t>
  </si>
  <si>
    <t>пластиковая, объем 1000 л</t>
  </si>
  <si>
    <t>Емкость для сбора мусора 400х400х850</t>
  </si>
  <si>
    <t>23.12.13.00.00.22.10.10.2</t>
  </si>
  <si>
    <t>Зеркало</t>
  </si>
  <si>
    <t>Зеркало стеклянное бытовое. ГОСТ 17716-91</t>
  </si>
  <si>
    <t xml:space="preserve"> Зеркало</t>
  </si>
  <si>
    <t>31.01.13.00.00.00.01.04.1</t>
  </si>
  <si>
    <t>Прилавок</t>
  </si>
  <si>
    <t xml:space="preserve">Прилавок-тумба. Материал - ЛДСП. В комплект входят выдвижные ящики. Высота до 900мм, ширина до 900мм, глубина до 600мм. </t>
  </si>
  <si>
    <t>Кассовый прилавок 1200х700х870 2ККП-17/Н</t>
  </si>
  <si>
    <t>30.20.40.00.00.08.03.24.1</t>
  </si>
  <si>
    <t>Кипятильник</t>
  </si>
  <si>
    <t xml:space="preserve"> непрерывного действия 2,5 кВт, компл.(с топкой)</t>
  </si>
  <si>
    <t>Кипятильник непрерывного действия КНЭ-28-2М</t>
  </si>
  <si>
    <t>28.25.12.00.00.00.23.12.1</t>
  </si>
  <si>
    <t xml:space="preserve"> оборудование для кондиционирования воздуха (кондиционеры)</t>
  </si>
  <si>
    <t>агрегат и устройство кондиционирования воздуха со встроенной холодильной установкой, кроме авиационных, прочие</t>
  </si>
  <si>
    <t>25.99.12.10.00.00.00.30.1</t>
  </si>
  <si>
    <t xml:space="preserve"> Котел</t>
  </si>
  <si>
    <t xml:space="preserve"> металлический, для приготовления пищи</t>
  </si>
  <si>
    <t>Котел пищеварочный КЭП100-8/7Н</t>
  </si>
  <si>
    <t>31.09.12.00.00.01.01.09.1</t>
  </si>
  <si>
    <t>диван</t>
  </si>
  <si>
    <t>Угловой диван
Механизм трансформации: Седафлекс (усиленная раскладушка, толстый матрас).
Наполнение: сиденье - Пенополиуретан, спинка - Пенополиуретан.
Небольшой ящик для белья.</t>
  </si>
  <si>
    <t>Кресло диван угловой</t>
  </si>
  <si>
    <t>31.00.13.00.00.01.02.01.1</t>
  </si>
  <si>
    <t xml:space="preserve"> кресло</t>
  </si>
  <si>
    <t xml:space="preserve"> Кресло мягкое тканевое с деревянными ножками.</t>
  </si>
  <si>
    <t>Кресло для отдыха 600х500х400</t>
  </si>
  <si>
    <t>31.09.12.00.00.01.02.05.1</t>
  </si>
  <si>
    <t>Кровать</t>
  </si>
  <si>
    <t>С матрацем, деревянные спинки, стеганный поролоновый матрац.</t>
  </si>
  <si>
    <t>Кровати 1950х800х450</t>
  </si>
  <si>
    <t>32.50.30.00.00.00.11.20.1</t>
  </si>
  <si>
    <t>мебель медицинская</t>
  </si>
  <si>
    <t>Кушетка смотровая</t>
  </si>
  <si>
    <t>16.29.25.00.00.00.00.25.1</t>
  </si>
  <si>
    <t xml:space="preserve"> Корзина</t>
  </si>
  <si>
    <t xml:space="preserve"> Корзина и изделия плетеные из  нерастительных материалов </t>
  </si>
  <si>
    <t>Ларь для овощей</t>
  </si>
  <si>
    <t>27.51.21.04.03.00.00.10.1</t>
  </si>
  <si>
    <t>Электромясорубка</t>
  </si>
  <si>
    <t xml:space="preserve"> Без реверса.</t>
  </si>
  <si>
    <t>Мясорубка 160кг/час</t>
  </si>
  <si>
    <t>27.51.21.04.06.10.00.00.1</t>
  </si>
  <si>
    <t xml:space="preserve"> Машина для резки овощей</t>
  </si>
  <si>
    <t xml:space="preserve"> для резки овощей</t>
  </si>
  <si>
    <t>28.29.22.00.00.00.13.10.1</t>
  </si>
  <si>
    <t>Огнетушитель</t>
  </si>
  <si>
    <t xml:space="preserve"> огнетушитель прочие, не включенные в другие группировки</t>
  </si>
  <si>
    <t>27.51.27.00.01.00.00.10.1</t>
  </si>
  <si>
    <t xml:space="preserve">Печь микроволновая </t>
  </si>
  <si>
    <t>Варочная камера стальная, покрытая керамической эмалью. Емкость варочной камеры от 13 до 18 литров.</t>
  </si>
  <si>
    <t>28.24.11.00.00.00.17.12.1</t>
  </si>
  <si>
    <t xml:space="preserve"> пила со встроенным электрическим двигателем прочие</t>
  </si>
  <si>
    <t>Пила для мяса E1830</t>
  </si>
  <si>
    <t>27.51.28.04.02.02.15.10.1</t>
  </si>
  <si>
    <t xml:space="preserve"> Шкаф</t>
  </si>
  <si>
    <t xml:space="preserve"> тепловой (мармит)</t>
  </si>
  <si>
    <t>Плита мармитная электрическая для 1 блюд 1500х1040х1200 2МПЭПС3-15/7Н</t>
  </si>
  <si>
    <t>27.51.28.01.01.00.00.10.1</t>
  </si>
  <si>
    <t>Электроплита</t>
  </si>
  <si>
    <t xml:space="preserve"> Содержит духовой шкаф и каминную полку. Тип варочной поверхности - традиционная. Количество конфорок - 2.</t>
  </si>
  <si>
    <t>Плита мармитная электрическая для 2 блюд 1500х1040х1200 2МЭВ3-15/7Н</t>
  </si>
  <si>
    <t>Плита мармитная электрическая для 2 блюд 1500х1040х1200 2МЭВ3-4/7Н</t>
  </si>
  <si>
    <t>Плита электрическая ПЭ-726ШК</t>
  </si>
  <si>
    <t>26.20.40.00.00.00.90.10.1</t>
  </si>
  <si>
    <t>Подставка</t>
  </si>
  <si>
    <t>Подставка под телевизор</t>
  </si>
  <si>
    <t>31.01.13.00.00.00.01.10.1</t>
  </si>
  <si>
    <t>Материал - ЛДСП с кромкой ПВХ. Со стеклянным верхом. Фасадное и горизонтальное стекло с полировкой держится на хромированных держателях с винтовыми зажимами. Со стороны продавца прилавок открыт с возможностью доставить полки. Высота до 900мм, ширина до 900мм, глубина до 600мм.</t>
  </si>
  <si>
    <t>Подтоварник 1200х800х500 ПДН</t>
  </si>
  <si>
    <t>Подтоварник серии Профи 1200х800х500 ПДН</t>
  </si>
  <si>
    <t>28.29.50.00.00.00.10.10.1</t>
  </si>
  <si>
    <t>машина посудомоечная промышленного типа</t>
  </si>
  <si>
    <t>фронтальная посудомоечная машина с производительностью 550 тарелок (1500 стаканов)</t>
  </si>
  <si>
    <t>Посудомоечная машина МПК500Ф</t>
  </si>
  <si>
    <t>Прилавок нейтральный 1500х1040х870</t>
  </si>
  <si>
    <t>28.25.13.00.00.00.12.10.1</t>
  </si>
  <si>
    <t>прилавок холодильный</t>
  </si>
  <si>
    <t>прилавок, прилавок-витрина холодильные для хранения замороженных пищевых продуктов</t>
  </si>
  <si>
    <t>Прилавок охлажденный открытый1500х700х870 2ПВО-15/7Н</t>
  </si>
  <si>
    <t>Прилавок столовых приборов 600х700х1600</t>
  </si>
  <si>
    <t>Профессиональная сушильная камера LS250</t>
  </si>
  <si>
    <t>31.09.11.00.00.00.38.10.1</t>
  </si>
  <si>
    <t xml:space="preserve"> Стол</t>
  </si>
  <si>
    <t>производственный, для столовых</t>
  </si>
  <si>
    <t>Рабочая поверхность</t>
  </si>
  <si>
    <t>25.99.21.00.00.11.10.10.1</t>
  </si>
  <si>
    <t>Сейф</t>
  </si>
  <si>
    <t xml:space="preserve"> Сейфы несгораемые металлические</t>
  </si>
  <si>
    <t>31.09.11.00.00.00.30.05.1</t>
  </si>
  <si>
    <t xml:space="preserve"> Скамья</t>
  </si>
  <si>
    <t xml:space="preserve"> хозяйственная, металлокаркасная</t>
  </si>
  <si>
    <t>Скамья для мытья</t>
  </si>
  <si>
    <t>Скамья дляраздевания одноместная 1000х500х450</t>
  </si>
  <si>
    <t>27.51.28.02.02.05.00.10.1</t>
  </si>
  <si>
    <t>Сковорода электрическая С/Э-7/8Н</t>
  </si>
  <si>
    <t>31.09.11.00.00.00.35.01.1</t>
  </si>
  <si>
    <t xml:space="preserve"> Стеллаж</t>
  </si>
  <si>
    <t xml:space="preserve"> металлический, для хранения хлеба в лотках</t>
  </si>
  <si>
    <t>Стеллаж сборно разборный 1500х500х2000 CРМ-03</t>
  </si>
  <si>
    <t>31.01.13.00.00.00.11.06.1</t>
  </si>
  <si>
    <t xml:space="preserve"> Стенды</t>
  </si>
  <si>
    <t xml:space="preserve"> металлические</t>
  </si>
  <si>
    <t>Стенд открытый со всех сторон 1100х630х850 СПРП-2</t>
  </si>
  <si>
    <t>27.51.13.00.01.01.04.70.1</t>
  </si>
  <si>
    <t>Машина стиральная</t>
  </si>
  <si>
    <t xml:space="preserve"> Автоматическая. Класс стирки А. Класс отжима D. Загрузка белья от 8 и более кг.</t>
  </si>
  <si>
    <t>Стирально отжимная машина</t>
  </si>
  <si>
    <t>31.01.12.00.00.02.01.73.1</t>
  </si>
  <si>
    <t>стол</t>
  </si>
  <si>
    <t xml:space="preserve"> приставной из ЛДСП</t>
  </si>
  <si>
    <t>Стол 1000х6000х750</t>
  </si>
  <si>
    <t>Стол журнальный</t>
  </si>
  <si>
    <t>Стол журнальный 900х450х550</t>
  </si>
  <si>
    <t xml:space="preserve">Стол </t>
  </si>
  <si>
    <t>Стол компьютерный</t>
  </si>
  <si>
    <t>Стол палатный</t>
  </si>
  <si>
    <t>Стол производственный 1100х630х850</t>
  </si>
  <si>
    <t>31.01.12.00.00.02.01.63.1</t>
  </si>
  <si>
    <t>Стол рабочий СРНП 1150/600</t>
  </si>
  <si>
    <t>31.09.11.00.00.00.12.10.1</t>
  </si>
  <si>
    <t xml:space="preserve"> обеденный, в комплекте с двумя скамьями, 6-местный </t>
  </si>
  <si>
    <t>Стол с 6 стульями</t>
  </si>
  <si>
    <t xml:space="preserve">Стул </t>
  </si>
  <si>
    <t>31.00.11.00.00.01.01.02.1</t>
  </si>
  <si>
    <t xml:space="preserve"> Мягкое сидение из ткани; каркас и спинка металлические.</t>
  </si>
  <si>
    <t>Стул рабочий полумягкий</t>
  </si>
  <si>
    <t>31.00.11.00.00.01.01.01.1</t>
  </si>
  <si>
    <t>Мягкое сидение из искусственной кожи; каркас и спинка металлическая.</t>
  </si>
  <si>
    <t>Стулья</t>
  </si>
  <si>
    <t>32.99.59.00.00.00.30.10.1</t>
  </si>
  <si>
    <t>Сушилка</t>
  </si>
  <si>
    <t xml:space="preserve"> для белья напольная, металлическая</t>
  </si>
  <si>
    <t>Сушилка для белья</t>
  </si>
  <si>
    <t>26.40.20.12.12.11.11.11.1</t>
  </si>
  <si>
    <t>Телевизор</t>
  </si>
  <si>
    <t xml:space="preserve"> Плоский экран</t>
  </si>
  <si>
    <t>32.30.15.00.00.00.12.30.1</t>
  </si>
  <si>
    <t>Оборудование и инвентарь для настольного тенниса</t>
  </si>
  <si>
    <t>Столы для настольного тенниса</t>
  </si>
  <si>
    <t>27.51.24.00.03.02.02.30.1</t>
  </si>
  <si>
    <t xml:space="preserve"> Электротостер</t>
  </si>
  <si>
    <t>С металлическим нагревательным элементом. С антипригарным покрытием. 6 ячеек.</t>
  </si>
  <si>
    <t>Тостер ИОР-3</t>
  </si>
  <si>
    <t>31.09.12.00.00.01.03.01.1</t>
  </si>
  <si>
    <t xml:space="preserve">Тумба </t>
  </si>
  <si>
    <t xml:space="preserve"> Тумбочка прикроватная</t>
  </si>
  <si>
    <t>Тумба прикроватная</t>
  </si>
  <si>
    <t>27.51.24.05.01.02.02.70.1</t>
  </si>
  <si>
    <t>Фритюрница</t>
  </si>
  <si>
    <t>С чашей из нержавеющей стали с антипригарным покрытием. Объем чаши на 4 литра масла.</t>
  </si>
  <si>
    <t>Фритюрница электрическая ФЭС-8/7Н</t>
  </si>
  <si>
    <t>28.93.17.00.00.00.01.04.1</t>
  </si>
  <si>
    <t>Машина для разрезания хлеба, пирожных и т.п.</t>
  </si>
  <si>
    <t xml:space="preserve"> Машина для разрезания хлеба, пирожных и т.п.</t>
  </si>
  <si>
    <t>Хлеборезка АХМ-300</t>
  </si>
  <si>
    <t>Ширма медицинская</t>
  </si>
  <si>
    <t>31.01.12.00.00.03.02.08.1</t>
  </si>
  <si>
    <t xml:space="preserve">Шкаф </t>
  </si>
  <si>
    <t>шкаф для одежды, материал изготовления МДФ и ЛДСП</t>
  </si>
  <si>
    <t>Шкаф для одежды 400х400х1650</t>
  </si>
  <si>
    <t>31.01.12.00.00.03.02.15.1</t>
  </si>
  <si>
    <t xml:space="preserve"> шкаф для одежды, материал изготовления ЛДСП</t>
  </si>
  <si>
    <t>Шкаф для одежды 800х500х1650</t>
  </si>
  <si>
    <t>31.01.12.00.00.03.02.20.1</t>
  </si>
  <si>
    <t>шкаф для одежды, материал изготовления ЛДСП и ДСП</t>
  </si>
  <si>
    <t>Шкаф для одежды 900х600х1650</t>
  </si>
  <si>
    <t>31.02.10.00.00.01.03.02.1</t>
  </si>
  <si>
    <t>Шкаф для посуды / бар из массива древесины. Внутри располагаются полки и выдвижные ящики (для салфеток, скатертей, полотенец). Распашные дверцы обиты кожей (квадратные детали сшиты вручную) или полностью выполнены из древесины. Фасады снабжены металлическими ручками.</t>
  </si>
  <si>
    <t>Шкаф для посуды 1200 х500х1800</t>
  </si>
  <si>
    <t>32.50.30.00.00.00.11.27.1</t>
  </si>
  <si>
    <t>Шкаф для медицинских учреждений</t>
  </si>
  <si>
    <t>Шкаф кабинета врача</t>
  </si>
  <si>
    <t>31.09.12.00.00.01.04.01.1</t>
  </si>
  <si>
    <t>Шкаф кабинетный для книг</t>
  </si>
  <si>
    <t>28.25.13.00.00.00.11.10.1</t>
  </si>
  <si>
    <t>Шкаф холодильный SILVER</t>
  </si>
  <si>
    <t>шкаф холодильный с температурой хранения 0- +7 градусов</t>
  </si>
  <si>
    <t>28.25.13.00.00.00.11.11.1</t>
  </si>
  <si>
    <t>Шкаф холодильный Климат</t>
  </si>
  <si>
    <t>шкаф холодильный с температурой хранения +1- +12 градусов</t>
  </si>
  <si>
    <t>Электрокаменка размеры банного помещения 23-30м3 в комплекте с пультом управления</t>
  </si>
  <si>
    <t>27.51.26.02.02.01.00.20.1</t>
  </si>
  <si>
    <t>Электроконвектор</t>
  </si>
  <si>
    <t>Настенный. С принудительной циркуляцией воздуха (циркулируют воздух с помощью встроенного вентилятора).</t>
  </si>
  <si>
    <t>Электроконвекторы SPOT E II 1000Вт 420х440х80</t>
  </si>
  <si>
    <t>Электроконвекторы SPOT E II 1000Вт 500х440х80</t>
  </si>
  <si>
    <t>Электроконвекторы SPOT E II 1250Вт 500х440х80</t>
  </si>
  <si>
    <t>Электроконвекторы SPOT E II 1500Вт 500х440х80</t>
  </si>
  <si>
    <t>Электроконвекторы SPOT E II 1500Вт 660х440х80</t>
  </si>
  <si>
    <t>Электроконвекторы SPOT E II 1750-2000Вт 500х440х80</t>
  </si>
  <si>
    <t>Электроконвекторы SPOT E II 1750Вт 500х440х80</t>
  </si>
  <si>
    <t>Электроконвекторы SPOT E II 1750Вт 660х440х80</t>
  </si>
  <si>
    <t>Электроконвекторы SPOT E II 2000Вт 660х440х80</t>
  </si>
  <si>
    <t>22.29.23.00.00.00.10.11.1</t>
  </si>
  <si>
    <t>Бак пищевой</t>
  </si>
  <si>
    <t xml:space="preserve"> Бак пластиковый пищевой 105л</t>
  </si>
  <si>
    <t>Бак для пищевых отходов V-100л</t>
  </si>
  <si>
    <t>23.13.13.00.00.11.03.21.1</t>
  </si>
  <si>
    <t>Тарелка глубокая (суповая)</t>
  </si>
  <si>
    <t>22.29.23.00.00.00.20.11.1</t>
  </si>
  <si>
    <t xml:space="preserve">Совок </t>
  </si>
  <si>
    <t xml:space="preserve"> Совок пластиковый для сыпучих продуктов</t>
  </si>
  <si>
    <t>Совок для сыпучих продуктов</t>
  </si>
  <si>
    <t>31.02.10.30.00.10.20.10.1</t>
  </si>
  <si>
    <t>Колода</t>
  </si>
  <si>
    <t>для рубки мяса</t>
  </si>
  <si>
    <t>Колода разрубочная</t>
  </si>
  <si>
    <t>25.71.14.00.00.50.14.10.1</t>
  </si>
  <si>
    <t>Щипцы универсальные (для раздачи, на пружине) из нерж.стали</t>
  </si>
  <si>
    <t>25.99.12.12.00.00.00.19.1</t>
  </si>
  <si>
    <t xml:space="preserve">Чайник </t>
  </si>
  <si>
    <t>вместимостью 5л</t>
  </si>
  <si>
    <t>Чайник 5л из нерж.стали</t>
  </si>
  <si>
    <t>25.71.14.00.00.10.20.10.1</t>
  </si>
  <si>
    <t>Ложка мерная</t>
  </si>
  <si>
    <t>из нержавеющей стали, в наборе</t>
  </si>
  <si>
    <t>Набор мерных ложек из нерж.стали 6шт</t>
  </si>
  <si>
    <t>25.71.14.00.00.50.17.10.1</t>
  </si>
  <si>
    <t>Шумовка</t>
  </si>
  <si>
    <t>из нержавеющей стали</t>
  </si>
  <si>
    <t>Шумовка из нерж.стали, диаметр 110мм</t>
  </si>
  <si>
    <t>Шумовка из нерж.стали</t>
  </si>
  <si>
    <t>25.71.14.00.00.70.27.30.1</t>
  </si>
  <si>
    <t>Черпак</t>
  </si>
  <si>
    <t>Черпак (половник с длинной ручкой) из нерж.стали</t>
  </si>
  <si>
    <t>25.71.14.00.00.50.22.10.1</t>
  </si>
  <si>
    <t>Тяпка</t>
  </si>
  <si>
    <t>для отбивания мяса, из нержавеющей стали</t>
  </si>
  <si>
    <t>Тяпка для отбивания мяса</t>
  </si>
  <si>
    <t>25.99.23.00.00.11.15.20.1</t>
  </si>
  <si>
    <t>Дырокол</t>
  </si>
  <si>
    <t>механическое устройство для установки люверсов</t>
  </si>
  <si>
    <t>Дырокол для мяса</t>
  </si>
  <si>
    <t>25.73.10.00.00.20.16.10.1</t>
  </si>
  <si>
    <t>Поварской топор</t>
  </si>
  <si>
    <t>Топор-тупица (мясорубный)</t>
  </si>
  <si>
    <t>25.71.14.00.00.59.40.10.2</t>
  </si>
  <si>
    <t>для овощей и фруктов, материал рабочей поверхности из нержавеющей стали</t>
  </si>
  <si>
    <t>Терка с насадками (профессиональная)</t>
  </si>
  <si>
    <t>23.44.11.00.00.00.19.70.1</t>
  </si>
  <si>
    <t>Ступка</t>
  </si>
  <si>
    <t>Ступка фарфоровая 7  ГОСТ 9147-80 с наибольшим наружным диаметром 240мм</t>
  </si>
  <si>
    <t>Ступка с пестиком</t>
  </si>
  <si>
    <t>22.29.23.00.00.00.34.10.1</t>
  </si>
  <si>
    <t>Сито</t>
  </si>
  <si>
    <t>для муки, из пластмассы</t>
  </si>
  <si>
    <t>Сито для просеивания муки из нерж.стали, диаметр 420мм</t>
  </si>
  <si>
    <t>Сито для просеивания муки из нерж.стали, диаметр 300мм</t>
  </si>
  <si>
    <t>16.29.12.00.00.00.00.16.1</t>
  </si>
  <si>
    <t>Скалка</t>
  </si>
  <si>
    <t>деревянная</t>
  </si>
  <si>
    <t>Скалка с ручкой</t>
  </si>
  <si>
    <t>22.29.23.00.00.00.17.74.1</t>
  </si>
  <si>
    <t>полиэтиленовая</t>
  </si>
  <si>
    <t>Скалка с вращающимися ручками</t>
  </si>
  <si>
    <t>Скалка без ручки</t>
  </si>
  <si>
    <t>25.71.14.00.00.10.13.10.2</t>
  </si>
  <si>
    <t>Нож</t>
  </si>
  <si>
    <t>Ножи из нержавеющей стали для масла и рыбы</t>
  </si>
  <si>
    <t>Нож-щетка для чистки рыбы (скребок) из нерж.стали</t>
  </si>
  <si>
    <t>25.99.12.13.00.00.00.11.1</t>
  </si>
  <si>
    <t>Сковорода</t>
  </si>
  <si>
    <t>вместимостью 0,6л</t>
  </si>
  <si>
    <t>Сковорода чугунная для оладий, яйц, диаметр 230мм (7 ячеек)</t>
  </si>
  <si>
    <t>25.99.12.13.00.00.00.13.1</t>
  </si>
  <si>
    <t>вместимостью 1л</t>
  </si>
  <si>
    <t>Сковорода алюминиевая с тефлоновым покрытием с ручкой, диаметр 420мм</t>
  </si>
  <si>
    <t>25.99.12.13.00.00.00.14.1</t>
  </si>
  <si>
    <t>вместимостью 1,5л</t>
  </si>
  <si>
    <t>Сковорода алюминиевая с тефлоновым покрытием с ручкой, диаметр 260мм</t>
  </si>
  <si>
    <t>25.99.12.13.00.00.00.15.1</t>
  </si>
  <si>
    <t>вместимостью 2л</t>
  </si>
  <si>
    <t>Сковорода чугунная без ручек, диаметр 340мм</t>
  </si>
  <si>
    <t>25.99.12.13.00.00.00.16.1</t>
  </si>
  <si>
    <t>вместимостью 2,5л</t>
  </si>
  <si>
    <t>Сковорода чугунная без ручек, диаметр 280мм</t>
  </si>
  <si>
    <t>25.99.12.13.00.00.00.17.1</t>
  </si>
  <si>
    <t>вместимостью 3 л</t>
  </si>
  <si>
    <t>Сковорода алюминиевая без ручек, диаметр 340мм</t>
  </si>
  <si>
    <t>Сковорода алюминиевая без ручек, диаметр 300мм</t>
  </si>
  <si>
    <t>Сковорода алюминиевая без ручек, диаметр 260мм</t>
  </si>
  <si>
    <t>Сковорода алюминиевая без ручек, диаметр 220мм</t>
  </si>
  <si>
    <t>Противень алюминиевый с тефлоновым покрытием (для рыбы)</t>
  </si>
  <si>
    <t>27.51.30.30.20.20.20.10.1</t>
  </si>
  <si>
    <t>Противень</t>
  </si>
  <si>
    <t>для печи</t>
  </si>
  <si>
    <t>Противень алюминиевый с тефлоновым покрытием</t>
  </si>
  <si>
    <t>25.71.14.00.00.58.10.10.1</t>
  </si>
  <si>
    <t>Ножницы разделочные</t>
  </si>
  <si>
    <t>Ножницы-секаторы для куринных костей из нерж.стали</t>
  </si>
  <si>
    <t>25.71.11.00.00.10.20.10.2</t>
  </si>
  <si>
    <t>специальные ножи</t>
  </si>
  <si>
    <t>Нож шпиговальный (универсальный поварской) из нерж.стали</t>
  </si>
  <si>
    <t>Нож поварской для нарезки (колбасы, ветчины, сыра, лимонов и др.) из нерж.стали</t>
  </si>
  <si>
    <t>Нож для разделки рыбы</t>
  </si>
  <si>
    <t>Нож-пила с крупными зубцами</t>
  </si>
  <si>
    <t>Нож-пила с мелкими зубцами</t>
  </si>
  <si>
    <t>Нож-рубак хромированный (большой)</t>
  </si>
  <si>
    <t>Нож-рубак хромированный (малый)</t>
  </si>
  <si>
    <t>Нож для выемки костей из нерж.стали</t>
  </si>
  <si>
    <t>Нож для обвалки мяса (большой) из нерж.стали</t>
  </si>
  <si>
    <t>Нож для обвалки мяса (малый) из нерж.стали</t>
  </si>
  <si>
    <t>25.71.11.00.00.10.19.10.2</t>
  </si>
  <si>
    <t>столовые ножи</t>
  </si>
  <si>
    <t>Ножи "Поварская тройка" из нерж.стали</t>
  </si>
  <si>
    <t>Муссат из нерж.стали</t>
  </si>
  <si>
    <t>25.71.14.00.00.50.18.10.1</t>
  </si>
  <si>
    <t>Молоток для отбивания мяса из нерж.стали</t>
  </si>
  <si>
    <t>Топорик-секач стальной для кухни</t>
  </si>
  <si>
    <t>25.71.14.00.00.11.11.10.2</t>
  </si>
  <si>
    <t>Лопатка</t>
  </si>
  <si>
    <t>из нержавеющей стали. Имеет форму, напоминающую плоский совок, для перекладывания мясных и овощных блюд, паштета, кондитерских изделий</t>
  </si>
  <si>
    <t>Лопатка для полуфабрикатов из нерж.стали</t>
  </si>
  <si>
    <t>Лопатка кондитерская (палет гнутый) из нерж.стали</t>
  </si>
  <si>
    <t>Лопатка перфорированная для котлет и рыбы из нерж.стали</t>
  </si>
  <si>
    <t>Лопатка перфорированная для блинов из нерж.стали</t>
  </si>
  <si>
    <t>Лопатка для блинов из нерж.стали</t>
  </si>
  <si>
    <t>25.99.12.14.00.00.00.10.1</t>
  </si>
  <si>
    <t>Поднос</t>
  </si>
  <si>
    <t>Поднос (разнос) прямоугольный из нерж.стали, 400х300х20</t>
  </si>
  <si>
    <t>25.71.14.00.00.50.10.10.1</t>
  </si>
  <si>
    <t>Ложка</t>
  </si>
  <si>
    <t>Ложка соусная из нерж.стали</t>
  </si>
  <si>
    <t>Ложка соусная из нерж.стали V-300мл</t>
  </si>
  <si>
    <t>Ложка соусная из нерж.стали V-90мл</t>
  </si>
  <si>
    <t>Ложка соусная из нерж.стали V-70мл</t>
  </si>
  <si>
    <t>Ложка для пасты из нерж.стали</t>
  </si>
  <si>
    <t>Ложка раздаточная порционная из нерж.стали</t>
  </si>
  <si>
    <t>Ложка порционная для жиров из нерж.стали</t>
  </si>
  <si>
    <t>Ложка порционная для сахара из нерж.стали</t>
  </si>
  <si>
    <t>25.71.14.00.00.11.10.10.2</t>
  </si>
  <si>
    <t>Половник</t>
  </si>
  <si>
    <t>Столовый прибор из нержавеющей стали</t>
  </si>
  <si>
    <t>Ложка разливательная (половник) из нерж.стали V-500мл</t>
  </si>
  <si>
    <t>Ложка разливательная (половник) из нерж.стали V-250мл</t>
  </si>
  <si>
    <t>25.71.14.00.00.50.20.10.1</t>
  </si>
  <si>
    <t>Консервооткрыватель</t>
  </si>
  <si>
    <t>Из нержавеющей стали</t>
  </si>
  <si>
    <t>Открывашка для консервных банок из нерж.стали</t>
  </si>
  <si>
    <t>25.99.12.27.00.00.00.10.1</t>
  </si>
  <si>
    <t>Дуршлаг</t>
  </si>
  <si>
    <t>Ковш-сачок глубокое (сито-дуршлак) из нерж.стали</t>
  </si>
  <si>
    <t>Котел</t>
  </si>
  <si>
    <t>металлический, для приготовления пищи</t>
  </si>
  <si>
    <t>Котел (кастрюля) для варки рыбы из нерж.стали внутри перфорированное съемное дно, длина 61см</t>
  </si>
  <si>
    <t>Котел (кастрюля) для диетических блюд из нерж.стали V-25л</t>
  </si>
  <si>
    <t>Котел (кастрюля) алюминиевый V-50л</t>
  </si>
  <si>
    <t>Котел (кастрюля) из нерж.стали V-50л</t>
  </si>
  <si>
    <t>Котел (кастрюля) алюминиевый V-40л</t>
  </si>
  <si>
    <t>Котел (кастрюля) из нерж.стали V-36л</t>
  </si>
  <si>
    <t>Котел (кастрюля) алюминиевый V-30л</t>
  </si>
  <si>
    <t>Котел (кастрюля) из нерж.стали V-25л</t>
  </si>
  <si>
    <t>Котел (кастрюля) алюминиевый V-20л</t>
  </si>
  <si>
    <t>Котел (бак) эмалированный V-20л</t>
  </si>
  <si>
    <t>25.99.12.10.00.00.00.23.1</t>
  </si>
  <si>
    <t>Кастрюля</t>
  </si>
  <si>
    <t>вместимостью 12л</t>
  </si>
  <si>
    <t>Кастрюля алюминиевая V-10л</t>
  </si>
  <si>
    <t>25.99.12.10.00.00.00.22.1</t>
  </si>
  <si>
    <t>вместимостью 9л</t>
  </si>
  <si>
    <t>Кастрюля эмалированная V-9л</t>
  </si>
  <si>
    <t>25.99.12.10.00.00.00.21.1</t>
  </si>
  <si>
    <t>вместимостью 7л</t>
  </si>
  <si>
    <t>Кастрюля алюминиевая V-8л</t>
  </si>
  <si>
    <t>25.99.12.10.00.00.00.20.1</t>
  </si>
  <si>
    <t>вместимостью 5,5л</t>
  </si>
  <si>
    <t>Кастрюля из нерж.стали V-6,5л</t>
  </si>
  <si>
    <t>Кастрюля алюминиевая V-6л</t>
  </si>
  <si>
    <t>Кастрюля эмалированная V-5,5л</t>
  </si>
  <si>
    <t>25.99.12.10.00.00.00.17.1</t>
  </si>
  <si>
    <t>вместимостью 4л</t>
  </si>
  <si>
    <t>Кастрюля алюминиевая V-4л</t>
  </si>
  <si>
    <t>25.99.12.10.00.00.00.16.1</t>
  </si>
  <si>
    <t>вместимостью 3,5л</t>
  </si>
  <si>
    <t>Кастрюля эмалированная V-3,5л</t>
  </si>
  <si>
    <t>25.99.12.10.00.00.00.15.1</t>
  </si>
  <si>
    <t>вместимостью 3л</t>
  </si>
  <si>
    <t>Кастрюля алюминиевая V-3л</t>
  </si>
  <si>
    <t>25.99.12.10.00.00.00.13.1</t>
  </si>
  <si>
    <t>Кастрюля из нерж.стали V-2л</t>
  </si>
  <si>
    <t>25.99.12.10.00.00.00.12.1</t>
  </si>
  <si>
    <t>Кастрюля-сотейник алюминиевая V-1,5л</t>
  </si>
  <si>
    <t>Дуршлаг на подставке с двумя ручками из нерж.стали</t>
  </si>
  <si>
    <t>Дуршлаг миска из нерж.стали диаметр 40см</t>
  </si>
  <si>
    <t>16.29.12.00.00.00.00.15.1</t>
  </si>
  <si>
    <t>Доска</t>
  </si>
  <si>
    <t>разделочная деревянная</t>
  </si>
  <si>
    <t>Доска разделочная,размеры 385х210х20мм</t>
  </si>
  <si>
    <t>Доска разделочная,размеры 400х300х20мм</t>
  </si>
  <si>
    <t>22.21.29.00.00.27.40.10.1</t>
  </si>
  <si>
    <t>Держатель</t>
  </si>
  <si>
    <t>прочие, не включенные в другие группировки</t>
  </si>
  <si>
    <t>Держатель для разливательных ложек</t>
  </si>
  <si>
    <t>Держатель для ножей</t>
  </si>
  <si>
    <t>25.71.14.00.00.10.11.10.2</t>
  </si>
  <si>
    <t>Вилки столовые и десертные из нержавеющей стали</t>
  </si>
  <si>
    <t>Вилка поварская малая</t>
  </si>
  <si>
    <t>Вилка поварская большая</t>
  </si>
  <si>
    <t>25.71.14.00.00.11.13.10.1</t>
  </si>
  <si>
    <t>Венчик</t>
  </si>
  <si>
    <t>Из нержавеющей стали, спицевой, длина 30 см.</t>
  </si>
  <si>
    <t>25.92.11.00.00.12.10.12.1</t>
  </si>
  <si>
    <t>для воды, оцинкованное, вместимостью от 7 до 9 л, ГОСТ 20558-82</t>
  </si>
  <si>
    <t>Ведро V-8л</t>
  </si>
  <si>
    <t>22.29.23.00.00.00.10.16.1</t>
  </si>
  <si>
    <t>Бак пластиковый пищевой 65л</t>
  </si>
  <si>
    <t>Бак для сбора костей V-70л</t>
  </si>
  <si>
    <t>23.49.11.00.00.00.00.20.1</t>
  </si>
  <si>
    <t>Банка</t>
  </si>
  <si>
    <t>Банки керамические</t>
  </si>
  <si>
    <t>Баночки для приправ 4шт.(горчичницы)</t>
  </si>
  <si>
    <t>23.13.13.00.00.11.03.31.1</t>
  </si>
  <si>
    <t xml:space="preserve">Тарелка </t>
  </si>
  <si>
    <t>Крупная тарелка из стекла.  Высота свыше 200 мм до 300 мм включительно,  диаметр или длина свыше 150 мм до 250 мм включительно, полная вместимость свыше  500 см3 до 1000 см3 включительно. ГОСТ 30407-96</t>
  </si>
  <si>
    <t>Тарелка закусочная</t>
  </si>
  <si>
    <t>Вилка столовая</t>
  </si>
  <si>
    <t>23.41.11.10.10.10.20.40.2</t>
  </si>
  <si>
    <t>Чайная пара</t>
  </si>
  <si>
    <t>комплект чашек с блюдцами на две персоны из фарфора</t>
  </si>
  <si>
    <t>Чайная пара с блюдцем</t>
  </si>
  <si>
    <t>23.13.13.00.00.00.11.10.1</t>
  </si>
  <si>
    <t>Салатница</t>
  </si>
  <si>
    <t>салатница из стекла.  ГОСТ 30407-96</t>
  </si>
  <si>
    <t>Салатник</t>
  </si>
  <si>
    <t>16.29.12.00.00.00.00.25.1</t>
  </si>
  <si>
    <t>Хлебница</t>
  </si>
  <si>
    <t>плетеная</t>
  </si>
  <si>
    <t>Хлебница плетенная</t>
  </si>
  <si>
    <t>22.29.23.00.00.00.17.79.1</t>
  </si>
  <si>
    <t>Салфетница</t>
  </si>
  <si>
    <t>пластиковая</t>
  </si>
  <si>
    <t>Набор для специй</t>
  </si>
  <si>
    <t>22.29.23.00.00.00.14.82.1</t>
  </si>
  <si>
    <t>Кружка</t>
  </si>
  <si>
    <t>Кружка 300мл</t>
  </si>
  <si>
    <t>23.19.23.00.00.12.06.31.1</t>
  </si>
  <si>
    <t>из стеклоуглерода</t>
  </si>
  <si>
    <t>Стакан 250мл</t>
  </si>
  <si>
    <t>Ложка столовая</t>
  </si>
  <si>
    <t>Ложка чайная</t>
  </si>
  <si>
    <t>Нож столовый</t>
  </si>
  <si>
    <t>23.13.13.00.00.11.03.11.1</t>
  </si>
  <si>
    <t>Мелкая тарелка из стекла. Высота до 100 мм включительно,  диаметр или длина до 100 мм включительно, полная вместимость до 100 см3 включительно. ГОСТ 30407-96</t>
  </si>
  <si>
    <t>Тарелка мелкая</t>
  </si>
  <si>
    <t>13.92.12.00.00.14.32.00.1</t>
  </si>
  <si>
    <t>Постельное белье из хлопка</t>
  </si>
  <si>
    <t>Полуторный комплект постельного белья из хлопка плотности плетения выше среднего (65-80 нитей/см2). Состоит обычно из одного пододеяльника, одной простыни и одной или двух наволочек  , ГОСТ 31307-2005</t>
  </si>
  <si>
    <t>Комплект постельного белья, бязь, 1,5 спальный (1 простыня, 1 пододеяльник, 2 наволочки 70х70)</t>
  </si>
  <si>
    <t>13.92.24.00.00.00.92.45.1</t>
  </si>
  <si>
    <t>Матрац</t>
  </si>
  <si>
    <t>из хлопка</t>
  </si>
  <si>
    <t>Матрац ватный, 1,5 спальный, размер 90х190см</t>
  </si>
  <si>
    <t>13.92.14.00.00.00.12.01.1</t>
  </si>
  <si>
    <t>Полотенце</t>
  </si>
  <si>
    <t>махровое</t>
  </si>
  <si>
    <t>Полотенце махровое 50х90см</t>
  </si>
  <si>
    <t>Полотенце махровое 70х140см</t>
  </si>
  <si>
    <t>13.92.16.00.00.10.10.10.1</t>
  </si>
  <si>
    <t>Покрывало</t>
  </si>
  <si>
    <t>Покрывало спальное из хлопка взрослое, размером 150*200 см</t>
  </si>
  <si>
    <t>Покрывало, размер 150х200см</t>
  </si>
  <si>
    <t>13.92.24.00.00.00.84.10.1</t>
  </si>
  <si>
    <t>Подушка</t>
  </si>
  <si>
    <t>Подушки спальные пухо-перьевые, размером 70*70 см</t>
  </si>
  <si>
    <t>Подушка пух-перо, размер 70х70см</t>
  </si>
  <si>
    <t>13.92.11.00.00.11.11.10.1</t>
  </si>
  <si>
    <t>Одеяло</t>
  </si>
  <si>
    <t>Одеяла с открытой шерстью зимние(двойные), полуторные, размером 150*200 см , ГОСТ 9382-78</t>
  </si>
  <si>
    <t>Одеяло из верблюжей шерсти, стеганное, 1,5 спальный</t>
  </si>
  <si>
    <t>22.29.23.00.00.00.32.50.1</t>
  </si>
  <si>
    <t>держатель для туалетной бумаги</t>
  </si>
  <si>
    <t>32.91.12.00.00.00.12.60.1</t>
  </si>
  <si>
    <t>Щетка и кисть туалетная</t>
  </si>
  <si>
    <t>Щетки туалетные для ухода за внешностью, из резины или пластмасс</t>
  </si>
  <si>
    <t>Ершик с подставкой</t>
  </si>
  <si>
    <t>22.29.23.00.00.00.32.51.1</t>
  </si>
  <si>
    <t>для полотенец</t>
  </si>
  <si>
    <t>Полотенцедержатель</t>
  </si>
  <si>
    <t>22.29.23.00.00.00.47.11.1</t>
  </si>
  <si>
    <t>Мыльница</t>
  </si>
  <si>
    <t>28.93.13.00.00.00.11.02.1</t>
  </si>
  <si>
    <t>Дозатор для жидких и сыпучих ингредиентов</t>
  </si>
  <si>
    <t>Дозатор для жидкого мыла</t>
  </si>
  <si>
    <t>23.12.13.00.00.22.10.10.1</t>
  </si>
  <si>
    <t>32.99.86.00.00.00.39.10.1</t>
  </si>
  <si>
    <t>Полочка</t>
  </si>
  <si>
    <t>для душевой кабины</t>
  </si>
  <si>
    <t>25.99.29.00.04.10.14.10.1</t>
  </si>
  <si>
    <t>Вешалка</t>
  </si>
  <si>
    <t>Вешалки для полотенец (кроме вешалок для верхней одежды, имеющих отличительные признаки мебели)</t>
  </si>
  <si>
    <t>Полка для полотенец с крючками</t>
  </si>
  <si>
    <t>25.99.29.00.10.02.00.10.1</t>
  </si>
  <si>
    <t>Урна</t>
  </si>
  <si>
    <t>металлическая, для мусора</t>
  </si>
  <si>
    <t>Урна напольная с педалью и откидывающейся крышкой</t>
  </si>
  <si>
    <t>в течение 30 дней с даты вступления в силу договора</t>
  </si>
  <si>
    <t>в течение 60 дней с даты вступления в силу договора</t>
  </si>
  <si>
    <t>Вода питьевая для разогрева битума и изготовления бетонных блоков</t>
  </si>
  <si>
    <t>декабрь 2013г, январь  2014г</t>
  </si>
  <si>
    <t>РК, Мангистауская область, Таучик и п.Ынтымак</t>
  </si>
  <si>
    <t>с января по декабрь 2014 г</t>
  </si>
  <si>
    <t>авансовый платеж-100% в течении 5 рабочих дней после получения счета на оплату</t>
  </si>
  <si>
    <t>ежемесячно, по заявке с января по декабрь</t>
  </si>
  <si>
    <t xml:space="preserve">авансовый платеж - 0%,  90 %  в течении 30 кал. дней с даты подписания акта приема-передачи товаров, 10% после акта сверки взаиморасчета </t>
  </si>
  <si>
    <t>декабрь 2013г, март, апрель  2014г</t>
  </si>
  <si>
    <t>ежемесячно, с  января по декабрь</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</si>
  <si>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</si>
  <si>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</si>
  <si>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</si>
  <si>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</si>
  <si>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АСМУ.</t>
  </si>
  <si>
    <t>в течение 45 дней с даты заключения договора</t>
  </si>
  <si>
    <t>авансовый платеж -30%, оставшаяся часть в течении 30 рабочих дней с момента подписания акта приема-передачи поставленных товаров</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</si>
  <si>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</si>
  <si>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</si>
  <si>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</si>
  <si>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Костюм летний для ИТР.</t>
  </si>
  <si>
    <t>декабрь 2013г, январь  2014г, апрель</t>
  </si>
  <si>
    <t>Костюм зимний для ИТР.</t>
  </si>
  <si>
    <t>14.12.11.00.00.91.10.19.1</t>
  </si>
  <si>
    <t>Костюм</t>
  </si>
  <si>
    <t>брезентовый, для защиты от искр и брызг расплавленного металла</t>
  </si>
  <si>
    <t>Костюм летний сварочный.</t>
  </si>
  <si>
    <t>Костюм зимний сварочный.</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</si>
  <si>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</si>
  <si>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</si>
  <si>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</si>
  <si>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</si>
  <si>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14.12.11.00.00.20.10.10.1</t>
  </si>
  <si>
    <t>Из 100% хлопка. Комплект мужской. Состоит из куртки и брюк, зимний. ГОСТ 19216-81</t>
  </si>
  <si>
    <t>Костюм зимний для СБ.</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</si>
  <si>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</si>
  <si>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</si>
  <si>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</si>
  <si>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</si>
  <si>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пара</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</si>
  <si>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</si>
  <si>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</si>
  <si>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</si>
  <si>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</si>
  <si>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</si>
  <si>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</si>
  <si>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</si>
  <si>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</si>
  <si>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</si>
  <si>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</si>
  <si>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</si>
  <si>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июль, август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</si>
  <si>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</si>
  <si>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</si>
  <si>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</si>
  <si>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14.12.30.00.00.80.16.25.1</t>
  </si>
  <si>
    <t>Перчатки технические</t>
  </si>
  <si>
    <t>комбинированные, спилковые с х/б, усиленные</t>
  </si>
  <si>
    <t>Перчатки комбинированные, ладонная часть усилена</t>
  </si>
  <si>
    <t>фераль, март</t>
  </si>
  <si>
    <t>14.12.30.00.00.80.16.47.1</t>
  </si>
  <si>
    <t>Перчатки</t>
  </si>
  <si>
    <t>резиновые промышленного назначения ТУ 38.306-6-15-91</t>
  </si>
  <si>
    <t>Перчатки полимерные</t>
  </si>
  <si>
    <t>14.12.30.00.00.80.16.50.1</t>
  </si>
  <si>
    <t>резиновые</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</si>
  <si>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</si>
  <si>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</si>
  <si>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</si>
  <si>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14.12.30.00.00.80.17.10.1</t>
  </si>
  <si>
    <t>Краги</t>
  </si>
  <si>
    <t>спилковые, пятипалые</t>
  </si>
  <si>
    <t>краги сварщика</t>
  </si>
  <si>
    <t>32.99.11.00.00.00.14.14.1</t>
  </si>
  <si>
    <t>Респиратор</t>
  </si>
  <si>
    <t>пыле-газозащитный</t>
  </si>
  <si>
    <t>респиратор ТУ 6-16-2486-81 "Лепесток"</t>
  </si>
  <si>
    <t xml:space="preserve">авансовый платеж - 0%,  90 %  в течении 30 кал. дней с момента подписания первичных документов, 10% после акта сверки взаиморасчета </t>
  </si>
  <si>
    <t>32.99.11.00.00.00.14.13.1</t>
  </si>
  <si>
    <t>противогазоаэрозольный</t>
  </si>
  <si>
    <t>14.12.30.00.00.10.10.18.1</t>
  </si>
  <si>
    <t xml:space="preserve">Кепи </t>
  </si>
  <si>
    <t>летнее</t>
  </si>
  <si>
    <t xml:space="preserve"> головной убор СБ</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</si>
  <si>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</si>
  <si>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</si>
  <si>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</si>
  <si>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32.99.11.00.00.14.02.01.1</t>
  </si>
  <si>
    <t xml:space="preserve">Щиток </t>
  </si>
  <si>
    <t>защитный лицевой для электросварщиков, ГОСТ 12.4.035-78</t>
  </si>
  <si>
    <t>Щиток электросварщика</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</si>
  <si>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</si>
  <si>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</si>
  <si>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</si>
  <si>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20.41.31.00.00.10.20.10.1</t>
  </si>
  <si>
    <t>Мыло хозяйственное</t>
  </si>
  <si>
    <t>твердое, 1 группы, 72%, ГОСТ 30266-95</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</si>
  <si>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</si>
  <si>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</si>
  <si>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</si>
  <si>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</si>
  <si>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32.50.42.10.00.00.00.00.1</t>
  </si>
  <si>
    <t>для сварочных работ</t>
  </si>
  <si>
    <t>32.99.11.00.00.00.10.10.1</t>
  </si>
  <si>
    <t>Каска</t>
  </si>
  <si>
    <t>Материал изготовления - пластмасса</t>
  </si>
  <si>
    <t>Каска строительная, цвет оранжевый.</t>
  </si>
  <si>
    <t>Каска для ИТР , цвет белый.</t>
  </si>
  <si>
    <t>декабрь 2013г, январь  2014г, март</t>
  </si>
  <si>
    <t>14.12.30.00.00.70.10.11.1</t>
  </si>
  <si>
    <t>Подшлемник</t>
  </si>
  <si>
    <t>утепленный</t>
  </si>
  <si>
    <t xml:space="preserve"> Применяется при строительстве и проведении монтажных работ. </t>
  </si>
  <si>
    <t>13.92.29.00.00.00.60.12.1</t>
  </si>
  <si>
    <t>Предохранительный пояс</t>
  </si>
  <si>
    <t>Предохранительные пояса лямочные с амортизатором</t>
  </si>
  <si>
    <t xml:space="preserve">Многофункциональная страховочная привязь предназначена для защиты от падения с высоты и для позиционирования на рабочем месте. 
Сфера применения: сложные индустриальные высотные работы, работы на опорах ЛЭП и телекоммуникационных мачтах, промышленный альпинизм, высотные спасения и эвакуация.
</t>
  </si>
  <si>
    <t xml:space="preserve"> январь, февраль</t>
  </si>
  <si>
    <t>13.92.29.00.00.00.60.13.1</t>
  </si>
  <si>
    <t>Пояс монтерский.</t>
  </si>
  <si>
    <t>14.12.30.00.00.40.10.15.1</t>
  </si>
  <si>
    <t>Комбинезон</t>
  </si>
  <si>
    <t>одноразовый</t>
  </si>
  <si>
    <t>для защиты от пыли и замазученности</t>
  </si>
  <si>
    <t>28.29.22.00.00.00.11.16.1</t>
  </si>
  <si>
    <t>огнетушитель переносной</t>
  </si>
  <si>
    <t>огнетушитель переносной порошковый</t>
  </si>
  <si>
    <t>Огнетушитель порошковый ОП-5.</t>
  </si>
  <si>
    <t>Огнетушитель порошковый ОП-8.</t>
  </si>
  <si>
    <t>Огнетушитель порошковый ОП-1.</t>
  </si>
  <si>
    <t>13.99.13.00.00.00.70.10.1</t>
  </si>
  <si>
    <t>Войлок юртовый (кошма)</t>
  </si>
  <si>
    <t>противопожарный</t>
  </si>
  <si>
    <t>метр
квадрат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</si>
  <si>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</si>
  <si>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</si>
  <si>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</si>
  <si>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</si>
  <si>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14.14.12.00.00.10.15.65.1</t>
  </si>
  <si>
    <t>Белье нательное</t>
  </si>
  <si>
    <t>термобелье, состоящее из кальсон и  нательной рубашки</t>
  </si>
  <si>
    <t>белье нательное</t>
  </si>
  <si>
    <t>август, сентябрь</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</si>
  <si>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</si>
  <si>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</si>
  <si>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</si>
  <si>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</si>
  <si>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25.99.29.00.02.13.23.01.2</t>
  </si>
  <si>
    <t>Когти монтерские</t>
  </si>
  <si>
    <t>для подъема на опоры</t>
  </si>
  <si>
    <t>когти-лазы монтерские</t>
  </si>
  <si>
    <t>17.12.13.40.10.00.00.10.1</t>
  </si>
  <si>
    <t xml:space="preserve">Бумага </t>
  </si>
  <si>
    <t>формат А4, плотность 80г/м2, 21х29,5 см</t>
  </si>
  <si>
    <t>Бумага А-4 , плотность 80 г\м2, 210*297,500 л\пач,белизна 146%</t>
  </si>
  <si>
    <t>РК, г. Актау, мкр 23, ТОО "ОСС" цент.офис</t>
  </si>
  <si>
    <t>одна пачка</t>
  </si>
  <si>
    <t>17.12.13.40.10.00.00.50.1</t>
  </si>
  <si>
    <t>формат А3, плотность 80г/м2, 420мм</t>
  </si>
  <si>
    <t>Бумага А-3, плотность 80г\м2, белизна 146%,500 л\пач.</t>
  </si>
  <si>
    <t>17.12.13.20.00.00.00.51.1</t>
  </si>
  <si>
    <t>Бумага</t>
  </si>
  <si>
    <t>для факса</t>
  </si>
  <si>
    <t>рулон</t>
  </si>
  <si>
    <t>17.23.13.10.00.00.00.90.1</t>
  </si>
  <si>
    <t xml:space="preserve">журнал регистрации </t>
  </si>
  <si>
    <t>журнал для регистрации прочих документов</t>
  </si>
  <si>
    <t>Книга (журнал) регистрации</t>
  </si>
  <si>
    <t>17.23.13.60.00.00.00.70.1</t>
  </si>
  <si>
    <t xml:space="preserve">Скоросшиватель </t>
  </si>
  <si>
    <t>скоросшиватель картонный , глянцевый</t>
  </si>
  <si>
    <t>Скоросшиватель картонный,глянцевый</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</si>
  <si>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</si>
  <si>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</si>
  <si>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</si>
  <si>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</si>
  <si>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22.29.25.00.00.00.18.38.1</t>
  </si>
  <si>
    <t>Папка</t>
  </si>
  <si>
    <t xml:space="preserve">Папка пластиковая-скоросшиватель с прозрачной пластиковой обложкой </t>
  </si>
  <si>
    <t>Скоросшиватель пластиковый, папка с верхним прозрачным листом,снабжена скоросшивателем,формат А4</t>
  </si>
  <si>
    <t>22.29.25.00.00.00.29.13.1</t>
  </si>
  <si>
    <t>Разделитель</t>
  </si>
  <si>
    <t>пластиковый, прочий</t>
  </si>
  <si>
    <t>постики,разделитель пластиковый, на клейкой основе, 4-х цветные.</t>
  </si>
  <si>
    <t>22.29.25.00.00.00.28.10.1</t>
  </si>
  <si>
    <t>Файл-уголок</t>
  </si>
  <si>
    <t>формат А4</t>
  </si>
  <si>
    <t>файл прозрачный, формат А4, 80 микрон, с прорезью сверху, изготовлен из полипропилена</t>
  </si>
  <si>
    <t>17.23.12.30.00.00.00.70.1</t>
  </si>
  <si>
    <t>Стикеры</t>
  </si>
  <si>
    <t>с липким краем, для заметок</t>
  </si>
  <si>
    <t>Стикеры, бумага для записей на клейкой основе</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</si>
  <si>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</si>
  <si>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</si>
  <si>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</si>
  <si>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</si>
  <si>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</si>
  <si>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</si>
  <si>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</si>
  <si>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</si>
  <si>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32.99.12.00.00.00.11.30.1</t>
  </si>
  <si>
    <t>Ручка шариковая</t>
  </si>
  <si>
    <t>Ручка шариковая со сменными стержнями (баллончиками)</t>
  </si>
  <si>
    <t>Ручка шариковая со сменными стержнями</t>
  </si>
  <si>
    <t>32.99.12.00.00.00.14.20.1</t>
  </si>
  <si>
    <t>Резинка -карандаш</t>
  </si>
  <si>
    <t>простой карандаш графитный. Твердость НВ (твердо-мягкий) с белым ластиком</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</si>
  <si>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</si>
  <si>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</si>
  <si>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</si>
  <si>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</si>
  <si>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используются скобы № 23\8. Степлер выполняет открытое и закрытое сшивание. Толщина сшиваемой бумаги не менее 30 листов. Глубина закладки бумаги не менее 45 мм.</t>
  </si>
  <si>
    <t>25.93.14.00.00.12.16.10.1</t>
  </si>
  <si>
    <t>металлическая, для степлера</t>
  </si>
  <si>
    <t>Скобы для степлера №10,№26\6, 24\6, 23\10,изготовлены из стали,</t>
  </si>
  <si>
    <t>25.99.23.00.00.11.13.10.1</t>
  </si>
  <si>
    <t>Антистеплер</t>
  </si>
  <si>
    <t>устройство для вытаскивания скоб от степлера. Устройство состоит из двух противостоящих клинов на оси.6</t>
  </si>
  <si>
    <t>ГОСТ 28161-89. Антистеплер для удаления скоб. Материал корпуса: пластик\металл.</t>
  </si>
  <si>
    <t>25.99.23.00.00.11.11.17.1</t>
  </si>
  <si>
    <t>Скрепка</t>
  </si>
  <si>
    <t>Скрепки для бумаг. Размер 33 мм</t>
  </si>
  <si>
    <t>скрепки канцелярские,размер не менее 25 мм. Канцелярские скрепки выполнены из металла. Кол-во в коробке не менее 100 шт.</t>
  </si>
  <si>
    <t>25.99.23.00.00.11.10.01.2</t>
  </si>
  <si>
    <t>Зажим для бумаг</t>
  </si>
  <si>
    <t>размер: 25 мм, 32 мм, 51 мм. Изготовлены из стали.</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</si>
  <si>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</si>
  <si>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</si>
  <si>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</si>
  <si>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</si>
  <si>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22.29.25.00.00.00.17.10.1</t>
  </si>
  <si>
    <t>Корзина для бумаг</t>
  </si>
  <si>
    <t>Корзина для бумаг, объем 10 л</t>
  </si>
  <si>
    <t>Урна для бумаги изготовлена из пластмассы, предназначена для сбора бумаги.</t>
  </si>
  <si>
    <t>22.29.25.00.00.00.19.13.1</t>
  </si>
  <si>
    <t>Маркер</t>
  </si>
  <si>
    <t>Маркер пластиковый перманентный (нестираемый), круглый наконечник 3мм</t>
  </si>
  <si>
    <t>Маркер по металлу. Предназначен для нанесения на стальную поверхность.</t>
  </si>
  <si>
    <t>25.99.23.00.00.11.15.10.1</t>
  </si>
  <si>
    <t>механическое устройство для пробивания отверстий в бумаге</t>
  </si>
  <si>
    <t>Дырокол средний. Форматная линейка, пробивает 2 отверстия- диаметр 5,5 мм, растояние между отверстиями 80 мм, перфорирование не менее 40 листов.</t>
  </si>
  <si>
    <t>32.99.12.00.00.00.14.30.1</t>
  </si>
  <si>
    <t xml:space="preserve">Точилка </t>
  </si>
  <si>
    <t>Точилка ручная для подтачивания грифельного карандаша</t>
  </si>
  <si>
    <t>точилка с острым, качественным, долгослужащим лезвием, для стандартного диаметра карандашей.</t>
  </si>
  <si>
    <t>22.29.25.00.00.00.19.10.1</t>
  </si>
  <si>
    <t xml:space="preserve"> Маркер пластиковый круглый, ширина линии 1,8 мм</t>
  </si>
  <si>
    <t>Маркер текстовыделитель</t>
  </si>
  <si>
    <t>25.71.11.00.00.10.21.10.1</t>
  </si>
  <si>
    <t>канцелярский нож предназначенный для разрезания бумаги</t>
  </si>
  <si>
    <t>нож канцелярский со специальным выдвижным многосекционным лезвием предназначен для резки бумаги.нож с системой блокировки лезвия, ширина лезвия не менее 9 мм.корпус - пласиковый. Длинна корпуса не менее 13 см.</t>
  </si>
  <si>
    <t>22.19.73.00.00.00.30.10.1</t>
  </si>
  <si>
    <t>Ластик</t>
  </si>
  <si>
    <t>Приспособление для стирания написанного (мягкий)</t>
  </si>
  <si>
    <t>Приспособление для стирания написанного с бумажной поверхности, мягкий</t>
  </si>
  <si>
    <t>26.51.32.00.02.22.11.23.1</t>
  </si>
  <si>
    <t>Линейка</t>
  </si>
  <si>
    <t>Измерительная. Пластмассовая. Длина 30 см.</t>
  </si>
  <si>
    <t xml:space="preserve">линейка  пластмассовая не менее 30 см., </t>
  </si>
  <si>
    <t>32.99.80.00.00.00.00.10.1</t>
  </si>
  <si>
    <t>Скотч</t>
  </si>
  <si>
    <t>широкий, свыше 3 см</t>
  </si>
  <si>
    <t>Скотч широкий,клейкая лента канцелярская,тип пленки-полипропилен,размер не менее 48 ммх100 м.</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</si>
  <si>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</si>
  <si>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</si>
  <si>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</si>
  <si>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</si>
  <si>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ТОО "Oil
 Construction Company"</t>
  </si>
  <si>
    <t>20.41.31.00.00.10.40.10.1</t>
  </si>
  <si>
    <t>Порошок стиральный</t>
  </si>
  <si>
    <t>предназначен для стирки изделий из различных тканей, ГОСТ 25644-96</t>
  </si>
  <si>
    <t xml:space="preserve"> февраль, март</t>
  </si>
  <si>
    <t xml:space="preserve">РК, Мангистауская обл, г: Актау  23 мкр.офис ТОО "ОСС" </t>
  </si>
  <si>
    <t>20.41.32.00.00.00.30.30.1</t>
  </si>
  <si>
    <t>Средство для чистки унитаза</t>
  </si>
  <si>
    <t>порошкообразное  для чистки и дезинфекции унитаза</t>
  </si>
  <si>
    <t>авансовый платеж - 0%,   в течение 30 кал. дней с даты подписания акта приема-передачи товаров</t>
  </si>
  <si>
    <t>20.41.32.00.00.00.30.40.3</t>
  </si>
  <si>
    <t>гелеобразное для чистки и дезинфекции унитаза</t>
  </si>
  <si>
    <t>гелеобразное для чистки и дизенфекции унитаза, объем 750 мл.</t>
  </si>
  <si>
    <t>20.20.14.00.00.00.40.10.1</t>
  </si>
  <si>
    <t>Средство дезинфицирующее</t>
  </si>
  <si>
    <t>Дезинфицирующее средство широкого спектра действия</t>
  </si>
  <si>
    <t>таблетированное, дезодорирующее средство для дезинфекции, дезодорации и санации помищений, обладабщие бактерицидным действием.</t>
  </si>
  <si>
    <t>20.41.32.00.00.00.20.10.3</t>
  </si>
  <si>
    <t>Средство для мытья стекол</t>
  </si>
  <si>
    <t>предназначен для мытья всех типов стеклянных и зеркальных поверхностей</t>
  </si>
  <si>
    <t>20.41.43.00.00.00.10.10.3</t>
  </si>
  <si>
    <t>Полироль</t>
  </si>
  <si>
    <t>полироли для мебели</t>
  </si>
  <si>
    <t>13.92.29.00.00.00.50.40.2</t>
  </si>
  <si>
    <t xml:space="preserve">Салфетка </t>
  </si>
  <si>
    <t>Салфетки хлопковые безворсовые</t>
  </si>
  <si>
    <t>Ветошь предназначен для очисткизагрязнений, как влага,пыль,стружка,масло,смазка и др. Состоит из 100% хлопка. ГОСТ4346-75. Ширина 1,5 м.</t>
  </si>
  <si>
    <t>22.29.23.00.00.00.11.37.1</t>
  </si>
  <si>
    <t>ведро пластиковое 21л., с контрольной пломбой (круглое), диаметр крышки  326 мм, высота 332 мм</t>
  </si>
  <si>
    <t>14.12.30.00.00.80.16.43.1</t>
  </si>
  <si>
    <t>из латекса, хозяйственные</t>
  </si>
  <si>
    <t>16.29.11.00.00.00.00.35.1</t>
  </si>
  <si>
    <t>Швабра</t>
  </si>
  <si>
    <t>Швабра деревянная</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</si>
  <si>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</si>
  <si>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</si>
  <si>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</si>
  <si>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17.22.11.10.00.00.00.10.3</t>
  </si>
  <si>
    <t>Бумага туалетная</t>
  </si>
  <si>
    <t>однослойная, ширина не менее 90 мм, длина не менее 30 м</t>
  </si>
  <si>
    <t>32.91.11.00.00.00.15.61.1</t>
  </si>
  <si>
    <t>Ерш</t>
  </si>
  <si>
    <t>унитазный</t>
  </si>
  <si>
    <t>32.91.11.00.00.00.12.30.1</t>
  </si>
  <si>
    <t>Веник</t>
  </si>
  <si>
    <t>Из материалов растительного происхождения</t>
  </si>
  <si>
    <t>13.92.15.00.00.50.20.02.1</t>
  </si>
  <si>
    <t>Жалюзи из смешанных тканей</t>
  </si>
  <si>
    <t>Вертикальные жалюзи из смешанных тканей, состоят из вертикальных пластин</t>
  </si>
  <si>
    <t>26.30.21.00.01.21.11.20.1</t>
  </si>
  <si>
    <t>Радиотелефон. Дальность - 10-30 м (для использования в пределах помещений). Количество трубок - 1. Без автоответчика. Со спикерфоном.</t>
  </si>
  <si>
    <t>Радиотелефон</t>
  </si>
  <si>
    <t>31.00.11.00.00.01.01.00.1</t>
  </si>
  <si>
    <t>Стул</t>
  </si>
  <si>
    <t>Мягкое сидение и спинка из тканевой обивки, каркас металлический</t>
  </si>
  <si>
    <t>Стул ,сиденье гобилен\каркас металлический</t>
  </si>
  <si>
    <t>13.92.12.00.00.44.12.00.1</t>
  </si>
  <si>
    <t>Постельное белье из прочих тканей</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</si>
  <si>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</si>
  <si>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авансовый платеж - 30%, оставшаяся часть в течении 30  дней с момента подписания акта приема -передачи товаров</t>
  </si>
  <si>
    <t>28.29.31.00.00.00.14.14.1</t>
  </si>
  <si>
    <t>дозаторы весы дискретного действия</t>
  </si>
  <si>
    <t>дозаторы весовые дискретного действия для дозирования и фасовки жидких материалов</t>
  </si>
  <si>
    <t>Весы  для измерения фреона при заправке кондиционеров и холодильников</t>
  </si>
  <si>
    <t>25.94.13.00.00.10.42.10.1</t>
  </si>
  <si>
    <t>Набор для развальцовки</t>
  </si>
  <si>
    <t>Вальцовка</t>
  </si>
  <si>
    <t>28.14.11.48.00.01.15.10.1</t>
  </si>
  <si>
    <t>Манифольд</t>
  </si>
  <si>
    <t>элемент трубопроводной арматуры</t>
  </si>
  <si>
    <t>Газовая горелка</t>
  </si>
  <si>
    <t>27.90.40.09.10.00.00.02.1</t>
  </si>
  <si>
    <t>Аппарат для эвакуации хладона</t>
  </si>
  <si>
    <t>Агрегат для извлечения хладоагента из контура кондиционера и чиллера</t>
  </si>
  <si>
    <t>Аппарат сбора фреона</t>
  </si>
  <si>
    <t>28.14.11.48.00.00.00.08.1</t>
  </si>
  <si>
    <t>Арматура</t>
  </si>
  <si>
    <t>Арматура для холодильных установок, тепловых насосов специальная,</t>
  </si>
  <si>
    <t>Клапан шредера</t>
  </si>
  <si>
    <t>28.13.31.00.00.00.32.10.1</t>
  </si>
  <si>
    <t>фильтр-влагоотделитель</t>
  </si>
  <si>
    <t>фильтр-влагоотделитель, минимальное давление воздуха - 0,1 МПа (автоматический отвод конденсата), с условным проходом, Ду 4 мм</t>
  </si>
  <si>
    <t>Фильтра</t>
  </si>
  <si>
    <t>27.90.32.00.00.01.05.55.1</t>
  </si>
  <si>
    <t>Элемент для пайки металлов</t>
  </si>
  <si>
    <t>Припой харнес</t>
  </si>
  <si>
    <t>Припой серебрянный с флюсом</t>
  </si>
  <si>
    <t>28.41.31.00.00.00.17.10.1</t>
  </si>
  <si>
    <t>машина трубогибочная</t>
  </si>
  <si>
    <t>машина трубогибочная с механическим приводом</t>
  </si>
  <si>
    <t>Трубогиб</t>
  </si>
  <si>
    <t>26.51.66.26.00.20.04.01.1</t>
  </si>
  <si>
    <t>Течеискатель</t>
  </si>
  <si>
    <t>ультразвуковой (акустический)</t>
  </si>
  <si>
    <t>Тече-искатель</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</si>
  <si>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</si>
  <si>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</si>
  <si>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</si>
  <si>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</si>
  <si>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</si>
  <si>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</si>
  <si>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</si>
  <si>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</si>
  <si>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</si>
  <si>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22.21.29.00.00.17.30.12.1</t>
  </si>
  <si>
    <t>из поливинилхлорида с накидной гайкой</t>
  </si>
  <si>
    <t>25.73.30.00.00.14.16.28.1</t>
  </si>
  <si>
    <t>Труборез</t>
  </si>
  <si>
    <t>Механический внутренний</t>
  </si>
  <si>
    <t>26.51.52.14.15.11.30.10.1</t>
  </si>
  <si>
    <t>деформационный</t>
  </si>
  <si>
    <t>Манометр с краном</t>
  </si>
  <si>
    <t>26.51.43.11.11.13.11.05.1</t>
  </si>
  <si>
    <t>Мультиметр</t>
  </si>
  <si>
    <t>Цифровой</t>
  </si>
  <si>
    <t>26.40.52.00.00.00.11.50.1</t>
  </si>
  <si>
    <t>Конденсатор</t>
  </si>
  <si>
    <t>Конденсатор 25-30 мкф.</t>
  </si>
  <si>
    <t>Конденсатор 60 мкф.</t>
  </si>
  <si>
    <t>27.51.30.20.10.10.10.00.1</t>
  </si>
  <si>
    <t>для бытового холодильника</t>
  </si>
  <si>
    <t>Компрессор на холодильник QD-52H (118W)</t>
  </si>
  <si>
    <t>Компрессор на холодильник QD-110H (232W)</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</si>
  <si>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</si>
  <si>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</si>
  <si>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</si>
  <si>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</si>
  <si>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Трубки медные Ф10, Ф12</t>
  </si>
  <si>
    <t>28.30.60.00.00.00.45.10.1</t>
  </si>
  <si>
    <t>Опрыскиватель</t>
  </si>
  <si>
    <t>помповый</t>
  </si>
  <si>
    <t>опрыскиватель Объем: 1 литр. Для обработки и прикормки комнатных растений. Помповый распылитель</t>
  </si>
  <si>
    <t>опрыскиватель Объем: 7 литр, помповый распылитель, для обработки уличных растений от вредителей и болезней</t>
  </si>
  <si>
    <t>22.19.34.00.00.25.20.05.2</t>
  </si>
  <si>
    <t>Резиновый поливочный шланг</t>
  </si>
  <si>
    <t xml:space="preserve">поливные шланги Диаметр: d20mm, резиновый, в оплетке. Для полива </t>
  </si>
  <si>
    <t>25.73.10.00.00.30.10.10.1</t>
  </si>
  <si>
    <t>Секатор</t>
  </si>
  <si>
    <t>Садовые ножницы для обрезания побегов и нетолстых веток при формировании и прореживании кроны деревьев, кустарников, также используются при сборе виноград</t>
  </si>
  <si>
    <t xml:space="preserve"> секатор,короткие,садовые ножницы для обрезки кустов</t>
  </si>
  <si>
    <t>25.71.11.00.00.20.15.10.1</t>
  </si>
  <si>
    <t>Ножницы садовые</t>
  </si>
  <si>
    <t>садовые длинные ножницы с деревянной  рукояткой для подстрижки кустов</t>
  </si>
  <si>
    <t>25.73.20.00.00.05.10.10.1</t>
  </si>
  <si>
    <t>зубчатая</t>
  </si>
  <si>
    <t>фигурная пила для обрезки деревьев, веток и сучков.</t>
  </si>
  <si>
    <t>25.73.30.00.00.14.60.10.1</t>
  </si>
  <si>
    <t>Сучкорез</t>
  </si>
  <si>
    <t>приспособление для срезания суков, сучков, ветвей</t>
  </si>
  <si>
    <t>сучкорезы удлиненные ножницы с удлиненной деревянной рукояткой для обрезки сучков и веток до 20 мм в труднодоступлых местах.</t>
  </si>
  <si>
    <t>28.30.60.00.00.00.40.16.1</t>
  </si>
  <si>
    <t>Приспособления для сельского хозяйства или садоводства прочие</t>
  </si>
  <si>
    <t>плоскорез фокина предназначен для уничтожения сорняков и обработки земли. Деревянная рукоятка с фигурным лезвием</t>
  </si>
  <si>
    <t>20.15.59.20.20.20.10.00.1</t>
  </si>
  <si>
    <t>Удобрение</t>
  </si>
  <si>
    <t>с содержанием калия</t>
  </si>
  <si>
    <t>фитоспорин против вредных насекомых Препарат от грибковых заболеваний растений</t>
  </si>
  <si>
    <t>актара против корневых жуков. Препарат предназначен для обработки растений для зациты от вредных насекомых</t>
  </si>
  <si>
    <t>фуфанон против заболеваний корней</t>
  </si>
  <si>
    <t>Биологический активный препарат для улучшения роста растения</t>
  </si>
  <si>
    <t>Препарат предназначен для борьбы с вредными сорняками</t>
  </si>
  <si>
    <t>универсальное хим.удобрение для комнатных цветов</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</si>
  <si>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</si>
  <si>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</si>
  <si>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</si>
  <si>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</si>
  <si>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органическое удобрение</t>
  </si>
  <si>
    <t>58.11.14.00.00.00.00.10.1</t>
  </si>
  <si>
    <t>Словари, энциклопедии печатные</t>
  </si>
  <si>
    <t>Словари, энциклопедии  печатные — книги, информация в которой упорядочена c помощью разбивки на небольшие статьи, отсортированные по названию или тематике.</t>
  </si>
  <si>
    <t>Русско-казахский тематический словарь 9000 слов изд.T&amp;P Books</t>
  </si>
  <si>
    <t>Сейткамысов Казахско-русский банковский словарь изд.Экономика</t>
  </si>
  <si>
    <t>Упушев Русско-казахский словарь-справочник по экологии и природопользованию изд.Экономика</t>
  </si>
  <si>
    <t>Әбішев Қаржы-экономикалык сөздік изд.Экономика</t>
  </si>
  <si>
    <t>Керимбег Налоги и налогообложение Русско-казахский словарь 1том изд.Экономика</t>
  </si>
  <si>
    <t>Керимбег Налоги и налогообложение Русско-казахский словарь 2том изд.Экономика</t>
  </si>
  <si>
    <t>Русско-казахский словарь нефте-газовых терминов</t>
  </si>
  <si>
    <t>Тіл білім терминдерінін сөздігі изд.</t>
  </si>
  <si>
    <t>Биекенов Әлеутметтанутынудын тұсіндірме сөздігі</t>
  </si>
  <si>
    <t>Саурынбаева Русско-казахский словарь 70000 слов изд. Дайк-пресс</t>
  </si>
  <si>
    <t>Габденова Казахша-орысша сөздік изд.Аруна</t>
  </si>
  <si>
    <t>Исмагулова рус-каз каз-рус словарь 30000 слов изд.Аруна</t>
  </si>
  <si>
    <t>Орфоэпический словарь казахского языка</t>
  </si>
  <si>
    <t>Орфографический словарь казахского языка</t>
  </si>
  <si>
    <t>Косович Каз-рус рус-каз словарь 100000 слов изд. Келешек</t>
  </si>
  <si>
    <t>Сыудыкова Казахско-русский словарь 50000 слов изд.Дайк-пресс</t>
  </si>
  <si>
    <t>Әбілқвсымов Қазақ тілінін сөздігі изд Дайк-пресс</t>
  </si>
  <si>
    <t>Казахско-русский словарь Нефть и газ изд.Мектеп</t>
  </si>
  <si>
    <t>Казахско-русский словарь Экономика изд.Мектеп</t>
  </si>
  <si>
    <t>Казахско-русский юридический словарь изд.Мектеп</t>
  </si>
  <si>
    <t>Казахско-русский словарь Автомобильный транспорт изд.Мектеп</t>
  </si>
  <si>
    <t>Казахско-русский словарь Электротехника изд.Мектеп</t>
  </si>
  <si>
    <t>Казахско-русский словарь Информатика изд.Мектеп</t>
  </si>
  <si>
    <t>Казахско-русский словарь Делопризводство изд.Мектеп</t>
  </si>
  <si>
    <t>Казахско-русский словарь Электроника изд.Мектеп</t>
  </si>
  <si>
    <t>58.11.11.00.00.00.00.10.1</t>
  </si>
  <si>
    <t>Учебники образовательные печатные</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</si>
  <si>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</si>
  <si>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Закон о языке РК</t>
  </si>
  <si>
    <t>Трудовой кодекс</t>
  </si>
  <si>
    <t>32.99.87.00.00.00.00.10.3</t>
  </si>
  <si>
    <t>Новогодние подарки</t>
  </si>
  <si>
    <t>в ассортименте</t>
  </si>
  <si>
    <t>сентябрь, октябрь</t>
  </si>
  <si>
    <t>декабрь</t>
  </si>
  <si>
    <t>27.51.23.00.00.04.02.20.1</t>
  </si>
  <si>
    <t>Электроутюг</t>
  </si>
  <si>
    <t>февраль, октябрь</t>
  </si>
  <si>
    <t>27.51.28.10.10.11.00.00.1</t>
  </si>
  <si>
    <t>Мультиварка</t>
  </si>
  <si>
    <t>многофункциональная, с программным управлением</t>
  </si>
  <si>
    <t>май</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</si>
  <si>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</si>
  <si>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</si>
  <si>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</si>
  <si>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август, октябрь</t>
  </si>
  <si>
    <t>27.51.21.01.01.00.00.40.1</t>
  </si>
  <si>
    <t>Пылесос</t>
  </si>
  <si>
    <t>Для сухой уборки. Пылесборник - циклонного типа.</t>
  </si>
  <si>
    <t>32.99.85.00.00.00.00.10.1</t>
  </si>
  <si>
    <t>Панно</t>
  </si>
  <si>
    <t>панно сувенирное из различных материалов</t>
  </si>
  <si>
    <t>Панно "Шебер" (Мастер) Драгоценные камни: рубин, ляпис-лазурь, карнеол, яшма, кальцит с 24K золотой фольгой. Основа: окрашенный кварцевый песок. Размеры: 140 х 140 мм.</t>
  </si>
  <si>
    <t>февраль, ноябрь</t>
  </si>
  <si>
    <t>Панно "Ана бақыты" (Материнское счастье) Драгоценные камни: рубин, ляпис-лазурь, карнеол, яшма, кальцит с 24K золотой фольгой. Основа: окрашенный кварцевый песок. Размеры: 140 х 140 мм.</t>
  </si>
  <si>
    <t>Панно "Жеңгей" (Сноха) Драгоценные камни: рубин, ляпис-лазурь, карнеол, яшма, кальцит с 24K золотой фольгой. Основа: окрашенный кварцевый песок. Размеры: 140 х 140 мм.</t>
  </si>
  <si>
    <t>Панно "Апатай" (Тетушка) Драгоценные камни: рубин, ляпис-лазурь, карнеол, яшма, кальцит с 24K золотой фольгой. Основа: окрашенный кварцевый песок. Размеры: 140 х 140 мм.</t>
  </si>
  <si>
    <t>32.99.85.00.00.00.00.25.2</t>
  </si>
  <si>
    <t>Комплект: Книга "Обычаи и традиции казахского народ" на казахском языке. Материал упаковки: картон. Набор закладок для книг «Мирас». В оформлении использованы архитектурные памятники Казахстана. Размеры: 114 х 38 мм. Материал: дерево.</t>
  </si>
  <si>
    <t>25.99.24.00.00.11.10.10.1</t>
  </si>
  <si>
    <t>Кубок</t>
  </si>
  <si>
    <t>Спортивные</t>
  </si>
  <si>
    <t>Призовые кубки</t>
  </si>
  <si>
    <t>32.11.10.00.00.20.40.40.1</t>
  </si>
  <si>
    <t>Спортивная медаль</t>
  </si>
  <si>
    <t>Материал исполнения - недрагоценные металлы</t>
  </si>
  <si>
    <t>Медали за I,II, III призовые места (мини-футбол, настольный теннис, волейбол)</t>
  </si>
  <si>
    <t>32.30.15.00.00.00.14.30.1</t>
  </si>
  <si>
    <t>Мячи</t>
  </si>
  <si>
    <t>Мячи надувные кожаные</t>
  </si>
  <si>
    <t>мяч футбольный №4, кожаный</t>
  </si>
  <si>
    <t>мяч волейбольный, кожаный</t>
  </si>
  <si>
    <t>32.30.15.00.00.00.12.10.1</t>
  </si>
  <si>
    <t>Ракетки, шарики и сетки для настольного тенниса</t>
  </si>
  <si>
    <t>к-т  для настольного тенниса</t>
  </si>
  <si>
    <t>32.30.14.00.00.00.17.80.1</t>
  </si>
  <si>
    <t>Оборудование для общефизической подготовки населения прочее</t>
  </si>
  <si>
    <t>Изделия для общефизической подготовки населения</t>
  </si>
  <si>
    <t>Шорты и футболка с логотипом компании и номерами</t>
  </si>
  <si>
    <t>14.31.10.00.00.00.40.20.1</t>
  </si>
  <si>
    <t>Гетры</t>
  </si>
  <si>
    <t>Гетры спортивные из хлопчатобумажной и смешанной пряжи</t>
  </si>
  <si>
    <t>гетры</t>
  </si>
  <si>
    <t>манишка футбольная</t>
  </si>
  <si>
    <t>26.20.16.11.13.11.11.10.1</t>
  </si>
  <si>
    <t>Картридж</t>
  </si>
  <si>
    <t>Тонерный. Черный.</t>
  </si>
  <si>
    <t xml:space="preserve">
Декабрь, январь, февраль  2014 год</t>
  </si>
  <si>
    <t xml:space="preserve">в течение 45 дней с даты вступления в силу договора </t>
  </si>
  <si>
    <t>Принт-картридж  Xerox  3119 (013R00625)</t>
  </si>
  <si>
    <t>123/128WC Тонер-картридж Pro (006R01182)</t>
  </si>
  <si>
    <t>Копи-картридж для МФУ Xerox WC С123/128/118  М123/М128/М118 (013R00589) /60k/</t>
  </si>
  <si>
    <t>Drum картридж KX-FAD89A </t>
  </si>
  <si>
    <t>26.20.16.12.12.11.11.10.1</t>
  </si>
  <si>
    <t>Тонер</t>
  </si>
  <si>
    <t>Черный.</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</si>
  <si>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</si>
  <si>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</si>
  <si>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</si>
  <si>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</si>
  <si>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Работы:</t>
  </si>
  <si>
    <t>71.12.19.05.00.00.00</t>
  </si>
  <si>
    <t>Работы инженерные по проектированию</t>
  </si>
  <si>
    <t>Разработка проектно-сметной документации</t>
  </si>
  <si>
    <t>Разработка ПСД объекта"Ангарное здание утепленное 36х15 со складом и ремонтными мастерскими на базе ЖСМУ"</t>
  </si>
  <si>
    <t xml:space="preserve">РК, Мангистауская область, г. Актау </t>
  </si>
  <si>
    <t>в течение 5 месяцев  с даты вступления в силу договора</t>
  </si>
  <si>
    <t>авансовый платеж- 0%, в течение 30 кал. дней с даты  подписания акта выполненных работ</t>
  </si>
  <si>
    <t>Разработка ПСД объекта  "Склад ангарного типа  для теплоизоляционных и штучных материалов  15х40м - 2шт РЗУ п. Ынтымак"</t>
  </si>
  <si>
    <t>в течение 4 месяцев  с даты вступления в силу договора</t>
  </si>
  <si>
    <t>42.99.22.20.10.00.00</t>
  </si>
  <si>
    <t>Работы строительные по сооружению спортивной площадки</t>
  </si>
  <si>
    <t>Полный цикл работ строительных по сооружению спортивной площадки в соответствии с проектом и нормами строительства</t>
  </si>
  <si>
    <t>Строительство спортивной футбольной площадки на м/р  Каламкас</t>
  </si>
  <si>
    <t xml:space="preserve">в течение 60 дней с даты вступления в силу договора </t>
  </si>
  <si>
    <t>Строительство спортивной футбольной площадки на м/р Жетыбай</t>
  </si>
  <si>
    <t>Работы по восстановлению верхнего асфальтового покрытия автодорог после устройства переходов через них нефтегазопроводов.</t>
  </si>
  <si>
    <t>май, июнь</t>
  </si>
  <si>
    <t>с даты вступления в силу договора по 31.12.2014г.</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</si>
  <si>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</si>
  <si>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</si>
  <si>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</si>
  <si>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</si>
  <si>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 xml:space="preserve"> январь, февраль </t>
  </si>
  <si>
    <t>33.11.12.16.00.00.00</t>
  </si>
  <si>
    <t>Текущий ремонт резервуаров и резервуарного парка</t>
  </si>
  <si>
    <t>Ремонт кровли, верхних поясов стенки, сифонных кранов, набивка сальников задвижек, ремонт отмостки, заземления, окраска и прочее</t>
  </si>
  <si>
    <t xml:space="preserve">Наружная и внутренняя покраска  РВС-5000м3 </t>
  </si>
  <si>
    <t xml:space="preserve">РК, Мангистауская область, м/р Каламкас </t>
  </si>
  <si>
    <t xml:space="preserve">РК, Мангистауская область, м/р Жетыбай </t>
  </si>
  <si>
    <t xml:space="preserve">Наружная и внутренняя покраска  РВС-300м3 </t>
  </si>
  <si>
    <t>33.11.11.11.16.00.00</t>
  </si>
  <si>
    <t>Текущий ремонт металлоконструкций</t>
  </si>
  <si>
    <t>Защита от коррозии путем нанесения эмалевого покрытия</t>
  </si>
  <si>
    <t>авансовый платеж- 0%, в течение 30 рабочих дней с даты  подписания акта выполненных работ</t>
  </si>
  <si>
    <t>41.00.30.23.00.00.00</t>
  </si>
  <si>
    <t>Работы по ремонту вахтового жилья</t>
  </si>
  <si>
    <t>Комплекс работ по ремонту вахтового жилья</t>
  </si>
  <si>
    <t>в течение 45 дней с даты вступления в силу договора, по заявкам Заказчика</t>
  </si>
  <si>
    <t>43.11.10.10.00.00.00</t>
  </si>
  <si>
    <t>Работы по разборке и сносу зданий и сооружений</t>
  </si>
  <si>
    <t>Комплекс работ по разборке и сносу зданий и сооружений</t>
  </si>
  <si>
    <t xml:space="preserve">Разборка, демонтаж  аварийного комбинированного (металл, дерево, кирпич) старого здания склада строительных материалов </t>
  </si>
  <si>
    <t>в течение 45 дней с даты вступления в силу договора</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</si>
  <si>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</si>
  <si>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</si>
  <si>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</si>
  <si>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</si>
  <si>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</si>
  <si>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33.12.19.25.10.00.00</t>
  </si>
  <si>
    <t>Работы по ремонту и техническому обслуживанию систем пожарной сигнализации</t>
  </si>
  <si>
    <t>РК, Мангистауская обл, м/р Жетыбай , м/р  Каламкас, г.Актау</t>
  </si>
  <si>
    <t xml:space="preserve">с января по декабрь 2014г. </t>
  </si>
  <si>
    <t>33.13.11.15.00.00.00</t>
  </si>
  <si>
    <t>Ремонт и техническое обслуживание приборов и инструментов для измерения, тестирования геодезических инструментов</t>
  </si>
  <si>
    <t>Диагностика и ремонт геодезического оборудования</t>
  </si>
  <si>
    <t>в течение 15 дней с даты заключения договора</t>
  </si>
  <si>
    <t>74.90.21.17.00.00.00</t>
  </si>
  <si>
    <t>Разработка землеустроительного проекта</t>
  </si>
  <si>
    <t>РК, Мангистауская область м/р Жетыбай</t>
  </si>
  <si>
    <t>Разработка проекта земельного отвода под отвал вскрышных пород Карьера грунта  S=2 га</t>
  </si>
  <si>
    <t>Земельный отвод под  подъездную а/дорогу к Карьеру грунта S=1 га</t>
  </si>
  <si>
    <t>РК, Мангистауская область, Каракиянский р-н</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</si>
  <si>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</si>
  <si>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</si>
  <si>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</si>
  <si>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</si>
  <si>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декабрь 2013г, март , апрель 2014г</t>
  </si>
  <si>
    <t>РК, Мангистауская область, Тупкараганский р-н</t>
  </si>
  <si>
    <t>Рыхление скальных пород для производства щебня. Карьер строительного камня "Таучик"</t>
  </si>
  <si>
    <t>РК, Мангистауская обл, карьер Таучик Тупкараганский р-н</t>
  </si>
  <si>
    <t>71.12.19.26.00.00.00</t>
  </si>
  <si>
    <t>Разработка проектов</t>
  </si>
  <si>
    <t>Составления и согласования дополнений  к Проекту промышленной разработки по добыче ПЩС</t>
  </si>
  <si>
    <t>с даты вступления в силу договора по 31.10.2014г.</t>
  </si>
  <si>
    <t>33.19.10.22.09.00.00</t>
  </si>
  <si>
    <t>Ремонт стальных баллонов</t>
  </si>
  <si>
    <t xml:space="preserve">Ремонт стальных баллонов (замена вентиля, покраска, промывка и др.) </t>
  </si>
  <si>
    <t xml:space="preserve"> Ремонт пропановых баллонов</t>
  </si>
  <si>
    <t>ТОО "ОСС", г.Актау,23мкр, каб. 1А</t>
  </si>
  <si>
    <t>33.12.19.12.00.00.00</t>
  </si>
  <si>
    <t>Ремонт и техническое обслуживание нестандартного оборудования</t>
  </si>
  <si>
    <t xml:space="preserve">Капитальный ремонт и изготовления нестандартного оборудования, </t>
  </si>
  <si>
    <t>33.12.24.15.00.00.00</t>
  </si>
  <si>
    <t>Ремонт, технический уход и обслуживание грузоподъемных машин</t>
  </si>
  <si>
    <t>33.12.29.20.00.00.00</t>
  </si>
  <si>
    <t xml:space="preserve">Техническое обслуживание и ремонт автотранспорта  с заменой запчастей </t>
  </si>
  <si>
    <t>33.12.29.17.00.00.00</t>
  </si>
  <si>
    <t>Ремонт и замена (поверка) контрольных устройств регистрации режимов труда и отдыха (тахограф)</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</si>
  <si>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</si>
  <si>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</si>
  <si>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</si>
  <si>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РК, Мангистауская область,  м/р Жетыбай</t>
  </si>
  <si>
    <t>33.13.11.18.00.00.00</t>
  </si>
  <si>
    <t>Ремонт газораздаточных колонок</t>
  </si>
  <si>
    <t>Ремонт топливораздаточных колонок</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</si>
  <si>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</si>
  <si>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</si>
  <si>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</si>
  <si>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</si>
  <si>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Декабрь, январь 2013 год</t>
  </si>
  <si>
    <t>РК, Мангистауская область г.Актау, м/р Жетыбай, м/р Каламкас</t>
  </si>
  <si>
    <t>33.14.11.22.00.00.00</t>
  </si>
  <si>
    <t>Ремонт электрооборудования  с заменой обмоток и изоляции</t>
  </si>
  <si>
    <t>Капитальный ремонт электрооборудования</t>
  </si>
  <si>
    <t>РК, Мангистауская область, г. Актау , пос.Ынтымак</t>
  </si>
  <si>
    <t>82.99.19.17.10.00.00</t>
  </si>
  <si>
    <t>Работы по изготовлению печатей и штампов</t>
  </si>
  <si>
    <t>Изготовление печатей и штампов</t>
  </si>
  <si>
    <t>Изготовление штампов</t>
  </si>
  <si>
    <t>82.99.19.18.10.00.00</t>
  </si>
  <si>
    <t>Работы по изготовлению табличек</t>
  </si>
  <si>
    <t>Изготовление информационных табличек</t>
  </si>
  <si>
    <t>Изготовление наддверных табличек</t>
  </si>
  <si>
    <t>с февраля по декабрь 2014г</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</si>
  <si>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</si>
  <si>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</si>
  <si>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</si>
  <si>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</si>
  <si>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</si>
  <si>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</si>
  <si>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</si>
  <si>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(скорость от 34к, до 55к)</t>
  </si>
  <si>
    <t>95.12.10.18.13.00.00</t>
  </si>
  <si>
    <t>Ремонт и обслуживание  факсов</t>
  </si>
  <si>
    <t>Ремонт и техническое обслуживание  факсов</t>
  </si>
  <si>
    <t>Тех.обслужвание факсов лазерных</t>
  </si>
  <si>
    <t>Услуги:</t>
  </si>
  <si>
    <t>74.90.20.11.00.00.00</t>
  </si>
  <si>
    <t>Услуги по экспертизе проектов</t>
  </si>
  <si>
    <t>с даты вступления в силу договора по 31.12.2014г., согласно графика</t>
  </si>
  <si>
    <t>авансовый платеж- 0%, в течение 30 кал. дней с даты  подписания акта выполненных услуг</t>
  </si>
  <si>
    <t>84.11.19.05.00.00.00</t>
  </si>
  <si>
    <t>Услуги по проведению государственного технического обследования недвижимого имущества</t>
  </si>
  <si>
    <t>Паспортизация объектов.</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</si>
  <si>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</si>
  <si>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</si>
  <si>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</si>
  <si>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</si>
  <si>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 xml:space="preserve"> февраль, март </t>
  </si>
  <si>
    <t>с даты вступления в силу договора по 31.12.2014г., ежемесячно</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</si>
  <si>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</si>
  <si>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</si>
  <si>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</si>
  <si>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</si>
  <si>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</si>
  <si>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</si>
  <si>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</si>
  <si>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</si>
  <si>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71.20.19.13.15.00.00</t>
  </si>
  <si>
    <t>Услуги дефектоскопические</t>
  </si>
  <si>
    <t>Комплекс услуг по выявлению дефектов</t>
  </si>
  <si>
    <t xml:space="preserve"> февраль , март</t>
  </si>
  <si>
    <t>с даты вступления в силу договора по 31.12.2014г., по заявкам Заказчика</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</si>
  <si>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</si>
  <si>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</si>
  <si>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</si>
  <si>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</si>
  <si>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 xml:space="preserve">октябрь    </t>
  </si>
  <si>
    <t>82.19.13.10.00.00.00</t>
  </si>
  <si>
    <t>Услуги по оформлению технической документации</t>
  </si>
  <si>
    <t xml:space="preserve"> Сбор за регистрацию прав на недвижимое имущество  </t>
  </si>
  <si>
    <t>авансовый платеж-100% на основании счета на оплату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</si>
  <si>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</si>
  <si>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</si>
  <si>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</si>
  <si>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</si>
  <si>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</si>
  <si>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84.25.11.15.00.00.00</t>
  </si>
  <si>
    <t>Услуги по перезарядке огнетушителей</t>
  </si>
  <si>
    <t>РК, Мангистауская область г.Актау</t>
  </si>
  <si>
    <t>84.25.11.16.00.00.00</t>
  </si>
  <si>
    <t>Услуги по освидетельствованию огнетушителей</t>
  </si>
  <si>
    <t>Услуги по проведению освидетельствования огнетушителей</t>
  </si>
  <si>
    <t>84.12.12.11.00.00.00</t>
  </si>
  <si>
    <t>Услуги по аттестации рабочих мест</t>
  </si>
  <si>
    <t>аттестация рабочих мест</t>
  </si>
  <si>
    <t>аттестация рабочих мест по условиям труда</t>
  </si>
  <si>
    <t>РК, Мангистауская область, м/р Каламкас, м/р Жетыбай</t>
  </si>
  <si>
    <t>84.11.19.11.00.00.00</t>
  </si>
  <si>
    <t>Услуги по изготовлению актов землепользования</t>
  </si>
  <si>
    <t>изготовление актов землепользования</t>
  </si>
  <si>
    <t>Изготовление Гос.акта и регистрация в ЦОН:                          1) карьер грунта S=16 га;                                                                      2) отвал вскрышных пород S=2 га;                                                 3) подъездная а/дорога к карьеру грунта S=16 га</t>
  </si>
  <si>
    <t xml:space="preserve">Изготовление Гос.акта и регистрация в ЦОН                          </t>
  </si>
  <si>
    <t>Контрольный обмер карьеров</t>
  </si>
  <si>
    <t>74.90.12.19.12.15.00</t>
  </si>
  <si>
    <t>Услуги по составлению и согласованию горного отвода</t>
  </si>
  <si>
    <t>Составление Проекта горного отвода на уч-ке Мунайши</t>
  </si>
  <si>
    <t xml:space="preserve">июль </t>
  </si>
  <si>
    <t>80.20.10.21.10.00.00</t>
  </si>
  <si>
    <t>Услуги по разработке Декларации безопасности промышленного объекта</t>
  </si>
  <si>
    <t xml:space="preserve">Декларация промышленной  безопасности карьеров с выдачей экспертного заключения на ТОО "ОСС" </t>
  </si>
  <si>
    <t>35.22.10.12.00.00.00</t>
  </si>
  <si>
    <t>Услуги по транспортировке природного газа</t>
  </si>
  <si>
    <t>Услуги по транспортировке сухого (отбензиненного) природного газа</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</si>
  <si>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</si>
  <si>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</si>
  <si>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</si>
  <si>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 Страхования ГПО автотранспорта </t>
  </si>
  <si>
    <t>77.11.10.10.00.00.00</t>
  </si>
  <si>
    <t>Услуги по аренде легковых автомобилей без водителя</t>
  </si>
  <si>
    <t>Краткосрочная, среднесрочная или догосрочная аренда (прокат) легковых автомобилей без водителя</t>
  </si>
  <si>
    <t>Аренда автотранспортных средств</t>
  </si>
  <si>
    <t>декабрь 2013г, январь, февраль, март  2014г</t>
  </si>
  <si>
    <t>Оплата 100%  по факту после предоставления  счет-фактуры</t>
  </si>
  <si>
    <t>49.32.12.20.00.00.00</t>
  </si>
  <si>
    <t>Услуги по аренде легковых автомобилей с водителем</t>
  </si>
  <si>
    <t>Аренда легковых автомобилей с предоставлением услуг водителя</t>
  </si>
  <si>
    <t>декабрь 2013г,  февраль, март  2014г</t>
  </si>
  <si>
    <t>52.21.29.10.00.00.00</t>
  </si>
  <si>
    <t>Услуги мойки автомашин</t>
  </si>
  <si>
    <t>Автомойка иномарок (джипы)</t>
  </si>
  <si>
    <t>декабрь 2013г,  март   2014г</t>
  </si>
  <si>
    <t>71.20.14.10.00.00.00</t>
  </si>
  <si>
    <t>Услуги по техническому контролю (осмотру) дорожных транспортных средств</t>
  </si>
  <si>
    <t>с мая по ноябрь
2014 год</t>
  </si>
  <si>
    <t>33.13.11.09.00.00.00</t>
  </si>
  <si>
    <t>Поверка средств измерений</t>
  </si>
  <si>
    <t>Поверка весовых дозаторов АБЗ, крановых электронных весов</t>
  </si>
  <si>
    <t>январь, февраль</t>
  </si>
  <si>
    <t>РК, Мангистауская область  пос.Ынтымак,     к-р Куйрык</t>
  </si>
  <si>
    <t>74.90.21.16.20.00.00</t>
  </si>
  <si>
    <t>Услуги по организации метрологического обеспечения средств измерений</t>
  </si>
  <si>
    <t xml:space="preserve">Поверка и ремонт средств измерения </t>
  </si>
  <si>
    <t>декабрь 2013г, январь, февраль  2014г</t>
  </si>
  <si>
    <t>35.30.12.16.00.00.00</t>
  </si>
  <si>
    <t>Услуги по промывке и опрессовке системы отопления</t>
  </si>
  <si>
    <t xml:space="preserve">Опрессовка и промывка тепловых сетей  здания  офиса </t>
  </si>
  <si>
    <t xml:space="preserve">Июль, август </t>
  </si>
  <si>
    <t xml:space="preserve">с июля по  сентябрь  2014г. </t>
  </si>
  <si>
    <t>авансовый платеж - 100% в течении 5 банковских дней со дня подписания договора на основании счета на оплату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</si>
  <si>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</si>
  <si>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</si>
  <si>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</si>
  <si>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</si>
  <si>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авансовый платеж - 100% стоимости месячного объема за 5 дней до начала расчетного периода</t>
  </si>
  <si>
    <t>35.30.12.13.00.00.00</t>
  </si>
  <si>
    <t>Услуги по передаче пара по коммунальным тепловым сетям</t>
  </si>
  <si>
    <t>Теплоснабжение офиса ТОО "ОСС" и зд. и базы АСМУ</t>
  </si>
  <si>
    <t>Электроснабжение карьера "Таучик" и РЗЦ БПО</t>
  </si>
  <si>
    <t>РК, Мангистауская обл, : пос. Ынтымак  БПО, карьер "Таучик"</t>
  </si>
  <si>
    <t>передача электроэнергии  на карьер "Таучик" и РЗЦ БПО</t>
  </si>
  <si>
    <t>Электроснабжение объектов на м/р Каламкас, Жетыбай и г.Актау</t>
  </si>
  <si>
    <t>РК, Мангистауская обл, м/р: Жетыбай, м/р Каламкас, г.Актау</t>
  </si>
  <si>
    <t>авансовый платеж- 0%, в течение 10 дней  на основании счет-фактуры , ежемесячно</t>
  </si>
  <si>
    <t>Электроснабжение карьера "Куйрык" БПО</t>
  </si>
  <si>
    <t>РК, Мангистауская обл, г.Актау  карьер: Куйрык</t>
  </si>
  <si>
    <t>Электроснабжение ЦРБ УТиСТ</t>
  </si>
  <si>
    <t>РК, Мангистауская обл, пос: Ынтымак</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</si>
  <si>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</si>
  <si>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</si>
  <si>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</si>
  <si>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КСМУ и УТиСТ на м/р Каламкас</t>
  </si>
  <si>
    <t>РК, Мангистауская обл, м/р: Каламкас</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</si>
  <si>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</si>
  <si>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</si>
  <si>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</si>
  <si>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область г.Актау,м/р Жетыбай, м/р Каламкас</t>
  </si>
  <si>
    <t>авансовый платеж- 0%, в течение 30  дней с даты  подписания акта выполненных услуг</t>
  </si>
  <si>
    <t>68.20.12.00.00.00.09</t>
  </si>
  <si>
    <t>Услуги по аренде подъездных путей</t>
  </si>
  <si>
    <t>аренда ж/д тупика Часть ЖД тупика №3, проходящего через базу ТОО "Мангистауснаб", для пропуска ЖД вагонов с дорожным битумом прибывших в адрес ТОО "ОСС"</t>
  </si>
  <si>
    <t>авансовый платеж- 0%, в течение 10  дней с даты  подписания акта выполненных услуг, ежемесячно</t>
  </si>
  <si>
    <t>аренда ж/д тупика Железнодорожный тупик проходящий через битумохранилище ТОО "ОСС" и примыкающий с железнодорожным тупиком ТОО "МЭМ"</t>
  </si>
  <si>
    <t>52.21.21.20.00.00.00</t>
  </si>
  <si>
    <t>Услуги автовокзалов, автостанций и остановок прочие (медпункт, полиция и т.п.)</t>
  </si>
  <si>
    <t>Услуги автостанции по перевозке рабочей вахты</t>
  </si>
  <si>
    <t>77.12.19.10.10.00.00</t>
  </si>
  <si>
    <t>Услуги по аренде специальной техники</t>
  </si>
  <si>
    <t>Аренда специальной техники</t>
  </si>
  <si>
    <t>49.41.20.10.00.00.00</t>
  </si>
  <si>
    <t>Услуги по аренде автокрана с водителем</t>
  </si>
  <si>
    <t>Услуги по аренде автокрана с водителем м/р Каламкас, м/р Жетыбай</t>
  </si>
  <si>
    <t>49.39.31.11.00.00.00</t>
  </si>
  <si>
    <t>Услуги по аренде автобусов с водителем для пригородных перевозок</t>
  </si>
  <si>
    <t>Аренда автобусов с водителем для пригородных перевозок</t>
  </si>
  <si>
    <t>77.32.11.10.14.10.00</t>
  </si>
  <si>
    <t>Услуги по аренде экскаватора с водителем</t>
  </si>
  <si>
    <t>Аренда экскаватора с водителем</t>
  </si>
  <si>
    <t>Услуги экскаватора</t>
  </si>
  <si>
    <t>авансовый платеж- 0%, в течение 30  дней с даты  подписания акта выполненных услуг, ежемесячно</t>
  </si>
  <si>
    <t>кран-манипулятор</t>
  </si>
  <si>
    <t>49.41.20.22.00.00.00</t>
  </si>
  <si>
    <t>Услуги по аренде автоэкскаватора -планировщика с водителем</t>
  </si>
  <si>
    <t>планировщик УДС</t>
  </si>
  <si>
    <t>РК, Мангистауская область,   м/р Каламкас</t>
  </si>
  <si>
    <t>Декабрь 2013 г., март</t>
  </si>
  <si>
    <t>РК, Мангистауская область, г.Актау, м/р Каламкас, м/р Жетыбай</t>
  </si>
  <si>
    <t>оперативная легковая</t>
  </si>
  <si>
    <t>49.41.20.17.00.00.00</t>
  </si>
  <si>
    <t>Услуги по аренде самосвала с водителем</t>
  </si>
  <si>
    <t>Самосвалы по перевозке МСМ на м/р  "Каламкас"</t>
  </si>
  <si>
    <t>февраль, май</t>
  </si>
  <si>
    <t>РК, Мангистауская область,  м/р Каламкас</t>
  </si>
  <si>
    <t>38.11.69.11.10.00.00</t>
  </si>
  <si>
    <t>Услуги по размещению твердо-бытовых отходов</t>
  </si>
  <si>
    <t>Прием и утилизация ТБО с объектов: по г.Актау, пос.Ынтымак</t>
  </si>
  <si>
    <t>РК, Мангистауская область, г.Актау, пос.Ынтымак</t>
  </si>
  <si>
    <t>Прием и утилизация ТБО с объектов: по Каламкас</t>
  </si>
  <si>
    <t>РК, Мангистауская область, м/р Каламкас</t>
  </si>
  <si>
    <t>Прием и утилизация ТБО с объектов: по м/р Жетыбай</t>
  </si>
  <si>
    <t>РК, Мангистауская область, м/р Жетыбай</t>
  </si>
  <si>
    <t>авансовый платеж- 0%, в течение 30 дней с даты  подписания акта выполненных услуг</t>
  </si>
  <si>
    <t>39.00.23.17.00.00.00</t>
  </si>
  <si>
    <t>Услуги по лабораторному исследованию</t>
  </si>
  <si>
    <t>Услуги по лабораторному исследованию сточных вод</t>
  </si>
  <si>
    <t>Проведение химанализа сточных вод с объектов по м/р Жетыбай</t>
  </si>
  <si>
    <t>авансовый платеж-100% после получения счета на оплату</t>
  </si>
  <si>
    <t>37.00.20.11.00.10.00</t>
  </si>
  <si>
    <t>Услуги по откачиванию сточных вод</t>
  </si>
  <si>
    <t>Откачка сточных вод</t>
  </si>
  <si>
    <t>Вывоз сточных вод с объектов по м/р Жетыбай</t>
  </si>
  <si>
    <t>Вывоз сточных вод с объектов: по г.Актау, пос.Ынтымак</t>
  </si>
  <si>
    <t>37.00.12.14.00.00.00</t>
  </si>
  <si>
    <t>Услуги по прием-передаче хозяйственных фекальных стоков (водоотведение)</t>
  </si>
  <si>
    <t>Прием-передача хозфекальных стоков (водоотведение)</t>
  </si>
  <si>
    <t>Вывоз сточных вод с объектов по м/р Каламкас</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</si>
  <si>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</si>
  <si>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</si>
  <si>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</si>
  <si>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Термодемеркуризация отработанных люминесцентных ламп - централизованно с объекта БПО РЗЦ</t>
  </si>
  <si>
    <t>РК, Мангистауская область, пос.Ынтымак БПО</t>
  </si>
  <si>
    <t>38.11.69.11.00.00.00</t>
  </si>
  <si>
    <t>Услуги по вывозу твердо-бытовых отходов</t>
  </si>
  <si>
    <t>Выполнение операций по сбору, утилизации, размещению или удалению отходов</t>
  </si>
  <si>
    <t>Прием и утилизация отходов производства и потребления янтарного и зеленого списка, с объектов: по г.Актау,пос.Ынтымак.</t>
  </si>
  <si>
    <t>РК, Мангистауская область, г. Актау, пос.Ынтымак БПО</t>
  </si>
  <si>
    <t>Прием и утилизация отходов производства и потребления янтарного и зеленого списка, с объектов:  м/р Каламкас</t>
  </si>
  <si>
    <t>Прием и утилизация отходов производства и потребления янтарного и зеленого списка, с объектов:  м/р Жетыбай</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</si>
  <si>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</si>
  <si>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</si>
  <si>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</si>
  <si>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 xml:space="preserve">Проведение мониторинга атмосферного воздуха и почвы </t>
  </si>
  <si>
    <t>РК, Мангистауская область,</t>
  </si>
  <si>
    <t>авансовый платеж- 0%, в течение 30 кал. дней с даты  подписания акта выполненных услуг, ежеквартально</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</si>
  <si>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</si>
  <si>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</si>
  <si>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</si>
  <si>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Разработка Программы ПЭК для объектов на период строительства</t>
  </si>
  <si>
    <t>сентябрь</t>
  </si>
  <si>
    <t xml:space="preserve">Программа ПЭК для объектов ТОО "ОСС" -      1 категории </t>
  </si>
  <si>
    <t>РК, Мангистауская область:г Актау</t>
  </si>
  <si>
    <t>март</t>
  </si>
  <si>
    <t xml:space="preserve">Программа ПЭК для объектов ТОО "ОСС" -      2 категории </t>
  </si>
  <si>
    <t>июль</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</si>
  <si>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</si>
  <si>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</si>
  <si>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</si>
  <si>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Отчетов по Программе ПЭК на 2014 год</t>
  </si>
  <si>
    <t>39.00.23.16.16.00.00</t>
  </si>
  <si>
    <t>Услуги по разработке проекта по снижению выбросов парниковых газов</t>
  </si>
  <si>
    <t>Инвентаризация источников парниковых газов за 2013 год</t>
  </si>
  <si>
    <t>39.00.23.14.00.00.00</t>
  </si>
  <si>
    <t>Услуги разработки проекта нормативов предельно допустимых выбросов</t>
  </si>
  <si>
    <t>Разработка проекта ПДВ для карьера Таучик</t>
  </si>
  <si>
    <t>Разработка проекта ПДВ для карьера по добычи ПЩС</t>
  </si>
  <si>
    <t>Разработка проекта ПДВ для карьера Кудайберген добыча бутового камня</t>
  </si>
  <si>
    <t>июнь</t>
  </si>
  <si>
    <t>Разработка проекта ПДВ для карьера Куйрык</t>
  </si>
  <si>
    <t>Разработка проекта ПДВ для карьера №8 добыча грунта</t>
  </si>
  <si>
    <t>Разработка проекта ПДВ для карьера №9 добыча ПГС</t>
  </si>
  <si>
    <t>Разработка проекта ПДВ для карьера №10 добыча мергеля</t>
  </si>
  <si>
    <t>39.00.23.14.11.00.00</t>
  </si>
  <si>
    <t>Услуги разработки проекта нормативов обращения с отходами</t>
  </si>
  <si>
    <t>Разработка проекта обращения с отходами</t>
  </si>
  <si>
    <t>Разработка проекта  ПРОО на 2015-19 годы</t>
  </si>
  <si>
    <t>38.22.29.13.00.00.00</t>
  </si>
  <si>
    <t>Услуги по утилизации отработанных масел</t>
  </si>
  <si>
    <t>Выполнение операций по сбору и утилизации отработанных масел</t>
  </si>
  <si>
    <t>Вывоз отработанного масла  с объекта УТиСТ ЦРБ</t>
  </si>
  <si>
    <t>РК, Мангистауская область ,пос.Ынтымак, РЗЦ БПО</t>
  </si>
  <si>
    <t>36.00.40.14.00.00.00</t>
  </si>
  <si>
    <t>Услуги по подаче питьевой воды</t>
  </si>
  <si>
    <t>Отпуск опресненной воды для карьера Таучик</t>
  </si>
  <si>
    <t>РК, Мангистауская область карьер Таучик</t>
  </si>
  <si>
    <t>65.12.50.50.00.00.01</t>
  </si>
  <si>
    <t>Услуги по страхованию ответственности за нанесение вреда экологии</t>
  </si>
  <si>
    <t>Обязательное экострахование объектов</t>
  </si>
  <si>
    <t>РК, Мангистауская область, м/р : Каламкас, Жетыбай, к-р Таучик, г.Актау</t>
  </si>
  <si>
    <t>Оплата 100%  по факту предоставления  счет-фактуры</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</si>
  <si>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</si>
  <si>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</si>
  <si>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</si>
  <si>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</si>
  <si>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</si>
  <si>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</si>
  <si>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</si>
  <si>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</si>
  <si>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</si>
  <si>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</si>
  <si>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</si>
  <si>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</si>
  <si>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</si>
  <si>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36.00.30.10.00.00.00</t>
  </si>
  <si>
    <t>Услуги по продаже воды по муниципальным трубопроводам</t>
  </si>
  <si>
    <t xml:space="preserve">отпуск питьевой воды для центрального офиса и офиса АСМУ </t>
  </si>
  <si>
    <t xml:space="preserve">Предоплата 100% стоим. дог. объема за 5 дн. до начала расч. периода </t>
  </si>
  <si>
    <t>49.50.19.10.00.00.00</t>
  </si>
  <si>
    <t>Услуги транспортирования по трубопроводам воды</t>
  </si>
  <si>
    <t xml:space="preserve">транспортировка питьевой воды для центрального офиса и офиса АСМУ </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</si>
  <si>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</si>
  <si>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</si>
  <si>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</si>
  <si>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</si>
  <si>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53.10.19.10.09.00.00</t>
  </si>
  <si>
    <t>Услуги почтовые по пересылке почтовых отправлений</t>
  </si>
  <si>
    <t>Почтово-телеграфные. Отправка писем по всем  направлениям РК и РФ.</t>
  </si>
  <si>
    <t>18.12.19.32.00.00.00</t>
  </si>
  <si>
    <t xml:space="preserve">Услуги полиграфические </t>
  </si>
  <si>
    <t>Услуги полиграфические по печатанию различных бланков</t>
  </si>
  <si>
    <t>Изготовление полиграфической продукции. Обеспечение бланками: КСМУ, ЖСМУ, УТиСТ, Бухгалтерия, Карьеры</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</si>
  <si>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</si>
  <si>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</si>
  <si>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</si>
  <si>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</si>
  <si>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авансовый платеж- 0%, в течение 30 кал. дней с даты  подписания акта выполненных услуг ,ежемесячно</t>
  </si>
  <si>
    <t>36.00.20.10.00.00.00</t>
  </si>
  <si>
    <t>Услуги распределения воды через водопроводы</t>
  </si>
  <si>
    <t>Питьевая вода для полива зеленных насаждений  центрального офиса ТОО "ОСС"</t>
  </si>
  <si>
    <t>с  мая по октябрь 2014 г</t>
  </si>
  <si>
    <t>61.10.43.01.01.00.00</t>
  </si>
  <si>
    <t>Услуги по доступу к Интернету</t>
  </si>
  <si>
    <t>Услуги, направленные на предоставление доступа к Интернету широкополосному по сетям проводным</t>
  </si>
  <si>
    <t>ВОЛС</t>
  </si>
  <si>
    <t>61.10.20.06.00.00.00</t>
  </si>
  <si>
    <t>Услуги предоставления доступа в Интернет</t>
  </si>
  <si>
    <t>Услуги предоставления доступа в Интернет от оператора кабельной инфраструктуры</t>
  </si>
  <si>
    <t>Предоставление доступа к сети Интернет без учета трафика на скорости 256 Кбит\сек м/р Жетыбай</t>
  </si>
  <si>
    <t>Предоставление доступа к сети Интернет без учета трафика на скорости 256 Кбит\сек м/р Каламкас</t>
  </si>
  <si>
    <t>Предоставление доступа к сети Интернет без учета трафика на скорости 512 Кбит\сек Ынтымак (РЗУ БПО), УТиСТ</t>
  </si>
  <si>
    <t>РК, Мангистауская область, п.Ынтымак</t>
  </si>
  <si>
    <t>Предоставление доступа к сети Интернет без учета трафика на скорости 1024 Кбит\сек Ынтымак ( склад/УТиСТ),(склад/РЗУ)</t>
  </si>
  <si>
    <t>Выделенный канал Интернет 4096 Кбит/с в зд. ОСС г.Актау 23 мкр</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</si>
  <si>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</si>
  <si>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</si>
  <si>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объекты  КСМУ</t>
  </si>
  <si>
    <t>Проведение дезинфекционных, дезинсекционных и дератизационных работ в целях защиты от вредоносных насекомых на месторождении Жетыбай объекты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</si>
  <si>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</si>
  <si>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</si>
  <si>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</si>
  <si>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96.01.19.10.10.00.00</t>
  </si>
  <si>
    <t>Услуги прачечных по стирке</t>
  </si>
  <si>
    <t>Услуги прачечных по стирке спецодежды</t>
  </si>
  <si>
    <t>Стирка летней, зимней спецодежды.</t>
  </si>
  <si>
    <t>96.01.19.10.12.00.00</t>
  </si>
  <si>
    <t>Услуги прачечной по стирке постельных принадлежностей</t>
  </si>
  <si>
    <t>Стирка комплектов постельного белья</t>
  </si>
  <si>
    <t>55.90.12.11.00.00.00</t>
  </si>
  <si>
    <t>Услуги по предоставлению  помещений для проживания рабочих в общежитиях</t>
  </si>
  <si>
    <t>Проживание работников ТОО "ОСС" в общежитиях АО "ММГ" на м/р Каламкас</t>
  </si>
  <si>
    <t>86.90.19.19.00.00.00</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</si>
  <si>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</si>
  <si>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</si>
  <si>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Медицинское обслуживание работников на случай болезни во время нахождения его на месторождениях Каламкас и Жетыбай</t>
  </si>
  <si>
    <t>86.90.19.11.00.00.00</t>
  </si>
  <si>
    <t>Услуги по проведению общих профилактических обследований и диспансеризации</t>
  </si>
  <si>
    <t>Медицинское обслуживание работников - консультация, лечение, обеспечение лекарственными средствами, оформление больничных листов</t>
  </si>
  <si>
    <t>с даты вступления в силу договора до 31 декабря 2014 года, с января по декабрь</t>
  </si>
  <si>
    <t>56.10.19.15.00.00.00</t>
  </si>
  <si>
    <t>Услуги по обеспечению лечебно-профилактическим питанием (спецпитанием) работников</t>
  </si>
  <si>
    <t xml:space="preserve">Организация молочными продуктами в столовых на м/р Каламкас </t>
  </si>
  <si>
    <t xml:space="preserve">Организация молочными продуктами в столовых на м/р Жетыбай </t>
  </si>
  <si>
    <t xml:space="preserve">Организация молочными продуктами в столовых в г.Актау </t>
  </si>
  <si>
    <t>56.10.19.14.00.00.00</t>
  </si>
  <si>
    <t>Услуги организации питания для работников</t>
  </si>
  <si>
    <t xml:space="preserve">Организация горячим спец.питанием, молочными продуктами и бутилированной водой в столовых в г.Актау (1-раз. и 3-раз. Сух.пайки, вода бут), п.Ынтымак (1-раз.питан., вода бут) </t>
  </si>
  <si>
    <t>РК, Мангистауская область,г.Актау, п.Ынтымак, п.Даулет</t>
  </si>
  <si>
    <t>Организация горячим спец.питанием и бутилированной водой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</si>
  <si>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в столовых на м/р Жетыбай (1-раз. и 3-раз. Сухие пайки, 1-раз. и 3-раз. горячее питан., дополнительное ужин/паек, бутилированная пит. вода)</t>
  </si>
  <si>
    <t>Организация горячим спец.питанием, молочными продуктами и бутилированной водой в столовой на карьере Таучик (завтрак, обед, ужин, молоко, вода бут)</t>
  </si>
  <si>
    <t>РК, Мангистауская область, к-р Таучик</t>
  </si>
  <si>
    <t>53.10.19.10.11.00.00</t>
  </si>
  <si>
    <t>Услуги почтовые по предоставлению в пользование абонентских ящиков</t>
  </si>
  <si>
    <t>Аренда абонементного ящика</t>
  </si>
  <si>
    <t>авансовый платеж - 100% после заключения договора на основании счета</t>
  </si>
  <si>
    <t>53.10.19.10.17.00.00</t>
  </si>
  <si>
    <t>Услуги почтовой специальной связи</t>
  </si>
  <si>
    <t>Прием и отправка секретной, конфиденциальной почты</t>
  </si>
  <si>
    <t>Перевозка и доставка отправлений важного, делового и срочного характера с грифом "Конфиденциально" по категории Экспресс отправления "ЕМС"</t>
  </si>
  <si>
    <t>53.10.11.30.12.00.00</t>
  </si>
  <si>
    <t>Услуги по подписке на периодические издания</t>
  </si>
  <si>
    <t>Услуги по подписке на газеты и журналы</t>
  </si>
  <si>
    <t>Подписка периодических изданий для руководителей, а также изданий, необходимых для работы департаментов экономики, энергетики, ТБ, ЮС,  произв.технического отдела, бухгалтерии</t>
  </si>
  <si>
    <t>73.11.11.12.00.00.00</t>
  </si>
  <si>
    <t xml:space="preserve">Размещение рекламно-информационных материалов, связанных с деятльностью ТОО в областной газете </t>
  </si>
  <si>
    <t>61.20.11.10.00.00.00</t>
  </si>
  <si>
    <t xml:space="preserve">Услуги мобильной связи </t>
  </si>
  <si>
    <t>Услуги мобильной связи - доступ и пользование</t>
  </si>
  <si>
    <t xml:space="preserve">Сотовая связь </t>
  </si>
  <si>
    <t>43.21.10.10.40.10.00</t>
  </si>
  <si>
    <t>Услуги по техническому обслуживанию кабельных сетей</t>
  </si>
  <si>
    <t>Техническое обслуживание Отау-ТВ на месторождении Каламкас</t>
  </si>
  <si>
    <t>Техническое обслуживание Отау-ТВ на месторождении Жетыбай</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</si>
  <si>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</si>
  <si>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</si>
  <si>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</si>
  <si>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</si>
  <si>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 xml:space="preserve"> апрель </t>
  </si>
  <si>
    <t>с апреля по декабрь 2014г</t>
  </si>
  <si>
    <t>авансовый платеж- 100%  после получения счета на оплату</t>
  </si>
  <si>
    <t>93.11.10.22.00.00.00</t>
  </si>
  <si>
    <t>Услуги аренды ( эксплуатации) спортивного зала</t>
  </si>
  <si>
    <t xml:space="preserve">Аренда спортзала по минифутболу </t>
  </si>
  <si>
    <t>93.19.19.10.10.00.00</t>
  </si>
  <si>
    <t>Услуги по организации спортивно-оздоровительного мероприятия</t>
  </si>
  <si>
    <t>Комплекс услуг по организации спортивно-оздоровительного мероприятия</t>
  </si>
  <si>
    <t>Спортивно-оздоровительное обслуживание тренажерного зала -2 раза в неделю, бассейн и сауна -2 раза в неделю (дни посещения понедельник-суббота)</t>
  </si>
  <si>
    <t>18.12.19.24.00.00.00</t>
  </si>
  <si>
    <t>Услуги полиграфические</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</si>
  <si>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</si>
  <si>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</si>
  <si>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</si>
  <si>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93.29.19.10.00.00.00</t>
  </si>
  <si>
    <t>Услуги по организации праздничных мероприятий</t>
  </si>
  <si>
    <t>Проведение праздничного мероприятия в связи с празднованием Наурыза для работников производственного и  административного персонала</t>
  </si>
  <si>
    <t>авансовый платеж - 30%, 70% оплата после подписания акта выполненных работ</t>
  </si>
  <si>
    <t>Проведение праздничного мероприятия ко дню Нефтяника  для работников производственного и административного персонала</t>
  </si>
  <si>
    <t>56.10.11.10.11.00.00</t>
  </si>
  <si>
    <t>Услуги кафе с полным обслуживанием в сопровождении развлекательных программ</t>
  </si>
  <si>
    <t>Проведение праздничного мероприятия к Новому году на производстве</t>
  </si>
  <si>
    <t>ноябрь, декабрь</t>
  </si>
  <si>
    <t>авансовый платеж - 30%, 70% в течение 30 кал.дней после подписания акта выполненных услуг</t>
  </si>
  <si>
    <t>Проведение праздничного мероприятия к Новому году для работников администрации</t>
  </si>
  <si>
    <t>Проведение торжественной новогодней елки для детей работников ТОО в возрасте от 0-до12 лет</t>
  </si>
  <si>
    <t>68.20.12.00.00.00.00</t>
  </si>
  <si>
    <t>Услуги по аренде помещения</t>
  </si>
  <si>
    <t>63.11.12.10.00.00.00</t>
  </si>
  <si>
    <t>Техническое сопровождение сайта ТОО "ОСС"</t>
  </si>
  <si>
    <t>авансовый платеж- 0%, в течение 5 рабочих дней с даты  подписания акта выполненных услуг</t>
  </si>
  <si>
    <t>62.09.20.20.80.10.00</t>
  </si>
  <si>
    <t>Услуги по пользованию информационной системой электронных закупок</t>
  </si>
  <si>
    <t>авансовый платеж - 100% ежеквартально в течение 5 рабочих дней после получения счета на оплату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</si>
  <si>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</si>
  <si>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</si>
  <si>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</si>
  <si>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58.12.20.15.00.00.00</t>
  </si>
  <si>
    <t>Услуги по актуализации Единого номенклатурного справочника товаров, работ и услуг</t>
  </si>
  <si>
    <t>58.13.31.10.00.00.00</t>
  </si>
  <si>
    <t>Услуги по продаже места для размещения рекламных объявлений в газетах, печатных республиканских</t>
  </si>
  <si>
    <t>Услуги публикаций тендерных объявлений газета "Закуп Инфо"</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</si>
  <si>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</si>
  <si>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</si>
  <si>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</si>
  <si>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Информационной системой "Он-лайн портал "Маркетинг в закупках товаров, работ и услуг организаций АО "ФНБ "Самрук-Казына"</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</si>
  <si>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</si>
  <si>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</si>
  <si>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Сопровождение программных средств по бух.учету</t>
  </si>
  <si>
    <t>авансовый платеж- 0%, в течение 30 рабочих дней с даты  подписания акта выполненных услуг, ежемесячно</t>
  </si>
  <si>
    <t>66.29.11.00.00.00.01</t>
  </si>
  <si>
    <t>Услуги актуариев</t>
  </si>
  <si>
    <t>Услуги актуарного расчета, расчет обязательств по вознаграждению работников</t>
  </si>
  <si>
    <t xml:space="preserve">январь </t>
  </si>
  <si>
    <t xml:space="preserve">авансовый платеж- 0%,  в течение 15 рабочих дней после подписания акта выполненных услуг </t>
  </si>
  <si>
    <t>69.20.10.10.00.00.00</t>
  </si>
  <si>
    <t xml:space="preserve">Услуги по проведению ревизий финансовых </t>
  </si>
  <si>
    <t>Услуги по проведению ревизий финансовых (аудита)</t>
  </si>
  <si>
    <t>Аудит финансово- хозяйственной деятельности ТОО ОСС</t>
  </si>
  <si>
    <t xml:space="preserve">декабрь 2013г </t>
  </si>
  <si>
    <t>с даты вступления в силу договора до 31 марта 2015 года</t>
  </si>
  <si>
    <t>Информационно аналитические
 услуги Uchet.kz</t>
  </si>
  <si>
    <t>62.01.11.10.00.00.00</t>
  </si>
  <si>
    <t>Услуги по проектированию и разработке программного обеспечения</t>
  </si>
  <si>
    <t>Услуги по проектированию и разработке (анализу, производству и программированию) программного обеспечения по заказу.</t>
  </si>
  <si>
    <t>Модуль "Централизованное казначейство" на базе ПО 1С</t>
  </si>
  <si>
    <t xml:space="preserve">РК, Мангистауская обл, г: Актау  23 мкр.ТОО "ОСС" </t>
  </si>
  <si>
    <t>Модуль "Внедрение СИКФО" на базе ПО 1С</t>
  </si>
  <si>
    <t>65.12.11.00.00.00.01</t>
  </si>
  <si>
    <t>Услуги по страхованию от несчастных случаев</t>
  </si>
  <si>
    <t xml:space="preserve">  август </t>
  </si>
  <si>
    <t>с 15.08.14г по 14.08.15г</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</si>
  <si>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</si>
  <si>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</si>
  <si>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</si>
  <si>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Обучение закону о "Промышленной безопасности на производственных объектах" ИТР</t>
  </si>
  <si>
    <t xml:space="preserve"> май,июнь  </t>
  </si>
  <si>
    <t>с даты вступления в силу договора до 30 июня  2014 г</t>
  </si>
  <si>
    <t>авансовый платеж- 100%, в течение 10  банковских дней  с даты  подписания договора</t>
  </si>
  <si>
    <t>Обучение закону о "Промышленной безопасности на производственных объектах" рабочие</t>
  </si>
  <si>
    <t xml:space="preserve"> апрель, май  </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</si>
  <si>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</si>
  <si>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(ИТР)</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</si>
  <si>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</si>
  <si>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(рабочие)</t>
  </si>
  <si>
    <t>октябрь, ноябрь, декабрь</t>
  </si>
  <si>
    <t>с даты вступления в силу договора до 31 декабря 2014 г</t>
  </si>
  <si>
    <t>Обучение на тему: Требования промышленной безопасности при эксплуатации нефтебаз и автозаправочных  станции</t>
  </si>
  <si>
    <t>с даты вступления в силу договора до 30 апреля 2014 г</t>
  </si>
  <si>
    <t>Обучение на тему: Требования устройства и безпасной эксплуатации сосудов, работающих под давлением (ИТР)</t>
  </si>
  <si>
    <t>Обучение на тему: Требования устройства и безпасной эксплуатации сосудов, работающих под давлением (рабочие)</t>
  </si>
  <si>
    <t>с даты вступления в силу договора до 30 сентября 2014 г</t>
  </si>
  <si>
    <t>Обучение на тему: Требования промышленной безопасности водогрейных и паровых котлов (рабочие)</t>
  </si>
  <si>
    <t>с даты вступления в силу договора до 31 июля 2014 г</t>
  </si>
  <si>
    <t>Обучение на тему: Требования промышленной безопасности при использовании сжижженных углеводородных газов  (ИТР)</t>
  </si>
  <si>
    <t>Обучение на тему: Требования промышленной безопасности при использовании сжижженных углеводородных газов  (рабочие)</t>
  </si>
  <si>
    <t>Обучение на тему: Требования промышленной безопасности при разработке м/р полезных ископаемых открытым сспособом (ИТР)</t>
  </si>
  <si>
    <t>с даты вступления в силу договора до 31 октября 2014 г</t>
  </si>
  <si>
    <t>Обучение специалистов по определению токсичности и дымкости ДВС</t>
  </si>
  <si>
    <t>с даты вступления в силу договора до 30  июня 2014 г</t>
  </si>
  <si>
    <t>85.59.13.26.00.00.00</t>
  </si>
  <si>
    <t>Услуги по обучению лиц, ответственных за перевозку опасных грузов</t>
  </si>
  <si>
    <t>обучение лиц, ответственных за перевозку опасных грузов</t>
  </si>
  <si>
    <t>подготовка стропальщиков</t>
  </si>
  <si>
    <t>руководитель службы безопасности ( 1  модуль)</t>
  </si>
  <si>
    <t>с даты вступления в силу договора до 28 февраля 2014 г</t>
  </si>
  <si>
    <t>руководитель службы безопасности ( 2  модуль)</t>
  </si>
  <si>
    <t>март, сентябрь</t>
  </si>
  <si>
    <t>с даты вступления в силу договора до 31  октября 2014 г</t>
  </si>
  <si>
    <t>основы сварочного производства, допуск и тех.контроль проведения сварочных работ г.Караганда</t>
  </si>
  <si>
    <t>основы сварочного производства, допуск и тех.контроль проведения сварочных работ г.Актау</t>
  </si>
  <si>
    <t>с даты вступления в силу договора до 30  сентября 2014 г</t>
  </si>
  <si>
    <t>Обучение на тему: Охрана труда и пром.безопасность на предприятии</t>
  </si>
  <si>
    <t>Обучение на тему: Противопожарная безопасность на предприятии</t>
  </si>
  <si>
    <t>Обучение на тему: Новые требования по ЭК РК</t>
  </si>
  <si>
    <t>Обучение на тему: Требования стандартов СТ РК 9001,14001,18001,19001</t>
  </si>
  <si>
    <t>с даты вступления в силу договора до 31 марта 2014 г</t>
  </si>
  <si>
    <t xml:space="preserve">Обучение на тему: Бюджетирование, контроль затрат и финансовая отчетность КУ "Самрук-Казына". </t>
  </si>
  <si>
    <t>Обучение на тему: Финансовое бюджетирование и планирование.  Принятие инвестиционных решений.</t>
  </si>
  <si>
    <t>Семинар по МСФО.</t>
  </si>
  <si>
    <t>Обучение по программе АССАДипИФР.</t>
  </si>
  <si>
    <t>Профессиональный бухгалтер (бух.учет в соотв. С МСФО, налоги и налогооблажение, гражданское право)</t>
  </si>
  <si>
    <t>Обзор изменении, внесенных в законодат.акты по вопросам налогооблажения в 2014 г.</t>
  </si>
  <si>
    <t>Новое МСФО. Учет фин.инструментов, оценка активов, оценочные обяз-ва, условные в целях подготовки финансовой отчетности в соотв.МСФО.</t>
  </si>
  <si>
    <t xml:space="preserve">Обучение на тему:Новые Правила закупок АО "Самрук-Казына" </t>
  </si>
  <si>
    <t>март, июнь</t>
  </si>
  <si>
    <t>с даты вступления в силу договора до 31 августа  2014 г</t>
  </si>
  <si>
    <t>Обучение на тему: Проведение закупок в Информационной системе электронных закупок (ИСЭЗ)</t>
  </si>
  <si>
    <t>Обучение на тему: Формирование отчетности в системе ЭПЗ и автоматизированной системы отчетности АСФО.</t>
  </si>
  <si>
    <t>Семинар - Регулирование трудовых отношений на основе Трудового Кодекса РК, с учетом последних изменений в 2012 г.</t>
  </si>
  <si>
    <t>Обучение на тему: Складская логистика КУ "Самрук-Казына"</t>
  </si>
  <si>
    <t>с даты вступления в силу договора до 31 августа 2014 г</t>
  </si>
  <si>
    <t>Обучение на тему :Обжалование действии бездействии уполномоченных органов и должностных лиц, руководителей и т.д.</t>
  </si>
  <si>
    <t>Обучение на тему :Юридическая техника  разработки деловых писем. Исполнение судебных решений по взысканижю деб.задолженности и убытков.</t>
  </si>
  <si>
    <t>Семинар - нормирование и оплата труда/Регулирование трудовых отношений на основе  трудового кодекса РК</t>
  </si>
  <si>
    <t>Управление персоналом. Кадровое делопроизводство</t>
  </si>
  <si>
    <t>Обучение на тему: Строительство и ремонт резервуаров для нефти и нефтепродуктов</t>
  </si>
  <si>
    <t>85.59.13.19.00.00.00</t>
  </si>
  <si>
    <t>Услуги по обучению на курсах по сейсмобезопасному строительству и геодезии</t>
  </si>
  <si>
    <t>обучение на курсах по сейсмобезопасному строительству и геодезии</t>
  </si>
  <si>
    <t>Обучение на тему: Основы сейсмостойкого строительства ЦПК РГП "КазНИИССА"</t>
  </si>
  <si>
    <t>Обучение на тему: О внесении изменений и дополнений в некоторые законодательные акты РК по вопросам недропользования</t>
  </si>
  <si>
    <t>Обучение на тему: Новая инструкция по составлению форм по балансам полезных ископаемых для недропользователей</t>
  </si>
  <si>
    <t>Обучение на тему: Регулирование контрактных условий в недропользовании</t>
  </si>
  <si>
    <t>Обучение на тему: Делопроизводство и архивное дело, электронный документооборот</t>
  </si>
  <si>
    <t>Обучение на тему: Техника письменного перевода</t>
  </si>
  <si>
    <t>Обучение на тему: Установка и настройка Windows Server 2012</t>
  </si>
  <si>
    <t>Программное обеспечение : ИС Параграф "Юрист"</t>
  </si>
  <si>
    <t>25.71.14.00.00.10.15.10.2</t>
  </si>
  <si>
    <t>Ложки столовые из нержавеющей стали</t>
  </si>
  <si>
    <t>25.71.14.00.00.10.17.10.2</t>
  </si>
  <si>
    <t>Ложки чайные из нержавеющей стали</t>
  </si>
  <si>
    <t>27.11.41.03.00.00.02.12.1</t>
  </si>
  <si>
    <t>Трансформатор силовой масляный</t>
  </si>
  <si>
    <t>Трансформатор силовой масляный, ГОСТ 11677-85, тип ТМ-250/6 У1; мощность 250 кВА, первичное напряжение 6 кВ, вторичное напряжение 0,4 кВ</t>
  </si>
  <si>
    <t xml:space="preserve">май, июнь        </t>
  </si>
  <si>
    <t>27.11.41.02.00.00.07.03.1</t>
  </si>
  <si>
    <t>Трансформатор напряжения</t>
  </si>
  <si>
    <t>Трансформатор напряжения герметичного исполнения, ГОСТ 1983-2001, класс напряжения 10</t>
  </si>
  <si>
    <t>Трансформатор напряжения НТМИ-10кв</t>
  </si>
  <si>
    <t>27.11.21.20.30.10.40.21.1</t>
  </si>
  <si>
    <t>Электродвигатель переменного тока асинхронный трехфазный с номинальной частотой сети на 50 Гц</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</si>
  <si>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7,5 кВт</t>
  </si>
  <si>
    <t>Электродвигатель крановый МНТ 112-6  5 квт 935 об/мин 380в</t>
  </si>
  <si>
    <t>27.11.21.20.30.10.40.23.1</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</si>
  <si>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15 кВт</t>
  </si>
  <si>
    <t>Электродвигатель крановый МНТ 312-6  15 квт 950 об/мин 380в</t>
  </si>
  <si>
    <t>27.11.21.20.30.10.60.23.1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</si>
  <si>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15 кВт</t>
  </si>
  <si>
    <t>Электродвигатель АИR 160S2У2 Т   Р=15 квт 3000 об/мин 380в 50Гц</t>
  </si>
  <si>
    <t>27.11.21.20.30.10.50.22.1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</si>
  <si>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11 кВт</t>
  </si>
  <si>
    <t>Электродвигатель асинхронный 4А(А132)М4   Р=11 квт 1500 об/мин 380в 50Гц</t>
  </si>
  <si>
    <t>27.11.21.20.30.10.60.21.1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</si>
  <si>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7,5 кВт</t>
  </si>
  <si>
    <t>Электродвигатель АДМ100S2   Р=4 квт 3000 об/мин 380в 50Гц</t>
  </si>
  <si>
    <t>27.11.21.20.30.10.50.21.1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</si>
  <si>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7,5 кВт</t>
  </si>
  <si>
    <t>Электродвигатель АДМ (АИР)132S4  Р=7,5 квт 1500 об/мин 380в 50Гц</t>
  </si>
  <si>
    <t>27.12.32.13.11.11.11.10.1</t>
  </si>
  <si>
    <t>Шкаф распределительный электрический</t>
  </si>
  <si>
    <t>Предназначены для приема и распределения электрической энергии в сетях и защиты электрических установок. Шкафы КРУ серии К-5900 на номинальное напряжение 6 и 10 кВ переменного тока промышленной частоты 50.</t>
  </si>
  <si>
    <t>Панели распределительные электрические ЩО-70 380в  630А</t>
  </si>
  <si>
    <t>28.92.40.00.00.00.03.06.1</t>
  </si>
  <si>
    <t>Бетономешалка или растворосмеситель</t>
  </si>
  <si>
    <t xml:space="preserve">Бетономешалка, V-0,50 м3 </t>
  </si>
  <si>
    <t>июль-август</t>
  </si>
  <si>
    <t>в течение 45 р/дней с даты заключения договора</t>
  </si>
  <si>
    <t>28.13.11.00.00.00.12.13.1</t>
  </si>
  <si>
    <t>Топливораздаточная колонка</t>
  </si>
  <si>
    <t>Топливораздаточная колонка для заправке транспортных средств топливом.</t>
  </si>
  <si>
    <t>февраль-март</t>
  </si>
  <si>
    <t>28.24.11.00.00.00.15.10.1</t>
  </si>
  <si>
    <t>электродрель</t>
  </si>
  <si>
    <t>дрель ручная электропневматическая (включая для сверления, нарезки резьбы, развертывания отверстий, расточные машины и бурильные молотки)</t>
  </si>
  <si>
    <t>25.73.40.10.60.10.10.10.1</t>
  </si>
  <si>
    <t>Миксер малярный</t>
  </si>
  <si>
    <t>дрели электрической</t>
  </si>
  <si>
    <t>28.22.12.00.00.00.26.69.1</t>
  </si>
  <si>
    <t>Лебедка ручная</t>
  </si>
  <si>
    <t>рычажная, грузоподъемностью 1,6 тн</t>
  </si>
  <si>
    <t>26.51.63.13.15.11.11.12.1</t>
  </si>
  <si>
    <t>Счетчик жидкости</t>
  </si>
  <si>
    <t>с овальными шестернями  для измерения объемного количества нефтепродуктов, диаметр условного прохода - 25 мм, максимальное рабочее давление - 1,6 МПа, с механическим отсчетным устройством</t>
  </si>
  <si>
    <t>Счетчики для учета нефтепродуктов ШЖУ</t>
  </si>
  <si>
    <t>28.29.60.00.00.01.01.02.1</t>
  </si>
  <si>
    <t>Битумоварка</t>
  </si>
  <si>
    <t>на дизельном топливе или сжиженном газе, объём разогретого битума свыше 1,0 м2</t>
  </si>
  <si>
    <t>Котел битумоварочный, утепленный, на одноосном прицепе, емкость - 1,5м3.</t>
  </si>
  <si>
    <t>29.20.30.00.00.00.20.10.1</t>
  </si>
  <si>
    <t>Шасси</t>
  </si>
  <si>
    <t>рама, на которой укреплены кузов, все механизмы и детали</t>
  </si>
  <si>
    <t>28.22.18.00.00.10.10.04.1</t>
  </si>
  <si>
    <t>Тележка гидравлическая</t>
  </si>
  <si>
    <t>ручная, грузоподъемность до 1000 кг</t>
  </si>
  <si>
    <t>25.73.30.00.00.14.50.10.1</t>
  </si>
  <si>
    <t>Гайковерт</t>
  </si>
  <si>
    <t>электрический</t>
  </si>
  <si>
    <t>Тележки для газовых баллонов, типа КП 2, для перевозки двух баллонов (ПРОПАН+КИСЛОРОД).</t>
  </si>
  <si>
    <t>28.99.11.00.00.00.20.01.1</t>
  </si>
  <si>
    <t>Станок шиномонтажный</t>
  </si>
  <si>
    <t>для монтажа и демонтажа колес транспортных средств</t>
  </si>
  <si>
    <t>Стенд шиномонтажный, для грузовых автомобилей</t>
  </si>
  <si>
    <t>28.29.22.00.00.00.15.10.1</t>
  </si>
  <si>
    <t>устройство для мойки водой с встроенным двигателем</t>
  </si>
  <si>
    <t>устройство для мойки водой (без нагревательного устройства) с встроенным двигателем мощностью не более 7,5 кВт</t>
  </si>
  <si>
    <t>Установка для мойки деталей  и метизов автотранспорта и спецтехники</t>
  </si>
  <si>
    <t>28.41.23.00.00.00.11.12.1</t>
  </si>
  <si>
    <t>станок заточный</t>
  </si>
  <si>
    <t>станок универсально-заточный без числового программного управления</t>
  </si>
  <si>
    <t>27.90.31.00.01.12.19.11.1</t>
  </si>
  <si>
    <t>Аппарат сварочный</t>
  </si>
  <si>
    <t>сварочный</t>
  </si>
  <si>
    <t>28.96.10.00.00.00.04.01.1</t>
  </si>
  <si>
    <t>Вулканизатор для покрышек, ездовых камер и бескамерных шин</t>
  </si>
  <si>
    <t>Вулканизационный аппарат</t>
  </si>
  <si>
    <t>26.51.66.11.11.11.11.10.1</t>
  </si>
  <si>
    <t>Испытательный стенд</t>
  </si>
  <si>
    <t>Автомобильный.</t>
  </si>
  <si>
    <t>28.22.13.00.00.00.20.12.1</t>
  </si>
  <si>
    <t>домкрат винтовой</t>
  </si>
  <si>
    <t>домкрат винтовой с грузоподъемностью 5 т</t>
  </si>
  <si>
    <t>Канавный подъемник, г/п 3-5 тн</t>
  </si>
  <si>
    <t>26.51.66.20.10.10.10.10.1</t>
  </si>
  <si>
    <t>Алкотестер</t>
  </si>
  <si>
    <t>Портативный, для быстрого и точного анализа алкоголя в выдыхаемом воздухе.</t>
  </si>
  <si>
    <t>Алкотестеры (алкометры)</t>
  </si>
  <si>
    <t>28.13.14.00.00.00.13.05.1</t>
  </si>
  <si>
    <t>Насос</t>
  </si>
  <si>
    <t>грязевой насос одноступенчатый моноблочный</t>
  </si>
  <si>
    <t>28.13.14.00.00.00.50.01.1</t>
  </si>
  <si>
    <t>Агрегат электронасосный</t>
  </si>
  <si>
    <t>для перекачивания нефтепродуктов, с электродвигателем</t>
  </si>
  <si>
    <t>Шкаф</t>
  </si>
  <si>
    <t>Шифоньер двухстворчатый</t>
  </si>
  <si>
    <t>31.09.12.00.00.01.02.04.1</t>
  </si>
  <si>
    <t>Односпальная с матрасом, боковые спинки и основание деревянные.</t>
  </si>
  <si>
    <t>Кровать с ортопедическим матрацам</t>
  </si>
  <si>
    <t>31.01.12.00.00.03.01.02.1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</si>
  <si>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2 штук в верхней части.</t>
  </si>
  <si>
    <t>Офисный стеллаж полузакрытый со стеклянными дверцами</t>
  </si>
  <si>
    <t>31.01.12.00.00.02.01.05.1</t>
  </si>
  <si>
    <t>Стол ДСП рабочий. Габариты (ширина/длина) от 650/1301мм до 650/1400мм. Толщина столешницы 15-30мм, ПВХ 2-4мм.</t>
  </si>
  <si>
    <t>Стол двухтумбовый</t>
  </si>
  <si>
    <t>31.01.12.00.00.03.04.09.1</t>
  </si>
  <si>
    <t>Тумба</t>
  </si>
  <si>
    <t>передвижная, на колесиках, размерами до 65х60х45 см</t>
  </si>
  <si>
    <t xml:space="preserve">Тумба офисная, выкатная </t>
  </si>
  <si>
    <t>28.25.12.00.00.00.15.00.1</t>
  </si>
  <si>
    <t>Кондиционер</t>
  </si>
  <si>
    <t>настенный (сплит-система)</t>
  </si>
  <si>
    <t>Сплит система</t>
  </si>
  <si>
    <t>27.51.11.01.01.01.02.50.1</t>
  </si>
  <si>
    <t>Холодильник</t>
  </si>
  <si>
    <t>Отдельностоящй. Однокамерный. С морозильным отделом. Общий объем от 200 до 249 литров.</t>
  </si>
  <si>
    <t>Плоский экран</t>
  </si>
  <si>
    <t>27.51.25.01.01.00.00.10.1</t>
  </si>
  <si>
    <t>Диспенсер для воды</t>
  </si>
  <si>
    <t>С функцией нагрева воды. Настольный.</t>
  </si>
  <si>
    <t xml:space="preserve">Диспенсер для воды </t>
  </si>
  <si>
    <t>31.00.13.00.00.01.02.03.1</t>
  </si>
  <si>
    <t>кресло</t>
  </si>
  <si>
    <t>Кресло мягкое тканевое, на колесиках.</t>
  </si>
  <si>
    <t>Кресло для руководителей</t>
  </si>
  <si>
    <t>27.51.27.00.01.00.00.20.1</t>
  </si>
  <si>
    <t>Варочная камера стальная, покрытая керамической эмалью. Емкость варочной камеры от 18 до 22 литров. Без гриля.</t>
  </si>
  <si>
    <t>Микроволновка</t>
  </si>
  <si>
    <t>27.51.13.00.01.01.01.40.1</t>
  </si>
  <si>
    <t>Автоматическая. Класс стирки А. Класс отжима А. Загрузка белья от 5 до 5,99 кг.</t>
  </si>
  <si>
    <t>Стиральная машина 5 кг</t>
  </si>
  <si>
    <t>31.01.12.00.00.00.03.01.1</t>
  </si>
  <si>
    <t>Стол для переговоров. ДСП.</t>
  </si>
  <si>
    <t>Конференц стол</t>
  </si>
  <si>
    <t>31.00.12.00.00.01.05.02.1</t>
  </si>
  <si>
    <t>стул-кресло</t>
  </si>
  <si>
    <t>Деревянный стул-кресло, с тканевым сиденьем и спинкой. Подлокотники тканевые.</t>
  </si>
  <si>
    <t>Кресло для учебного класса</t>
  </si>
  <si>
    <t>26.20.17.00.01.14.22.10.1</t>
  </si>
  <si>
    <t>Монитор</t>
  </si>
  <si>
    <t>Основан на технологии OLED (англ. organic light-emitting diode — органический светоизлучающий диод), диагональ - 23.6'', разрешение -  1920x1080</t>
  </si>
  <si>
    <t>Монитор широкоформатный. Конфигурация: 23  5 ms  1920x1080. 300 cd/m2, VGA, широкоформатный, черный</t>
  </si>
  <si>
    <t xml:space="preserve">в течение 40 дней с даты вступления в силу договора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</si>
  <si>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</si>
  <si>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</si>
  <si>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</si>
  <si>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Комплект компьютера. Конфигурация Системного блока: Минимальный тип процессора  i7 - , 3.3 GHz/ Минимальный тип видео адаптера  1024 мб/ /минимальный объем оперативной памяти 6Gb/ Минимальный объем жесткого диска 500Gb, скорость вращения  жесткого диска 7200/ Оптический привод DVD-RW Super multi/ Сетевая карта/ Порты ввода -вывода: сзади не менее 6 портов USB 2,0, Порт 2 P/S 2, 1RJ-45, 1 VGA, вход/выход аудиосигнала. Спереди 2 порта USB 2,0  /Case/500W / Оптическая мышка/ клавиатруа/ сетевой фильтр</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</si>
  <si>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</si>
  <si>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</si>
  <si>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</si>
  <si>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26.20.30.00.00.00.06.00.1</t>
  </si>
  <si>
    <t>Шредер</t>
  </si>
  <si>
    <t>Уничтожитель машинных носителей информации</t>
  </si>
  <si>
    <t>Уничтожитель бумаг/документов   (до 7л., ур-нь безоп.#3 (5,8 мм), корзина 18л/ До 13 листов с уровнем безопасности #2(5,8мм), скрепки, скобы, кредитные карты. Рабочая ширина 220 мм. Скорость 3м/мин. Объем корзины 18л. Автоматическое вкл/выкл. Автореверс. Защита от перегрева.</t>
  </si>
  <si>
    <t>32.99.61.00.00.00.30.78.1</t>
  </si>
  <si>
    <t>Программное обеспечение</t>
  </si>
  <si>
    <t>антивирусное</t>
  </si>
  <si>
    <t>Антивирусная программа Kaspersky Endpoint Security for Buisness</t>
  </si>
  <si>
    <t>32.99.61.00.00.00.30.80.1</t>
  </si>
  <si>
    <t>Лицензия на программный продукт</t>
  </si>
  <si>
    <t>Лицензия (право пользования) на программный продукт</t>
  </si>
  <si>
    <t>Software Microsoft Windows 8 Pro OEI. Лицензия Microsoft Windows Professional 32-bit Russian 1pk DSP OEI DVD (OEM)</t>
  </si>
  <si>
    <t>602 Т</t>
  </si>
  <si>
    <t>909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</si>
  <si>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</si>
  <si>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</si>
  <si>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</si>
  <si>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</si>
  <si>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</si>
  <si>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</si>
  <si>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</si>
  <si>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</si>
  <si>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</si>
  <si>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</si>
  <si>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</si>
  <si>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</si>
  <si>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</si>
  <si>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</si>
  <si>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</si>
  <si>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</si>
  <si>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</si>
  <si>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</si>
  <si>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</si>
  <si>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</si>
  <si>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</si>
  <si>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</si>
  <si>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</si>
  <si>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</si>
  <si>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</si>
  <si>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</si>
  <si>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</si>
  <si>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</si>
  <si>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</si>
  <si>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</si>
  <si>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</si>
  <si>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</si>
  <si>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</si>
  <si>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</si>
  <si>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</si>
  <si>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</si>
  <si>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</si>
  <si>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</si>
  <si>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</si>
  <si>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</si>
  <si>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</si>
  <si>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</si>
  <si>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</si>
  <si>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</si>
  <si>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</si>
  <si>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</si>
  <si>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</si>
  <si>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</si>
  <si>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</si>
  <si>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</si>
  <si>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</si>
  <si>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</si>
  <si>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</si>
  <si>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</si>
  <si>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</si>
  <si>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</si>
  <si>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</si>
  <si>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</si>
  <si>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</si>
  <si>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</si>
  <si>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</si>
  <si>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</si>
  <si>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</si>
  <si>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</si>
  <si>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</si>
  <si>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</si>
  <si>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</si>
  <si>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</si>
  <si>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</si>
  <si>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</si>
  <si>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</si>
  <si>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</si>
  <si>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</si>
  <si>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</si>
  <si>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</si>
  <si>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</si>
  <si>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</si>
  <si>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</si>
  <si>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</si>
  <si>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</si>
  <si>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</si>
  <si>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</si>
  <si>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</si>
  <si>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</si>
  <si>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</si>
  <si>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</si>
  <si>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</si>
  <si>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</si>
  <si>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</si>
  <si>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</si>
  <si>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</si>
  <si>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</si>
  <si>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</si>
  <si>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</si>
  <si>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</si>
  <si>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</si>
  <si>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</si>
  <si>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</si>
  <si>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</si>
  <si>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</si>
  <si>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Замена ж/б крышек на КК и ВК</t>
  </si>
  <si>
    <t>Демонтаж аварийного центрального склада</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</si>
  <si>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</si>
  <si>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</si>
  <si>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</si>
  <si>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</si>
  <si>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</si>
  <si>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</si>
  <si>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</si>
  <si>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</si>
  <si>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</si>
  <si>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</si>
  <si>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</si>
  <si>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</si>
  <si>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</si>
  <si>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</si>
  <si>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</si>
  <si>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</si>
  <si>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</si>
  <si>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</si>
  <si>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</si>
  <si>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</si>
  <si>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</si>
  <si>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</si>
  <si>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</si>
  <si>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</si>
  <si>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</si>
  <si>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</si>
  <si>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</si>
  <si>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</si>
  <si>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</si>
  <si>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</si>
  <si>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</si>
  <si>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</si>
  <si>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</si>
  <si>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</si>
  <si>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</si>
  <si>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</si>
  <si>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</si>
  <si>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</si>
  <si>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</si>
  <si>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</si>
  <si>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</si>
  <si>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</si>
  <si>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</si>
  <si>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</si>
  <si>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</si>
  <si>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</si>
  <si>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</si>
  <si>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</si>
  <si>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</si>
  <si>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</si>
  <si>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</si>
  <si>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</si>
  <si>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</si>
  <si>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</si>
  <si>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</si>
  <si>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</si>
  <si>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</si>
  <si>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</si>
  <si>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</si>
  <si>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</si>
  <si>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</si>
  <si>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</si>
  <si>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</si>
  <si>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</si>
  <si>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</si>
  <si>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</si>
  <si>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</si>
  <si>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</si>
  <si>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</si>
  <si>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</si>
  <si>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</si>
  <si>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</si>
  <si>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</si>
  <si>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</si>
  <si>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</si>
  <si>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</si>
  <si>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</si>
  <si>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</si>
  <si>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</si>
  <si>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</si>
  <si>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</si>
  <si>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</si>
  <si>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</si>
  <si>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</si>
  <si>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</si>
  <si>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</si>
  <si>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</si>
  <si>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</si>
  <si>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</si>
  <si>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</si>
  <si>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</si>
  <si>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</si>
  <si>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</si>
  <si>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</si>
  <si>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</si>
  <si>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</si>
  <si>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</si>
  <si>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</si>
  <si>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</si>
  <si>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</si>
  <si>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</si>
  <si>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</si>
  <si>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</si>
  <si>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</si>
  <si>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</si>
  <si>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</si>
  <si>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</si>
  <si>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</si>
  <si>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</si>
  <si>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</si>
  <si>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</si>
  <si>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</si>
  <si>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</si>
  <si>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</si>
  <si>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</si>
  <si>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</si>
  <si>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</si>
  <si>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</si>
  <si>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</si>
  <si>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</si>
  <si>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</si>
  <si>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</si>
  <si>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</si>
  <si>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</si>
  <si>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</si>
  <si>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</si>
  <si>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</si>
  <si>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</si>
  <si>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</si>
  <si>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</si>
  <si>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</si>
  <si>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</si>
  <si>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</si>
  <si>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</si>
  <si>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</si>
  <si>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</si>
  <si>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</si>
  <si>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</si>
  <si>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</si>
  <si>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</si>
  <si>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</si>
  <si>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</si>
  <si>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</si>
  <si>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</si>
  <si>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</si>
  <si>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</si>
  <si>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</si>
  <si>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</si>
  <si>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</si>
  <si>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</si>
  <si>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</si>
  <si>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</si>
  <si>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</si>
  <si>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</si>
  <si>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</si>
  <si>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</si>
  <si>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</si>
  <si>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</si>
  <si>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</si>
  <si>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</si>
  <si>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</si>
  <si>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</si>
  <si>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</si>
  <si>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</si>
  <si>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</si>
  <si>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</si>
  <si>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</si>
  <si>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</si>
  <si>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</si>
  <si>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</si>
  <si>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</si>
  <si>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</si>
  <si>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</si>
  <si>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</si>
  <si>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</si>
  <si>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</si>
  <si>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</si>
  <si>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</si>
  <si>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</si>
  <si>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</si>
  <si>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</si>
  <si>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</si>
  <si>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</si>
  <si>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</si>
  <si>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</si>
  <si>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</si>
  <si>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</si>
  <si>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</si>
  <si>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</si>
  <si>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</si>
  <si>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</si>
  <si>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</si>
  <si>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</si>
  <si>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</si>
  <si>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</si>
  <si>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</si>
  <si>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</si>
  <si>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</si>
  <si>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</si>
  <si>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</si>
  <si>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</si>
  <si>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</si>
  <si>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</si>
  <si>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</si>
  <si>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</si>
  <si>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</si>
  <si>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</si>
  <si>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</si>
  <si>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</si>
  <si>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</si>
  <si>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</si>
  <si>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</si>
  <si>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</si>
  <si>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</si>
  <si>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</si>
  <si>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</si>
  <si>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</si>
  <si>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</si>
  <si>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</si>
  <si>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</si>
  <si>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</si>
  <si>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</si>
  <si>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</si>
  <si>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</si>
  <si>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</si>
  <si>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</si>
  <si>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</si>
  <si>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</si>
  <si>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</si>
  <si>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</si>
  <si>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</si>
  <si>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</si>
  <si>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</si>
  <si>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</si>
  <si>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</si>
  <si>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</si>
  <si>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</si>
  <si>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</si>
  <si>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</si>
  <si>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</si>
  <si>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</si>
  <si>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</si>
  <si>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</si>
  <si>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</si>
  <si>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</si>
  <si>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</si>
  <si>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</si>
  <si>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</si>
  <si>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</si>
  <si>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</si>
  <si>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</si>
  <si>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</si>
  <si>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</si>
  <si>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</si>
  <si>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</si>
  <si>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</si>
  <si>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</si>
  <si>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</si>
  <si>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</si>
  <si>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</si>
  <si>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</si>
  <si>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</si>
  <si>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</si>
  <si>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</si>
  <si>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</si>
  <si>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</si>
  <si>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</si>
  <si>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</si>
  <si>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</si>
  <si>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</si>
  <si>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</si>
  <si>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</si>
  <si>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</si>
  <si>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</si>
  <si>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</si>
  <si>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</si>
  <si>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</si>
  <si>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</si>
  <si>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</si>
  <si>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</si>
  <si>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</si>
  <si>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</si>
  <si>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</si>
  <si>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</si>
  <si>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</si>
  <si>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</si>
  <si>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</si>
  <si>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</si>
  <si>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</si>
  <si>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</si>
  <si>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</si>
  <si>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</si>
  <si>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</si>
  <si>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</si>
  <si>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</si>
  <si>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</si>
  <si>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</si>
  <si>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</si>
  <si>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</si>
  <si>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</si>
  <si>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</si>
  <si>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</si>
  <si>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</si>
  <si>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</si>
  <si>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</si>
  <si>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</si>
  <si>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</si>
  <si>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</si>
  <si>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</si>
  <si>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</si>
  <si>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</si>
  <si>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</si>
  <si>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</si>
  <si>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</si>
  <si>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</si>
  <si>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</si>
  <si>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</si>
  <si>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</si>
  <si>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</si>
  <si>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</si>
  <si>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</si>
  <si>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</si>
  <si>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</si>
  <si>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</si>
  <si>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</si>
  <si>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</si>
  <si>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</si>
  <si>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</si>
  <si>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2027 Т</t>
  </si>
  <si>
    <t>2034 Т</t>
  </si>
  <si>
    <t>2036 Т</t>
  </si>
  <si>
    <t>2037 Т</t>
  </si>
  <si>
    <t>2038 Т</t>
  </si>
  <si>
    <t>2039 Т</t>
  </si>
  <si>
    <t>2040 Т</t>
  </si>
  <si>
    <t>2041 Т</t>
  </si>
  <si>
    <t>2042 Т</t>
  </si>
  <si>
    <t>2043 Т</t>
  </si>
  <si>
    <t>2046 Т</t>
  </si>
  <si>
    <t>2048 Т</t>
  </si>
  <si>
    <t>2187 Т</t>
  </si>
  <si>
    <t>2330 Т</t>
  </si>
  <si>
    <t>2331 Т</t>
  </si>
  <si>
    <t>2332 Т</t>
  </si>
  <si>
    <t>2333 Т</t>
  </si>
  <si>
    <t>2334 Т</t>
  </si>
  <si>
    <t>2335 Т</t>
  </si>
  <si>
    <t>2336 Т</t>
  </si>
  <si>
    <t>2337 Т</t>
  </si>
  <si>
    <t>2338 Т</t>
  </si>
  <si>
    <t>2339 Т</t>
  </si>
  <si>
    <t>2437 Т</t>
  </si>
  <si>
    <t>2438 Т</t>
  </si>
  <si>
    <t>2439 Т</t>
  </si>
  <si>
    <t>2452 Т</t>
  </si>
  <si>
    <t>2453 Т</t>
  </si>
  <si>
    <t>2465 Т</t>
  </si>
  <si>
    <t>2468 Т</t>
  </si>
  <si>
    <t>2470 Т</t>
  </si>
  <si>
    <t>2471 Т</t>
  </si>
  <si>
    <t>2472 Т</t>
  </si>
  <si>
    <t>2473 Т</t>
  </si>
  <si>
    <t>2474 Т</t>
  </si>
  <si>
    <t>2475 Т</t>
  </si>
  <si>
    <t>2476 Т</t>
  </si>
  <si>
    <t>2477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</si>
  <si>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</si>
  <si>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</si>
  <si>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</si>
  <si>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</si>
  <si>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</si>
  <si>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</si>
  <si>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</si>
  <si>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</si>
  <si>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</si>
  <si>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</si>
  <si>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</si>
  <si>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</si>
  <si>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</si>
  <si>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</si>
  <si>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</si>
  <si>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</si>
  <si>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</si>
  <si>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</si>
  <si>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</si>
  <si>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</si>
  <si>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</si>
  <si>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</si>
  <si>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</si>
  <si>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</si>
  <si>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</si>
  <si>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</si>
  <si>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</si>
  <si>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</si>
  <si>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</si>
  <si>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</si>
  <si>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</si>
  <si>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</si>
  <si>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</si>
  <si>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</si>
  <si>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</si>
  <si>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</si>
  <si>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</si>
  <si>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</si>
  <si>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</si>
  <si>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</si>
  <si>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</si>
  <si>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</si>
  <si>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</si>
  <si>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</si>
  <si>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</si>
  <si>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</si>
  <si>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</si>
  <si>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</si>
  <si>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</si>
  <si>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</si>
  <si>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</si>
  <si>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</si>
  <si>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</si>
  <si>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</si>
  <si>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</si>
  <si>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</si>
  <si>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</si>
  <si>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</si>
  <si>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</si>
  <si>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</si>
  <si>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</si>
  <si>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</si>
  <si>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</si>
  <si>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</si>
  <si>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</si>
  <si>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</si>
  <si>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</si>
  <si>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</si>
  <si>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</si>
  <si>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</si>
  <si>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</si>
  <si>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</si>
  <si>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</si>
  <si>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</si>
  <si>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</si>
  <si>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</si>
  <si>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</si>
  <si>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</si>
  <si>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</si>
  <si>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</si>
  <si>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</si>
  <si>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</si>
  <si>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</si>
  <si>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</si>
  <si>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</si>
  <si>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</si>
  <si>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</si>
  <si>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</si>
  <si>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</si>
  <si>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</si>
  <si>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</si>
  <si>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</si>
  <si>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</si>
  <si>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</si>
  <si>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</si>
  <si>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</si>
  <si>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</si>
  <si>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</si>
  <si>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</si>
  <si>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</si>
  <si>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</si>
  <si>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</si>
  <si>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</si>
  <si>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</si>
  <si>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</si>
  <si>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</si>
  <si>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</si>
  <si>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</si>
  <si>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</si>
  <si>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</si>
  <si>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</si>
  <si>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</si>
  <si>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</si>
  <si>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</si>
  <si>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</si>
  <si>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</si>
  <si>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</si>
  <si>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</si>
  <si>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</si>
  <si>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</si>
  <si>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</si>
  <si>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</si>
  <si>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</si>
  <si>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</si>
  <si>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</si>
  <si>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</si>
  <si>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</si>
  <si>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</si>
  <si>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</si>
  <si>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</si>
  <si>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</si>
  <si>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</si>
  <si>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</si>
  <si>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</si>
  <si>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</si>
  <si>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</si>
  <si>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</si>
  <si>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</si>
  <si>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</si>
  <si>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</si>
  <si>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</si>
  <si>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</si>
  <si>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</si>
  <si>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</si>
  <si>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</si>
  <si>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</si>
  <si>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"Ваховый пос.на 240 мест"Арматура:   класса А-I, d=6 мм</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</si>
  <si>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</si>
  <si>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</si>
  <si>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</si>
  <si>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</si>
  <si>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</si>
  <si>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</si>
  <si>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</si>
  <si>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</si>
  <si>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</si>
  <si>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</si>
  <si>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</si>
  <si>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</si>
  <si>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</si>
  <si>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</si>
  <si>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</si>
  <si>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</si>
  <si>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</si>
  <si>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</si>
  <si>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</si>
  <si>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</si>
  <si>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</si>
  <si>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</si>
  <si>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</si>
  <si>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</si>
  <si>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</si>
  <si>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</si>
  <si>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</si>
  <si>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</si>
  <si>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</si>
  <si>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</si>
  <si>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</si>
  <si>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</si>
  <si>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</si>
  <si>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</si>
  <si>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</si>
  <si>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</si>
  <si>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</si>
  <si>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</si>
  <si>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</si>
  <si>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</si>
  <si>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</si>
  <si>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</si>
  <si>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</si>
  <si>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</si>
  <si>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</si>
  <si>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</si>
  <si>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</si>
  <si>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</si>
  <si>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</si>
  <si>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</si>
  <si>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</si>
  <si>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</si>
  <si>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</si>
  <si>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</si>
  <si>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</si>
  <si>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</si>
  <si>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</si>
  <si>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</si>
  <si>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</si>
  <si>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</si>
  <si>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</si>
  <si>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</si>
  <si>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</si>
  <si>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</si>
  <si>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</si>
  <si>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</si>
  <si>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</si>
  <si>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</si>
  <si>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</si>
  <si>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</si>
  <si>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</si>
  <si>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</si>
  <si>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</si>
  <si>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</si>
  <si>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</si>
  <si>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</si>
  <si>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</si>
  <si>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</si>
  <si>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</si>
  <si>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</si>
  <si>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</si>
  <si>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</si>
  <si>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</si>
  <si>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</si>
  <si>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</si>
  <si>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</si>
  <si>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</si>
  <si>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</si>
  <si>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</si>
  <si>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</si>
  <si>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</si>
  <si>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</si>
  <si>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</si>
  <si>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</si>
  <si>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</si>
  <si>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</si>
  <si>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</si>
  <si>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</si>
  <si>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</si>
  <si>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</si>
  <si>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</si>
  <si>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</si>
  <si>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</si>
  <si>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</si>
  <si>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</si>
  <si>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</si>
  <si>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</si>
  <si>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</si>
  <si>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</si>
  <si>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</si>
  <si>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</si>
  <si>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</si>
  <si>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</si>
  <si>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</si>
  <si>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</si>
  <si>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</si>
  <si>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</si>
  <si>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</si>
  <si>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</si>
  <si>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</si>
  <si>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</si>
  <si>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</si>
  <si>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</si>
  <si>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</si>
  <si>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</si>
  <si>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</si>
  <si>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</si>
  <si>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</si>
  <si>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</si>
  <si>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</si>
  <si>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</si>
  <si>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</si>
  <si>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</si>
  <si>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</si>
  <si>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</si>
  <si>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</si>
  <si>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</si>
  <si>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</si>
  <si>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</si>
  <si>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</si>
  <si>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</si>
  <si>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</si>
  <si>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</si>
  <si>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</si>
  <si>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</si>
  <si>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</si>
  <si>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</si>
  <si>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</si>
  <si>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</si>
  <si>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</si>
  <si>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</si>
  <si>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</si>
  <si>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</si>
  <si>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</si>
  <si>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</si>
  <si>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</si>
  <si>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</si>
  <si>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</si>
  <si>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</si>
  <si>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</si>
  <si>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</si>
  <si>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</si>
  <si>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</si>
  <si>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</si>
  <si>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</si>
  <si>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</si>
  <si>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</si>
  <si>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</si>
  <si>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</si>
  <si>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</si>
  <si>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</si>
  <si>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</si>
  <si>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</si>
  <si>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</si>
  <si>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</si>
  <si>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</si>
  <si>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</si>
  <si>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</si>
  <si>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</si>
  <si>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</si>
  <si>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</si>
  <si>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</si>
  <si>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</si>
  <si>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</si>
  <si>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</si>
  <si>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</si>
  <si>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</si>
  <si>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</si>
  <si>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</si>
  <si>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</si>
  <si>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</si>
  <si>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</si>
  <si>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</si>
  <si>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</si>
  <si>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</si>
  <si>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</si>
  <si>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</si>
  <si>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</si>
  <si>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</si>
  <si>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</si>
  <si>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</si>
  <si>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</si>
  <si>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</si>
  <si>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</si>
  <si>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</si>
  <si>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</si>
  <si>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</si>
  <si>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</si>
  <si>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</si>
  <si>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</si>
  <si>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</si>
  <si>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</si>
  <si>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</si>
  <si>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</si>
  <si>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</si>
  <si>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</si>
  <si>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</si>
  <si>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</si>
  <si>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</si>
  <si>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</si>
  <si>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</si>
  <si>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</si>
  <si>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</si>
  <si>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</si>
  <si>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</si>
  <si>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</si>
  <si>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</si>
  <si>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</si>
  <si>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</si>
  <si>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</si>
  <si>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</si>
  <si>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</si>
  <si>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</si>
  <si>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</si>
  <si>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</si>
  <si>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</si>
  <si>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</si>
  <si>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</si>
  <si>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</si>
  <si>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</si>
  <si>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</si>
  <si>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</si>
  <si>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</si>
  <si>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</si>
  <si>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</si>
  <si>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</si>
  <si>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</si>
  <si>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</si>
  <si>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</si>
  <si>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</si>
  <si>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</si>
  <si>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</si>
  <si>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</si>
  <si>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</si>
  <si>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r>
      <t xml:space="preserve"> "</t>
    </r>
    <r>
      <rPr>
        <b/>
        <sz val="10"/>
        <rFont val="Times New Roman"/>
        <family val="1"/>
        <charset val="204"/>
      </rPr>
      <t>КВЛ"</t>
    </r>
    <r>
      <rPr>
        <sz val="10"/>
        <rFont val="Times New Roman"/>
        <family val="1"/>
        <charset val="204"/>
      </rPr>
      <t xml:space="preserve"> Трансформатор силовой  ТМГ-250/6/0,4 кв  P=250ква 6/0,4кв.</t>
    </r>
  </si>
  <si>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</si>
  <si>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</si>
  <si>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</si>
  <si>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</si>
  <si>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</si>
  <si>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</si>
  <si>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</si>
  <si>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</si>
  <si>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</si>
  <si>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</si>
  <si>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</si>
  <si>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</si>
  <si>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</si>
  <si>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</si>
  <si>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</si>
  <si>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</si>
  <si>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</si>
  <si>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</si>
  <si>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</si>
  <si>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</si>
  <si>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</si>
  <si>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</si>
  <si>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</si>
  <si>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</si>
  <si>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</si>
  <si>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</si>
  <si>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</si>
  <si>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1 Р</t>
  </si>
  <si>
    <t>2 Р</t>
  </si>
  <si>
    <t>3 Р</t>
  </si>
  <si>
    <t>4 Р</t>
  </si>
  <si>
    <t>5 Р</t>
  </si>
  <si>
    <t>6 Р</t>
  </si>
  <si>
    <t>7 Р</t>
  </si>
  <si>
    <t>8 Р</t>
  </si>
  <si>
    <t>9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</si>
  <si>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</si>
  <si>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</si>
  <si>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</si>
  <si>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</si>
  <si>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</si>
  <si>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</si>
  <si>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</si>
  <si>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</si>
  <si>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</si>
  <si>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</si>
  <si>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</si>
  <si>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</si>
  <si>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</si>
  <si>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</si>
  <si>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</si>
  <si>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</si>
  <si>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</si>
  <si>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</si>
  <si>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</si>
  <si>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</si>
  <si>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</si>
  <si>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</si>
  <si>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</si>
  <si>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</si>
  <si>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</si>
  <si>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</si>
  <si>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</si>
  <si>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</si>
  <si>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</si>
  <si>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</si>
  <si>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</si>
  <si>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</si>
  <si>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</si>
  <si>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</si>
  <si>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</si>
  <si>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</si>
  <si>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</si>
  <si>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</si>
  <si>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</si>
  <si>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</si>
  <si>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</si>
  <si>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</si>
  <si>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</si>
  <si>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</si>
  <si>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</si>
  <si>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</si>
  <si>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</si>
  <si>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</si>
  <si>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</si>
  <si>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</si>
  <si>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</si>
  <si>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</si>
  <si>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</si>
  <si>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</si>
  <si>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</si>
  <si>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</si>
  <si>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</si>
  <si>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</si>
  <si>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</si>
  <si>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</si>
  <si>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</si>
  <si>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</si>
  <si>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</si>
  <si>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</si>
  <si>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</si>
  <si>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</si>
  <si>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</si>
  <si>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</si>
  <si>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</si>
  <si>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</si>
  <si>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</si>
  <si>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</si>
  <si>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</si>
  <si>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</si>
  <si>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</si>
  <si>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</si>
  <si>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</si>
  <si>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</si>
  <si>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</si>
  <si>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</si>
  <si>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</si>
  <si>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</si>
  <si>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</si>
  <si>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</si>
  <si>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</si>
  <si>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</si>
  <si>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</si>
  <si>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</si>
  <si>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</si>
  <si>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</si>
  <si>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</si>
  <si>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</si>
  <si>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</si>
  <si>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</si>
  <si>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</si>
  <si>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</si>
  <si>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</si>
  <si>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</si>
  <si>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</si>
  <si>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</si>
  <si>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</si>
  <si>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</si>
  <si>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</si>
  <si>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</si>
  <si>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</si>
  <si>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</si>
  <si>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</si>
  <si>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</si>
  <si>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</si>
  <si>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</si>
  <si>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</si>
  <si>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</si>
  <si>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</si>
  <si>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</si>
  <si>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</si>
  <si>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</si>
  <si>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</si>
  <si>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</si>
  <si>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</si>
  <si>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</si>
  <si>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</si>
  <si>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</si>
  <si>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</si>
  <si>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</si>
  <si>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</si>
  <si>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</si>
  <si>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</si>
  <si>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</si>
  <si>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</si>
  <si>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</si>
  <si>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</si>
  <si>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</si>
  <si>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</si>
  <si>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</si>
  <si>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</si>
  <si>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</si>
  <si>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</si>
  <si>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</si>
  <si>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</si>
  <si>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</si>
  <si>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</si>
  <si>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</si>
  <si>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</si>
  <si>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</si>
  <si>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</si>
  <si>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</si>
  <si>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</si>
  <si>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</si>
  <si>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</si>
  <si>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</si>
  <si>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</si>
  <si>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</si>
  <si>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</si>
  <si>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</si>
  <si>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</si>
  <si>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</si>
  <si>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</si>
  <si>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</si>
  <si>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</si>
  <si>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</si>
  <si>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</si>
  <si>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</si>
  <si>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</si>
  <si>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</si>
  <si>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</si>
  <si>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</si>
  <si>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</si>
  <si>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</si>
  <si>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</si>
  <si>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</si>
  <si>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</si>
  <si>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</si>
  <si>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</si>
  <si>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</si>
  <si>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</si>
  <si>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</si>
  <si>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142 У</t>
  </si>
  <si>
    <t>143 У</t>
  </si>
  <si>
    <t>144 У</t>
  </si>
  <si>
    <t>145 У</t>
  </si>
  <si>
    <t>146 У</t>
  </si>
  <si>
    <t>147 У</t>
  </si>
  <si>
    <t>148 У</t>
  </si>
  <si>
    <t>149 У</t>
  </si>
  <si>
    <t>150 У</t>
  </si>
  <si>
    <t>151 У</t>
  </si>
  <si>
    <t>152 У</t>
  </si>
  <si>
    <t>153 У</t>
  </si>
  <si>
    <t>154 У</t>
  </si>
  <si>
    <t>155 У</t>
  </si>
  <si>
    <t>156 У</t>
  </si>
  <si>
    <t>157 У</t>
  </si>
  <si>
    <t>158 У</t>
  </si>
  <si>
    <t>159 У</t>
  </si>
  <si>
    <t>160 У</t>
  </si>
  <si>
    <t>161 У</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</si>
  <si>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</si>
  <si>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</si>
  <si>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</si>
  <si>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</si>
  <si>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</si>
  <si>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</si>
  <si>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</si>
  <si>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</si>
  <si>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</si>
  <si>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</si>
  <si>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</si>
  <si>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</si>
  <si>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</si>
  <si>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</si>
  <si>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</si>
  <si>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</si>
  <si>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</si>
  <si>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</si>
  <si>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</si>
  <si>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</si>
  <si>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</si>
  <si>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</si>
  <si>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</si>
  <si>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</si>
  <si>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</si>
  <si>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</si>
  <si>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</si>
  <si>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</si>
  <si>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</si>
  <si>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</si>
  <si>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</si>
  <si>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</si>
  <si>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</si>
  <si>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</si>
  <si>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</si>
  <si>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</si>
  <si>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42.21.22.14.05.00.00</t>
  </si>
  <si>
    <t>Работы строительные по ремонту канализационной системы</t>
  </si>
  <si>
    <t>итого по товарам:</t>
  </si>
  <si>
    <t>итого по работам:</t>
  </si>
  <si>
    <t>итого по услугам:</t>
  </si>
  <si>
    <t>27.51.26.03.02.00.00.10.1</t>
  </si>
  <si>
    <t>Электрокамин</t>
  </si>
  <si>
    <t>Встраиваемый (в стену).</t>
  </si>
  <si>
    <t>28.94.30.00.00.00.08.03.1</t>
  </si>
  <si>
    <t>Установка сушильная</t>
  </si>
  <si>
    <t xml:space="preserve">Всего по ТРУ: </t>
  </si>
  <si>
    <t>с даты вступления в силу договора до 31 декабря 2014 года</t>
  </si>
  <si>
    <t>22.21.29.00.00.31.10.10.1</t>
  </si>
  <si>
    <t>фланец из поливинилхлорида</t>
  </si>
  <si>
    <t>авансовый платеж- 0%, в течение 10 рабочих дней с даты  подписания акта выполненных услуг</t>
  </si>
  <si>
    <t>РК, Мангистауская область, пос Ынтымак,  база УТиСТ  ТОО "ОСС"</t>
  </si>
  <si>
    <t>РК, Мангистауская область, пос. Кзыл-Тюбе,  база БПО  ТОО "ОСС"</t>
  </si>
  <si>
    <t>41.00.30.13.00.00.00</t>
  </si>
  <si>
    <t>Работы строительные по возведению вахтового жилья</t>
  </si>
  <si>
    <t>Полный цикл работ по возведению  вахтового жилья</t>
  </si>
  <si>
    <t>Модуль жилой -4 шт (№5-№8)</t>
  </si>
  <si>
    <t>42.21.22.14.11.00.00</t>
  </si>
  <si>
    <t>Работы строительные по ремонту местных трубопроводов канализационных систем, включая системы ливневой канализации</t>
  </si>
  <si>
    <t>Работы строительные по ремонту и реконструкции местных трубопроводов канализационных систем, включая системы ливневой канализации</t>
  </si>
  <si>
    <t xml:space="preserve">Замена трубопроводов канализационной системы в зданиях ПК№2 м/р. Жетыбай </t>
  </si>
  <si>
    <t>96.09.19.90.21.13.10</t>
  </si>
  <si>
    <t>Работы по изготовлению металлических конструкций</t>
  </si>
  <si>
    <t>42.21.22.12.00.00.00</t>
  </si>
  <si>
    <t>Работы строительные по прокладке местных водопроводных сетей</t>
  </si>
  <si>
    <t>96.09.19.90.60.10.00</t>
  </si>
  <si>
    <t>Работы по ремонту и обслуживанию металлических дверей</t>
  </si>
  <si>
    <t>Комплекс работ по ремонту и обслуживанию металлических дверей</t>
  </si>
  <si>
    <t>с даты заключения договора в течение 30 дней по заявкам Заказчика до 31.12.14г</t>
  </si>
  <si>
    <t>РК, Мангистауская область,  м/р Каламкас,  м/р Жетыбай, г.Актау</t>
  </si>
  <si>
    <t>с даты вступления в силу договора по 15.05.2014г.</t>
  </si>
  <si>
    <t xml:space="preserve">Капитальный ремонт блоков </t>
  </si>
  <si>
    <t>в течение 60 дней с даты вступления в силу договора, по заявкам Заказчика</t>
  </si>
  <si>
    <t xml:space="preserve">Покраска СК </t>
  </si>
  <si>
    <t xml:space="preserve">РК, Мангистауская область, г.Актау </t>
  </si>
  <si>
    <t>10 Р</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</si>
  <si>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</si>
  <si>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</si>
  <si>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</si>
  <si>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дней с даты подписания акта оказанных услуг и предоставления счет-фактуры , ежемесячно</t>
  </si>
  <si>
    <t>198 У</t>
  </si>
  <si>
    <t>20.15.59.20.20.20.10.00.2</t>
  </si>
  <si>
    <r>
      <t xml:space="preserve"> Поставка сжиженного газа </t>
    </r>
    <r>
      <rPr>
        <i/>
        <sz val="10"/>
        <rFont val="Times New Roman"/>
        <family val="1"/>
        <charset val="204"/>
      </rPr>
      <t>(пропана)</t>
    </r>
    <r>
      <rPr>
        <sz val="10"/>
        <rFont val="Times New Roman"/>
        <family val="1"/>
        <charset val="204"/>
      </rPr>
      <t xml:space="preserve">        </t>
    </r>
  </si>
  <si>
    <r>
      <t xml:space="preserve">Поставка природного газа  </t>
    </r>
    <r>
      <rPr>
        <i/>
        <sz val="10"/>
        <rFont val="Times New Roman"/>
        <family val="1"/>
        <charset val="204"/>
      </rPr>
      <t>(м. Жетыбай):</t>
    </r>
    <r>
      <rPr>
        <sz val="10"/>
        <rFont val="Times New Roman"/>
        <family val="1"/>
        <charset val="204"/>
      </rPr>
      <t xml:space="preserve">                     </t>
    </r>
  </si>
  <si>
    <r>
      <t xml:space="preserve">Поставка природного газа  </t>
    </r>
    <r>
      <rPr>
        <i/>
        <sz val="10"/>
        <rFont val="Times New Roman"/>
        <family val="1"/>
        <charset val="204"/>
      </rPr>
      <t>(м.Каламкас):</t>
    </r>
    <r>
      <rPr>
        <sz val="10"/>
        <rFont val="Times New Roman"/>
        <family val="1"/>
        <charset val="204"/>
      </rPr>
      <t xml:space="preserve">                     </t>
    </r>
  </si>
  <si>
    <r>
      <t>Устранение неисправности металлоконструкции, электрооборудования,   приборов безопасности, поверка анемометров, обследования</t>
    </r>
    <r>
      <rPr>
        <i/>
        <sz val="10"/>
        <rFont val="Times New Roman"/>
        <family val="1"/>
        <charset val="204"/>
      </rPr>
      <t xml:space="preserve"> (диагностирования)</t>
    </r>
    <r>
      <rPr>
        <sz val="10"/>
        <rFont val="Times New Roman"/>
        <family val="1"/>
        <charset val="204"/>
      </rPr>
      <t xml:space="preserve"> ГПМ  и хим. анализ металлоконструкции грузоподъемных механизмов</t>
    </r>
  </si>
  <si>
    <r>
      <t xml:space="preserve"> Тех. обслуживание </t>
    </r>
    <r>
      <rPr>
        <i/>
        <sz val="10"/>
        <rFont val="Times New Roman"/>
        <family val="1"/>
        <charset val="204"/>
      </rPr>
      <t xml:space="preserve">(ремонт) </t>
    </r>
    <r>
      <rPr>
        <sz val="10"/>
        <rFont val="Times New Roman"/>
        <family val="1"/>
        <charset val="204"/>
      </rPr>
      <t xml:space="preserve">иномарок </t>
    </r>
    <r>
      <rPr>
        <i/>
        <sz val="10"/>
        <rFont val="Times New Roman"/>
        <family val="1"/>
        <charset val="204"/>
      </rPr>
      <t>(джипы)</t>
    </r>
    <r>
      <rPr>
        <sz val="10"/>
        <rFont val="Times New Roman"/>
        <family val="1"/>
        <charset val="204"/>
      </rPr>
      <t xml:space="preserve"> </t>
    </r>
  </si>
  <si>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</si>
  <si>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r>
      <t xml:space="preserve"> Тех. обслуживание внутреннего газопровода </t>
    </r>
    <r>
      <rPr>
        <i/>
        <sz val="10"/>
        <rFont val="Times New Roman"/>
        <family val="1"/>
        <charset val="204"/>
      </rPr>
      <t xml:space="preserve">(м. Жетыбай)      </t>
    </r>
  </si>
  <si>
    <r>
      <t xml:space="preserve">Транспортировка природного газа </t>
    </r>
    <r>
      <rPr>
        <i/>
        <sz val="10"/>
        <rFont val="Times New Roman"/>
        <family val="1"/>
        <charset val="204"/>
      </rPr>
      <t>(м. Жетыбай)</t>
    </r>
    <r>
      <rPr>
        <sz val="10"/>
        <rFont val="Times New Roman"/>
        <family val="1"/>
        <charset val="204"/>
      </rPr>
      <t xml:space="preserve">                                               </t>
    </r>
  </si>
  <si>
    <t>ЭОТ</t>
  </si>
  <si>
    <t>ЦПЭ</t>
  </si>
  <si>
    <t>декабрь 2013г, февраль, март  2014г</t>
  </si>
  <si>
    <t>РК, Мангистауская обл, м/р: Жетыбай и м/р: Каламкас, г.Актау</t>
  </si>
  <si>
    <t>ВВГ 1*16</t>
  </si>
  <si>
    <t>КГ 3*6+1*4</t>
  </si>
  <si>
    <t>КГ 3*35+1*16</t>
  </si>
  <si>
    <t>КГ 3*95+1*35</t>
  </si>
  <si>
    <t>КВВБГ 4*1,5</t>
  </si>
  <si>
    <t>КВВГ 5*1.5</t>
  </si>
  <si>
    <t>КВВГЭ 7*1,5</t>
  </si>
  <si>
    <t>Монтажный.</t>
  </si>
  <si>
    <t>АС-35</t>
  </si>
  <si>
    <t>АС-50</t>
  </si>
  <si>
    <t>26.51.52.14.11.11.16.26.1</t>
  </si>
  <si>
    <t>диаметр  корпуса не более 170  мм, класс  точности 1,5, диапазон показаний от 0 до 40</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</si>
  <si>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</si>
  <si>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27.40.22.00.00.11.10.14.1</t>
  </si>
  <si>
    <t>ГОСТ 6047-90, К-лампы ксеноновые</t>
  </si>
  <si>
    <t>Изолента           ПВХ красная,синяя (по 50гр 1 шт)</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</si>
  <si>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</si>
  <si>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хлопчатобумажная</t>
  </si>
  <si>
    <t>односторонняя, ГОСТ 2162-97</t>
  </si>
  <si>
    <t>Исполнительное устройство</t>
  </si>
  <si>
    <t>Блокирующего типа.</t>
  </si>
  <si>
    <t>Осторожно! Прочие опасности</t>
  </si>
  <si>
    <t>Лента липкая изоляционная</t>
  </si>
  <si>
    <t>из многослойных компонентов, ГОСТ 28018-89</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</si>
  <si>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</si>
  <si>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</si>
  <si>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к турникету</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</si>
  <si>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</si>
  <si>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</si>
  <si>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</si>
  <si>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трубный рычажной, ГОСТ 18981-73</t>
  </si>
  <si>
    <t>Полотно</t>
  </si>
  <si>
    <t>ножовочное</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</si>
  <si>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</si>
  <si>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</si>
  <si>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к специализированному автотранспорту</t>
  </si>
  <si>
    <t>для дизельного двигателя,  мощностью не более 136 л.с.</t>
  </si>
  <si>
    <t>головка блока цилиндров</t>
  </si>
  <si>
    <t>на ней закреплены детали газораспределительного механизма</t>
  </si>
  <si>
    <t>вращающееся звено кривошипного механизма, состоящее из нескольких соосных коренных шеек</t>
  </si>
  <si>
    <t>генератор</t>
  </si>
  <si>
    <t>для подзаряда аккумуляторной батареи и питания всех потребителей при работе двигателя.</t>
  </si>
  <si>
    <t>29.31.22.00.00.00.43.10.1</t>
  </si>
  <si>
    <t>металлографитные, для прочих атвомобилей</t>
  </si>
  <si>
    <t>30.20.40.00.00.08.02.54.1</t>
  </si>
  <si>
    <t>Втулка шатуна</t>
  </si>
  <si>
    <t>27.90.32.00.00.01.05.30.1</t>
  </si>
  <si>
    <t>Якорь стартера типа СТ</t>
  </si>
  <si>
    <t>Коромысло</t>
  </si>
  <si>
    <t>типа КС</t>
  </si>
  <si>
    <t>27.11.61.00.00.00.21.01.1</t>
  </si>
  <si>
    <t>радиальный, для генераторов и электродвигателей</t>
  </si>
  <si>
    <t>28.13.11.20.10.20.15.27.1</t>
  </si>
  <si>
    <t>Крышка клапана</t>
  </si>
  <si>
    <t>27.11.32.10.00.00.40.01.1</t>
  </si>
  <si>
    <t>Вентилятор охлаждения</t>
  </si>
  <si>
    <t>к дизельной электростанции</t>
  </si>
  <si>
    <t>Шины резиновые пневматические новые для машин сельского и лесного хозяйства, машин производственных прочих. Шины несущих колес. Размер: 9.00-16. Норма слойности 10. ГОСТ 25641-84.</t>
  </si>
  <si>
    <t>ГОСТ 959-2002 марка 6СТ -190стартерный,  напряжением 12 В, емкостью 190 А*час,  с общей крышкой.</t>
  </si>
  <si>
    <t>Ремень генератора</t>
  </si>
  <si>
    <t>к выправочно-подбивочной или выправочно-подбивочно-рихтовочной машине</t>
  </si>
  <si>
    <t>Стальная бесшовная горячедеформированная, 219х7мм ГОСТ 8732-78</t>
  </si>
  <si>
    <t>Стальная бесшовная горячедеформированная, 76х4 мм ГОСТ 8732-78</t>
  </si>
  <si>
    <t>Труба стальная электросварная прямошовная Ø630х8мм б/у ГОСТ 10704-91</t>
  </si>
  <si>
    <t>Фарфоровая вставка для эксикаторов 2- 175 ГОСТ 9147-80. Диаметр 175 мИзолирующая вставка НЭМС   ф150 Ру 6.3 Мпа</t>
  </si>
  <si>
    <t>Фарфоровая вставка для эксикаторов 2- 175 ГОСТ 9147-80. Диаметр 175 мм</t>
  </si>
  <si>
    <t>влагостойкий с повышенной сопротивляемостью воздействию открытого пламени (ГКЛВО), размер 2500х1200х9,5 мм, ГОСТ 6266-97</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</si>
  <si>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</si>
  <si>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</si>
  <si>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двутавровые, стальные, нормальные (Б), размер 30</t>
  </si>
  <si>
    <t>Рукав напорный</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</si>
  <si>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</si>
  <si>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Решетки, сетки и ограждения</t>
  </si>
  <si>
    <t>Сварные из ребристой проволоки из черных металлов</t>
  </si>
  <si>
    <t>подшипник роликовый радиально-упорный с коническими роликами однорядный, наружным диаметром 190 мм</t>
  </si>
  <si>
    <t>подшипник роликовый радиально-упорный с коническими роликами однорядный, наружным диаметром 140 мм</t>
  </si>
  <si>
    <t>29.32.30.00.06.03.02.08.1</t>
  </si>
  <si>
    <t>Решетка радиатора</t>
  </si>
  <si>
    <t>Для легковых автомобилей</t>
  </si>
  <si>
    <t>28.30.93.00.00.20.17.10.1</t>
  </si>
  <si>
    <t>Гильзо-поршневая группа</t>
  </si>
  <si>
    <t>для грузовых транспортных средств, барабанный</t>
  </si>
  <si>
    <t>с несоосными ведомыми валами</t>
  </si>
  <si>
    <t>29.32.30.00.04.05.04.10.1</t>
  </si>
  <si>
    <t>Вал ведомой шестерни колесного редуктора</t>
  </si>
  <si>
    <t>Кузов для легкового автомобиля</t>
  </si>
  <si>
    <t>предназначен для размещения пассажиров и перевозимого груза и водителя</t>
  </si>
  <si>
    <t>переднее, триплекс, для легковых автомобилей</t>
  </si>
  <si>
    <t>распределителя зажигания (трамблера)</t>
  </si>
  <si>
    <t>27.40.14.00.00.00.06.00.1</t>
  </si>
  <si>
    <t>Автомобильная лампа</t>
  </si>
  <si>
    <t>габаритная цокольная</t>
  </si>
  <si>
    <t>Ходовая часть</t>
  </si>
  <si>
    <t>служит для преобразования вращательного движения ведущих колес в поступательное движение агрегата</t>
  </si>
  <si>
    <t>Гидроопора 125х100х580 (Р=16МПа) КС-35713-1, 45719-1, 55713-1</t>
  </si>
  <si>
    <t>29.32.30.00.15.00.12.20.1</t>
  </si>
  <si>
    <t>Блок управления</t>
  </si>
  <si>
    <t>бортовой компьютер системы управления автомобиля</t>
  </si>
  <si>
    <t>26.51.52.14.11.11.10.01.1</t>
  </si>
  <si>
    <t>диаметр  корпуса 60 мм, класс  точности 1,5, диапазон показаний от -1 до 0</t>
  </si>
  <si>
    <t>26.51.52.14.11.11.10.20.1</t>
  </si>
  <si>
    <t>диаметр  корпуса 60 мм, класс  точности 1,5, диапазон показаний от 0 до 160</t>
  </si>
  <si>
    <t>26.51.52.14.11.11.10.22.1</t>
  </si>
  <si>
    <t>диаметр  корпуса 60 мм, класс  точности 1,5, диапазон показаний от 0 до 400</t>
  </si>
  <si>
    <t>26.51.52.14.11.11.10.06.1</t>
  </si>
  <si>
    <t>диаметр  корпуса 60 мм, класс  точности 1,5, диапазон показаний от -1 до 9</t>
  </si>
  <si>
    <t>переднее, триплекс, для грузовых автомобилей</t>
  </si>
  <si>
    <t>Направляющая втулка</t>
  </si>
  <si>
    <t>обеспечить высокую прочность при воздействии ударных нагрузок</t>
  </si>
  <si>
    <t>29.32.30.00.15.00.06.06.1</t>
  </si>
  <si>
    <t>ковша</t>
  </si>
  <si>
    <t>29.32.30.00.15.00.06.18.1</t>
  </si>
  <si>
    <t>прочая</t>
  </si>
  <si>
    <t>Подшипник редуктора</t>
  </si>
  <si>
    <t>22.19.34.00.00.00.35.50.1</t>
  </si>
  <si>
    <t>Шланг гидроусилителя для автомобилей специальных и специализированных</t>
  </si>
  <si>
    <t>28.92.61.00.00.00.07.02.1</t>
  </si>
  <si>
    <t>экскаватора</t>
  </si>
  <si>
    <t>28.13.28.00.00.00.11.14.1</t>
  </si>
  <si>
    <t>компрессор</t>
  </si>
  <si>
    <t>мобильный, для зарядки баллонов воздухом</t>
  </si>
  <si>
    <t>29.32.30.00.11.00.01.23.1</t>
  </si>
  <si>
    <t>объемом не более 300 л</t>
  </si>
  <si>
    <t>29.32.30.00.07.00.02.00.1</t>
  </si>
  <si>
    <t>Тормозной диск</t>
  </si>
  <si>
    <t>для передача крутящего момента от двигателя к колесом или гусеницам (движителям), и его преобразованию по величине и направлению.</t>
  </si>
  <si>
    <t>рулевое управление служит для изменения направления движения путем поворота передних (управляемых) колес</t>
  </si>
  <si>
    <t>аксиально-поршневой насос регулируемый</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</si>
  <si>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</si>
  <si>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для погрузчика, 6.50-10</t>
  </si>
  <si>
    <t>Размер:12.00-20. Камера резиновая для автобусов или грузовых автомобилей ГОСТ 5513-97.</t>
  </si>
  <si>
    <t>Рукав 25х39,3, здесь 25мм-внутренний диаметр рукова(предельное отклонение ±0,5), 39,3мм - наружный диаметр рукова(предельное отклонение ±0,8). Рукав резиновый высокого давления с металлическими навивками неармированный. ГОСТ 25452-90</t>
  </si>
  <si>
    <t>Рукав 25х38,8, здесь 25мм-внутренний диаметр рукова(предельное отклонение ±0,5), 38,8мм - наружный диаметр рукова(предельное отклонение ±0,8). Рукав резиновый высокого давления с металлическими навивками неармированный. ГОСТ 25452-90</t>
  </si>
  <si>
    <t>Рукав 25х40,1, здесь 25мм-внутренний диаметр рукова(предельное отклонение ±0,5), 40,1мм - наружный диаметр рукова(предельное отклонение +1,0). Рукав резиновый высокого давления с металлическими навивками неармированный. ГОСТ 25452-90</t>
  </si>
  <si>
    <t> Ремень клиновый приводный с сечением А-850. ГОСТ 1284-89.</t>
  </si>
  <si>
    <t> Ремень вентиляторный клиновый 14х10-987 ГОСТ 5813-93.</t>
  </si>
  <si>
    <t> Ремень клиновый приводный с сечением А-1060. ГОСТ 1284-89.</t>
  </si>
  <si>
    <t> Ремень клиновый приводный с сечением А-1700. ГОСТ 1284-89.</t>
  </si>
  <si>
    <t> Ремень клиновый приводный  с сечением В(Б)-1800. ГОСТ 1284-89.</t>
  </si>
  <si>
    <t>25.99.29.00.01.15.13.10.1</t>
  </si>
  <si>
    <t>Регулирующий клапан</t>
  </si>
  <si>
    <t>на легковые автомобили, длинные, рузьба - М18</t>
  </si>
  <si>
    <t>26.51.52.14.11.11.19.13.1</t>
  </si>
  <si>
    <t>шинный</t>
  </si>
  <si>
    <t>29.32.30.00.07.00.17.02.2</t>
  </si>
  <si>
    <t>трос стояночного тормоза</t>
  </si>
  <si>
    <t>трос стояночного тормоза грузовых автомобилей</t>
  </si>
  <si>
    <t>части двигателя внутреннего сгорания</t>
  </si>
  <si>
    <t>части двигателя внутреннего сгорания с искровым зажиганием, прочие</t>
  </si>
  <si>
    <t>29.32.30.00.15.00.08.14.1</t>
  </si>
  <si>
    <t>пружинная, для грузовых автомобилей</t>
  </si>
  <si>
    <t>для автомбилей с рабочим объемом цилиндров свыше 1400 см3 но не более 1500 см3,  </t>
  </si>
  <si>
    <t>29.10.19.00.00.10.23.21.1</t>
  </si>
  <si>
    <t>Предохранительные пояса лямочные страховочные</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</si>
  <si>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</si>
  <si>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С пароувлажнением. Подошва из нержавеющей стали.</t>
  </si>
  <si>
    <t>для колодцев канализационных, водопроводных и газопроводных сетей, марки ПП13, ГОСТ 8020-90</t>
  </si>
  <si>
    <t>1 класса, мелкий, ГОСТ 8736-93</t>
  </si>
  <si>
    <t>Ванны купальные чугунные эмалированные</t>
  </si>
  <si>
    <t>моечная, из нержавеющей стали</t>
  </si>
  <si>
    <t>Ванны чугунные неэмалированные</t>
  </si>
  <si>
    <t>Кушетка медицинская</t>
  </si>
  <si>
    <t>Содержит духовой шкаф и каминную полку. Тип варочной поверхности - традиционная. Количество конфорок - 2.</t>
  </si>
  <si>
    <t>телекоммуникационная, для терминала</t>
  </si>
  <si>
    <t>Сковорода электрическая с опрокидывающей чугунной чашей</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</si>
  <si>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</si>
  <si>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</si>
  <si>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</si>
  <si>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</si>
  <si>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</si>
  <si>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</si>
  <si>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</si>
  <si>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</si>
  <si>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</si>
  <si>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</si>
  <si>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</si>
  <si>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</si>
  <si>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28.14.11.24.00.00.00.01.1</t>
  </si>
  <si>
    <t>27.51.23.00.00.03.01.10.1</t>
  </si>
  <si>
    <t>25.93.13.00.00.10.14.10.1</t>
  </si>
  <si>
    <t>Сварные из оцинкованной проволоки из черных металлов (кроме ребристой проволоки)</t>
  </si>
  <si>
    <t>23.61.20.00.10.10.01.29.1</t>
  </si>
  <si>
    <t>железобетонный под колонны параболических лотков стаканного типа, марки Ф18.9-1, ГОСТ 23972-80</t>
  </si>
  <si>
    <t>23.61.20.00.20.10.01.36.1</t>
  </si>
  <si>
    <t>Стойка-колонна</t>
  </si>
  <si>
    <t>железобетонная под параболические лотки, тип К, ГОСТ 23899-79</t>
  </si>
  <si>
    <t>26.30.21.00.01.23.11.10.1</t>
  </si>
  <si>
    <t>Радиотелефон. Дальность - более 1 км.  Количество трубок - 1. Без автоответчика. Без спикерфона.</t>
  </si>
  <si>
    <t>27.90.33.00.00.00.10.16.1</t>
  </si>
  <si>
    <t>мощностью свыше 2,0 но не выше  2,5 кВт</t>
  </si>
  <si>
    <t>27.90.33.00.00.00.10.25.1</t>
  </si>
  <si>
    <t>мощностью свыше 10,0 но не выше  12,0 кВт</t>
  </si>
  <si>
    <t>Части рабочие для пил из стали (кроме частей рабочих для ленточных, циркулярных, цепных пил, прямозубых и музыкальных пил) для работы не по металлу</t>
  </si>
  <si>
    <t>пятилинейный пневмораспределитель</t>
  </si>
  <si>
    <t>пятилинейный пневмораспределитель с электропневматическим  управлением с условным проходом, Ду 10 мм</t>
  </si>
  <si>
    <t>19.20.29.00.00.11.40.42.1</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</si>
  <si>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</si>
  <si>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19.20.29.00.00.00.16.25.1</t>
  </si>
  <si>
    <t>ТАД-17и, плотность 907 кг/м3 при 20° С, вязкость кинематическая  при 50 °С не менее 17,5 мм2/с (сСт)</t>
  </si>
  <si>
    <t>19.20.29.00.00.00.16.33.1</t>
  </si>
  <si>
    <t>всесезонное, вязкость кинематическая при 100°С - 14.6 мм2/с, температура застывания от -25°С</t>
  </si>
  <si>
    <t>20.59.43.00.00.20.10.20.3</t>
  </si>
  <si>
    <t>29.32.30.00.04.03.02.01.1</t>
  </si>
  <si>
    <t>29.32.30.00.05.03.06.01.1</t>
  </si>
  <si>
    <t>цилиндрическая</t>
  </si>
  <si>
    <t>31.01.12.00.00.02.04.05.1</t>
  </si>
  <si>
    <t>Стол</t>
  </si>
  <si>
    <t>журнальный, на деревянных ножках, со столешницей из МДФ</t>
  </si>
  <si>
    <t>рабочий, из ЛДСП и ДСП</t>
  </si>
  <si>
    <t>31.00.11.00.00.01.01.09.1</t>
  </si>
  <si>
    <t>Металлический каркас. Сиденье и спинка из кожезаменителя.</t>
  </si>
  <si>
    <t>Мягкое сидение из ткани; каркас и спинка металлические.</t>
  </si>
  <si>
    <t>32.50.30.00.00.00.11.26.1</t>
  </si>
  <si>
    <t>Ширмы медицинские</t>
  </si>
  <si>
    <t>Шкаф книжный с полками</t>
  </si>
  <si>
    <t>шкаф холодильный</t>
  </si>
  <si>
    <t>Тарелка</t>
  </si>
  <si>
    <t>Средняя тарелка из стекла.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</si>
  <si>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Щипцы кухонные</t>
  </si>
  <si>
    <t>Бетономешалкп или растворосмеситель емкостью 500 л</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</si>
  <si>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</si>
  <si>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</si>
  <si>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</si>
  <si>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43.21.10.10.20.00.00</t>
  </si>
  <si>
    <t>Работы по устройству пожарной сигнализации</t>
  </si>
  <si>
    <t>Устройство пожарной сигнализации на объекте</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</si>
  <si>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</si>
  <si>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</si>
  <si>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</si>
  <si>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оформлению технической документации, включая регистрацию и перерегистрацию в соответствующих органах</t>
  </si>
  <si>
    <t>Разработка проекта нормативов предельно допустимых выбросов на основании полученных данных</t>
  </si>
  <si>
    <t>Услуги по размещению объявлений в печатных изданиях</t>
  </si>
  <si>
    <t>Услуги по технической поддержке сайтов</t>
  </si>
  <si>
    <t>Услуги по технической поддержке сайта в работоспособном состоянии, улучшению его функциональных возможностей.</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</si>
  <si>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</si>
  <si>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19.20.29.00.00.00.16.08.1</t>
  </si>
  <si>
    <t>Минеральное транссмиссионное масло  для автоматических трансмиссий и коробок передач с ручным переключением</t>
  </si>
  <si>
    <t>32.50.30.00.00.00.11.11.1</t>
  </si>
  <si>
    <t>25.93.13.00.00.10.21.12.1</t>
  </si>
  <si>
    <t>ГОСТ 24045-94, Для стендовых ограждений</t>
  </si>
  <si>
    <t>Стальная, бесшовная холодно- и теплодеформированная, ГОСТ 8732-87, 530-10  Ст20</t>
  </si>
  <si>
    <t>для автогазонаполнительной компрессорной станции</t>
  </si>
  <si>
    <t>29.32.30.00.06.03.02.02.1</t>
  </si>
  <si>
    <t>с винтом и гайкой, состоит из рулевого вала, рулевой колонки и рулевого колеса</t>
  </si>
  <si>
    <t>31.01.12.00.00.02.04.03.1</t>
  </si>
  <si>
    <t>Журнальный стол, лакированая поверхность цвет - темный орех, ДХШХВ</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</si>
  <si>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</si>
  <si>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Утвержден:</t>
  </si>
  <si>
    <t>Приказом директора</t>
  </si>
  <si>
    <t>№25 от "27" января 2014г.</t>
  </si>
  <si>
    <t xml:space="preserve">Топливораздаточная колонка, 1 КЭД-50-0,25-1 </t>
  </si>
  <si>
    <t>Шасси для сварочного агрегата, одноосное ,г/п 1,8 тн</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</si>
  <si>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</si>
  <si>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</si>
  <si>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</si>
  <si>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</si>
  <si>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</si>
  <si>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</si>
  <si>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</si>
  <si>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</si>
  <si>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Тележка для снятия и транспортировки колес  грузовых а/м (г/п 0,7т.)</t>
  </si>
  <si>
    <t xml:space="preserve">Гайковерт для колес грузовых автомобилей,  тип-напольный, передвижной. </t>
  </si>
  <si>
    <t>Стенд для проверки форсунок</t>
  </si>
  <si>
    <t>Станок точильно-заточный,  с пылеотсосом</t>
  </si>
  <si>
    <t>Битумный насос</t>
  </si>
  <si>
    <t>Установка  используемая для перетерания и измельчения окрасочных материалов при подготовке к малярным работам.</t>
  </si>
  <si>
    <t>Подача воды м3/час,не менее-20; Напор м, не менее-30; частота вращения , об/мин, не менее-2900.</t>
  </si>
  <si>
    <t>Лебедки ручные, рычажные,, L каната не менее- 9м, ф каната, мм. не менее - 8,3мм, масса не более - 14,30кг.</t>
  </si>
  <si>
    <t>Сверхмощное высокопроизводительное аброзивно-отрезное устройство с долговечным воздушным фильтром с циклонной предварительной очисткой.</t>
  </si>
  <si>
    <t>Режим сварки-ручная дуговая сварка/аргонодуговая;входная мощность-трехфазная/однофазная</t>
  </si>
  <si>
    <t>24.45.30.01.19.10.10.11.1</t>
  </si>
  <si>
    <t>Цилиндро-поршневая группа  Комплект цилиндро-поршневой группы на 1 цилиндр (г, п-м, п/п, п/к, упл/к, уп/к)236-1004005 /серия "Дальнобой", / ("КрАЗ)</t>
  </si>
  <si>
    <t>Цилиндро-поршневая группа  Комплект цилиндро-поршневой группы на 1 цилиндр (г, п-м, п/п, п/к, упл/к, уп/к)  236-1004005-Б /серия "Дальнобой",  (для блока  238-1002012-Д) ("КрАЗ)</t>
  </si>
  <si>
    <t>Комплект поршневых колец на 1 поршень 236-1004002-А4   ("КрАЗ)</t>
  </si>
  <si>
    <t>Вкладыши  коренные ЗиЛ-130  d=0.00  130-1000102-Б</t>
  </si>
  <si>
    <t>Вкладыши  коренные ЗиЛ-130  d=0.05  130-1000102-БР1</t>
  </si>
  <si>
    <t>Вкладыши шатунные ЗиЛ-130  d=0.00  130-1000104-02</t>
  </si>
  <si>
    <t xml:space="preserve">Вкладыши шатунные  "ЗиЛ-130"  d=0.05  130-1000104-Р1 </t>
  </si>
  <si>
    <t>Цилиндро-поршневая группа Комплект цилиндро-поршневой группы на 1 цилиндр (г, п-м, п/п, п/к, ст/к) 130-1000108 /серия "Грузовичок"</t>
  </si>
  <si>
    <t xml:space="preserve">Вкладыши коренные  ГАЗ-53  d=0.25(0.00)  ВК53-1000102-01 </t>
  </si>
  <si>
    <t xml:space="preserve">Вкладыши шатунные ГАЗ-53  d=0.25(0.00)  ВК53-1000104-А  </t>
  </si>
  <si>
    <t xml:space="preserve">Комплект цилиндро-поршневой группы  на 1 цилиндр "ММЗ Д-245;245.5;260" (г, п-м, п/п, п/к, ст/к)  260-1000108-С  /серия </t>
  </si>
  <si>
    <t>поршневые колеца Комплект поршневых колец на 1 двигатель Д-243Л; 245.5, 240-1004060-А1</t>
  </si>
  <si>
    <t xml:space="preserve">Аккумуляторные батареи 6СТ-90 </t>
  </si>
  <si>
    <t xml:space="preserve">Аккумуляторные батареи 6СТ-75 </t>
  </si>
  <si>
    <t xml:space="preserve">Аккумуляторные батареи 6СТ-60 </t>
  </si>
  <si>
    <t xml:space="preserve">Аккумуляторные батареи 6СТ-132 АП3 </t>
  </si>
  <si>
    <t xml:space="preserve">Аккумуляторные батареи 6СТ-190 АП3 </t>
  </si>
  <si>
    <t>декабрь 2013г, март  2014г</t>
  </si>
  <si>
    <t xml:space="preserve">Замена водопровода из ПЭ труб Ø110, Ø90 PN 16 SDR 11  </t>
  </si>
  <si>
    <t xml:space="preserve">Установка откатных дверей для морозильных камер </t>
  </si>
  <si>
    <t>Овощерезка</t>
  </si>
  <si>
    <t xml:space="preserve">Пароконвекционная печь </t>
  </si>
  <si>
    <t xml:space="preserve">Кондиционеры </t>
  </si>
  <si>
    <t>HD 46</t>
  </si>
  <si>
    <t xml:space="preserve">Гидравлическое масло DTE Oil 26 </t>
  </si>
  <si>
    <t>3225 Т</t>
  </si>
  <si>
    <t>Труба стальная электросварная прямошовная Ø720х8мм б/у ГОСТ 10704-91</t>
  </si>
  <si>
    <t>Эл. Насос  N=0,9 квт G=30 м3/чвс 220в</t>
  </si>
  <si>
    <t>Эл. Насос  N=0,118 квт G=0,5 м3/чвс H=8,5 м 220в</t>
  </si>
  <si>
    <t xml:space="preserve">Насос  N=0,5 квт 220в G-5,4 м3/час </t>
  </si>
  <si>
    <t xml:space="preserve">Насос  N=0,518 квт 220в G-5,4 м3/час </t>
  </si>
  <si>
    <t>50v SLIM 1,8квт 50л</t>
  </si>
  <si>
    <t xml:space="preserve"> 100v PL 1,8 квт 100л</t>
  </si>
  <si>
    <t>Кабель  6XV1870-3QN10 (Заделка концевая)</t>
  </si>
  <si>
    <t>Кабель связи волоконно-оптический  6XV1870-3QN10</t>
  </si>
  <si>
    <t xml:space="preserve"> ХТ2131 400W  </t>
  </si>
  <si>
    <t xml:space="preserve">Лампа Металлогало геновая МН-Т 250W., Е-40 </t>
  </si>
  <si>
    <t xml:space="preserve">Лампа Металлогало геновая МН-Т 400W., Е-40 </t>
  </si>
  <si>
    <t>Розетка скрытой  проводки   с  заземл. Контактом и защитными шторками</t>
  </si>
  <si>
    <t>Выключатель скр. Проводки с индикацией  ВС116-153-1-86</t>
  </si>
  <si>
    <t>Выключатель двухклавишный  с индикацией ВС516-25-1-86</t>
  </si>
  <si>
    <t>Светорегуля     тор скрытой проводки  ВПП 5С2-18</t>
  </si>
  <si>
    <t>Хомут               4,8х180 ( В упаковке 100 шт)</t>
  </si>
  <si>
    <t>Хомут               4,8х450 ( В упааковке 100 шт)</t>
  </si>
  <si>
    <t xml:space="preserve">Блок управления горелкой котла. TMG740--3  Mod 32-32 </t>
  </si>
  <si>
    <t>Электросчетчик            СО-Э701 -50А 220в</t>
  </si>
  <si>
    <t>Электросчетчик           СА4-Э708 -100А 220/380в</t>
  </si>
  <si>
    <t>Изолятор под  DIN- рейку</t>
  </si>
  <si>
    <t xml:space="preserve">Краскопульт  (краскораспылитель пневматический) </t>
  </si>
  <si>
    <t xml:space="preserve">Лобзик  570 вт, глубина реза 70мм </t>
  </si>
  <si>
    <t>Шуруповёрт   аккумуляторный</t>
  </si>
  <si>
    <t xml:space="preserve">ЭлектроперфораторSDS-PLUS 1010ВТ, 4-x РЕЖ, </t>
  </si>
  <si>
    <t xml:space="preserve">Дисковая пила </t>
  </si>
  <si>
    <t xml:space="preserve">Диск отрезной 235х2,3х25 (20зубьев)для дисковой  пилы </t>
  </si>
  <si>
    <t>Аккумулятор 6СТ-190 АП3</t>
  </si>
  <si>
    <t xml:space="preserve">Стартер 114362-77011 </t>
  </si>
  <si>
    <t>Форсунка в сборе L100AE71465053100</t>
  </si>
  <si>
    <t>Воздушный фильтр 114650-12580</t>
  </si>
  <si>
    <t xml:space="preserve">Топливный фильтр 114250-55121 </t>
  </si>
  <si>
    <t xml:space="preserve">Масляный фильтр  114250-35110 </t>
  </si>
  <si>
    <t xml:space="preserve">Топливный насос высокого давления ТНВД L100AE с электроклапаном 714970-51700 </t>
  </si>
  <si>
    <t>бочковой рычажный насос  для масел, в комп-те с изогнутым металл-м выпускным патрубком и телескопическим всасывающим патрубком, а также резьбовым адаптером для сливного отверстия бочки 1.1/2" и 2". Производительность: 300 мл за 1 ход.</t>
  </si>
  <si>
    <t>28.13.14.00.00.00.10.25.1</t>
  </si>
  <si>
    <t>Насос бочковой</t>
  </si>
  <si>
    <t>рычажно-цилиндрический</t>
  </si>
  <si>
    <t>Цилиндро-поршневая группа Комплект цилиндро-поршневой группы на 1 цилиндр (г, п-м, п/п, п/к, упл/к, уп/к) 740.1000128-18  / (Камаз)</t>
  </si>
  <si>
    <t>Цилиндро-поршневая группа Комплект цилиндро-поршневой группы на 1 цилиндр  (г, п-м, п/п, п/к, упл/к, уп/к) 740.30-1000128-42 (Евро-1)  /  (Камаз)</t>
  </si>
  <si>
    <t>Комплект поршневых колец на 1 поршень 740.1000106 /   (Камаз)</t>
  </si>
  <si>
    <t>Комплект поршневых колец на 1 поршень  740.30-1000106 (Евро-1)   (Камаз)</t>
  </si>
  <si>
    <t xml:space="preserve">Вкладыши коренные  "ГАЗ-24,УАЗ" d=0.50  ВК24-1000102-01 </t>
  </si>
  <si>
    <t xml:space="preserve">Вкладыши шатунные "ГАЗ-24,УАЗ" d=0.50  ВК24-1000104 </t>
  </si>
  <si>
    <t xml:space="preserve">Вкладыши коренные  ГАЗ-24,УАЗ d=0.75  ВК24-1000102-01 </t>
  </si>
  <si>
    <t xml:space="preserve">Вкладыши шатунные "ГАЗ-24,УАЗ" d=0.75 ВК24-1000104 </t>
  </si>
  <si>
    <t>ТНВД  Д-260   363.1111005-40</t>
  </si>
  <si>
    <t>Автошины 225/75 R16 /Я-435/</t>
  </si>
  <si>
    <t xml:space="preserve">Набор провода высокого напряжения 2121-3707080 </t>
  </si>
  <si>
    <t>24.20.13.01.13.10.10.01.1</t>
  </si>
  <si>
    <t>Стальная, электросварная, прямошовная, ГОСТ 10704-91</t>
  </si>
  <si>
    <t>182-1 Т</t>
  </si>
  <si>
    <t>180-1 Т</t>
  </si>
  <si>
    <t>181-1 Т</t>
  </si>
  <si>
    <t>178-1 Т</t>
  </si>
  <si>
    <t>28.24.11.00.00.00.13.10.1</t>
  </si>
  <si>
    <t>инструмент ручной, прочие</t>
  </si>
  <si>
    <t>инструмент ручной, гидравлический или со встроенным неэлектрическим двигателем прочие (кроме цепных пил), не включенные в другие группировки</t>
  </si>
  <si>
    <t>(гаражное оборудование)</t>
  </si>
  <si>
    <t>1175- 1 Т</t>
  </si>
  <si>
    <t>3,4,5</t>
  </si>
  <si>
    <t>2755-1 Т</t>
  </si>
  <si>
    <t>2753-1 Т</t>
  </si>
  <si>
    <t>март, август</t>
  </si>
  <si>
    <t>2763-1 Т</t>
  </si>
  <si>
    <t>148-1 У</t>
  </si>
  <si>
    <t>7,11,12</t>
  </si>
  <si>
    <t>194-1 Т</t>
  </si>
  <si>
    <t>22.19.34.20.20.40.10.10.1</t>
  </si>
  <si>
    <t>172-1 У</t>
  </si>
  <si>
    <t>189-1 У</t>
  </si>
  <si>
    <t>11,20,21</t>
  </si>
  <si>
    <t>23.61.12.00.20.24.00.02.1</t>
  </si>
  <si>
    <t>Экран</t>
  </si>
  <si>
    <t>противофильтрационный железобетонный водопропускных труб тип БФ</t>
  </si>
  <si>
    <t>23.61.20.00.70.85.00.06.1</t>
  </si>
  <si>
    <t>упора</t>
  </si>
  <si>
    <t>23.61.12.00.20.22.01.10.1</t>
  </si>
  <si>
    <t>железобетонное водопропускных труб тип ЗКП</t>
  </si>
  <si>
    <t>23.61.12.00.20.23.00.01.1</t>
  </si>
  <si>
    <t>Стенка</t>
  </si>
  <si>
    <t>откосная железобетонная водопропускных труб тип СТ</t>
  </si>
  <si>
    <t>23.61.20.00.10.30.04.19.1</t>
  </si>
  <si>
    <t>фундаментная трапецеидальная с овальной плоскостью и круглая – плоская, из бетона</t>
  </si>
  <si>
    <t>1246-1 Т</t>
  </si>
  <si>
    <t>37-1 Р</t>
  </si>
  <si>
    <t>38-1 Р</t>
  </si>
  <si>
    <t xml:space="preserve">С изменениями и дополнениями:  </t>
  </si>
  <si>
    <t>140-1 Т</t>
  </si>
  <si>
    <t>141-1 Т</t>
  </si>
  <si>
    <t>142-1 Т</t>
  </si>
  <si>
    <t>143-1 Т</t>
  </si>
  <si>
    <t>144-1 Т</t>
  </si>
  <si>
    <t>145-1 Т</t>
  </si>
  <si>
    <t>146-1 Т</t>
  </si>
  <si>
    <t>151-1 Т</t>
  </si>
  <si>
    <t>152-1 Т</t>
  </si>
  <si>
    <t>153-1 Т</t>
  </si>
  <si>
    <t>170-1 У</t>
  </si>
  <si>
    <t>154-1 Т</t>
  </si>
  <si>
    <t>161-1 Т</t>
  </si>
  <si>
    <t>162-1 Т</t>
  </si>
  <si>
    <t>163-1 Т</t>
  </si>
  <si>
    <t>164-1 Т</t>
  </si>
  <si>
    <t>165-1 Т</t>
  </si>
  <si>
    <t>166-1 Т</t>
  </si>
  <si>
    <t>167-1 Т</t>
  </si>
  <si>
    <t>168-1 Т</t>
  </si>
  <si>
    <t>169-1 Т</t>
  </si>
  <si>
    <t>170-1 Т</t>
  </si>
  <si>
    <t>171-1 Т</t>
  </si>
  <si>
    <t>172-1 Т</t>
  </si>
  <si>
    <t>173-1 Т</t>
  </si>
  <si>
    <t>174-1 Т</t>
  </si>
  <si>
    <t>175-1 Т</t>
  </si>
  <si>
    <t>176-1 Т</t>
  </si>
  <si>
    <t>177-1 Т</t>
  </si>
  <si>
    <t>179-1 Т</t>
  </si>
  <si>
    <t>183-1 Т</t>
  </si>
  <si>
    <t>341-1 Т</t>
  </si>
  <si>
    <t>347-1 Т</t>
  </si>
  <si>
    <t>355-1 Т</t>
  </si>
  <si>
    <t>356-1 Т</t>
  </si>
  <si>
    <t>358-1 Т</t>
  </si>
  <si>
    <t>370-1 Т</t>
  </si>
  <si>
    <t>371-1 Т</t>
  </si>
  <si>
    <t>373-1 Т</t>
  </si>
  <si>
    <t>374-1 Т</t>
  </si>
  <si>
    <t>375-1 Т</t>
  </si>
  <si>
    <t>378-1 Т</t>
  </si>
  <si>
    <t>379-1 Т</t>
  </si>
  <si>
    <t>380-1 Т</t>
  </si>
  <si>
    <t>381-1 Т</t>
  </si>
  <si>
    <t>382-1 Т</t>
  </si>
  <si>
    <t>383-1 Т</t>
  </si>
  <si>
    <t>384-1 Т</t>
  </si>
  <si>
    <t>385-1 Т</t>
  </si>
  <si>
    <t>492-1 Т</t>
  </si>
  <si>
    <t>499-1Т</t>
  </si>
  <si>
    <t>592-1 Т</t>
  </si>
  <si>
    <t xml:space="preserve"> январь, март 2014г.</t>
  </si>
  <si>
    <t>594-1 Т</t>
  </si>
  <si>
    <t>январь, март  2014г.</t>
  </si>
  <si>
    <t>диаметр  корпуса 60 мм, класс  точности 1,5, диапазон показаний от 0 до 25</t>
  </si>
  <si>
    <t>26.51.52.14.11.11.10.16.1</t>
  </si>
  <si>
    <t>Манометр кислородный типа МП-2У с пределами  измерения  (d=60мм), ГОСТ 2405-88 от 0 до 25 кгс/см2</t>
  </si>
  <si>
    <t>Приказ №84 от 27.02.2014 год.</t>
  </si>
  <si>
    <t>68-1 У</t>
  </si>
  <si>
    <t>в течение 90 кал.дней с даты подписания  договора</t>
  </si>
  <si>
    <t>70-1 У</t>
  </si>
  <si>
    <t>3202-1 Т</t>
  </si>
  <si>
    <t>69-1 У</t>
  </si>
  <si>
    <t>81-1 У</t>
  </si>
  <si>
    <t>авансовый платеж- 0%, в течение 10 кал. дней с даты  подписания акта выполненных услуг ,ежемесячно</t>
  </si>
  <si>
    <t>82-1 У</t>
  </si>
  <si>
    <t>83-1 У</t>
  </si>
  <si>
    <t>47-1 У</t>
  </si>
  <si>
    <t>1245-1 Т</t>
  </si>
  <si>
    <t>РК Мангистауская обл. г.Актау</t>
  </si>
  <si>
    <t>1241-1 Т</t>
  </si>
  <si>
    <t>1244-1 Т</t>
  </si>
  <si>
    <t>1243-1 Т</t>
  </si>
  <si>
    <t>1242-1 Т</t>
  </si>
  <si>
    <t>7,12,18,20,21</t>
  </si>
  <si>
    <t>20-1 У</t>
  </si>
  <si>
    <t>21-1 У</t>
  </si>
  <si>
    <t>7,12,20,21</t>
  </si>
  <si>
    <t>942-1 Т</t>
  </si>
  <si>
    <t xml:space="preserve">март-апрель </t>
  </si>
  <si>
    <t>РК, Мангистауская область, пос. Кзыл-Тюбе,  база РЗЦ БПО  ТОО "ОСС"</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</si>
  <si>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</si>
  <si>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</si>
  <si>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</si>
  <si>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</si>
  <si>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</si>
  <si>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</si>
  <si>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</si>
  <si>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</si>
  <si>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</si>
  <si>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</si>
  <si>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</si>
  <si>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</si>
  <si>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</si>
  <si>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</si>
  <si>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</si>
  <si>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</si>
  <si>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</si>
  <si>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</si>
  <si>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961-1 Т</t>
  </si>
  <si>
    <t>962-1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</si>
  <si>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</si>
  <si>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</si>
  <si>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</si>
  <si>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</si>
  <si>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</si>
  <si>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</si>
  <si>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</si>
  <si>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</si>
  <si>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</si>
  <si>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</si>
  <si>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</si>
  <si>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</si>
  <si>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</si>
  <si>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</si>
  <si>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</si>
  <si>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</si>
  <si>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</si>
  <si>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</si>
  <si>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500-1 Т</t>
  </si>
  <si>
    <t>498-1 Т</t>
  </si>
  <si>
    <t>497-1 Т</t>
  </si>
  <si>
    <t>275-1 Т</t>
  </si>
  <si>
    <t>276-1 Т</t>
  </si>
  <si>
    <t>279-1 Т</t>
  </si>
  <si>
    <t>252-1 Т</t>
  </si>
  <si>
    <t>253-1 Т</t>
  </si>
  <si>
    <t>245-1 Т</t>
  </si>
  <si>
    <t>251-1 Т</t>
  </si>
  <si>
    <t>226-1 Т</t>
  </si>
  <si>
    <t>526-1 Т</t>
  </si>
  <si>
    <t>559-1 Т</t>
  </si>
  <si>
    <t>РК, Мангистауская область, г.Актау по месту нахождения потенциального поставщика</t>
  </si>
  <si>
    <t>507-1 Т</t>
  </si>
  <si>
    <t>506-1 Т</t>
  </si>
  <si>
    <t>504-1 Т</t>
  </si>
  <si>
    <t>501-1 Т</t>
  </si>
  <si>
    <t>274-1 Т</t>
  </si>
  <si>
    <t>265-1 Т</t>
  </si>
  <si>
    <t>264-1 Т</t>
  </si>
  <si>
    <t>236-1 Т</t>
  </si>
  <si>
    <t>134-1 Т</t>
  </si>
  <si>
    <t>150-1 Т</t>
  </si>
  <si>
    <t>152-2 Т</t>
  </si>
  <si>
    <t>153-2 Т</t>
  </si>
  <si>
    <t>154-2 Т</t>
  </si>
  <si>
    <t>1239-1 Т</t>
  </si>
  <si>
    <t>февраль, март, июнь, сентябрь</t>
  </si>
  <si>
    <t>РК Мангистауская обл. м/р Каламкас, Жетыбай, Актау</t>
  </si>
  <si>
    <t>11,12,18,20,21</t>
  </si>
  <si>
    <t>Диз.топливо, летнее ГОСТ 305-82 налив</t>
  </si>
  <si>
    <t>Диз.топливо, летнее (талоны)ГОСТ 305-82</t>
  </si>
  <si>
    <t>РК Мангистауская обл. м/р Каламкас, Жетыбай</t>
  </si>
  <si>
    <t>3226 Т</t>
  </si>
  <si>
    <t>1240-1 Т</t>
  </si>
  <si>
    <t>Диз.топливо, зимнее ГОСТ 305-82 (налив)</t>
  </si>
  <si>
    <t>3227 Т</t>
  </si>
  <si>
    <t>Диз.топливо, зимнее ГОСТ 305-82 (талоны)</t>
  </si>
  <si>
    <t>Бензин Аи-80 (налив) ТУ-38.001165-2003</t>
  </si>
  <si>
    <t>3228 Т</t>
  </si>
  <si>
    <t>Бензин Аи-80 (талоны) ТУ-38.001165-2003</t>
  </si>
  <si>
    <t>453-1 Т</t>
  </si>
  <si>
    <t>3229 Т</t>
  </si>
  <si>
    <t>РК Мангистауская обл. Каламкас, Жетыбай</t>
  </si>
  <si>
    <t>Бензин Аи-80 ТУ-38.001165-2003 талоны</t>
  </si>
  <si>
    <t>3230 Т</t>
  </si>
  <si>
    <t>Бензин Аи-92 ТУ-38.001165-2003 (талоны)</t>
  </si>
  <si>
    <t>Бензин Аи-92 ТУ-38.001165-2003 талоны</t>
  </si>
  <si>
    <t>Бензин Аи-95ТУ-38.001165-2003  талоны</t>
  </si>
  <si>
    <t>83-1 Т</t>
  </si>
  <si>
    <t>22.21.29.00.00.23.35.50.1</t>
  </si>
  <si>
    <t>Отвод из стеклопластика с углом поворота 90 градусов диаметр 500-30 мм</t>
  </si>
  <si>
    <t>84-1 Т</t>
  </si>
  <si>
    <t>22.21.29.00.00.23.35.48.1</t>
  </si>
  <si>
    <t>Отвод из стеклопластика с углом поворота 90 градусов диаметр 300-40 мм</t>
  </si>
  <si>
    <t>85-1 Т</t>
  </si>
  <si>
    <t>22.21.29.00.00.23.35.46.1</t>
  </si>
  <si>
    <t>Отвод из стеклопластика с углом поворота 90 градусов диаметр 217-46 мм</t>
  </si>
  <si>
    <t>86-1 Т</t>
  </si>
  <si>
    <t>22.21.29.00.00.23.35.45.1</t>
  </si>
  <si>
    <t>Отвод из стеклопластика с углом поворота 45 градусов диаметр 217-46 мм</t>
  </si>
  <si>
    <t>87-1 Т</t>
  </si>
  <si>
    <t>22.21.29.00.00.23.35.44.1</t>
  </si>
  <si>
    <t>Отвод из стеклопластика с углом поворота 90 градусов диаметр 152-47 мм</t>
  </si>
  <si>
    <t>88-1 Т</t>
  </si>
  <si>
    <t>22.21.29.00.00.23.35.43.1</t>
  </si>
  <si>
    <t>Отвод из стеклопластика с углом поворота 45 градусов диаметр 152-47 мм</t>
  </si>
  <si>
    <t>89-1 Т</t>
  </si>
  <si>
    <t>22.21.29.00.00.23.35.42.1</t>
  </si>
  <si>
    <t>Отвод из стеклопластика с углом поворота 90 градусов диаметр 100-95 мм</t>
  </si>
  <si>
    <t>91-1 Т</t>
  </si>
  <si>
    <t>22.21.29.00.00.23.35.41.1</t>
  </si>
  <si>
    <t>Отвод из стеклопластика с углом поворота 90 градусов диаметр 100-45 мм</t>
  </si>
  <si>
    <t>189-1 Т</t>
  </si>
  <si>
    <t>190-1 Т</t>
  </si>
  <si>
    <t>105-1 У</t>
  </si>
  <si>
    <t>декабрь 2013г, март-апрель  2014г</t>
  </si>
  <si>
    <t>11,12,22</t>
  </si>
  <si>
    <t>2094-1 Т</t>
  </si>
  <si>
    <t>2095-1 Т</t>
  </si>
  <si>
    <t>2096-1Т</t>
  </si>
  <si>
    <t>2097-1 Т</t>
  </si>
  <si>
    <t>2098-1 Т</t>
  </si>
  <si>
    <t>2099-1 Т</t>
  </si>
  <si>
    <t>2100-1 Т</t>
  </si>
  <si>
    <t>2101-1 Т</t>
  </si>
  <si>
    <t>2102-1 Т</t>
  </si>
  <si>
    <t>2103-1 Т</t>
  </si>
  <si>
    <t>2104-1 Т</t>
  </si>
  <si>
    <t>2105-1 Т</t>
  </si>
  <si>
    <t xml:space="preserve">март, апрель </t>
  </si>
  <si>
    <t>11,18,19,20,21</t>
  </si>
  <si>
    <t>2106-1 Т</t>
  </si>
  <si>
    <t>2107-1 Т</t>
  </si>
  <si>
    <t>2108-1 Т</t>
  </si>
  <si>
    <t>2109-1 Т</t>
  </si>
  <si>
    <t>2110-1 Т</t>
  </si>
  <si>
    <t>2111-1 Т</t>
  </si>
  <si>
    <t>Приказ №119 от 18.03.2014 год.</t>
  </si>
  <si>
    <t>151-2 Т</t>
  </si>
  <si>
    <t>180-2 Т</t>
  </si>
  <si>
    <t>605-1 Т</t>
  </si>
  <si>
    <t>18,20,21</t>
  </si>
  <si>
    <t>606-1 Т</t>
  </si>
  <si>
    <t>608-1 Т</t>
  </si>
  <si>
    <t>607-1 Т</t>
  </si>
  <si>
    <t>МФУ формата А3/А4.  Копир, принтер и сканер в одном устройстве формата А3. МФУ  предназначено для работы в сети, что позволяет повысить производительность рабочей группы. МФУ имеет встроенную сетевую плату и использует эмуляцию языка PCL, что дает возможность легко интегрировать устройство в любую современную корпоративную сеть. Для облегчения работы с двухсторонними документами имеется соответствующий модуль автоматической двусторонней печати и реверсивный (двусторонний) автоподатчик.</t>
  </si>
  <si>
    <t>161-2 Т</t>
  </si>
  <si>
    <t>172-2 Т</t>
  </si>
  <si>
    <t>575-1 Т</t>
  </si>
  <si>
    <t>576-1 Т</t>
  </si>
  <si>
    <t>574-1 Т</t>
  </si>
  <si>
    <t>127-1 У</t>
  </si>
  <si>
    <t>по факту оказания Услуг в полном объеме в течение 30 календарных  дней с даты подписания Сторонами Акта об оказанных услугах</t>
  </si>
  <si>
    <t>126-1 У</t>
  </si>
  <si>
    <t>11,15,20,21</t>
  </si>
  <si>
    <t>исключено</t>
  </si>
  <si>
    <t>123-1 У</t>
  </si>
  <si>
    <t>124-1 У</t>
  </si>
  <si>
    <t>12-1 Т</t>
  </si>
  <si>
    <t>13-1 Т</t>
  </si>
  <si>
    <t>43-1 Т</t>
  </si>
  <si>
    <t>73-1 Т</t>
  </si>
  <si>
    <t>январь, апрель 2014г.</t>
  </si>
  <si>
    <t>74-1 Т</t>
  </si>
  <si>
    <t>75-1 Т</t>
  </si>
  <si>
    <t>76-1 Т</t>
  </si>
  <si>
    <t>77-1 Т</t>
  </si>
  <si>
    <t>79-1 Т</t>
  </si>
  <si>
    <t>январь, апрель  2014г.</t>
  </si>
  <si>
    <t>80-1 Т</t>
  </si>
  <si>
    <t>81-1 Т</t>
  </si>
  <si>
    <t>82-1 Т</t>
  </si>
  <si>
    <t>85-2 Т</t>
  </si>
  <si>
    <t>86-2 Т</t>
  </si>
  <si>
    <t>87-2 Т</t>
  </si>
  <si>
    <t>88-2 Т</t>
  </si>
  <si>
    <t>89-2 Т</t>
  </si>
  <si>
    <t>90-1 Т</t>
  </si>
  <si>
    <t>91-2 Т</t>
  </si>
  <si>
    <t>94-1 Т</t>
  </si>
  <si>
    <t>95-1 Т</t>
  </si>
  <si>
    <t>96-1 Т</t>
  </si>
  <si>
    <t>99-1 Т</t>
  </si>
  <si>
    <t>100-1 Т</t>
  </si>
  <si>
    <t>101-1 Т</t>
  </si>
  <si>
    <t>102-1 Т</t>
  </si>
  <si>
    <t>105-1 Т</t>
  </si>
  <si>
    <t>106-1 Т</t>
  </si>
  <si>
    <t>107-1 Т</t>
  </si>
  <si>
    <t>114-1 Т</t>
  </si>
  <si>
    <t>май- июнь 2014г.</t>
  </si>
  <si>
    <t>115-1 Т</t>
  </si>
  <si>
    <t>116-1 Т</t>
  </si>
  <si>
    <t>117-1 Т</t>
  </si>
  <si>
    <t>119-1 Т</t>
  </si>
  <si>
    <t>121-1 Т</t>
  </si>
  <si>
    <t>122-1 Т</t>
  </si>
  <si>
    <t xml:space="preserve"> апрель- май  2014г.</t>
  </si>
  <si>
    <t>123-1 Т</t>
  </si>
  <si>
    <t>апрель- май  2014г.</t>
  </si>
  <si>
    <t>124-1 Т</t>
  </si>
  <si>
    <t>125-1 Т</t>
  </si>
  <si>
    <t>126-1 Т</t>
  </si>
  <si>
    <t>127-1 Т</t>
  </si>
  <si>
    <t>128-1 Т</t>
  </si>
  <si>
    <t>март, май  2014г.</t>
  </si>
  <si>
    <t>129-1 Т</t>
  </si>
  <si>
    <t>апрель- май 2014г.</t>
  </si>
  <si>
    <t>131-1 Т</t>
  </si>
  <si>
    <t>132-1 Т</t>
  </si>
  <si>
    <t>март, апрель  2014г.</t>
  </si>
  <si>
    <t>133-1 Т</t>
  </si>
  <si>
    <t>март, май 2014г.</t>
  </si>
  <si>
    <t>135-1 Т</t>
  </si>
  <si>
    <t>136-1 Т</t>
  </si>
  <si>
    <t>139-1 Т</t>
  </si>
  <si>
    <t>149-1 Т</t>
  </si>
  <si>
    <t>193-1 Т</t>
  </si>
  <si>
    <t>213-1 Т</t>
  </si>
  <si>
    <t>219-1 Т</t>
  </si>
  <si>
    <t>223-1 Т</t>
  </si>
  <si>
    <t>11,12,14</t>
  </si>
  <si>
    <t>225-1 Т</t>
  </si>
  <si>
    <t>229-1 Т</t>
  </si>
  <si>
    <t>230-1 Т</t>
  </si>
  <si>
    <t>231-1 Т</t>
  </si>
  <si>
    <t>233-1 Т</t>
  </si>
  <si>
    <t>237-1 Т</t>
  </si>
  <si>
    <t>238-1 Т</t>
  </si>
  <si>
    <t>239-1 Т</t>
  </si>
  <si>
    <t>250-1 Т</t>
  </si>
  <si>
    <t>254-1 Т</t>
  </si>
  <si>
    <t>260-1 Т</t>
  </si>
  <si>
    <t>264-2 Т</t>
  </si>
  <si>
    <t>май-июнь  2014г.</t>
  </si>
  <si>
    <t>265-2 Т</t>
  </si>
  <si>
    <t>266-1 Т</t>
  </si>
  <si>
    <t>267-1 Т</t>
  </si>
  <si>
    <t>277-1 Т</t>
  </si>
  <si>
    <t>284-1 Т</t>
  </si>
  <si>
    <t>285-1 Т</t>
  </si>
  <si>
    <t>286-1 Т</t>
  </si>
  <si>
    <t>287-1 Т</t>
  </si>
  <si>
    <t>288-1 Т</t>
  </si>
  <si>
    <t>289-1 Т</t>
  </si>
  <si>
    <t>290-1 Т</t>
  </si>
  <si>
    <t>291-1 Т</t>
  </si>
  <si>
    <t>292-1 Т</t>
  </si>
  <si>
    <t>293-1 Т</t>
  </si>
  <si>
    <t>294-1 Т</t>
  </si>
  <si>
    <t>295-1 Т</t>
  </si>
  <si>
    <t>296-1 Т</t>
  </si>
  <si>
    <t>297-1 Т</t>
  </si>
  <si>
    <t>298-1 Т</t>
  </si>
  <si>
    <t>299-1 Т</t>
  </si>
  <si>
    <t>300-1 Т</t>
  </si>
  <si>
    <t>301-1 Т</t>
  </si>
  <si>
    <t>302-1 Т</t>
  </si>
  <si>
    <t>303-1 Т</t>
  </si>
  <si>
    <t>321-1 Т</t>
  </si>
  <si>
    <t>320-1 Т</t>
  </si>
  <si>
    <t>322-1 Т</t>
  </si>
  <si>
    <t>323-1 Т</t>
  </si>
  <si>
    <t>325-1 Т</t>
  </si>
  <si>
    <t>326-1 Т</t>
  </si>
  <si>
    <t>327-1 Т</t>
  </si>
  <si>
    <t>328-1 Т</t>
  </si>
  <si>
    <t>330-1 Т</t>
  </si>
  <si>
    <t>331-1 Т</t>
  </si>
  <si>
    <t>333-1 Т</t>
  </si>
  <si>
    <t>335-1 Т</t>
  </si>
  <si>
    <t>338-1 Т</t>
  </si>
  <si>
    <t>339-1 Т</t>
  </si>
  <si>
    <t>340-1 Т</t>
  </si>
  <si>
    <t>341-2 Т</t>
  </si>
  <si>
    <t>342-1 Т</t>
  </si>
  <si>
    <t>343-1 Т</t>
  </si>
  <si>
    <t>349-1 Т</t>
  </si>
  <si>
    <t>352-1 Т</t>
  </si>
  <si>
    <t>353-1 Т</t>
  </si>
  <si>
    <t>355-2 Т</t>
  </si>
  <si>
    <t>356-2 Т</t>
  </si>
  <si>
    <t>357-1 Т</t>
  </si>
  <si>
    <t>апрель -май 2014г.</t>
  </si>
  <si>
    <t>362-1 Т</t>
  </si>
  <si>
    <t>363-1 Т</t>
  </si>
  <si>
    <t>364-1 Т</t>
  </si>
  <si>
    <t>367-1 Т</t>
  </si>
  <si>
    <t>368-1 Т</t>
  </si>
  <si>
    <t>369-1 Т</t>
  </si>
  <si>
    <t>373-2 Т</t>
  </si>
  <si>
    <t>374-2 Т</t>
  </si>
  <si>
    <t>375-2 Т</t>
  </si>
  <si>
    <t>386-1 Т</t>
  </si>
  <si>
    <t>387-1 Т</t>
  </si>
  <si>
    <t>388-1 Т</t>
  </si>
  <si>
    <t>389-1 Т</t>
  </si>
  <si>
    <t>390-1 Т</t>
  </si>
  <si>
    <t>391-1 Т</t>
  </si>
  <si>
    <t>392-1 Т</t>
  </si>
  <si>
    <t>395-1 Т</t>
  </si>
  <si>
    <t>396-1 Т</t>
  </si>
  <si>
    <t>397-1 Т</t>
  </si>
  <si>
    <t>398-1 Т</t>
  </si>
  <si>
    <t>399-1 Т</t>
  </si>
  <si>
    <t>апрель -май  2014г.</t>
  </si>
  <si>
    <t>422-1 Т</t>
  </si>
  <si>
    <t>423-1 Т</t>
  </si>
  <si>
    <t>424-1 Т</t>
  </si>
  <si>
    <t>425-1 Т</t>
  </si>
  <si>
    <t>426-1 Т</t>
  </si>
  <si>
    <t>429-1 Т</t>
  </si>
  <si>
    <t>430-1 Т</t>
  </si>
  <si>
    <t>431-1 Т</t>
  </si>
  <si>
    <t>432-1 Т</t>
  </si>
  <si>
    <t>433-1 Т</t>
  </si>
  <si>
    <t>434-1 Т</t>
  </si>
  <si>
    <t>435-1 Т</t>
  </si>
  <si>
    <t>436-1 Т</t>
  </si>
  <si>
    <t>450-1 Т</t>
  </si>
  <si>
    <t>февраль,  апрель- май 2014г.</t>
  </si>
  <si>
    <t>452-1 Т</t>
  </si>
  <si>
    <t>454-1 Т</t>
  </si>
  <si>
    <t>февраль,  апрель- май  2014г.</t>
  </si>
  <si>
    <t>457-1 Т</t>
  </si>
  <si>
    <t>458-1 Т</t>
  </si>
  <si>
    <t>460-1 Т</t>
  </si>
  <si>
    <t>февраль, март-апрель  2014г.</t>
  </si>
  <si>
    <t>461-1 Т</t>
  </si>
  <si>
    <t>FCA</t>
  </si>
  <si>
    <t>по месту нахождения потенциального поставщика</t>
  </si>
  <si>
    <t>март, апрель- май 2014г.</t>
  </si>
  <si>
    <t>11,12,13,22</t>
  </si>
  <si>
    <t>462-1 Т</t>
  </si>
  <si>
    <t>апрель-май  2014г.</t>
  </si>
  <si>
    <t>463-1 Т</t>
  </si>
  <si>
    <t>464-1 Т</t>
  </si>
  <si>
    <t>465-1 Т</t>
  </si>
  <si>
    <t>466-1 Т</t>
  </si>
  <si>
    <t>934-1 Т</t>
  </si>
  <si>
    <t>935-1 Т</t>
  </si>
  <si>
    <t>470-1 Т</t>
  </si>
  <si>
    <t>467-1 Т</t>
  </si>
  <si>
    <t>468-1 Т</t>
  </si>
  <si>
    <t>469-1 Т</t>
  </si>
  <si>
    <t>471-1 Т</t>
  </si>
  <si>
    <t>472-1 Т</t>
  </si>
  <si>
    <t>473-1 Т</t>
  </si>
  <si>
    <t>474-1 Т</t>
  </si>
  <si>
    <t>477-1 Т</t>
  </si>
  <si>
    <t>478-1 Т</t>
  </si>
  <si>
    <t>479-1 Т</t>
  </si>
  <si>
    <t>481-1 Т</t>
  </si>
  <si>
    <t>482-1 Т</t>
  </si>
  <si>
    <t>488-1 Т</t>
  </si>
  <si>
    <t>489-1 Т</t>
  </si>
  <si>
    <t>490-1 Т</t>
  </si>
  <si>
    <t>491-1 Т</t>
  </si>
  <si>
    <t>492-2 Т</t>
  </si>
  <si>
    <t>493-1 Т</t>
  </si>
  <si>
    <t>494-1 Т</t>
  </si>
  <si>
    <t>495-1 Т</t>
  </si>
  <si>
    <t>497-2 Т</t>
  </si>
  <si>
    <t>498-2 Т</t>
  </si>
  <si>
    <t>499-2Т</t>
  </si>
  <si>
    <t>500-2 Т</t>
  </si>
  <si>
    <t>апрель- май   2014г.</t>
  </si>
  <si>
    <t>501-2 Т</t>
  </si>
  <si>
    <t>апрель  - май 2014г.</t>
  </si>
  <si>
    <t>502-1 Т</t>
  </si>
  <si>
    <t>503-1 Т</t>
  </si>
  <si>
    <t>504-2 Т</t>
  </si>
  <si>
    <t>505-1 Т</t>
  </si>
  <si>
    <t>506-2 Т</t>
  </si>
  <si>
    <t>507-2 Т</t>
  </si>
  <si>
    <t>508-1 Т</t>
  </si>
  <si>
    <t>509-1 Т</t>
  </si>
  <si>
    <t>510-1 Т</t>
  </si>
  <si>
    <t>511-1 Т</t>
  </si>
  <si>
    <t>514-1 Т</t>
  </si>
  <si>
    <t>515-1 Т</t>
  </si>
  <si>
    <t>516-1 Т</t>
  </si>
  <si>
    <t>517-1 Т</t>
  </si>
  <si>
    <t>518-1 Т</t>
  </si>
  <si>
    <t>519-1 Т</t>
  </si>
  <si>
    <t>520-1 Т</t>
  </si>
  <si>
    <t>521-1 Т</t>
  </si>
  <si>
    <t>523-1 Т</t>
  </si>
  <si>
    <t>524-1 Т</t>
  </si>
  <si>
    <t>525-1 Т</t>
  </si>
  <si>
    <t>529-1 Т</t>
  </si>
  <si>
    <t>543-1 Т</t>
  </si>
  <si>
    <t>11,12,13</t>
  </si>
  <si>
    <t>январь, апрель-май  2014г.</t>
  </si>
  <si>
    <t>не более 60 календарных  дней с даты заключения договора</t>
  </si>
  <si>
    <t>11,12,14,22</t>
  </si>
  <si>
    <t>526-2 Т</t>
  </si>
  <si>
    <t>11,14,22</t>
  </si>
  <si>
    <t>544-1 Т</t>
  </si>
  <si>
    <t>545-1 Т</t>
  </si>
  <si>
    <t>546-1 Т</t>
  </si>
  <si>
    <t>547-1 Т</t>
  </si>
  <si>
    <t>548-1 Т</t>
  </si>
  <si>
    <t>549-1 Т</t>
  </si>
  <si>
    <t>550-1 Т</t>
  </si>
  <si>
    <t>551-1 Т</t>
  </si>
  <si>
    <t>552-1 Т</t>
  </si>
  <si>
    <t>553-1 Т</t>
  </si>
  <si>
    <t>554-1 Т</t>
  </si>
  <si>
    <t>555-1 Т</t>
  </si>
  <si>
    <t>556-1 Т</t>
  </si>
  <si>
    <t>557-1 Т</t>
  </si>
  <si>
    <t>558-1 Т</t>
  </si>
  <si>
    <t>559-2 Т</t>
  </si>
  <si>
    <t>560-1 Т</t>
  </si>
  <si>
    <t>561-1 Т</t>
  </si>
  <si>
    <t>562-1 Т</t>
  </si>
  <si>
    <t>563-1 Т</t>
  </si>
  <si>
    <t>564-1 Т</t>
  </si>
  <si>
    <t>565-1 Т</t>
  </si>
  <si>
    <t>566-1 Т</t>
  </si>
  <si>
    <t>567-1 Т</t>
  </si>
  <si>
    <t>568-1 Т</t>
  </si>
  <si>
    <t>569-1 Т</t>
  </si>
  <si>
    <t>570-1 Т</t>
  </si>
  <si>
    <t>571-1 Т</t>
  </si>
  <si>
    <t>572-1 Т</t>
  </si>
  <si>
    <t>573-1 Т</t>
  </si>
  <si>
    <t>577-1 Т</t>
  </si>
  <si>
    <t>578-1 Т</t>
  </si>
  <si>
    <t>579-1 Т</t>
  </si>
  <si>
    <t>580-1 Т</t>
  </si>
  <si>
    <t>581-1 Т</t>
  </si>
  <si>
    <t>582-1 Т</t>
  </si>
  <si>
    <t>583-1 Т</t>
  </si>
  <si>
    <t>584-1 Т</t>
  </si>
  <si>
    <t>585-1 Т</t>
  </si>
  <si>
    <t>586-1 Т</t>
  </si>
  <si>
    <t>587-1 Т</t>
  </si>
  <si>
    <t>588-1 Т</t>
  </si>
  <si>
    <t>589-1 Т</t>
  </si>
  <si>
    <t>590-1 Т</t>
  </si>
  <si>
    <t>591-1 Т</t>
  </si>
  <si>
    <t>594-2 Т</t>
  </si>
  <si>
    <t>596-1 Т</t>
  </si>
  <si>
    <t>619-1 Т</t>
  </si>
  <si>
    <t>апрель -май 2014г</t>
  </si>
  <si>
    <t>620-1 Т</t>
  </si>
  <si>
    <t>621-1 Т</t>
  </si>
  <si>
    <t>622-1 Т</t>
  </si>
  <si>
    <t>675-1 Т</t>
  </si>
  <si>
    <t>апрель- май  2014г</t>
  </si>
  <si>
    <t>676-1 Т</t>
  </si>
  <si>
    <t>677-1 Т</t>
  </si>
  <si>
    <t>678-1 Т</t>
  </si>
  <si>
    <t>679-1 Т</t>
  </si>
  <si>
    <t>680-1 Т</t>
  </si>
  <si>
    <t>681-1 Т</t>
  </si>
  <si>
    <t>682-1 Т</t>
  </si>
  <si>
    <t>683-1 Т</t>
  </si>
  <si>
    <t>684-1 Т</t>
  </si>
  <si>
    <t>685-1 Т</t>
  </si>
  <si>
    <t>686-1 Т</t>
  </si>
  <si>
    <t>687-1 Т</t>
  </si>
  <si>
    <t>688-1Т</t>
  </si>
  <si>
    <t>689-1 Т</t>
  </si>
  <si>
    <t>690-1 Т</t>
  </si>
  <si>
    <t>691-1 Т</t>
  </si>
  <si>
    <t>692-1 Т</t>
  </si>
  <si>
    <t>693-1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</si>
  <si>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</si>
  <si>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</si>
  <si>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</si>
  <si>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</si>
  <si>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</si>
  <si>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</si>
  <si>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</si>
  <si>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</si>
  <si>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</si>
  <si>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</si>
  <si>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</si>
  <si>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</si>
  <si>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</si>
  <si>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</si>
  <si>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</si>
  <si>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</si>
  <si>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</si>
  <si>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</si>
  <si>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729-1 Т</t>
  </si>
  <si>
    <t>730-1 Т</t>
  </si>
  <si>
    <t>731-1 Т</t>
  </si>
  <si>
    <t>732-1 Т</t>
  </si>
  <si>
    <t>18-1 Р</t>
  </si>
  <si>
    <t>9-1 Р</t>
  </si>
  <si>
    <t>20-1 Р</t>
  </si>
  <si>
    <t>с даты вступления в силу договора по 31.10.2014г, по заявке Заказчика</t>
  </si>
  <si>
    <t>21-1 Р</t>
  </si>
  <si>
    <t>14-1 Р</t>
  </si>
  <si>
    <t>22-1 Р</t>
  </si>
  <si>
    <t>19-1 Р</t>
  </si>
  <si>
    <t>733-1 Т</t>
  </si>
  <si>
    <t>734-1 Т</t>
  </si>
  <si>
    <t>735-1 Т</t>
  </si>
  <si>
    <t>736-1 Т</t>
  </si>
  <si>
    <t>737-1 Т</t>
  </si>
  <si>
    <t>738-1 Т</t>
  </si>
  <si>
    <t>739-1 Т</t>
  </si>
  <si>
    <t>740-1 Т</t>
  </si>
  <si>
    <t>741-1 Т</t>
  </si>
  <si>
    <t>742-1 Т</t>
  </si>
  <si>
    <t>743-1 Т</t>
  </si>
  <si>
    <t>744-1 Т</t>
  </si>
  <si>
    <t>745-1 Т</t>
  </si>
  <si>
    <t>598-1 Т</t>
  </si>
  <si>
    <t>746-1 Т</t>
  </si>
  <si>
    <t>747-1 Т</t>
  </si>
  <si>
    <t>748-1 Т</t>
  </si>
  <si>
    <t>749-1 Т</t>
  </si>
  <si>
    <t>750-1 Т</t>
  </si>
  <si>
    <t>771-1 Т</t>
  </si>
  <si>
    <t>Апрель- май  2014г</t>
  </si>
  <si>
    <t>772-1 Т</t>
  </si>
  <si>
    <t>773-1 Т</t>
  </si>
  <si>
    <t>774-1 Т</t>
  </si>
  <si>
    <t>775-1 Т</t>
  </si>
  <si>
    <t>776-1 Т</t>
  </si>
  <si>
    <t>777-1 Т</t>
  </si>
  <si>
    <t>778-1 Т</t>
  </si>
  <si>
    <t>1-1 Р</t>
  </si>
  <si>
    <t>в течение 150 календарных дней   с даты подписания  договора</t>
  </si>
  <si>
    <t>2-1 Р</t>
  </si>
  <si>
    <t>8-1 Р</t>
  </si>
  <si>
    <t xml:space="preserve"> март, апрель-май</t>
  </si>
  <si>
    <t>апрель, май-июнь</t>
  </si>
  <si>
    <t>10-1 Р</t>
  </si>
  <si>
    <t>11-1 Р</t>
  </si>
  <si>
    <t>12-1 Р</t>
  </si>
  <si>
    <t>13-1 Р</t>
  </si>
  <si>
    <t>15-1 Р</t>
  </si>
  <si>
    <t>16-1 Р</t>
  </si>
  <si>
    <t>17-1 Р</t>
  </si>
  <si>
    <t>2-1 У</t>
  </si>
  <si>
    <t>февраль, август</t>
  </si>
  <si>
    <t>4-1 У</t>
  </si>
  <si>
    <t>98-1 У</t>
  </si>
  <si>
    <t>декабрь 2013г,  апрель  2014г</t>
  </si>
  <si>
    <t>99-1 У</t>
  </si>
  <si>
    <t>100-1 У</t>
  </si>
  <si>
    <t>101-1 У</t>
  </si>
  <si>
    <t>3177-1 Т</t>
  </si>
  <si>
    <t>3178-1 Т</t>
  </si>
  <si>
    <t>3179-1 Т</t>
  </si>
  <si>
    <t>3180-1 Т</t>
  </si>
  <si>
    <t>3181-1 Т</t>
  </si>
  <si>
    <t>3182-1 Т</t>
  </si>
  <si>
    <t>3210-1 Т</t>
  </si>
  <si>
    <t>1243-2 Т</t>
  </si>
  <si>
    <t>1242-2 Т</t>
  </si>
  <si>
    <t>610-1 Т</t>
  </si>
  <si>
    <t>Апрель- май 2014г</t>
  </si>
  <si>
    <t>611-1 Т</t>
  </si>
  <si>
    <t>612-1 Т</t>
  </si>
  <si>
    <t>613-1 Т</t>
  </si>
  <si>
    <t>614-1 Т</t>
  </si>
  <si>
    <t>615-1 Т</t>
  </si>
  <si>
    <t>616-1 Т</t>
  </si>
  <si>
    <t>617-1 Т</t>
  </si>
  <si>
    <t>618-1 Т</t>
  </si>
  <si>
    <t>670-1 Т</t>
  </si>
  <si>
    <t>671-1 Т</t>
  </si>
  <si>
    <t>672-1 Т</t>
  </si>
  <si>
    <t>673-1 Т</t>
  </si>
  <si>
    <t>674-1 Т</t>
  </si>
  <si>
    <t>751-1 Т</t>
  </si>
  <si>
    <t>752-1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</si>
  <si>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</si>
  <si>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</si>
  <si>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</si>
  <si>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</si>
  <si>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</si>
  <si>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</si>
  <si>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</si>
  <si>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</si>
  <si>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</si>
  <si>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</si>
  <si>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</si>
  <si>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</si>
  <si>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</si>
  <si>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</si>
  <si>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</si>
  <si>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</si>
  <si>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</si>
  <si>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</si>
  <si>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779-1 Т</t>
  </si>
  <si>
    <t>780-1 Т</t>
  </si>
  <si>
    <t>781-1 Т</t>
  </si>
  <si>
    <t>782-1 Т</t>
  </si>
  <si>
    <t>783-1 Т</t>
  </si>
  <si>
    <t>784-1 Т</t>
  </si>
  <si>
    <t>785-1 Т</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</si>
  <si>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</si>
  <si>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</si>
  <si>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</si>
  <si>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</si>
  <si>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</si>
  <si>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</si>
  <si>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</si>
  <si>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</si>
  <si>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</si>
  <si>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</si>
  <si>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</si>
  <si>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</si>
  <si>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</si>
  <si>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</si>
  <si>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</si>
  <si>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</si>
  <si>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</si>
  <si>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</si>
  <si>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</si>
  <si>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</si>
  <si>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</si>
  <si>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</si>
  <si>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</si>
  <si>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</si>
  <si>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</si>
  <si>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</si>
  <si>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</si>
  <si>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</si>
  <si>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</si>
  <si>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</si>
  <si>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</si>
  <si>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</si>
  <si>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</si>
  <si>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</si>
  <si>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</si>
  <si>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</si>
  <si>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</si>
  <si>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</si>
  <si>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</si>
  <si>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</si>
  <si>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</si>
  <si>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</si>
  <si>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</si>
  <si>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</si>
  <si>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</si>
  <si>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</si>
  <si>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</si>
  <si>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</si>
  <si>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</si>
  <si>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</si>
  <si>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</si>
  <si>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</si>
  <si>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</si>
  <si>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</si>
  <si>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</si>
  <si>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</si>
  <si>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</si>
  <si>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</si>
  <si>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</si>
  <si>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</si>
  <si>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</si>
  <si>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</si>
  <si>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</si>
  <si>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</si>
  <si>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</si>
  <si>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</si>
  <si>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</si>
  <si>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</si>
  <si>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</si>
  <si>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</si>
  <si>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</si>
  <si>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</si>
  <si>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858-1 Т</t>
  </si>
  <si>
    <t>859-1 Т</t>
  </si>
  <si>
    <t>860-1 Т</t>
  </si>
  <si>
    <t>861-1 Т</t>
  </si>
  <si>
    <t>862-1 Т</t>
  </si>
  <si>
    <t>863-1 Т</t>
  </si>
  <si>
    <t>864-1 Т</t>
  </si>
  <si>
    <t>865-1 Т</t>
  </si>
  <si>
    <t>866-1 Т</t>
  </si>
  <si>
    <t>867-1 Т</t>
  </si>
  <si>
    <t>868-1 Т</t>
  </si>
  <si>
    <t>869-1 Т</t>
  </si>
  <si>
    <t>870-1 Т</t>
  </si>
  <si>
    <t>871-1Т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</si>
  <si>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</si>
  <si>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</si>
  <si>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</si>
  <si>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</si>
  <si>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</si>
  <si>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</si>
  <si>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</si>
  <si>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</si>
  <si>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</si>
  <si>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</si>
  <si>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</si>
  <si>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</si>
  <si>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</si>
  <si>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</si>
  <si>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</si>
  <si>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</si>
  <si>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</si>
  <si>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</si>
  <si>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</si>
  <si>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891-1 Т</t>
  </si>
  <si>
    <t>892-1 Т</t>
  </si>
  <si>
    <t>893-1 Т</t>
  </si>
  <si>
    <t>894-1 Т</t>
  </si>
  <si>
    <t>895-1 Т</t>
  </si>
  <si>
    <t>896-1 Т</t>
  </si>
  <si>
    <t>897-1 Т</t>
  </si>
  <si>
    <t>898-1 Т</t>
  </si>
  <si>
    <t>899-1 Т</t>
  </si>
  <si>
    <t>900-1 Т</t>
  </si>
  <si>
    <t>901-1 Т</t>
  </si>
  <si>
    <t>902-1 Т</t>
  </si>
  <si>
    <t>903-1 Т</t>
  </si>
  <si>
    <t>904-1 Т</t>
  </si>
  <si>
    <t>905-1 Т</t>
  </si>
  <si>
    <t>906-1 Т</t>
  </si>
  <si>
    <t>907-1 Т</t>
  </si>
  <si>
    <t>908-1 Т</t>
  </si>
  <si>
    <t>909-1 Т</t>
  </si>
  <si>
    <t>910-1 Т</t>
  </si>
  <si>
    <t>911-1 Т</t>
  </si>
  <si>
    <t>925-1 Т</t>
  </si>
  <si>
    <t>7,12,14</t>
  </si>
  <si>
    <t>912-1 Т</t>
  </si>
  <si>
    <t>913-1 Т</t>
  </si>
  <si>
    <t>914-1 Т</t>
  </si>
  <si>
    <t>915-1 Т</t>
  </si>
  <si>
    <t>916-1 Т</t>
  </si>
  <si>
    <t>917-1 Т</t>
  </si>
  <si>
    <t>918-1 Т</t>
  </si>
  <si>
    <t>919-1 Т</t>
  </si>
  <si>
    <t>920-1 Т</t>
  </si>
  <si>
    <t>921-1 Т</t>
  </si>
  <si>
    <t>922-1 Т</t>
  </si>
  <si>
    <t>923-1 Т</t>
  </si>
  <si>
    <t>924-1 Т</t>
  </si>
  <si>
    <t>2826-1 Т</t>
  </si>
  <si>
    <t>апрель,  май</t>
  </si>
  <si>
    <t>1747-1 Т</t>
  </si>
  <si>
    <t>1748-1 Т</t>
  </si>
  <si>
    <t>1749-1 Т</t>
  </si>
  <si>
    <t>1750-1 Т</t>
  </si>
  <si>
    <t>1751-1 Т</t>
  </si>
  <si>
    <t>1752-1 Т</t>
  </si>
  <si>
    <t>1753-1 Т</t>
  </si>
  <si>
    <t>1754-1 Т</t>
  </si>
  <si>
    <t>1755-1 Т</t>
  </si>
  <si>
    <t>1756-1 Т</t>
  </si>
  <si>
    <t>1757-1 Т</t>
  </si>
  <si>
    <t>1758-1 Т</t>
  </si>
  <si>
    <t>1759-1 Т</t>
  </si>
  <si>
    <t>1760-1 Т</t>
  </si>
  <si>
    <t>1761-1 Т</t>
  </si>
  <si>
    <t>1762-1 Т</t>
  </si>
  <si>
    <t>1763-1 Т</t>
  </si>
  <si>
    <t>1764-1 Т</t>
  </si>
  <si>
    <t>1765-1 Т</t>
  </si>
  <si>
    <t>1766-1 Т</t>
  </si>
  <si>
    <t>1767-1 Т</t>
  </si>
  <si>
    <t>1768-1 Т</t>
  </si>
  <si>
    <t>1769-1 Т</t>
  </si>
  <si>
    <t>1770-1 Т</t>
  </si>
  <si>
    <t>1771-1 Т</t>
  </si>
  <si>
    <t>1772-1 Т</t>
  </si>
  <si>
    <t>1773-1 Т</t>
  </si>
  <si>
    <t>1774-1 Т</t>
  </si>
  <si>
    <t>1775-1 Т</t>
  </si>
  <si>
    <t>1776-1 Т</t>
  </si>
  <si>
    <t>1777-1 Т</t>
  </si>
  <si>
    <t>1778-1 Т</t>
  </si>
  <si>
    <t>1779-1 Т</t>
  </si>
  <si>
    <t>1780-1 Т</t>
  </si>
  <si>
    <t>1781-1 Т</t>
  </si>
  <si>
    <t>1782-1 Т</t>
  </si>
  <si>
    <t>1783-1 Т</t>
  </si>
  <si>
    <t>1784-1 Т</t>
  </si>
  <si>
    <t>1785-1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</si>
  <si>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</si>
  <si>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</si>
  <si>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</si>
  <si>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</si>
  <si>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</si>
  <si>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</si>
  <si>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</si>
  <si>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</si>
  <si>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</si>
  <si>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</si>
  <si>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</si>
  <si>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</si>
  <si>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</si>
  <si>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</si>
  <si>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</si>
  <si>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</si>
  <si>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</si>
  <si>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</si>
  <si>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</si>
  <si>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</si>
  <si>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1806-1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</si>
  <si>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</si>
  <si>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</si>
  <si>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</si>
  <si>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</si>
  <si>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</si>
  <si>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</si>
  <si>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</si>
  <si>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</si>
  <si>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</si>
  <si>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</si>
  <si>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</si>
  <si>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</si>
  <si>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</si>
  <si>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</si>
  <si>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</si>
  <si>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</si>
  <si>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</si>
  <si>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</si>
  <si>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</si>
  <si>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</si>
  <si>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1827-1 Т</t>
  </si>
  <si>
    <t>1828-1 Т</t>
  </si>
  <si>
    <t>1829-1 Т</t>
  </si>
  <si>
    <t>1830-1 Т</t>
  </si>
  <si>
    <t>1832-1 Т</t>
  </si>
  <si>
    <t>1833-1 Т</t>
  </si>
  <si>
    <t>1834-1 Т</t>
  </si>
  <si>
    <t>1835-1 Т</t>
  </si>
  <si>
    <t>1836-1 Т</t>
  </si>
  <si>
    <t>1837-1 Т</t>
  </si>
  <si>
    <t>1838-1 Т</t>
  </si>
  <si>
    <t>1839-1 Т</t>
  </si>
  <si>
    <t>1840-1 Т</t>
  </si>
  <si>
    <t>1841-1 Т</t>
  </si>
  <si>
    <t>1842-1 Т</t>
  </si>
  <si>
    <t>1843-1 Т</t>
  </si>
  <si>
    <t>1844-1 Т</t>
  </si>
  <si>
    <t>1845-1 Т</t>
  </si>
  <si>
    <t>1846-1Т</t>
  </si>
  <si>
    <t>1847-1 Т</t>
  </si>
  <si>
    <t>1848-1 Т</t>
  </si>
  <si>
    <t>1849-1 Т</t>
  </si>
  <si>
    <t>1850 -1 Т</t>
  </si>
  <si>
    <t>1851-1 Т</t>
  </si>
  <si>
    <t>1852-1 Т</t>
  </si>
  <si>
    <t>1853-1 Т</t>
  </si>
  <si>
    <t>1854-1 Т</t>
  </si>
  <si>
    <t>1855-1 Т</t>
  </si>
  <si>
    <t>1856-1 Т</t>
  </si>
  <si>
    <t>1857-1 Т</t>
  </si>
  <si>
    <t>1858-1 Т</t>
  </si>
  <si>
    <t>1859-1 Т</t>
  </si>
  <si>
    <t>1860-1 Т</t>
  </si>
  <si>
    <t>1861-1 Т</t>
  </si>
  <si>
    <t>1862-1 Т</t>
  </si>
  <si>
    <t>1863-1 Т</t>
  </si>
  <si>
    <t>1864-1 Т</t>
  </si>
  <si>
    <t>1865-1 Т</t>
  </si>
  <si>
    <t>1866-1 Т</t>
  </si>
  <si>
    <t>1867-1 Т</t>
  </si>
  <si>
    <t>1868-1 Т</t>
  </si>
  <si>
    <t>1869-1 Т</t>
  </si>
  <si>
    <t>1870-1 Т</t>
  </si>
  <si>
    <t>1871-1 Т</t>
  </si>
  <si>
    <t>1872-1 Т</t>
  </si>
  <si>
    <t>1873-1 Т</t>
  </si>
  <si>
    <t>1874-1 Т</t>
  </si>
  <si>
    <t>1875-1 Т</t>
  </si>
  <si>
    <t>1876-1 Т</t>
  </si>
  <si>
    <t>1877-1 Т</t>
  </si>
  <si>
    <t>1878-1 Т</t>
  </si>
  <si>
    <t>1879-1 Т</t>
  </si>
  <si>
    <t>1880-1 Т</t>
  </si>
  <si>
    <t>1881-1 Т</t>
  </si>
  <si>
    <t>1882-1 Т</t>
  </si>
  <si>
    <t>1883-1 Т</t>
  </si>
  <si>
    <t>1884-1 Т</t>
  </si>
  <si>
    <t>1885-1 Т</t>
  </si>
  <si>
    <t>1886-1 Т</t>
  </si>
  <si>
    <t>1887-1 Т</t>
  </si>
  <si>
    <t>1888-1 Т</t>
  </si>
  <si>
    <t>1889-1 Т</t>
  </si>
  <si>
    <t>1890-1 Т</t>
  </si>
  <si>
    <t>1891-1 Т</t>
  </si>
  <si>
    <t>1892-1 Т</t>
  </si>
  <si>
    <t>1893-1 Т</t>
  </si>
  <si>
    <t>1894-1 Т</t>
  </si>
  <si>
    <t>1895-1 Т</t>
  </si>
  <si>
    <t>1896-1 Т</t>
  </si>
  <si>
    <t>1897-1 Т</t>
  </si>
  <si>
    <t>1898-1 Т</t>
  </si>
  <si>
    <t>1899-1 Т</t>
  </si>
  <si>
    <t>1900-1 Т</t>
  </si>
  <si>
    <t>1901-1 Т</t>
  </si>
  <si>
    <t>1902-1 Т</t>
  </si>
  <si>
    <t>1903-1 Т</t>
  </si>
  <si>
    <t>1904-1 Т</t>
  </si>
  <si>
    <t>1905-1 Т</t>
  </si>
  <si>
    <t>1906-1 Т</t>
  </si>
  <si>
    <t>1907-1 Т</t>
  </si>
  <si>
    <t>1908-1 Т</t>
  </si>
  <si>
    <t>1909-1 Т</t>
  </si>
  <si>
    <t>1910-1 Т</t>
  </si>
  <si>
    <t>1911-1 Т</t>
  </si>
  <si>
    <t>1912-1 Т</t>
  </si>
  <si>
    <t>1913-1 Т</t>
  </si>
  <si>
    <t>1914-1 Т</t>
  </si>
  <si>
    <t>1915-1 Т</t>
  </si>
  <si>
    <t>1916-1 Т</t>
  </si>
  <si>
    <t>1917-1 Т</t>
  </si>
  <si>
    <t>1918-1 Т</t>
  </si>
  <si>
    <t>1919-1 Т</t>
  </si>
  <si>
    <t>1920-1 Т</t>
  </si>
  <si>
    <t>1921-1 Т</t>
  </si>
  <si>
    <t>1922-1 Т</t>
  </si>
  <si>
    <t>1923-1 Т</t>
  </si>
  <si>
    <t>1924-1 Т</t>
  </si>
  <si>
    <t>1925-1 Т</t>
  </si>
  <si>
    <t>1926-1 Т</t>
  </si>
  <si>
    <t>1927-1 Т</t>
  </si>
  <si>
    <t>1928-1 Т</t>
  </si>
  <si>
    <t>1929-1 Т</t>
  </si>
  <si>
    <t>1930-1 Т</t>
  </si>
  <si>
    <t>1931-1 Т</t>
  </si>
  <si>
    <t>1932-1 Т</t>
  </si>
  <si>
    <t>1933-1 Т</t>
  </si>
  <si>
    <t>1934-1 Т</t>
  </si>
  <si>
    <t>1935-1 Т</t>
  </si>
  <si>
    <t>1936-1 Т</t>
  </si>
  <si>
    <t>1937-1 Т</t>
  </si>
  <si>
    <t>1938-1 Т</t>
  </si>
  <si>
    <t>1939-1 Т</t>
  </si>
  <si>
    <t>1940-1Т</t>
  </si>
  <si>
    <t>1941-1 Т</t>
  </si>
  <si>
    <t>1942-1 Т</t>
  </si>
  <si>
    <t>1943-1 Т</t>
  </si>
  <si>
    <t>1944-1 Т</t>
  </si>
  <si>
    <t>1945-1 Т</t>
  </si>
  <si>
    <t>1946-1 Т</t>
  </si>
  <si>
    <t>1947-1 Т</t>
  </si>
  <si>
    <t>1948-1 Т</t>
  </si>
  <si>
    <t>1949-1 Т</t>
  </si>
  <si>
    <t>1950-1 Т</t>
  </si>
  <si>
    <t>1951-1 Т</t>
  </si>
  <si>
    <t>1952-1 Т</t>
  </si>
  <si>
    <t>1953-1 Т</t>
  </si>
  <si>
    <t>1954-1 Т</t>
  </si>
  <si>
    <t>1955-1 Т</t>
  </si>
  <si>
    <t>1956-1 Т</t>
  </si>
  <si>
    <t>1957-1 Т</t>
  </si>
  <si>
    <t>1958-1 Т</t>
  </si>
  <si>
    <t>1959-1 Т</t>
  </si>
  <si>
    <t>1960-1 Т</t>
  </si>
  <si>
    <t>1961-1 Т</t>
  </si>
  <si>
    <t>1962-1 Т</t>
  </si>
  <si>
    <t>1963-1 Т</t>
  </si>
  <si>
    <t>1964-1 Т</t>
  </si>
  <si>
    <t>1965-1 Т</t>
  </si>
  <si>
    <t>1966-1 Т</t>
  </si>
  <si>
    <t>1967-1 Т</t>
  </si>
  <si>
    <t>1968-1 Т</t>
  </si>
  <si>
    <t>1969-1 Т</t>
  </si>
  <si>
    <t>1970-1 Т</t>
  </si>
  <si>
    <t>1971-1 Т</t>
  </si>
  <si>
    <t>1972-1 Т</t>
  </si>
  <si>
    <t>1973-1 Т</t>
  </si>
  <si>
    <t>1974-1 Т</t>
  </si>
  <si>
    <t>1975-1 Т</t>
  </si>
  <si>
    <t>1976-1 Т</t>
  </si>
  <si>
    <t>1977-1 Т</t>
  </si>
  <si>
    <t>1978-1 Т</t>
  </si>
  <si>
    <t>1979-1 Т</t>
  </si>
  <si>
    <t>1980-1 Т</t>
  </si>
  <si>
    <t>1981-1 Т</t>
  </si>
  <si>
    <t>1982-1 Т</t>
  </si>
  <si>
    <t>1983-1 Т</t>
  </si>
  <si>
    <t>1984-1 Т</t>
  </si>
  <si>
    <t>1985-1 Т</t>
  </si>
  <si>
    <t>1986-1 Т</t>
  </si>
  <si>
    <t>1987-1 Т</t>
  </si>
  <si>
    <t>1988-1 Т</t>
  </si>
  <si>
    <t>1989-1 Т</t>
  </si>
  <si>
    <t>1990-1 Т</t>
  </si>
  <si>
    <t>1991-1 Т</t>
  </si>
  <si>
    <t>1992-1 Т</t>
  </si>
  <si>
    <t>1993-1 Т</t>
  </si>
  <si>
    <t>1994-1 Т</t>
  </si>
  <si>
    <t>1995-1 Т</t>
  </si>
  <si>
    <t>1996-1 Т</t>
  </si>
  <si>
    <t>1997-1 Т</t>
  </si>
  <si>
    <t>1998-1 Т</t>
  </si>
  <si>
    <t>1999-1 Т</t>
  </si>
  <si>
    <t>2000-1 Т</t>
  </si>
  <si>
    <t>2001-1 Т</t>
  </si>
  <si>
    <t>2002-1 Т</t>
  </si>
  <si>
    <t>2003-1 Т</t>
  </si>
  <si>
    <t>2004-1 Т</t>
  </si>
  <si>
    <t>2005-1 Т</t>
  </si>
  <si>
    <t>2006-1 Т</t>
  </si>
  <si>
    <t>2007-1 Т</t>
  </si>
  <si>
    <t>2008-1 Т</t>
  </si>
  <si>
    <t>2009-1 Т</t>
  </si>
  <si>
    <t>2010-1 Т</t>
  </si>
  <si>
    <t>2011-1 Т</t>
  </si>
  <si>
    <t>2012-1 Т</t>
  </si>
  <si>
    <t>2013-1 Т</t>
  </si>
  <si>
    <t>2014-1 Т</t>
  </si>
  <si>
    <t>2015-1 Т</t>
  </si>
  <si>
    <t>2016-1 Т</t>
  </si>
  <si>
    <t>2017-1 Т</t>
  </si>
  <si>
    <t>2018-1 Т</t>
  </si>
  <si>
    <t>2019-1 Т</t>
  </si>
  <si>
    <t>2020-1 Т</t>
  </si>
  <si>
    <t>2021-1 Т</t>
  </si>
  <si>
    <t>2022-1 Т</t>
  </si>
  <si>
    <t>2023-1 Т</t>
  </si>
  <si>
    <t>2024-1 Т</t>
  </si>
  <si>
    <t>2025-1 Т</t>
  </si>
  <si>
    <t>2026-1 Т</t>
  </si>
  <si>
    <t>2027-1 Т</t>
  </si>
  <si>
    <t>2028-1 Т</t>
  </si>
  <si>
    <t>2029-1 Т</t>
  </si>
  <si>
    <t>2030-1 Т</t>
  </si>
  <si>
    <t>2031-1 Т</t>
  </si>
  <si>
    <t>2032-1 Т</t>
  </si>
  <si>
    <t>2033-1 Т</t>
  </si>
  <si>
    <t>2034-1 Т</t>
  </si>
  <si>
    <t>2035-1 Т</t>
  </si>
  <si>
    <t>2036-1 Т</t>
  </si>
  <si>
    <t>2037-1 Т</t>
  </si>
  <si>
    <t>2038-1 Т</t>
  </si>
  <si>
    <t>2039-1 Т</t>
  </si>
  <si>
    <t>2040-1 Т</t>
  </si>
  <si>
    <t>2041-1 Т</t>
  </si>
  <si>
    <t>2042-1 Т</t>
  </si>
  <si>
    <t>22-1 У</t>
  </si>
  <si>
    <t>декабрь 2013г,  март- апрель   2014г</t>
  </si>
  <si>
    <t>936-1 Т</t>
  </si>
  <si>
    <t>март- апрель</t>
  </si>
  <si>
    <t>2043-1 Т</t>
  </si>
  <si>
    <t>2044-1 Т</t>
  </si>
  <si>
    <t>2045-1 Т</t>
  </si>
  <si>
    <t>2046-1 Т</t>
  </si>
  <si>
    <t>2047-1 Т</t>
  </si>
  <si>
    <t>2048-1 Т</t>
  </si>
  <si>
    <t>2049-1 Т</t>
  </si>
  <si>
    <t>2050-1 Т</t>
  </si>
  <si>
    <t>2051-1 Т</t>
  </si>
  <si>
    <t>2052-1 Т</t>
  </si>
  <si>
    <t>2053-1 Т</t>
  </si>
  <si>
    <t>2054-1 Т</t>
  </si>
  <si>
    <t>2055-1 Т</t>
  </si>
  <si>
    <t>2056-1 Т</t>
  </si>
  <si>
    <t>2057-1 Т</t>
  </si>
  <si>
    <t>2058-1 Т</t>
  </si>
  <si>
    <t>2059-1 Т</t>
  </si>
  <si>
    <t>2060-1 Т</t>
  </si>
  <si>
    <t>2061-1 Т</t>
  </si>
  <si>
    <t>2062-1 Т</t>
  </si>
  <si>
    <t>2063-1 Т</t>
  </si>
  <si>
    <t>2064-1 Т</t>
  </si>
  <si>
    <t>2065-1 Т</t>
  </si>
  <si>
    <t>2066-1 Т</t>
  </si>
  <si>
    <t>2067-1 Т</t>
  </si>
  <si>
    <t>2068-1 Т</t>
  </si>
  <si>
    <t>2069-1 Т</t>
  </si>
  <si>
    <t>2070-1 Т</t>
  </si>
  <si>
    <t>2071-1 Т</t>
  </si>
  <si>
    <t>2072-1 Т</t>
  </si>
  <si>
    <t>2073-1 Т</t>
  </si>
  <si>
    <t>2074-1 Т</t>
  </si>
  <si>
    <t>2075-1 Т</t>
  </si>
  <si>
    <t>2076-1 Т</t>
  </si>
  <si>
    <t>2077-1 Т</t>
  </si>
  <si>
    <t>2078-1 Т</t>
  </si>
  <si>
    <t>2079-1 Т</t>
  </si>
  <si>
    <t>2080-1 Т</t>
  </si>
  <si>
    <t>42-1 Р</t>
  </si>
  <si>
    <t>2081-1 Т</t>
  </si>
  <si>
    <t>2082-1 Т</t>
  </si>
  <si>
    <t>2083-1 Т</t>
  </si>
  <si>
    <t>2084-1 Т</t>
  </si>
  <si>
    <t>2085-1 Т</t>
  </si>
  <si>
    <t>2086-1 Т</t>
  </si>
  <si>
    <t>2087-1 Т</t>
  </si>
  <si>
    <t>2088-1 Т</t>
  </si>
  <si>
    <t>2089-1 Т</t>
  </si>
  <si>
    <t>2090-1 Т</t>
  </si>
  <si>
    <t>2091-1 Т</t>
  </si>
  <si>
    <t>2092-1 Т</t>
  </si>
  <si>
    <t>2093-1 Т</t>
  </si>
  <si>
    <t>992-1 Т</t>
  </si>
  <si>
    <t>993-1 Т</t>
  </si>
  <si>
    <t>994-1 Т</t>
  </si>
  <si>
    <t>995-1 Т</t>
  </si>
  <si>
    <t>997-1 Т</t>
  </si>
  <si>
    <t>1336-1 Т</t>
  </si>
  <si>
    <t>1337-1 Т</t>
  </si>
  <si>
    <t>1338-1 Т</t>
  </si>
  <si>
    <t>1339-1 Т</t>
  </si>
  <si>
    <t>1340-1 Т</t>
  </si>
  <si>
    <t>1341-1 Т</t>
  </si>
  <si>
    <t>1342-1 Т</t>
  </si>
  <si>
    <t>1343-1 Т</t>
  </si>
  <si>
    <t>1344-1 Т</t>
  </si>
  <si>
    <t>1345-1 Т</t>
  </si>
  <si>
    <t>1346-1 Т</t>
  </si>
  <si>
    <t>1347-1 Т</t>
  </si>
  <si>
    <t>1348-1 Т</t>
  </si>
  <si>
    <t>1349-1 Т</t>
  </si>
  <si>
    <t>1350-1 Т</t>
  </si>
  <si>
    <t>1351-1 Т</t>
  </si>
  <si>
    <t>1352-1 Т</t>
  </si>
  <si>
    <t>1353-1 Т</t>
  </si>
  <si>
    <t>1354-1 Т</t>
  </si>
  <si>
    <t>1355-1 Т</t>
  </si>
  <si>
    <t>1356-1 Т</t>
  </si>
  <si>
    <t>1357-1 Т</t>
  </si>
  <si>
    <t>1358 -1 Т</t>
  </si>
  <si>
    <t>1359-1 Т</t>
  </si>
  <si>
    <t>1360-1 Т</t>
  </si>
  <si>
    <t>1361-1 Т</t>
  </si>
  <si>
    <t>1362-1 Т</t>
  </si>
  <si>
    <t>1363-1 Т</t>
  </si>
  <si>
    <t>1364-1 Т</t>
  </si>
  <si>
    <t>1365-1 Т</t>
  </si>
  <si>
    <t>1366-1 Т</t>
  </si>
  <si>
    <t>1367-1 Т</t>
  </si>
  <si>
    <t>1368-1 Т</t>
  </si>
  <si>
    <t>1369-1 Т</t>
  </si>
  <si>
    <t>1371-1 Т</t>
  </si>
  <si>
    <t>1372-1 Т</t>
  </si>
  <si>
    <t>1373-1 Т</t>
  </si>
  <si>
    <t>1374-1 Т</t>
  </si>
  <si>
    <t>1375-1 Т</t>
  </si>
  <si>
    <t>1376-1 Т</t>
  </si>
  <si>
    <t>1377-1 Т</t>
  </si>
  <si>
    <t>1378-1 Т</t>
  </si>
  <si>
    <t>1379-1 Т</t>
  </si>
  <si>
    <t>1380-1 Т</t>
  </si>
  <si>
    <t>1381-1 Т</t>
  </si>
  <si>
    <t>1382-1 Т</t>
  </si>
  <si>
    <t>1383-1 Т</t>
  </si>
  <si>
    <t>1384-1 Т</t>
  </si>
  <si>
    <t>1385-1 Т</t>
  </si>
  <si>
    <t>1386-1 Т</t>
  </si>
  <si>
    <t>1387-1 Т</t>
  </si>
  <si>
    <t>1388 -1Т</t>
  </si>
  <si>
    <t>1389-1 Т</t>
  </si>
  <si>
    <t>1390-1 Т</t>
  </si>
  <si>
    <t>1391-1 Т</t>
  </si>
  <si>
    <t>1392-1 Т</t>
  </si>
  <si>
    <t>1393-1 Т</t>
  </si>
  <si>
    <t>1394-1 Т</t>
  </si>
  <si>
    <t>1395-1 Т</t>
  </si>
  <si>
    <t>1396-1 Т</t>
  </si>
  <si>
    <t>1397-1 Т</t>
  </si>
  <si>
    <t>1398-1 Т</t>
  </si>
  <si>
    <t>1399-1 Т</t>
  </si>
  <si>
    <t>1400-1 Т</t>
  </si>
  <si>
    <t>1401-1 Т</t>
  </si>
  <si>
    <t>1402-1 Т</t>
  </si>
  <si>
    <t>1403-1 Т</t>
  </si>
  <si>
    <t>1404-1 Т</t>
  </si>
  <si>
    <t>1405-1 Т</t>
  </si>
  <si>
    <t>1406-1 Т</t>
  </si>
  <si>
    <t>1407-1 Т</t>
  </si>
  <si>
    <t>1408-1 Т</t>
  </si>
  <si>
    <t>1409-1 Т</t>
  </si>
  <si>
    <t>1410-1 Т</t>
  </si>
  <si>
    <t>1411-1 Т</t>
  </si>
  <si>
    <t>1412-1 Т</t>
  </si>
  <si>
    <t>1413-1 Т</t>
  </si>
  <si>
    <t>1414-1 Т</t>
  </si>
  <si>
    <t>1415-1 Т</t>
  </si>
  <si>
    <t>1417- 1 Т</t>
  </si>
  <si>
    <t>1416-1 Т</t>
  </si>
  <si>
    <t>1418-1 Т</t>
  </si>
  <si>
    <t>1419-1 Т</t>
  </si>
  <si>
    <t>1420-1 Т</t>
  </si>
  <si>
    <t>1421-1 Т</t>
  </si>
  <si>
    <t>1422-1 Т</t>
  </si>
  <si>
    <t>1423-1 Т</t>
  </si>
  <si>
    <t>1424-1 Т</t>
  </si>
  <si>
    <t>1425-1 Т</t>
  </si>
  <si>
    <t>1426-1 Т</t>
  </si>
  <si>
    <t>1427-1 Т</t>
  </si>
  <si>
    <t>1428-1 Т</t>
  </si>
  <si>
    <t>1429-1 Т</t>
  </si>
  <si>
    <t>1430-1 Т</t>
  </si>
  <si>
    <t>1431-1 Т</t>
  </si>
  <si>
    <t>1432-1 Т</t>
  </si>
  <si>
    <t>1433-1 Т</t>
  </si>
  <si>
    <t>1434-1 Т</t>
  </si>
  <si>
    <t>1435-1 Т</t>
  </si>
  <si>
    <t>1436-1 Т</t>
  </si>
  <si>
    <t>1437-1 Т</t>
  </si>
  <si>
    <t>1438-1 Т</t>
  </si>
  <si>
    <t>1439-1 Т</t>
  </si>
  <si>
    <t>1440 -1 Т</t>
  </si>
  <si>
    <t>1441-1 Т</t>
  </si>
  <si>
    <t>1442-1 Т</t>
  </si>
  <si>
    <t>1443-1 Т</t>
  </si>
  <si>
    <t>1444-1 Т</t>
  </si>
  <si>
    <t>1445-1 Т</t>
  </si>
  <si>
    <t>1446-1 Т</t>
  </si>
  <si>
    <t>1447-1 Т</t>
  </si>
  <si>
    <t>1448-1 Т</t>
  </si>
  <si>
    <t>1449-1 Т</t>
  </si>
  <si>
    <t>1450-1 Т</t>
  </si>
  <si>
    <t>1451-1 Т</t>
  </si>
  <si>
    <t>1452-1 Т</t>
  </si>
  <si>
    <t>1453-1 Т</t>
  </si>
  <si>
    <t>1454-1 Т</t>
  </si>
  <si>
    <t>1455-1 Т</t>
  </si>
  <si>
    <t>1456 -1Т</t>
  </si>
  <si>
    <t>1457-1 Т</t>
  </si>
  <si>
    <t>1458-1 Т</t>
  </si>
  <si>
    <t>1459-1 Т</t>
  </si>
  <si>
    <t>1460-1 Т</t>
  </si>
  <si>
    <t>1461-1 Т</t>
  </si>
  <si>
    <t>1462-1 Т</t>
  </si>
  <si>
    <t>1463-1 Т</t>
  </si>
  <si>
    <t>1464-1 Т</t>
  </si>
  <si>
    <t>1465-1 Т</t>
  </si>
  <si>
    <t>1466-1 Т</t>
  </si>
  <si>
    <t>1467-1 Т</t>
  </si>
  <si>
    <t>1468-1 Т</t>
  </si>
  <si>
    <t>1469-1 Т</t>
  </si>
  <si>
    <t>1470-1 Т</t>
  </si>
  <si>
    <t>1471-1 Т</t>
  </si>
  <si>
    <t>1472-1 Т</t>
  </si>
  <si>
    <t>1473-1 Т</t>
  </si>
  <si>
    <t>1474-1 Т</t>
  </si>
  <si>
    <t>1475-1 Т</t>
  </si>
  <si>
    <t>1476-1 Т</t>
  </si>
  <si>
    <t>1477-1 Т</t>
  </si>
  <si>
    <t>1478-1 Т</t>
  </si>
  <si>
    <t>1479-1 Т</t>
  </si>
  <si>
    <t>1480-1 Т</t>
  </si>
  <si>
    <t>1481-1 Т</t>
  </si>
  <si>
    <t>1482-1 Т</t>
  </si>
  <si>
    <t>1483-1 Т</t>
  </si>
  <si>
    <t>1484-1 Т</t>
  </si>
  <si>
    <t>1485-1 Т</t>
  </si>
  <si>
    <t>1486-1 Т</t>
  </si>
  <si>
    <t>1487-1 Т</t>
  </si>
  <si>
    <t>1488-1 Т</t>
  </si>
  <si>
    <t>1489-1 Т</t>
  </si>
  <si>
    <t>1490-1 Т</t>
  </si>
  <si>
    <t>1491-1 Т</t>
  </si>
  <si>
    <t>1492-1 Т</t>
  </si>
  <si>
    <t>1493-1 Т</t>
  </si>
  <si>
    <t>1494-1 Т</t>
  </si>
  <si>
    <t>1495-1 Т</t>
  </si>
  <si>
    <t>1496-1 Т</t>
  </si>
  <si>
    <t>1497-1 Т</t>
  </si>
  <si>
    <t>1498-1 Т</t>
  </si>
  <si>
    <t>1499-1 Т</t>
  </si>
  <si>
    <t>1500-1 Т</t>
  </si>
  <si>
    <t>1501-1 Т</t>
  </si>
  <si>
    <t>1502-1 Т</t>
  </si>
  <si>
    <t>1503-1 Т</t>
  </si>
  <si>
    <t>1504-1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</si>
  <si>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</si>
  <si>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</si>
  <si>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</si>
  <si>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</si>
  <si>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</si>
  <si>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</si>
  <si>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</si>
  <si>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</si>
  <si>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</si>
  <si>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</si>
  <si>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</si>
  <si>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</si>
  <si>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</si>
  <si>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</si>
  <si>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</si>
  <si>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</si>
  <si>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</si>
  <si>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</si>
  <si>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</si>
  <si>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</si>
  <si>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</si>
  <si>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</si>
  <si>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</si>
  <si>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</si>
  <si>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</si>
  <si>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</si>
  <si>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</si>
  <si>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</si>
  <si>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</si>
  <si>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</si>
  <si>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</si>
  <si>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</si>
  <si>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</si>
  <si>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</si>
  <si>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</si>
  <si>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</si>
  <si>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</si>
  <si>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</si>
  <si>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</si>
  <si>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</si>
  <si>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</si>
  <si>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</si>
  <si>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1547-1 Т</t>
  </si>
  <si>
    <t>1548-1 Т</t>
  </si>
  <si>
    <t>1549-1 Т</t>
  </si>
  <si>
    <t>1550-1 Т</t>
  </si>
  <si>
    <t>1551-1 Т</t>
  </si>
  <si>
    <t>1552-1 Т</t>
  </si>
  <si>
    <t>1553-1 Т</t>
  </si>
  <si>
    <t>1554-1 Т</t>
  </si>
  <si>
    <t>1555-1 Т</t>
  </si>
  <si>
    <t>1556-1 Т</t>
  </si>
  <si>
    <t>1557-1 Т</t>
  </si>
  <si>
    <t>1558-1 Т</t>
  </si>
  <si>
    <t>1559-1 Т</t>
  </si>
  <si>
    <t>1560-1 Т</t>
  </si>
  <si>
    <t>1561-1 Т</t>
  </si>
  <si>
    <t>1562-1 Т</t>
  </si>
  <si>
    <t>1563-1 Т</t>
  </si>
  <si>
    <t>1564-1 Т</t>
  </si>
  <si>
    <t>1565-1 Т</t>
  </si>
  <si>
    <t>1566-1 Т</t>
  </si>
  <si>
    <t>1567-1 Т</t>
  </si>
  <si>
    <t>1568-1 Т</t>
  </si>
  <si>
    <t>1569-1 Т</t>
  </si>
  <si>
    <t>1570-1 Т</t>
  </si>
  <si>
    <t>1571-1 Т</t>
  </si>
  <si>
    <t>1572-1 Т</t>
  </si>
  <si>
    <t>1573-1 Т</t>
  </si>
  <si>
    <t>1574-1 Т</t>
  </si>
  <si>
    <t>1575-1 Т</t>
  </si>
  <si>
    <t>1576-1 Т</t>
  </si>
  <si>
    <t>1577-1 Т</t>
  </si>
  <si>
    <t>1578-1 Т</t>
  </si>
  <si>
    <t>1579-1 Т</t>
  </si>
  <si>
    <t>1580-1 Т</t>
  </si>
  <si>
    <t>1581-1 Т</t>
  </si>
  <si>
    <t>1582-1 Т</t>
  </si>
  <si>
    <t>1583-1 Т</t>
  </si>
  <si>
    <t>1584-1 Т</t>
  </si>
  <si>
    <t>1585-1 Т</t>
  </si>
  <si>
    <t>1586-1 Т</t>
  </si>
  <si>
    <t>1587-1 Т</t>
  </si>
  <si>
    <t>1588-1 Т</t>
  </si>
  <si>
    <t>1589-1 Т</t>
  </si>
  <si>
    <t>1590-1 Т</t>
  </si>
  <si>
    <t>1591-1 Т</t>
  </si>
  <si>
    <t>1592-1 Т</t>
  </si>
  <si>
    <t>1593-1 Т</t>
  </si>
  <si>
    <t>1594-1 Т</t>
  </si>
  <si>
    <t>1595-1 Т</t>
  </si>
  <si>
    <t>1596-1 Т</t>
  </si>
  <si>
    <t>1597-1 Т</t>
  </si>
  <si>
    <t>1598-1 Т</t>
  </si>
  <si>
    <t>1599-1 Т</t>
  </si>
  <si>
    <t>1600-1 Т</t>
  </si>
  <si>
    <t>1601-1 Т</t>
  </si>
  <si>
    <t>1602-1 Т</t>
  </si>
  <si>
    <t>1603-1 Т</t>
  </si>
  <si>
    <t>1604-1 Т</t>
  </si>
  <si>
    <t>1605-1 Т</t>
  </si>
  <si>
    <t>1606-1 Т</t>
  </si>
  <si>
    <t>1607-1 Т</t>
  </si>
  <si>
    <t>1608-1 Т</t>
  </si>
  <si>
    <t>1609-1 Т</t>
  </si>
  <si>
    <t>1610-1 Т</t>
  </si>
  <si>
    <t>1611-1 Т</t>
  </si>
  <si>
    <t>1612-1 Т</t>
  </si>
  <si>
    <t>1613-1 Т</t>
  </si>
  <si>
    <t>1614-1 Т</t>
  </si>
  <si>
    <t>1615-1 Т</t>
  </si>
  <si>
    <t>1616-1 Т</t>
  </si>
  <si>
    <t>1617-1 Т</t>
  </si>
  <si>
    <t>1618-1 Т</t>
  </si>
  <si>
    <t>1619-1 Т</t>
  </si>
  <si>
    <t>1620-1 Т</t>
  </si>
  <si>
    <t>1621-1 Т</t>
  </si>
  <si>
    <t>1622-1 Т</t>
  </si>
  <si>
    <t>1623-1 Т</t>
  </si>
  <si>
    <t>1624-1 Т</t>
  </si>
  <si>
    <t>1625-1 Т</t>
  </si>
  <si>
    <t>1626-1 Т</t>
  </si>
  <si>
    <t>1627-1 Т</t>
  </si>
  <si>
    <t>1628-1 Т</t>
  </si>
  <si>
    <t>1629-1 Т</t>
  </si>
  <si>
    <t>1630-1 Т</t>
  </si>
  <si>
    <t>1631-1 Т</t>
  </si>
  <si>
    <t>1632-1 Т</t>
  </si>
  <si>
    <t>1633-1 Т</t>
  </si>
  <si>
    <t>1634-1 Т</t>
  </si>
  <si>
    <t>1635-1 Т</t>
  </si>
  <si>
    <t>1636-1 Т</t>
  </si>
  <si>
    <t>1637-1 Т</t>
  </si>
  <si>
    <t>1638-1 Т</t>
  </si>
  <si>
    <t>1639-1 Т</t>
  </si>
  <si>
    <t>1640-1 Т</t>
  </si>
  <si>
    <t>1641-1 Т</t>
  </si>
  <si>
    <t>1642-1 Т</t>
  </si>
  <si>
    <t>1643-1 Т</t>
  </si>
  <si>
    <t>1644-1 Т</t>
  </si>
  <si>
    <t>1645-1 Т</t>
  </si>
  <si>
    <t>1646-1 Т</t>
  </si>
  <si>
    <t>1647-1 Т</t>
  </si>
  <si>
    <t>1648-1 Т</t>
  </si>
  <si>
    <t>1649-1 Т</t>
  </si>
  <si>
    <t>1650-1 Т</t>
  </si>
  <si>
    <t>1651-1 Т</t>
  </si>
  <si>
    <t>1652-1 Т</t>
  </si>
  <si>
    <t>1653-1 Т</t>
  </si>
  <si>
    <t>6,11,12</t>
  </si>
  <si>
    <t xml:space="preserve">ГОСТ 19596-87 .Лопата совковая песочная (ЛСП).Металлические детали лопат должны быть покрыты порошковым напылением с термической обработкой метал. поверхности. Вес одной лопаты не менее-0,98 кг.                                          </t>
  </si>
  <si>
    <t xml:space="preserve">ГОСТ 19596-87 .Лопата копальная остроконечная  (ЛКО).Металлические детали лопат должны быть покрыты порошковым напылением с термической обработкой метал. поверхности. Вес одной лопаты не менее-0,98 кг.                                          </t>
  </si>
  <si>
    <t>1654-1 Т</t>
  </si>
  <si>
    <t>1655-1 Т</t>
  </si>
  <si>
    <t>1656-1 Т</t>
  </si>
  <si>
    <t>1657-1 Т</t>
  </si>
  <si>
    <t>1658-1 Т</t>
  </si>
  <si>
    <t>1659-1 Т</t>
  </si>
  <si>
    <t>1660-1 Т</t>
  </si>
  <si>
    <t>1661-1 Т</t>
  </si>
  <si>
    <t>1662-1 Т</t>
  </si>
  <si>
    <t>1663-1 Т</t>
  </si>
  <si>
    <t>1664-1 Т</t>
  </si>
  <si>
    <t>1665-1 Т</t>
  </si>
  <si>
    <t>1666-1 Т</t>
  </si>
  <si>
    <t>1667-1 Т</t>
  </si>
  <si>
    <t>1668-1 Т</t>
  </si>
  <si>
    <t>1669-1 Т</t>
  </si>
  <si>
    <t>1670-1 Т</t>
  </si>
  <si>
    <t>1671-1 Т</t>
  </si>
  <si>
    <t>1672-1 Т</t>
  </si>
  <si>
    <t>1673-1 Т</t>
  </si>
  <si>
    <t>1674-1 Т</t>
  </si>
  <si>
    <t>1675-1 Т</t>
  </si>
  <si>
    <t>1676-1 Т</t>
  </si>
  <si>
    <t>1677-1 Т</t>
  </si>
  <si>
    <t>2112-1 Т</t>
  </si>
  <si>
    <t>2113-1 Т</t>
  </si>
  <si>
    <t>2114-1 Т</t>
  </si>
  <si>
    <t>2115-1 Т</t>
  </si>
  <si>
    <t>2116-1 Т</t>
  </si>
  <si>
    <t>2117-1 Т</t>
  </si>
  <si>
    <t>2118-1 Т</t>
  </si>
  <si>
    <t>2119-1 Т</t>
  </si>
  <si>
    <t>2120-1 Т</t>
  </si>
  <si>
    <t>2121-1 Т</t>
  </si>
  <si>
    <t>2122-1 Т</t>
  </si>
  <si>
    <t>2123-1 Т</t>
  </si>
  <si>
    <t>2124-1 Т</t>
  </si>
  <si>
    <t>2125-1 Т</t>
  </si>
  <si>
    <t>2126-1 Т</t>
  </si>
  <si>
    <t>2127-1 Т</t>
  </si>
  <si>
    <t>2128-1 Т</t>
  </si>
  <si>
    <t>2129-1 Т</t>
  </si>
  <si>
    <t>2130-1 Т</t>
  </si>
  <si>
    <t>2131-1 Т</t>
  </si>
  <si>
    <t>2132-1 Т</t>
  </si>
  <si>
    <t>2133-1 Т</t>
  </si>
  <si>
    <t>2134-1 Т</t>
  </si>
  <si>
    <t>2135-1 Т</t>
  </si>
  <si>
    <t>2136-1 Т</t>
  </si>
  <si>
    <t>2137-1 Т</t>
  </si>
  <si>
    <t>2138-1 Т</t>
  </si>
  <si>
    <t>2139-1 Т</t>
  </si>
  <si>
    <t>2140-1 Т</t>
  </si>
  <si>
    <t>2141-1 Т</t>
  </si>
  <si>
    <t>2142-1 Т</t>
  </si>
  <si>
    <t>2143-1 Т</t>
  </si>
  <si>
    <t>2144-1 Т</t>
  </si>
  <si>
    <t>2145-1 Т</t>
  </si>
  <si>
    <t>2146-1 Т</t>
  </si>
  <si>
    <t>2147-1 Т</t>
  </si>
  <si>
    <t>2148-1 Т</t>
  </si>
  <si>
    <t>2149-1 Т</t>
  </si>
  <si>
    <t>2150-1 Т</t>
  </si>
  <si>
    <t>2151-1 Т</t>
  </si>
  <si>
    <t>2152-1 Т</t>
  </si>
  <si>
    <t>2153-1 Т</t>
  </si>
  <si>
    <t>2154-1 Т</t>
  </si>
  <si>
    <t>2155-1 Т</t>
  </si>
  <si>
    <t>983-1 Т</t>
  </si>
  <si>
    <t>989-1 Т</t>
  </si>
  <si>
    <t>990-1 Т</t>
  </si>
  <si>
    <t>991-1 Т</t>
  </si>
  <si>
    <t>1089-1 Т</t>
  </si>
  <si>
    <t>1090-1 Т</t>
  </si>
  <si>
    <t>1091-1 Т</t>
  </si>
  <si>
    <t>1092-1 Т</t>
  </si>
  <si>
    <t>1093-1 Т</t>
  </si>
  <si>
    <t>1094-1 Т</t>
  </si>
  <si>
    <t>1095-1 Т</t>
  </si>
  <si>
    <t>1096-1 Т</t>
  </si>
  <si>
    <t>1097-1 Т</t>
  </si>
  <si>
    <t>1098-1 Т</t>
  </si>
  <si>
    <t>1099-1 Т</t>
  </si>
  <si>
    <t>1100-1 Т</t>
  </si>
  <si>
    <t>1103-1 Т</t>
  </si>
  <si>
    <t>1104-1 Т</t>
  </si>
  <si>
    <t>1105-1 Т</t>
  </si>
  <si>
    <t>1106-1 Т</t>
  </si>
  <si>
    <t>1107-1 Т</t>
  </si>
  <si>
    <t>1108-1 Т</t>
  </si>
  <si>
    <t>1109-1 Т</t>
  </si>
  <si>
    <t>1110-1Т</t>
  </si>
  <si>
    <t>1111-1 Т</t>
  </si>
  <si>
    <t>1112-1 Т</t>
  </si>
  <si>
    <t>1113-1 Т</t>
  </si>
  <si>
    <t>1193-1 Т</t>
  </si>
  <si>
    <t>1194-1 Т</t>
  </si>
  <si>
    <t>1195-1 Т</t>
  </si>
  <si>
    <t>1197-1 Т</t>
  </si>
  <si>
    <t>1198-1 Т</t>
  </si>
  <si>
    <t>1199-1 Т</t>
  </si>
  <si>
    <t>1200-1 Т</t>
  </si>
  <si>
    <t>1201-1 Т</t>
  </si>
  <si>
    <t>1202 -1Т</t>
  </si>
  <si>
    <t>1203-1 Т</t>
  </si>
  <si>
    <t>1204-1 Т</t>
  </si>
  <si>
    <t>1205-1 Т</t>
  </si>
  <si>
    <t>1206-1 Т</t>
  </si>
  <si>
    <t>1207-1 Т</t>
  </si>
  <si>
    <t>1208-1Т</t>
  </si>
  <si>
    <t>1209-1 Т</t>
  </si>
  <si>
    <t>1117-1 Т</t>
  </si>
  <si>
    <t>1000-1 Т</t>
  </si>
  <si>
    <t>998-1 Т</t>
  </si>
  <si>
    <t>999-1 Т</t>
  </si>
  <si>
    <t>1118-1 Т</t>
  </si>
  <si>
    <t>1119-1 Т</t>
  </si>
  <si>
    <t>1120-1 Т</t>
  </si>
  <si>
    <t>1121-1 Т</t>
  </si>
  <si>
    <t>1122-1 Т</t>
  </si>
  <si>
    <t>1123-1 Т</t>
  </si>
  <si>
    <t>1124-1 Т</t>
  </si>
  <si>
    <t>1125-1 Т</t>
  </si>
  <si>
    <t>1126-1 Т</t>
  </si>
  <si>
    <t>1127-1 Т</t>
  </si>
  <si>
    <t>1128-1 Т</t>
  </si>
  <si>
    <t>1129-1 Т</t>
  </si>
  <si>
    <t>1130-1 Т</t>
  </si>
  <si>
    <t>1131-1 Т</t>
  </si>
  <si>
    <t>1132-1 Т</t>
  </si>
  <si>
    <t>1133-1 Т</t>
  </si>
  <si>
    <t>1134-1 Т</t>
  </si>
  <si>
    <t>1135-1 Т</t>
  </si>
  <si>
    <t>1136-1 Т</t>
  </si>
  <si>
    <t>1137-1 Т</t>
  </si>
  <si>
    <t>1138-1 Т</t>
  </si>
  <si>
    <t>1139-1 Т</t>
  </si>
  <si>
    <t>1140-1 Т</t>
  </si>
  <si>
    <t>1141-1 Т</t>
  </si>
  <si>
    <t>1142-1 Т</t>
  </si>
  <si>
    <t>1143-1 Т</t>
  </si>
  <si>
    <t>1144-1 Т</t>
  </si>
  <si>
    <t>1145-1 Т</t>
  </si>
  <si>
    <t>1146-1 Т</t>
  </si>
  <si>
    <t>1147-1 Т</t>
  </si>
  <si>
    <t>1148-1 Т</t>
  </si>
  <si>
    <t>1149-1 Т</t>
  </si>
  <si>
    <t>1150-1 Т</t>
  </si>
  <si>
    <t>1151-1 Т</t>
  </si>
  <si>
    <t>1152-1 Т</t>
  </si>
  <si>
    <t>1153-1 Т</t>
  </si>
  <si>
    <t>1154-1 Т</t>
  </si>
  <si>
    <t>1155-1 Т</t>
  </si>
  <si>
    <t>1156-1 Т</t>
  </si>
  <si>
    <t>1157-1 Т</t>
  </si>
  <si>
    <t>1158-1 Т</t>
  </si>
  <si>
    <t>1159-1 Т</t>
  </si>
  <si>
    <t>1160-1 Т</t>
  </si>
  <si>
    <t>1161-1 Т</t>
  </si>
  <si>
    <t>1162-1 Т</t>
  </si>
  <si>
    <t>1163-1 Т</t>
  </si>
  <si>
    <t>1164-1 Т</t>
  </si>
  <si>
    <t>1165-1 Т</t>
  </si>
  <si>
    <t>1166-1 Т</t>
  </si>
  <si>
    <t>1114-1 Т</t>
  </si>
  <si>
    <t>1115-1 Т</t>
  </si>
  <si>
    <t>1116-1 Т</t>
  </si>
  <si>
    <t>2156-1 Т</t>
  </si>
  <si>
    <t>2157-1 Т</t>
  </si>
  <si>
    <t>2158-1 Т</t>
  </si>
  <si>
    <t>2159-1 Т</t>
  </si>
  <si>
    <t>2160-1 Т</t>
  </si>
  <si>
    <t>2161-1 Т</t>
  </si>
  <si>
    <t>2163-1 Т</t>
  </si>
  <si>
    <t>2165-1 Т</t>
  </si>
  <si>
    <t>2164-1 Т</t>
  </si>
  <si>
    <t>7,11,2</t>
  </si>
  <si>
    <t>2166-1 Т</t>
  </si>
  <si>
    <t>2167-1 Т</t>
  </si>
  <si>
    <t>2168-1 Т</t>
  </si>
  <si>
    <t>2212-1 Т</t>
  </si>
  <si>
    <t>2213-1 Т</t>
  </si>
  <si>
    <t>2214-1 Т</t>
  </si>
  <si>
    <t>2215-1 Т</t>
  </si>
  <si>
    <t>2216-1 Т</t>
  </si>
  <si>
    <t>2217-1 Т</t>
  </si>
  <si>
    <t>2732-1 Т</t>
  </si>
  <si>
    <t>2733-1 Т</t>
  </si>
  <si>
    <t>2734-1 Т</t>
  </si>
  <si>
    <t>2735-1 Т</t>
  </si>
  <si>
    <t>2736-1 Т</t>
  </si>
  <si>
    <t>2737-1 Т</t>
  </si>
  <si>
    <t>2738-1 Т</t>
  </si>
  <si>
    <t>2258-1 Т</t>
  </si>
  <si>
    <t>2259-1 Т</t>
  </si>
  <si>
    <t>2260-1 Т</t>
  </si>
  <si>
    <t>2261-1 Т</t>
  </si>
  <si>
    <t>2262-1 Т</t>
  </si>
  <si>
    <t>2263-1 Т</t>
  </si>
  <si>
    <t>2264-1 Т</t>
  </si>
  <si>
    <t>2265-1 Т</t>
  </si>
  <si>
    <t>2266-1 Т</t>
  </si>
  <si>
    <t>2267-1 Т</t>
  </si>
  <si>
    <t>2268-1 Т</t>
  </si>
  <si>
    <t>2269-1 Т</t>
  </si>
  <si>
    <t>2270-1 Т</t>
  </si>
  <si>
    <t>2271-1 Т</t>
  </si>
  <si>
    <t>2272-1 Т</t>
  </si>
  <si>
    <t>2273-1 Т</t>
  </si>
  <si>
    <t>2274-1 Т</t>
  </si>
  <si>
    <t>2275-1 Т</t>
  </si>
  <si>
    <t>2276-1 Т</t>
  </si>
  <si>
    <t>3231 Т</t>
  </si>
  <si>
    <t>3232 Т</t>
  </si>
  <si>
    <t>мост передний ведущий ДЗ-98В1.61.00.000</t>
  </si>
  <si>
    <t>фильтр патрон А-41.10.000-02СП</t>
  </si>
  <si>
    <t>2277-1 Т</t>
  </si>
  <si>
    <t>2278-1 Т</t>
  </si>
  <si>
    <t>2279-1 Т</t>
  </si>
  <si>
    <t>2280-1 Т</t>
  </si>
  <si>
    <t>2281-1 Т</t>
  </si>
  <si>
    <t>2282-1 Т</t>
  </si>
  <si>
    <t>2283-1 Т</t>
  </si>
  <si>
    <t>2284-1 Т</t>
  </si>
  <si>
    <t>2285-1 Т</t>
  </si>
  <si>
    <t>2286-1 Т</t>
  </si>
  <si>
    <t>2287-1 Т</t>
  </si>
  <si>
    <t>2288-1 Т</t>
  </si>
  <si>
    <t>2289-1 Т</t>
  </si>
  <si>
    <t>2290-1 Т</t>
  </si>
  <si>
    <t>2291-1 Т</t>
  </si>
  <si>
    <t>2292-1 Т</t>
  </si>
  <si>
    <t>2293-1 Т</t>
  </si>
  <si>
    <t>2294-1 Т</t>
  </si>
  <si>
    <t>2295-1 Т</t>
  </si>
  <si>
    <t>2296-1 Т</t>
  </si>
  <si>
    <t>2297-1 Т</t>
  </si>
  <si>
    <t>2298-1 Т</t>
  </si>
  <si>
    <t>2299-1 Т</t>
  </si>
  <si>
    <t>2300-1 Т</t>
  </si>
  <si>
    <t>2301-1 Т</t>
  </si>
  <si>
    <t>2302-1 Т</t>
  </si>
  <si>
    <t>2303-1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</si>
  <si>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</si>
  <si>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</si>
  <si>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</si>
  <si>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</si>
  <si>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</si>
  <si>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</si>
  <si>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</si>
  <si>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</si>
  <si>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</si>
  <si>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</si>
  <si>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</si>
  <si>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</si>
  <si>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</si>
  <si>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</si>
  <si>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</si>
  <si>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</si>
  <si>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2320-1 Т</t>
  </si>
  <si>
    <t>2321-1 Т</t>
  </si>
  <si>
    <t>2322-1 Т</t>
  </si>
  <si>
    <t>2323-1 Т</t>
  </si>
  <si>
    <t>2324-1 Т</t>
  </si>
  <si>
    <t>2325-1 Т</t>
  </si>
  <si>
    <t>2326-1 Т</t>
  </si>
  <si>
    <t>2327-1 Т</t>
  </si>
  <si>
    <t>2328-1 Т</t>
  </si>
  <si>
    <t>2329-1 Т</t>
  </si>
  <si>
    <t>2330-1 Т</t>
  </si>
  <si>
    <t>2331-1 Т</t>
  </si>
  <si>
    <t>2332-1 Т</t>
  </si>
  <si>
    <t>2333-1 Т</t>
  </si>
  <si>
    <t>2334-1 Т</t>
  </si>
  <si>
    <t>2335-1 Т</t>
  </si>
  <si>
    <t>2336-1 Т</t>
  </si>
  <si>
    <t>2337-1 Т</t>
  </si>
  <si>
    <t>2338-1 Т</t>
  </si>
  <si>
    <t>2339-1 Т</t>
  </si>
  <si>
    <t>2340-1 Т</t>
  </si>
  <si>
    <t>2341-1 Т</t>
  </si>
  <si>
    <t>2342-1 Т</t>
  </si>
  <si>
    <t>2343-1 Т</t>
  </si>
  <si>
    <t>2344-1 Т</t>
  </si>
  <si>
    <t>2345-1 Т</t>
  </si>
  <si>
    <t>2346-1 Т</t>
  </si>
  <si>
    <t>2347-1 Т</t>
  </si>
  <si>
    <t>2348-1Т</t>
  </si>
  <si>
    <t>2349-1 Т</t>
  </si>
  <si>
    <t>2350-1 Т</t>
  </si>
  <si>
    <t>2351-1 Т</t>
  </si>
  <si>
    <t>2352-1 Т</t>
  </si>
  <si>
    <t>2353-1 Т</t>
  </si>
  <si>
    <t>2354-1 Т</t>
  </si>
  <si>
    <t>2355-1 Т</t>
  </si>
  <si>
    <t>2356-1 Т</t>
  </si>
  <si>
    <t>2357-1 Т</t>
  </si>
  <si>
    <t>2358-1 Т</t>
  </si>
  <si>
    <t>2359-1 Т</t>
  </si>
  <si>
    <t>2360-1 Т</t>
  </si>
  <si>
    <t>2361-1 Т</t>
  </si>
  <si>
    <t>2362-1 Т</t>
  </si>
  <si>
    <t>2363-1 Т</t>
  </si>
  <si>
    <t>2364 -1Т</t>
  </si>
  <si>
    <t>2365-1 Т</t>
  </si>
  <si>
    <t>2366-1 Т</t>
  </si>
  <si>
    <t>2367-1 Т</t>
  </si>
  <si>
    <t>2368-1 Т</t>
  </si>
  <si>
    <t>2369-1 Т</t>
  </si>
  <si>
    <t>2370-1 Т</t>
  </si>
  <si>
    <t>2371-1 Т</t>
  </si>
  <si>
    <t>2372-1 Т</t>
  </si>
  <si>
    <t>2373-1 Т</t>
  </si>
  <si>
    <t>2374-1 Т</t>
  </si>
  <si>
    <t>2375-1 Т</t>
  </si>
  <si>
    <t>2376-1 Т</t>
  </si>
  <si>
    <t>2377-1 Т</t>
  </si>
  <si>
    <t>2378-1 Т</t>
  </si>
  <si>
    <t>2379-1 Т</t>
  </si>
  <si>
    <t>2380-1 Т</t>
  </si>
  <si>
    <t>2381-1 Т</t>
  </si>
  <si>
    <t>2382-1 Т</t>
  </si>
  <si>
    <t>2383-1 Т</t>
  </si>
  <si>
    <t>2384-1 Т</t>
  </si>
  <si>
    <t>2385-1 Т</t>
  </si>
  <si>
    <t>2386-1 Т</t>
  </si>
  <si>
    <t>2387-1 Т</t>
  </si>
  <si>
    <t>2388-1 Т</t>
  </si>
  <si>
    <t>2389-1 Т</t>
  </si>
  <si>
    <t>2390-1 Т</t>
  </si>
  <si>
    <t>2391-1 Т</t>
  </si>
  <si>
    <t>2392-1 Т</t>
  </si>
  <si>
    <t>2393-1 Т</t>
  </si>
  <si>
    <t>2394-1 Т</t>
  </si>
  <si>
    <t>2395-1 Т</t>
  </si>
  <si>
    <t>2396-1 Т</t>
  </si>
  <si>
    <t>2397-1 Т</t>
  </si>
  <si>
    <t>2398-1 Т</t>
  </si>
  <si>
    <t>2399-1 Т</t>
  </si>
  <si>
    <t>2400-1 Т</t>
  </si>
  <si>
    <t>2401-1 Т</t>
  </si>
  <si>
    <t>2402-1 Т</t>
  </si>
  <si>
    <t>2403-1 Т</t>
  </si>
  <si>
    <t>2404-1 Т</t>
  </si>
  <si>
    <t>2405-1 Т</t>
  </si>
  <si>
    <t>2406-1 Т</t>
  </si>
  <si>
    <t>2407-1 Т</t>
  </si>
  <si>
    <t>2408-1 Т</t>
  </si>
  <si>
    <t>2409-1 Т</t>
  </si>
  <si>
    <t>2410-1 Т</t>
  </si>
  <si>
    <t>2411-1 Т</t>
  </si>
  <si>
    <t>2412-1 Т</t>
  </si>
  <si>
    <t>2413-1 Т</t>
  </si>
  <si>
    <t>2414-1 Т</t>
  </si>
  <si>
    <t>2415-1 Т</t>
  </si>
  <si>
    <t>2416-1 Т</t>
  </si>
  <si>
    <t>2417-1 Т</t>
  </si>
  <si>
    <t>2418-1 Т</t>
  </si>
  <si>
    <t>2419-1 Т</t>
  </si>
  <si>
    <t>2420-1 Т</t>
  </si>
  <si>
    <t>2421-1 Т</t>
  </si>
  <si>
    <t>2422-1 Т</t>
  </si>
  <si>
    <t>2423-1 Т</t>
  </si>
  <si>
    <t>2424-1 Т</t>
  </si>
  <si>
    <t>2425-1 Т</t>
  </si>
  <si>
    <t>2426-1 Т</t>
  </si>
  <si>
    <t>2427-1 Т</t>
  </si>
  <si>
    <t>2428-1 Т</t>
  </si>
  <si>
    <t>2429-1 Т</t>
  </si>
  <si>
    <t>2430-1 Т</t>
  </si>
  <si>
    <t>2431-1 Т</t>
  </si>
  <si>
    <t>2432-1 Т</t>
  </si>
  <si>
    <t>2433-1 Т</t>
  </si>
  <si>
    <t>2434-1 Т</t>
  </si>
  <si>
    <t>2435-1 Т</t>
  </si>
  <si>
    <t>2436-1 Т</t>
  </si>
  <si>
    <t>2437-1 Т</t>
  </si>
  <si>
    <t>2438-1 Т</t>
  </si>
  <si>
    <t>2439-1 Т</t>
  </si>
  <si>
    <t>2440-1 Т</t>
  </si>
  <si>
    <t>Маркетинговая цена за единицу, тенге без НДС в 2014г.</t>
  </si>
  <si>
    <t>2441-1 Т</t>
  </si>
  <si>
    <t>2442-1 Т</t>
  </si>
  <si>
    <t>2443-1 Т</t>
  </si>
  <si>
    <t>2444-1 Т</t>
  </si>
  <si>
    <t>2445-1 Т</t>
  </si>
  <si>
    <t>2446-1 Т</t>
  </si>
  <si>
    <t>2447-1 Т</t>
  </si>
  <si>
    <t>2448-1 Т</t>
  </si>
  <si>
    <t>2449-1 Т</t>
  </si>
  <si>
    <t>2450-1 Т</t>
  </si>
  <si>
    <t>2451-1 Т</t>
  </si>
  <si>
    <t>2452-1 Т</t>
  </si>
  <si>
    <t>2453-1 Т</t>
  </si>
  <si>
    <t>2454-1 Т</t>
  </si>
  <si>
    <t>2455-1 Т</t>
  </si>
  <si>
    <t>2456-1 Т</t>
  </si>
  <si>
    <t>2457-1 Т</t>
  </si>
  <si>
    <t>2458-1 Т</t>
  </si>
  <si>
    <t>2459-1 Т</t>
  </si>
  <si>
    <t>2460-1 Т</t>
  </si>
  <si>
    <t>2461-1 Т</t>
  </si>
  <si>
    <t>2462-1 Т</t>
  </si>
  <si>
    <t>2463-1 Т</t>
  </si>
  <si>
    <t>2464-1 Т</t>
  </si>
  <si>
    <t>2465-1 Т</t>
  </si>
  <si>
    <t>2466-1 Т</t>
  </si>
  <si>
    <t>2467-1 Т</t>
  </si>
  <si>
    <t>2468-1 Т</t>
  </si>
  <si>
    <t>2469-1 Т</t>
  </si>
  <si>
    <t>2470-1 Т</t>
  </si>
  <si>
    <t>2471-1 Т</t>
  </si>
  <si>
    <t>2472-1 Т</t>
  </si>
  <si>
    <t>2473-1 Т</t>
  </si>
  <si>
    <t>2474-1 Т</t>
  </si>
  <si>
    <t>2475-1 Т</t>
  </si>
  <si>
    <t>2476-1 Т</t>
  </si>
  <si>
    <t>2477-1 Т</t>
  </si>
  <si>
    <t>2478-1 Т</t>
  </si>
  <si>
    <t>2479-1 Т</t>
  </si>
  <si>
    <t>2480-1 Т</t>
  </si>
  <si>
    <t>2481-1 Т</t>
  </si>
  <si>
    <t>2482-1 Т</t>
  </si>
  <si>
    <t>2483-1 Т</t>
  </si>
  <si>
    <t>2484-1 Т</t>
  </si>
  <si>
    <t>2485-1 Т</t>
  </si>
  <si>
    <t>2486-1 Т</t>
  </si>
  <si>
    <t>2487-1 Т</t>
  </si>
  <si>
    <t>2488-1 Т</t>
  </si>
  <si>
    <t>2489-1 Т</t>
  </si>
  <si>
    <t>2490-1 Т</t>
  </si>
  <si>
    <t>2491-1 Т</t>
  </si>
  <si>
    <t>2492-1 Т</t>
  </si>
  <si>
    <t>2493-1 Т</t>
  </si>
  <si>
    <t>2494-1 Т</t>
  </si>
  <si>
    <t>2495-1 Т</t>
  </si>
  <si>
    <t>2496-1 Т</t>
  </si>
  <si>
    <t>2497-1 Т</t>
  </si>
  <si>
    <t>2498-1 Т</t>
  </si>
  <si>
    <t>2499-1 Т</t>
  </si>
  <si>
    <t>2500-1 Т</t>
  </si>
  <si>
    <t>2501-1 Т</t>
  </si>
  <si>
    <t>2502-1 Т</t>
  </si>
  <si>
    <t>2503-1 Т</t>
  </si>
  <si>
    <t>2504-1 Т</t>
  </si>
  <si>
    <t>2505-1 Т</t>
  </si>
  <si>
    <t>2506-1 Т</t>
  </si>
  <si>
    <t>2507-1Т</t>
  </si>
  <si>
    <t>2508-1 Т</t>
  </si>
  <si>
    <t>2509-1 Т</t>
  </si>
  <si>
    <t>2510-1 Т</t>
  </si>
  <si>
    <t>2511-1 Т</t>
  </si>
  <si>
    <t>2512-1 Т</t>
  </si>
  <si>
    <t>2513-1 Т</t>
  </si>
  <si>
    <t>2514-1 Т</t>
  </si>
  <si>
    <t>2515-1 Т</t>
  </si>
  <si>
    <t>2516-1 Т</t>
  </si>
  <si>
    <t>2517-1 Т</t>
  </si>
  <si>
    <t>2518-1 Т</t>
  </si>
  <si>
    <t>2519-1 Т</t>
  </si>
  <si>
    <t>2520-1 Т</t>
  </si>
  <si>
    <t>2521-1 Т</t>
  </si>
  <si>
    <t>2522-1 Т</t>
  </si>
  <si>
    <t>2523-1 Т</t>
  </si>
  <si>
    <t>2524-1 Т</t>
  </si>
  <si>
    <t>2525-1 Т</t>
  </si>
  <si>
    <t>2526-1 Т</t>
  </si>
  <si>
    <t>2527-1 Т</t>
  </si>
  <si>
    <t>2528-1 Т</t>
  </si>
  <si>
    <t>2529-1 Т</t>
  </si>
  <si>
    <t>2530-1 Т</t>
  </si>
  <si>
    <t>2531-1 Т</t>
  </si>
  <si>
    <t>2532-1 Т</t>
  </si>
  <si>
    <t>2533-1 Т</t>
  </si>
  <si>
    <t>2534-1 Т</t>
  </si>
  <si>
    <t>2535-1 Т</t>
  </si>
  <si>
    <t>2536-1 Т</t>
  </si>
  <si>
    <t>2537-1 Т</t>
  </si>
  <si>
    <t>2538-1 Т</t>
  </si>
  <si>
    <t>2539-1 Т</t>
  </si>
  <si>
    <t>2540-1 Т</t>
  </si>
  <si>
    <t>2541-1 Т</t>
  </si>
  <si>
    <t>2542-1 Т</t>
  </si>
  <si>
    <t>2543-1 Т</t>
  </si>
  <si>
    <t>2544-1 Т</t>
  </si>
  <si>
    <t>2545-1 Т</t>
  </si>
  <si>
    <t>2546-1 Т</t>
  </si>
  <si>
    <t>2547-1 Т</t>
  </si>
  <si>
    <t>2548-1Т</t>
  </si>
  <si>
    <t>2549-1 Т</t>
  </si>
  <si>
    <t>2550-1 Т</t>
  </si>
  <si>
    <t>2551-1 Т</t>
  </si>
  <si>
    <t>2552-1 Т</t>
  </si>
  <si>
    <t>2553-1 Т</t>
  </si>
  <si>
    <t>2554-1 Т</t>
  </si>
  <si>
    <t>2555-1 Т</t>
  </si>
  <si>
    <t>2556-1 Т</t>
  </si>
  <si>
    <t>2557-1 Т</t>
  </si>
  <si>
    <t>2558-1 Т</t>
  </si>
  <si>
    <t>2559-1 Т</t>
  </si>
  <si>
    <t>2560-1 Т</t>
  </si>
  <si>
    <t>2561-1 Т</t>
  </si>
  <si>
    <t>2562-1 Т</t>
  </si>
  <si>
    <t>2563-1 Т</t>
  </si>
  <si>
    <t>2564-1 Т</t>
  </si>
  <si>
    <t>2565-1 Т</t>
  </si>
  <si>
    <t>2566-1 Т</t>
  </si>
  <si>
    <t>2567-1 Т</t>
  </si>
  <si>
    <t>2568-1 Т</t>
  </si>
  <si>
    <t>2569-1 Т</t>
  </si>
  <si>
    <t>2570-1 Т</t>
  </si>
  <si>
    <t>2571-1 Т</t>
  </si>
  <si>
    <t>2572-1 Т</t>
  </si>
  <si>
    <t>2573-1 Т</t>
  </si>
  <si>
    <t>2574-1 Т</t>
  </si>
  <si>
    <t>2575-1 Т</t>
  </si>
  <si>
    <t>2576-1 Т</t>
  </si>
  <si>
    <t>2577-1 Т</t>
  </si>
  <si>
    <t>2578-1 Т</t>
  </si>
  <si>
    <t>2579-1 Т</t>
  </si>
  <si>
    <t>2580-1 Т</t>
  </si>
  <si>
    <t>2581-1 Т</t>
  </si>
  <si>
    <t>2582-1 Т</t>
  </si>
  <si>
    <t>2583-1 Т</t>
  </si>
  <si>
    <t>2584-1 Т</t>
  </si>
  <si>
    <t>2585-1 Т</t>
  </si>
  <si>
    <t>2586-1 Т</t>
  </si>
  <si>
    <t>2587-1 Т</t>
  </si>
  <si>
    <t>2588-1 Т</t>
  </si>
  <si>
    <t>2589-1 Т</t>
  </si>
  <si>
    <t>2590-1 Т</t>
  </si>
  <si>
    <t>2591-1 Т</t>
  </si>
  <si>
    <t>2592-1 Т</t>
  </si>
  <si>
    <t>2593-1 Т</t>
  </si>
  <si>
    <t>2594-1 Т</t>
  </si>
  <si>
    <t>2596-1 Т</t>
  </si>
  <si>
    <t>2597-1 Т</t>
  </si>
  <si>
    <t>2598-1 Т</t>
  </si>
  <si>
    <t>2600-1 Т</t>
  </si>
  <si>
    <t>2601-1 Т</t>
  </si>
  <si>
    <t>2602-1 Т</t>
  </si>
  <si>
    <t>2603-1 Т</t>
  </si>
  <si>
    <t>2604-1 Т</t>
  </si>
  <si>
    <t>2605-1 Т</t>
  </si>
  <si>
    <t>2606-1 Т</t>
  </si>
  <si>
    <t>2607-1 Т</t>
  </si>
  <si>
    <t>2595 - 1 Т</t>
  </si>
  <si>
    <t>2608-1 Т</t>
  </si>
  <si>
    <t>2609-1 Т</t>
  </si>
  <si>
    <t>29-1 Р</t>
  </si>
  <si>
    <t>30-1 Р</t>
  </si>
  <si>
    <t>2610-1 Т</t>
  </si>
  <si>
    <t>2611-1 Т</t>
  </si>
  <si>
    <t>2612-1 Т</t>
  </si>
  <si>
    <t>2613-1 Т</t>
  </si>
  <si>
    <t>2614-1 Т</t>
  </si>
  <si>
    <t>2615-1 Т</t>
  </si>
  <si>
    <t>2616-1 Т</t>
  </si>
  <si>
    <t>2617-1 Т</t>
  </si>
  <si>
    <t>2618-1 Т</t>
  </si>
  <si>
    <t>2619-1 Т</t>
  </si>
  <si>
    <t>2620-1 Т</t>
  </si>
  <si>
    <t>2621-1 Т</t>
  </si>
  <si>
    <t>2622-1 Т</t>
  </si>
  <si>
    <t>2623-1 Т</t>
  </si>
  <si>
    <t>2624-1 Т</t>
  </si>
  <si>
    <t>2625-1 Т</t>
  </si>
  <si>
    <t>2626-1 Т</t>
  </si>
  <si>
    <t>2627-1 Т</t>
  </si>
  <si>
    <t>2628-1 Т</t>
  </si>
  <si>
    <t>2629-1 Т</t>
  </si>
  <si>
    <t>2630-1 Т</t>
  </si>
  <si>
    <t>2631-1 Т</t>
  </si>
  <si>
    <t>2632-1 Т</t>
  </si>
  <si>
    <t>2633-1 Т</t>
  </si>
  <si>
    <t>2634-1 Т</t>
  </si>
  <si>
    <t>2635-1 Т</t>
  </si>
  <si>
    <t>2636-1 Т</t>
  </si>
  <si>
    <t>2637-1 Т</t>
  </si>
  <si>
    <t>2638-1 Т</t>
  </si>
  <si>
    <t>2639-1 Т</t>
  </si>
  <si>
    <t>2640-1 Т</t>
  </si>
  <si>
    <t>2641-1 Т</t>
  </si>
  <si>
    <t>2642-1 Т</t>
  </si>
  <si>
    <t>2643-1 Т</t>
  </si>
  <si>
    <t>2644-1 Т</t>
  </si>
  <si>
    <t>2645-1 Т</t>
  </si>
  <si>
    <t>2646-1 Т</t>
  </si>
  <si>
    <t>2647-1 Т</t>
  </si>
  <si>
    <t>2648-1 Т</t>
  </si>
  <si>
    <t>2649-1 Т</t>
  </si>
  <si>
    <t>2650-1 Т</t>
  </si>
  <si>
    <t>2651-1 Т</t>
  </si>
  <si>
    <t>2652-1 Т</t>
  </si>
  <si>
    <t>2653-1 Т</t>
  </si>
  <si>
    <t>2654-1 Т</t>
  </si>
  <si>
    <t>2655-1 Т</t>
  </si>
  <si>
    <t>2656-1 Т</t>
  </si>
  <si>
    <t>2657-1 Т</t>
  </si>
  <si>
    <t>2658-1 Т</t>
  </si>
  <si>
    <t>2659-1 Т</t>
  </si>
  <si>
    <t>2661-1 Т</t>
  </si>
  <si>
    <t>2660-1 Т</t>
  </si>
  <si>
    <t>2662-1 Т</t>
  </si>
  <si>
    <t>2663-1  Т</t>
  </si>
  <si>
    <t>2664-1 Т</t>
  </si>
  <si>
    <t>2665-1 Т</t>
  </si>
  <si>
    <t>2666-1 Т</t>
  </si>
  <si>
    <t>166-2 Т</t>
  </si>
  <si>
    <t>1101-1 Т</t>
  </si>
  <si>
    <t>1102-1 Т</t>
  </si>
  <si>
    <t>1167-1 Т</t>
  </si>
  <si>
    <t>1168-1 Т</t>
  </si>
  <si>
    <t>1169-1 Т</t>
  </si>
  <si>
    <t>1170-1 Т</t>
  </si>
  <si>
    <t>1171-1 Т</t>
  </si>
  <si>
    <t>1172-1 Т</t>
  </si>
  <si>
    <t>Мост</t>
  </si>
  <si>
    <t>передний, к специальной технике</t>
  </si>
  <si>
    <t>28.30.93.00.00.00.15.12.1</t>
  </si>
  <si>
    <t>2754-1 Т</t>
  </si>
  <si>
    <t>2756-1 Т</t>
  </si>
  <si>
    <t>Приказ №160 от 04.04.2014 год.</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</si>
  <si>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</si>
  <si>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</si>
  <si>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</si>
  <si>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</si>
  <si>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</si>
  <si>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</si>
  <si>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</si>
  <si>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</si>
  <si>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</si>
  <si>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</si>
  <si>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</si>
  <si>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</si>
  <si>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</si>
  <si>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</si>
  <si>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</si>
  <si>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</si>
  <si>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</si>
  <si>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</si>
  <si>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</si>
  <si>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642-1 Т</t>
  </si>
  <si>
    <t>643-1 Т</t>
  </si>
  <si>
    <t>644-1 Т</t>
  </si>
  <si>
    <t>645-1 Т</t>
  </si>
  <si>
    <t>646-1 Т</t>
  </si>
  <si>
    <t>647-1 Т</t>
  </si>
  <si>
    <t>648-1 Т</t>
  </si>
  <si>
    <t>649-1 Т</t>
  </si>
  <si>
    <t>650-1 Т</t>
  </si>
  <si>
    <t>651-1 Т</t>
  </si>
  <si>
    <t>652-1 Т</t>
  </si>
  <si>
    <t>653-1 Т</t>
  </si>
  <si>
    <t>654-1 Т</t>
  </si>
  <si>
    <t>655-1 Т</t>
  </si>
  <si>
    <t>656-1 Т</t>
  </si>
  <si>
    <t>657-1 Т</t>
  </si>
  <si>
    <t>658-1 Т</t>
  </si>
  <si>
    <t>659-1 Т</t>
  </si>
  <si>
    <t>660-1 Т</t>
  </si>
  <si>
    <t>661-1 Т</t>
  </si>
  <si>
    <t>662-1 Т</t>
  </si>
  <si>
    <t>663-1 Т</t>
  </si>
  <si>
    <t>664-1 Т</t>
  </si>
  <si>
    <t>665-1 Т</t>
  </si>
  <si>
    <t>666-1 Т</t>
  </si>
  <si>
    <t>667-1 Т</t>
  </si>
  <si>
    <t>668-1 Т</t>
  </si>
  <si>
    <t>669-1 Т</t>
  </si>
  <si>
    <t>7,11,12,22</t>
  </si>
  <si>
    <t>695-1 Т</t>
  </si>
  <si>
    <t>725-1 Т</t>
  </si>
  <si>
    <t>726-1 Т</t>
  </si>
  <si>
    <t>727-1 Т</t>
  </si>
  <si>
    <t>7,12,22</t>
  </si>
  <si>
    <t>2811-1 Т</t>
  </si>
  <si>
    <t>Разработка проекта земельного отвода под Карьер грунта  S=16 га м/р Жетыбай</t>
  </si>
  <si>
    <t>26-1 Р</t>
  </si>
  <si>
    <t>90 календарных дней с даты подписания договора</t>
  </si>
  <si>
    <t>РК, Мангистауская область г.Актау и по месту нахождения потенциального поставщика</t>
  </si>
  <si>
    <t>7,11,12,14</t>
  </si>
  <si>
    <t>27-1 Р</t>
  </si>
  <si>
    <t>28-1 Р</t>
  </si>
  <si>
    <t>334-1 Т</t>
  </si>
  <si>
    <t>336-1 Т</t>
  </si>
  <si>
    <t>337-1 Т</t>
  </si>
  <si>
    <t>354-1 Т</t>
  </si>
  <si>
    <t>358-2 Т</t>
  </si>
  <si>
    <t>359-1 Т</t>
  </si>
  <si>
    <t>360-1 Т</t>
  </si>
  <si>
    <t>361-1 Т</t>
  </si>
  <si>
    <t>370-2 Т</t>
  </si>
  <si>
    <t>371-2 Т</t>
  </si>
  <si>
    <t>апрель-май</t>
  </si>
  <si>
    <t>372-1 Т</t>
  </si>
  <si>
    <t>2761-1 Т</t>
  </si>
  <si>
    <t>2743-1 Т</t>
  </si>
  <si>
    <t>2745-1 Т</t>
  </si>
  <si>
    <t>2747-1 Т</t>
  </si>
  <si>
    <t>2749-1 Т</t>
  </si>
  <si>
    <t>3184-1 Т</t>
  </si>
  <si>
    <t>3204-1 Т</t>
  </si>
  <si>
    <t>3187-1 Т</t>
  </si>
  <si>
    <t>3203-1 Т</t>
  </si>
  <si>
    <t>3190-1 Т</t>
  </si>
  <si>
    <t>3194-1 Т</t>
  </si>
  <si>
    <t>3188-1 Т</t>
  </si>
  <si>
    <t>3186-1 Т</t>
  </si>
  <si>
    <t>3198-1 Т</t>
  </si>
  <si>
    <t>3195-1 Т</t>
  </si>
  <si>
    <t>3196-1 Т</t>
  </si>
  <si>
    <t>3199-1 Т</t>
  </si>
  <si>
    <t>3200-1 Т</t>
  </si>
  <si>
    <t>3197-1 Т</t>
  </si>
  <si>
    <t>13-1 У</t>
  </si>
  <si>
    <t>14-1 У</t>
  </si>
  <si>
    <t xml:space="preserve">октябрь-ноябрь    </t>
  </si>
  <si>
    <t>17-1 У</t>
  </si>
  <si>
    <t>декабрь 2013г, апрель, май</t>
  </si>
  <si>
    <t>25.94.12.00.00.12.12.10.3</t>
  </si>
  <si>
    <t>996 -1 Т</t>
  </si>
  <si>
    <t>1831- 1 Т</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</si>
  <si>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</si>
  <si>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</si>
  <si>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</si>
  <si>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</si>
  <si>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</si>
  <si>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</si>
  <si>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</si>
  <si>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</si>
  <si>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</si>
  <si>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</si>
  <si>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</si>
  <si>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</si>
  <si>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</si>
  <si>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</si>
  <si>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</si>
  <si>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</si>
  <si>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</si>
  <si>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</si>
  <si>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</si>
  <si>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</si>
  <si>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</si>
  <si>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</si>
  <si>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</si>
  <si>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</si>
  <si>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</si>
  <si>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</si>
  <si>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</si>
  <si>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</si>
  <si>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</si>
  <si>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</si>
  <si>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</si>
  <si>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</si>
  <si>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</si>
  <si>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</si>
  <si>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</si>
  <si>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</si>
  <si>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</si>
  <si>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</si>
  <si>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</si>
  <si>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</si>
  <si>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</si>
  <si>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</si>
  <si>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Ф.И.О. и должность ответственного лица, заполнившего данную форму и контактный телефон: Дуанаев Р.К., Сарбуфина Г.С.- тел.211-773, тел.211-722</t>
  </si>
  <si>
    <t>6-1 Р</t>
  </si>
  <si>
    <t xml:space="preserve">РК, Мангистауская область, м/р Каламкас, м/р Жетыбай </t>
  </si>
  <si>
    <t>57-1 У</t>
  </si>
  <si>
    <t xml:space="preserve">с мая по декабрь 2014г. </t>
  </si>
  <si>
    <t>авансовый платеж- 100%, по заявкам, в течение 5 банковских дней после получения счета</t>
  </si>
  <si>
    <t>8,11,14,15</t>
  </si>
  <si>
    <t>199 У</t>
  </si>
  <si>
    <t>55.30.11.10.00.00.00</t>
  </si>
  <si>
    <t>Услуги детских лагерей на время каникул</t>
  </si>
  <si>
    <t>Организация летнего отдыха детей (Путевки в детские лагеря)</t>
  </si>
  <si>
    <t>ОТ</t>
  </si>
  <si>
    <t>30% предоплата, оставшаяся часть после подписания акта приема-передачи оказанных услуг</t>
  </si>
  <si>
    <t>РК, Мангистауская область, г.Актау  промзона пункт приема ТОО "МАЭК-Казатомпром"</t>
  </si>
  <si>
    <t>74-2 Т</t>
  </si>
  <si>
    <t>апрель, май 2014г.</t>
  </si>
  <si>
    <t xml:space="preserve">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</si>
  <si>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6,11,12,13,14,18,19,20,21</t>
  </si>
  <si>
    <t>75-2 Т</t>
  </si>
  <si>
    <t>Приказ №189 от 14.04.2014 год.</t>
  </si>
  <si>
    <t>124-2 Т</t>
  </si>
  <si>
    <t>24.20.13.01.12.10.36.01.1</t>
  </si>
  <si>
    <t>Труба стальная бесшовная горячедеформированная, 219х10мм.</t>
  </si>
  <si>
    <t>133-2 Т</t>
  </si>
  <si>
    <t>24.20.13.01.12.10.10.16.1</t>
  </si>
  <si>
    <t>Стальная бесшовная горячедеформированная, 114х6 мм, ГОСТ 8732-78</t>
  </si>
  <si>
    <t>135-2 Т</t>
  </si>
  <si>
    <t>18,19,20,21</t>
  </si>
  <si>
    <t>ОПРУ</t>
  </si>
  <si>
    <t>с мая по  август 2014 года</t>
  </si>
  <si>
    <t>116-2 Т</t>
  </si>
  <si>
    <t>24.20.13.01.12.10.50.11.1</t>
  </si>
  <si>
    <t>Стальная бесшовная горячедеформированная, 530х8мм, ГОСТ 8732-78</t>
  </si>
  <si>
    <t>122-2 Т</t>
  </si>
  <si>
    <t>24.20.13.01.12.10.24.12.1</t>
  </si>
  <si>
    <t>Стальная бесшовная горячедеформированная, 273х10мм ГОСТ 8732-78</t>
  </si>
  <si>
    <t>123-2 Т</t>
  </si>
  <si>
    <t>24.20.13.01.12.10.36.03.1</t>
  </si>
  <si>
    <t>Труба стальная бесшовная горячедеформированная, 219х12мм, ГОСТ 8732-78</t>
  </si>
  <si>
    <t>125-2 Т</t>
  </si>
  <si>
    <t>24.20.13.01.12.10.36.02.1</t>
  </si>
  <si>
    <t>Труба стальная бесшовная горячедеформированная, 219х8мм.</t>
  </si>
  <si>
    <t>132-2 Т</t>
  </si>
  <si>
    <t>24.20.13.01.12.10.10.19.1</t>
  </si>
  <si>
    <t>Стальная бесшовная горячедеформированная, 114х8 мм, ГОСТ 8732-78</t>
  </si>
  <si>
    <t>134-2 Т</t>
  </si>
  <si>
    <t>24.20.13.01.12.10.10.18.1</t>
  </si>
  <si>
    <t>Стальная бесшовная горячедеформированная, 108х5 мм, ГОСТ 8732-78</t>
  </si>
  <si>
    <t>137-1 Т</t>
  </si>
  <si>
    <t>24.20.13.01.12.10.17.12.1</t>
  </si>
  <si>
    <t>Стальная бесшовная горячедеформированная, 76х5 мм ГОСТ 8732-78</t>
  </si>
  <si>
    <t>142-2 Т</t>
  </si>
  <si>
    <t>24.20.13.01.13.10.11.14.1</t>
  </si>
  <si>
    <t>Стальная, электросварная, прямошовная, 325х8</t>
  </si>
  <si>
    <t>143-2 Т</t>
  </si>
  <si>
    <t>24.20.13.01.13.10.11.13.1</t>
  </si>
  <si>
    <t>Стальная, электросварная, прямошовная, 325х6</t>
  </si>
  <si>
    <t>144-2 Т</t>
  </si>
  <si>
    <t>24.20.13.01.13.10.11.12.1</t>
  </si>
  <si>
    <t>Стальная, электросварная, прямошовная, 325х5</t>
  </si>
  <si>
    <t>145-2 Т</t>
  </si>
  <si>
    <t>24.20.13.01.13.10.18.13.1</t>
  </si>
  <si>
    <t>Стальная, электросварная, прямошовная, 159х8 мм</t>
  </si>
  <si>
    <t>146-2 Т</t>
  </si>
  <si>
    <t>24.20.13.01.13.10.13.51.1</t>
  </si>
  <si>
    <t>Стальная, электросварная, прямошовная, 114х8</t>
  </si>
  <si>
    <t>147-1 Т</t>
  </si>
  <si>
    <t>24.20.13.01.13.10.13.50.1</t>
  </si>
  <si>
    <t>Стальная, электросварная, прямошовная, 114х5</t>
  </si>
  <si>
    <t>149-2 Т</t>
  </si>
  <si>
    <t>24.20.13.01.13.10.17.12.1</t>
  </si>
  <si>
    <t>Стальная, электросварная, прямошовная, 76х5 мм</t>
  </si>
  <si>
    <t>1685-1 Т</t>
  </si>
  <si>
    <t>1686-1 Т</t>
  </si>
  <si>
    <t>1688-1 Т</t>
  </si>
  <si>
    <t>1690-1 Т</t>
  </si>
  <si>
    <t>1691-1 Т</t>
  </si>
  <si>
    <t>1692-1 Т</t>
  </si>
  <si>
    <t>581-2 Т</t>
  </si>
  <si>
    <t>23.61.12.00.20.24.01.01.1</t>
  </si>
  <si>
    <t>противофильтрационный железобетонный водопропускных труб тип БФ-1, Габаритный размер: 700х1200(h)х2000мм</t>
  </si>
  <si>
    <t>23.61.12.00.20.11.15.02.1</t>
  </si>
  <si>
    <t>железобетонная водопропускная, круглая, сборная, наружний диаметр/высота/длина 1420х1000х1000 мм</t>
  </si>
  <si>
    <t>194-2 Т</t>
  </si>
  <si>
    <t>24.20.40.10.10.10.10.01.1</t>
  </si>
  <si>
    <t>Соединение фланцевое</t>
  </si>
  <si>
    <t>изолирующее фланцевое соединение Ду50, Ру16МПа</t>
  </si>
  <si>
    <t>90-2 Т</t>
  </si>
  <si>
    <t>22.21.29.00.00.23.35.51.1</t>
  </si>
  <si>
    <t>Отвод из стеклопластика с углом поворота 45 градусов диаметр 100-95 мм</t>
  </si>
  <si>
    <t>582-2 Т</t>
  </si>
  <si>
    <t>583-2 Т</t>
  </si>
  <si>
    <t>23.61.12.00.20.11.15.01.1</t>
  </si>
  <si>
    <t>железобетонная водопропускная, круглая, сборная, наружний диаметр/высота/длина 1420х1710х1700 мм</t>
  </si>
  <si>
    <t>477-2 Т</t>
  </si>
  <si>
    <t>24.10.71.00.00.12.10.12.1</t>
  </si>
  <si>
    <t>Двутавр</t>
  </si>
  <si>
    <t>стальной, горячекатаный №22, ГОСТ 8239-89</t>
  </si>
  <si>
    <t>525-2 Т</t>
  </si>
  <si>
    <t>16.10.39.00.00.00.01.05.1</t>
  </si>
  <si>
    <t>отборный сорт, толщина 40 мм, размер 6000х150х40мм</t>
  </si>
  <si>
    <t>24.20.13.01.12.10.22.13.1</t>
  </si>
  <si>
    <t>Труба стальная бесшовная горячедеформированная, 159х10 мм.</t>
  </si>
  <si>
    <t>528-1 Т</t>
  </si>
  <si>
    <t>16.10.10.10.10.10.10.20.1</t>
  </si>
  <si>
    <t>Брусья</t>
  </si>
  <si>
    <t>обрезные хвойных пород длиной от 4 м до 6,5 м, шириной от 75 мм до 150 мм, толщиной от 100 мм до 125 мм, 4 сорта</t>
  </si>
  <si>
    <t>РК, Мангистауская область, г.Актау, м/р Жетыбай, м/р Каламкас</t>
  </si>
  <si>
    <t>92-1 Т</t>
  </si>
  <si>
    <t>22.21.29.00.00.31.45.01.1</t>
  </si>
  <si>
    <t>фланец из стеклопластика, диаметр 500 мм, толщина 30 мм</t>
  </si>
  <si>
    <t>96-2 Т</t>
  </si>
  <si>
    <t>22.21.29.00.00.31.45.05.1</t>
  </si>
  <si>
    <t>фланец из стеклопластика, диаметр 100 мм, толщина 45 мм</t>
  </si>
  <si>
    <t>93-1 Т</t>
  </si>
  <si>
    <t>22.21.29.00.00.31.45.02.1</t>
  </si>
  <si>
    <t>фланец из стеклопластика, диаметр 300 мм, толщина 40 мм</t>
  </si>
  <si>
    <t>94-2 Т</t>
  </si>
  <si>
    <t>22.21.29.00.00.31.45.03.1</t>
  </si>
  <si>
    <t>фланец из стеклопластика, диаметр 217 мм, толщина 46 мм</t>
  </si>
  <si>
    <t>69-2 У</t>
  </si>
  <si>
    <t>68-2 У</t>
  </si>
  <si>
    <t>2828-1 Т</t>
  </si>
  <si>
    <t>141-1 У</t>
  </si>
  <si>
    <t>671-2 Т</t>
  </si>
  <si>
    <t>19,20,21</t>
  </si>
  <si>
    <t>804-2 Т</t>
  </si>
  <si>
    <t>894-2 Т</t>
  </si>
  <si>
    <t>1517-2 Т</t>
  </si>
  <si>
    <t>46 Р</t>
  </si>
  <si>
    <t>3-1 У</t>
  </si>
  <si>
    <t>74.90.21.60.00.00.00</t>
  </si>
  <si>
    <t>Услуги по экспертизе</t>
  </si>
  <si>
    <t>Экспертиза количества и качества товара</t>
  </si>
  <si>
    <t>200 У</t>
  </si>
  <si>
    <t>118-1 У</t>
  </si>
  <si>
    <t xml:space="preserve">с апреля по декабрь 2014г. </t>
  </si>
  <si>
    <t>119-1 У</t>
  </si>
  <si>
    <t>Разработка проекта промышленной разработки месторождения глин.пород на участке Мунайши Каракиянский р-н</t>
  </si>
  <si>
    <t>РК, Мангистауская область, г.Актау, по месту нахождения поставщика</t>
  </si>
  <si>
    <t>31-1 Р</t>
  </si>
  <si>
    <t>11,12,14,20,21</t>
  </si>
  <si>
    <t>32-1 Р</t>
  </si>
  <si>
    <t>95-2 Т</t>
  </si>
  <si>
    <t>22.21.29.00.00.31.45.04.1</t>
  </si>
  <si>
    <t>фланец из стеклопластика, диаметр 152, толщина 47 мм</t>
  </si>
  <si>
    <t>131-2 Т</t>
  </si>
  <si>
    <t>24.20.13.01.12.10.10.20.1</t>
  </si>
  <si>
    <t>Стальная бесшовная горячедеформированная, 114х12 мм</t>
  </si>
  <si>
    <t>129-2 Т</t>
  </si>
  <si>
    <t>24.20.13.01.12.10.22.11.3</t>
  </si>
  <si>
    <t>Стальная бесшовная горячедеформированная, 159х8мм</t>
  </si>
  <si>
    <t>126-2 Т</t>
  </si>
  <si>
    <t>24.20.13.01.12.10.21.12.1</t>
  </si>
  <si>
    <t>Стальная бесшовная горячедеформированная, 219х6 мм</t>
  </si>
  <si>
    <t>373-3 Т</t>
  </si>
  <si>
    <t>19.20.29.00.00.20.29.11.1</t>
  </si>
  <si>
    <t>Смазка для герметизации резьбовых соединений стеклопластиковых труб, температура каплепадения, °С, не ниже 250, пенетрация при 25°С , 275-305</t>
  </si>
  <si>
    <t>11,14,20,21</t>
  </si>
  <si>
    <t>авансовый платеж - 30%  в течение 30 рабочих дней сдаты подписания договора, оставшуюся    сумму в течение 15 раб. дней с даты подписания акта приемки услуг</t>
  </si>
  <si>
    <t>11,14,15</t>
  </si>
  <si>
    <t>в течение 40 календарных дней с даты получения заявки,  по 31.12.2014г</t>
  </si>
  <si>
    <t>3211-1 Т</t>
  </si>
  <si>
    <t>3212-1 Т</t>
  </si>
  <si>
    <t>3213-1 Т</t>
  </si>
  <si>
    <t>3215-1 Т</t>
  </si>
  <si>
    <t>3216-1 Т</t>
  </si>
  <si>
    <t>44-1 У</t>
  </si>
  <si>
    <t>45-1 У</t>
  </si>
  <si>
    <t>48-1 У</t>
  </si>
  <si>
    <t>49-1 У</t>
  </si>
  <si>
    <t>201 У</t>
  </si>
  <si>
    <t>202 У</t>
  </si>
  <si>
    <t>203 У</t>
  </si>
  <si>
    <t xml:space="preserve">Самосвалы по перевозке МСМ </t>
  </si>
  <si>
    <t>Виброкаток</t>
  </si>
  <si>
    <t>Автокран</t>
  </si>
  <si>
    <t>1246-2 Т</t>
  </si>
  <si>
    <t>1247-1 Т</t>
  </si>
  <si>
    <t>197-1 У</t>
  </si>
  <si>
    <t>8-2 Р</t>
  </si>
  <si>
    <t>9-2 Р</t>
  </si>
  <si>
    <t>1-2 Р</t>
  </si>
  <si>
    <t>2-2 Р</t>
  </si>
  <si>
    <t>3-1 Р</t>
  </si>
  <si>
    <t>4-1 Р</t>
  </si>
  <si>
    <t>11-2 Р</t>
  </si>
  <si>
    <t>47 Р</t>
  </si>
  <si>
    <t>13-2 Р</t>
  </si>
  <si>
    <t xml:space="preserve"> стальной каркас для фундаментов под СК</t>
  </si>
  <si>
    <t>48 Р</t>
  </si>
  <si>
    <t>49 Р</t>
  </si>
  <si>
    <t>41.00.40.20.60.00.00</t>
  </si>
  <si>
    <t>Работы строительные по ремонту помещения</t>
  </si>
  <si>
    <t>Капремонт помещений рукавного хозяйства ПК№1 м/р Каламкас</t>
  </si>
  <si>
    <t>50 Р</t>
  </si>
  <si>
    <t>Работы по монтажу кровли</t>
  </si>
  <si>
    <t>Комплекс работ по ремонту и монтажу кровли</t>
  </si>
  <si>
    <t>Капремонт шиферной кровли санблока</t>
  </si>
  <si>
    <t>51 Р</t>
  </si>
  <si>
    <t>43.91.19.10.10.00.00</t>
  </si>
  <si>
    <t>Работы по ремонту кровли</t>
  </si>
  <si>
    <t xml:space="preserve">Капремонт шиферной кровли адм.здания </t>
  </si>
  <si>
    <t>52 Р</t>
  </si>
  <si>
    <t>41.00.40.30.10.00.00</t>
  </si>
  <si>
    <t>Работы строительные по реконструкции административного здания</t>
  </si>
  <si>
    <t>Комплекс работ по реконструкции административного здания офисного типа</t>
  </si>
  <si>
    <t>Капремонт адм.здания УУиОЗГ</t>
  </si>
  <si>
    <t>53 Р</t>
  </si>
  <si>
    <t>41.00.40.20.13.10.10</t>
  </si>
  <si>
    <t>Работы строительные по капитальному ремонту фасада производственно-технического здания</t>
  </si>
  <si>
    <t>Комплекс работ по капитальному ремонту фасада производственно-технического здания</t>
  </si>
  <si>
    <t>54 Р</t>
  </si>
  <si>
    <t>Ремонт КПП объектов службы безопасности- 7 об.</t>
  </si>
  <si>
    <t>729-2 Т</t>
  </si>
  <si>
    <t>730-2 Т</t>
  </si>
  <si>
    <t xml:space="preserve"> март, май-июнь</t>
  </si>
  <si>
    <t xml:space="preserve"> май-июнь</t>
  </si>
  <si>
    <t>1167-2 Т</t>
  </si>
  <si>
    <t>май,июнь</t>
  </si>
  <si>
    <t>1168-2 Т</t>
  </si>
  <si>
    <t>1169-2 Т</t>
  </si>
  <si>
    <t>1170-2 Т</t>
  </si>
  <si>
    <t>1171-2 Т</t>
  </si>
  <si>
    <t>1172-2 Т</t>
  </si>
  <si>
    <t>37-2 Р</t>
  </si>
  <si>
    <t>155-1 У</t>
  </si>
  <si>
    <t>158-1 У</t>
  </si>
  <si>
    <t>152-1 У</t>
  </si>
  <si>
    <t>с даты вступления в силу договора до 30 июня 2014 г</t>
  </si>
  <si>
    <t>11,14,20</t>
  </si>
  <si>
    <t>163-1 У</t>
  </si>
  <si>
    <t>204 У</t>
  </si>
  <si>
    <t>Общие требования промышленной безопасности (часть-1, часть-2) (ИТР)</t>
  </si>
  <si>
    <t>151-1 У</t>
  </si>
  <si>
    <t>165-1 У</t>
  </si>
  <si>
    <t>171-1 У</t>
  </si>
  <si>
    <t>179-1 У</t>
  </si>
  <si>
    <t>2825-1 Т</t>
  </si>
  <si>
    <t>20-2 Р</t>
  </si>
  <si>
    <t>21-2 Р</t>
  </si>
  <si>
    <t>55 Р</t>
  </si>
  <si>
    <t>56 Р</t>
  </si>
  <si>
    <t>Капремонт административного здания и кузнечного цеха</t>
  </si>
  <si>
    <t>57 Р</t>
  </si>
  <si>
    <t>Капремонт мягкой кровли материальных склдов №1 и №2</t>
  </si>
  <si>
    <t>58 Р</t>
  </si>
  <si>
    <t>59 Р</t>
  </si>
  <si>
    <t>Демонтаж аварийного оборудования и трубопроводов на базе АТК "АРНА" с реконструкцией здании комрессорнрго цеха.1 объект</t>
  </si>
  <si>
    <t>Капремонт складов и административно-бытового корпуса базы АТК "АРНА" ОООП ДАВиСР АО "ММГ".1 объект</t>
  </si>
  <si>
    <t>Замена трубопроводов канализационной системы в здании пожарного депо ПК№ 1 м/р Каламкас</t>
  </si>
  <si>
    <t>Капремонт фасада здания механического цеха</t>
  </si>
  <si>
    <t>в течение 60  дней с даты вступления в силу договора, по заявкам Заказчика</t>
  </si>
  <si>
    <t>1-1 Т</t>
  </si>
  <si>
    <t>2-1 Т</t>
  </si>
  <si>
    <t>3-1 Т</t>
  </si>
  <si>
    <t>4-1 Т</t>
  </si>
  <si>
    <t>5-1 Т</t>
  </si>
  <si>
    <t>6-1 Т</t>
  </si>
  <si>
    <t>7-1 Т</t>
  </si>
  <si>
    <t>9-1 Т</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</si>
  <si>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 мм и укороченную деревянную лакированною ручку. </t>
  </si>
  <si>
    <t>12-2 Т</t>
  </si>
  <si>
    <t>13-2 Т</t>
  </si>
  <si>
    <t>14-1 Т</t>
  </si>
  <si>
    <t>18-1 Т</t>
  </si>
  <si>
    <t>19-1 Т</t>
  </si>
  <si>
    <t>20-1 Т</t>
  </si>
  <si>
    <t>21-1 Т</t>
  </si>
  <si>
    <t>22-1 Т</t>
  </si>
  <si>
    <t>23-1 Т</t>
  </si>
  <si>
    <t>24-1 Т</t>
  </si>
  <si>
    <t>25-1 Т</t>
  </si>
  <si>
    <t>26-1 Т</t>
  </si>
  <si>
    <t>27-1 Т</t>
  </si>
  <si>
    <t>28-1 Т</t>
  </si>
  <si>
    <t>30-1 Т</t>
  </si>
  <si>
    <t>31-1 Т</t>
  </si>
  <si>
    <t>32-1 Т</t>
  </si>
  <si>
    <t>72-1 Т</t>
  </si>
  <si>
    <t>73-2 Т</t>
  </si>
  <si>
    <t>75-3 Т</t>
  </si>
  <si>
    <t>76-2 Т</t>
  </si>
  <si>
    <t>77-2 Т</t>
  </si>
  <si>
    <t>79-2 Т</t>
  </si>
  <si>
    <t>80-2 Т</t>
  </si>
  <si>
    <t>81-2 Т</t>
  </si>
  <si>
    <t>82-2 Т</t>
  </si>
  <si>
    <t>85-3 Т</t>
  </si>
  <si>
    <t>86-3 Т</t>
  </si>
  <si>
    <t>89-3 Т</t>
  </si>
  <si>
    <t>90-3 Т</t>
  </si>
  <si>
    <t>91-3 Т</t>
  </si>
  <si>
    <t>93-2 Т</t>
  </si>
  <si>
    <t>94-3 Т</t>
  </si>
  <si>
    <t>95-3 Т</t>
  </si>
  <si>
    <t>96-3 Т</t>
  </si>
  <si>
    <t>97-1 Т</t>
  </si>
  <si>
    <t>101-2 Т</t>
  </si>
  <si>
    <t>102-2 Т</t>
  </si>
  <si>
    <t>103-1 Т</t>
  </si>
  <si>
    <t>104-1 Т</t>
  </si>
  <si>
    <t>105-2 Т</t>
  </si>
  <si>
    <t>106-2 Т</t>
  </si>
  <si>
    <t>107-2 Т</t>
  </si>
  <si>
    <t>109-1 Т</t>
  </si>
  <si>
    <t>111-1 Т</t>
  </si>
  <si>
    <t>113-1 Т</t>
  </si>
  <si>
    <t>184-1 Т</t>
  </si>
  <si>
    <t>3233 Т</t>
  </si>
  <si>
    <t>185-1 Т</t>
  </si>
  <si>
    <t>Фланец стальной 1-400-16, ГОСТ 12815-80*</t>
  </si>
  <si>
    <t>Фланец стальной 1-250-10       ст.25 ГОСТ 12821-80</t>
  </si>
  <si>
    <t>3234 Т</t>
  </si>
  <si>
    <t>186-1 Т</t>
  </si>
  <si>
    <t>187-1 Т</t>
  </si>
  <si>
    <t>183-2 Т</t>
  </si>
  <si>
    <t>3235 Т</t>
  </si>
  <si>
    <t>Фланец стальной 1-150-40       ГОСТ 12821-80</t>
  </si>
  <si>
    <t>188-1 Т</t>
  </si>
  <si>
    <t>189-2 Т</t>
  </si>
  <si>
    <t>190-2 Т</t>
  </si>
  <si>
    <t>3236 Т</t>
  </si>
  <si>
    <t>191-1 Т</t>
  </si>
  <si>
    <t>192-1 Т</t>
  </si>
  <si>
    <t>3237 Т</t>
  </si>
  <si>
    <t>Фланец стальной 1-200-64       ГОСТ 12821-80</t>
  </si>
  <si>
    <t>3238 Т</t>
  </si>
  <si>
    <t>Фланец стальной 1-250-40      ГОСТ 12821-80</t>
  </si>
  <si>
    <t>3239 Т</t>
  </si>
  <si>
    <t>Фланец стальной 1-80-16    ГОСТ 12821-80</t>
  </si>
  <si>
    <t>Фланец стальной 1-40-16    ГОСТ 12821-80</t>
  </si>
  <si>
    <t>3240 Т</t>
  </si>
  <si>
    <t>3241 Т</t>
  </si>
  <si>
    <t>Фланец стальной 1-65-16    ГОСТ 12821-80</t>
  </si>
  <si>
    <t>Фланец стальной 65х21    ГОСТ 12821-80</t>
  </si>
  <si>
    <t>3242 Т</t>
  </si>
  <si>
    <t>3243 Т</t>
  </si>
  <si>
    <t>3244 Т</t>
  </si>
  <si>
    <t>3245 Т</t>
  </si>
  <si>
    <t>Фланец стальной 3-100-40   ГОСТ 12821-80</t>
  </si>
  <si>
    <t xml:space="preserve">Переход стальной Э273х7 – 219х6 </t>
  </si>
  <si>
    <t>3246 Т</t>
  </si>
  <si>
    <t>3247 Т</t>
  </si>
  <si>
    <t xml:space="preserve">Переход стальной Э273х7 – 159х4,5 </t>
  </si>
  <si>
    <t>Переход стальной Э219х6 – 108х4</t>
  </si>
  <si>
    <t>Переход стальной Э159х4,5-89х3,5</t>
  </si>
  <si>
    <t>195-1 Т</t>
  </si>
  <si>
    <t>196-1 Т</t>
  </si>
  <si>
    <t>3248 Т</t>
  </si>
  <si>
    <t>3249 Т</t>
  </si>
  <si>
    <t>3250 Т</t>
  </si>
  <si>
    <t>3251 Т</t>
  </si>
  <si>
    <t>Переход стальной К273х7-219х6</t>
  </si>
  <si>
    <t>Переход стальной К159х4,5-89х3,5</t>
  </si>
  <si>
    <t>Переход стальной К720х12-426х12</t>
  </si>
  <si>
    <t>3252 Т</t>
  </si>
  <si>
    <t>3253 Т</t>
  </si>
  <si>
    <t>3254 Т</t>
  </si>
  <si>
    <t>3255 Т</t>
  </si>
  <si>
    <t>3256 Т</t>
  </si>
  <si>
    <t>200-1 Т</t>
  </si>
  <si>
    <t>Переход стальной К530х12-325х12</t>
  </si>
  <si>
    <t>Переход стальной К530х8-325х8</t>
  </si>
  <si>
    <t>Переход стальной К530х10-273х10</t>
  </si>
  <si>
    <t>3257 Т</t>
  </si>
  <si>
    <t>3258 Т</t>
  </si>
  <si>
    <t>3259 Т</t>
  </si>
  <si>
    <t>Переход стальной К530х8-219х8</t>
  </si>
  <si>
    <t>202-1 Т</t>
  </si>
  <si>
    <t>Переход стальной К-325х12-159х12</t>
  </si>
  <si>
    <t>203-1 Т</t>
  </si>
  <si>
    <t>Переход стальной К-325х8-159х4,5</t>
  </si>
  <si>
    <t>205-1 Т</t>
  </si>
  <si>
    <t>197-1 Т</t>
  </si>
  <si>
    <t>207-1 Т</t>
  </si>
  <si>
    <t>210-1 Т</t>
  </si>
  <si>
    <t>208-1 Т</t>
  </si>
  <si>
    <t>209-1 Т</t>
  </si>
  <si>
    <t>216-1 Т</t>
  </si>
  <si>
    <t>Переход стальной К-159х8-108х6</t>
  </si>
  <si>
    <t>212-1 Т</t>
  </si>
  <si>
    <t>Переход стальной К-159х8-57х4</t>
  </si>
  <si>
    <t>198-1 Т</t>
  </si>
  <si>
    <t>3260 Т</t>
  </si>
  <si>
    <t>3261 Т</t>
  </si>
  <si>
    <t>3262 Т</t>
  </si>
  <si>
    <t>3263 Т</t>
  </si>
  <si>
    <t>3264 Т</t>
  </si>
  <si>
    <t>Переход стальной К-133х15-114х13</t>
  </si>
  <si>
    <t>Переход стальной К-133х10-114х9</t>
  </si>
  <si>
    <t>Переход стальной К-114х9-89х8</t>
  </si>
  <si>
    <t>Переход стальной К-114х9-89х6</t>
  </si>
  <si>
    <t>3265 Т</t>
  </si>
  <si>
    <t>3266 Т</t>
  </si>
  <si>
    <t>3267 Т</t>
  </si>
  <si>
    <t>3268 Т</t>
  </si>
  <si>
    <t>Переход стальной К-114х9-76х7</t>
  </si>
  <si>
    <t>Переход стальной К-114х9-57х6</t>
  </si>
  <si>
    <t>Переход стальной К-114х8-57х6</t>
  </si>
  <si>
    <t>214-1 Т</t>
  </si>
  <si>
    <t>Переход стальной К-114х6-89х6</t>
  </si>
  <si>
    <t>3269 Т</t>
  </si>
  <si>
    <t>3270 Т</t>
  </si>
  <si>
    <t>3271 Т</t>
  </si>
  <si>
    <t>3272 Т</t>
  </si>
  <si>
    <t>Переход стальной К-114х6-76х5</t>
  </si>
  <si>
    <t>Переход стальной К-89х5-57х5</t>
  </si>
  <si>
    <t>Переход стальной К-57х4-20х2,5</t>
  </si>
  <si>
    <t>Переход стальной К-114х8-57х4</t>
  </si>
  <si>
    <t>3273 Т</t>
  </si>
  <si>
    <t>Переход стальной К-114х8-89х6</t>
  </si>
  <si>
    <t>217-1 Т</t>
  </si>
  <si>
    <t>3274 Т</t>
  </si>
  <si>
    <t>Заглушка 273х8,Ру-6,3 Мпа</t>
  </si>
  <si>
    <t>3275 Т</t>
  </si>
  <si>
    <t>3276 Т</t>
  </si>
  <si>
    <t>3277 Т</t>
  </si>
  <si>
    <t>Заглушка 530х10</t>
  </si>
  <si>
    <t>Заглушка 426х12,ст.20</t>
  </si>
  <si>
    <t>Заглушка 219х10,ст.20</t>
  </si>
  <si>
    <t>3278 Т</t>
  </si>
  <si>
    <t>Заглушка 219х8,ст.20</t>
  </si>
  <si>
    <t>3279 Т</t>
  </si>
  <si>
    <t>3280 Т</t>
  </si>
  <si>
    <t>3281 Т</t>
  </si>
  <si>
    <t>3282 Т</t>
  </si>
  <si>
    <t>3283 Т</t>
  </si>
  <si>
    <t>22.23.14.00.00.84.10.13.1</t>
  </si>
  <si>
    <t>3284 Т</t>
  </si>
  <si>
    <t>Крестики для укладки кафеля</t>
  </si>
  <si>
    <t>упак.</t>
  </si>
  <si>
    <t>424-2 Т</t>
  </si>
  <si>
    <t>437-1 Т</t>
  </si>
  <si>
    <t>438-1 Т</t>
  </si>
  <si>
    <t>439-1 Т</t>
  </si>
  <si>
    <t>442-1 Т</t>
  </si>
  <si>
    <t>443-1 Т</t>
  </si>
  <si>
    <t>444-1 Т</t>
  </si>
  <si>
    <t>3285 Т</t>
  </si>
  <si>
    <t>20.30.22.00.00.00.70.95.1</t>
  </si>
  <si>
    <t>алкидно-акриловая</t>
  </si>
  <si>
    <t>445-1 Т</t>
  </si>
  <si>
    <t>446-1 Т</t>
  </si>
  <si>
    <t>450-2 Т</t>
  </si>
  <si>
    <t>452-2 Т</t>
  </si>
  <si>
    <t>453-2 Т</t>
  </si>
  <si>
    <t>454-2 Т</t>
  </si>
  <si>
    <t>455-1 Т</t>
  </si>
  <si>
    <t>458-2 Т</t>
  </si>
  <si>
    <t>456-1 Т</t>
  </si>
  <si>
    <t>459-1 Т</t>
  </si>
  <si>
    <t>3286 Т</t>
  </si>
  <si>
    <t>3287 Т</t>
  </si>
  <si>
    <t>23.99.13.10.10.10.12.01.1</t>
  </si>
  <si>
    <t>Мастика МБК-Г</t>
  </si>
  <si>
    <t>тонна</t>
  </si>
  <si>
    <t>23.99.13.00.00.20.51.05.1</t>
  </si>
  <si>
    <t>Пленка</t>
  </si>
  <si>
    <t>Метр квадратный</t>
  </si>
  <si>
    <t>гидро-ветрозащитная, ширина 1500мм</t>
  </si>
  <si>
    <t>3288 Т</t>
  </si>
  <si>
    <t>23.99.19.00.00.12.01.03.1</t>
  </si>
  <si>
    <t>3289 Т</t>
  </si>
  <si>
    <t>3290 Т</t>
  </si>
  <si>
    <t>3291 Т</t>
  </si>
  <si>
    <t>3292 Т</t>
  </si>
  <si>
    <t>3293 Т</t>
  </si>
  <si>
    <t>3294 Т</t>
  </si>
  <si>
    <t>Маты минераловатные прошивные В20-100 толщ.80мм</t>
  </si>
  <si>
    <t>11,18,19</t>
  </si>
  <si>
    <t>114-2 Т</t>
  </si>
  <si>
    <t>18,19,20</t>
  </si>
  <si>
    <t>118 -1 Т</t>
  </si>
  <si>
    <t>120-1 Т</t>
  </si>
  <si>
    <t>122-3 Т</t>
  </si>
  <si>
    <t>123-3 Т</t>
  </si>
  <si>
    <t>124-3 Т</t>
  </si>
  <si>
    <t>126-3 Т</t>
  </si>
  <si>
    <t>127-2 Т</t>
  </si>
  <si>
    <t>129-3 Т</t>
  </si>
  <si>
    <t>130-1 Т</t>
  </si>
  <si>
    <t>131-3 Т</t>
  </si>
  <si>
    <t>11,18,19,20</t>
  </si>
  <si>
    <t>132-3 Т</t>
  </si>
  <si>
    <t>май, июнь, июль 2014г.</t>
  </si>
  <si>
    <t>133-3 Т</t>
  </si>
  <si>
    <t>март, май, июнь 2014г.</t>
  </si>
  <si>
    <t>134-3 Т</t>
  </si>
  <si>
    <t>март-апрель , май,июнь 2014г.</t>
  </si>
  <si>
    <t>135-3 Т</t>
  </si>
  <si>
    <t>апрель-май, июнь 2014г.</t>
  </si>
  <si>
    <t>137-2 Т</t>
  </si>
  <si>
    <t>138-1 Т</t>
  </si>
  <si>
    <t>февраль-март, май, июнь 2014г.</t>
  </si>
  <si>
    <t>139-2 Т</t>
  </si>
  <si>
    <t>140-2 Т</t>
  </si>
  <si>
    <t>март-апрель, май, июнь 2014г.</t>
  </si>
  <si>
    <t>141-2 Т</t>
  </si>
  <si>
    <t>144-3 Т</t>
  </si>
  <si>
    <t>146-3 Т</t>
  </si>
  <si>
    <t>147-2 Т</t>
  </si>
  <si>
    <t>март-апрель, май, июнь, 2014г.</t>
  </si>
  <si>
    <t>Стальная, электросварная, прямошовная,  108х5 мм, ГОСТ 10704-91</t>
  </si>
  <si>
    <t>148-1 Т</t>
  </si>
  <si>
    <t>149-3 Т</t>
  </si>
  <si>
    <t>апрель- май, июнь, 2014г.</t>
  </si>
  <si>
    <t>150-2 Т</t>
  </si>
  <si>
    <t>Труба стальная электросварная прямошовная Ø114х6мм б/у ГОСТ 10704-91</t>
  </si>
  <si>
    <t>220-1 Т</t>
  </si>
  <si>
    <t>221-1 Т</t>
  </si>
  <si>
    <t>223-2 Т</t>
  </si>
  <si>
    <t>224-1 Т</t>
  </si>
  <si>
    <t>225-2 Т</t>
  </si>
  <si>
    <t>226-2 Т</t>
  </si>
  <si>
    <t>март-апрель, май, июнь  2014г.</t>
  </si>
  <si>
    <t>227-1 Т</t>
  </si>
  <si>
    <t>228-1 Т</t>
  </si>
  <si>
    <t>март-май, июнь 2014г.</t>
  </si>
  <si>
    <t>229-2 Т</t>
  </si>
  <si>
    <t>230-2 Т</t>
  </si>
  <si>
    <t>231-2 Т</t>
  </si>
  <si>
    <t>232-1 Т</t>
  </si>
  <si>
    <t>236-2 Т</t>
  </si>
  <si>
    <t>237-2 Т</t>
  </si>
  <si>
    <t>искючено</t>
  </si>
  <si>
    <t>241-1 Т</t>
  </si>
  <si>
    <t>242 -1 Т</t>
  </si>
  <si>
    <t>243-1 Т</t>
  </si>
  <si>
    <t>март-апрель, май. июнь 2014г.</t>
  </si>
  <si>
    <t>11,19,20</t>
  </si>
  <si>
    <t>244-1 Т</t>
  </si>
  <si>
    <t>245-2 Т</t>
  </si>
  <si>
    <t>251-2 Т</t>
  </si>
  <si>
    <t>май, июнь, июль  2014г.</t>
  </si>
  <si>
    <t>11,118,19,20</t>
  </si>
  <si>
    <t>252-2 Т</t>
  </si>
  <si>
    <t>253-2 Т</t>
  </si>
  <si>
    <t>256 -1 Т</t>
  </si>
  <si>
    <t>257-1 Т</t>
  </si>
  <si>
    <t>258-1 Т</t>
  </si>
  <si>
    <t>259-1 Т</t>
  </si>
  <si>
    <t>260-2 Т</t>
  </si>
  <si>
    <t>265-3 Т</t>
  </si>
  <si>
    <t>май-июнь, июль  2014г.</t>
  </si>
  <si>
    <t>267-2 Т</t>
  </si>
  <si>
    <t>268-1 Т</t>
  </si>
  <si>
    <t>269-1 Т</t>
  </si>
  <si>
    <t>май, июнь 2014г.</t>
  </si>
  <si>
    <t>270 -1 Т</t>
  </si>
  <si>
    <t>271-1 Т</t>
  </si>
  <si>
    <t>272-1 Т</t>
  </si>
  <si>
    <t>273-1 Т</t>
  </si>
  <si>
    <t>274-2 Т</t>
  </si>
  <si>
    <t>275-2 Т</t>
  </si>
  <si>
    <t>276-2 Т</t>
  </si>
  <si>
    <t>278-1 Т</t>
  </si>
  <si>
    <t>май-июнь, июль 2014г.</t>
  </si>
  <si>
    <t>279-2 Т</t>
  </si>
  <si>
    <t>282-1 Т</t>
  </si>
  <si>
    <t>283-1 Т</t>
  </si>
  <si>
    <t>289-2 Т</t>
  </si>
  <si>
    <t>май, июнь, июль 2014г</t>
  </si>
  <si>
    <t>294-2 Т</t>
  </si>
  <si>
    <t>298-2 Т</t>
  </si>
  <si>
    <t>май,июнь,июль 2014г.</t>
  </si>
  <si>
    <t>299-2 Т</t>
  </si>
  <si>
    <t>304-1 Т</t>
  </si>
  <si>
    <t>309-1 Т</t>
  </si>
  <si>
    <t>май-июнь, 2014г.</t>
  </si>
  <si>
    <t>313-1 Т</t>
  </si>
  <si>
    <t>314-1 Т</t>
  </si>
  <si>
    <t>316-1 Т</t>
  </si>
  <si>
    <t>317-1 Т</t>
  </si>
  <si>
    <t>318-1 Т</t>
  </si>
  <si>
    <t>319-1 Т</t>
  </si>
  <si>
    <t>328-2 Т</t>
  </si>
  <si>
    <t>329-1 Т</t>
  </si>
  <si>
    <t>333-2 Т</t>
  </si>
  <si>
    <t>май,июнь, июль 2014г.</t>
  </si>
  <si>
    <t>334-2 Т</t>
  </si>
  <si>
    <t>335-2 Т</t>
  </si>
  <si>
    <t>336-2 Т</t>
  </si>
  <si>
    <t>337-2 Т</t>
  </si>
  <si>
    <t>338-2 Т</t>
  </si>
  <si>
    <t>339-2 Т</t>
  </si>
  <si>
    <t>347-2 Т</t>
  </si>
  <si>
    <t>348-1 Т</t>
  </si>
  <si>
    <t>349-2 Т</t>
  </si>
  <si>
    <t>25.94.12.00.00.10.10.20.2</t>
  </si>
  <si>
    <t>Плоская</t>
  </si>
  <si>
    <t>350-1 Т</t>
  </si>
  <si>
    <t>352-2 Т</t>
  </si>
  <si>
    <t>354-2 Т</t>
  </si>
  <si>
    <t>355-3 Т</t>
  </si>
  <si>
    <t>357-2 Т</t>
  </si>
  <si>
    <t>359-2 Т</t>
  </si>
  <si>
    <t>360-2 Т</t>
  </si>
  <si>
    <t>361-2 Т</t>
  </si>
  <si>
    <t>362-2 Т</t>
  </si>
  <si>
    <t>363-2 Т</t>
  </si>
  <si>
    <t>364-2 Т</t>
  </si>
  <si>
    <t>367-2 Т</t>
  </si>
  <si>
    <t>368-2 Т</t>
  </si>
  <si>
    <t>369-2 Т</t>
  </si>
  <si>
    <t>370-3 Т</t>
  </si>
  <si>
    <t>371-3 Т</t>
  </si>
  <si>
    <t>372-2 Т</t>
  </si>
  <si>
    <t>375-3 Т</t>
  </si>
  <si>
    <t>379-2 Т</t>
  </si>
  <si>
    <t>апрель, май, июнь, июль 2014г.</t>
  </si>
  <si>
    <t>380-2 Т</t>
  </si>
  <si>
    <t>383-2 Т</t>
  </si>
  <si>
    <t>385-2 Т</t>
  </si>
  <si>
    <t>389-2 Т</t>
  </si>
  <si>
    <t>393-1 Т</t>
  </si>
  <si>
    <t>май, июнь, июль</t>
  </si>
  <si>
    <t>394-1 Т</t>
  </si>
  <si>
    <t>395-2 Т</t>
  </si>
  <si>
    <t>396-2 Т</t>
  </si>
  <si>
    <t>397-2 Т</t>
  </si>
  <si>
    <t>398-2 Т</t>
  </si>
  <si>
    <t>401-1 Т</t>
  </si>
  <si>
    <t>402-1 Т</t>
  </si>
  <si>
    <t>403-1 Т</t>
  </si>
  <si>
    <t>404-1 Т</t>
  </si>
  <si>
    <t>404-2 Т</t>
  </si>
  <si>
    <t>405-1 Т</t>
  </si>
  <si>
    <t>406-1 Т</t>
  </si>
  <si>
    <t>407-1 Т</t>
  </si>
  <si>
    <t>408-1 Т</t>
  </si>
  <si>
    <t>409-1 Т</t>
  </si>
  <si>
    <t>410-1 Т</t>
  </si>
  <si>
    <t>412-1 Т</t>
  </si>
  <si>
    <t>413-1 Т</t>
  </si>
  <si>
    <t>415-1 Т</t>
  </si>
  <si>
    <t>416-1 Т</t>
  </si>
  <si>
    <t>417-1 Т</t>
  </si>
  <si>
    <t>418-1 Т</t>
  </si>
  <si>
    <t>422-2 Т</t>
  </si>
  <si>
    <t>май, июнь-июль 2014г.</t>
  </si>
  <si>
    <t>423-2 Т</t>
  </si>
  <si>
    <t>3,4,5,11,19,20,21</t>
  </si>
  <si>
    <t>24.10.71.00.00.12.10.05.1</t>
  </si>
  <si>
    <t>стальной, горячекатаный</t>
  </si>
  <si>
    <t>июнь- июль 2014г.</t>
  </si>
  <si>
    <t>11,12,18,19,20,21</t>
  </si>
  <si>
    <t>475-1 Т</t>
  </si>
  <si>
    <t>3,4,5,11,18,19,20,21</t>
  </si>
  <si>
    <t>июнь-июль  2014г.</t>
  </si>
  <si>
    <t>479-2 Т</t>
  </si>
  <si>
    <t>481-2 Т</t>
  </si>
  <si>
    <t>11,18,18,20,21</t>
  </si>
  <si>
    <t>482-2 Т</t>
  </si>
  <si>
    <t>489-2 Т</t>
  </si>
  <si>
    <t>490-2 Т</t>
  </si>
  <si>
    <t>491-2 Т</t>
  </si>
  <si>
    <t>493-2 Т</t>
  </si>
  <si>
    <t>494-2 Т</t>
  </si>
  <si>
    <t>июнь- июль  2014г.</t>
  </si>
  <si>
    <t>495-2 Т</t>
  </si>
  <si>
    <t>496-1 Т</t>
  </si>
  <si>
    <t>497-3 Т</t>
  </si>
  <si>
    <t>498-3 Т</t>
  </si>
  <si>
    <t>500-3 Т</t>
  </si>
  <si>
    <t>501-3 Т</t>
  </si>
  <si>
    <t>502-2 Т</t>
  </si>
  <si>
    <t>503-2 Т</t>
  </si>
  <si>
    <t>504-3 Т</t>
  </si>
  <si>
    <t>505-2 Т</t>
  </si>
  <si>
    <t>506-3 Т</t>
  </si>
  <si>
    <t>507-3 Т</t>
  </si>
  <si>
    <t>июнь - июль  2014г.</t>
  </si>
  <si>
    <t>508-2 Т</t>
  </si>
  <si>
    <t>февраль, июнь-июль 2014г.</t>
  </si>
  <si>
    <t>11,18,20,21</t>
  </si>
  <si>
    <t>509-2 Т</t>
  </si>
  <si>
    <t>510-2 Т</t>
  </si>
  <si>
    <t>511-2 Т</t>
  </si>
  <si>
    <t>514-2 Т</t>
  </si>
  <si>
    <t>11,19,20,21</t>
  </si>
  <si>
    <t>520-2 Т</t>
  </si>
  <si>
    <t>521-2 Т</t>
  </si>
  <si>
    <t>522-1 Т</t>
  </si>
  <si>
    <t>524-2 Т</t>
  </si>
  <si>
    <t>525-3 Т</t>
  </si>
  <si>
    <t>апрель- май, июнь, июль  2014г.</t>
  </si>
  <si>
    <t>526-3 Т</t>
  </si>
  <si>
    <t>апрель- май, июнь 2014г.</t>
  </si>
  <si>
    <t>529-2 Т</t>
  </si>
  <si>
    <t>апрель- май, июнь, июль 2014г.</t>
  </si>
  <si>
    <t>531-1 Т</t>
  </si>
  <si>
    <t>543-2 Т</t>
  </si>
  <si>
    <t>январь, апрель-май, июнь, июль  2014г.</t>
  </si>
  <si>
    <t>544-2 Т</t>
  </si>
  <si>
    <t>545-2 Т</t>
  </si>
  <si>
    <t>апрель-май, июнь, июль 2014г.</t>
  </si>
  <si>
    <t>546-2 Т</t>
  </si>
  <si>
    <t>547-2 Т</t>
  </si>
  <si>
    <t>548-2 Т</t>
  </si>
  <si>
    <t>549-2 Т</t>
  </si>
  <si>
    <t>550-2 Т</t>
  </si>
  <si>
    <t>январь, июнь-июль  2014г.</t>
  </si>
  <si>
    <t>551-2 Т</t>
  </si>
  <si>
    <t>552-2 Т</t>
  </si>
  <si>
    <t>553-2 Т</t>
  </si>
  <si>
    <t>июнь, июль  2014г.</t>
  </si>
  <si>
    <t>555-2 Т</t>
  </si>
  <si>
    <t>апрель, июнь  2014г.</t>
  </si>
  <si>
    <t>556-2 Т</t>
  </si>
  <si>
    <t>апрель, июнь-июль  2014г.</t>
  </si>
  <si>
    <t>557-2 Т</t>
  </si>
  <si>
    <t>559-3 Т</t>
  </si>
  <si>
    <t>560-2 Т</t>
  </si>
  <si>
    <t>561-2 Т</t>
  </si>
  <si>
    <t>562-2 Т</t>
  </si>
  <si>
    <t>564-2 Т</t>
  </si>
  <si>
    <t>565-2 Т</t>
  </si>
  <si>
    <t>январь, апрель, июнь-июль  2014г.</t>
  </si>
  <si>
    <t>566-2 Т</t>
  </si>
  <si>
    <t>январь, апрель, июнь 2014г.</t>
  </si>
  <si>
    <t>569-2 Т</t>
  </si>
  <si>
    <t>январь, апрель, июнь  2014г.</t>
  </si>
  <si>
    <t>570-2 Т</t>
  </si>
  <si>
    <t>571-2 Т</t>
  </si>
  <si>
    <t>572-2 Т</t>
  </si>
  <si>
    <t xml:space="preserve">авансовый платеж 0%, в течение 30 рабочих дней </t>
  </si>
  <si>
    <t>7,11,12,13,14,15,18,19,20,21</t>
  </si>
  <si>
    <t>573-2 Т</t>
  </si>
  <si>
    <t>574-2 Т</t>
  </si>
  <si>
    <t>575-2 Т</t>
  </si>
  <si>
    <t>576-2 Т</t>
  </si>
  <si>
    <t xml:space="preserve"> июнь-июль  2014г.</t>
  </si>
  <si>
    <t>584-2 Т</t>
  </si>
  <si>
    <t>585-2 Т</t>
  </si>
  <si>
    <t>11,12,13,18,19,20,21</t>
  </si>
  <si>
    <t>592-2 Т</t>
  </si>
  <si>
    <t xml:space="preserve"> январь, март, июль 2014г.</t>
  </si>
  <si>
    <t>12,18,19,20,21</t>
  </si>
  <si>
    <t>593-1 Т</t>
  </si>
  <si>
    <t>594-3 Т</t>
  </si>
  <si>
    <t>11,12,19,20,21</t>
  </si>
  <si>
    <t>595-1 Т</t>
  </si>
  <si>
    <t>март, июнь 2014г.</t>
  </si>
  <si>
    <t>598-2 Т</t>
  </si>
  <si>
    <t>апрель,  июнь-июль  2014г.</t>
  </si>
  <si>
    <t>12,15,18,19,20,21</t>
  </si>
  <si>
    <t>599-1 Т</t>
  </si>
  <si>
    <t>авансовый платеж - 0%, оставшаяся часть в течение 30 календарных дней с момента подписания акта о приемке активов</t>
  </si>
  <si>
    <t>603-1 Т</t>
  </si>
  <si>
    <t>610-2 Т</t>
  </si>
  <si>
    <t>611-2 Т</t>
  </si>
  <si>
    <t>612-2 Т</t>
  </si>
  <si>
    <t xml:space="preserve"> май- июнь 2014г</t>
  </si>
  <si>
    <t>614-2 Т</t>
  </si>
  <si>
    <t>615-2 Т</t>
  </si>
  <si>
    <t>616-2 Т</t>
  </si>
  <si>
    <t>617-2 Т</t>
  </si>
  <si>
    <t>618-2 Т</t>
  </si>
  <si>
    <t>622-2 Т</t>
  </si>
  <si>
    <t>623-2 Т</t>
  </si>
  <si>
    <t>624-2 Т</t>
  </si>
  <si>
    <t>625-2 Т</t>
  </si>
  <si>
    <t>626-2 Т</t>
  </si>
  <si>
    <t>627-2 Т</t>
  </si>
  <si>
    <t>628-2 Т</t>
  </si>
  <si>
    <t>629-2 Т</t>
  </si>
  <si>
    <t>630-2 Т</t>
  </si>
  <si>
    <t>631-2 Т</t>
  </si>
  <si>
    <t>633-2 Т</t>
  </si>
  <si>
    <t>634-2 Т</t>
  </si>
  <si>
    <t>635-2 Т</t>
  </si>
  <si>
    <t>636-2 Т</t>
  </si>
  <si>
    <t>637-2 Т</t>
  </si>
  <si>
    <t>638-2 Т</t>
  </si>
  <si>
    <t>639-2 Т</t>
  </si>
  <si>
    <t>640-2 Т</t>
  </si>
  <si>
    <t>641-2 Т</t>
  </si>
  <si>
    <t>642-2 Т</t>
  </si>
  <si>
    <t>643-2 Т</t>
  </si>
  <si>
    <t>644-2 Т</t>
  </si>
  <si>
    <t>647-2 Т</t>
  </si>
  <si>
    <t>648-2 Т</t>
  </si>
  <si>
    <t>650-2 Т</t>
  </si>
  <si>
    <t>652-2 Т</t>
  </si>
  <si>
    <t>653-2 Т</t>
  </si>
  <si>
    <t>654-2 Т</t>
  </si>
  <si>
    <t>655-2 Т</t>
  </si>
  <si>
    <t>656-2 Т</t>
  </si>
  <si>
    <t>657-2 Т</t>
  </si>
  <si>
    <t>658-2 Т</t>
  </si>
  <si>
    <t>659-2 Т</t>
  </si>
  <si>
    <t>661-2 Т</t>
  </si>
  <si>
    <t>662-2 Т</t>
  </si>
  <si>
    <t>663-2 Т</t>
  </si>
  <si>
    <t>664-2 Т</t>
  </si>
  <si>
    <t>665-2 Т</t>
  </si>
  <si>
    <t>666-2 Т</t>
  </si>
  <si>
    <t>667-2 Т</t>
  </si>
  <si>
    <t>668-2 Т</t>
  </si>
  <si>
    <t>669-2 Т</t>
  </si>
  <si>
    <t>670-2 Т</t>
  </si>
  <si>
    <t>672-2 Т</t>
  </si>
  <si>
    <t>673-2 Т</t>
  </si>
  <si>
    <t>674-2 Т</t>
  </si>
  <si>
    <t>675-2 Т</t>
  </si>
  <si>
    <t>676-2 Т</t>
  </si>
  <si>
    <t>677-2 Т</t>
  </si>
  <si>
    <t>678-2 Т</t>
  </si>
  <si>
    <t>679-2 Т</t>
  </si>
  <si>
    <t>680-2 Т</t>
  </si>
  <si>
    <t>681-2 Т</t>
  </si>
  <si>
    <t>682-2 Т</t>
  </si>
  <si>
    <t>683-2 Т</t>
  </si>
  <si>
    <t>721-2 Т</t>
  </si>
  <si>
    <t>июнь, июль  2014г</t>
  </si>
  <si>
    <t>724-2 Т</t>
  </si>
  <si>
    <t>апрель, июнь-июль  2014г</t>
  </si>
  <si>
    <t>809-2 Т</t>
  </si>
  <si>
    <t>882-2 Т</t>
  </si>
  <si>
    <t>июнь, июль 2014г</t>
  </si>
  <si>
    <t>883-2 Т</t>
  </si>
  <si>
    <t>885-2 Т</t>
  </si>
  <si>
    <t>470-2 Т</t>
  </si>
  <si>
    <t>462-2 Т</t>
  </si>
  <si>
    <t>май,июнь,июль  2014г.</t>
  </si>
  <si>
    <t>464-2 Т</t>
  </si>
  <si>
    <t>467-2 Т</t>
  </si>
  <si>
    <t>468-2 Т</t>
  </si>
  <si>
    <t xml:space="preserve"> май,июнь,июль 2014г.</t>
  </si>
  <si>
    <t>469-2 Т</t>
  </si>
  <si>
    <t>3295 Т</t>
  </si>
  <si>
    <t>3296 Т</t>
  </si>
  <si>
    <t>3297 Т</t>
  </si>
  <si>
    <t>3298 Т</t>
  </si>
  <si>
    <t>3299 Т</t>
  </si>
  <si>
    <t>3300 Т</t>
  </si>
  <si>
    <t>3301 Т</t>
  </si>
  <si>
    <t>Уголок стальной 80х80х6, Ст3пс5, ГОСТ 8509-93</t>
  </si>
  <si>
    <t>Уголок стальной 100х63х10, Ст3пс5, ГОСТ 8509-93</t>
  </si>
  <si>
    <t>Уголок стальной 110х110х7, Ст3пс5, ГОСТ 8509-93</t>
  </si>
  <si>
    <t>Уголок стальной 50х50х3, Ст3пс5, ГОСТ 8509-93</t>
  </si>
  <si>
    <t xml:space="preserve">Уголок стальной 110х70х7, ГОСТ 8510-86*, Неравнополочный. Ст3пс5, </t>
  </si>
  <si>
    <t>Уголок стальной 70х70х6, Ст3пс5, ГОСТ 8509-93</t>
  </si>
  <si>
    <t xml:space="preserve">Уголок стальной 70х45х5, ГОСТ 8510-86*, Неравнополочный. Ст3пс5, </t>
  </si>
  <si>
    <t>471-2 Т</t>
  </si>
  <si>
    <t>473-2 Т</t>
  </si>
  <si>
    <t>май, июнь, июль-август 2014г.</t>
  </si>
  <si>
    <t>март-апрель,  2014г.</t>
  </si>
  <si>
    <t>январь, апрель, май, июнь 2014г.</t>
  </si>
  <si>
    <t xml:space="preserve"> апрель- май, июнь  2014г.</t>
  </si>
  <si>
    <t>145-3 Т</t>
  </si>
  <si>
    <t>143-3 Т</t>
  </si>
  <si>
    <t>161-3 Т</t>
  </si>
  <si>
    <t>162-2 Т</t>
  </si>
  <si>
    <t>164-2 Т</t>
  </si>
  <si>
    <t>163-2 Т</t>
  </si>
  <si>
    <t>165-2 Т</t>
  </si>
  <si>
    <t>166-3 Т</t>
  </si>
  <si>
    <t>167-2 Т</t>
  </si>
  <si>
    <t>169-2 Т</t>
  </si>
  <si>
    <t>170-2 Т</t>
  </si>
  <si>
    <t>171-2 Т</t>
  </si>
  <si>
    <t>172-3 Т</t>
  </si>
  <si>
    <t>173-2 Т</t>
  </si>
  <si>
    <t>176-2 Т</t>
  </si>
  <si>
    <t>177-2 Т</t>
  </si>
  <si>
    <t>178-2 Т</t>
  </si>
  <si>
    <t>180-3 Т</t>
  </si>
  <si>
    <t>181-2 Т</t>
  </si>
  <si>
    <t>182-2 Т</t>
  </si>
  <si>
    <t>Труба стальная бесшовная ф114х10 мм</t>
  </si>
  <si>
    <t xml:space="preserve"> май, июнь, июль</t>
  </si>
  <si>
    <t>24.20.13.01.12.10.10.15.1</t>
  </si>
  <si>
    <t>Стальная бесшовная горячедеформированная, 114х5 мм, ГОСТ 8732-78</t>
  </si>
  <si>
    <t>Труба стальная бесшовная ф114х5 мм</t>
  </si>
  <si>
    <t>24.20.13.01.12.10.18.11.1</t>
  </si>
  <si>
    <t>Стальная бесшовная горячедеформированная, 89х4 мм ГОСТ 8732-78</t>
  </si>
  <si>
    <t>Труба стальная бесшовная ф89х4 мм</t>
  </si>
  <si>
    <t>Труба стальная бесшовная Ø76х6мм, ГОСТ 8732-78</t>
  </si>
  <si>
    <t>Труба стальная бесшовная Ø73х5,5мм, ГОСТ 8732-78</t>
  </si>
  <si>
    <t>Труба стальная бесшовная Ø73х4,5мм, ГОСТ 8732-78</t>
  </si>
  <si>
    <t>Труба стальная бесшовная Ø57х6мм, ГОСТ 8732-78</t>
  </si>
  <si>
    <t>Труба стальная бесшовная Ø57х3,5мм, ГОСТ 8732-79</t>
  </si>
  <si>
    <t>Труба стальная водогазопроводная неоцинкованная Ø32х4мм(Ду32) ГОСТ 3262-75</t>
  </si>
  <si>
    <t>Труба стальная водогазопроводная неоцинкованная Ø32х3,2мм(Ду32) ГОСТ 3262-75</t>
  </si>
  <si>
    <t>Труба стальная водогазопроводная неоцинкованная Ø32х2,5мм(Ду32) ГОСТ 3262-75</t>
  </si>
  <si>
    <t>Труба стальная водогазопроводная неоцинкованная Ø25х4мм (Ду25)</t>
  </si>
  <si>
    <t>Труба стальная водогазопроводная неоцинкованная Ø25х2,5мм (Ду25)</t>
  </si>
  <si>
    <t>Труба стальная водогазопроводная неоцинкованная Ø20х3мм (Ду20)</t>
  </si>
  <si>
    <t>24.20.21.01.11.10.15.14.1</t>
  </si>
  <si>
    <t>Стальная электросварная прямошовная, наружный диаметр - 720 мм, толщина стенки - 10,0 мм, ГОСТ 10704-91 (взамен ГОСТ 10704-76)</t>
  </si>
  <si>
    <t>Труба стальная электросварная прямошовная Ø720х10мм, ГОСТ 10704-91</t>
  </si>
  <si>
    <t>24.20.21.01.11.10.13.13.1</t>
  </si>
  <si>
    <t>Стальная электросварная прямошовная, наружный диаметр - 530 мм, толщина стенки - 6,0 мм, ГОСТ 10704-91 (взамен ГОСТ 10704-76)</t>
  </si>
  <si>
    <t>Труба стальная электросварная прямошовная Ø530х6мм</t>
  </si>
  <si>
    <t>24.20.21.01.11.10.11.16.1</t>
  </si>
  <si>
    <t>Стальная электросварная прямошовная, наружный диаметр - 426 мм, толщина стенки - 7,0 мм, ГОСТ 10704-91 (взамен ГОСТ 10704-76)</t>
  </si>
  <si>
    <t>24.20.13.01.13.10.20.11.1</t>
  </si>
  <si>
    <t>Стальная, электросварная, прямошовная,    273х6 мм, ГОСТ 10704-91</t>
  </si>
  <si>
    <t>24.20.13.01.13.10.12.12.1</t>
  </si>
  <si>
    <t>Стальная, электросварная, прямошовная,    219х6 мм, ГОСТ 10704-91</t>
  </si>
  <si>
    <t>24.20.13.01.13.10.14.09.1</t>
  </si>
  <si>
    <t>Стальная, электросварная, прямошовная, 89 х 4 ст. 10, ГОСТ 10704-91</t>
  </si>
  <si>
    <t>24.20.13.01.13.10.10.55.1</t>
  </si>
  <si>
    <t>Стальная, электросварная, прямошовная, 57х4, ГОСТ 10704-91</t>
  </si>
  <si>
    <t>24.20.13.01.12.10.13.11.1</t>
  </si>
  <si>
    <t>Стальная бесшовная горячедеформированная, 32х3 мм ГОСТ 8732-78</t>
  </si>
  <si>
    <t>24.20.13.01.12.10.12.11.1</t>
  </si>
  <si>
    <t>Стальная бесшовная горячедеформированная, 25х3 мм ГОСТ 8732-78</t>
  </si>
  <si>
    <t>24.20.21.01.11.10.15.11.1</t>
  </si>
  <si>
    <t>Стальная электросварная прямошовная, наружный диаметр - 720 мм, толщина стенки - 7,0 мм, ГОСТ 10704-91 (взамен ГОСТ 10704-76)</t>
  </si>
  <si>
    <t>Труба стальная электросварная прямошовная Ø720х7мм, ГОСТ 10704-91</t>
  </si>
  <si>
    <t>Труба стальная электросварная прямошовная Ø377х8мм, ГОСТ 10704-91</t>
  </si>
  <si>
    <t>24.20.13.01.13.10.19.11.1</t>
  </si>
  <si>
    <t>Стальная, электросварная, прямошовная,    57х4,5 мм, ГОСТ 10704-91</t>
  </si>
  <si>
    <t>Труба стальная электросварная прямошовная Ø159х4,5мм, ГОСТ 10704-92</t>
  </si>
  <si>
    <t>24.20.31.01.13.10.14.11.1</t>
  </si>
  <si>
    <t>Стальная, электросварная, прямошовная, диаметр 40Х3,5мм ГОСТ 10704-91</t>
  </si>
  <si>
    <t>Труба стальная электросварная прямошовная Ø38х3мм, ГОСТ 10704-95</t>
  </si>
  <si>
    <t>24.20.31.01.13.10.16.11.1</t>
  </si>
  <si>
    <t>Стальная, электросварная, прямошовная,  диаметр, 159Х8мм, ГОСТ 10704-91, СТ3 ПС5</t>
  </si>
  <si>
    <t>24.20.31.01.10.11.16.11.1</t>
  </si>
  <si>
    <t>Стальная, водогазопроводная, сварная,  обыкновенная, Условный проход - 32 мм, наружный диаметр - 42,3 мм, толщина стенки - 3,2 мм, ГОСТ 3262-75</t>
  </si>
  <si>
    <t>Труба водогазопроводная оцинкованная Ø42,3х3,2мм(Ду 32мм)</t>
  </si>
  <si>
    <t>24.20.31.01.10.11.15.11.1</t>
  </si>
  <si>
    <t>Стальная, водогазопроводная, сварная,  обыкновенная, Условный проход - 25 мм, наружный диаметр - 33,5 мм, толщина стенки - 3,2 мм, ГОСТ 3262-75</t>
  </si>
  <si>
    <t>Труба водогазопроволная оцинкованная Ø33,5х3,2мм(Ду 25мм)</t>
  </si>
  <si>
    <t>24.20.31.01.10.11.14.11.1</t>
  </si>
  <si>
    <t>Стальная, водогазопроводная, сварная,  обыкновенная, Условный проход - 20 мм, наружный диаметр - 26,8 мм, толщина стенки - 2,8 мм, ГОСТ 3262-75</t>
  </si>
  <si>
    <t>Труба водогазопроволная оцинкованная Ø20х2,8мм(Ду 20мм)</t>
  </si>
  <si>
    <t>24.20.31.01.10.11.13.11.1</t>
  </si>
  <si>
    <t>Стальная, водогазопроводная, сварная,  обыкновенная, Условный проход - 15 мм, наружный диаметр - 21,3 мм, толщина стенки - 2,8 мм, ГОСТ 3262-75</t>
  </si>
  <si>
    <t>Труба водогазопроволная оцинкованная Ø21,3х2,8мм(Ду 15мм)</t>
  </si>
  <si>
    <t>Тройник стальной Ø325х7мм</t>
  </si>
  <si>
    <t>Тройник стальной Ø273х10-219х8мм</t>
  </si>
  <si>
    <t>Тройник стальной Ø273х7мм</t>
  </si>
  <si>
    <t>Тройник стальной Ø219х6мм</t>
  </si>
  <si>
    <t>Тройник стальной Ø159х6мм</t>
  </si>
  <si>
    <t>Тройник стальной Ø159х4,5мм</t>
  </si>
  <si>
    <t>Тройник стальной Ø108х6мм</t>
  </si>
  <si>
    <t>Тройник стальной Ø108х6-89х6мм</t>
  </si>
  <si>
    <t>Тройник стальной Ø108х4мм</t>
  </si>
  <si>
    <t>Тройник стальной Ø89х3,5мм</t>
  </si>
  <si>
    <t>Тройник стальной Ø89х3,5-57х3мм</t>
  </si>
  <si>
    <t>Тройник стальной Ø219х6-159х6мм</t>
  </si>
  <si>
    <t>тройник фланцевый с пожарной подставкой ППТ Ø300х200мм</t>
  </si>
  <si>
    <t>тройник переходной исп.2 Ø89х6-57х4мм ст.20</t>
  </si>
  <si>
    <t>тройник равнопроходной исп.2 Ø57х4мм</t>
  </si>
  <si>
    <t>Задвижка стальная с ответными фланцами ЗКЛ-2-200-16, 30с41нж, клиновая с ручным приводом в комплекте с ответными фланцами, шпильками, гайками, прокладками, ТУ 3741-001-07533604-94</t>
  </si>
  <si>
    <t>Задвижка стальная ЗКАП Ду150 Ру16,30с941нж, с электроприводом взрывозащищенного исполнения</t>
  </si>
  <si>
    <t>Задвижка стальная ЗКАП Ду100 Ру40,30с941нж, с электроприводом взрывозащищенного исполнения, в комлекте с ответными фланцами, шпильками, гайками, шайбами, уплотнительными стальными кольцами</t>
  </si>
  <si>
    <t>Задвижка стальная ЗКАП Ду100 Ру16,30с941нж, с электроприводом взрывозащищенного исполнения, в комлекте с ответными фланцами, шпильками, гайками, шайбами, уплотнительными стальными кольцами</t>
  </si>
  <si>
    <t>Задвижка ЗКЛ-2-80-16, 30с41нж, клиновая с ручным приводом в комплекте с ответными фланцами, шпильками, гайками, прокладками, ТУ 3741-001-07533604-94</t>
  </si>
  <si>
    <t>Задвижка клиновая стальная с электрическим приводом Ду80 Ру16, 30с915нж, ответными фланцами, шпильками, гайками, шайбами, уплотнительными кольцами.</t>
  </si>
  <si>
    <t>Задвижка стальная с ответными фланцами ЗКЛ-2-300-16, 30с41нж, клиновая с ручным приводом в комплекте с ответными фланцами, шпильками, гайками, прокладками, ТУ 3741-001-07533604-94</t>
  </si>
  <si>
    <t>Задвижка стальная с ответными фланцами ЗКЛ-2-100-40, 30с915нж, клиновая с ручным приводом в комплекте с ответными фланцами, шпильками, гайками, прокладками, ТУ 3741-001-07533604-94</t>
  </si>
  <si>
    <t>24.20.14.00.10.10.10.13.1</t>
  </si>
  <si>
    <t>квадратная 100х100,сталь 1-3ПС, 9г2с,со стенкой 3; 4; 5; 6; 8</t>
  </si>
  <si>
    <t>труба квадратная 100х100х5мм</t>
  </si>
  <si>
    <t>26.51.63.13.15.11.11.13.1</t>
  </si>
  <si>
    <t>винтовой, для измерения объемного количества нефтепродуктов, диаметр условного прохода - 100 мм, максимальное рабочее давление - 0,6 Мпа</t>
  </si>
  <si>
    <t>Счетчик нефти турбинный НОРД-М100-6,3Н ТУ39-1478-90, Ду100 Ру 40 с блоком электронным НОРД-33М, VII исполнения и магнитоиндукционным датчиком НОРД-ИУ-02</t>
  </si>
  <si>
    <t>28.14.11.22.00.00.00.10.1</t>
  </si>
  <si>
    <t>Клапан регулирующий обратный</t>
  </si>
  <si>
    <t>Затвор (клапан) обратный поворотный из стали</t>
  </si>
  <si>
    <t>Клапан обратный поворотный с ответными фланцами и метизами Ду250, Ру4,0 Мпа</t>
  </si>
  <si>
    <t>28.14.13.17.17.10.00.16.1</t>
  </si>
  <si>
    <t>Клапан запорный</t>
  </si>
  <si>
    <t>Клапан запорный сальниковый С 21150 сталь, фланцевый, ручной  Т 300°С, Ру 20,5 МПа, Dy 20 мм</t>
  </si>
  <si>
    <t>Клапан запорный сальниковый проходной фланцевый Ду20, Ру1,6МПа</t>
  </si>
  <si>
    <t>28.14.13.15.10.14.01.30.1</t>
  </si>
  <si>
    <t>Клапан обратный поворотный из стали 20Л, КОП 100-160 19с53нж, Т от -40°С до 425°С, Ру 4 МПа, Dy 150 мм</t>
  </si>
  <si>
    <t>Клапан обратный Ду 150, Ру4,0, 19с53нж</t>
  </si>
  <si>
    <t>Клапан обратный Ду 150, Ру16, 19с53нж</t>
  </si>
  <si>
    <t>Клапан обратный Ду100, Ру16, 19с53нж</t>
  </si>
  <si>
    <t>28.14.11.27.00.00.00.01.1</t>
  </si>
  <si>
    <t>Предохранительный клапан стальной</t>
  </si>
  <si>
    <t>Предохранительный клапан стальной, тип соединения - фланцевое</t>
  </si>
  <si>
    <t>Клапан предохранительный СПППК 4 250-16, 17с6нж</t>
  </si>
  <si>
    <t>Клапан дыхательный СМДК-250АА, ТУ 3689-003-10524112-2001</t>
  </si>
  <si>
    <t>Огнепреградитель ОП-50АА</t>
  </si>
  <si>
    <t>Клапан дыхательный СМДК-50АА, У1 ТУ 3689-003-10524112-2001</t>
  </si>
  <si>
    <t>Счетчик нефти турбинный НОРД-М250-40</t>
  </si>
  <si>
    <t>26.20.30.00.00.35.10.01.1</t>
  </si>
  <si>
    <t>Фильтр для защиты сетевых концентраторов и сетевого оборудования</t>
  </si>
  <si>
    <t>Фильтр сетчатый НОРД-250х40</t>
  </si>
  <si>
    <t>28.14.13.15.10.14.01.28.1</t>
  </si>
  <si>
    <t>Клапан обратный поворотный из стали 20Л, КОП 100-160 19с53нж, Т от -40°С до 425°С, Ру 4 МПа, Dy 80 мм</t>
  </si>
  <si>
    <t>Клапан обратный поворотный Ду80, Ру40МПа, 19с53нж</t>
  </si>
  <si>
    <t>28.29.12.00.00.00.32.10.1</t>
  </si>
  <si>
    <t>Фильтр мешочный</t>
  </si>
  <si>
    <t>тонкость фильтрации от 100 до 125 мкм, для фильтрации жидкостей</t>
  </si>
  <si>
    <t>Фильтр сетчатый типа ФС 100С 16-0,8У</t>
  </si>
  <si>
    <t>26.51.63.12.11.11.13.15.1</t>
  </si>
  <si>
    <t>Счетчик газа</t>
  </si>
  <si>
    <t>ротационный, тип RVG G100</t>
  </si>
  <si>
    <t>Ротационный счетчик газа RVG G100 Ду 80мм</t>
  </si>
  <si>
    <t>28.29.12.00.00.00.39.00.2</t>
  </si>
  <si>
    <t>сетчатый дренажный жидкостный фильтр</t>
  </si>
  <si>
    <t>Фильтр газовый сетчатый ФС-50 с ответными фланцами и метизами</t>
  </si>
  <si>
    <t>Клапан регулирующий с ручным приводом РК-Р241 С50 32Л НО У Ду50, Ру1,6МПа</t>
  </si>
  <si>
    <t>26.51.52.32.10.10.10.00.1</t>
  </si>
  <si>
    <t>Сигнализатор</t>
  </si>
  <si>
    <t>Сигнализатор уровня жидкости</t>
  </si>
  <si>
    <t>Сигнализатор уровня СУ-1, , Ду-50</t>
  </si>
  <si>
    <t>Быстроразъёмное соединение ГМ 50</t>
  </si>
  <si>
    <t>17.12.41.20.00.00.00.20.1</t>
  </si>
  <si>
    <t>Крафт -бумага мешочная</t>
  </si>
  <si>
    <t>четырехслойные, тарность мешка 40 кг, размером 83х40х21,5 и 95х40х21,5 см, общая масса волокна 80%, масса бумаги площадью 1кв.м 60 г и не более 115 г</t>
  </si>
  <si>
    <t>Крафтбумага</t>
  </si>
  <si>
    <t>625</t>
  </si>
  <si>
    <t>лист</t>
  </si>
  <si>
    <t>26.51.12.00.00.17.11.22.1</t>
  </si>
  <si>
    <t>Уровнемер</t>
  </si>
  <si>
    <t>Скважинный</t>
  </si>
  <si>
    <t>Уровнемер раздела фаз</t>
  </si>
  <si>
    <t>28.14.13.42.00.00.00.02.1</t>
  </si>
  <si>
    <t>Вентиль запорный муфтовый стальной угловой</t>
  </si>
  <si>
    <t>Вентиль угловой вус Ду50 Ру21 Мпа</t>
  </si>
  <si>
    <t>25.99.29.00.01.15.11.10.1</t>
  </si>
  <si>
    <t>Запорный клапан</t>
  </si>
  <si>
    <t xml:space="preserve">Клапаны стальные запорные (вентили) 15с22нж Ру40 </t>
  </si>
  <si>
    <t>22.21.29.00.00.23.23.24.1</t>
  </si>
  <si>
    <t>Отвод из поливинилхлорида с углом поворота 90 градусов диаметр 200 мм</t>
  </si>
  <si>
    <t>Отвод из ПВХ Ø200мм, 90град.</t>
  </si>
  <si>
    <t>Отвод полиэтиленовый Ø150мм, 90град.</t>
  </si>
  <si>
    <t>Трап Т50 чугунный ГОСТ 1811-97</t>
  </si>
  <si>
    <t>Трап Т100 чугунный ГОСТ 1811-97</t>
  </si>
  <si>
    <t>22.21.29.00.00.24.10.10.1</t>
  </si>
  <si>
    <t>Переходник полипропиленовый</t>
  </si>
  <si>
    <t>Переход 50х100</t>
  </si>
  <si>
    <t>Переход РЕ100SDR11  63х32</t>
  </si>
  <si>
    <t>Труба полипропиленовая</t>
  </si>
  <si>
    <t xml:space="preserve">Труба HDPE 100 SDR 33-200х6.2 </t>
  </si>
  <si>
    <t xml:space="preserve">Отвод 900  ПЭ100  SDR17-32  </t>
  </si>
  <si>
    <t xml:space="preserve">Труба HDPE 100 SDR 33-160х4.9  </t>
  </si>
  <si>
    <t>Труба полиэтиленовая "Технической" ПНДЕ 100 SDR26 Ø160х6,2мм</t>
  </si>
  <si>
    <t>22.21.21.00.00.40.34.15.2</t>
  </si>
  <si>
    <t>Труба полиэтиленовая ПЭ 100 для водоснабжения SDR 11 диаметр в мм/толщина в мм/давление атм 63/5,8/16</t>
  </si>
  <si>
    <t>Труба полиэтиленовая "Технической" ПНДЕ 100 SDR11 Ø63х5,8мм</t>
  </si>
  <si>
    <t>22.21.21.00.00.40.34.57.1</t>
  </si>
  <si>
    <t>Труба полиэтиленовая ПЭ 100 диаметр в мм/толщина в мм 32х5,2</t>
  </si>
  <si>
    <t xml:space="preserve">12.Труба HDPE 100 SDR 17-32х3    </t>
  </si>
  <si>
    <t>22.21.29.00.00.12.40.30.1</t>
  </si>
  <si>
    <t>тройник переходной из полиэтилена низкого давления с уголом поворота 90º, диаметр 280/200 мм</t>
  </si>
  <si>
    <t xml:space="preserve">Тройник РЕ 39-05 ПЭ100 SDR11-63 </t>
  </si>
  <si>
    <t>Тройник PE100 SDR 17-32</t>
  </si>
  <si>
    <t>22.21.29.00.00.12.40.14.1</t>
  </si>
  <si>
    <t>тройник переходной из полиэтилена низкого давления с уголом поворота 90º, диаметр 63 мм</t>
  </si>
  <si>
    <t>Стыковой фитинг РЕ 100 SDR17  de63</t>
  </si>
  <si>
    <t>22.21.29.00.00.31.30.10.1</t>
  </si>
  <si>
    <t>фланец из полиэтилена</t>
  </si>
  <si>
    <t xml:space="preserve">Свободный фланец РР сталь DN/de 50/63 </t>
  </si>
  <si>
    <t>22.21.21.00.00.40.20.05.2</t>
  </si>
  <si>
    <t>Труба полиэтиленовая НПДЕ100 Ø250х9,6мм SDR33</t>
  </si>
  <si>
    <t>Труба полиэтиленовая НПДЕ100 Ø110х3,4мм SDR33</t>
  </si>
  <si>
    <t>Отвод полиэтиленовый Ø100мм, 90град. РЕ100 SDR17</t>
  </si>
  <si>
    <t>Отвод 90˚ ПНД 50</t>
  </si>
  <si>
    <t>Отвод 90˚ ПНД 100</t>
  </si>
  <si>
    <t>Тройник полиэтиленовый 110х110 РЕ100 SDR17</t>
  </si>
  <si>
    <t>Шпилька М20х120</t>
  </si>
  <si>
    <t>Шайба 30</t>
  </si>
  <si>
    <t>Шайба 10</t>
  </si>
  <si>
    <t>Шайба 12</t>
  </si>
  <si>
    <t>25.94.11.00.00.17.15.30.1</t>
  </si>
  <si>
    <t>Болт с шестигранной головкой  с  диаметром резьбы 16 мм , длиной болта 70 мм</t>
  </si>
  <si>
    <t>Болт с двумя гайками и шайбой М16х70, оцинкованные с покрытием полная резьба с гайкой и шайбой, ГОСТ 7798-70, ГОСТ 5915-70</t>
  </si>
  <si>
    <t>25.94.11.00.00.17.12.25.1</t>
  </si>
  <si>
    <t>Болт с шестигранной головкой  с  диаметром резьбы 10 мм , длиной болта 45 мм</t>
  </si>
  <si>
    <t>Болт с гайкой и шайбой М10х45, оцинкованные с покрытием полная резьба с гайкой и шайбой, ГОСТ 7798-70, ГОСТ 5915-70</t>
  </si>
  <si>
    <t>25.94.11.00.00.17.19.33.2</t>
  </si>
  <si>
    <t>Болт с шестигранной головкой  с  диаметром резьбы 24 мм , длиной болта 90 мм</t>
  </si>
  <si>
    <t>Болт с двумя гайками и шайбойМ24х90.35.</t>
  </si>
  <si>
    <t>25.94.11.00.00.17.17.31.1</t>
  </si>
  <si>
    <t>Болт с шестигранной головкой  с  диаметром резьбы 20 мм , длиной болта 75 мм</t>
  </si>
  <si>
    <t xml:space="preserve">Болт с двумя гайками и шайбойМ20х75.35 </t>
  </si>
  <si>
    <t>25.94.11.00.00.17.15.32.1</t>
  </si>
  <si>
    <t>Болт с шестигранной головкой  с  диаметром резьбы 16 мм , длиной болта 80 мм</t>
  </si>
  <si>
    <t>Болт с двумя гайками и шайбой М16х80</t>
  </si>
  <si>
    <t>25.94.11.00.00.17.18.39.1</t>
  </si>
  <si>
    <t>Болт с шестигранной головкой  с  диаметром резьбы 22 мм , длиной болта 120 мм</t>
  </si>
  <si>
    <t>Болт с гайкой и шайбой М22х120</t>
  </si>
  <si>
    <t>25.94.11.00.00.17.18.35.1</t>
  </si>
  <si>
    <t>Болт с шестигранной головкой  с  диаметром резьбы 22 мм , длиной болта 100 мм</t>
  </si>
  <si>
    <t>Болт с гайкой и шайбой М22х100</t>
  </si>
  <si>
    <t>25.94.11.00.00.17.26.17.1</t>
  </si>
  <si>
    <t>с шестигранной головкой диаметром резьбы М16</t>
  </si>
  <si>
    <t>Болт с гайкой и шайбой М16х480</t>
  </si>
  <si>
    <t>25.94.12.00.00.11.10.10.1</t>
  </si>
  <si>
    <t>Саморез с потайной головкой</t>
  </si>
  <si>
    <t>Шуруп самонарезающий 3,5х9 LN9, комплектующие к ГКЛ для соединения металлических деталей</t>
  </si>
  <si>
    <t>Шуруп самонарезающий 3х16</t>
  </si>
  <si>
    <t>25.99.29.00.08.10.12.10.1</t>
  </si>
  <si>
    <t>кронштейны (кроме вешалок для верхней одежды, имеющих отличительные признаки мебели)</t>
  </si>
  <si>
    <t>Кронштейн радиаторный L=131мм</t>
  </si>
  <si>
    <t>Кронштейн радиаторный L=325мм</t>
  </si>
  <si>
    <t>Дюбель тарельчатый LIM-10/180, для крепления теплоизоляции</t>
  </si>
  <si>
    <t>Дюбель-гвозди монтажные 10х130мм</t>
  </si>
  <si>
    <t>25.94.11.00.00.10.36.01.1</t>
  </si>
  <si>
    <t>анкерный</t>
  </si>
  <si>
    <t>Болт анкерный изогнутый 1.1.М24х800</t>
  </si>
  <si>
    <t>Болт анкерный изогнутый 1.1.М24х1200</t>
  </si>
  <si>
    <t>Болт анкерный изогнутый 1.1.М24х1500</t>
  </si>
  <si>
    <t>Болт анкерный изогнутый 1.1.М27х800</t>
  </si>
  <si>
    <t>Болт анкерный с анкерной плитой 2.1.М30х710</t>
  </si>
  <si>
    <t>25.94.11.00.00.12.10.10.1</t>
  </si>
  <si>
    <t>Изделие из черных металлов</t>
  </si>
  <si>
    <t>Гайка М36</t>
  </si>
  <si>
    <t>23.99.11.07.10.00.00.01.1</t>
  </si>
  <si>
    <t>листовой</t>
  </si>
  <si>
    <t>Паронит листовой ПОН-Б 4,0х500х500</t>
  </si>
  <si>
    <t xml:space="preserve">Краска эмаль НЦ-132 черная, ГОСТ 6631-74, расфассовка по 50кг   </t>
  </si>
  <si>
    <t>20.30.21.00.21.05.18.19.1</t>
  </si>
  <si>
    <t>НЦ-132 красно-коричневый, массовая доля нелетучих веществ, %, не менее 32-40, ГОСТ 6631-74</t>
  </si>
  <si>
    <t>Краска эмаль НЦ-132 красная, ГОСТ 6631-74, расфассовка по 50кг</t>
  </si>
  <si>
    <t>Двухкомпонентная Краска НЕМРАDUR -55210, расфассовка по 20л</t>
  </si>
  <si>
    <t>20.59.59.00.17.11.10.10.2</t>
  </si>
  <si>
    <t>смеси летучих органических растворителей, марка Р-4, ГОСТ 7827-74</t>
  </si>
  <si>
    <t>Растворитель Р-4</t>
  </si>
  <si>
    <t>Литр (куб. дм.)</t>
  </si>
  <si>
    <t>20.30.21.00.21.06.13.17.1</t>
  </si>
  <si>
    <t>ПФ-115 первый сорт коричневый, массовая доля нелетучих веществ, %, не менее 57-63, ГОСТ 6465-76</t>
  </si>
  <si>
    <t>Краска эмаль ПФ-115 коричневая</t>
  </si>
  <si>
    <t>16.10.39.00.00.01.08.04.1</t>
  </si>
  <si>
    <t>Доска необрезная</t>
  </si>
  <si>
    <t>толщина 50 мм, ширина 220 мм</t>
  </si>
  <si>
    <t>Доска необрезная, толщина 50мм, пиломатериалы хвойных пород, размер 6000х200х50мм, ГОСТ 24454-80*</t>
  </si>
  <si>
    <t>16.10.10.10.11.10.10.16.1</t>
  </si>
  <si>
    <t>Брус</t>
  </si>
  <si>
    <t>обрезной, из хвойных пород, размер 2800*150*150 мм</t>
  </si>
  <si>
    <t>16.10.39.10.10.10.10.02.1</t>
  </si>
  <si>
    <t>обрезная хвойных пород длиной до 6,5 м, шириной от 75 мм до 150 мм, толщиной от 19 мм до 22 мм, 1 сорта</t>
  </si>
  <si>
    <t>Доска обрезная, толщина 25мм</t>
  </si>
  <si>
    <t>25.12.10.00.00.17.13.10.1</t>
  </si>
  <si>
    <t>Навес</t>
  </si>
  <si>
    <t>оконные</t>
  </si>
  <si>
    <t xml:space="preserve">Петля стальные для деревянных окон </t>
  </si>
  <si>
    <t>25.12.10.00.00.17.10.10.1</t>
  </si>
  <si>
    <t>левые (правые) стальные для деревянных дверей</t>
  </si>
  <si>
    <t xml:space="preserve">Петля стальные для деревянных дверей </t>
  </si>
  <si>
    <t>25.12.10.00.00.17.14.10.1</t>
  </si>
  <si>
    <t>форточные</t>
  </si>
  <si>
    <t>Завертки форточные</t>
  </si>
  <si>
    <t>25.72.13.00.00.10.11.10.1</t>
  </si>
  <si>
    <t>Шпингалет</t>
  </si>
  <si>
    <t>шпингалеты дверные закрытого типа</t>
  </si>
  <si>
    <t>Шпингалет дверной, ТНП 28-375.000-02</t>
  </si>
  <si>
    <t>Отвод стальной Ø720х8,  90гр.Ст20, ГОСТ 17375-2002</t>
  </si>
  <si>
    <t>Отвод стальной Ø530х12,  90гр.Ст20, ГОСТ 17375-2003</t>
  </si>
  <si>
    <t>Отвод стальной Ø325х12,  45гр.ст20, ГОСТ 17375-2001</t>
  </si>
  <si>
    <t>Отвод стальной Ø273х7,  90гр.</t>
  </si>
  <si>
    <t>Отвод стальной Ø219х6,  90гр.</t>
  </si>
  <si>
    <t>Отвод стальной Ø273х6,  45гр.</t>
  </si>
  <si>
    <t>Отвод стальной Ø159х5,  90гр.</t>
  </si>
  <si>
    <t>Отвод стальной Ø114х12,  45гр.</t>
  </si>
  <si>
    <t>Отвод стальной Ø114х6,  90р.</t>
  </si>
  <si>
    <t>Отвод стальной Ø114х5,  90гр.</t>
  </si>
  <si>
    <t>Отвод стальной Ø108х5,  90гр.</t>
  </si>
  <si>
    <t>Отвод стальной Ø108х4,  90гр.</t>
  </si>
  <si>
    <t>Отвод стальной Ø89х6,  90гр.</t>
  </si>
  <si>
    <t>Отвод стальной Ø89х6,  45гр.</t>
  </si>
  <si>
    <t>Отвод стальной Ø89х4,  90гр.</t>
  </si>
  <si>
    <t>Отвод стальной Ø57х3,5, 90гр.</t>
  </si>
  <si>
    <t>Отвод стальной Ø57х3, 90гр.</t>
  </si>
  <si>
    <t>Отвод стальной Ø33,7х3,2  90гр.Ду25, Ст20, ГОСТ 17375-2001</t>
  </si>
  <si>
    <t>Отвод стальной Ø26,9х3,2  90гр.Ду20, Ст20, ГОСТ 17375-2001</t>
  </si>
  <si>
    <t>Отвод стальной Ø21,3х3,2  90гр.Ду15, Ст20, ГОСТ 17375-2001</t>
  </si>
  <si>
    <t>Отвод стальной Ø530х9, 90гр.</t>
  </si>
  <si>
    <t>Отвод стальной Ø530х9, 45гр.</t>
  </si>
  <si>
    <t>Отвод стальной Ø273х9, 90гр.</t>
  </si>
  <si>
    <t>Отвод стальной Ø114х9, 90гр.</t>
  </si>
  <si>
    <t>Отвод стальной Ø114х8, 45гр.</t>
  </si>
  <si>
    <t>Отвод стальной Ø114х3, 90гр.</t>
  </si>
  <si>
    <t>Отвод стальной Ø108х7, 90гр.</t>
  </si>
  <si>
    <t>Отвод стальной Ø108х6, 90гр.</t>
  </si>
  <si>
    <t>Крестики для укладки кафеля 2,5 мм (уп.200шт.)</t>
  </si>
  <si>
    <t>Крестик для кафельной плитки</t>
  </si>
  <si>
    <t>Грунтовка под эмулсионную краску</t>
  </si>
  <si>
    <t>28.14.13.21.00.00.00.46.1</t>
  </si>
  <si>
    <t>Задвижка клиновая с выдвижным шпинделем из стали</t>
  </si>
  <si>
    <t>Задвижка клиновая с выдвижным шпинделем, фланцевая Ду150, Ру20МПа, 31с45нж, в комплекте с ответными фланцами, прокладками и метизами</t>
  </si>
  <si>
    <t>авансовый платеж 0%, 90% после подписания акта-приемки, 10% после подписания акта-сверки в течение 30 рабочих дней</t>
  </si>
  <si>
    <t>Клапан обратный поворотный КОП Ду100, Ру20МПа, 19с11нж, в комплекте с ответными фланцами, прокладками и метизами</t>
  </si>
  <si>
    <t>Клапан обратный поворотный КОП Ду100, Ру16МПа, 19с11нж, в комплекте с ответными фланцами, прокладками и метизами</t>
  </si>
  <si>
    <t>Задвижка клиновая с выдвижным шпинделем, фланцевая Ду100, Ру10МПа, 31с45нж, в комплекте с ответными фланцами, прокладками и метизами</t>
  </si>
  <si>
    <t>Задвижка клиновая с выдвижным шпинделем, фланцевая Ду80, Ру10,0МПа, 31с45нж, в комплекте с ответными фланцами, прокладками и метизами</t>
  </si>
  <si>
    <t>25.11.10.00.00.10.35.10.1</t>
  </si>
  <si>
    <t>Блок-контейнер</t>
  </si>
  <si>
    <t>для размещения операторной газораспределительной станции</t>
  </si>
  <si>
    <t xml:space="preserve">Грузоподъемность, тонн 20
Размеры контейнера внутренние, м (длина × ширина × высота) 5,86 × 2,33 × 2,19
Размеры дверного проема, м (ширина × высота) 2,28 × 2,13
Объем контейнера внутренний -30,6м3 </t>
  </si>
  <si>
    <t>27.32.13.00.02.01.37.30.2</t>
  </si>
  <si>
    <t>ВВГ 3*120+1*70</t>
  </si>
  <si>
    <t>Кабель силовой медный ВВГ 3х120+1х70</t>
  </si>
  <si>
    <t>Километр (тысяча метров)</t>
  </si>
  <si>
    <t>27.32.13.00.02.01.50.06.2</t>
  </si>
  <si>
    <t>ВББШв 4*150</t>
  </si>
  <si>
    <t>Кабель силовой медный ВВБбШв 4х240</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</si>
  <si>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</si>
  <si>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</si>
  <si>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</si>
  <si>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</si>
  <si>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вакуумный КВ1.14-2,5/160-3-У3-380АС</t>
  </si>
  <si>
    <t>Контактор  вакуумный КВ-5023Б-У3</t>
  </si>
  <si>
    <t>27.90.31.00.01.05.00.04.1</t>
  </si>
  <si>
    <t>Инверторный аппарат дуговой сарки</t>
  </si>
  <si>
    <t>Диапазон сварочного тока -3-170 А</t>
  </si>
  <si>
    <t>Сварочный аппарат портативный -180А 220в 4,5квт  предел рег.50-180А  электроды ф от2 до 5мм. Вес 8,5кг</t>
  </si>
  <si>
    <t>27.90.31.00.01.05.00.06.1</t>
  </si>
  <si>
    <t>Диапазон сварочного тока -3-250 А</t>
  </si>
  <si>
    <t>Сварочный аппарат портативный -245А 220в 6,5квт  предел рег.50-245А электроды ф от2 до 6мм. Вес 9 кг</t>
  </si>
  <si>
    <t>Сварочный аппарат портативный SIN-200. 220в 6,5 квт. Предел  рег 10-180А. Электрод ф от2 до5мм Вес 5,4кг.</t>
  </si>
  <si>
    <t>26.51.43.11.11.14.11.19.1</t>
  </si>
  <si>
    <t>Амперметр</t>
  </si>
  <si>
    <t>класс точности 0,01А</t>
  </si>
  <si>
    <t>Амперметр .Постоянный ток Марка М42300  размер 80х80х100см диапазон измерения 0-15000А</t>
  </si>
  <si>
    <t>Амперметр. Марка ЩК-96-500А-220ВУ</t>
  </si>
  <si>
    <t>26.51.43.11.11.12.11.10.1</t>
  </si>
  <si>
    <t>Вольтметр</t>
  </si>
  <si>
    <t>электронный аналоговый переменного тока;</t>
  </si>
  <si>
    <t>Вольтметр. Постоянный ток Марка М42300  размер 80х80х100см диапазон измерения 0-100v</t>
  </si>
  <si>
    <t>Вольтметр. Марка ЩК-96-660А-220ВУ</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</si>
  <si>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</si>
  <si>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</si>
  <si>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</si>
  <si>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26.51.52.14.11.11.10.63.1</t>
  </si>
  <si>
    <t>диаметр  корпуса 100 мм, класс  точности 1,5, диапазон показаний от 0 до 40</t>
  </si>
  <si>
    <t>Манометр. МП4-У2  40кгс/см2. 1,5Р.IР-53-ЦСМ Пас. с вентильным блоком В-12Д</t>
  </si>
  <si>
    <t>Манометр. ЭКМ 1005-Exd-ДИ-ИМ6М-4,0па-D-1V-t2570-42КБ17-М20-12Р-Т1Ф-БР-360П-ГП с вентильным блоком В-12Д</t>
  </si>
  <si>
    <t>27.12.31.15.20.11.11.10.1</t>
  </si>
  <si>
    <t>Щит питания</t>
  </si>
  <si>
    <t>распределительный модульный</t>
  </si>
  <si>
    <t>Шкаф защитный. Ризорбокс -С-Т7</t>
  </si>
  <si>
    <t>27.12.31.02.11.11.11.10.1</t>
  </si>
  <si>
    <t>Шкаф питания и управления 400х500х250 в комплекте с оборудованием согласно схеме</t>
  </si>
  <si>
    <t>27.90.33.00.00.00.30.17.1</t>
  </si>
  <si>
    <t>мощностью свыше 2,5 но не выше  3,0 кВт</t>
  </si>
  <si>
    <t>ТЭН  250А 13/3,0-Р/0 .Мощность  3кВт,  среда  нагрева  (масляная среда)</t>
  </si>
  <si>
    <t>27.11.21.20.30.10.50.20.1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</si>
  <si>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2,2 кВт</t>
  </si>
  <si>
    <t>Электродвигатель АДМ 100 L4. Мощность 3 квт 380в 1500 об/мин</t>
  </si>
  <si>
    <t>Электродвигатель АДМ 100 S4.  Мощность 3 квт 380в 1500 об/мин</t>
  </si>
  <si>
    <t>26.51.41.00.00.00.01.11.1</t>
  </si>
  <si>
    <t>Калориметр</t>
  </si>
  <si>
    <t>Электромагнитный.</t>
  </si>
  <si>
    <t>В комплект теплосчетчика входит : Тепловычислитель-1 шт.Ультразвуковой расходомер "Ultraflow"-2 шт. Термопреобразователь Pn-500-1 к-т.Диапазон измерения расхода от 0,6 до 3000м3/час.</t>
  </si>
  <si>
    <t>26.51.43.11.11.15.35.01.1</t>
  </si>
  <si>
    <t xml:space="preserve">Прибор комбинированный аналоговый электроизмерительный </t>
  </si>
  <si>
    <t>для измерения силы тока, напряжения тока, сопротивления току</t>
  </si>
  <si>
    <t>Комплект 1587/ ЕТ62МАХ+КТТ для поиска неисправности эл.оборудования В состав входит : Мультиметр-мегометр Fluke 1587. Миниатюрный инфракрасный термометр Fluke 62. Токоизмирительные клещи 1400.</t>
  </si>
  <si>
    <t>23.61.20.00.40.20.01.31.1</t>
  </si>
  <si>
    <t>перекрытия железобетонная многопустотная, тип 1ПК30.12, ГОСТ 9561-91, ГОСТ 26434-85</t>
  </si>
  <si>
    <t>Плита перекрытия ПК 30.12-8АIVT</t>
  </si>
  <si>
    <t>23.61.20.00.40.20.01.32.1</t>
  </si>
  <si>
    <t>перекрытия железобетонная многопустотная, тип 1ПК30.15, ГОСТ 9561-91, ГОСТ 26434-85</t>
  </si>
  <si>
    <t>Плита перекрытия ПК 30.15-6Т</t>
  </si>
  <si>
    <t>23.61.20.00.20.70.01.34.1</t>
  </si>
  <si>
    <t>железобетонная, брусковая, марки 3ПБ25-8, ГОСТ 948-84</t>
  </si>
  <si>
    <t>Перемычка 1ПР38.24.12.19у</t>
  </si>
  <si>
    <t>23.61.12.00.20.21.01.17.1</t>
  </si>
  <si>
    <t>рабочей камеры или горловины колодца, марки КС10.6, ГОСТ 8020-90</t>
  </si>
  <si>
    <t>Кольцо стеновое КС 10.6</t>
  </si>
  <si>
    <t>23.61.20.00.40.60.00.12.1</t>
  </si>
  <si>
    <t>парапетная тип ПП</t>
  </si>
  <si>
    <t>Плита парапетная15.5-Т</t>
  </si>
  <si>
    <t>23.61.20.00.10.30.01.18.1</t>
  </si>
  <si>
    <t>железобетонная ленточных фундаментов, марки ФЛ10.24-4, ГОСТ 23972-80</t>
  </si>
  <si>
    <t>Плиты ленточного фундамента ФЛ-10-24-4</t>
  </si>
  <si>
    <t>23.61.20.00.10.30.01.22.1</t>
  </si>
  <si>
    <t>железобетонная ленточных фундаментов, марки ФЛ10.12-4, ГОСТ 23972-80</t>
  </si>
  <si>
    <t>Плиты ленточного фундамента ФЛ-10-12-4</t>
  </si>
  <si>
    <t>23.61.20.00.20.20.01.04.1</t>
  </si>
  <si>
    <t>Балка</t>
  </si>
  <si>
    <t>железобетонная, подстропильная, тип БП, ГОСТ 20372-90</t>
  </si>
  <si>
    <t>Балка БП 3-1</t>
  </si>
  <si>
    <t>23.61.12.00.10.10.10.07.1</t>
  </si>
  <si>
    <t>фундаментный из тяжелого бетона, марки ФБС12.6.6-Т, ГОСТ 13579-78</t>
  </si>
  <si>
    <t>Фундаментный блок ФБС-12.6.6-Т</t>
  </si>
  <si>
    <t>23.61.12.00.10.10.10.14.1</t>
  </si>
  <si>
    <t>фундаментный из тяжелого бетона, марки ФБС9.6.6-Т, ГОСТ 13579-78</t>
  </si>
  <si>
    <t>Фундаментный блок ФБС-9.6.6-Т</t>
  </si>
  <si>
    <t>23.61.20.00.20.70.01.14.1</t>
  </si>
  <si>
    <t>железобетонная, брусковая, марки 2ПБ22-3, ГОСТ 948-84</t>
  </si>
  <si>
    <t>Перемычка 2ПР72.20.38.19у</t>
  </si>
  <si>
    <t>23.61.20.00.20.70.01.08.1</t>
  </si>
  <si>
    <t>железобетонная, брусковая, марки 2ПБ16-2, ГОСТ 948-84</t>
  </si>
  <si>
    <t>Перемычка 2ПР72.14.38.19у</t>
  </si>
  <si>
    <t>23.61.20.00.40.80.00.20.1</t>
  </si>
  <si>
    <t>плоские железобетонные для покрытия подпольных каналов тип ПТ,ПТП</t>
  </si>
  <si>
    <t>Плита покрытия  ПО4</t>
  </si>
  <si>
    <t>Плита П21д-5</t>
  </si>
  <si>
    <t>Плиты перекрытия лотков</t>
  </si>
  <si>
    <t>23.61.20.00.40.30.01.05.1</t>
  </si>
  <si>
    <t>железобетонная для покрытия городских дорог, тип 2П60.30, ГОСТ 21924.0-84</t>
  </si>
  <si>
    <t>Плита дорожная 1П60.35-8х2</t>
  </si>
  <si>
    <t>23.51.12.00.00.10.30.20.1</t>
  </si>
  <si>
    <t>белый без добавок, марки ПЦБ 2-400-Д0, ГОСТ 965-89</t>
  </si>
  <si>
    <t>Портландцемент белый 2-400-Д20</t>
  </si>
  <si>
    <t>июнь- июль</t>
  </si>
  <si>
    <t>Песок</t>
  </si>
  <si>
    <t>08.12.11.00.00.00.12.13.1</t>
  </si>
  <si>
    <t>Песок кварцевый</t>
  </si>
  <si>
    <t>ОВС-025-1А массовая доля оксида железа (Fе 2 O 3), %, не более 0,025</t>
  </si>
  <si>
    <t>абразивный Уралгрит фр.0,5-2,5 мм</t>
  </si>
  <si>
    <t>26.51.52.14.11.11.10.44.1</t>
  </si>
  <si>
    <t>диаметр  корпуса 60 мм, класс  точности  2,5, диапазон показаний от 0 до 250</t>
  </si>
  <si>
    <t>Манометр МП2-Уф</t>
  </si>
  <si>
    <t>26.51.12.00.00.17.11.27.1</t>
  </si>
  <si>
    <t>Радарный.Погрешность измерения ±1 мм; Диапазон измерения до 30 м.</t>
  </si>
  <si>
    <t>Уровнемер БАРС-341-И</t>
  </si>
  <si>
    <t>Манометр ОБМ 1-100°С</t>
  </si>
  <si>
    <t>26.51.52.14.11.11.10.05.1</t>
  </si>
  <si>
    <t>диаметр  корпуса 60 мм, класс  точности 1,5, диапазон показаний от -1 до 5</t>
  </si>
  <si>
    <t>Манометр МП 40-2</t>
  </si>
  <si>
    <t>26.51.52.14.11.11.21.50.1</t>
  </si>
  <si>
    <t>Манометр диаметр корпуса 160 мм, класс точности 1, диапазон показаний от 0 до 600</t>
  </si>
  <si>
    <t>Манометр показывающий0-16МПа,фкорпуса160МП4-У-40кгс/см-1,5</t>
  </si>
  <si>
    <t>Отборное устройстводавления прямое 16-200-Ст20-Л</t>
  </si>
  <si>
    <t>26.51.63.13.11.11.11.13.1</t>
  </si>
  <si>
    <t>Вентильный.</t>
  </si>
  <si>
    <t>Тепловодосчетчик Х12/30МПа-</t>
  </si>
  <si>
    <t>26.51.52.14.11.11.10.88.1</t>
  </si>
  <si>
    <t>диаметр  корпуса 100 мм, класс  точности 1, диапазон показаний от 0 до 40</t>
  </si>
  <si>
    <t>Манометр МП4-У</t>
  </si>
  <si>
    <t>Термометр до 100°С</t>
  </si>
  <si>
    <t>Двутавр №24, стальные горячекатаные, ГОСТ 8239-89</t>
  </si>
  <si>
    <t>24.10.73.00.01.10.10.12.1</t>
  </si>
  <si>
    <t>Двутавры</t>
  </si>
  <si>
    <t>Широкополочные,  номер Профиля 25 Ш1</t>
  </si>
  <si>
    <t>Двутавр широкополочный 25Ш1</t>
  </si>
  <si>
    <t>24.10.73.00.01.10.10.16.1</t>
  </si>
  <si>
    <t>Широкополочные, Номер Профиля 45 Ш1</t>
  </si>
  <si>
    <t>Двутавр широкополочный 45Ш1</t>
  </si>
  <si>
    <t>Двутавр нормальный (Б) 40Б1</t>
  </si>
  <si>
    <t>24.10.71.00.00.11.11.37.1</t>
  </si>
  <si>
    <t>стальные, горячекатаные, с параллельными гранями полок, № швеллера 18П, ГОСТ 8240-89</t>
  </si>
  <si>
    <t>Швеллер 18П. Ст3пс5. ГОСТ 8240-97</t>
  </si>
  <si>
    <t>24.10.71.00.00.11.11.43.1</t>
  </si>
  <si>
    <t>стальные, горячекатаные, с параллельными гранями полок, № швеллера 30П, ГОСТ 8240-89</t>
  </si>
  <si>
    <t>Швеллер 30П</t>
  </si>
  <si>
    <t>24.10.71.00.00.11.11.40.1</t>
  </si>
  <si>
    <t>стальные, горячекатаные, с параллельными гранями полок, № швеллера 22П, ГОСТ 8240-89</t>
  </si>
  <si>
    <t>Швеллер 22П</t>
  </si>
  <si>
    <t>24.10.73.00.02.10.10.12.1</t>
  </si>
  <si>
    <t>Швеллер</t>
  </si>
  <si>
    <t>с параллельными гранями полок и с уклоном внутренних граней, Номер швеллера 6</t>
  </si>
  <si>
    <t>Швеллер 6П</t>
  </si>
  <si>
    <t>24.10.71.00.00.11.14.10.1</t>
  </si>
  <si>
    <t>гнутый неравнополочные из углеродистой качественной и низколегированной стали</t>
  </si>
  <si>
    <t>Швеллер стальной гнутый 70х50х4</t>
  </si>
  <si>
    <t>Двутавр  18</t>
  </si>
  <si>
    <t>24.10.71.00.00.11.11.24.1</t>
  </si>
  <si>
    <t>стальные, горячекатаные, с уклоном внутренних граней полок, № швеллера 27, ГОСТ 8240-89</t>
  </si>
  <si>
    <t>Швеллер  27</t>
  </si>
  <si>
    <t>24.10.66.00.00.11.10.34.1</t>
  </si>
  <si>
    <t>стальной, горячекатанный, круглого сечения, ГОСТ 2590-2006, диаметром (мм) - 36</t>
  </si>
  <si>
    <t>Круг стальной Ø36мм</t>
  </si>
  <si>
    <t>24.10.66.00.00.11.10.25.1</t>
  </si>
  <si>
    <t>стальной, горячекатанный, круглого сечения, ГОСТ 2590-2006, диаметром (мм) - 27</t>
  </si>
  <si>
    <t>Круг стальной Ø27мм</t>
  </si>
  <si>
    <t>24.10.66.00.00.11.10.17.1</t>
  </si>
  <si>
    <t>стальной, горячекатанный, круглого сечения, ГОСТ 2590-2006, диаметром (мм) - 19</t>
  </si>
  <si>
    <t>Круг стальной Ø19мм</t>
  </si>
  <si>
    <t>24.10.36.00.00.10.10.14.1</t>
  </si>
  <si>
    <t>стальной горячекатаный круглый,  д 18 ммГОСТ 2590-2006 Ст3сп</t>
  </si>
  <si>
    <t>Круг стальной Ø18мм</t>
  </si>
  <si>
    <t>24.10.36.00.00.10.10.16.1</t>
  </si>
  <si>
    <t>стальной горячекатаный круглый,  д 25 мм ГОСТ 2590-2006 Ст3сп</t>
  </si>
  <si>
    <t>Круг стальной Ø25мм</t>
  </si>
  <si>
    <t>24.10.66.00.00.11.10.12.1</t>
  </si>
  <si>
    <t>стальной, горячекатанный, круглого сечения, ГОСТ 2590-2006, диаметром (мм) - 14</t>
  </si>
  <si>
    <t>Круг стальной Ø14мм</t>
  </si>
  <si>
    <t>24.10.66.00.00.11.10.02.1</t>
  </si>
  <si>
    <t>стальной, горячекатанный, круглого сечения, ГОСТ 2590-2006, диаметром (мм) - 6</t>
  </si>
  <si>
    <t>Круг стальной Ø6мм</t>
  </si>
  <si>
    <t>Полоса стальная 200х10мм</t>
  </si>
  <si>
    <t>Полоса стальная 200х5мм</t>
  </si>
  <si>
    <t>Полоса стальная 150х6мм</t>
  </si>
  <si>
    <t>Полоса стальная 20х4мм</t>
  </si>
  <si>
    <t>Лента стальная 200х2,5</t>
  </si>
  <si>
    <t>Лента стальная 150х2,5</t>
  </si>
  <si>
    <t>24.10.31.00.00.11.10.16.2</t>
  </si>
  <si>
    <t>листовая б.-16 мм ГОСТ 1050-88 (взамен ГОСТ 1050-74) ст.20</t>
  </si>
  <si>
    <t>Лист стальной тольщиной 16мм</t>
  </si>
  <si>
    <t>24.10.31.00.00.11.11.15.2</t>
  </si>
  <si>
    <t>листовая б-30 мм ГОСТ 19903-89 ст.3сп.</t>
  </si>
  <si>
    <t>Лист стальной толщина 30мм</t>
  </si>
  <si>
    <t>Лист стальной толщина 2,5мм</t>
  </si>
  <si>
    <t xml:space="preserve">Лист стальной с ромбическим рифлением толщина 3мм , Марка Ст3сп, ГОСТ 8568-77  </t>
  </si>
  <si>
    <t>24.10.32.00.00.11.26.12.1</t>
  </si>
  <si>
    <t>стальной просечно-вытяжной из углеродистой стали тип ПВЛ</t>
  </si>
  <si>
    <t xml:space="preserve">Лист просечно-вытяжной стальной ПВ-306, b=3мм </t>
  </si>
  <si>
    <t>Лист оцинкованный стальной ОЦ-А-О-0,5х1250</t>
  </si>
  <si>
    <t>Сталь тонколистовая оцинкованная толщ.1,0мм</t>
  </si>
  <si>
    <t>Сталь тонколистовая оцинкованная толщ.0,8мм</t>
  </si>
  <si>
    <t>24.42.24.00.00.10.13.11.1</t>
  </si>
  <si>
    <t>Алюминиевый, ГОСТ 10703-73</t>
  </si>
  <si>
    <t>Лист алюминиевый АД1Н-1,0-0,5</t>
  </si>
  <si>
    <t>Лист алюминиевый АД1Н-1,0 -0,8</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</si>
  <si>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</si>
  <si>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</si>
  <si>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</si>
  <si>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24.34.11.00.10.12.10.11.1</t>
  </si>
  <si>
    <t>Проволока</t>
  </si>
  <si>
    <t>Стальная, низкоуглеродистая, ГОСТ 3282-74</t>
  </si>
  <si>
    <t xml:space="preserve">Проволока Ø2,0-О-Ч стальная термически обработанная, черная </t>
  </si>
  <si>
    <t>24.34.11.00.10.13.10.11.1</t>
  </si>
  <si>
    <t>Стальная, оцинкованная, ГОСТ 1668-73</t>
  </si>
  <si>
    <t xml:space="preserve">Проволока Ø4-П-2Ц-II стальная оцинкованная </t>
  </si>
  <si>
    <t>Проволока Ø5-0-Ч стальная</t>
  </si>
  <si>
    <t>Проволока Ø2,5-0-Ч стальная</t>
  </si>
  <si>
    <t>24.34.11.00.10.12.10.14.1</t>
  </si>
  <si>
    <t>арматурная из низкоуглеродистой стали Вр-I</t>
  </si>
  <si>
    <t xml:space="preserve">Проволока Ø4мм Bpl </t>
  </si>
  <si>
    <t xml:space="preserve">Проволока Ø5мм Bpl </t>
  </si>
  <si>
    <t>Арматура стальная, класс А-I, Ø6 мм, ГОСТ 5781-82</t>
  </si>
  <si>
    <t>Арматурная сталь, класс А-I, Ø12мм</t>
  </si>
  <si>
    <t>Арматурная сталь, класс А-I, Ø20мм</t>
  </si>
  <si>
    <t>Арматурная сталь, класс А-I, Ø22мм</t>
  </si>
  <si>
    <t>Арматурная сталь, класс А-I, Ø24мм</t>
  </si>
  <si>
    <t>Арматура стальная, класс А-III, Ø 8мм, ГОСТ 5781-82</t>
  </si>
  <si>
    <t>Арматура стальная, класс А-III, Ø18мм, ГОСТ 5781-82</t>
  </si>
  <si>
    <t>Арматура стальная, класс А-III, Ø20мм, ГОСТ 5781-82</t>
  </si>
  <si>
    <t>Арматура стальная, класс А-III, Ø6мм, ГОСТ 5781-82</t>
  </si>
  <si>
    <t>Профиль   160х5мм</t>
  </si>
  <si>
    <t>24.10.71.00.00.13.12.10.1</t>
  </si>
  <si>
    <t>Профили</t>
  </si>
  <si>
    <t>гнутые стальные из горячекатаного листового проката</t>
  </si>
  <si>
    <t>Профили стальные, гнутые   180х80х5</t>
  </si>
  <si>
    <t>Профили стальные, гнутые   160х80х5</t>
  </si>
  <si>
    <t>684-2 Т</t>
  </si>
  <si>
    <t>685-2 Т</t>
  </si>
  <si>
    <t>686-2 Т</t>
  </si>
  <si>
    <t>687-2 Т</t>
  </si>
  <si>
    <t>688-2Т</t>
  </si>
  <si>
    <t>689-2 Т</t>
  </si>
  <si>
    <t>690-2 Т</t>
  </si>
  <si>
    <t>691-2 Т</t>
  </si>
  <si>
    <t>692-2 Т</t>
  </si>
  <si>
    <t>693-2 Т</t>
  </si>
  <si>
    <t>698-1 Т</t>
  </si>
  <si>
    <t>700-1 Т</t>
  </si>
  <si>
    <t>701-1 Т</t>
  </si>
  <si>
    <t>702-1 Т</t>
  </si>
  <si>
    <t>703-1 Т</t>
  </si>
  <si>
    <t>704-1 Т</t>
  </si>
  <si>
    <t>705-1 Т</t>
  </si>
  <si>
    <t>706-1 Т</t>
  </si>
  <si>
    <t>710-2 Т</t>
  </si>
  <si>
    <t>711-2 Т</t>
  </si>
  <si>
    <t>712-2 Т</t>
  </si>
  <si>
    <t>713-2 Т</t>
  </si>
  <si>
    <t>714-2 Т</t>
  </si>
  <si>
    <t>715-2 Т</t>
  </si>
  <si>
    <t>716-2 Т</t>
  </si>
  <si>
    <t>717-2 Т</t>
  </si>
  <si>
    <t>718-2 Т</t>
  </si>
  <si>
    <t>719-2 Т</t>
  </si>
  <si>
    <t>720-2 Т</t>
  </si>
  <si>
    <t>722-2 Т</t>
  </si>
  <si>
    <t>723-2 Т</t>
  </si>
  <si>
    <t>725-2 Т</t>
  </si>
  <si>
    <t>апрель, сентябрь-октябрь  2014г</t>
  </si>
  <si>
    <t>731-2 Т</t>
  </si>
  <si>
    <t>732-2 Т</t>
  </si>
  <si>
    <t>733-2 Т</t>
  </si>
  <si>
    <t>734-2 Т</t>
  </si>
  <si>
    <t>735-2 Т</t>
  </si>
  <si>
    <t>736-2 Т</t>
  </si>
  <si>
    <t>737-2 Т</t>
  </si>
  <si>
    <t>738-2 Т</t>
  </si>
  <si>
    <t>739-2 Т</t>
  </si>
  <si>
    <t>740-2 Т</t>
  </si>
  <si>
    <t>741-2 Т</t>
  </si>
  <si>
    <t>742-2 Т</t>
  </si>
  <si>
    <t>743-2 Т</t>
  </si>
  <si>
    <t>744-2 Т</t>
  </si>
  <si>
    <t>745-2 Т</t>
  </si>
  <si>
    <t>746-2 Т</t>
  </si>
  <si>
    <t>747-2 Т</t>
  </si>
  <si>
    <t>748-2 Т</t>
  </si>
  <si>
    <t>749-2 Т</t>
  </si>
  <si>
    <t>750-2 Т</t>
  </si>
  <si>
    <t>753-2 Т</t>
  </si>
  <si>
    <t>754-2 Т</t>
  </si>
  <si>
    <t>755-2 Т</t>
  </si>
  <si>
    <t>756-2 Т</t>
  </si>
  <si>
    <t>757-2 Т</t>
  </si>
  <si>
    <t>758-2 Т</t>
  </si>
  <si>
    <t>759-2 Т</t>
  </si>
  <si>
    <t>760-2 Т</t>
  </si>
  <si>
    <t>761-2 Т</t>
  </si>
  <si>
    <t>762-2 Т</t>
  </si>
  <si>
    <t>763-2 Т</t>
  </si>
  <si>
    <t>764-2 Т</t>
  </si>
  <si>
    <t>765-2 Т</t>
  </si>
  <si>
    <t>766-2 Т</t>
  </si>
  <si>
    <t>767-2 Т</t>
  </si>
  <si>
    <t>768-2 Т</t>
  </si>
  <si>
    <t>769-2 Т</t>
  </si>
  <si>
    <t>770-2 Т</t>
  </si>
  <si>
    <t>771-2 Т</t>
  </si>
  <si>
    <t>772-2 Т</t>
  </si>
  <si>
    <t>773-2 Т</t>
  </si>
  <si>
    <t>774-2 Т</t>
  </si>
  <si>
    <t>775-2 Т</t>
  </si>
  <si>
    <t>776-2 Т</t>
  </si>
  <si>
    <t>777-2 Т</t>
  </si>
  <si>
    <t>778-2 Т</t>
  </si>
  <si>
    <t>779-2 Т</t>
  </si>
  <si>
    <t>780-2 Т</t>
  </si>
  <si>
    <t>781-2 Т</t>
  </si>
  <si>
    <t>782-2 Т</t>
  </si>
  <si>
    <t>783-2 Т</t>
  </si>
  <si>
    <t>784-2 Т</t>
  </si>
  <si>
    <t>785-2 Т</t>
  </si>
  <si>
    <t>786-2 Т</t>
  </si>
  <si>
    <t>787-2 Т</t>
  </si>
  <si>
    <t>789-2 Т</t>
  </si>
  <si>
    <t>790-2 Т</t>
  </si>
  <si>
    <t>791-2 Т</t>
  </si>
  <si>
    <t>792-2 Т</t>
  </si>
  <si>
    <t>793-2 Т</t>
  </si>
  <si>
    <t>794-2 Т</t>
  </si>
  <si>
    <t>795-2 Т</t>
  </si>
  <si>
    <t>797-2 Т</t>
  </si>
  <si>
    <t>798-2 Т</t>
  </si>
  <si>
    <t>799-2 Т</t>
  </si>
  <si>
    <t>800-2 Т</t>
  </si>
  <si>
    <t>801-2 Т</t>
  </si>
  <si>
    <t>802-2 Т</t>
  </si>
  <si>
    <t>803-2 Т</t>
  </si>
  <si>
    <t>805-2 Т</t>
  </si>
  <si>
    <t>806-2 Т</t>
  </si>
  <si>
    <t>807-2 Т</t>
  </si>
  <si>
    <t>808-2 Т</t>
  </si>
  <si>
    <t>810-2 Т</t>
  </si>
  <si>
    <t>811-2 Т</t>
  </si>
  <si>
    <t>812-2 Т</t>
  </si>
  <si>
    <t>813-2 Т</t>
  </si>
  <si>
    <t>814-2 Т</t>
  </si>
  <si>
    <t>сентябрь-октябрь</t>
  </si>
  <si>
    <t>815-2 Т</t>
  </si>
  <si>
    <t>816-2 Т</t>
  </si>
  <si>
    <t>817-2 Т</t>
  </si>
  <si>
    <t>818-2 Т</t>
  </si>
  <si>
    <t>819-2 Т</t>
  </si>
  <si>
    <t>820-2 Т</t>
  </si>
  <si>
    <t>821-2 Т</t>
  </si>
  <si>
    <t>822-2 Т</t>
  </si>
  <si>
    <t>823-2 Т</t>
  </si>
  <si>
    <t>824-2 Т</t>
  </si>
  <si>
    <t>825-2 Т</t>
  </si>
  <si>
    <t>826-2 Т</t>
  </si>
  <si>
    <t>827-2 Т</t>
  </si>
  <si>
    <t>828-2 Т</t>
  </si>
  <si>
    <t>829-2 Т</t>
  </si>
  <si>
    <t>830-2 Т</t>
  </si>
  <si>
    <t>831-2 Т</t>
  </si>
  <si>
    <t>832-2 Т</t>
  </si>
  <si>
    <t>833-2 Т</t>
  </si>
  <si>
    <t>834-2 Т</t>
  </si>
  <si>
    <t>835-2 Т</t>
  </si>
  <si>
    <t>836-2 Т</t>
  </si>
  <si>
    <t>837-2 Т</t>
  </si>
  <si>
    <t>838-2 Т</t>
  </si>
  <si>
    <t>839-2 Т</t>
  </si>
  <si>
    <t>840-2 Т</t>
  </si>
  <si>
    <t>841-2 Т</t>
  </si>
  <si>
    <t>842-2 Т</t>
  </si>
  <si>
    <t>843-2 Т</t>
  </si>
  <si>
    <t>844-2 Т</t>
  </si>
  <si>
    <t>845-2 Т</t>
  </si>
  <si>
    <t>846-2 Т</t>
  </si>
  <si>
    <t>847-2 Т</t>
  </si>
  <si>
    <t>848-2 Т</t>
  </si>
  <si>
    <t>849-2 Т</t>
  </si>
  <si>
    <t>850-2 Т</t>
  </si>
  <si>
    <t>851-2 Т</t>
  </si>
  <si>
    <t>852-2 Т</t>
  </si>
  <si>
    <t>853-2 Т</t>
  </si>
  <si>
    <t>854-2 Т</t>
  </si>
  <si>
    <t>855-2 Т</t>
  </si>
  <si>
    <t>856-2 Т</t>
  </si>
  <si>
    <t>857-2 Т</t>
  </si>
  <si>
    <t>858-2 Т</t>
  </si>
  <si>
    <t>859-2 Т</t>
  </si>
  <si>
    <t>860-2 Т</t>
  </si>
  <si>
    <t>861-2 Т</t>
  </si>
  <si>
    <t>862-2 Т</t>
  </si>
  <si>
    <t>863-2 Т</t>
  </si>
  <si>
    <t>864-2 Т</t>
  </si>
  <si>
    <t>865-2 Т</t>
  </si>
  <si>
    <t>866-2 Т</t>
  </si>
  <si>
    <t>867-2 Т</t>
  </si>
  <si>
    <t>868-2 Т</t>
  </si>
  <si>
    <t>869-2 Т</t>
  </si>
  <si>
    <t>870-2 Т</t>
  </si>
  <si>
    <t>871-2Т</t>
  </si>
  <si>
    <t>872-2 Т</t>
  </si>
  <si>
    <t>873-2 Т</t>
  </si>
  <si>
    <t>874-2 Т</t>
  </si>
  <si>
    <t>875-2 Т</t>
  </si>
  <si>
    <t>876-2 Т</t>
  </si>
  <si>
    <t>877-2 Т</t>
  </si>
  <si>
    <t>878-2 Т</t>
  </si>
  <si>
    <t>879-2 Т</t>
  </si>
  <si>
    <t>880-2 Т</t>
  </si>
  <si>
    <t>881-2 Т</t>
  </si>
  <si>
    <t>884-2 Т</t>
  </si>
  <si>
    <t>886-2 Т</t>
  </si>
  <si>
    <t>887-2 Т</t>
  </si>
  <si>
    <t>888-2 Т</t>
  </si>
  <si>
    <t>889-2 Т</t>
  </si>
  <si>
    <t>890-2 Т</t>
  </si>
  <si>
    <t>891-2 Т</t>
  </si>
  <si>
    <t>892-2 Т</t>
  </si>
  <si>
    <t>893-2 Т</t>
  </si>
  <si>
    <t>895-2 Т</t>
  </si>
  <si>
    <t>896-2 Т</t>
  </si>
  <si>
    <t>897-2 Т</t>
  </si>
  <si>
    <t>898-2 Т</t>
  </si>
  <si>
    <t>899-2 Т</t>
  </si>
  <si>
    <t>900-2 Т</t>
  </si>
  <si>
    <t>902-2 Т</t>
  </si>
  <si>
    <t>903-2 Т</t>
  </si>
  <si>
    <t>904-2 Т</t>
  </si>
  <si>
    <t>905-2 Т</t>
  </si>
  <si>
    <t>906-2 Т</t>
  </si>
  <si>
    <t>907-2 Т</t>
  </si>
  <si>
    <t>908-2 Т</t>
  </si>
  <si>
    <t>909-2 Т</t>
  </si>
  <si>
    <t>сентябрь-октябрь 2014г</t>
  </si>
  <si>
    <t>910-2 Т</t>
  </si>
  <si>
    <t>911-2 Т</t>
  </si>
  <si>
    <t>912-2 Т</t>
  </si>
  <si>
    <t>913-2 Т</t>
  </si>
  <si>
    <t>914-2 Т</t>
  </si>
  <si>
    <t>915-2 Т</t>
  </si>
  <si>
    <t>916-2 Т</t>
  </si>
  <si>
    <t>сентябрь-октябрь 214г</t>
  </si>
  <si>
    <t>917-2 Т</t>
  </si>
  <si>
    <t>918-2 Т</t>
  </si>
  <si>
    <t>919-2 Т</t>
  </si>
  <si>
    <t>920-2 Т</t>
  </si>
  <si>
    <t>921-2 Т</t>
  </si>
  <si>
    <t>922-2 Т</t>
  </si>
  <si>
    <t>август-сентябрь 2014г</t>
  </si>
  <si>
    <t>923-2 Т</t>
  </si>
  <si>
    <t>924-2 Т</t>
  </si>
  <si>
    <t>925-2 Т</t>
  </si>
  <si>
    <t>Май- июнь 2014г</t>
  </si>
  <si>
    <t xml:space="preserve">Фильтр масляный LF9093, XCMG ZL-50GL  </t>
  </si>
  <si>
    <t xml:space="preserve"> июнь, июль 2014г.</t>
  </si>
  <si>
    <t>поставка по заявкам Заказчика</t>
  </si>
  <si>
    <t xml:space="preserve">Элемент фильтрующий FF9340, XCMG ZL-50GL  </t>
  </si>
  <si>
    <t xml:space="preserve">Элемент фильтрующий  WF9075, XCMG ZL-50GL  </t>
  </si>
  <si>
    <t>28.30.93.00.00.21.10.10.1</t>
  </si>
  <si>
    <t>фильтрующий элемент воздушного фильтра, для тракторной техники</t>
  </si>
  <si>
    <t xml:space="preserve">Элемент фильтрующий  K2640 воздушный, XCMG ZL-50GL  </t>
  </si>
  <si>
    <t xml:space="preserve">Элемент фильтрующий  5004947 гидравлический, XCMG ZL-50GL  </t>
  </si>
  <si>
    <t>28.30.93.00.00.21.20.10.1</t>
  </si>
  <si>
    <t>фильтрующий элемент масляного фильтра, для тракторной техники</t>
  </si>
  <si>
    <t xml:space="preserve">Элемент фильтрующий фильтр гидравлики входной 93114932, XCMG ZL-50GL  </t>
  </si>
  <si>
    <t xml:space="preserve">Элемент фильтрующий фильтр гидравлики выходной 5002186, XCMG ZL-50GL  </t>
  </si>
  <si>
    <t xml:space="preserve">Стартер 615G00060016, XCMG ZL-50GL  </t>
  </si>
  <si>
    <t>29.31.22.00.00.00.30.12.1</t>
  </si>
  <si>
    <t>номинальное напряжение более 28 В, постоянного тока, с параллельным возбуждением</t>
  </si>
  <si>
    <t xml:space="preserve">Генератор5001390/61200090043, XCMG ZL-50GL  </t>
  </si>
  <si>
    <t>22.19.42.00.00.10.10.00.1</t>
  </si>
  <si>
    <t>Ремень клиновый приводный</t>
  </si>
  <si>
    <t xml:space="preserve">Ремень поликлиновый 8PK1350ES, XCMG ZL-50GL  </t>
  </si>
  <si>
    <t xml:space="preserve">Ремень поликлиновый 8PK2080ES, XCMG ZL-50GL  </t>
  </si>
  <si>
    <t xml:space="preserve">Ремень поликлиновый 8PK0950ES генератора, XCMG ZL-50GL  </t>
  </si>
  <si>
    <t>29.31.22.00.00.00.71.10.1</t>
  </si>
  <si>
    <t>ремень</t>
  </si>
  <si>
    <t>к генератору и водяному насосу</t>
  </si>
  <si>
    <t xml:space="preserve">Ремень помпыWD615.46 8РК925, XCMG ZL-50GL  </t>
  </si>
  <si>
    <t>28.30.93.00.00.00.10.24.1</t>
  </si>
  <si>
    <t>Насос водяной</t>
  </si>
  <si>
    <t>Насос водяной (помпа) к специальной технике</t>
  </si>
  <si>
    <t xml:space="preserve">Насос водяной 61500060033/612600060131, XCMG ZL-50GL  </t>
  </si>
  <si>
    <t>30.20.40.00.00.08.07.31.1</t>
  </si>
  <si>
    <t>Помпа</t>
  </si>
  <si>
    <t>Помпа топливоподкачивающая</t>
  </si>
  <si>
    <t xml:space="preserve">Насос топливоподкачивающий 61567G3-1 ZL50, XCMG ZL-50GL  </t>
  </si>
  <si>
    <t>Фильтр масляный, CL-955A</t>
  </si>
  <si>
    <t>Элемент фильтрующий, VG 14080740A топливный, CL-955A</t>
  </si>
  <si>
    <t xml:space="preserve">Элемент фильтрующий, VG 220C топливный, CL-955A </t>
  </si>
  <si>
    <t>Элемент фильтрующий, PL 420 (ГД-У147) топливный, CL-955A</t>
  </si>
  <si>
    <t>Элемент фильтрующий,KLH-14F-000 (K2640) воздушный CL-955A</t>
  </si>
  <si>
    <t>Ремень привода, клиновый, 815000060228, ДВС CL-955A</t>
  </si>
  <si>
    <t>Стартер 612600090340, 4 крепления, бендикс 10 зубов, диаметр 41 мм CL-955A</t>
  </si>
  <si>
    <t>Насос водяной 612600060143 CL-955A</t>
  </si>
  <si>
    <t xml:space="preserve">Фильтр масляный LF-3349 </t>
  </si>
  <si>
    <t>Элемент фильтрующий FS-1280  топливный  сеператор</t>
  </si>
  <si>
    <t>Элемент фильтрующий FF-5052 топливный,</t>
  </si>
  <si>
    <t>Элемент фильтрующий AF25271  воздушный</t>
  </si>
  <si>
    <t xml:space="preserve">Ремень привода ДВС  C3911562                  </t>
  </si>
  <si>
    <t>28.30.93.00.00.20.09.10.1</t>
  </si>
  <si>
    <t>Топливный насос выокого давления (ТНВД) C3974596</t>
  </si>
  <si>
    <t>Насос водяной С4935793 </t>
  </si>
  <si>
    <t>Стартер C4935789</t>
  </si>
  <si>
    <t>Фильтр масляный JX1011B 150-1012000A</t>
  </si>
  <si>
    <t>Элемент фильтрующий 6105QA.1105300A топливный</t>
  </si>
  <si>
    <t xml:space="preserve">Элемент фильтрующий B7604-1105200 топливный </t>
  </si>
  <si>
    <t xml:space="preserve">Элемент фильтрующий WU-400, гидравлический (бака) </t>
  </si>
  <si>
    <t>Элемент фильтрующий HF6467 гидравлический</t>
  </si>
  <si>
    <t>Элемент фильтрующий KW1833A2 воздушный</t>
  </si>
  <si>
    <t>Насос водяной D20-000-32+B0135AS49872</t>
  </si>
  <si>
    <t>Стартер 530-370801ОВ-443</t>
  </si>
  <si>
    <t>Ремень клиновый 12х1365</t>
  </si>
  <si>
    <t>Фильтр масляный OIL FILTER HITACHI 4658521/4696643</t>
  </si>
  <si>
    <t>Элемент фильтрующий FUEL FILTER PRIMARY HITACHI 4326739 / 4616544</t>
  </si>
  <si>
    <t>Элемент фильтрующий FUEL FILTER HITACHI 4676385</t>
  </si>
  <si>
    <t>Элемент фильтрующий FUEL FILTER HITACHI 4206080/L4206080</t>
  </si>
  <si>
    <t>Элемент фильтрующий FUEL FILTER 4719920/ 8981527371</t>
  </si>
  <si>
    <t>Элемент фильтрующий AIR FILTER INNER HITACHI YA00007606</t>
  </si>
  <si>
    <t>Элемент фильтрующий AIR FILTER INNER HITACHI 4642117</t>
  </si>
  <si>
    <t>Элемент фильтрующий AIR FILTER OUTHER HITACHI YA00007394</t>
  </si>
  <si>
    <t>Элемент фильтрующий AIR FILTER OUTHER HITACHI 4642122</t>
  </si>
  <si>
    <t>Элемент фильтрующий PILOT HYDRAULIC FILTER HITACHI 4630525</t>
  </si>
  <si>
    <t>Элемент фильтрующий HYDRAULIC FILTER HITACHI YA00016054/4656608</t>
  </si>
  <si>
    <t>Элемент фильтрующий TRANSMISSION FILTER HITACHI 4488239/4666083</t>
  </si>
  <si>
    <t>ФМ009-1012005 (М5101) или W 11 102</t>
  </si>
  <si>
    <t>PRELINE 270 топливный, грубой очистки</t>
  </si>
  <si>
    <t>Mann Hummel WDK 962 или  WDK 940 топливный, тонкой очитки</t>
  </si>
  <si>
    <t>GB-502M или EF-43K-01 воздушный</t>
  </si>
  <si>
    <t xml:space="preserve">Генератор ГГ273В1-3.03 </t>
  </si>
  <si>
    <t>Стартер 7402.3708</t>
  </si>
  <si>
    <t>Топливный насос выокого давления (ТНВД) СВ28 (CRS-Bosch) с подкачивающим насосом</t>
  </si>
  <si>
    <t>30.30.16.00.00.00.40.10.1</t>
  </si>
  <si>
    <t>Форсунка топливная</t>
  </si>
  <si>
    <t>устройство для распыливания жидкого топлива, подаваемого в камеру сгорания двигателя</t>
  </si>
  <si>
    <t>Инжектор СRIN2 0 445 120 141</t>
  </si>
  <si>
    <t>Турбокомпрессор Д-245.7Е3 (ГАЗ) С14-179-01,ТКР6,5.1-09.03, ТКР 6,5.1-09.03</t>
  </si>
  <si>
    <t>Диск нажимной с кожухом 4301-1601090-20</t>
  </si>
  <si>
    <t>Диск сцепления ведомый 4301-1601130-01</t>
  </si>
  <si>
    <t>Насос водяной Д-245.7Е3 245-1307010-А1-07</t>
  </si>
  <si>
    <t>Ремкомплект водяного насоса  Д-245.7Е3 (ГАЗ) 245-1307010А1-07М</t>
  </si>
  <si>
    <t>Фильтр масляный Фильтр масляный Fleetguard LF16015, КС-5532</t>
  </si>
  <si>
    <t xml:space="preserve">Элемент фильтрующий Фильтр топливный FF5485, КС-5532 </t>
  </si>
  <si>
    <t>Элемент фильтрующий Фильтр (топливный сепаратор) Fleetguard FS19624, КС-5532</t>
  </si>
  <si>
    <t>Элемент фильтрующий 4459549, 4459548 воздушный фильтр, КС-5532</t>
  </si>
  <si>
    <t>Ремень генератора CUMMINS 6B 4938301, 3911588, 8PK1420, 4994781, 3908037, 3288757, КС-5532</t>
  </si>
  <si>
    <t>29.32.30.00.01.01.15.02.1</t>
  </si>
  <si>
    <t>Ремень привода вентилятора</t>
  </si>
  <si>
    <t>Ремень привода ДВС CUMMINS 3034348 4990977 3288625 4892351, КС-5532</t>
  </si>
  <si>
    <t>Стартер  4992135, КС-5532</t>
  </si>
  <si>
    <t>Водяной насос 3800984 4891252, КС-5532 </t>
  </si>
  <si>
    <t>Турбокомпрессор  HOLSET HX351W 4043980/4043982. КС-5532</t>
  </si>
  <si>
    <t>Прокладка клапанной крышки C4899226/4897569 6ISBe, КС-5532</t>
  </si>
  <si>
    <t>Компрессор воздушный 3971519/4898367/3964687, КС-5532</t>
  </si>
  <si>
    <t>Топливный насос (ТНВД)  3971529/ 4988595/5264248/ 0445020045/ 0445020150, КС-5532</t>
  </si>
  <si>
    <t>390-2 Т</t>
  </si>
  <si>
    <t>7,11,18,19,20</t>
  </si>
  <si>
    <t>Республика Казахстан, 130000, Мангистауская область, Каламкас, Жетыбай, Акту</t>
  </si>
  <si>
    <t>2906-1 Т</t>
  </si>
  <si>
    <t>2907-1 Т</t>
  </si>
  <si>
    <t>2908-1 Т</t>
  </si>
  <si>
    <t>2909-1 Т</t>
  </si>
  <si>
    <t>2910-1 Т</t>
  </si>
  <si>
    <t>2911-1 Т</t>
  </si>
  <si>
    <t>2912-1 Т</t>
  </si>
  <si>
    <t>2913-1 Т</t>
  </si>
  <si>
    <t xml:space="preserve"> июнь, июль</t>
  </si>
  <si>
    <t>2817-1 Т</t>
  </si>
  <si>
    <t>23-1 Р</t>
  </si>
  <si>
    <t>41.00.40.30.12.00.00</t>
  </si>
  <si>
    <t>Работы строительные по реконструкции технического здания</t>
  </si>
  <si>
    <t>Комплекс работ по реконструкции технического здания.</t>
  </si>
  <si>
    <t>41.00.40.20.22.00.00</t>
  </si>
  <si>
    <t>Работы строительные по ремонту вспомогательных помещений</t>
  </si>
  <si>
    <t>Работы строительные по ремонту вспомогательных  помещений</t>
  </si>
  <si>
    <t>17-2 У</t>
  </si>
  <si>
    <t>98-2 У</t>
  </si>
  <si>
    <t>99-2 У</t>
  </si>
  <si>
    <t>177-1 У</t>
  </si>
  <si>
    <t>180-1 У</t>
  </si>
  <si>
    <t>Обучение на тему:осуществление долгосрочных закупок</t>
  </si>
  <si>
    <t>181-1 У</t>
  </si>
  <si>
    <t>184-1 У</t>
  </si>
  <si>
    <t>6,11,20,21</t>
  </si>
  <si>
    <t>195-1 У</t>
  </si>
  <si>
    <t>Обучение на тему: Разрешение конфликтов</t>
  </si>
  <si>
    <t>11,12,20,21</t>
  </si>
  <si>
    <t>Обучение на тему: Развертывание  Windows Server 2008</t>
  </si>
  <si>
    <t>РК,  г.Астана</t>
  </si>
  <si>
    <t>Обучение на тему: конфигурация, управление и устранение неисправностей работы организации Microsoft Exchange Server 2010</t>
  </si>
  <si>
    <t>РК,  г.Алматы</t>
  </si>
  <si>
    <t>205 У</t>
  </si>
  <si>
    <t>Обучение на тему: Interconnect Cisco Network Devices Part</t>
  </si>
  <si>
    <t>206 У</t>
  </si>
  <si>
    <t>РК, Мангистауская область,г.Актау</t>
  </si>
  <si>
    <t>с даты вступления в силу договора до 31 декабря  2014 г</t>
  </si>
  <si>
    <t>207 У</t>
  </si>
  <si>
    <t>Песок фракционный для бетона и асфальтобетона МКР 2-3</t>
  </si>
  <si>
    <t>08.12.11.00.00.00.11.28.1</t>
  </si>
  <si>
    <t>Песок для строительных работ: 50% природный, 50% обогащенный</t>
  </si>
  <si>
    <t>Мастика МБР-65</t>
  </si>
  <si>
    <t>гидро-ветрозащитная 2-хслойная паропроницаемая мембрана  ИЗОСПАН АМ   Плотность,гр./кв.м.90 Разрывная нагрузка прод./попер., Н/5 см не менее-110/90</t>
  </si>
  <si>
    <t>22.29.29.00.00.00.92.02.1</t>
  </si>
  <si>
    <t>Лента - обертка</t>
  </si>
  <si>
    <t xml:space="preserve">Пленка оберточная ПЭКОМ </t>
  </si>
  <si>
    <t xml:space="preserve">Маты минераловатные прошивные марки 75 </t>
  </si>
  <si>
    <t xml:space="preserve">Маты минераловатные прошивные марки М2-100 </t>
  </si>
  <si>
    <t>Плита минераловатная ПМ-35 толщ.100мм</t>
  </si>
  <si>
    <t xml:space="preserve">Маты URSA марки П-30(Г) </t>
  </si>
  <si>
    <t xml:space="preserve">Маты URSA марки П-25(Г) </t>
  </si>
  <si>
    <t>минераловатная, 1000х500х60</t>
  </si>
  <si>
    <t>24.10.31.00.00.12.11.11.2</t>
  </si>
  <si>
    <t>инструментальная углеродистая сталь, горячекатанная, прямоугольного сечения ГОСТ 4405-75</t>
  </si>
  <si>
    <t>25.11.10.10.10.20.20.10.1</t>
  </si>
  <si>
    <t>стальной оцинкованный в комплекте с направляющими и стоечными</t>
  </si>
  <si>
    <t>3302 Т</t>
  </si>
  <si>
    <t>3303 Т</t>
  </si>
  <si>
    <t>3304 Т</t>
  </si>
  <si>
    <t>3305 Т</t>
  </si>
  <si>
    <t>3306 Т</t>
  </si>
  <si>
    <t>3307 Т</t>
  </si>
  <si>
    <t>3308 Т</t>
  </si>
  <si>
    <t>3309 Т</t>
  </si>
  <si>
    <t>3310 Т</t>
  </si>
  <si>
    <t>3311 Т</t>
  </si>
  <si>
    <t>3312 Т</t>
  </si>
  <si>
    <t>3313 Т</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</si>
  <si>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</si>
  <si>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</si>
  <si>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</si>
  <si>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</si>
  <si>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</si>
  <si>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</si>
  <si>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</si>
  <si>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</si>
  <si>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</si>
  <si>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</si>
  <si>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</si>
  <si>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</si>
  <si>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</si>
  <si>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</si>
  <si>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</si>
  <si>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</si>
  <si>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</si>
  <si>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</si>
  <si>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</si>
  <si>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</si>
  <si>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</si>
  <si>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</si>
  <si>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</si>
  <si>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</si>
  <si>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</si>
  <si>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</si>
  <si>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</si>
  <si>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</si>
  <si>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</si>
  <si>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</si>
  <si>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</si>
  <si>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</si>
  <si>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</si>
  <si>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</si>
  <si>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</si>
  <si>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</si>
  <si>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</si>
  <si>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</si>
  <si>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</si>
  <si>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</si>
  <si>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</si>
  <si>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</si>
  <si>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</si>
  <si>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</si>
  <si>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</si>
  <si>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</si>
  <si>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</si>
  <si>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</si>
  <si>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</si>
  <si>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</si>
  <si>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</si>
  <si>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</si>
  <si>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</si>
  <si>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</si>
  <si>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</si>
  <si>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</si>
  <si>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</si>
  <si>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</si>
  <si>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</si>
  <si>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</si>
  <si>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</si>
  <si>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</si>
  <si>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</si>
  <si>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</si>
  <si>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</si>
  <si>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</si>
  <si>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</si>
  <si>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</si>
  <si>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</si>
  <si>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</si>
  <si>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</si>
  <si>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</si>
  <si>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</si>
  <si>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</si>
  <si>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</si>
  <si>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</si>
  <si>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</si>
  <si>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</si>
  <si>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</si>
  <si>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</si>
  <si>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</si>
  <si>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</si>
  <si>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</si>
  <si>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</si>
  <si>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</si>
  <si>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</si>
  <si>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</si>
  <si>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</si>
  <si>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</si>
  <si>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</si>
  <si>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</si>
  <si>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</si>
  <si>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</si>
  <si>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</si>
  <si>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</si>
  <si>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</si>
  <si>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</si>
  <si>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</si>
  <si>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</si>
  <si>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</si>
  <si>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</si>
  <si>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</si>
  <si>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</si>
  <si>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</si>
  <si>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</si>
  <si>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</si>
  <si>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</si>
  <si>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</si>
  <si>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</si>
  <si>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</si>
  <si>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</si>
  <si>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</si>
  <si>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</si>
  <si>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</si>
  <si>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</si>
  <si>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</si>
  <si>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</si>
  <si>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</si>
  <si>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</si>
  <si>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</si>
  <si>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</si>
  <si>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</si>
  <si>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</si>
  <si>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</si>
  <si>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</si>
  <si>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</si>
  <si>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</si>
  <si>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</si>
  <si>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</si>
  <si>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</si>
  <si>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</si>
  <si>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</si>
  <si>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</si>
  <si>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</si>
  <si>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</si>
  <si>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</si>
  <si>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</si>
  <si>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</si>
  <si>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</si>
  <si>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</si>
  <si>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</si>
  <si>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</si>
  <si>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</si>
  <si>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</si>
  <si>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</si>
  <si>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</si>
  <si>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</si>
  <si>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</si>
  <si>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</si>
  <si>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</si>
  <si>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</si>
  <si>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</si>
  <si>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</si>
  <si>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</si>
  <si>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</si>
  <si>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</si>
  <si>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</si>
  <si>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</si>
  <si>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</si>
  <si>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</si>
  <si>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</si>
  <si>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</si>
  <si>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</si>
  <si>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</si>
  <si>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</si>
  <si>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</si>
  <si>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</si>
  <si>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</si>
  <si>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</si>
  <si>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</si>
  <si>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</si>
  <si>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</si>
  <si>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</si>
  <si>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</si>
  <si>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</si>
  <si>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</si>
  <si>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</si>
  <si>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</si>
  <si>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</si>
  <si>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</si>
  <si>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</si>
  <si>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</si>
  <si>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</si>
  <si>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</si>
  <si>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</si>
  <si>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</si>
  <si>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</si>
  <si>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</si>
  <si>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</si>
  <si>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</si>
  <si>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</si>
  <si>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</si>
  <si>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</si>
  <si>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</si>
  <si>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</si>
  <si>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</si>
  <si>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</si>
  <si>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</si>
  <si>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</si>
  <si>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</si>
  <si>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</si>
  <si>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</si>
  <si>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</si>
  <si>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</si>
  <si>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</si>
  <si>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</si>
  <si>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</si>
  <si>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</si>
  <si>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</si>
  <si>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</si>
  <si>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</si>
  <si>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</si>
  <si>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</si>
  <si>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</si>
  <si>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</si>
  <si>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</si>
  <si>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</si>
  <si>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</si>
  <si>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</si>
  <si>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</si>
  <si>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</si>
  <si>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</si>
  <si>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</si>
  <si>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</si>
  <si>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</si>
  <si>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</si>
  <si>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</si>
  <si>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</si>
  <si>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</si>
  <si>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</si>
  <si>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</si>
  <si>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</si>
  <si>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</si>
  <si>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</si>
  <si>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</si>
  <si>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</si>
  <si>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</si>
  <si>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</si>
  <si>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</si>
  <si>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</si>
  <si>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</si>
  <si>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</si>
  <si>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3556 Т</t>
  </si>
  <si>
    <t>3557 Т</t>
  </si>
  <si>
    <t>3558 Т</t>
  </si>
  <si>
    <t>3559 Т</t>
  </si>
  <si>
    <t>3560 Т</t>
  </si>
  <si>
    <t>3561 Т</t>
  </si>
  <si>
    <t>3562 Т</t>
  </si>
  <si>
    <t>3563 Т</t>
  </si>
  <si>
    <t>3564 Т</t>
  </si>
  <si>
    <t>3565 Т</t>
  </si>
  <si>
    <t>3566 Т</t>
  </si>
  <si>
    <t>3567 Т</t>
  </si>
  <si>
    <t>3568 Т</t>
  </si>
  <si>
    <t>3569 Т</t>
  </si>
  <si>
    <t>3570 Т</t>
  </si>
  <si>
    <t>3571 Т</t>
  </si>
  <si>
    <t>3572 Т</t>
  </si>
  <si>
    <t>3573 Т</t>
  </si>
  <si>
    <t>3574 Т</t>
  </si>
  <si>
    <t>3575 Т</t>
  </si>
  <si>
    <t>3576 Т</t>
  </si>
  <si>
    <t>3577 Т</t>
  </si>
  <si>
    <t>3578 Т</t>
  </si>
  <si>
    <t>3579 Т</t>
  </si>
  <si>
    <t>3580 Т</t>
  </si>
  <si>
    <t>3581 Т</t>
  </si>
  <si>
    <t>3582 Т</t>
  </si>
  <si>
    <t>3583 Т</t>
  </si>
  <si>
    <t>3584 Т</t>
  </si>
  <si>
    <t>3585 Т</t>
  </si>
  <si>
    <t>3586 Т</t>
  </si>
  <si>
    <t>3587 Т</t>
  </si>
  <si>
    <t>3588 Т</t>
  </si>
  <si>
    <t>3589 Т</t>
  </si>
  <si>
    <t>3590 Т</t>
  </si>
  <si>
    <t>3591 Т</t>
  </si>
  <si>
    <t>3592 Т</t>
  </si>
  <si>
    <t>3593 Т</t>
  </si>
  <si>
    <t>3594 Т</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</si>
  <si>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</si>
  <si>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</si>
  <si>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</si>
  <si>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</si>
  <si>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</si>
  <si>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</si>
  <si>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</si>
  <si>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</si>
  <si>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</si>
  <si>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</si>
  <si>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</si>
  <si>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</si>
  <si>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</si>
  <si>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</si>
  <si>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</si>
  <si>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</si>
  <si>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</si>
  <si>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</si>
  <si>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</si>
  <si>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</si>
  <si>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</si>
  <si>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</si>
  <si>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</si>
  <si>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</si>
  <si>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</si>
  <si>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</si>
  <si>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</si>
  <si>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</si>
  <si>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</si>
  <si>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</si>
  <si>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</si>
  <si>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</si>
  <si>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</si>
  <si>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</si>
  <si>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</si>
  <si>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</si>
  <si>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</si>
  <si>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</si>
  <si>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</si>
  <si>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</si>
  <si>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</si>
  <si>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</si>
  <si>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</si>
  <si>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</si>
  <si>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</si>
  <si>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</si>
  <si>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</si>
  <si>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</si>
  <si>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</si>
  <si>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</si>
  <si>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</si>
  <si>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</si>
  <si>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</si>
  <si>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</si>
  <si>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</si>
  <si>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</si>
  <si>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</si>
  <si>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</si>
  <si>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</si>
  <si>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</si>
  <si>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</si>
  <si>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</si>
  <si>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</si>
  <si>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</si>
  <si>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</si>
  <si>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</si>
  <si>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</si>
  <si>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</si>
  <si>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</si>
  <si>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</si>
  <si>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</si>
  <si>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</si>
  <si>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</si>
  <si>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</si>
  <si>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</si>
  <si>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</si>
  <si>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</si>
  <si>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</si>
  <si>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</si>
  <si>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</si>
  <si>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</si>
  <si>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</si>
  <si>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</si>
  <si>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</si>
  <si>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</si>
  <si>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</si>
  <si>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3681 Т</t>
  </si>
  <si>
    <t>3682 Т</t>
  </si>
  <si>
    <t>3683 Т</t>
  </si>
  <si>
    <t>3684 Т</t>
  </si>
  <si>
    <t>3685 Т</t>
  </si>
  <si>
    <t>3686 Т</t>
  </si>
  <si>
    <t>3687 Т</t>
  </si>
  <si>
    <t>3688 Т</t>
  </si>
  <si>
    <t>3689 Т</t>
  </si>
  <si>
    <t>3690 Т</t>
  </si>
  <si>
    <t>3691 Т</t>
  </si>
  <si>
    <t>3692 Т</t>
  </si>
  <si>
    <t>3693 Т</t>
  </si>
  <si>
    <t>3694 Т</t>
  </si>
  <si>
    <t>3695 Т</t>
  </si>
  <si>
    <t>Труба электросварная прямошовная Ø426х8мм</t>
  </si>
  <si>
    <t>Труба электросварная прямошовная Ø426х7мм</t>
  </si>
  <si>
    <t>Труба электросварная прямошовная Ø325х7мм</t>
  </si>
  <si>
    <t>Труба электросварная прямошовная Ø273х8мм</t>
  </si>
  <si>
    <t>Труба электросварная прямошовная Ø273х7мм</t>
  </si>
  <si>
    <t>Труба электросварная прямошовная Ø273х6мм</t>
  </si>
  <si>
    <t>Труба электросварная прямошовная Ø219х10мм</t>
  </si>
  <si>
    <t>Труба электросварная прямошовная Ø219х8мм</t>
  </si>
  <si>
    <t>Труба электросварная прямошовная Ø219х6мм</t>
  </si>
  <si>
    <t>Труба электросварная прямошовная Ø159х6мм</t>
  </si>
  <si>
    <t>Труба электросварная прямошовная Ø159х5мм</t>
  </si>
  <si>
    <t>Труба электросварная прямошовная Ø114х6мм</t>
  </si>
  <si>
    <t>Труба электросварная прямошовная Ø114х3мм</t>
  </si>
  <si>
    <t>Труба электросварная прямошовная Ø89х4мм</t>
  </si>
  <si>
    <t>Труба электросварная прямошовная Ø76х4мм</t>
  </si>
  <si>
    <t>Труба электросварная прямошовная Ø76х3,5мм</t>
  </si>
  <si>
    <t>Труба электросварная прямошовная Ø76х3мм</t>
  </si>
  <si>
    <t>Труба электросварная прямошовная Ø57х4мм</t>
  </si>
  <si>
    <t>Труба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</si>
  <si>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</si>
  <si>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</si>
  <si>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Ø159х8мм б/у</t>
  </si>
  <si>
    <t>Труба стальная электросварная прямошовная  Ø114х8мм б/у</t>
  </si>
  <si>
    <t>Труба стальная электросварная прямошовная  Ø76х5мм б/у</t>
  </si>
  <si>
    <t>Тройник стальной Ø325х8-273х7мм</t>
  </si>
  <si>
    <t>Тройник стальной Ø325х8-219х6мм</t>
  </si>
  <si>
    <t>тройник стальной Ø720х10мм</t>
  </si>
  <si>
    <t>тройник стальной Ø500х11мм</t>
  </si>
  <si>
    <t>тройник стальной Ø325х12мм</t>
  </si>
  <si>
    <t>тройник стальной Ø219х8мм</t>
  </si>
  <si>
    <t>тройник стальной Ø114х4мм</t>
  </si>
  <si>
    <t>тройник стальной Ø76х6мм</t>
  </si>
  <si>
    <t>тройник стальной Ø273х10-219х8мм</t>
  </si>
  <si>
    <t>тройник стальной Ø1-114х3мм</t>
  </si>
  <si>
    <t>Приказ №279 от 23.05. 2014 год.</t>
  </si>
  <si>
    <t>1196-1 Т</t>
  </si>
  <si>
    <t>1196-2 Т</t>
  </si>
  <si>
    <t>474-2 Т</t>
  </si>
  <si>
    <t>476-1 Т</t>
  </si>
  <si>
    <t>2277-2 Т</t>
  </si>
  <si>
    <t>2278-2 Т</t>
  </si>
  <si>
    <t>2279-2 Т</t>
  </si>
  <si>
    <t>2280-2 Т</t>
  </si>
  <si>
    <t>2763-2 Т</t>
  </si>
  <si>
    <t>43.91.11.13.00.00.00</t>
  </si>
  <si>
    <t>10-1 Т</t>
  </si>
  <si>
    <t>142-3 Т</t>
  </si>
  <si>
    <t>324-1 Т</t>
  </si>
  <si>
    <t>373-4 Т</t>
  </si>
  <si>
    <t>492-3 Т</t>
  </si>
  <si>
    <t>596-2 Т</t>
  </si>
  <si>
    <t>613-2 Т</t>
  </si>
  <si>
    <t>796-2 Т</t>
  </si>
  <si>
    <t>Стальная, эллиптическая,  ГОСТ 17379 - 2001,Заглушка 219х20,ст.20</t>
  </si>
  <si>
    <t>стальная, эллиптическая,  ГОСТ 17379 - 2001Заглушка 76х6,ст.20</t>
  </si>
  <si>
    <t>Стальная,фланцевая,  ГОСТ 17379 - 2001, Заглушка 1-100-1,6,ст.20</t>
  </si>
  <si>
    <t>Стальная, ГОСТ 17379 - 2001, Заглушка 1-150-0,6,ст.20</t>
  </si>
  <si>
    <t>Стальная, ГОСТ 17379 - 2001,Заглушка М 73</t>
  </si>
  <si>
    <t>прочность при разрыве при 23°С - 110 Н/10мм ширины, удлинение при разрыве 540%.</t>
  </si>
  <si>
    <t>24.33.11.00.10.10.10.22.1</t>
  </si>
  <si>
    <t>Равнополочный, номер уголка 7,ширина полки 70 мм, ГОСТ 8509-93</t>
  </si>
  <si>
    <t>24.33.11.00.10.11.10.21.1</t>
  </si>
  <si>
    <t>Неравнополочный, номер уголка7/4,5,с полками 70х45, ГОСТ 8510-86</t>
  </si>
  <si>
    <t>фильтр защиты сетевого оборудования</t>
  </si>
  <si>
    <t>24.33.11.00.10.10.10.24.1</t>
  </si>
  <si>
    <t>Равнополочный, номер уголка 8,ширина полки 80 мм, ГОСТ 8509-93</t>
  </si>
  <si>
    <t>24.33.11.00.10.10.10.27.1</t>
  </si>
  <si>
    <t>Равнополочный, номер уголка 11,ширина полки 110 мм, ГОСТ 8509-93</t>
  </si>
  <si>
    <t>3696 Т</t>
  </si>
  <si>
    <t xml:space="preserve"> июль-август  2014г.</t>
  </si>
  <si>
    <t>РК, Мангистауская область, Мунайлинский р-н ,пос Ынтымак,  база СТиСТ  ТОО"ОСС"</t>
  </si>
  <si>
    <t>в течение 30  кал.дней с даты заключения договора</t>
  </si>
  <si>
    <t>245-3 Т</t>
  </si>
  <si>
    <t>июль-август  2014г.</t>
  </si>
  <si>
    <t>251-3 Т</t>
  </si>
  <si>
    <t>252-3 Т</t>
  </si>
  <si>
    <t>253-3 Т</t>
  </si>
  <si>
    <t>20.59.42.00.00.20.10.20.1</t>
  </si>
  <si>
    <t>Жидкость для систем выхлопа дизельных двигателей</t>
  </si>
  <si>
    <t>химический реагент на основе мочевины</t>
  </si>
  <si>
    <t>475-2 Т</t>
  </si>
  <si>
    <t>193-2 Т</t>
  </si>
  <si>
    <t>7,11,18,19,20,21</t>
  </si>
  <si>
    <t>1156-2 Т</t>
  </si>
  <si>
    <t>1157-2 Т</t>
  </si>
  <si>
    <t>1158-2 Т</t>
  </si>
  <si>
    <t>1159-2 Т</t>
  </si>
  <si>
    <t>1160-2 Т</t>
  </si>
  <si>
    <t>1161-2 Т</t>
  </si>
  <si>
    <t>1162-2 Т</t>
  </si>
  <si>
    <t>1163-2 Т</t>
  </si>
  <si>
    <t>1164-2 Т</t>
  </si>
  <si>
    <t>1165-2 Т</t>
  </si>
  <si>
    <t>1166-2 Т</t>
  </si>
  <si>
    <t>19, 20,21</t>
  </si>
  <si>
    <t>11,16,17,18,19,20,21</t>
  </si>
  <si>
    <t>16,17,18,19,20,21</t>
  </si>
  <si>
    <t>Задвижка клиновая фланцевая ЗКЛ-2-50-63, 30с76нж Клиновая с ручным приводом в комплекте с ответными фланцами, шпильками, гайками, прокладками, ТУ 3741-010-96455923-2008</t>
  </si>
  <si>
    <t>11, 18,19,20,21</t>
  </si>
  <si>
    <t>120-1 У</t>
  </si>
  <si>
    <t>с июня  по декабрь 2014г</t>
  </si>
  <si>
    <t>февраль,  июнь-июль 2014г.</t>
  </si>
  <si>
    <t>2868-1 Т</t>
  </si>
  <si>
    <t xml:space="preserve">Нейтрализующая жидкость для дизельных двигателей </t>
  </si>
  <si>
    <t>28-1 У</t>
  </si>
  <si>
    <t>1249-1 Т</t>
  </si>
  <si>
    <t>1246-3 Т</t>
  </si>
  <si>
    <t>1247-2 Т</t>
  </si>
  <si>
    <t>1248-1 Т</t>
  </si>
  <si>
    <t>1250-1 Т</t>
  </si>
  <si>
    <t>32-2 Р</t>
  </si>
  <si>
    <t>106-1 У</t>
  </si>
  <si>
    <t>107-1 У</t>
  </si>
  <si>
    <t>149-1 У</t>
  </si>
  <si>
    <t>2829-1 Т</t>
  </si>
  <si>
    <t>август-сентябрь</t>
  </si>
  <si>
    <t>2826-2 Т</t>
  </si>
  <si>
    <t>2827-1 Т</t>
  </si>
  <si>
    <t>7,11,19,20,21</t>
  </si>
  <si>
    <t>60 Р</t>
  </si>
  <si>
    <t>Разработка проекта рекультивации к-ра Жетыбай</t>
  </si>
  <si>
    <t>26-2 Р</t>
  </si>
  <si>
    <t>27-2 Р</t>
  </si>
  <si>
    <t>28-2 Р</t>
  </si>
  <si>
    <t>7,20,21</t>
  </si>
  <si>
    <t>Фланец стальной 1-100-40       ГОСТ 12821-80</t>
  </si>
  <si>
    <t>2743-2 Т</t>
  </si>
  <si>
    <t>2745-2 Т</t>
  </si>
  <si>
    <t>2747-2 Т</t>
  </si>
  <si>
    <t>июль- август</t>
  </si>
  <si>
    <t>2749-2 Т</t>
  </si>
  <si>
    <t>2750-1 Т</t>
  </si>
  <si>
    <t>2751-1 Т</t>
  </si>
  <si>
    <t>2752-1 Т</t>
  </si>
  <si>
    <t>август- сентябрь</t>
  </si>
  <si>
    <t>2753-2 Т</t>
  </si>
  <si>
    <t>2754-2 Т</t>
  </si>
  <si>
    <t>2755-2 Т</t>
  </si>
  <si>
    <t>2757-1 Т</t>
  </si>
  <si>
    <t>2758-1 Т</t>
  </si>
  <si>
    <t>2760-1 Т</t>
  </si>
  <si>
    <t>2762-1 Т</t>
  </si>
  <si>
    <t>2764-1 Т</t>
  </si>
  <si>
    <t>2768-1 Т</t>
  </si>
  <si>
    <t>2771-1 Т</t>
  </si>
  <si>
    <t>2772-1 Т</t>
  </si>
  <si>
    <t>2773-1 Т</t>
  </si>
  <si>
    <t>2774-1 Т</t>
  </si>
  <si>
    <t>2775-1 Т</t>
  </si>
  <si>
    <t>2776-1 Т</t>
  </si>
  <si>
    <t>2778-1 Т</t>
  </si>
  <si>
    <t>2777-1 Т</t>
  </si>
  <si>
    <t>2811-2 Т</t>
  </si>
  <si>
    <t>2763-3 Т</t>
  </si>
  <si>
    <t>7,18,20,21</t>
  </si>
  <si>
    <t>7,11,12,19,20,21</t>
  </si>
  <si>
    <t>942-2 Т</t>
  </si>
  <si>
    <t>937-1 Т</t>
  </si>
  <si>
    <t>938-1 Т</t>
  </si>
  <si>
    <t>943-2 Т</t>
  </si>
  <si>
    <t>944-2 Т</t>
  </si>
  <si>
    <t>945-2 Т</t>
  </si>
  <si>
    <t>946-2 Т</t>
  </si>
  <si>
    <t>947-2 Т</t>
  </si>
  <si>
    <t>948-2 Т</t>
  </si>
  <si>
    <t>949-2 Т</t>
  </si>
  <si>
    <t>950-2 Т</t>
  </si>
  <si>
    <t>951-2 Т</t>
  </si>
  <si>
    <t>952-2 Т</t>
  </si>
  <si>
    <t>953-2 Т</t>
  </si>
  <si>
    <t>954-2 Т</t>
  </si>
  <si>
    <t>955-2 Т</t>
  </si>
  <si>
    <t>956-2 Т</t>
  </si>
  <si>
    <t>957-2 Т</t>
  </si>
  <si>
    <t>958-2 Т</t>
  </si>
  <si>
    <t>959-2 Т</t>
  </si>
  <si>
    <t>960-2 Т</t>
  </si>
  <si>
    <t>961-2 Т</t>
  </si>
  <si>
    <t>962-2 Т</t>
  </si>
  <si>
    <t>963-2 Т</t>
  </si>
  <si>
    <t>964-2 Т</t>
  </si>
  <si>
    <t>965-2 Т</t>
  </si>
  <si>
    <t>966-2 Т</t>
  </si>
  <si>
    <t>967-2 Т</t>
  </si>
  <si>
    <t>968-2 Т</t>
  </si>
  <si>
    <t>969-2 Т</t>
  </si>
  <si>
    <t>970-2 Т</t>
  </si>
  <si>
    <t>971-2 Т</t>
  </si>
  <si>
    <t>972-2 Т</t>
  </si>
  <si>
    <t>973-2 Т</t>
  </si>
  <si>
    <t>974-2 Т</t>
  </si>
  <si>
    <t>975-2 Т</t>
  </si>
  <si>
    <t>976-2 Т</t>
  </si>
  <si>
    <t>977-2 Т</t>
  </si>
  <si>
    <t>978-2 Т</t>
  </si>
  <si>
    <t>979-2 Т</t>
  </si>
  <si>
    <t>980-2 Т</t>
  </si>
  <si>
    <t>1095-2 Т</t>
  </si>
  <si>
    <t>в течение 45 календарных дней с даты подписания договора</t>
  </si>
  <si>
    <t>1096-2 Т</t>
  </si>
  <si>
    <t>1097-2 Т</t>
  </si>
  <si>
    <t>1098-2 Т</t>
  </si>
  <si>
    <t>1099-2 Т</t>
  </si>
  <si>
    <t>1100-2 Т</t>
  </si>
  <si>
    <t>1101-2 Т</t>
  </si>
  <si>
    <t>1102-2 Т</t>
  </si>
  <si>
    <t>1114-2 Т</t>
  </si>
  <si>
    <t>7,11,14,19,20,21</t>
  </si>
  <si>
    <t>11,14,19,20,21</t>
  </si>
  <si>
    <t>1115-2 Т</t>
  </si>
  <si>
    <t>1116-2 Т</t>
  </si>
  <si>
    <t>1176-1 Т</t>
  </si>
  <si>
    <t>в течение 50 календарных дней с даты подписания договора</t>
  </si>
  <si>
    <t>168-1 У</t>
  </si>
  <si>
    <t>192-1 У</t>
  </si>
  <si>
    <t>49-2 У</t>
  </si>
  <si>
    <t>202-1 У</t>
  </si>
  <si>
    <t>203-1 У</t>
  </si>
  <si>
    <t>201-1 У</t>
  </si>
  <si>
    <t>3191-1 Т</t>
  </si>
  <si>
    <t>РК, Мангистауская область, Мунайлинский р-н, пос. Даулет  база УТиСТ  ТОО "ОСС"</t>
  </si>
  <si>
    <t>3189-1 Т</t>
  </si>
  <si>
    <t>3196-2 Т</t>
  </si>
  <si>
    <t>3199-2 Т</t>
  </si>
  <si>
    <t>3200-2 Т</t>
  </si>
  <si>
    <t>3197-2 Т</t>
  </si>
  <si>
    <t>3201-1 Т</t>
  </si>
  <si>
    <t>3202-2 Т</t>
  </si>
  <si>
    <t>3187-2 Т</t>
  </si>
  <si>
    <t>3203-2 Т</t>
  </si>
  <si>
    <t>3194-2 Т</t>
  </si>
  <si>
    <t>3186-2 Т</t>
  </si>
  <si>
    <t>3198-2 Т</t>
  </si>
  <si>
    <t>3222-1 Т</t>
  </si>
  <si>
    <t>124-2 У</t>
  </si>
  <si>
    <t>208 У</t>
  </si>
  <si>
    <t>Модуль 1С Бюджетирование</t>
  </si>
  <si>
    <t xml:space="preserve">авансовый платеж- 0%, в течение 30 кал. дней с даты  подписания акта выполненных услуг </t>
  </si>
  <si>
    <t>41-1 Р</t>
  </si>
  <si>
    <t>7,11,20,21</t>
  </si>
  <si>
    <t>123-2 У</t>
  </si>
  <si>
    <t>7,11,12,18,20,21</t>
  </si>
  <si>
    <t>24.20.13.01.12.10.18.16.1</t>
  </si>
  <si>
    <t>Стальная бесшовная горячедеформированная, 89х8 мм ГОСТ 8732-78</t>
  </si>
  <si>
    <t>24.20.13.01.12.10.18.14.3</t>
  </si>
  <si>
    <t>Стальная бесшовная горячедеформированная, 89х5 мм ГОСТ 8732-78</t>
  </si>
  <si>
    <t>24.20.13.01.13.10.16.13.1</t>
  </si>
  <si>
    <t>24.20.13.01.12.10.16.10.3</t>
  </si>
  <si>
    <t>Стальная бесшовная горячедеформированная, 57х3,5 мм, ГОСТ 8732-78</t>
  </si>
  <si>
    <t>24.20.13.01.12.10.16.14.1</t>
  </si>
  <si>
    <t>Труба стальная бесшовная горячедеформированная, 57х6 мм, ГОСТ 8732-78</t>
  </si>
  <si>
    <t>24.20.13.01.12.10.41.01.1</t>
  </si>
  <si>
    <t>Стальная бесшовная горячедеформированная, 73х4,5 мм, ГОСТ 8732-78</t>
  </si>
  <si>
    <t>24.20.13.01.12.10.41.02.1</t>
  </si>
  <si>
    <t>Стальная бесшовная горячедеформированная, 73х5,5 мм, ГОСТ 8732-78</t>
  </si>
  <si>
    <t>24.20.13.01.12.10.17.13.1</t>
  </si>
  <si>
    <t>Стальная бесшовная горячедеформированная, 76х6 мм</t>
  </si>
  <si>
    <t>24.20.13.01.13.10.20.12.1</t>
  </si>
  <si>
    <t>Стальная, электросварная, прямошовная, 273х7 мм</t>
  </si>
  <si>
    <t>24.20.13.01.13.10.12.15.1</t>
  </si>
  <si>
    <t>Стальная, электросварная, прямошовная, 219х10 мм</t>
  </si>
  <si>
    <t>24.20.13.01.13.10.12.14.1</t>
  </si>
  <si>
    <t>Стальная, электросварная, прямошовная, 219х8 мм</t>
  </si>
  <si>
    <t>24.20.13.01.13.10.18.12.1</t>
  </si>
  <si>
    <t>Стальная, электросварная, прямошовная, 159х6 мм, ГОСТ 10704-91</t>
  </si>
  <si>
    <t>24.20.31.01.13.10.10.12.1</t>
  </si>
  <si>
    <t>Стальная, электросварная, прямошовная, диаметр 114Х6 мм</t>
  </si>
  <si>
    <t>24.20.31.01.13.10.10.10.1</t>
  </si>
  <si>
    <t>Стальная, электросварная, прямошовная, диаметр 114Х3 мм</t>
  </si>
  <si>
    <t>24.20.13.01.13.10.10.16.2</t>
  </si>
  <si>
    <t>Стальная, электросварная, прямошовная 76х3мм, ГОСТ 10704-91</t>
  </si>
  <si>
    <t>27.32.13.00.02.01.46.03.1</t>
  </si>
  <si>
    <t>МКЭКШВ 4х2х1,5</t>
  </si>
  <si>
    <t>27.32.13.00.02.01.46.02.1</t>
  </si>
  <si>
    <t>МКЭКШВ 2х2х1,5</t>
  </si>
  <si>
    <t>27.32.13.00.02.01.46.01.1</t>
  </si>
  <si>
    <t>МКЭКШВ 2х2х1</t>
  </si>
  <si>
    <t>27.32.13.00.02.01.50.36.1</t>
  </si>
  <si>
    <t>ВБбШв 5*50</t>
  </si>
  <si>
    <t>27.32.13.00.02.01.50.34.1</t>
  </si>
  <si>
    <t>ВБбШв 5*25</t>
  </si>
  <si>
    <t>27.32.13.00.02.01.50.35.1</t>
  </si>
  <si>
    <t>ВБбШв 5*35</t>
  </si>
  <si>
    <t>3697 Т</t>
  </si>
  <si>
    <t>3698 Т</t>
  </si>
  <si>
    <t>27.32.13.00.02.01.50.25.1</t>
  </si>
  <si>
    <t>ВБбШв 3*16+1*10</t>
  </si>
  <si>
    <t>27.32.13.00.02.01.50.30.1</t>
  </si>
  <si>
    <t>ВБбШв 5*4</t>
  </si>
  <si>
    <t>27.32.13.00.02.01.50.33.1</t>
  </si>
  <si>
    <t>ВБбШв 5*16</t>
  </si>
  <si>
    <t>27.32.13.00.02.01.27.71.1</t>
  </si>
  <si>
    <t>АВВГ 4*10</t>
  </si>
  <si>
    <t>27.32.13.00.02.01.37.66.1</t>
  </si>
  <si>
    <t>ВВГ 3*70</t>
  </si>
  <si>
    <t>27.32.13.00.02.01.84.01.1</t>
  </si>
  <si>
    <t>КПСВВ 1*2*1,5</t>
  </si>
  <si>
    <t>27.32.13.00.02.04.26.35.3</t>
  </si>
  <si>
    <t>разъем RS - 485</t>
  </si>
  <si>
    <t>27.32.13.00.02.01.37.38.2</t>
  </si>
  <si>
    <t>ВВГ 4*16</t>
  </si>
  <si>
    <t>27.32.13.00.02.01.50.26.1</t>
  </si>
  <si>
    <t>ВБбШв 3*6+1*4</t>
  </si>
  <si>
    <t>27.32.13.00.02.01.50.24.1</t>
  </si>
  <si>
    <t>ВБбШв 3*240</t>
  </si>
  <si>
    <t>27.32.13.00.02.01.50.23.1</t>
  </si>
  <si>
    <t>ВБбШв 3*95</t>
  </si>
  <si>
    <t>27.32.13.00.01.02.20.12.1</t>
  </si>
  <si>
    <t>МКЭКШВнг 2*2*1.5</t>
  </si>
  <si>
    <t>24.20.13.01.13.10.10.17.1</t>
  </si>
  <si>
    <t>Стальная, электросварная, прямошовная 76х3,5 мм, ГОСТ 10704-91</t>
  </si>
  <si>
    <t>24.20.13.01.13.10.11.54.1</t>
  </si>
  <si>
    <t>Стальная, электросварная, прямошовная, 377х8 мм, ГОСТ 10704-91</t>
  </si>
  <si>
    <t>Труба стальная электросварная прямошовная Ø108х6мм, ГОСТ 10704-94</t>
  </si>
  <si>
    <t>24.20.13.01.13.10.16.14.1</t>
  </si>
  <si>
    <t>Стальная, электросварная, прямошовная,  108х6 мм, ГОСТ 10704-91</t>
  </si>
  <si>
    <t>Труба стальная электросварная прямошовная Ø114х4мм</t>
  </si>
  <si>
    <t>24.20.13.01.13.10.20.13.1</t>
  </si>
  <si>
    <t>Стальная, электросварная, прямошовная, 273х8 мм</t>
  </si>
  <si>
    <t>27.32.13.00.02.01.50.18.2</t>
  </si>
  <si>
    <t>ВББШв 4*10</t>
  </si>
  <si>
    <t>41.00.40.10.11.10.00</t>
  </si>
  <si>
    <t>Работы строительные по возведению производственной базы</t>
  </si>
  <si>
    <t>Полный  цикл работ строительных и монтажных по возведению производственной базы, включая поставку вспомогательного оборудования и материалов, а также сопровождение проекта "под ключ"</t>
  </si>
  <si>
    <t>61 Р</t>
  </si>
  <si>
    <t>62 Р</t>
  </si>
  <si>
    <t>Приобретение ангара разборного не утепленного для хранения штучных и теплоизоляционных материалов размером 7х31 м. на базе РЗЦ в п. Ынтымак</t>
  </si>
  <si>
    <t>Приобретение ангара разборного не утепленного для хранения штучных  материалов размером 7х31 м. на базе ЖСМУ м. Жетыбай</t>
  </si>
  <si>
    <t>РК, Мангистауская область, Мунайлинский р-н п. Ынтымак</t>
  </si>
  <si>
    <t>РК, Мангистауская область, Каракиянский р-н, п.Жетыбай</t>
  </si>
  <si>
    <t>23-1 У</t>
  </si>
  <si>
    <t xml:space="preserve">Грузоподъемность, тонн 40
Размеры контейнера внутренние, м (длина × ширина × высота) 5,86 × 2,33 × 2,19
Размеры дверного проема, м (ширина × высота) 2,28 × 2,13
Объем контейнера внутренний -67,7м3 </t>
  </si>
  <si>
    <t>Задвижка стальная с ответными фланцами ЗКЛ-2-200-25, 30с41нж, клиновая с ручным приводом в комплекте с ответными фланцами, шпильками, гайками, прокладками</t>
  </si>
  <si>
    <t>Задвижка стальная с ответными фланцами ЗКЛ-2-200-16, 30с41нж, клиновая с ручным приводом в комплекте с ответными фланцами, шпильками, гайками, прокладками</t>
  </si>
  <si>
    <t>207-1 У</t>
  </si>
  <si>
    <t>в течение 120 кал.дней с даты подписания  договора</t>
  </si>
  <si>
    <t>100-2 У</t>
  </si>
  <si>
    <t>101-2 У</t>
  </si>
  <si>
    <t>99-3 У</t>
  </si>
  <si>
    <t>98-3 У</t>
  </si>
  <si>
    <t>102-1 У</t>
  </si>
  <si>
    <t>1104-2 Т</t>
  </si>
  <si>
    <t>Круг шлифовальный ПП 300х40х76, 63С-64С12С1 ГОСТ 2424-83</t>
  </si>
  <si>
    <t>1105-2 Т</t>
  </si>
  <si>
    <t xml:space="preserve">Круг шлифовальный ПП 400х40х127,ГОСТ 2424-83  </t>
  </si>
  <si>
    <t>1106-2 Т</t>
  </si>
  <si>
    <t>1108-2 Т</t>
  </si>
  <si>
    <t>1109-2 Т</t>
  </si>
  <si>
    <t>1110-2Т</t>
  </si>
  <si>
    <t>1111-2 Т</t>
  </si>
  <si>
    <t>1088-1 Т</t>
  </si>
  <si>
    <t>1539-2 Т</t>
  </si>
  <si>
    <t>1545-2 Т</t>
  </si>
  <si>
    <t>1554-2 Т</t>
  </si>
  <si>
    <t>1556-2 Т</t>
  </si>
  <si>
    <t>1558-2 Т</t>
  </si>
  <si>
    <t>1562-2 Т</t>
  </si>
  <si>
    <t>1574-2 Т</t>
  </si>
  <si>
    <t>1587-2 Т</t>
  </si>
  <si>
    <t>1606-2 Т</t>
  </si>
  <si>
    <t>1607-2 Т</t>
  </si>
  <si>
    <t>1609-2 Т</t>
  </si>
  <si>
    <t>1616-2 Т</t>
  </si>
  <si>
    <t>1622-2 Т</t>
  </si>
  <si>
    <t>1623-2 Т</t>
  </si>
  <si>
    <t>1631-2 Т</t>
  </si>
  <si>
    <t>1640-2 Т</t>
  </si>
  <si>
    <t>1642-2 Т</t>
  </si>
  <si>
    <t>1839-2 Т</t>
  </si>
  <si>
    <t>1239-2 Т</t>
  </si>
  <si>
    <t>1241-2 Т</t>
  </si>
  <si>
    <t>3531-1 Т</t>
  </si>
  <si>
    <t>27.11.21.30.00.00.12.10.1</t>
  </si>
  <si>
    <t>Электродвигатель</t>
  </si>
  <si>
    <t>Электродвигатель мощностью 3 кВт, 1500 об/мин</t>
  </si>
  <si>
    <t>Электродвигатель АДМ 100 L4. Мощность 4 квт 380в 1500 об/мин</t>
  </si>
  <si>
    <t>3532-1 Т</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</si>
  <si>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4 кВт</t>
  </si>
  <si>
    <t>27.11.21.20.30.10.50.40.1</t>
  </si>
  <si>
    <t>Комплект 1587/ ЕТ62МАХ+КIТ для поиска неисправности эл.оборудования В состав входит : Мультиметр-мегометр Fluke 1587. Миниатюрный инфракрасный термометр Fluke 62. Токоизмирительные клещи I400.</t>
  </si>
  <si>
    <t>3534-1 Т</t>
  </si>
  <si>
    <t>1117-2 Т</t>
  </si>
  <si>
    <t>1118-2 Т</t>
  </si>
  <si>
    <t>1119-2 Т</t>
  </si>
  <si>
    <t>1120-2 Т</t>
  </si>
  <si>
    <t>1121-2 Т</t>
  </si>
  <si>
    <t>1122-2 Т</t>
  </si>
  <si>
    <t>1123-2 Т</t>
  </si>
  <si>
    <t>1124-2 Т</t>
  </si>
  <si>
    <t>1125-2 Т</t>
  </si>
  <si>
    <t>1126-2 Т</t>
  </si>
  <si>
    <t>1127-2 Т</t>
  </si>
  <si>
    <t>1128-2 Т</t>
  </si>
  <si>
    <t>1129-2 Т</t>
  </si>
  <si>
    <t>1130-2 Т</t>
  </si>
  <si>
    <t>1131-2 Т</t>
  </si>
  <si>
    <t>1132-2 Т</t>
  </si>
  <si>
    <t>1133-2 Т</t>
  </si>
  <si>
    <t>1134-2 Т</t>
  </si>
  <si>
    <t>1135-2 Т</t>
  </si>
  <si>
    <t>1136-2 Т</t>
  </si>
  <si>
    <t>1137-2 Т</t>
  </si>
  <si>
    <t>1138-2 Т</t>
  </si>
  <si>
    <t>1139-2 Т</t>
  </si>
  <si>
    <t>1140-2 Т</t>
  </si>
  <si>
    <t>1141-2 Т</t>
  </si>
  <si>
    <t>1142-2 Т</t>
  </si>
  <si>
    <t>1143-2 Т</t>
  </si>
  <si>
    <t>1144-2 Т</t>
  </si>
  <si>
    <t>1145-2 Т</t>
  </si>
  <si>
    <t>1146-2 Т</t>
  </si>
  <si>
    <t>1147-2 Т</t>
  </si>
  <si>
    <t>1148-2 Т</t>
  </si>
  <si>
    <t>1149-2 Т</t>
  </si>
  <si>
    <t>1150-2 Т</t>
  </si>
  <si>
    <t>1151-2 Т</t>
  </si>
  <si>
    <t>1152-2 Т</t>
  </si>
  <si>
    <t>1153-2 Т</t>
  </si>
  <si>
    <t>1154-2 Т</t>
  </si>
  <si>
    <t>1155-2 Т</t>
  </si>
  <si>
    <t>1193-2 Т</t>
  </si>
  <si>
    <t>1194-2 Т</t>
  </si>
  <si>
    <t>1195-2 Т</t>
  </si>
  <si>
    <t>1196-3 Т</t>
  </si>
  <si>
    <t>1197-2 Т</t>
  </si>
  <si>
    <t>1199-2 Т</t>
  </si>
  <si>
    <t>1202 -2 Т</t>
  </si>
  <si>
    <t>1203-2 Т</t>
  </si>
  <si>
    <t>1204-2 Т</t>
  </si>
  <si>
    <t>1205-2 Т</t>
  </si>
  <si>
    <t>1206-2 Т</t>
  </si>
  <si>
    <t>1240-2 Т</t>
  </si>
  <si>
    <t>177-2 У</t>
  </si>
  <si>
    <t>209 У</t>
  </si>
  <si>
    <t>Изменение и дополнения в налоговом законодательстве</t>
  </si>
  <si>
    <t>151-2 У</t>
  </si>
  <si>
    <t>153-1 У</t>
  </si>
  <si>
    <t>157-1 У</t>
  </si>
  <si>
    <t>159-1 У</t>
  </si>
  <si>
    <t>164-1 У</t>
  </si>
  <si>
    <t>1261-1 Т</t>
  </si>
  <si>
    <t>1262-1 Т</t>
  </si>
  <si>
    <t>1271-1 Т</t>
  </si>
  <si>
    <t>1272-1 Т</t>
  </si>
  <si>
    <t>1336-2 Т</t>
  </si>
  <si>
    <t>1337-2 Т</t>
  </si>
  <si>
    <t>1338-2 Т</t>
  </si>
  <si>
    <t>1339-2 Т</t>
  </si>
  <si>
    <t>1340-2 Т</t>
  </si>
  <si>
    <t>1341-2 Т</t>
  </si>
  <si>
    <t>1342-2 Т</t>
  </si>
  <si>
    <t>1343-2 Т</t>
  </si>
  <si>
    <t>1344-2 Т</t>
  </si>
  <si>
    <t>3224-1 Т</t>
  </si>
  <si>
    <t>3206-1 Т</t>
  </si>
  <si>
    <t>1345-2 Т</t>
  </si>
  <si>
    <t>1347-2 Т</t>
  </si>
  <si>
    <t>1348-2 Т</t>
  </si>
  <si>
    <t>1349-2 Т</t>
  </si>
  <si>
    <t>1350-2 Т</t>
  </si>
  <si>
    <t>1355-2 Т</t>
  </si>
  <si>
    <t>1356-2 Т</t>
  </si>
  <si>
    <t>1357-2 Т</t>
  </si>
  <si>
    <t>1358 -2 Т</t>
  </si>
  <si>
    <t>1360-2 Т</t>
  </si>
  <si>
    <t>1361-2 Т</t>
  </si>
  <si>
    <t>1362-2 Т</t>
  </si>
  <si>
    <t>1363-2 Т</t>
  </si>
  <si>
    <t>1364-2 Т</t>
  </si>
  <si>
    <t>1365-2 Т</t>
  </si>
  <si>
    <t>1367-2 Т</t>
  </si>
  <si>
    <t>1368-2 Т</t>
  </si>
  <si>
    <t>1369-2 Т</t>
  </si>
  <si>
    <t>1370 -1 Т</t>
  </si>
  <si>
    <t>1370- 2 Т</t>
  </si>
  <si>
    <t>1371-2 Т</t>
  </si>
  <si>
    <t>1373-2 Т</t>
  </si>
  <si>
    <t>1372-2 Т</t>
  </si>
  <si>
    <t>1374-2 Т</t>
  </si>
  <si>
    <t>1375-2 Т</t>
  </si>
  <si>
    <t>1377-2 Т</t>
  </si>
  <si>
    <t>1378-2 Т</t>
  </si>
  <si>
    <t>1379-2 Т</t>
  </si>
  <si>
    <t>1380-2 Т</t>
  </si>
  <si>
    <t>1381-2 Т</t>
  </si>
  <si>
    <t>1383-2 Т</t>
  </si>
  <si>
    <t>1384-2 Т</t>
  </si>
  <si>
    <t>1385-2 Т</t>
  </si>
  <si>
    <t>1387-2 Т</t>
  </si>
  <si>
    <t>1388 -2Т</t>
  </si>
  <si>
    <t>1389-2 Т</t>
  </si>
  <si>
    <t>1390-2 Т</t>
  </si>
  <si>
    <t>1391-2 Т</t>
  </si>
  <si>
    <t>1392-2 Т</t>
  </si>
  <si>
    <t>1393-2 Т</t>
  </si>
  <si>
    <t>1394-2 Т</t>
  </si>
  <si>
    <t>1395-2 Т</t>
  </si>
  <si>
    <t>1396-2 Т</t>
  </si>
  <si>
    <t>1397-2 Т</t>
  </si>
  <si>
    <t>1398-2 Т</t>
  </si>
  <si>
    <t>1399-2 Т</t>
  </si>
  <si>
    <t>1400-2 Т</t>
  </si>
  <si>
    <t>1401-2 Т</t>
  </si>
  <si>
    <t>1402-2 Т</t>
  </si>
  <si>
    <t>1403-2 Т</t>
  </si>
  <si>
    <t>1404-2 Т</t>
  </si>
  <si>
    <t>1405-2 Т</t>
  </si>
  <si>
    <t>1406-2 Т</t>
  </si>
  <si>
    <t>1407-2 Т</t>
  </si>
  <si>
    <t>1409-2 Т</t>
  </si>
  <si>
    <t>1411-2 Т</t>
  </si>
  <si>
    <t>1412-2 Т</t>
  </si>
  <si>
    <t>1413-2 Т</t>
  </si>
  <si>
    <t>1415-2 Т</t>
  </si>
  <si>
    <t>1416-2 Т</t>
  </si>
  <si>
    <t>1417- 2 Т</t>
  </si>
  <si>
    <t>1418-2 Т</t>
  </si>
  <si>
    <t>1419-2 Т</t>
  </si>
  <si>
    <t>1420-2 Т</t>
  </si>
  <si>
    <t>1421-2 Т</t>
  </si>
  <si>
    <t>1422-2 Т</t>
  </si>
  <si>
    <t>1423-2 Т</t>
  </si>
  <si>
    <t>1425-2 Т</t>
  </si>
  <si>
    <t>1426-2 Т</t>
  </si>
  <si>
    <t>1427-2 Т</t>
  </si>
  <si>
    <t>1428-2 Т</t>
  </si>
  <si>
    <t>1429-2 Т</t>
  </si>
  <si>
    <t>1430-2 Т</t>
  </si>
  <si>
    <t>1431-2 Т</t>
  </si>
  <si>
    <t>1432-2 Т</t>
  </si>
  <si>
    <t>1433-2 Т</t>
  </si>
  <si>
    <t>1435-2 Т</t>
  </si>
  <si>
    <t>1436-2 Т</t>
  </si>
  <si>
    <t>1437-2 Т</t>
  </si>
  <si>
    <t>1438-2 Т</t>
  </si>
  <si>
    <t>1440 -2 Т</t>
  </si>
  <si>
    <t>1441-2 Т</t>
  </si>
  <si>
    <t>1442-2 Т</t>
  </si>
  <si>
    <t>1445-2 Т</t>
  </si>
  <si>
    <t>1446-2 Т</t>
  </si>
  <si>
    <t>1447-2 Т</t>
  </si>
  <si>
    <t>1448-2 Т</t>
  </si>
  <si>
    <t>1449-2 Т</t>
  </si>
  <si>
    <t>1450-2 Т</t>
  </si>
  <si>
    <t>1451-2 Т</t>
  </si>
  <si>
    <t>1452-2 Т</t>
  </si>
  <si>
    <t>1455-2 Т</t>
  </si>
  <si>
    <t>1456 -2 Т</t>
  </si>
  <si>
    <t>1460-2 Т</t>
  </si>
  <si>
    <t>1461-2 Т</t>
  </si>
  <si>
    <t>1462-2 Т</t>
  </si>
  <si>
    <t>1464-2 Т</t>
  </si>
  <si>
    <t>1465-2 Т</t>
  </si>
  <si>
    <t>1469-2 Т</t>
  </si>
  <si>
    <t>1470-2 Т</t>
  </si>
  <si>
    <t>1471-2 Т</t>
  </si>
  <si>
    <t>1472-2 Т</t>
  </si>
  <si>
    <t>1473-2 Т</t>
  </si>
  <si>
    <t>1476-2 Т</t>
  </si>
  <si>
    <t>1478-2 Т</t>
  </si>
  <si>
    <t>1480-2 Т</t>
  </si>
  <si>
    <t>1481-2 Т</t>
  </si>
  <si>
    <t>1489-2 Т</t>
  </si>
  <si>
    <t>1490-2 Т</t>
  </si>
  <si>
    <t>1491-2 Т</t>
  </si>
  <si>
    <t>1492-2 Т</t>
  </si>
  <si>
    <t>1493-2 Т</t>
  </si>
  <si>
    <t>1494-2 Т</t>
  </si>
  <si>
    <t>1495-2 Т</t>
  </si>
  <si>
    <t>1496-2 Т</t>
  </si>
  <si>
    <t>1501-2 Т</t>
  </si>
  <si>
    <t>1507-2 Т</t>
  </si>
  <si>
    <t>1519-2 Т</t>
  </si>
  <si>
    <t>1520-2 Т</t>
  </si>
  <si>
    <t>1525-2 Т</t>
  </si>
  <si>
    <t>1533-2 Т</t>
  </si>
  <si>
    <t>1662-2 Т</t>
  </si>
  <si>
    <t>1685-2 Т</t>
  </si>
  <si>
    <t>1686-2 Т</t>
  </si>
  <si>
    <t>1688-2 Т</t>
  </si>
  <si>
    <t>1748-2 Т</t>
  </si>
  <si>
    <t>1758-2 Т</t>
  </si>
  <si>
    <t>1759-2 Т</t>
  </si>
  <si>
    <t>1761-2 Т</t>
  </si>
  <si>
    <t>1763-2 Т</t>
  </si>
  <si>
    <t>1767-2 Т</t>
  </si>
  <si>
    <t>1768-2 Т</t>
  </si>
  <si>
    <t>1771-2 Т</t>
  </si>
  <si>
    <t>1773-2 Т</t>
  </si>
  <si>
    <t>1774-2 Т</t>
  </si>
  <si>
    <t>1777-2 Т</t>
  </si>
  <si>
    <t>1778-2 Т</t>
  </si>
  <si>
    <t>1788-2 Т</t>
  </si>
  <si>
    <t>1789-2 Т</t>
  </si>
  <si>
    <t>1791-2 Т</t>
  </si>
  <si>
    <t>1792-2 Т</t>
  </si>
  <si>
    <t>1795-2 Т</t>
  </si>
  <si>
    <t>1796-2 Т</t>
  </si>
  <si>
    <t>1798-2 Т</t>
  </si>
  <si>
    <t>1799-2 Т</t>
  </si>
  <si>
    <t>1801-2 Т</t>
  </si>
  <si>
    <t>1808-2 Т</t>
  </si>
  <si>
    <t>1813-2 Т</t>
  </si>
  <si>
    <t>1814-2 Т</t>
  </si>
  <si>
    <t>1828-2 Т</t>
  </si>
  <si>
    <t>1831- 2 Т</t>
  </si>
  <si>
    <t>1832-2 Т</t>
  </si>
  <si>
    <t>1833-2 Т</t>
  </si>
  <si>
    <t>1840-2 Т</t>
  </si>
  <si>
    <t>1846-2 Т</t>
  </si>
  <si>
    <t>1851-2 Т</t>
  </si>
  <si>
    <t>1855-2 Т</t>
  </si>
  <si>
    <t>1861-2 Т</t>
  </si>
  <si>
    <t>1862-2 Т</t>
  </si>
  <si>
    <t>1863-2 Т</t>
  </si>
  <si>
    <t>1865-2 Т</t>
  </si>
  <si>
    <t>1866-2 Т</t>
  </si>
  <si>
    <t>1867-2 Т</t>
  </si>
  <si>
    <t>1868-2 Т</t>
  </si>
  <si>
    <t>1870-2 Т</t>
  </si>
  <si>
    <t>1875-2 Т</t>
  </si>
  <si>
    <t>1876-2 Т</t>
  </si>
  <si>
    <t>1896-2 Т</t>
  </si>
  <si>
    <t>1897-2 Т</t>
  </si>
  <si>
    <t>1898-2 Т</t>
  </si>
  <si>
    <t>1925-2 Т</t>
  </si>
  <si>
    <t>1942-2 Т</t>
  </si>
  <si>
    <t>1954-2 Т</t>
  </si>
  <si>
    <t>1962-2 Т</t>
  </si>
  <si>
    <t>1963-2 Т</t>
  </si>
  <si>
    <t>Двигатель в сборе с навесным оборудованием  5143.1000400-41</t>
  </si>
  <si>
    <t>2099-2 Т</t>
  </si>
  <si>
    <t>2100-2 Т</t>
  </si>
  <si>
    <t>2110-2 Т</t>
  </si>
  <si>
    <t>2125-2 Т</t>
  </si>
  <si>
    <t>2126-2 Т</t>
  </si>
  <si>
    <t>2127-2 Т</t>
  </si>
  <si>
    <t>2128-2 Т</t>
  </si>
  <si>
    <t>2129-2 Т</t>
  </si>
  <si>
    <t>2130-2 Т</t>
  </si>
  <si>
    <t>2131-2 Т</t>
  </si>
  <si>
    <t>2136-2 Т</t>
  </si>
  <si>
    <t>2140-2 Т</t>
  </si>
  <si>
    <t>2141-2 Т</t>
  </si>
  <si>
    <t>2142-2 Т</t>
  </si>
  <si>
    <t>2143-2 Т</t>
  </si>
  <si>
    <t>2144-2 Т</t>
  </si>
  <si>
    <t>2145-2 Т</t>
  </si>
  <si>
    <t>2146-2 Т</t>
  </si>
  <si>
    <t>2149-2 Т</t>
  </si>
  <si>
    <t>2150-2 Т</t>
  </si>
  <si>
    <t>2151-2 Т</t>
  </si>
  <si>
    <t>2152-2 Т</t>
  </si>
  <si>
    <t>2153-2 Т</t>
  </si>
  <si>
    <t>2154-2 Т</t>
  </si>
  <si>
    <t>2175-1 Т</t>
  </si>
  <si>
    <t>2177-1 Т</t>
  </si>
  <si>
    <t>2178-1 Т</t>
  </si>
  <si>
    <t>2187-1 Т</t>
  </si>
  <si>
    <t>2188-1 Т</t>
  </si>
  <si>
    <t>2190-1 Т</t>
  </si>
  <si>
    <t>2195-1 Т</t>
  </si>
  <si>
    <t>2196-1 Т</t>
  </si>
  <si>
    <t>2198-1 Т</t>
  </si>
  <si>
    <t>2204-1 Т</t>
  </si>
  <si>
    <t>2205-1 Т</t>
  </si>
  <si>
    <t>2207-1 Т</t>
  </si>
  <si>
    <t>2258-2 Т</t>
  </si>
  <si>
    <t>2260-2 Т</t>
  </si>
  <si>
    <t>2275-2 Т</t>
  </si>
  <si>
    <t>2276-2 Т</t>
  </si>
  <si>
    <t>2281-2 Т</t>
  </si>
  <si>
    <t>2284-2 Т</t>
  </si>
  <si>
    <t>2293-2 Т</t>
  </si>
  <si>
    <t>2297-2 Т</t>
  </si>
  <si>
    <t>2298-2 Т</t>
  </si>
  <si>
    <t>2299-2 Т</t>
  </si>
  <si>
    <t>2304-2 Т</t>
  </si>
  <si>
    <t>2311-2 Т</t>
  </si>
  <si>
    <t>2312-2 Т</t>
  </si>
  <si>
    <t>2313-2 Т</t>
  </si>
  <si>
    <t>2316-2 Т</t>
  </si>
  <si>
    <t>2319-2 Т</t>
  </si>
  <si>
    <t>2320-2 Т</t>
  </si>
  <si>
    <t>2321-2 Т</t>
  </si>
  <si>
    <t>2326-2 Т</t>
  </si>
  <si>
    <t>2327-2 Т</t>
  </si>
  <si>
    <t>2330-2 Т</t>
  </si>
  <si>
    <t>2333-2 Т</t>
  </si>
  <si>
    <t>2334-2 Т</t>
  </si>
  <si>
    <t>2338-2 Т</t>
  </si>
  <si>
    <t>2339-2 Т</t>
  </si>
  <si>
    <t>2340-2 Т</t>
  </si>
  <si>
    <t>2347-2 Т</t>
  </si>
  <si>
    <t>2348-2Т</t>
  </si>
  <si>
    <t>2375-2 Т</t>
  </si>
  <si>
    <t>2404-2 Т</t>
  </si>
  <si>
    <t>2411-2 Т</t>
  </si>
  <si>
    <t>2435-2 Т</t>
  </si>
  <si>
    <t>2436-2 Т</t>
  </si>
  <si>
    <t>2437-2 Т</t>
  </si>
  <si>
    <t xml:space="preserve">октябрь, ноябрь </t>
  </si>
  <si>
    <t>161-1 У</t>
  </si>
  <si>
    <t>167-1 У</t>
  </si>
  <si>
    <t>210 У</t>
  </si>
  <si>
    <t>обучение на пескоструйщика</t>
  </si>
  <si>
    <t>211 У</t>
  </si>
  <si>
    <t>Обучение по безопасности и охране труда (ИТР и рабочие)</t>
  </si>
  <si>
    <t>212 У</t>
  </si>
  <si>
    <t>Складская логистика КУ "Самрук-Казына"</t>
  </si>
  <si>
    <t>213 У</t>
  </si>
  <si>
    <t>РК, Алматы</t>
  </si>
  <si>
    <t>214 У</t>
  </si>
  <si>
    <t>РК,г.Караганда</t>
  </si>
  <si>
    <t>РК, г.Астана</t>
  </si>
  <si>
    <t>РК, г.Алматы</t>
  </si>
  <si>
    <t>215 У</t>
  </si>
  <si>
    <t>Автокран г/п 50-75 тн</t>
  </si>
  <si>
    <t>63 Р</t>
  </si>
  <si>
    <t>33.11.12.17.14.00.00</t>
  </si>
  <si>
    <t>Техническое обслуживание резервуаров и/или резервуарного парка</t>
  </si>
  <si>
    <t>Покраска резервуаров и/или резервуарного парка</t>
  </si>
  <si>
    <t>9-3 Р</t>
  </si>
  <si>
    <t>64 Р</t>
  </si>
  <si>
    <t>Наружная покраска  РВС V-5000 куб.м.</t>
  </si>
  <si>
    <t>Наружная покраска РВС V-10000 куб.м.</t>
  </si>
  <si>
    <t>65 Р</t>
  </si>
  <si>
    <t>41.00.40.20.10.00.00</t>
  </si>
  <si>
    <t>Работы строительные по ремонту административного здания</t>
  </si>
  <si>
    <t>Комплекс работ по ремонту административного здания офисного типа</t>
  </si>
  <si>
    <t>66 Р</t>
  </si>
  <si>
    <t xml:space="preserve">Замена трубопроводов канализационной системы в зданиях ПК№1 м/р. Жетыбай </t>
  </si>
  <si>
    <t>20-3 Р</t>
  </si>
  <si>
    <t>48-1 Р</t>
  </si>
  <si>
    <t>67 Р</t>
  </si>
  <si>
    <t>Ремонт КПП на  ЦДНГ-1</t>
  </si>
  <si>
    <t>Ремонт жилого вагона  на №410 ГУ-Ю.Ж на ЦДНГ-1</t>
  </si>
  <si>
    <t>Ремонт жилого вагона  на ГУ- Айрантакыр ЦДНГ-1</t>
  </si>
  <si>
    <t>Ремонт жилого вагона  на ПВХМ ГУ-20 ЦДНГ-1</t>
  </si>
  <si>
    <t>Ремонт КПП на ЦППН</t>
  </si>
  <si>
    <t>Ремонт КПП  ЕСТОС на ПСВВ</t>
  </si>
  <si>
    <t>Ремонт жилого вагона  на ПЭРЦО и на ПЭРО</t>
  </si>
  <si>
    <t xml:space="preserve">Капитальный ремонт пола  мехмастерской </t>
  </si>
  <si>
    <t>68 Р</t>
  </si>
  <si>
    <t>69 Р</t>
  </si>
  <si>
    <t>70 Р</t>
  </si>
  <si>
    <t>Благоустройство новой  территории  участка хранения  склад  Каламкас</t>
  </si>
  <si>
    <t>Капремонт кровли  адмздания  АУП</t>
  </si>
  <si>
    <t xml:space="preserve">Расширение  центрального  склада на  м\р Каламкас </t>
  </si>
  <si>
    <t>Душевые установки для цехов  ПУ</t>
  </si>
  <si>
    <t xml:space="preserve">Общежитие на  52 мест   Каламкас </t>
  </si>
  <si>
    <t xml:space="preserve">Расширение  центрального склада  м\р Жетыбай </t>
  </si>
  <si>
    <t>3д.</t>
  </si>
  <si>
    <t>71 Р</t>
  </si>
  <si>
    <t>72 Р</t>
  </si>
  <si>
    <t>73 Р</t>
  </si>
  <si>
    <t>74 Р</t>
  </si>
  <si>
    <t>75 Р</t>
  </si>
  <si>
    <t>76 Р</t>
  </si>
  <si>
    <t>77 Р</t>
  </si>
  <si>
    <t>78 Р</t>
  </si>
  <si>
    <t>79 Р</t>
  </si>
  <si>
    <t>80 Р</t>
  </si>
  <si>
    <t>81 Р</t>
  </si>
  <si>
    <t>82 Р</t>
  </si>
  <si>
    <t>43.99.90.45.15.20.00</t>
  </si>
  <si>
    <t>Работы по текущему ремонту и благоустройству территории</t>
  </si>
  <si>
    <t>Комплекс работ по текущему ремонту и благоустройству территории</t>
  </si>
  <si>
    <t>43.33.29.20.00.00.00</t>
  </si>
  <si>
    <t>Работы по капитальному ремонту полов</t>
  </si>
  <si>
    <t>2489-2 Т</t>
  </si>
  <si>
    <t>2490-2 Т</t>
  </si>
  <si>
    <t>2491-2 Т</t>
  </si>
  <si>
    <t>2492-2 Т</t>
  </si>
  <si>
    <t>2493-2 Т</t>
  </si>
  <si>
    <t>2511-2 Т</t>
  </si>
  <si>
    <t>2512-2 Т</t>
  </si>
  <si>
    <t>2523-2 Т</t>
  </si>
  <si>
    <t>2524-2 Т</t>
  </si>
  <si>
    <t>2525-2 Т</t>
  </si>
  <si>
    <t>2526-2 Т</t>
  </si>
  <si>
    <t>2527-2 Т</t>
  </si>
  <si>
    <t>2530-2 Т</t>
  </si>
  <si>
    <t>2535-2 Т</t>
  </si>
  <si>
    <t>2566-2 Т</t>
  </si>
  <si>
    <t>2579-2 Т</t>
  </si>
  <si>
    <t>2625-2 Т</t>
  </si>
  <si>
    <t>2658-2 Т</t>
  </si>
  <si>
    <t>2659-2 Т</t>
  </si>
  <si>
    <t>2277-3 Т</t>
  </si>
  <si>
    <t>2278-3 Т</t>
  </si>
  <si>
    <t>2279-3 Т</t>
  </si>
  <si>
    <t>2280-3 Т</t>
  </si>
  <si>
    <t>2452-2 Т</t>
  </si>
  <si>
    <t>2453-2 Т</t>
  </si>
  <si>
    <t>2457-2 Т</t>
  </si>
  <si>
    <t>2461-2 Т</t>
  </si>
  <si>
    <t>2462-2 Т</t>
  </si>
  <si>
    <t>2464-2 Т</t>
  </si>
  <si>
    <t>2465-2 Т</t>
  </si>
  <si>
    <t>2466-2 Т</t>
  </si>
  <si>
    <t>2467-2 Т</t>
  </si>
  <si>
    <t>2468-2 Т</t>
  </si>
  <si>
    <t>2472-2 Т</t>
  </si>
  <si>
    <t>2474-2 Т</t>
  </si>
  <si>
    <t>2481-2 Т</t>
  </si>
  <si>
    <t>2488-2 Т</t>
  </si>
  <si>
    <t>Двигатель  52342.1000400</t>
  </si>
  <si>
    <t xml:space="preserve">в течение 45 дней (на 1 зд.) с даты вступления в силу договора </t>
  </si>
  <si>
    <t>в течение  15 дней  с даты  получения  каждого РВС  по акту  под покраску</t>
  </si>
  <si>
    <t>в течение 75 дней с даты вступления в силу договора</t>
  </si>
  <si>
    <t>в течение 40 дней с даты вступления в силу договора</t>
  </si>
  <si>
    <t>в течение 30 дней с даты вступления в силу договора.</t>
  </si>
  <si>
    <t>в течение 45 дней с даты вступления в силу договора.</t>
  </si>
  <si>
    <t>в течение 60 дней с даты вступления в силу договора.</t>
  </si>
  <si>
    <t>в течение 75 дней с даты вступления в силу договора.</t>
  </si>
  <si>
    <t>в течение 90 дней с даты вступления в силу договора.</t>
  </si>
  <si>
    <t>в течение 200 дней с даты вступления в силу договора на  каждый  объект</t>
  </si>
  <si>
    <t>41.00.40.10.12.00.00</t>
  </si>
  <si>
    <t>Работы строительные по возведению технического здания</t>
  </si>
  <si>
    <t>Полный цикл работ строительных по возведению технического здания. Работы проводятся на основании проектно-сметной документации и других требований и норм строительства.</t>
  </si>
  <si>
    <t>41.00.30.16.00.00.00</t>
  </si>
  <si>
    <t>Работы строительные по возведению общежития</t>
  </si>
  <si>
    <t>Полный цикл работ по возведению общежития</t>
  </si>
  <si>
    <t>3699 Т</t>
  </si>
  <si>
    <t>радиатор 250.02.06.00.000</t>
  </si>
  <si>
    <t>31-2 Р</t>
  </si>
  <si>
    <t>2030-2 Т</t>
  </si>
  <si>
    <t>3700 Т</t>
  </si>
  <si>
    <t>3701 Т</t>
  </si>
  <si>
    <t>3702 Т</t>
  </si>
  <si>
    <t>3703 Т</t>
  </si>
  <si>
    <t>Топливный насос высокого давление 4063844</t>
  </si>
  <si>
    <t>Форсунки 4025334</t>
  </si>
  <si>
    <t>Прокладка головки цилиндра блока 3283335</t>
  </si>
  <si>
    <t>Турбокомпрессор 4025330</t>
  </si>
  <si>
    <t>3704 Т</t>
  </si>
  <si>
    <t>радиатор 5323-1301010</t>
  </si>
  <si>
    <t>3705 Т</t>
  </si>
  <si>
    <t>3706 Т</t>
  </si>
  <si>
    <t>3707 Т</t>
  </si>
  <si>
    <t>3708 Т</t>
  </si>
  <si>
    <t>3709 Т</t>
  </si>
  <si>
    <t>ТНВД 03800591 WD-615 (CB-TJ300-1100PFM70)</t>
  </si>
  <si>
    <t>Форсунки  WD-615</t>
  </si>
  <si>
    <t>Коренной лист задней рессоры XZ-25K</t>
  </si>
  <si>
    <t>Под коренной лист задней рессоры XZ-25K</t>
  </si>
  <si>
    <t>Насос поворотного редуктора XZZX-B002 (10100442, 08084411B)</t>
  </si>
  <si>
    <t>3710 Т</t>
  </si>
  <si>
    <t>3711 Т</t>
  </si>
  <si>
    <t>3712 Т</t>
  </si>
  <si>
    <t>3713 Т</t>
  </si>
  <si>
    <t>3714 Т</t>
  </si>
  <si>
    <t>3715 Т</t>
  </si>
  <si>
    <t>Вкладыш коренной 12918</t>
  </si>
  <si>
    <t>Вкладыш шатунной 53734</t>
  </si>
  <si>
    <t>Поршень  (с пальцем и кольцами) 39556</t>
  </si>
  <si>
    <t>Комплект уплотнительный 46306</t>
  </si>
  <si>
    <t>Прокладка клапанной крышки 10452</t>
  </si>
  <si>
    <t>Прокладка головки блока цилиндров 10345</t>
  </si>
  <si>
    <t>29.10.19.00.00.30.18.11.1</t>
  </si>
  <si>
    <t>29.10.19.00.00.10.11.20.1</t>
  </si>
  <si>
    <t>Уплотнительное кольцо гильзы</t>
  </si>
  <si>
    <t>для гильзы цилиндров</t>
  </si>
  <si>
    <t>3211-2 Т</t>
  </si>
  <si>
    <t>3212-2 Т</t>
  </si>
  <si>
    <t>3213-2 Т</t>
  </si>
  <si>
    <t>3215-2 Т</t>
  </si>
  <si>
    <t>3216-2 Т</t>
  </si>
  <si>
    <t>42.99.29.01.10.00.00</t>
  </si>
  <si>
    <t>Работы строительно-монтажные по возведению производственных зданий и сооружений</t>
  </si>
  <si>
    <t>Комплекс строительно-монтажных работ по возведению производственных зданий и сооружений</t>
  </si>
  <si>
    <t>41.00.40.20.12.00.00</t>
  </si>
  <si>
    <t>Работы строительные по ремонту технического здания</t>
  </si>
  <si>
    <t>Комплекс работ по ремонту технического здания.</t>
  </si>
  <si>
    <t>Капремонт здании ТП и РП</t>
  </si>
  <si>
    <t>Капремонт административного здания ЦНИПР</t>
  </si>
  <si>
    <t>3716 Т</t>
  </si>
  <si>
    <t>3717 Т</t>
  </si>
  <si>
    <t>3718 Т</t>
  </si>
  <si>
    <t>3719 Т</t>
  </si>
  <si>
    <t>Многофункциональное устройство А4 формат</t>
  </si>
  <si>
    <t>Многофункциональное устройство А3 формат</t>
  </si>
  <si>
    <t>Комплект новых компьютеров (монитор, системный блок, клавиатура, мышка, источник бесперебойного питания).</t>
  </si>
  <si>
    <t>Сервер 1С Бухгалтерия</t>
  </si>
  <si>
    <t>26.20.18.00.03.13.11.15.1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</si>
  <si>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- 9600 х 2400 dpi.</t>
  </si>
  <si>
    <t>26.20.13.00.00.02.11.10.1</t>
  </si>
  <si>
    <t>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t>
  </si>
  <si>
    <t>26.20.13.00.00.01.52.50.1</t>
  </si>
  <si>
    <t>Сервер</t>
  </si>
  <si>
    <t>Процессор многоядерный, асинхронный сервер последовательных портов RS-232</t>
  </si>
  <si>
    <t>авансовый платеж - 0%, оплата в течении 30 кал.дней с момента подписания акта према-передачи товаров</t>
  </si>
  <si>
    <t>83 Р</t>
  </si>
  <si>
    <t>84 Р</t>
  </si>
  <si>
    <t>Покраска промыслового оборудования</t>
  </si>
  <si>
    <t>Наружная покраска промыслового оборудования</t>
  </si>
  <si>
    <t>25.61.12.12.10.00.00</t>
  </si>
  <si>
    <t>Работы по нанесению антикоррозийных покрытий</t>
  </si>
  <si>
    <t>Станция масленная мобильная СММ контейнерного исполнении для проточного подогрева масла в комплекте с устройством управления, емкостями, насосом для перекачки жидкости, мощностью 75 кВт, 380 В.</t>
  </si>
  <si>
    <t>3720 Т</t>
  </si>
  <si>
    <t>Агрегат дизельный KDE 16EA3 10,8 квт (13,5ква) 230-400в</t>
  </si>
  <si>
    <t>3721 Т</t>
  </si>
  <si>
    <t xml:space="preserve">Стенд для контроля и ремонта электрооборудование автомобилей, Э-242 </t>
  </si>
  <si>
    <t>Приспособление для снятие установки КПП,  автомашины Урал, КрАЗ,  П-240</t>
  </si>
  <si>
    <t>Приспособление для снятие установки КПП,  автомашины ГАЗ, ЗиЛ, П-232</t>
  </si>
  <si>
    <t>Приспособление для снятие установки КПП,  автомашины КамАЗ, МАЗ, П-281</t>
  </si>
  <si>
    <t>Установка моечная, М-216</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</si>
  <si>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</si>
  <si>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</si>
  <si>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</si>
  <si>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</si>
  <si>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</si>
  <si>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</si>
  <si>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</si>
  <si>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</si>
  <si>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</si>
  <si>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</si>
  <si>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</si>
  <si>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</si>
  <si>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</si>
  <si>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</si>
  <si>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</si>
  <si>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</si>
  <si>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</si>
  <si>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Бочковый рычажный насос для масел, в комп-те с изогнутым металл-м выпускным патрубком и телескоп-м всасывающим патрубком,</t>
  </si>
  <si>
    <t>Кран гидравлический подкатной, г/п 2тн.</t>
  </si>
  <si>
    <t>Автогидроподъемник,  на шасси Камаз-53228</t>
  </si>
  <si>
    <t>Автогудронатор, ДС-142Б, на базе Камаз -53215</t>
  </si>
  <si>
    <t>Автобетоносмеситель "Миксер" 581462 на базе Камаз</t>
  </si>
  <si>
    <t>Автомобиль тех. помощи, с КМУ на шасси Камаз-43114</t>
  </si>
  <si>
    <t>Экскаватор карьерный, на гусеничном ходу</t>
  </si>
  <si>
    <t xml:space="preserve">Экскаватор траншейный, на колесном ходу                     </t>
  </si>
  <si>
    <t>Сварочный агрегат, на шасси, одноосный</t>
  </si>
  <si>
    <t>Трактор-тягач на базе "МТЗ"</t>
  </si>
  <si>
    <t xml:space="preserve"> август-сентябрь</t>
  </si>
  <si>
    <t>Доска маркерная</t>
  </si>
  <si>
    <t>3739 Т</t>
  </si>
  <si>
    <t>3740 Т</t>
  </si>
  <si>
    <t>3741 Т</t>
  </si>
  <si>
    <t>13.92.11.00.10.12.11.20.1</t>
  </si>
  <si>
    <t>Одеяла шерстяные. (Включая одеяла с наполнителем из тонкого или грубого волоса животных), полуторные, размером 160*215 см , ГОСТ 9382-78</t>
  </si>
  <si>
    <t xml:space="preserve">Одеяла шерстяные.Полуторные, размером 160*215 см </t>
  </si>
  <si>
    <t>32.99.16.00.00.00.40.11.1</t>
  </si>
  <si>
    <t>маркерно-магнитная доска, на опорах,с креплением для листов бумаги</t>
  </si>
  <si>
    <t>32.99.59.00.00.00.19.31.1</t>
  </si>
  <si>
    <t>металлический термос, объем 3 литра</t>
  </si>
  <si>
    <t>термос для жидкостей</t>
  </si>
  <si>
    <t>авансовый платеж - 30%, 70% в течении 30  календарных дней с момента подписания акта приема -передачи товаров</t>
  </si>
  <si>
    <t>2901-1 Т</t>
  </si>
  <si>
    <t>июль, ноябрь</t>
  </si>
  <si>
    <t>2902-1 Т</t>
  </si>
  <si>
    <t>2903-1 Т</t>
  </si>
  <si>
    <t>2904-1 Т</t>
  </si>
  <si>
    <t>2905-1 Т</t>
  </si>
  <si>
    <t>февраль, июль, ноябрь</t>
  </si>
  <si>
    <t>26.51.66.11.11.11.20.10.1</t>
  </si>
  <si>
    <t>Стенд проверки электрооборудования</t>
  </si>
  <si>
    <t>для диагностики, контроля и ремонта автомобильного электрооборудования</t>
  </si>
  <si>
    <t>26.51.66.01.00.00.01.28.1</t>
  </si>
  <si>
    <t>Приспособление</t>
  </si>
  <si>
    <t>Приспособление для монтажа-демонтажа изд.</t>
  </si>
  <si>
    <t>28.29.22.00.00.00.15.12.1</t>
  </si>
  <si>
    <t>Вибромоечная установка</t>
  </si>
  <si>
    <t>стационарная, однокамерная,для мойки деталей автомобиля в подогретом растворе, мощностью 6 кВт</t>
  </si>
  <si>
    <t>29.10.51.00.00.00.30.15.1</t>
  </si>
  <si>
    <t>Автовышка (автогидроподъемник)</t>
  </si>
  <si>
    <t>средней  высоты (от 17-ти до 30-ти метров), конструкция стрелы  - локтевая (коленчатая)</t>
  </si>
  <si>
    <t>29.10.59.00.00.00.56.12.1</t>
  </si>
  <si>
    <t>Автобетоносмеситель</t>
  </si>
  <si>
    <t>вместимостью свыше 3,5 м3 до 7 м3</t>
  </si>
  <si>
    <t>29.10.59.00.00.00.21.18.1</t>
  </si>
  <si>
    <t>Передвижная мастерская</t>
  </si>
  <si>
    <t>для ремонта, обслуживания и регулировки сложных механизмов, тяжелых самоходных машин и специализированных агрегатов</t>
  </si>
  <si>
    <t>28.92.26.00.00.00.05.02.1</t>
  </si>
  <si>
    <t>Экскаваторы одноковшовые самоходные и ковшовые погрузчики с поворотом кабины на 360 градусов (полноповоротные машины), кроме фронтальных одноковшовых погрузчиков</t>
  </si>
  <si>
    <t>Экскаватор одноковшовый самоходный с ковшом емкостью от 1,25 до 1,6 м3 на уширенном гусеничном ходу</t>
  </si>
  <si>
    <t>28.92.26.00.00.00.05.01.1</t>
  </si>
  <si>
    <t>Экскаватор</t>
  </si>
  <si>
    <t>Экскаватор одноковшовый самоходный с ковшом емкостью от 1,25 до 1,6 м3на гусеничном ходу</t>
  </si>
  <si>
    <t>28.30.23.00.00.00.20.10.1</t>
  </si>
  <si>
    <t>Тракторы для сельского и лесного хозяйства прочие</t>
  </si>
  <si>
    <t>новые с мощностью двигателя более 75 кВт, но не более 90 кВт</t>
  </si>
  <si>
    <t>28.22.14.00.00.00.35.12.1</t>
  </si>
  <si>
    <t>кран стреловой переносной</t>
  </si>
  <si>
    <t>кран стреловой переносной грузоподъемностью 2 т</t>
  </si>
  <si>
    <t>27.90.31.00.01.01.00.05.1</t>
  </si>
  <si>
    <t>Агрегат сварочный</t>
  </si>
  <si>
    <t>агрегат на один сварочный пост, тип топлива - дизельное топливо</t>
  </si>
  <si>
    <t>РК, Мангистауская область, пос Ынтымак,   ТОО "ОСС", СТиСТ</t>
  </si>
  <si>
    <t>авансовый платеж 0%, 100 % оплата в течении 30 рабочих дней со дня оформления акта приемки</t>
  </si>
  <si>
    <t xml:space="preserve">в течение 60  дней с даты вступления в силу договора </t>
  </si>
  <si>
    <t>29.10.59.00.00.00.55.10.1</t>
  </si>
  <si>
    <t>Автомобиль-котел</t>
  </si>
  <si>
    <t>предназначаются для транспортирования литой асфальтобетонной смеси с перемешиванием и поддержанием смеси при транспортировании и сохраняя ее свойств для производства ямочного ремонта верхних и основных слоев асфальтобетонных покрытий проезжей части автодо</t>
  </si>
  <si>
    <t>28.21.13.00.00.00.13.25.1</t>
  </si>
  <si>
    <t>установка</t>
  </si>
  <si>
    <t>индукционная нагревательная</t>
  </si>
  <si>
    <t xml:space="preserve">в течение 50  дней с даты вступления в силу договора </t>
  </si>
  <si>
    <t>3379-1 Т</t>
  </si>
  <si>
    <t xml:space="preserve">Задвижка стальная с ответными фланцами ЗКЛ-2-100-160, 30с41нж, Ду150 Ру40МПа </t>
  </si>
  <si>
    <t xml:space="preserve"> июль, август  2014г.</t>
  </si>
  <si>
    <t>6,11,19,20,21</t>
  </si>
  <si>
    <t>12-3 Т</t>
  </si>
  <si>
    <t>11,14,18,20,21</t>
  </si>
  <si>
    <t>август- сентябрь 2014г.</t>
  </si>
  <si>
    <t>13-3 Т</t>
  </si>
  <si>
    <t>14-2 Т</t>
  </si>
  <si>
    <t>11,14,18,19,20,21</t>
  </si>
  <si>
    <t>3742 Т</t>
  </si>
  <si>
    <t>Пластификатор для бетона RHEOBILD 1000</t>
  </si>
  <si>
    <t>20.59.59.00.01.02.00.10.2</t>
  </si>
  <si>
    <t>Пластификатор</t>
  </si>
  <si>
    <t>на нафталинформальдегидной основе, жидкость коричневого цвета, порошок-светлокоричневого цвета., не слеживается, легко растворим в воде</t>
  </si>
  <si>
    <t>3743 Т</t>
  </si>
  <si>
    <t>3744 Т</t>
  </si>
  <si>
    <t xml:space="preserve"> Подмости сборно - разборные для штукатурных и малярных работ с настилом из дерева.</t>
  </si>
  <si>
    <t>Вибраторы глубинные ф 50мм</t>
  </si>
  <si>
    <t>3745 Т</t>
  </si>
  <si>
    <t>3746 Т</t>
  </si>
  <si>
    <t xml:space="preserve">Удлинитель ШУ-50 </t>
  </si>
  <si>
    <t>3747 Т</t>
  </si>
  <si>
    <t>Ножницы-кусачки для пластиковых труб.</t>
  </si>
  <si>
    <t>3748 Т</t>
  </si>
  <si>
    <t>3749 Т</t>
  </si>
  <si>
    <t>3750 Т</t>
  </si>
  <si>
    <t>Ножницы кабельные.</t>
  </si>
  <si>
    <t>Перфоратор в ударопрочном пластиковом чемодане с набором буров  и патронов.</t>
  </si>
  <si>
    <t>Аккумуляторный шруповерт в ударопрочном кейсе.</t>
  </si>
  <si>
    <t>3751 Т</t>
  </si>
  <si>
    <t>3752 Т</t>
  </si>
  <si>
    <t>3753 Т</t>
  </si>
  <si>
    <t>71-1 Т</t>
  </si>
  <si>
    <t>72-2 Т</t>
  </si>
  <si>
    <t>11,12,13,18,20,21</t>
  </si>
  <si>
    <t>73-3 Т</t>
  </si>
  <si>
    <t>74-3 Т</t>
  </si>
  <si>
    <t>75-4 Т</t>
  </si>
  <si>
    <t>76-3 Т</t>
  </si>
  <si>
    <t>77-3 Т</t>
  </si>
  <si>
    <t>78-1 Т</t>
  </si>
  <si>
    <t>11,12,13,19,20,21</t>
  </si>
  <si>
    <t>79-3 Т</t>
  </si>
  <si>
    <t>80-3 Т</t>
  </si>
  <si>
    <t>81-3 Т</t>
  </si>
  <si>
    <t>82-3 Т</t>
  </si>
  <si>
    <t>83-2 Т</t>
  </si>
  <si>
    <t>3754 Т</t>
  </si>
  <si>
    <t>Отвод СП Ø500-30,  45гр.</t>
  </si>
  <si>
    <t>22.21.29.00.00.23.35.49.1</t>
  </si>
  <si>
    <t>Отвод из стеклопластика с углом поворота 45 градусов диаметр 500-30 мм</t>
  </si>
  <si>
    <t>84-2 Т</t>
  </si>
  <si>
    <t>3755 Т</t>
  </si>
  <si>
    <t>Отвод СП Ø300-40,  45гр.</t>
  </si>
  <si>
    <t>22.21.29.00.00.23.35.47.1</t>
  </si>
  <si>
    <t>Отвод из стеклопластика с углом поворота 45 градусов диаметр 300-40 мм</t>
  </si>
  <si>
    <t>85-4 Т</t>
  </si>
  <si>
    <t>86-4 Т</t>
  </si>
  <si>
    <t>89-4 Т</t>
  </si>
  <si>
    <t>90-4 Т</t>
  </si>
  <si>
    <t>январь, апрель, июль 2014г.</t>
  </si>
  <si>
    <t>91-4 Т</t>
  </si>
  <si>
    <t>92-2 Т</t>
  </si>
  <si>
    <t>12,13,19,20,21</t>
  </si>
  <si>
    <t>93-3 Т</t>
  </si>
  <si>
    <t>94-4 Т</t>
  </si>
  <si>
    <t>95-4 Т</t>
  </si>
  <si>
    <t>96-4 Т</t>
  </si>
  <si>
    <t>97-2 Т</t>
  </si>
  <si>
    <t>101-3 Т</t>
  </si>
  <si>
    <t>102-3 Т</t>
  </si>
  <si>
    <t>103-2 Т</t>
  </si>
  <si>
    <t>март-апрель, июль 2014г.</t>
  </si>
  <si>
    <t>104-2 Т</t>
  </si>
  <si>
    <t>105-3 Т</t>
  </si>
  <si>
    <t>106-3 Т</t>
  </si>
  <si>
    <t>107-3 Т</t>
  </si>
  <si>
    <t>январь, апрель, июль  2014г.</t>
  </si>
  <si>
    <t>108-1 Т</t>
  </si>
  <si>
    <t>109-2 Т</t>
  </si>
  <si>
    <t>110-1 Т</t>
  </si>
  <si>
    <t>111-2 Т</t>
  </si>
  <si>
    <t>112-1 Т</t>
  </si>
  <si>
    <t>113-2 Т</t>
  </si>
  <si>
    <t>114-3 Т</t>
  </si>
  <si>
    <t>июль , август 2014г.</t>
  </si>
  <si>
    <t>7,11,14</t>
  </si>
  <si>
    <t>120-2 Т</t>
  </si>
  <si>
    <t>июль, август 2014г.</t>
  </si>
  <si>
    <t>122-4 Т</t>
  </si>
  <si>
    <t>123-4 Т</t>
  </si>
  <si>
    <t>3756 Т</t>
  </si>
  <si>
    <t>126-4 Т</t>
  </si>
  <si>
    <t>127-3 Т</t>
  </si>
  <si>
    <t>129-4 Т</t>
  </si>
  <si>
    <t>130-2 Т</t>
  </si>
  <si>
    <t>131-4 Т</t>
  </si>
  <si>
    <t>7,11,14,18,19,20,21</t>
  </si>
  <si>
    <t>3302-1 Т</t>
  </si>
  <si>
    <t>132-4 Т</t>
  </si>
  <si>
    <t>133-4 Т</t>
  </si>
  <si>
    <t>3303-1 Т</t>
  </si>
  <si>
    <t>7,11,14,22</t>
  </si>
  <si>
    <t>7,11,12,14,22</t>
  </si>
  <si>
    <t>134-4 Т</t>
  </si>
  <si>
    <t>135-4 Т</t>
  </si>
  <si>
    <t>7,11,14,18,20,21</t>
  </si>
  <si>
    <t>3304-1 Т</t>
  </si>
  <si>
    <t>3305-1 Т</t>
  </si>
  <si>
    <t>137-3 Т</t>
  </si>
  <si>
    <t>3306-1 Т</t>
  </si>
  <si>
    <t>3307-1 Т</t>
  </si>
  <si>
    <t>3308-1 Т</t>
  </si>
  <si>
    <t>3309-1 Т</t>
  </si>
  <si>
    <t>7,11,12,14,18</t>
  </si>
  <si>
    <t>138-2 Т</t>
  </si>
  <si>
    <t>3310-1 Т</t>
  </si>
  <si>
    <t>3311-1 Т</t>
  </si>
  <si>
    <t>3312-1 Т</t>
  </si>
  <si>
    <t>3313-1 Т</t>
  </si>
  <si>
    <t>3314-1 Т</t>
  </si>
  <si>
    <t>3315-1 Т</t>
  </si>
  <si>
    <t>3316-1 Т</t>
  </si>
  <si>
    <t>139-3 Т</t>
  </si>
  <si>
    <t>3317-1 Т</t>
  </si>
  <si>
    <t>3318-1 Т</t>
  </si>
  <si>
    <t>3319-1 Т</t>
  </si>
  <si>
    <t>3321-1 Т</t>
  </si>
  <si>
    <t>3320-1 Т</t>
  </si>
  <si>
    <t>3322-1 Т</t>
  </si>
  <si>
    <t>3323-1 Т</t>
  </si>
  <si>
    <t>3324-1 Т</t>
  </si>
  <si>
    <t>3325-1 Т</t>
  </si>
  <si>
    <t>3326-1 Т</t>
  </si>
  <si>
    <t>3327-1 Т</t>
  </si>
  <si>
    <t>3328-1 Т</t>
  </si>
  <si>
    <t>3329-1 Т</t>
  </si>
  <si>
    <t>3330-1 Т</t>
  </si>
  <si>
    <t>3331-1 Т</t>
  </si>
  <si>
    <t>3332-1 Т</t>
  </si>
  <si>
    <t>3333-1 Т</t>
  </si>
  <si>
    <t>3334-1 Т</t>
  </si>
  <si>
    <t>3335-1 Т</t>
  </si>
  <si>
    <t>3336-1 Т</t>
  </si>
  <si>
    <t>3337-1 Т</t>
  </si>
  <si>
    <t>3338-1 Т</t>
  </si>
  <si>
    <t>3339-1 Т</t>
  </si>
  <si>
    <t>3340-1 Т</t>
  </si>
  <si>
    <t>3341-1 Т</t>
  </si>
  <si>
    <t>3342-1 Т</t>
  </si>
  <si>
    <t>3343-1 Т</t>
  </si>
  <si>
    <t>3344-1 Т</t>
  </si>
  <si>
    <t>140-3 Т</t>
  </si>
  <si>
    <t>141-3 Т</t>
  </si>
  <si>
    <t>142-4 Т</t>
  </si>
  <si>
    <t>7,11,18,20,21</t>
  </si>
  <si>
    <t>143-4 Т</t>
  </si>
  <si>
    <t>146-4 Т</t>
  </si>
  <si>
    <t>147-3 Т</t>
  </si>
  <si>
    <t>148-2 Т</t>
  </si>
  <si>
    <t>149-4 Т</t>
  </si>
  <si>
    <t>150-3 Т</t>
  </si>
  <si>
    <t>3345-1 Т</t>
  </si>
  <si>
    <t>3346-1 Т</t>
  </si>
  <si>
    <t>3347-1 Т</t>
  </si>
  <si>
    <t>3225-1 Т</t>
  </si>
  <si>
    <t>3757 Т</t>
  </si>
  <si>
    <t>Труба стальная электросварная прямошовная б/у Ø426х8мм</t>
  </si>
  <si>
    <t>3758 Т</t>
  </si>
  <si>
    <t>Металлопластиковая труба МПТ ф325х12</t>
  </si>
  <si>
    <t>Металлопластиковая труба ТФ159х12хНД-2-1-20</t>
  </si>
  <si>
    <t>3759 Т</t>
  </si>
  <si>
    <t>3760 Т</t>
  </si>
  <si>
    <t>3478-1 Т</t>
  </si>
  <si>
    <t>164-3 Т</t>
  </si>
  <si>
    <t>166-4 Т</t>
  </si>
  <si>
    <t>167-3 Т</t>
  </si>
  <si>
    <t>612-3 Т</t>
  </si>
  <si>
    <t>в течение 35 дней с даты заключения договора</t>
  </si>
  <si>
    <t>613-3 Т</t>
  </si>
  <si>
    <t>616-3 Т</t>
  </si>
  <si>
    <t>617-3 Т</t>
  </si>
  <si>
    <t>622-3 Т</t>
  </si>
  <si>
    <t>623-3 Т</t>
  </si>
  <si>
    <t>в течение 45  дней с даты заключения договора</t>
  </si>
  <si>
    <t>624-3 Т</t>
  </si>
  <si>
    <t>625-3 Т</t>
  </si>
  <si>
    <t>629-3 Т</t>
  </si>
  <si>
    <t>630-3 Т</t>
  </si>
  <si>
    <t>631-3 Т</t>
  </si>
  <si>
    <t>636-3 Т</t>
  </si>
  <si>
    <t>638-3 Т</t>
  </si>
  <si>
    <t>639-3 Т</t>
  </si>
  <si>
    <t>640-3 Т</t>
  </si>
  <si>
    <t>641-3 Т</t>
  </si>
  <si>
    <t>642-3 Т</t>
  </si>
  <si>
    <t>643-3 Т</t>
  </si>
  <si>
    <t>644-3 Т</t>
  </si>
  <si>
    <t>647-3 Т</t>
  </si>
  <si>
    <t>648-3 Т</t>
  </si>
  <si>
    <t>659-3 Т</t>
  </si>
  <si>
    <t>661-3 Т</t>
  </si>
  <si>
    <t>668-3 Т</t>
  </si>
  <si>
    <t>669-3 Т</t>
  </si>
  <si>
    <t>673-3 Т</t>
  </si>
  <si>
    <t>674-3 Т</t>
  </si>
  <si>
    <t>675-3 Т</t>
  </si>
  <si>
    <t>676-3 Т</t>
  </si>
  <si>
    <t>677-3 Т</t>
  </si>
  <si>
    <t>678-3 Т</t>
  </si>
  <si>
    <t>679-3 Т</t>
  </si>
  <si>
    <t>680-3 Т</t>
  </si>
  <si>
    <t>681-3 Т</t>
  </si>
  <si>
    <t>682-3 Т</t>
  </si>
  <si>
    <t>683-3 Т</t>
  </si>
  <si>
    <t>684-3 Т</t>
  </si>
  <si>
    <t>685-3 Т</t>
  </si>
  <si>
    <t>686-3 Т</t>
  </si>
  <si>
    <t>687-3 Т</t>
  </si>
  <si>
    <t>688-3 Т</t>
  </si>
  <si>
    <t>689-3 Т</t>
  </si>
  <si>
    <t>690-3 Т</t>
  </si>
  <si>
    <t>691-3 Т</t>
  </si>
  <si>
    <t>692-3 Т</t>
  </si>
  <si>
    <t>693-3 Т</t>
  </si>
  <si>
    <t>698-2 Т</t>
  </si>
  <si>
    <t>700-2 Т</t>
  </si>
  <si>
    <t>701-2 Т</t>
  </si>
  <si>
    <t>702-2 Т</t>
  </si>
  <si>
    <t>703-2 Т</t>
  </si>
  <si>
    <t>704-2 Т</t>
  </si>
  <si>
    <t>705-2 Т</t>
  </si>
  <si>
    <t>706-2 Т</t>
  </si>
  <si>
    <t>710-3 Т</t>
  </si>
  <si>
    <t>711-3 Т</t>
  </si>
  <si>
    <t>712-3 Т</t>
  </si>
  <si>
    <t>713-3 Т</t>
  </si>
  <si>
    <t>714-3 Т</t>
  </si>
  <si>
    <t>715-3 Т</t>
  </si>
  <si>
    <t>716-3 Т</t>
  </si>
  <si>
    <t>717-3 Т</t>
  </si>
  <si>
    <t>718-3 Т</t>
  </si>
  <si>
    <t>721-3 Т</t>
  </si>
  <si>
    <t>722-3 Т</t>
  </si>
  <si>
    <t>723-3 Т</t>
  </si>
  <si>
    <t>724-3 Т</t>
  </si>
  <si>
    <t>725-3 Т</t>
  </si>
  <si>
    <t>в течение 40 дней с даты заключения договора</t>
  </si>
  <si>
    <t>751-2 Т</t>
  </si>
  <si>
    <t>752-2 Т</t>
  </si>
  <si>
    <t>753-3 Т</t>
  </si>
  <si>
    <t>754-3 Т</t>
  </si>
  <si>
    <t>755-3 Т</t>
  </si>
  <si>
    <t>756-3 Т</t>
  </si>
  <si>
    <t>757-3 Т</t>
  </si>
  <si>
    <t>758-3 Т</t>
  </si>
  <si>
    <t>759-3 Т</t>
  </si>
  <si>
    <t>760-3 Т</t>
  </si>
  <si>
    <t>763-3 Т</t>
  </si>
  <si>
    <t>764-3 Т</t>
  </si>
  <si>
    <t>765-3 Т</t>
  </si>
  <si>
    <t>766-3 Т</t>
  </si>
  <si>
    <t>767-3 Т</t>
  </si>
  <si>
    <t>768-3 Т</t>
  </si>
  <si>
    <t>769-3 Т</t>
  </si>
  <si>
    <t>770-3 Т</t>
  </si>
  <si>
    <t>771-3 Т</t>
  </si>
  <si>
    <t>772-3 Т</t>
  </si>
  <si>
    <t>773-3 Т</t>
  </si>
  <si>
    <t>780-3 Т</t>
  </si>
  <si>
    <t>782-3 Т</t>
  </si>
  <si>
    <t>783-3 Т</t>
  </si>
  <si>
    <t>784-3 Т</t>
  </si>
  <si>
    <t>785-3 Т</t>
  </si>
  <si>
    <t>786-3 Т</t>
  </si>
  <si>
    <t>789-3 Т</t>
  </si>
  <si>
    <t>795-3 Т</t>
  </si>
  <si>
    <t>796-3 Т</t>
  </si>
  <si>
    <t>797-3 Т</t>
  </si>
  <si>
    <t>798-3 Т</t>
  </si>
  <si>
    <t>799-3 Т</t>
  </si>
  <si>
    <t>800-3 Т</t>
  </si>
  <si>
    <t>801-3 Т</t>
  </si>
  <si>
    <t>802-3 Т</t>
  </si>
  <si>
    <t>803-3 Т</t>
  </si>
  <si>
    <t>804-3 Т</t>
  </si>
  <si>
    <t>805-3 Т</t>
  </si>
  <si>
    <t>806-3 Т</t>
  </si>
  <si>
    <t>807-3 Т</t>
  </si>
  <si>
    <t>808-3 Т</t>
  </si>
  <si>
    <t>809-3 Т</t>
  </si>
  <si>
    <t>810-3 Т</t>
  </si>
  <si>
    <t>812-3 Т</t>
  </si>
  <si>
    <t>813-3 Т</t>
  </si>
  <si>
    <t>814-3 Т</t>
  </si>
  <si>
    <t>815-3 Т</t>
  </si>
  <si>
    <t>816-3 Т</t>
  </si>
  <si>
    <t>817-3 Т</t>
  </si>
  <si>
    <t>818-3 Т</t>
  </si>
  <si>
    <t>819-3 Т</t>
  </si>
  <si>
    <t>820-3 Т</t>
  </si>
  <si>
    <t>821-3 Т</t>
  </si>
  <si>
    <t>822-3 Т</t>
  </si>
  <si>
    <t>823-3 Т</t>
  </si>
  <si>
    <t>824-3 Т</t>
  </si>
  <si>
    <t>825-3 Т</t>
  </si>
  <si>
    <t>826-3 Т</t>
  </si>
  <si>
    <t>827-3 Т</t>
  </si>
  <si>
    <t>828-3 Т</t>
  </si>
  <si>
    <t>829-3 Т</t>
  </si>
  <si>
    <t>830-3 Т</t>
  </si>
  <si>
    <t>831-3 Т</t>
  </si>
  <si>
    <t>832-3 Т</t>
  </si>
  <si>
    <t>833-3 Т</t>
  </si>
  <si>
    <t>834-3 Т</t>
  </si>
  <si>
    <t>843-3 Т</t>
  </si>
  <si>
    <t>844-3 Т</t>
  </si>
  <si>
    <t>845-3 Т</t>
  </si>
  <si>
    <t>846-3 Т</t>
  </si>
  <si>
    <t>847-3 Т</t>
  </si>
  <si>
    <t>848-3 Т</t>
  </si>
  <si>
    <t>849-3 Т</t>
  </si>
  <si>
    <t>850-3 Т</t>
  </si>
  <si>
    <t>851-3 Т</t>
  </si>
  <si>
    <t>852-3 Т</t>
  </si>
  <si>
    <t>853-3 Т</t>
  </si>
  <si>
    <t>854-3 Т</t>
  </si>
  <si>
    <t>855-3 Т</t>
  </si>
  <si>
    <t>856-3 Т</t>
  </si>
  <si>
    <t>857-3 Т</t>
  </si>
  <si>
    <t>858-3 Т</t>
  </si>
  <si>
    <t>859-3 Т</t>
  </si>
  <si>
    <t>860-3 Т</t>
  </si>
  <si>
    <t>861-3 Т</t>
  </si>
  <si>
    <t>862-3 Т</t>
  </si>
  <si>
    <t>863-3 Т</t>
  </si>
  <si>
    <t>864-3 Т</t>
  </si>
  <si>
    <t>865-3 Т</t>
  </si>
  <si>
    <t>866-3 Т</t>
  </si>
  <si>
    <t>867-3 Т</t>
  </si>
  <si>
    <t>868-3 Т</t>
  </si>
  <si>
    <t>869-3 Т</t>
  </si>
  <si>
    <t>870-3 Т</t>
  </si>
  <si>
    <t>871-3Т</t>
  </si>
  <si>
    <t>872-3 Т</t>
  </si>
  <si>
    <t>873-3 Т</t>
  </si>
  <si>
    <t>874-3 Т</t>
  </si>
  <si>
    <t>875-3 Т</t>
  </si>
  <si>
    <t>876-3 Т</t>
  </si>
  <si>
    <t>877-3 Т</t>
  </si>
  <si>
    <t>890-3 Т</t>
  </si>
  <si>
    <t>891-3 Т</t>
  </si>
  <si>
    <t>892-3 Т</t>
  </si>
  <si>
    <t>893-3 Т</t>
  </si>
  <si>
    <t>894-3 Т</t>
  </si>
  <si>
    <t>895-3 Т</t>
  </si>
  <si>
    <t>896-3 Т</t>
  </si>
  <si>
    <t>897-3 Т</t>
  </si>
  <si>
    <t>898-3 Т</t>
  </si>
  <si>
    <t>902-3 Т</t>
  </si>
  <si>
    <t>903-3 Т</t>
  </si>
  <si>
    <t>904-3 Т</t>
  </si>
  <si>
    <t>905-3 Т</t>
  </si>
  <si>
    <t>906-3 Т</t>
  </si>
  <si>
    <t>907-3 Т</t>
  </si>
  <si>
    <t>908-3 Т</t>
  </si>
  <si>
    <t>910-3 Т</t>
  </si>
  <si>
    <t>911-3 Т</t>
  </si>
  <si>
    <t>912-3 Т</t>
  </si>
  <si>
    <t>913-3 Т</t>
  </si>
  <si>
    <t>914-3 Т</t>
  </si>
  <si>
    <t>915-3 Т</t>
  </si>
  <si>
    <t>916-3 Т</t>
  </si>
  <si>
    <t>917-3 Т</t>
  </si>
  <si>
    <t>918-3 Т</t>
  </si>
  <si>
    <t>919-3 Т</t>
  </si>
  <si>
    <t>920-3 Т</t>
  </si>
  <si>
    <t>921-3 Т</t>
  </si>
  <si>
    <t>922-3 Т</t>
  </si>
  <si>
    <t>923-3 Т</t>
  </si>
  <si>
    <t>3512-1 Т</t>
  </si>
  <si>
    <t>3513-1 Т</t>
  </si>
  <si>
    <t>3515-1 Т</t>
  </si>
  <si>
    <t>3516-1 Т</t>
  </si>
  <si>
    <t>3517-1 Т</t>
  </si>
  <si>
    <t>3518-1 Т</t>
  </si>
  <si>
    <t>3519-1 Т</t>
  </si>
  <si>
    <t>3520-1 Т</t>
  </si>
  <si>
    <t>Амперметр. Переменый  ток Марка Э42704  размер 72х72х100см диапазон измерения 0-50 А</t>
  </si>
  <si>
    <t>3521-1 Т</t>
  </si>
  <si>
    <t>3522-1 Т</t>
  </si>
  <si>
    <t>3523-1 Т</t>
  </si>
  <si>
    <t>3524-1 Т</t>
  </si>
  <si>
    <t>3525-1 Т</t>
  </si>
  <si>
    <t>3526-1 Т</t>
  </si>
  <si>
    <t>3527-1 Т</t>
  </si>
  <si>
    <t>3528-1 Т</t>
  </si>
  <si>
    <t>3529-1 Т</t>
  </si>
  <si>
    <t>3530-1 Т</t>
  </si>
  <si>
    <t>3,4,5,7,11,14</t>
  </si>
  <si>
    <t>3533-1 Т</t>
  </si>
  <si>
    <t>23.61.20.00.50.20.11.33.1</t>
  </si>
  <si>
    <t>Стойка</t>
  </si>
  <si>
    <t>железобетонная центрифугированная для опор высоковольтных ЛЭП, коническая, марки СК22.1-1.1, ГОСТ 22687.0-85</t>
  </si>
  <si>
    <t>Стойка железобетонная СК 22-1-1.1</t>
  </si>
  <si>
    <t>23.61.20.00.50.20.11.18.1</t>
  </si>
  <si>
    <t>железобетонная центрифугированная для опор высоковольтных ЛЭП, коническая, марки СК26.1-1.1, ГОСТ 22687.0-85</t>
  </si>
  <si>
    <t>Стойка железобетонная  СК 26-1-1.</t>
  </si>
  <si>
    <t>23.61.20.00.50.20.11.77.1</t>
  </si>
  <si>
    <t>железобетонная вибрированная предварительно напряженная, для опор воздушных линий</t>
  </si>
  <si>
    <t>Стойка железобетонная  СВ-164</t>
  </si>
  <si>
    <t>25.93.14.00.00.12.12.10.3</t>
  </si>
  <si>
    <t>Из проволоки из черных металлов, плакированной</t>
  </si>
  <si>
    <t>Скоба С-1</t>
  </si>
  <si>
    <t>27.12.22.11.15.12.11.10.1</t>
  </si>
  <si>
    <t>трехполюсный с нейтралью,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</si>
  <si>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Выключатель автоматический АЕ-2046 10Р 3ф 6,3А</t>
  </si>
  <si>
    <t>Шкаф питания и управления ЗПЗ. Шкаф 400х500х250 в комплекте с оборудованием согласно схеме</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</si>
  <si>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</si>
  <si>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</si>
  <si>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</si>
  <si>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</si>
  <si>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</si>
  <si>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</si>
  <si>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</si>
  <si>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</si>
  <si>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</si>
  <si>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</si>
  <si>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</si>
  <si>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</si>
  <si>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</si>
  <si>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</si>
  <si>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</si>
  <si>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</si>
  <si>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</si>
  <si>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</si>
  <si>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</si>
  <si>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</si>
  <si>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</si>
  <si>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</si>
  <si>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</si>
  <si>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</si>
  <si>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</si>
  <si>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</si>
  <si>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</si>
  <si>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</si>
  <si>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</si>
  <si>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27.32.13.00.02.01.43.05.2</t>
  </si>
  <si>
    <t>ВВГнг-LS 1х10</t>
  </si>
  <si>
    <t>Кабель силовой медный                    ВВГз 1х10 ГОСТ 16442-80</t>
  </si>
  <si>
    <t>Кабель силовой медный         ВВГз 1х16 ГОСТ 16442-80</t>
  </si>
  <si>
    <t>27.32.13.00.02.01.43.09.2</t>
  </si>
  <si>
    <t>ВВГнг-LS  2х6</t>
  </si>
  <si>
    <t>Кабель силовой едный           ВВГз 2х6 ГОСТ 16442-80</t>
  </si>
  <si>
    <t>27.32.13.00.02.01.43.11.2</t>
  </si>
  <si>
    <t>Кабель силовой медный         ВВГз 2х16 ГОСТ 16442-80</t>
  </si>
  <si>
    <t>27.32.13.00.02.01.43.12.2</t>
  </si>
  <si>
    <t>Кабель силовой медный         ВВГз 2х25 ГОСТ 16442-80</t>
  </si>
  <si>
    <t>Кабель силовой медный         ВВГз 1х50 ГОСТ 16442-80</t>
  </si>
  <si>
    <t>Кабель силовой медный         ВВБбШв 3х6 ГОСТ 16442-80</t>
  </si>
  <si>
    <t>27.51.25.01.02.02.02.60.1</t>
  </si>
  <si>
    <t>Накопительного типа. Закрытого типа. Объем от 100 и более литров.</t>
  </si>
  <si>
    <t>Электроводонагреватель TI 200 L  N=2,6 квт v=200л</t>
  </si>
  <si>
    <t>27.51.26.02.01.00.00.20.1</t>
  </si>
  <si>
    <t>Калорифер</t>
  </si>
  <si>
    <t>для нагрева воды в системе отопления</t>
  </si>
  <si>
    <t>Электрокалорифер КЭВ-,5H N=1,2квт</t>
  </si>
  <si>
    <t>28.29.12.00.00.00.39.00.1</t>
  </si>
  <si>
    <t>Фильтр сетчатый ФС100 С40-08УХЛ Ду100 Ру=0,4МПА (в комплекте с ответв.фланцами, прокладками и метизами)</t>
  </si>
  <si>
    <t>27.33.11.00.00.01.04.01.1</t>
  </si>
  <si>
    <t>ЯРВ-60 - номинальный ток - 60 А, размещение рукоятки привода - правое, категория размещения 3.</t>
  </si>
  <si>
    <t xml:space="preserve"> Ящик силовой с предохранит.   ЯРП 20У3 In= 20A</t>
  </si>
  <si>
    <t xml:space="preserve">  Ящик словой с предохранит.    ЯВЗ-31У3 In= 20A</t>
  </si>
  <si>
    <t>26.51.66.73.00.01.01.01.1</t>
  </si>
  <si>
    <t>Стойка контрольно измирительная  СКИП-2-Б-8-4-2,0-УХЛ1 (8 измирительных.4 силовых клемы)</t>
  </si>
  <si>
    <t>Стойка контрольно измирительная  СКИП-2-0-6-4-2,0-УХЛ1 (0 измирительных.6 силовых клемы) ТУ 3663-003-73892839-2006</t>
  </si>
  <si>
    <t>Стойка контрольно измирительная  СКИП-2-Б-12-4-2,0-УХЛ1 (12 измирительных.4 силовых клемы) ТУ 3663-003-73892839-2006</t>
  </si>
  <si>
    <t>Стойка контрольно измирительная  СКИП-2-Б-12-4-2,0-УХЛ1 (24 измирительных.8 силовых клемы) ТУ 3663-003-73892839-2006</t>
  </si>
  <si>
    <t>27.90.40.35.00.00.50.01.1</t>
  </si>
  <si>
    <t>медносульфатный</t>
  </si>
  <si>
    <t xml:space="preserve">  Электрод сравнения с вспомогательным электродом медносульфатный  ЭНЕС-3М длина соед кабеля 7м ТУ 3435-006-51996521-2007</t>
  </si>
  <si>
    <t>шт</t>
  </si>
  <si>
    <t>26.51.66.18.11.11.49.10.1</t>
  </si>
  <si>
    <t>Датчик скорости корозии  ДСК-1 с кабелем длиной 7м  ТУ 4311-017-22136119-2005</t>
  </si>
  <si>
    <t>22.21.21.00.00.10.30.11.1</t>
  </si>
  <si>
    <t>Гофрированная труба</t>
  </si>
  <si>
    <t>электромонтажная гибкая, из полиэтилена низкого давления, с протяжкой стального троса в</t>
  </si>
  <si>
    <t xml:space="preserve">Труба гофрированная ПВХ с зондом наружным диаметром 40мм </t>
  </si>
  <si>
    <t>19.20.29.00.00.30.11.07.1</t>
  </si>
  <si>
    <t>Паста уплотнительная</t>
  </si>
  <si>
    <t xml:space="preserve">герметизирующая марки PC </t>
  </si>
  <si>
    <t xml:space="preserve">Кварцевазелиновая паста </t>
  </si>
  <si>
    <t>Лента термоусаживающяя  "ТЕРМА-Р3"  "ТЕРМА-Р"    ТУ 2245-002044271562-00</t>
  </si>
  <si>
    <t>Термитный патрон АС-70</t>
  </si>
  <si>
    <t>20.12.19.00.00.10.10.10.2</t>
  </si>
  <si>
    <t>Оксид железа</t>
  </si>
  <si>
    <t>Тонкодисперсный  порошок  красного цвета, иногда  фиолетового,  желтоватого  или  черного цвета (фиолетовый, желтый или черный оксид, соответственно)</t>
  </si>
  <si>
    <t xml:space="preserve">Термитная смесь железная </t>
  </si>
  <si>
    <t>20.51.20.00.00.00.00.30.1</t>
  </si>
  <si>
    <t>Спички</t>
  </si>
  <si>
    <t>Спички специального назначения</t>
  </si>
  <si>
    <t xml:space="preserve">Термитные спички </t>
  </si>
  <si>
    <t>3790 Т</t>
  </si>
  <si>
    <t>3791 Т</t>
  </si>
  <si>
    <t>3476-1 Т</t>
  </si>
  <si>
    <t>3477-1 Т</t>
  </si>
  <si>
    <t>169-3 Т</t>
  </si>
  <si>
    <t>170-3 Т</t>
  </si>
  <si>
    <t>3479-1 Т</t>
  </si>
  <si>
    <t>Отвод стальной Ø273х6,  90гр.</t>
  </si>
  <si>
    <t>3480-1 Т</t>
  </si>
  <si>
    <t>171-3 Т</t>
  </si>
  <si>
    <t>172-4 Т</t>
  </si>
  <si>
    <t>173-3 Т</t>
  </si>
  <si>
    <t>Отвод стальной Ø219х6,  45гр.</t>
  </si>
  <si>
    <t>3792 Т</t>
  </si>
  <si>
    <t>3483-1 Т</t>
  </si>
  <si>
    <t>176-3 Т</t>
  </si>
  <si>
    <t>3484-1 Т</t>
  </si>
  <si>
    <t>177-3 Т</t>
  </si>
  <si>
    <t>178-3 Т</t>
  </si>
  <si>
    <t>3485-1 Т</t>
  </si>
  <si>
    <t>3486-1 Т</t>
  </si>
  <si>
    <t>3487-1 Т</t>
  </si>
  <si>
    <t>3488-1 Т</t>
  </si>
  <si>
    <t>3489-1 Т</t>
  </si>
  <si>
    <t>3490-1 Т</t>
  </si>
  <si>
    <t>3491-1 Т</t>
  </si>
  <si>
    <t>3492-1 Т</t>
  </si>
  <si>
    <t>3493-1 Т</t>
  </si>
  <si>
    <t>3494-1 Т</t>
  </si>
  <si>
    <t>3495-1 Т</t>
  </si>
  <si>
    <t>3496-1 Т</t>
  </si>
  <si>
    <t>3497-1 Т</t>
  </si>
  <si>
    <t>3498-1 Т</t>
  </si>
  <si>
    <t>3499-1 Т</t>
  </si>
  <si>
    <t>3500-1 Т</t>
  </si>
  <si>
    <t>3501-1 Т</t>
  </si>
  <si>
    <t>3793 Т</t>
  </si>
  <si>
    <t>Отвод стальной Ø89х8,  90гр.</t>
  </si>
  <si>
    <t>180-4 Т</t>
  </si>
  <si>
    <t>181-3 Т</t>
  </si>
  <si>
    <t>182-3 Т</t>
  </si>
  <si>
    <t>40-1 У</t>
  </si>
  <si>
    <t>5-1 Р</t>
  </si>
  <si>
    <t>607-2 Т</t>
  </si>
  <si>
    <t>605-2 Т</t>
  </si>
  <si>
    <t>606-2 Т</t>
  </si>
  <si>
    <t>608-2 Т</t>
  </si>
  <si>
    <t>3794 Т</t>
  </si>
  <si>
    <t>3795 Т</t>
  </si>
  <si>
    <t>3796 Т</t>
  </si>
  <si>
    <t>3797 Т</t>
  </si>
  <si>
    <t>22.21.21.00.00.40.01.16.1</t>
  </si>
  <si>
    <t>металлопластиковая, d 160 мм</t>
  </si>
  <si>
    <t>22.21.21.00.00.40.01.23.1</t>
  </si>
  <si>
    <t>металлопластиковая, d 355 мм</t>
  </si>
  <si>
    <t>27.32.13.00.02.01.58.04.2</t>
  </si>
  <si>
    <t>22.21.30.00.00.10.20.20.2</t>
  </si>
  <si>
    <t>перфорированная полипропиленовая пленка</t>
  </si>
  <si>
    <t>25.93.15.00.00.16.10.10.1</t>
  </si>
  <si>
    <t>Патрон термитный</t>
  </si>
  <si>
    <t>термопатрон, для сварки проводов воздушных линий электропередачи</t>
  </si>
  <si>
    <t>Анодный заземлитель железнокременис-тый, комплектно-блочного исполнения состоящий из 4-х электроднных блоков,  каждая длиной 6500мм. АЗЖК-Г30</t>
  </si>
  <si>
    <t>Дорожный знак 1.23 (дорожные работы)</t>
  </si>
  <si>
    <t>Дорожный знак 3.24 (ограничение максимальной скорости)</t>
  </si>
  <si>
    <t>Дорожный знак 3.25 (конец зоны ограничения)</t>
  </si>
  <si>
    <t>Дорожный знак 3.19 (въезд запрещен)</t>
  </si>
  <si>
    <t>Дорожный знак 4.2.1 (объезд препятствия справа)</t>
  </si>
  <si>
    <t>Дорожный знак 4.2.2 (объезд препятствия слева)</t>
  </si>
  <si>
    <t>3798 Т</t>
  </si>
  <si>
    <t>3799 Т</t>
  </si>
  <si>
    <t>3800 Т</t>
  </si>
  <si>
    <t>3801 Т</t>
  </si>
  <si>
    <t>3802 Т</t>
  </si>
  <si>
    <t>Дорожные знаки: 1.31.3-3шт. СТ РК 1125-2003</t>
  </si>
  <si>
    <t>187-1 У</t>
  </si>
  <si>
    <t>595-2 Т</t>
  </si>
  <si>
    <t>3552-1 Т</t>
  </si>
  <si>
    <t>7,11,12,13,18,19,20,21</t>
  </si>
  <si>
    <t>593-2 Т</t>
  </si>
  <si>
    <t>592-3 Т</t>
  </si>
  <si>
    <t>3803 Т</t>
  </si>
  <si>
    <t>портландцемент марки 500 с добавками до 20%, пластифицированный</t>
  </si>
  <si>
    <t>3546-1 Т</t>
  </si>
  <si>
    <t>7,11,14,15</t>
  </si>
  <si>
    <t>3541-1 Т</t>
  </si>
  <si>
    <t>3540-1 Т</t>
  </si>
  <si>
    <t>543-3 Т</t>
  </si>
  <si>
    <t>544-3 Т</t>
  </si>
  <si>
    <t>545-3 Т</t>
  </si>
  <si>
    <t>546-3 Т</t>
  </si>
  <si>
    <t>547-3 Т</t>
  </si>
  <si>
    <t>548-3 Т</t>
  </si>
  <si>
    <t>216 У</t>
  </si>
  <si>
    <t>с даты вступления в силу договора до 31 июля  2014 г</t>
  </si>
  <si>
    <t>549-3 Т</t>
  </si>
  <si>
    <t>550-3 Т</t>
  </si>
  <si>
    <t>551-3 Т</t>
  </si>
  <si>
    <t>552-3 Т</t>
  </si>
  <si>
    <t>553-3 Т</t>
  </si>
  <si>
    <t>555-3 Т</t>
  </si>
  <si>
    <t>556-3 Т</t>
  </si>
  <si>
    <t>557-3 Т</t>
  </si>
  <si>
    <t>559-4 Т</t>
  </si>
  <si>
    <t>560-3 Т</t>
  </si>
  <si>
    <t>561-3 Т</t>
  </si>
  <si>
    <t>562-3 Т</t>
  </si>
  <si>
    <t>в течение 30 дней с даты заключения договора, по заявкам</t>
  </si>
  <si>
    <t>564-3 Т</t>
  </si>
  <si>
    <t>565-3 Т</t>
  </si>
  <si>
    <t>566-3 Т</t>
  </si>
  <si>
    <t>569-3 Т</t>
  </si>
  <si>
    <t>570-3 Т</t>
  </si>
  <si>
    <t>571-3 Т</t>
  </si>
  <si>
    <t>572-3 Т</t>
  </si>
  <si>
    <t>574-3 Т</t>
  </si>
  <si>
    <t>575-3 Т</t>
  </si>
  <si>
    <t>576-3 Т</t>
  </si>
  <si>
    <t>3535-1 Т</t>
  </si>
  <si>
    <t>3536-1 Т</t>
  </si>
  <si>
    <t>3537-1 Т</t>
  </si>
  <si>
    <t>3538-1 Т</t>
  </si>
  <si>
    <t>3545-1 Т</t>
  </si>
  <si>
    <t>3804 Т</t>
  </si>
  <si>
    <t>524-3 Т</t>
  </si>
  <si>
    <t>525-4 Т</t>
  </si>
  <si>
    <t>526-4 Т</t>
  </si>
  <si>
    <t>529-3 Т</t>
  </si>
  <si>
    <t>апрель- май</t>
  </si>
  <si>
    <t>531-2 Т</t>
  </si>
  <si>
    <t>май-июнь</t>
  </si>
  <si>
    <t>3471-1 Т</t>
  </si>
  <si>
    <t>3472-1 Т</t>
  </si>
  <si>
    <t>3473-1 Т</t>
  </si>
  <si>
    <t>3474-1 Т</t>
  </si>
  <si>
    <t>3475-1 Т</t>
  </si>
  <si>
    <t>3805 Т</t>
  </si>
  <si>
    <t>22.29.29.00.00.00.73.02.2</t>
  </si>
  <si>
    <t>Перегородка</t>
  </si>
  <si>
    <t>металлопластиковая, офисная,с закаленным стеклом</t>
  </si>
  <si>
    <t>Перегородка металлопластиковая (ламбрид)</t>
  </si>
  <si>
    <t>114-1 У</t>
  </si>
  <si>
    <t>84-1 У</t>
  </si>
  <si>
    <t>462-3 Т</t>
  </si>
  <si>
    <t>464-3 Т</t>
  </si>
  <si>
    <t>467-3 Т</t>
  </si>
  <si>
    <t>469-3 Т</t>
  </si>
  <si>
    <t>470-3 Т</t>
  </si>
  <si>
    <t>471-3 Т</t>
  </si>
  <si>
    <t>3565-1 Т</t>
  </si>
  <si>
    <t>473-3 Т</t>
  </si>
  <si>
    <t>474-3 Т</t>
  </si>
  <si>
    <t>476-2 Т</t>
  </si>
  <si>
    <t>477-3 Т</t>
  </si>
  <si>
    <t>479-3 Т</t>
  </si>
  <si>
    <t>481-3 Т</t>
  </si>
  <si>
    <t>482-3 Т</t>
  </si>
  <si>
    <t>489-3 Т</t>
  </si>
  <si>
    <t>490-3 Т</t>
  </si>
  <si>
    <t>491-3 Т</t>
  </si>
  <si>
    <t>492-4 Т</t>
  </si>
  <si>
    <t>493-3 Т</t>
  </si>
  <si>
    <t>494-3 Т</t>
  </si>
  <si>
    <t>495-3 Т</t>
  </si>
  <si>
    <t>496-2 Т</t>
  </si>
  <si>
    <t>497-4 Т</t>
  </si>
  <si>
    <t>498-4 Т</t>
  </si>
  <si>
    <t>500-4 Т</t>
  </si>
  <si>
    <t>501-4 Т</t>
  </si>
  <si>
    <t>502-3 Т</t>
  </si>
  <si>
    <t>503-3 Т</t>
  </si>
  <si>
    <t>504-4 Т</t>
  </si>
  <si>
    <t>505-3 Т</t>
  </si>
  <si>
    <t>506-4 Т</t>
  </si>
  <si>
    <t>507-4 Т</t>
  </si>
  <si>
    <t>508-3 Т</t>
  </si>
  <si>
    <t>509-3 Т</t>
  </si>
  <si>
    <t>510-3 Т</t>
  </si>
  <si>
    <t>511-3 Т</t>
  </si>
  <si>
    <t>514-3 Т</t>
  </si>
  <si>
    <t>517-2 Т</t>
  </si>
  <si>
    <t>518-2 Т</t>
  </si>
  <si>
    <t>519-2 Т</t>
  </si>
  <si>
    <t>520-3 Т</t>
  </si>
  <si>
    <t>521-3 Т</t>
  </si>
  <si>
    <t>3563-1 Т</t>
  </si>
  <si>
    <t>3564-1 Т</t>
  </si>
  <si>
    <t>3566-1 Т</t>
  </si>
  <si>
    <t>3567-1 Т</t>
  </si>
  <si>
    <t>3568-1 Т</t>
  </si>
  <si>
    <t>3569-1 Т</t>
  </si>
  <si>
    <t>3570-1 Т</t>
  </si>
  <si>
    <t>3571-1 Т</t>
  </si>
  <si>
    <t>3572-1 Т</t>
  </si>
  <si>
    <t>3573-1 Т</t>
  </si>
  <si>
    <t>3574-1 Т</t>
  </si>
  <si>
    <t>3575-1 Т</t>
  </si>
  <si>
    <t>3576-1 Т</t>
  </si>
  <si>
    <t>3577-1 Т</t>
  </si>
  <si>
    <t>3578-1 Т</t>
  </si>
  <si>
    <t>3579-1 Т</t>
  </si>
  <si>
    <t>3580-1 Т</t>
  </si>
  <si>
    <t>3581-1 Т</t>
  </si>
  <si>
    <t>3582-1 Т</t>
  </si>
  <si>
    <t>3583-1 Т</t>
  </si>
  <si>
    <t>3584-1 Т</t>
  </si>
  <si>
    <t>3585-1 Т</t>
  </si>
  <si>
    <t>3586-1 Т</t>
  </si>
  <si>
    <t>3587-1 Т</t>
  </si>
  <si>
    <t>3588-1 Т</t>
  </si>
  <si>
    <t>3589-1 Т</t>
  </si>
  <si>
    <t>3590-1 Т</t>
  </si>
  <si>
    <t>3591-1 Т</t>
  </si>
  <si>
    <t xml:space="preserve">Лист просечно-вытяжной стальной ПВ-508, b=5мм </t>
  </si>
  <si>
    <t>3592-1 Т</t>
  </si>
  <si>
    <t>3593-1 Т</t>
  </si>
  <si>
    <t>3594-1 Т</t>
  </si>
  <si>
    <t>3595-1 Т</t>
  </si>
  <si>
    <t>3596-1 Т</t>
  </si>
  <si>
    <t>3597-1 Т</t>
  </si>
  <si>
    <t>3598-1 Т</t>
  </si>
  <si>
    <t>3599-1 Т</t>
  </si>
  <si>
    <t>3600-1 Т</t>
  </si>
  <si>
    <t>3601-1 Т</t>
  </si>
  <si>
    <t>3602-1 Т</t>
  </si>
  <si>
    <t>3603-1 Т</t>
  </si>
  <si>
    <t>3604-1 Т</t>
  </si>
  <si>
    <t>3605-1 Т</t>
  </si>
  <si>
    <t>3606-1 Т</t>
  </si>
  <si>
    <t>3607-1 Т</t>
  </si>
  <si>
    <t>3608-1 Т</t>
  </si>
  <si>
    <t>3609-1 Т</t>
  </si>
  <si>
    <t>3610-1 Т</t>
  </si>
  <si>
    <t>3611-1 Т</t>
  </si>
  <si>
    <t>3612-1 Т</t>
  </si>
  <si>
    <t>3613-1 Т</t>
  </si>
  <si>
    <t>3614-1 Т</t>
  </si>
  <si>
    <t>3615-1 Т</t>
  </si>
  <si>
    <t>3616-1 Т</t>
  </si>
  <si>
    <t>3617-1 Т</t>
  </si>
  <si>
    <t>3618-1 Т</t>
  </si>
  <si>
    <t>522-2 Т</t>
  </si>
  <si>
    <t>3295-1 Т</t>
  </si>
  <si>
    <t>3296-1 Т</t>
  </si>
  <si>
    <t>3297-1 Т</t>
  </si>
  <si>
    <t>3298-1 Т</t>
  </si>
  <si>
    <t>3299-1 Т</t>
  </si>
  <si>
    <t>3300-1 Т</t>
  </si>
  <si>
    <t>3301-1 Т</t>
  </si>
  <si>
    <t>Дорожные знаки:  1.14-2шт.                          СТ РК 1125-2003</t>
  </si>
  <si>
    <t>217 У</t>
  </si>
  <si>
    <t>62.02.20.50.00.00.00</t>
  </si>
  <si>
    <t>Услуги консультационные по анализу, предпроектному исследованию и внедрению технологических решений</t>
  </si>
  <si>
    <t>РК, Мангистауская область,г.Актау ТОО "ОСС"</t>
  </si>
  <si>
    <t>185-2 Т</t>
  </si>
  <si>
    <t>186-2 Т</t>
  </si>
  <si>
    <t>187-2 Т</t>
  </si>
  <si>
    <t>188-2 Т</t>
  </si>
  <si>
    <t>190-3 Т</t>
  </si>
  <si>
    <t>191-2 Т</t>
  </si>
  <si>
    <t>195-2 Т</t>
  </si>
  <si>
    <t>196-2 Т</t>
  </si>
  <si>
    <t>197-2 Т</t>
  </si>
  <si>
    <t>199-1 Т</t>
  </si>
  <si>
    <t>207-2 Т</t>
  </si>
  <si>
    <t>210-2 Т</t>
  </si>
  <si>
    <t>212-2 Т</t>
  </si>
  <si>
    <t>216-2 Т</t>
  </si>
  <si>
    <t>224-2Т</t>
  </si>
  <si>
    <t>225-3 Т</t>
  </si>
  <si>
    <t xml:space="preserve"> июль, август 2014г.</t>
  </si>
  <si>
    <t>226-3 Т</t>
  </si>
  <si>
    <t>июль, август   2014г.</t>
  </si>
  <si>
    <t>227-2 Т</t>
  </si>
  <si>
    <t>230-3 Т</t>
  </si>
  <si>
    <t>июль. август 2014г.</t>
  </si>
  <si>
    <t>367-3 Т</t>
  </si>
  <si>
    <t>368-3 Т</t>
  </si>
  <si>
    <t>июль, август 2014г</t>
  </si>
  <si>
    <t>369-3 Т</t>
  </si>
  <si>
    <t xml:space="preserve"> июль, август 2014г</t>
  </si>
  <si>
    <t>370-4 Т</t>
  </si>
  <si>
    <t>371-4 Т</t>
  </si>
  <si>
    <t>372-3 Т</t>
  </si>
  <si>
    <t>11,14,18</t>
  </si>
  <si>
    <t>379-3 Т</t>
  </si>
  <si>
    <t>380-3 Т</t>
  </si>
  <si>
    <t>383-3 Т</t>
  </si>
  <si>
    <t>385-3 Т</t>
  </si>
  <si>
    <t>395-3 Т</t>
  </si>
  <si>
    <t>412-2 Т</t>
  </si>
  <si>
    <t>450-3 Т</t>
  </si>
  <si>
    <t>февраль,  июнь-июль, август 2014г.</t>
  </si>
  <si>
    <t>453-3 Т</t>
  </si>
  <si>
    <t>455-2 Т</t>
  </si>
  <si>
    <t>461-2 Т</t>
  </si>
  <si>
    <t>РК, Мангистауская область, пос Ынтымак,   ТОО "ОСС"</t>
  </si>
  <si>
    <t>3237-1 Т</t>
  </si>
  <si>
    <t>Переход стальной К720х12-530х10</t>
  </si>
  <si>
    <t>3253-1 Т</t>
  </si>
  <si>
    <t>май-июнь, июль, август 2014г.</t>
  </si>
  <si>
    <t>3377-1 Т</t>
  </si>
  <si>
    <t>3466-1 Т</t>
  </si>
  <si>
    <t>3508-1 Т</t>
  </si>
  <si>
    <t>28.15.39.00.00.00.18.10.1</t>
  </si>
  <si>
    <t>фланец стальной</t>
  </si>
  <si>
    <t>Изолирующее фланцевое соединение ИФС Ду50 Ру16МПа</t>
  </si>
  <si>
    <t>Изолирующее фланцевое соединение ИФС Ду100 Ру16,0МПа</t>
  </si>
  <si>
    <t>25.99.11.00.00.22.10.10.2</t>
  </si>
  <si>
    <t>Смеситель для душа См-ДшДРНШл, никелированная стойка, с гибким шлангом и лейкой, ГОСТ 25809-96</t>
  </si>
  <si>
    <t>25.93.14.00.00.10.12.18.1</t>
  </si>
  <si>
    <t>ГОСТ 4034-63, гвозди с конической головкой 2,5х50 мм</t>
  </si>
  <si>
    <t>Гвозди строительные К 2,5х50</t>
  </si>
  <si>
    <t>25.93.14.00.00.10.12.19.1</t>
  </si>
  <si>
    <t>ГОСТ 4034-63, гвозди с конической головкой 2,5х60 мм</t>
  </si>
  <si>
    <t>Гвозди строительные К 2,5х60</t>
  </si>
  <si>
    <t>25.93.14.00.00.10.17.31.1</t>
  </si>
  <si>
    <t>ГОСТ 4028-63, 3,5х90 мм</t>
  </si>
  <si>
    <t>Гводзи строительные К 3,5х90</t>
  </si>
  <si>
    <t>25.93.14.00.00.10.17.35.1</t>
  </si>
  <si>
    <t>ГОСТ 4028-63, 5,0х150 мм</t>
  </si>
  <si>
    <t>Гводзи строительные К 5х150</t>
  </si>
  <si>
    <t>Краска эмаль ПФ-115 синяя, ГОСТ 6465-76, расфассовка по 50кг</t>
  </si>
  <si>
    <t>23.99.13.00.00.32.10.03.1</t>
  </si>
  <si>
    <t>Рубемаст</t>
  </si>
  <si>
    <t>кровельный наплавляемый с мелкозернистой посыпкой РНК-350</t>
  </si>
  <si>
    <t>Рубемаст ХКП-3,5, ТУ5774-001-00287912-2007, рулонный, кровельный и гидроизоляционный наплавляемый материал на стекловолокнистой основе, покрытый крупнозернистой или чешуйчатой посыпкой с лицев.стор.и полиэт.пленкой с нижн.стор.полотна.</t>
  </si>
  <si>
    <t>3806 Т</t>
  </si>
  <si>
    <t>3807 Т</t>
  </si>
  <si>
    <t>3808 Т</t>
  </si>
  <si>
    <t>3809 Т</t>
  </si>
  <si>
    <t>3810 Т</t>
  </si>
  <si>
    <t>3811 Т</t>
  </si>
  <si>
    <t>3812 Т</t>
  </si>
  <si>
    <t>3813 Т</t>
  </si>
  <si>
    <t>3814 Т</t>
  </si>
  <si>
    <t>3815 Т</t>
  </si>
  <si>
    <t>Дорожные знаки: 2.3.2-15шт,  2.3.3-19шт, 2.4 -18шт. СТ РК 1125-2003</t>
  </si>
  <si>
    <t>2478-2 Т</t>
  </si>
  <si>
    <t>404-3 Т</t>
  </si>
  <si>
    <t>405-2 Т</t>
  </si>
  <si>
    <t>июль, аагуст</t>
  </si>
  <si>
    <t>406-2 Т</t>
  </si>
  <si>
    <t>407-2 Т</t>
  </si>
  <si>
    <t>408-2 Т</t>
  </si>
  <si>
    <t>409-2 Т</t>
  </si>
  <si>
    <t>410-2 Т</t>
  </si>
  <si>
    <t>437-2 Т</t>
  </si>
  <si>
    <t>438-2 Т</t>
  </si>
  <si>
    <t>424-3 Т</t>
  </si>
  <si>
    <t>442-2 Т</t>
  </si>
  <si>
    <t>443-2 Т</t>
  </si>
  <si>
    <t>444-2 Т</t>
  </si>
  <si>
    <t>445-2 Т</t>
  </si>
  <si>
    <t>446-2 Т</t>
  </si>
  <si>
    <t>413-2 Т</t>
  </si>
  <si>
    <t>398-3 Т</t>
  </si>
  <si>
    <t>397-3 Т</t>
  </si>
  <si>
    <t>396-3 Т</t>
  </si>
  <si>
    <t>394-2 Т</t>
  </si>
  <si>
    <t>393-2 Т</t>
  </si>
  <si>
    <t>218 У</t>
  </si>
  <si>
    <t>74.90.12.30.10.00.00</t>
  </si>
  <si>
    <t>Услуги по оценке стоимости товарно-материальных ценностей</t>
  </si>
  <si>
    <t>Обучение на тему: Технология управления запасами. Нормирование, прогнозирование, оптимизация.</t>
  </si>
  <si>
    <t>256 -2 Т</t>
  </si>
  <si>
    <t>257-2 Т</t>
  </si>
  <si>
    <t>274-3 Т</t>
  </si>
  <si>
    <t>275-3 Т</t>
  </si>
  <si>
    <t>276-3 Т</t>
  </si>
  <si>
    <t>278-2 Т</t>
  </si>
  <si>
    <t>279-3 Т</t>
  </si>
  <si>
    <t>282-2 Т</t>
  </si>
  <si>
    <t>283-2 Т</t>
  </si>
  <si>
    <t>289-3 Т</t>
  </si>
  <si>
    <t>313-2 Т</t>
  </si>
  <si>
    <t>316-2 Т</t>
  </si>
  <si>
    <t>317-2 Т</t>
  </si>
  <si>
    <t>318-2 Т</t>
  </si>
  <si>
    <t>319-2 Т</t>
  </si>
  <si>
    <t>324-2 Т</t>
  </si>
  <si>
    <t>328-3 Т</t>
  </si>
  <si>
    <t>329-2 Т</t>
  </si>
  <si>
    <t>142-1 У</t>
  </si>
  <si>
    <t>в течение 10 календарных дней с даты подписания акта приемки РВС под покраску, по заявке Заказчика</t>
  </si>
  <si>
    <t xml:space="preserve">в течение 20 дней  с даты  получения   РВС по акту под  покраску  </t>
  </si>
  <si>
    <t>авансовый платеж- 0%, оплата в течение 10  рабочих дней с даты  подписания акта выполненных услуг</t>
  </si>
  <si>
    <t>85 Р</t>
  </si>
  <si>
    <t>Наружная и внутренняя покраска  РВС-5000м3 БКНС-3</t>
  </si>
  <si>
    <t>11,12,13,14,15,19,20,21</t>
  </si>
  <si>
    <t>14,18,20,21</t>
  </si>
  <si>
    <t>14,18,19,20,21</t>
  </si>
  <si>
    <t>14,19,20,21</t>
  </si>
  <si>
    <t>1221-1 Т</t>
  </si>
  <si>
    <t>1222-1 Т</t>
  </si>
  <si>
    <t>1223-1 Т</t>
  </si>
  <si>
    <t>1224-1 Т</t>
  </si>
  <si>
    <t>1225-1 Т</t>
  </si>
  <si>
    <t>1226-1 Т</t>
  </si>
  <si>
    <t>1227-1 Т</t>
  </si>
  <si>
    <t>1228-1 Т</t>
  </si>
  <si>
    <t>1229-1 Т</t>
  </si>
  <si>
    <t>1230-1 Т</t>
  </si>
  <si>
    <t>1231-1 Т</t>
  </si>
  <si>
    <t>1232-1 Т</t>
  </si>
  <si>
    <t>1233-1 Т</t>
  </si>
  <si>
    <t>1234-1 Т</t>
  </si>
  <si>
    <t>1235-1 Т</t>
  </si>
  <si>
    <t>1236-1 Т</t>
  </si>
  <si>
    <t>1237-1 Т</t>
  </si>
  <si>
    <t>1238-1 Т</t>
  </si>
  <si>
    <t>202-2 Т</t>
  </si>
  <si>
    <t>991-2 Т</t>
  </si>
  <si>
    <t>Флипчарт</t>
  </si>
  <si>
    <t>Термос</t>
  </si>
  <si>
    <t>ВВГнг-LS 2 х 16 ож </t>
  </si>
  <si>
    <t>ВВГнг-LS 2 х 25 ож </t>
  </si>
  <si>
    <t>КОГ1-ХЛ 1*50</t>
  </si>
  <si>
    <t>Стойка контрольно-измерительного пункта</t>
  </si>
  <si>
    <t>для контроля качества электрохимической защиты трубопроводов</t>
  </si>
  <si>
    <t>Электрод сравнения</t>
  </si>
  <si>
    <t>определения скорости</t>
  </si>
  <si>
    <t>77-1 У</t>
  </si>
  <si>
    <t>с 11.08.14г по 11.08.15г</t>
  </si>
  <si>
    <t>147-1 У</t>
  </si>
  <si>
    <t>148-2 У</t>
  </si>
  <si>
    <t>219 У</t>
  </si>
  <si>
    <t>74.90.12.20.13.10.00</t>
  </si>
  <si>
    <t>Услуги по оценке автотранспортных средств</t>
  </si>
  <si>
    <t>в течение 30 рабочих дней после осмотра</t>
  </si>
  <si>
    <t>Многофункциональные погрузчики-экскаваторы</t>
  </si>
  <si>
    <t>Автомобиль, «Фермер»</t>
  </si>
  <si>
    <t>Автопогрузчик, вилочный</t>
  </si>
  <si>
    <t>Легковые автомобили</t>
  </si>
  <si>
    <t>3816 Т</t>
  </si>
  <si>
    <t>3817 Т</t>
  </si>
  <si>
    <t>3818 Т</t>
  </si>
  <si>
    <t>3819 Т</t>
  </si>
  <si>
    <t>3820 Т</t>
  </si>
  <si>
    <t>3821 Т</t>
  </si>
  <si>
    <t>3822 Т</t>
  </si>
  <si>
    <t>3823 Т</t>
  </si>
  <si>
    <t>3824 Т</t>
  </si>
  <si>
    <t>3825 Т</t>
  </si>
  <si>
    <t>3826 Т</t>
  </si>
  <si>
    <t>30.20.13.00.00.00.02.11.1</t>
  </si>
  <si>
    <t>Погрузчик-экскаватор</t>
  </si>
  <si>
    <t>для земляных работ, на колесном ходу</t>
  </si>
  <si>
    <t>28.22.15.00.00.00.14.17.1</t>
  </si>
  <si>
    <t>автопогрузчик вилочный</t>
  </si>
  <si>
    <t>автопогрузчик вилочный с грузоподъемностью 5000 кг</t>
  </si>
  <si>
    <t>29.10.30.00.00.00.10.10.1</t>
  </si>
  <si>
    <t>Автобус</t>
  </si>
  <si>
    <t>особо малого класса, длиной до 6 метров, вместимостью до 12 посадочных мест, городской категории</t>
  </si>
  <si>
    <t>28.30.23.00.00.00.30.15.1</t>
  </si>
  <si>
    <t>Трактор</t>
  </si>
  <si>
    <t>сельскохозяйственный колесный, с мощностью двигателя 215 кВт</t>
  </si>
  <si>
    <t>642</t>
  </si>
  <si>
    <t>единица</t>
  </si>
  <si>
    <t>28.92.12.00.00.00.07.02.1</t>
  </si>
  <si>
    <t>Машина бурильно-крановая на автошасси</t>
  </si>
  <si>
    <t>Машины бурильно-крановые на автошасси</t>
  </si>
  <si>
    <t>28.92.22.00.00.00.01.04.1</t>
  </si>
  <si>
    <t>Автогрейдер</t>
  </si>
  <si>
    <t>Автогрейдер тяжелого типа мощностью от 165 до 250 л.с.</t>
  </si>
  <si>
    <t>29.10.20.00.00.00.30.34.1</t>
  </si>
  <si>
    <t>Автомобиль легковой</t>
  </si>
  <si>
    <t>класс внедорожники, полноразмерный, механическая трансмиссия, усилитель руля, объем 2500-2700 куб.см</t>
  </si>
  <si>
    <t>29.10.25.00.00.00.20.11.1</t>
  </si>
  <si>
    <t>Грузопассажирский автомобиль</t>
  </si>
  <si>
    <t>с грузоподъёмностью от 1000 кг до 3000 кг, с открытой платформой с задним откидным бортом, тип кузова - фургон</t>
  </si>
  <si>
    <t>Автомобиль внедорожник</t>
  </si>
  <si>
    <t>Обследование учетных систем в целях реализации раздельного учета и Системы индивидуальной и консолидированной финансовой отчетности</t>
  </si>
  <si>
    <t>Услуги по оценке рыночной стоимости неликвидов ТМЗ</t>
  </si>
  <si>
    <t>Услуги по оценке рыночной стоимости неликвидов основных средств</t>
  </si>
  <si>
    <t>29.10.22.00.00.00.10.38.1</t>
  </si>
  <si>
    <t>класс внедорожники, полноразмерный, улучшенной  комплектации</t>
  </si>
  <si>
    <t>Автомобиль внедорожник, улучшенной комплектации</t>
  </si>
  <si>
    <t>29.10.22.00.00.00.10.35.1</t>
  </si>
  <si>
    <t>класс внедорожники, средней размерности, базовой комплектации</t>
  </si>
  <si>
    <t>29.10.20.00.00.00.20.16.1</t>
  </si>
  <si>
    <t>Класса С, средний класс, базовой комплектации. Длина не более 4,2–4,4 м, ширина 1,6–1,75 м, полный электропакет,центральный замок</t>
  </si>
  <si>
    <t>Автомобиль 5-ти местный</t>
  </si>
  <si>
    <t xml:space="preserve">Микроавтобус </t>
  </si>
  <si>
    <t>Трактор-тягач</t>
  </si>
  <si>
    <t>Ямобур на базе автомобиля</t>
  </si>
  <si>
    <t>3827 Т</t>
  </si>
  <si>
    <t>3828 Т</t>
  </si>
  <si>
    <t>3829 Т</t>
  </si>
  <si>
    <t>24.43.11.00.00.11.12.11.1</t>
  </si>
  <si>
    <t>Пломба</t>
  </si>
  <si>
    <t>Свинцовая, ГОСТ 18680-73</t>
  </si>
  <si>
    <t>в течение 20 дней с даты заключения договора</t>
  </si>
  <si>
    <t>авансовый платеж 0%,  оплата в течение 10 банковских дней  после подписания акта приемки товара</t>
  </si>
  <si>
    <t>25.72.13.00.00.30.20.10.1</t>
  </si>
  <si>
    <t>Контрольная пломба</t>
  </si>
  <si>
    <t>Пломбы одноразовые</t>
  </si>
  <si>
    <t>авансовый платеж 0%,  оплата в течение 30  дней  после подписания акта приемки товара</t>
  </si>
  <si>
    <t>27.51.21.01.01.00.00.10.1</t>
  </si>
  <si>
    <t>Для сухой уборки. Пылесборник - сменный.</t>
  </si>
  <si>
    <t xml:space="preserve"> август, сентябрь 2014г.</t>
  </si>
  <si>
    <t>927-1 Т</t>
  </si>
  <si>
    <t>928-1 Т</t>
  </si>
  <si>
    <t>223-3 Т</t>
  </si>
  <si>
    <t>236-3 Т</t>
  </si>
  <si>
    <t>183-3 Т</t>
  </si>
  <si>
    <t>3286-1 Т</t>
  </si>
  <si>
    <t>Мастика МБК-Г-55</t>
  </si>
  <si>
    <t>460-2 Т</t>
  </si>
  <si>
    <t>459-2 Т</t>
  </si>
  <si>
    <t>458-3 Т</t>
  </si>
  <si>
    <t>1089-2 Т</t>
  </si>
  <si>
    <t>1090-2 Т</t>
  </si>
  <si>
    <t>1091-2 Т</t>
  </si>
  <si>
    <t>1092-2 Т</t>
  </si>
  <si>
    <t>1093-2 Т</t>
  </si>
  <si>
    <t>1094-2 Т</t>
  </si>
  <si>
    <t>1050-1 Т</t>
  </si>
  <si>
    <t>1051-1 Т</t>
  </si>
  <si>
    <t>1052-1 Т</t>
  </si>
  <si>
    <t>1053-1 Т</t>
  </si>
  <si>
    <t>1054-1 Т</t>
  </si>
  <si>
    <t>1055-1 Т</t>
  </si>
  <si>
    <t>1056-1 Т</t>
  </si>
  <si>
    <t>1057-1 Т</t>
  </si>
  <si>
    <t>1058-1 Т</t>
  </si>
  <si>
    <t>1103-2 Т</t>
  </si>
  <si>
    <t>1104-3 Т</t>
  </si>
  <si>
    <t>1105-3 Т</t>
  </si>
  <si>
    <t>1106-3 Т</t>
  </si>
  <si>
    <t>1107-2 Т</t>
  </si>
  <si>
    <t>1108-3 Т</t>
  </si>
  <si>
    <t>1109-3 Т</t>
  </si>
  <si>
    <t>1110-3 Т</t>
  </si>
  <si>
    <t>1111-3 Т</t>
  </si>
  <si>
    <t>1112-2 Т</t>
  </si>
  <si>
    <t>1113-2 Т</t>
  </si>
  <si>
    <t>1088-2 Т</t>
  </si>
  <si>
    <t>3288-1 Т</t>
  </si>
  <si>
    <t>РК, Астана</t>
  </si>
  <si>
    <t>243-2 Т</t>
  </si>
  <si>
    <t>401-2 Т</t>
  </si>
  <si>
    <t>402-2 Т</t>
  </si>
  <si>
    <t>403-2 Т</t>
  </si>
  <si>
    <t>Обучение на тему: Вопросы терминологии, казахские термины. Ведение делопроизводства и кадровой документации на государственном языке.</t>
  </si>
  <si>
    <t>3243-1 Т</t>
  </si>
  <si>
    <t>в течение 50 дней с даты вступления в силу договора</t>
  </si>
  <si>
    <t>3239-1 Т</t>
  </si>
  <si>
    <t>3235-1 Т</t>
  </si>
  <si>
    <t>3384-1 Т</t>
  </si>
  <si>
    <t>3387-1 Т</t>
  </si>
  <si>
    <t>3506-1 Т</t>
  </si>
  <si>
    <t>3,4,5,11</t>
  </si>
  <si>
    <t>12,11,13,19,20,21</t>
  </si>
  <si>
    <t>3,5,6,7,11,14</t>
  </si>
  <si>
    <t xml:space="preserve"> май,июнь 2014г.</t>
  </si>
  <si>
    <t>6,7,11,14</t>
  </si>
  <si>
    <t>11,14,19, 20,21</t>
  </si>
  <si>
    <t xml:space="preserve">в течение 45 дней с даты заключения договора, по заявкам </t>
  </si>
  <si>
    <t>3549-1 Т</t>
  </si>
  <si>
    <t>Построение работы с кадровым резервом.</t>
  </si>
  <si>
    <t>3-2 Р</t>
  </si>
  <si>
    <t>4-2 Р</t>
  </si>
  <si>
    <t>55-1 Р</t>
  </si>
  <si>
    <t>3325-2 Т</t>
  </si>
  <si>
    <t>Приказ №344 от 23.07.2014 год.</t>
  </si>
  <si>
    <t>3507-1 Т</t>
  </si>
  <si>
    <t>3542-1 Т</t>
  </si>
  <si>
    <t>203-2 У</t>
  </si>
  <si>
    <t>220 У</t>
  </si>
  <si>
    <t>Автокран г/п 25 тн</t>
  </si>
  <si>
    <t>1156-3 Т</t>
  </si>
  <si>
    <t>1157-3 Т</t>
  </si>
  <si>
    <t>1158-3 Т</t>
  </si>
  <si>
    <t>1159-3 Т</t>
  </si>
  <si>
    <t>1160-3 Т</t>
  </si>
  <si>
    <t>1161-3 Т</t>
  </si>
  <si>
    <t>1162-3 Т</t>
  </si>
  <si>
    <t>1163-3 Т</t>
  </si>
  <si>
    <t>1164-3 Т</t>
  </si>
  <si>
    <t>1165-3 Т</t>
  </si>
  <si>
    <t>1166-3 Т</t>
  </si>
  <si>
    <t>176-1 У</t>
  </si>
  <si>
    <t>сентябрь, октябрь, ноябрь, декабрь</t>
  </si>
  <si>
    <t>Обучение по теме: "Бухгалтерский учет в соответствии с МСФО", "Налоги и налогооблажение. "Гражданское право"</t>
  </si>
  <si>
    <t>221 У</t>
  </si>
  <si>
    <t>11,14,20, 21</t>
  </si>
  <si>
    <t>213-1 У</t>
  </si>
  <si>
    <t>214-1 У</t>
  </si>
  <si>
    <t>3,4,5,6</t>
  </si>
  <si>
    <t>3804-1 Т</t>
  </si>
  <si>
    <t>23.61.11.00.43.00.00.32.1</t>
  </si>
  <si>
    <t>Камень</t>
  </si>
  <si>
    <t>бортовой марки БР</t>
  </si>
  <si>
    <t>Бортовой камень БР 60.30.15</t>
  </si>
  <si>
    <t>Задвижка стальная с ответными фланцами ЗКЛ-2-100-16, 30с41нж, клиновая с ручным приводом в комплекте с ответными фланцами, шпильками, гайками, прокладками, ТУ 3741-001-07533604-94</t>
  </si>
  <si>
    <t>с даты вступления в силу договора до 31 сентября 2014 г</t>
  </si>
  <si>
    <t>86 Р</t>
  </si>
  <si>
    <t>87 Р</t>
  </si>
  <si>
    <t>3726-1 Т</t>
  </si>
  <si>
    <t>24-1 У</t>
  </si>
  <si>
    <t>РК, г.Актау, м/р Каламкас, м/р Жетыбай</t>
  </si>
  <si>
    <t>597-1 Т</t>
  </si>
  <si>
    <t>Обучение по перевозке опасных грузов класса № 2</t>
  </si>
  <si>
    <t>РК, Мангистауская область, м/р Каламкас , м/р Жетыбай, г.Актау</t>
  </si>
  <si>
    <t>81-4 Т</t>
  </si>
  <si>
    <t>212-1 У</t>
  </si>
  <si>
    <t>Риски работодателя с учетом изменений в трудовом кодексе РК.</t>
  </si>
  <si>
    <t>370-5 Т</t>
  </si>
  <si>
    <t>6,20,21</t>
  </si>
  <si>
    <t>200-1 У</t>
  </si>
  <si>
    <t>8-1 У</t>
  </si>
  <si>
    <t>5-1 У</t>
  </si>
  <si>
    <t>1-1 У</t>
  </si>
  <si>
    <t>20.59.43.00.00.20.10.10.3</t>
  </si>
  <si>
    <t>Температура начала замерзания не выше -35 °С, при разбавлении дистиллированной водой в объемном соотношении 1:1</t>
  </si>
  <si>
    <t>129-1 У</t>
  </si>
  <si>
    <t>130-1 У</t>
  </si>
  <si>
    <t>авансовый платеж - 70%, 30% оплата после подписания акта выполненных работ</t>
  </si>
  <si>
    <t>11,14,15,20,21</t>
  </si>
  <si>
    <t>Стол рабочий. Длина 1,5 м, ширина 700 мм, высота 750 мм.</t>
  </si>
  <si>
    <t xml:space="preserve">октябрь, ноябрь, декабрь    </t>
  </si>
  <si>
    <t>182-1 У</t>
  </si>
  <si>
    <t>октябрь, ноябрь</t>
  </si>
  <si>
    <t>730-3 Т</t>
  </si>
  <si>
    <t>сентябрь,октябрь</t>
  </si>
  <si>
    <t>680-4 Т</t>
  </si>
  <si>
    <t>694-3 Т</t>
  </si>
  <si>
    <t>694-2 Т</t>
  </si>
  <si>
    <t>694-1 Т</t>
  </si>
  <si>
    <t>686-4 Т</t>
  </si>
  <si>
    <t>782-4 Т</t>
  </si>
  <si>
    <t>784-4 Т</t>
  </si>
  <si>
    <t>785-4 Т</t>
  </si>
  <si>
    <t xml:space="preserve"> Светильник NBL 52 М125</t>
  </si>
  <si>
    <t>786-4 Т</t>
  </si>
  <si>
    <t>3514 -2 Т</t>
  </si>
  <si>
    <t>3514 -1 Т</t>
  </si>
  <si>
    <t>3531-2 Т</t>
  </si>
  <si>
    <t>3532-2 Т</t>
  </si>
  <si>
    <t>3534-2 Т</t>
  </si>
  <si>
    <t>3560-1 Т</t>
  </si>
  <si>
    <t>3561-1 Т</t>
  </si>
  <si>
    <t>3562-1 Т</t>
  </si>
  <si>
    <t>789-4 Т</t>
  </si>
  <si>
    <t>3720-1 Т</t>
  </si>
  <si>
    <t>3721-1 Т</t>
  </si>
  <si>
    <t>61-1 Р</t>
  </si>
  <si>
    <t>62-1 Р</t>
  </si>
  <si>
    <t>3-3 Р</t>
  </si>
  <si>
    <t>4-3 Р</t>
  </si>
  <si>
    <t>3186-3 Т</t>
  </si>
  <si>
    <t>3187-3 Т</t>
  </si>
  <si>
    <t>3189-2 Т</t>
  </si>
  <si>
    <t>3191-2 Т</t>
  </si>
  <si>
    <t>3194-3 Т</t>
  </si>
  <si>
    <t>3196-3 Т</t>
  </si>
  <si>
    <t>3197-3 Т</t>
  </si>
  <si>
    <t>3198-3 Т</t>
  </si>
  <si>
    <t>3199-3 Т</t>
  </si>
  <si>
    <t>3200-3 Т</t>
  </si>
  <si>
    <t>3722-1 Т</t>
  </si>
  <si>
    <t>3723-1 Т</t>
  </si>
  <si>
    <t>3724-1 Т</t>
  </si>
  <si>
    <t>3725-1 Т</t>
  </si>
  <si>
    <t>3726-2 Т</t>
  </si>
  <si>
    <t>3201-2 Т</t>
  </si>
  <si>
    <t>3727-1 Т</t>
  </si>
  <si>
    <t>3728-1 Т</t>
  </si>
  <si>
    <t>3816-1 Т</t>
  </si>
  <si>
    <t>3817-1 Т</t>
  </si>
  <si>
    <t>3818-1 Т</t>
  </si>
  <si>
    <t>3819-1 Т</t>
  </si>
  <si>
    <t>3820-1 Т</t>
  </si>
  <si>
    <t>3729-1 Т</t>
  </si>
  <si>
    <t>3821-1 Т</t>
  </si>
  <si>
    <t>3822-1 Т</t>
  </si>
  <si>
    <t>3730-1 Т</t>
  </si>
  <si>
    <t>3731-1 Т</t>
  </si>
  <si>
    <t>3823-1 Т</t>
  </si>
  <si>
    <t>3824-1 Т</t>
  </si>
  <si>
    <t>3825-1 Т</t>
  </si>
  <si>
    <t>3826-1 Т</t>
  </si>
  <si>
    <t>3203-3 Т</t>
  </si>
  <si>
    <t>3202-3 Т</t>
  </si>
  <si>
    <t>3732-1 Т</t>
  </si>
  <si>
    <t>3733-1 Т</t>
  </si>
  <si>
    <t>3734-1 Т</t>
  </si>
  <si>
    <t>3735-1 Т</t>
  </si>
  <si>
    <t>3736-1 Т</t>
  </si>
  <si>
    <t>88 Р</t>
  </si>
  <si>
    <t>Строительство общежития на 100 мест на м/р Каламкас</t>
  </si>
  <si>
    <t>Строительство раздевалки на 220 мест на м/р Каламкас</t>
  </si>
  <si>
    <t>89 Р</t>
  </si>
  <si>
    <t>3211-3 Т</t>
  </si>
  <si>
    <t>3212-3 Т</t>
  </si>
  <si>
    <t>3213-3 Т</t>
  </si>
  <si>
    <t>3206-2 Т</t>
  </si>
  <si>
    <t>март, сентябрь, октябрь</t>
  </si>
  <si>
    <t>3717-1 Т</t>
  </si>
  <si>
    <t>3215-3 Т</t>
  </si>
  <si>
    <t>3216-3 Т</t>
  </si>
  <si>
    <t>3716-1 Т</t>
  </si>
  <si>
    <t>3718-1 Т</t>
  </si>
  <si>
    <t>3719-1 Т</t>
  </si>
  <si>
    <t>3222-2 Т</t>
  </si>
  <si>
    <t>147-2 У</t>
  </si>
  <si>
    <t>148-3 У</t>
  </si>
  <si>
    <t>208-1 У</t>
  </si>
  <si>
    <t>171-2 У</t>
  </si>
  <si>
    <t>РК, г. Алматы</t>
  </si>
  <si>
    <t>729-3 Т</t>
  </si>
  <si>
    <t>222 У</t>
  </si>
  <si>
    <t>РК, г.Усть-Каменогорск</t>
  </si>
  <si>
    <t>2502-2 Т</t>
  </si>
  <si>
    <t>2503-2 Т</t>
  </si>
  <si>
    <t>2504-2 Т</t>
  </si>
  <si>
    <t>2507-2 Т</t>
  </si>
  <si>
    <t>2508-2 Т</t>
  </si>
  <si>
    <t>2509-2 Т</t>
  </si>
  <si>
    <t>3779-1 Т</t>
  </si>
  <si>
    <t xml:space="preserve">сентябрь, октябрь, </t>
  </si>
  <si>
    <t>3784-1 Т</t>
  </si>
  <si>
    <t>3790-1 Т</t>
  </si>
  <si>
    <t>904-4 Т</t>
  </si>
  <si>
    <t>905-4 Т</t>
  </si>
  <si>
    <t>906-4 Т</t>
  </si>
  <si>
    <t>907-4 Т</t>
  </si>
  <si>
    <t>908-4 Т</t>
  </si>
  <si>
    <t>3780-1 Т</t>
  </si>
  <si>
    <t>3781-1 Т</t>
  </si>
  <si>
    <t>3782-1 Т</t>
  </si>
  <si>
    <t>3783-1 Т</t>
  </si>
  <si>
    <t>3785-1 Т</t>
  </si>
  <si>
    <t>3787-1 Т</t>
  </si>
  <si>
    <t>3788-1 Т</t>
  </si>
  <si>
    <t>3789-1 Т</t>
  </si>
  <si>
    <t>3791-1 Т</t>
  </si>
  <si>
    <t>3786-1 Т</t>
  </si>
  <si>
    <t>754-4 Т</t>
  </si>
  <si>
    <t>755-4 Т</t>
  </si>
  <si>
    <t>756-4 Т</t>
  </si>
  <si>
    <t>700-3 Т</t>
  </si>
  <si>
    <t>701-3 Т</t>
  </si>
  <si>
    <t>702-3 Т</t>
  </si>
  <si>
    <t>703-3 Т</t>
  </si>
  <si>
    <t>704-3 Т</t>
  </si>
  <si>
    <t>705-3 Т</t>
  </si>
  <si>
    <t>706-3 Т</t>
  </si>
  <si>
    <t>710-4 Т</t>
  </si>
  <si>
    <t>711-4 Т</t>
  </si>
  <si>
    <t>917-4 Т</t>
  </si>
  <si>
    <t>919-4 Т</t>
  </si>
  <si>
    <t>920-4 Т</t>
  </si>
  <si>
    <t>921-4 Т</t>
  </si>
  <si>
    <t>3620-1 Т</t>
  </si>
  <si>
    <t>3621-1 Т</t>
  </si>
  <si>
    <t>3653-1 Т</t>
  </si>
  <si>
    <t>авансовый платеж- 0%, в течение 30  дней с даты  подписания акта оказанных  услуг</t>
  </si>
  <si>
    <t>3654-1 Т</t>
  </si>
  <si>
    <t>3657-1 Т</t>
  </si>
  <si>
    <t>3658-1 Т</t>
  </si>
  <si>
    <t>3671-1 Т</t>
  </si>
  <si>
    <t>3674-1 Т</t>
  </si>
  <si>
    <t>3675-1 Т</t>
  </si>
  <si>
    <t>3676-1 Т</t>
  </si>
  <si>
    <t>3677-1 Т</t>
  </si>
  <si>
    <t>3680-1 Т</t>
  </si>
  <si>
    <t>3681-1 Т</t>
  </si>
  <si>
    <t>3682-1 Т</t>
  </si>
  <si>
    <t>3688-1 Т</t>
  </si>
  <si>
    <t>3689-1 Т</t>
  </si>
  <si>
    <t>3691-1 Т</t>
  </si>
  <si>
    <t>3692-1 Т</t>
  </si>
  <si>
    <t>3693-1 Т</t>
  </si>
  <si>
    <t>3695-1 Т</t>
  </si>
  <si>
    <t>Петля дышла с гайкой 8350.2707042 (для  прицепа самосвал НефАЗ-8560)</t>
  </si>
  <si>
    <t>Прибор буксировочный 53А-2805010 (ГАЗ-3909)</t>
  </si>
  <si>
    <t>3830 Т</t>
  </si>
  <si>
    <t>3831 Т</t>
  </si>
  <si>
    <t xml:space="preserve">31N7-12291 HOSE ASSY </t>
  </si>
  <si>
    <t xml:space="preserve">31N7-12160 HOSE ASSY </t>
  </si>
  <si>
    <t xml:space="preserve">X410-062036 HOSE ASSY-SYNFLEX.ORFS </t>
  </si>
  <si>
    <t xml:space="preserve">X400-062042 HOSE ASSY-SYNFLEX.ORFS </t>
  </si>
  <si>
    <t xml:space="preserve">X410-042053 HOSE ASSY-SYNFLEX.ORFS </t>
  </si>
  <si>
    <t xml:space="preserve">Б-887 (ЯМЗ)11*14*10*887 </t>
  </si>
  <si>
    <t>( МТЗ 80,82) 1250*11*10</t>
  </si>
  <si>
    <t>А-1500 (ПАЗ) 11*10*1500</t>
  </si>
  <si>
    <t>А-1775 (ПАЗ) 11*10*1775</t>
  </si>
  <si>
    <t>А-1280 (ПАЗ)</t>
  </si>
  <si>
    <t>Б-1650 (ЗиЛ)</t>
  </si>
  <si>
    <t>Б-1037 (1037-14*10)</t>
  </si>
  <si>
    <t>Б-1090</t>
  </si>
  <si>
    <t>Б-1120</t>
  </si>
  <si>
    <t>В-1650 (Т-170) 16*11*1650</t>
  </si>
  <si>
    <t>А-875 (8,5*8-875)</t>
  </si>
  <si>
    <t>3832 Т</t>
  </si>
  <si>
    <t>3833 Т</t>
  </si>
  <si>
    <t>3834 Т</t>
  </si>
  <si>
    <t>3835 Т</t>
  </si>
  <si>
    <t>3836 Т</t>
  </si>
  <si>
    <t>3837 Т</t>
  </si>
  <si>
    <t>3838 Т</t>
  </si>
  <si>
    <t>3839 Т</t>
  </si>
  <si>
    <t>3840 Т</t>
  </si>
  <si>
    <t>3841 Т</t>
  </si>
  <si>
    <t>3842 Т</t>
  </si>
  <si>
    <t>3843 Т</t>
  </si>
  <si>
    <t>3844 Т</t>
  </si>
  <si>
    <t>3845 Т</t>
  </si>
  <si>
    <t>3846 Т</t>
  </si>
  <si>
    <t>3847 Т</t>
  </si>
  <si>
    <t>22.19.42.00.00.10.30.50.1</t>
  </si>
  <si>
    <t>Ремень клиновый приводный с сечением В(Б) -887</t>
  </si>
  <si>
    <t>22.19.43.00.00.00.00.15.1</t>
  </si>
  <si>
    <t> Ремень вентиляторный клиновый 11х10-1250 ГОСТ 5813-93.</t>
  </si>
  <si>
    <t>22.19.42.00.00.10.20.18.1</t>
  </si>
  <si>
    <t> Ремень клиновый приводный с сечением А-1500. ГОСТ 1284-89.</t>
  </si>
  <si>
    <t>22.19.43.00.00.00.00.22.1</t>
  </si>
  <si>
    <t> Ремень вентиляторный клиновый 11х10-1775 ГОСТ 5813-93.</t>
  </si>
  <si>
    <t>22.19.42.00.00.10.20.13.1</t>
  </si>
  <si>
    <t> Ремень клиновый приводный с сечением А-1280. ГОСТ 1284-89.</t>
  </si>
  <si>
    <t>22.19.42.00.00.10.30.21.1</t>
  </si>
  <si>
    <t> Ремень клиновый приводный  с сечением В(Б)-1650. ГОСТ 1284-89.</t>
  </si>
  <si>
    <t>22.19.43.00.00.00.00.28.1</t>
  </si>
  <si>
    <t> Ремень вентиляторный клиновый 14х10-1037 ГОСТ 5813-93.</t>
  </si>
  <si>
    <t>22.19.43.00.00.00.00.23.1</t>
  </si>
  <si>
    <t> Ремень вентиляторный клиновый 12.5х9-1090 ГОСТ 5813-93.</t>
  </si>
  <si>
    <t>22.19.42.00.00.10.30.11.1</t>
  </si>
  <si>
    <t> Ремень клиновый приводный  с сечением В(Б)-1120. ГОСТ 1284-89.</t>
  </si>
  <si>
    <t>22.19.35.00.80.10.30.06.2</t>
  </si>
  <si>
    <t>РВД тип I - с одной металлической оплеткой</t>
  </si>
  <si>
    <t>Рукав резиновый высокого давления с одной металлической оплеткой неармированный, группы В (изготавливаются с применением проволоки с разрывным усилием не менее 20,0 кг), с внутренним диаметром 16 мм</t>
  </si>
  <si>
    <t>768-4 Т</t>
  </si>
  <si>
    <t>769-4 Т</t>
  </si>
  <si>
    <t>3530-2 Т</t>
  </si>
  <si>
    <t>81-1 Р</t>
  </si>
  <si>
    <t>87-1 Р</t>
  </si>
  <si>
    <t>сентябрь, олктябрь</t>
  </si>
  <si>
    <t>3697-1 Т</t>
  </si>
  <si>
    <t>3698-1 Т</t>
  </si>
  <si>
    <t>6,11,14</t>
  </si>
  <si>
    <t>Комплект для поиска неисправности эл.оборудования В состав входит : Мультиметр- Fluke 27 II  Токоизмерительные клещи  Fluke 374. Мягкая сумка для транспортировки.</t>
  </si>
  <si>
    <t>1060-1 Т</t>
  </si>
  <si>
    <t>1064-1 Т</t>
  </si>
  <si>
    <t>1067-1 Т</t>
  </si>
  <si>
    <t>1082-1 Т</t>
  </si>
  <si>
    <t>1083-1 Т</t>
  </si>
  <si>
    <t>1084-1 Т</t>
  </si>
  <si>
    <t>1085-1 Т</t>
  </si>
  <si>
    <t>1086-1 Т</t>
  </si>
  <si>
    <t>1087-1 Т</t>
  </si>
  <si>
    <t>151-3 У</t>
  </si>
  <si>
    <t xml:space="preserve">сентябрь-декабрь </t>
  </si>
  <si>
    <t>153-2 У</t>
  </si>
  <si>
    <t>156-1 У</t>
  </si>
  <si>
    <t>157-2 У</t>
  </si>
  <si>
    <t>159-2 У</t>
  </si>
  <si>
    <t>161-2 У</t>
  </si>
  <si>
    <t>165-2 У</t>
  </si>
  <si>
    <t>октябрь</t>
  </si>
  <si>
    <t>166-1 У</t>
  </si>
  <si>
    <t>с даты вступления в силу договора до 31  декабря 2014 г</t>
  </si>
  <si>
    <t>167-2 У</t>
  </si>
  <si>
    <t>174-1 У</t>
  </si>
  <si>
    <t>Бюджетирование и управленический учет в организации</t>
  </si>
  <si>
    <t>11,12,14, 20, 21</t>
  </si>
  <si>
    <t>11,12,14, 20,21</t>
  </si>
  <si>
    <t>188-1 У</t>
  </si>
  <si>
    <t>179-2 У</t>
  </si>
  <si>
    <t>173-1 У</t>
  </si>
  <si>
    <t>Управление затратами и рисками</t>
  </si>
  <si>
    <t>181-2 У</t>
  </si>
  <si>
    <t>авансовый платеж- 0%, в течение 10  банковских дней  с даты  подписания акта выполненных услуг</t>
  </si>
  <si>
    <t>Обучение на тему:Правила закупок товаров, работ и услуг и Информационная система электронных закупок АО ФНБ СК</t>
  </si>
  <si>
    <t>187-2 У</t>
  </si>
  <si>
    <t>6,11,14, 15,20, 21</t>
  </si>
  <si>
    <t>6,14,15</t>
  </si>
  <si>
    <t>223 У</t>
  </si>
  <si>
    <t>90 Р</t>
  </si>
  <si>
    <t>91 Р</t>
  </si>
  <si>
    <t>Капремонт административного здания ПРЦЭО на м/р Каламкас</t>
  </si>
  <si>
    <t xml:space="preserve">в течение 75 календарных дней с даты вступления в силу договора </t>
  </si>
  <si>
    <t xml:space="preserve">в течение 90 календарных дней с даты вступления в силу договора </t>
  </si>
  <si>
    <t>Замена трубопроводов канализационной системы пожарной  командды №2 на м/р Жетыбай</t>
  </si>
  <si>
    <t xml:space="preserve">в течение 45 календарных дней с даты вступления в силу договора </t>
  </si>
  <si>
    <t>Управление затратами, учет, анализ, бюджет</t>
  </si>
  <si>
    <t>224 У</t>
  </si>
  <si>
    <t>23-2 Р</t>
  </si>
  <si>
    <t>май, июнь, сентябрь</t>
  </si>
  <si>
    <t>225 У</t>
  </si>
  <si>
    <t>69.20.31.10.20.10.00</t>
  </si>
  <si>
    <t>Услуги по проведению аудита налоговой отчетности и консультационному сопровождению в сфере налогообложения</t>
  </si>
  <si>
    <t>Обучение по теме: Комплексный курс "Конфигурирование в системе 1С: Предприятие 8.2"</t>
  </si>
  <si>
    <t>33-1 Р</t>
  </si>
  <si>
    <t>Замена теплотрассы и стальных волопроводов холодной  и горячей воды от котельной до столовой на м/р Жетыбай</t>
  </si>
  <si>
    <t>Строительство водопровода из п/э трубы на м/р Жетыбай</t>
  </si>
  <si>
    <t xml:space="preserve">в течение 60 календарных дней с даты вступления в силу договора </t>
  </si>
  <si>
    <t>Капремонт здании пенотушения №2 ЦППН на м/р Жетыбай</t>
  </si>
  <si>
    <t xml:space="preserve">в течение 50 календарных дней с даты вступления в силу договора </t>
  </si>
  <si>
    <t>92 Р</t>
  </si>
  <si>
    <t>93 Р</t>
  </si>
  <si>
    <t>94 Р</t>
  </si>
  <si>
    <t>80-1 Р</t>
  </si>
  <si>
    <t>22-2 Р</t>
  </si>
  <si>
    <t>49-1 Р</t>
  </si>
  <si>
    <t>55-2 Р</t>
  </si>
  <si>
    <t>66-1 Р</t>
  </si>
  <si>
    <t>41.00.40.20.11.00.00</t>
  </si>
  <si>
    <t>Работы строительные по ремонту производственного здания</t>
  </si>
  <si>
    <t>Комплекс работ по ремонту производственного здания.</t>
  </si>
  <si>
    <t>33.11.19.17.00.00.00</t>
  </si>
  <si>
    <t>Капитальный ремонт водопроводов</t>
  </si>
  <si>
    <t>192-2 У</t>
  </si>
  <si>
    <t>210-1 У</t>
  </si>
  <si>
    <t>184-2 У</t>
  </si>
  <si>
    <t>11,12,20, 21</t>
  </si>
  <si>
    <t>8,11,14, 15, 22</t>
  </si>
  <si>
    <t>авансовый платеж - 30%, оставшаяся часть в течении 30 рабочих дней с момента подписания первичных документов</t>
  </si>
  <si>
    <t>72-3 Т</t>
  </si>
  <si>
    <t>73-4 Т</t>
  </si>
  <si>
    <t>75-5 Т</t>
  </si>
  <si>
    <t>76-4 Т</t>
  </si>
  <si>
    <t>77-4 Т</t>
  </si>
  <si>
    <t xml:space="preserve">июль, август, сентябрь </t>
  </si>
  <si>
    <t>79-4 Т</t>
  </si>
  <si>
    <t>81-5 Т</t>
  </si>
  <si>
    <t>82-4 Т</t>
  </si>
  <si>
    <t>3755-1 Т</t>
  </si>
  <si>
    <t>93-4 Т</t>
  </si>
  <si>
    <t>105-4 Т</t>
  </si>
  <si>
    <t>108-2 Т</t>
  </si>
  <si>
    <t>109-3 Т</t>
  </si>
  <si>
    <t>111-3 Т</t>
  </si>
  <si>
    <t>сентябрь, октябрь, ноябрь</t>
  </si>
  <si>
    <t>авансовый платеж 30%, 70% после подписания акта-приемки  в течение 30 календарных дней</t>
  </si>
  <si>
    <t>19.20.42.00.00.00.20.50.3</t>
  </si>
  <si>
    <t>жидкий дорожный МГ 70/130, условная вязкость по вискозиметру с отверстием 5 мм при 60°С, с 71-130, применяется для строительства капитальных и облегченных дорожных покрытий</t>
  </si>
  <si>
    <t xml:space="preserve">Битум дорожный </t>
  </si>
  <si>
    <t>3849 Т</t>
  </si>
  <si>
    <t>3850 Т</t>
  </si>
  <si>
    <t>131-5 Т</t>
  </si>
  <si>
    <t>8,11,14,15,18,20,21</t>
  </si>
  <si>
    <t>3851 Т</t>
  </si>
  <si>
    <t>Труба стальная бесшовная Ø76х4мм ГОСТ 8732-78</t>
  </si>
  <si>
    <t>138-3 Т</t>
  </si>
  <si>
    <t>3315-2 Т</t>
  </si>
  <si>
    <t>3337-2 Т</t>
  </si>
  <si>
    <t>11,18,20, 21</t>
  </si>
  <si>
    <t>461-3 Т</t>
  </si>
  <si>
    <t>2747-3 Т</t>
  </si>
  <si>
    <t xml:space="preserve"> сентябрь, октябрь, ноябрь</t>
  </si>
  <si>
    <t>со склада поставщика в пределах 30 км от гАктау Мангистауской области</t>
  </si>
  <si>
    <t>авансовый платеж 30%, 70% после подписания акта-приемки,  в течение 30 рабочих дней</t>
  </si>
  <si>
    <t>3848 Т</t>
  </si>
  <si>
    <t>Приказ №438 от 08.09.2014 год.</t>
  </si>
  <si>
    <t>3694-1 Т</t>
  </si>
  <si>
    <t>авансовый платеж- 30%, 70% в течение 30 календарных   дней с даты  подписания акта оказанных  услуг</t>
  </si>
  <si>
    <t>144-4 Т</t>
  </si>
  <si>
    <t>3329-2 Т</t>
  </si>
  <si>
    <t>12-1 У</t>
  </si>
  <si>
    <t>142-2 У</t>
  </si>
  <si>
    <t>1261-2 Т</t>
  </si>
  <si>
    <t>1262-2 Т</t>
  </si>
  <si>
    <t>1271-2 Т</t>
  </si>
  <si>
    <t>1272-2 Т</t>
  </si>
  <si>
    <t>1539-3 Т</t>
  </si>
  <si>
    <t>1545-3 Т</t>
  </si>
  <si>
    <t>1554-3 Т</t>
  </si>
  <si>
    <t>1556-3 Т</t>
  </si>
  <si>
    <t>1558-3 Т</t>
  </si>
  <si>
    <t>1562-3 Т</t>
  </si>
  <si>
    <t>1574-3 Т</t>
  </si>
  <si>
    <t>1587-3 Т</t>
  </si>
  <si>
    <t>1606-3 Т</t>
  </si>
  <si>
    <t>1607-3 Т</t>
  </si>
  <si>
    <t>1609-3 Т</t>
  </si>
  <si>
    <t>1616-3 Т</t>
  </si>
  <si>
    <t>1622-3 Т</t>
  </si>
  <si>
    <t>1623-3 Т</t>
  </si>
  <si>
    <t>1631-3 Т</t>
  </si>
  <si>
    <t>1640-3 Т</t>
  </si>
  <si>
    <t>1642-3 Т</t>
  </si>
  <si>
    <t>1662-3 Т</t>
  </si>
  <si>
    <t>1685-3 Т</t>
  </si>
  <si>
    <t>1686-3 Т</t>
  </si>
  <si>
    <t>1688-3 Т</t>
  </si>
  <si>
    <t>1840-3 Т</t>
  </si>
  <si>
    <t>1896-3 Т</t>
  </si>
  <si>
    <t>1897-3 Т</t>
  </si>
  <si>
    <t>1942-3 Т</t>
  </si>
  <si>
    <t>1962-3 Т</t>
  </si>
  <si>
    <t>1963-3 Т</t>
  </si>
  <si>
    <t>2099-3 Т</t>
  </si>
  <si>
    <t>2100-3 Т</t>
  </si>
  <si>
    <t>2110-3 Т</t>
  </si>
  <si>
    <t>3852 Т</t>
  </si>
  <si>
    <t>3853 Т</t>
  </si>
  <si>
    <t>3794-1 Т</t>
  </si>
  <si>
    <t>3795-1 Т</t>
  </si>
  <si>
    <t>Дорожные знаки: 1.31.3. СТ РК 1125-2003</t>
  </si>
  <si>
    <t>6,7,11,18,20,21</t>
  </si>
  <si>
    <t>3796-1 Т</t>
  </si>
  <si>
    <t>3797-1 Т</t>
  </si>
  <si>
    <t>3798-1 Т</t>
  </si>
  <si>
    <t>3799-1 Т</t>
  </si>
  <si>
    <t>3800-1 Т</t>
  </si>
  <si>
    <t>3801-1 Т</t>
  </si>
  <si>
    <t>3802-1 Т</t>
  </si>
  <si>
    <t>592-4 Т</t>
  </si>
  <si>
    <t>сентябрь,октябрь, ноябрь</t>
  </si>
  <si>
    <t>11,15,18,20,21</t>
  </si>
  <si>
    <t>11,15,18, 20,21</t>
  </si>
  <si>
    <t>572-4 Т</t>
  </si>
  <si>
    <t>авансовый платеж 30%, 70% после подписания акты-приемки, сверки в течение 30 рабочих дней</t>
  </si>
  <si>
    <t>569-4 Т</t>
  </si>
  <si>
    <t>547-4 Т</t>
  </si>
  <si>
    <t>545-4 Т</t>
  </si>
  <si>
    <t>544-4 Т</t>
  </si>
  <si>
    <t>529-4 Т</t>
  </si>
  <si>
    <t>3805-1 Т</t>
  </si>
  <si>
    <t>531-3 Т</t>
  </si>
  <si>
    <t>3854 Т</t>
  </si>
  <si>
    <t>26-3 Р</t>
  </si>
  <si>
    <t xml:space="preserve"> по месту нахождения потенциального поставщика</t>
  </si>
  <si>
    <t>50 календарных дней с даты подписания договора</t>
  </si>
  <si>
    <t>27-3 Р</t>
  </si>
  <si>
    <t>28-3 Р</t>
  </si>
  <si>
    <t>60-1 Р</t>
  </si>
  <si>
    <t>октябрь , ноябрь</t>
  </si>
  <si>
    <t>2896-1 Т</t>
  </si>
  <si>
    <t>2897-1 Т</t>
  </si>
  <si>
    <t>март, ноябрь, декабрь</t>
  </si>
  <si>
    <t>2899-1 Т</t>
  </si>
  <si>
    <t>2900-1 Т</t>
  </si>
  <si>
    <t>2901-2 Т</t>
  </si>
  <si>
    <t>2902-2 Т</t>
  </si>
  <si>
    <t>2903-2 Т</t>
  </si>
  <si>
    <t>2904-2 Т</t>
  </si>
  <si>
    <t>2905-2 Т</t>
  </si>
  <si>
    <t>131-1 У</t>
  </si>
  <si>
    <t>авансовый платеж - 70%, 30% оплата после подписания акта выполненных услуг</t>
  </si>
  <si>
    <t>132-1 У</t>
  </si>
  <si>
    <t>133-1 У</t>
  </si>
  <si>
    <t>13-2 У</t>
  </si>
  <si>
    <t>15-1 У</t>
  </si>
  <si>
    <t>467-4 Т</t>
  </si>
  <si>
    <t>апрель, октябрь, ноябрь</t>
  </si>
  <si>
    <t>авансовый платеж 30%, 70% после подписания акты-приемки, в течение 30 рабочих дней</t>
  </si>
  <si>
    <t>450-4 Т</t>
  </si>
  <si>
    <t>авансовый платеж 30%, 70% после подписания акта-приемки, в течение 30 рабочих дней</t>
  </si>
  <si>
    <t>446-3 Т</t>
  </si>
  <si>
    <t>август, октябрь, ноябрь</t>
  </si>
  <si>
    <t>445-3 Т</t>
  </si>
  <si>
    <t>423-3 Т</t>
  </si>
  <si>
    <t>май, октябрь, ноябрь</t>
  </si>
  <si>
    <t>3855 Т</t>
  </si>
  <si>
    <t>395-4 Т</t>
  </si>
  <si>
    <t>385-4 Т</t>
  </si>
  <si>
    <t>3856 Т</t>
  </si>
  <si>
    <t>383-4 Т</t>
  </si>
  <si>
    <t>3814-1 Т</t>
  </si>
  <si>
    <t>380-4 Т</t>
  </si>
  <si>
    <t>379-4 Т</t>
  </si>
  <si>
    <t>3857 Т</t>
  </si>
  <si>
    <t>3858 Т</t>
  </si>
  <si>
    <t>178-4 Т</t>
  </si>
  <si>
    <t>8,11,15,18,20,21</t>
  </si>
  <si>
    <t>3488-2 Т</t>
  </si>
  <si>
    <t xml:space="preserve">Столбик железобетонный для автомобильных дорог. Габаритный размер: 1900х150х80мм. Серия 3.503.1-89 </t>
  </si>
  <si>
    <t>6,7,11</t>
  </si>
  <si>
    <t>Дорожные знаки: 1.11.1.-7 шт, 1.11.2-7 шт. ,1.13-2 шт., 1.14-2 шт.СТ РК 1125-2003</t>
  </si>
  <si>
    <t>Дорожные знаки: 2.3.2-1шт, 2.3.3-1шт, 2.4-1шт. СТ РК 1125-2003</t>
  </si>
  <si>
    <t>Дорожные знаки: 5.8.3-1шт, 5.8.5-1шт, 5.21.1-2шт, 5.21.2-1шт, 5.26-1шт, 5.28-20шт. СТ РК 1125-2003</t>
  </si>
  <si>
    <t>3793-1 Т</t>
  </si>
  <si>
    <t>8,11,18,20,21</t>
  </si>
  <si>
    <t>190-4 Т</t>
  </si>
  <si>
    <t>193-3 Т</t>
  </si>
  <si>
    <t>276-4 Т</t>
  </si>
  <si>
    <t>304-2 Т</t>
  </si>
  <si>
    <t>3859 Т</t>
  </si>
  <si>
    <t>3860 Т</t>
  </si>
  <si>
    <t>3861 Т</t>
  </si>
  <si>
    <t>309-2 Т</t>
  </si>
  <si>
    <t>3-4 Р</t>
  </si>
  <si>
    <t>Устройство футбольной площадки с искусственным покрытием</t>
  </si>
  <si>
    <t xml:space="preserve">в течение 30 дней с даты вступления в силу договора </t>
  </si>
  <si>
    <t>4-4 Р</t>
  </si>
  <si>
    <t>3862 Т</t>
  </si>
  <si>
    <t>3863 Т</t>
  </si>
  <si>
    <t>120-3 Т</t>
  </si>
  <si>
    <t>313-3 Т</t>
  </si>
  <si>
    <t>11,12,15,18,20,21</t>
  </si>
  <si>
    <t>314-2 Т</t>
  </si>
  <si>
    <t>11,12,14,15,18,20,21</t>
  </si>
  <si>
    <t>3864 Т</t>
  </si>
  <si>
    <t>8,11,12,15,18,20,21</t>
  </si>
  <si>
    <t>3865 Т</t>
  </si>
  <si>
    <t>3866 Т</t>
  </si>
  <si>
    <t>25.99.11.00.00.24.10.10.1</t>
  </si>
  <si>
    <t>унитаз напольный металлический (чаша генуя)</t>
  </si>
  <si>
    <t>унитаз</t>
  </si>
  <si>
    <t>3867 Т</t>
  </si>
  <si>
    <t>3868 Т</t>
  </si>
  <si>
    <t>3869 Т</t>
  </si>
  <si>
    <t>3870 Т</t>
  </si>
  <si>
    <t>Дверные блоки  ДГ 21-8  в  к-те с наличником, коробкой, порогом и петля</t>
  </si>
  <si>
    <t>3871 Т</t>
  </si>
  <si>
    <t>Ручка</t>
  </si>
  <si>
    <t>дверная</t>
  </si>
  <si>
    <t>3872 Т</t>
  </si>
  <si>
    <t>подогреватель водоводяной</t>
  </si>
  <si>
    <t>3873 Т</t>
  </si>
  <si>
    <t>сентябрь, ноябрь, декабрь</t>
  </si>
  <si>
    <t>551-4 Т</t>
  </si>
  <si>
    <t>552-4 Т</t>
  </si>
  <si>
    <t>559-5 Т</t>
  </si>
  <si>
    <t>560-4 Т</t>
  </si>
  <si>
    <t>561-4 Т</t>
  </si>
  <si>
    <t>565-4 Т</t>
  </si>
  <si>
    <t>566-4 Т</t>
  </si>
  <si>
    <t>28.25.11.00.00.00.10.11.1</t>
  </si>
  <si>
    <t>аппарат теплообменный кожухотрубчатый</t>
  </si>
  <si>
    <t>аппарат теплообменный кожухотрубчатый с неподвижными трубами при давлении в трубах выше, а межтрубном пространстве ниже атмосферного</t>
  </si>
  <si>
    <t>25.12.10.00.00.16.30.10.1</t>
  </si>
  <si>
    <t>3874 Т</t>
  </si>
  <si>
    <t>3875 Т</t>
  </si>
  <si>
    <t>3876 Т</t>
  </si>
  <si>
    <t>3877 Т</t>
  </si>
  <si>
    <t>8,11,15</t>
  </si>
  <si>
    <t>60 календарных дней с даты подписания договора</t>
  </si>
  <si>
    <t>3302-2 Т</t>
  </si>
  <si>
    <t>3325-3 Т</t>
  </si>
  <si>
    <t>3306-2 Т</t>
  </si>
  <si>
    <t>3307-2 Т</t>
  </si>
  <si>
    <t>3303-2 Т</t>
  </si>
  <si>
    <t>140-4 Т</t>
  </si>
  <si>
    <t>3328-2 Т</t>
  </si>
  <si>
    <t>2258-3 Т</t>
  </si>
  <si>
    <t>2260-3 Т</t>
  </si>
  <si>
    <t>2275-3 Т</t>
  </si>
  <si>
    <t>2276-3 Т</t>
  </si>
  <si>
    <t>2277-4 Т</t>
  </si>
  <si>
    <t>2279-4 Т</t>
  </si>
  <si>
    <t>2280-4 Т</t>
  </si>
  <si>
    <t>3704-1 Т</t>
  </si>
  <si>
    <t>2281-3 Т</t>
  </si>
  <si>
    <t>1221-2 Т</t>
  </si>
  <si>
    <t>1223-2 Т</t>
  </si>
  <si>
    <t>1227-2 Т</t>
  </si>
  <si>
    <t>1229-2 Т</t>
  </si>
  <si>
    <t>6,7,14,20,21</t>
  </si>
  <si>
    <t>в течение 45 дней с даты заключения договора, по заявкам</t>
  </si>
  <si>
    <t>24-2 Т</t>
  </si>
  <si>
    <t>25-2 Т</t>
  </si>
  <si>
    <t>26-2 Т</t>
  </si>
  <si>
    <t>30-2 Т</t>
  </si>
  <si>
    <t>31-2 Т</t>
  </si>
  <si>
    <t>32-2 Т</t>
  </si>
  <si>
    <t>938-2 Т</t>
  </si>
  <si>
    <t>1050-2 Т</t>
  </si>
  <si>
    <t>1051-2 Т</t>
  </si>
  <si>
    <t>1052-2 Т</t>
  </si>
  <si>
    <t>1053-2 Т</t>
  </si>
  <si>
    <t>1054-2 Т</t>
  </si>
  <si>
    <t>1055-2 Т</t>
  </si>
  <si>
    <t>1059-1 Т</t>
  </si>
  <si>
    <t>1063-1 Т</t>
  </si>
  <si>
    <t>1065-1 Т</t>
  </si>
  <si>
    <t>1066-1 Т</t>
  </si>
  <si>
    <t>1078-1 Т</t>
  </si>
  <si>
    <t>1089-3 Т</t>
  </si>
  <si>
    <t>1090-3 Т</t>
  </si>
  <si>
    <t>1091-3 Т</t>
  </si>
  <si>
    <t>1092-3 Т</t>
  </si>
  <si>
    <t>1097-3 Т</t>
  </si>
  <si>
    <t>1101-3 Т</t>
  </si>
  <si>
    <t>1107-3 Т</t>
  </si>
  <si>
    <t>1109-4 Т</t>
  </si>
  <si>
    <t>1114-3 Т</t>
  </si>
  <si>
    <t>1115-3 Т</t>
  </si>
  <si>
    <t>1117-3 Т</t>
  </si>
  <si>
    <t>1118-3 Т</t>
  </si>
  <si>
    <t>1120-3 Т</t>
  </si>
  <si>
    <t>1121-3 Т</t>
  </si>
  <si>
    <t>1133-3 Т</t>
  </si>
  <si>
    <t>1134-3 Т</t>
  </si>
  <si>
    <t>1135-3 Т</t>
  </si>
  <si>
    <t>1137-3 Т</t>
  </si>
  <si>
    <t>1139-3 Т</t>
  </si>
  <si>
    <t>1147-3 Т</t>
  </si>
  <si>
    <t>1148-3 Т</t>
  </si>
  <si>
    <t>1149-3 Т</t>
  </si>
  <si>
    <t>1150-3 Т</t>
  </si>
  <si>
    <t>1152-3 Т</t>
  </si>
  <si>
    <t>1153-3 Т</t>
  </si>
  <si>
    <t>1154-3 Т</t>
  </si>
  <si>
    <t>1155-3 Т</t>
  </si>
  <si>
    <t>1156-4 Т</t>
  </si>
  <si>
    <t>1157-4 Т</t>
  </si>
  <si>
    <t>1158-4 Т</t>
  </si>
  <si>
    <t>1159-4 Т</t>
  </si>
  <si>
    <t>1160-4 Т</t>
  </si>
  <si>
    <t>1161-4 Т</t>
  </si>
  <si>
    <t>1162-4 Т</t>
  </si>
  <si>
    <t>1163-4 Т</t>
  </si>
  <si>
    <t>1164-4 Т</t>
  </si>
  <si>
    <t>1165-4 Т</t>
  </si>
  <si>
    <t>1166-4 Т</t>
  </si>
  <si>
    <t>1177-1 Т</t>
  </si>
  <si>
    <t>1194-3 Т</t>
  </si>
  <si>
    <t>1195-3 Т</t>
  </si>
  <si>
    <t>1196-4 Т</t>
  </si>
  <si>
    <t>1197-3 Т</t>
  </si>
  <si>
    <t>1199-3 Т</t>
  </si>
  <si>
    <t>1202 -3 Т</t>
  </si>
  <si>
    <t>1203-3 Т</t>
  </si>
  <si>
    <t>1204-3 Т</t>
  </si>
  <si>
    <t>1205-3 Т</t>
  </si>
  <si>
    <t>2566-3 Т</t>
  </si>
  <si>
    <t>2579-3 Т</t>
  </si>
  <si>
    <t>2625-3 Т</t>
  </si>
  <si>
    <t>2658-3 Т</t>
  </si>
  <si>
    <t>2659-3 Т</t>
  </si>
  <si>
    <t>11,12,15,18,19,20,21</t>
  </si>
  <si>
    <t>215-1 У</t>
  </si>
  <si>
    <t>220-1 У</t>
  </si>
  <si>
    <t>203-3 У</t>
  </si>
  <si>
    <t>1193-3 Т</t>
  </si>
  <si>
    <t>1206-3 Т</t>
  </si>
  <si>
    <t>февраль,  октябрь, ноябрь</t>
  </si>
  <si>
    <t>226 У</t>
  </si>
  <si>
    <t>авансовый платеж- 0%, в течение 30  кал.дней с даты  подписания акта выполненных услуг, ежемесячно</t>
  </si>
  <si>
    <t>149-5 Т</t>
  </si>
  <si>
    <t>676-4 Т</t>
  </si>
  <si>
    <t>677-4 Т</t>
  </si>
  <si>
    <t>678-4 Т</t>
  </si>
  <si>
    <t>675-4 Т</t>
  </si>
  <si>
    <t>673-4 Т</t>
  </si>
  <si>
    <t>3332-2 Т</t>
  </si>
  <si>
    <t>3333-2 Т</t>
  </si>
  <si>
    <t>3334-2 Т</t>
  </si>
  <si>
    <t>471-4 Т</t>
  </si>
  <si>
    <t>3573-2 Т</t>
  </si>
  <si>
    <t>504-5 Т</t>
  </si>
  <si>
    <t>462-4 Т</t>
  </si>
  <si>
    <t>469-4 Т</t>
  </si>
  <si>
    <t>492-5 Т</t>
  </si>
  <si>
    <t>3572-2 Т</t>
  </si>
  <si>
    <t>507-5 Т</t>
  </si>
  <si>
    <t>2755-3 Т</t>
  </si>
  <si>
    <t>722-4 Т</t>
  </si>
  <si>
    <t>3527-2 Т</t>
  </si>
  <si>
    <t>3526-2 Т</t>
  </si>
  <si>
    <t>141-4 Т</t>
  </si>
  <si>
    <t>143-5 Т</t>
  </si>
  <si>
    <t>146-5 Т</t>
  </si>
  <si>
    <t>147-4 Т</t>
  </si>
  <si>
    <t>123-5 Т</t>
  </si>
  <si>
    <t>132-5 Т</t>
  </si>
  <si>
    <t>133-5 Т</t>
  </si>
  <si>
    <t>142-5 Т</t>
  </si>
  <si>
    <t>8,11,14,15,18,20,21,22</t>
  </si>
  <si>
    <t>3379-2 Т</t>
  </si>
  <si>
    <t>Задвижка клиновая стальная с ручным приводом ответными фланцами, прокладками, метизами ЗКЛ-2-100-160, 30с45нж,</t>
  </si>
  <si>
    <t>241-2 Т</t>
  </si>
  <si>
    <t>апрель, сентябрь, октябрь</t>
  </si>
  <si>
    <t>8,11,12,14,15,19,20,21</t>
  </si>
  <si>
    <t>242 -2 Т</t>
  </si>
  <si>
    <t>8,11,12,14,15,16,17</t>
  </si>
  <si>
    <t>8,11,12,15,18,19,20,21</t>
  </si>
  <si>
    <t>11,14,18,20,21,22</t>
  </si>
  <si>
    <t>18, 20,21,22</t>
  </si>
  <si>
    <t>394-3 Т</t>
  </si>
  <si>
    <t>8,11,12,22</t>
  </si>
  <si>
    <t>Приказ №469 от 29.09.2014 год.</t>
  </si>
  <si>
    <t>324-3 Т</t>
  </si>
  <si>
    <t>3311-2 Т</t>
  </si>
  <si>
    <t>1246-4 Т</t>
  </si>
  <si>
    <t>142-3 У</t>
  </si>
  <si>
    <t>227 У</t>
  </si>
  <si>
    <t>авансовый платеж - 100%, в течении 10 календарных дней на основании счета на оплату</t>
  </si>
  <si>
    <t>27-1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</si>
  <si>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</si>
  <si>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</si>
  <si>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</si>
  <si>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подключение абонентов к инженерным сетям</t>
  </si>
  <si>
    <t>1336-3 Т</t>
  </si>
  <si>
    <t>1338-3 Т</t>
  </si>
  <si>
    <t>1344-3 Т</t>
  </si>
  <si>
    <t>1345-3 Т</t>
  </si>
  <si>
    <t>3878 Т</t>
  </si>
  <si>
    <t>3879 Т</t>
  </si>
  <si>
    <t xml:space="preserve"> КамАЗ-740.30 (Евро-3, 260л/с, с стартером, "КамАЗ- 65115")</t>
  </si>
  <si>
    <t>29.10.13.00.00.00.14.15.1</t>
  </si>
  <si>
    <t>дизельный, 8 цилиндровый, с V-образным расположением цилиндров, мощностью более 240 л.с., но не более 300 л.с.</t>
  </si>
  <si>
    <t>Корпус коробки переключения передач (КПП)</t>
  </si>
  <si>
    <t>29.32.30.00.04.36.10.01.1</t>
  </si>
  <si>
    <t>Коробка переменых передач с делителем в сборе 154-1700050</t>
  </si>
  <si>
    <t>1347-3 Т</t>
  </si>
  <si>
    <t>1356-3 Т</t>
  </si>
  <si>
    <t>1360-3 Т</t>
  </si>
  <si>
    <t>1361-3 Т</t>
  </si>
  <si>
    <t>1364-3 Т</t>
  </si>
  <si>
    <t>1365-3 Т</t>
  </si>
  <si>
    <t>1367-3 Т</t>
  </si>
  <si>
    <t>1368-3 Т</t>
  </si>
  <si>
    <t>1373-3 Т</t>
  </si>
  <si>
    <t>1393-3 Т</t>
  </si>
  <si>
    <t>1416-3 Т</t>
  </si>
  <si>
    <t>1420-3 Т</t>
  </si>
  <si>
    <t>1421-3 Т</t>
  </si>
  <si>
    <t>1423-3 Т</t>
  </si>
  <si>
    <t>1429-3 Т</t>
  </si>
  <si>
    <t>1436-3 Т</t>
  </si>
  <si>
    <t>1438-3 Т</t>
  </si>
  <si>
    <t>1441-3 Т</t>
  </si>
  <si>
    <t>1442-3 Т</t>
  </si>
  <si>
    <t>1446-3 Т</t>
  </si>
  <si>
    <t>1448-3 Т</t>
  </si>
  <si>
    <t>1464-3 Т</t>
  </si>
  <si>
    <t>1476-3 Т</t>
  </si>
  <si>
    <t>1496-3 Т</t>
  </si>
  <si>
    <t>3880 Т</t>
  </si>
  <si>
    <t>1814-3 Т</t>
  </si>
  <si>
    <t>29.10.12.00.00.00.23.14.1</t>
  </si>
  <si>
    <t xml:space="preserve"> ЗМЗ-4091 ("УАЗ-315196", 112 л.с., АИ-92)  409-1000400</t>
  </si>
  <si>
    <t>4 цилиндровый, с рядным расположением цилиндров,  мощностью более 110 л.с., но не более 115 л.с., с рабочим объемом цилиндров более 1500 см3, но не более 2000 см3</t>
  </si>
  <si>
    <t xml:space="preserve"> "УАЗ-315196"  469-1700010-10 (5 ступ.)  </t>
  </si>
  <si>
    <t>мост  передний с тормозами и ступицами в сборе"УАЗ-315196"  31512-2300011</t>
  </si>
  <si>
    <t>мост задний "УАЗ-315196" с тормозами и ступицами в сборе  3151-2400010</t>
  </si>
  <si>
    <t>3881 Т</t>
  </si>
  <si>
    <t>3882 Т</t>
  </si>
  <si>
    <t>3883 Т</t>
  </si>
  <si>
    <t>2338-3 Т</t>
  </si>
  <si>
    <t>2288-2 Т</t>
  </si>
  <si>
    <t>2339-3 Т</t>
  </si>
  <si>
    <t>2340-3 Т</t>
  </si>
  <si>
    <t>2478-3 Т</t>
  </si>
  <si>
    <t>2472-3 Т</t>
  </si>
  <si>
    <t>2462-3 Т</t>
  </si>
  <si>
    <t>2125-3 Т</t>
  </si>
  <si>
    <t>2128-3 Т</t>
  </si>
  <si>
    <t>2129-3 Т</t>
  </si>
  <si>
    <t>2130-3 Т</t>
  </si>
  <si>
    <t>2131-3 Т</t>
  </si>
  <si>
    <t>2136-3 Т</t>
  </si>
  <si>
    <t>2140-3 Т</t>
  </si>
  <si>
    <t>2141-3 Т</t>
  </si>
  <si>
    <t>2142-3 Т</t>
  </si>
  <si>
    <t>2143-3 Т</t>
  </si>
  <si>
    <t>2144-3 Т</t>
  </si>
  <si>
    <t>2145-3 Т</t>
  </si>
  <si>
    <t>2146-3 Т</t>
  </si>
  <si>
    <t>2149-3 Т</t>
  </si>
  <si>
    <t>2150-3 Т</t>
  </si>
  <si>
    <t>2151-3 Т</t>
  </si>
  <si>
    <t>2152-3 Т</t>
  </si>
  <si>
    <t>2153-3 Т</t>
  </si>
  <si>
    <t>2154-3 Т</t>
  </si>
  <si>
    <t>3702-1 Т</t>
  </si>
  <si>
    <t>228 У</t>
  </si>
  <si>
    <t>2341-2 Т</t>
  </si>
  <si>
    <t>729-4 Т</t>
  </si>
  <si>
    <t>176-2 У</t>
  </si>
  <si>
    <t xml:space="preserve">авансовый платеж- 0%, по факту оказания услуг </t>
  </si>
  <si>
    <t>3527-3 Т</t>
  </si>
  <si>
    <t>3528-2 Т</t>
  </si>
  <si>
    <t>3529-2 Т</t>
  </si>
  <si>
    <t>3884 Т</t>
  </si>
  <si>
    <t>3774-1 Т</t>
  </si>
  <si>
    <t>3779-2 Т</t>
  </si>
  <si>
    <t>авансовый платеж - 0%, 90% с момента подписания акта-приемки в течение 30 кал. дней, 10% течении 30 кал. дней с момента подписания акта-сверки</t>
  </si>
  <si>
    <t>ПМЖ-  (на опоре СК-26.1-1, и СК-22.1-1 с оцинкованном метала,В комплекте с лестницами, обсл. площадкой с могниетводом Серия 3.407.9-172)</t>
  </si>
  <si>
    <t>925-3 Т</t>
  </si>
  <si>
    <t>3885 Т</t>
  </si>
  <si>
    <t>3886 Т</t>
  </si>
  <si>
    <t>3887 Т</t>
  </si>
  <si>
    <t>3888 Т</t>
  </si>
  <si>
    <t>3889 Т</t>
  </si>
  <si>
    <t>3890 Т</t>
  </si>
  <si>
    <t>3891 Т</t>
  </si>
  <si>
    <t>РК, Мангистауская область, пос. Кызыл-Тюбе,  база БПО  ТОО "ОСС"</t>
  </si>
  <si>
    <t>Вентилятор</t>
  </si>
  <si>
    <t>радиальный</t>
  </si>
  <si>
    <t>28.25.20.00.00.00.13.45.2</t>
  </si>
  <si>
    <t>вентилятор осевой одноступенчатый с диаметром 400 мм</t>
  </si>
  <si>
    <t>28.25.20.00.00.00.11.22.1</t>
  </si>
  <si>
    <t>обратный, вентиляционный</t>
  </si>
  <si>
    <t>28.13.32.00.00.10.22.10.1</t>
  </si>
  <si>
    <t>Клапан лепестковый КЛ.00.000  сечение 400х400</t>
  </si>
  <si>
    <t>Вентилятор осевой  ВО6-300 №4 Д 400 АИР 63А4  L=1800 мчас N=0,25 квт Р=70Па</t>
  </si>
  <si>
    <t>Вентилятор ВР 80-75 №5 правый 0Гр С эл.двиг АИР 80А4   N=1,5квт 1500 об/мин Р=810 Пса</t>
  </si>
  <si>
    <t xml:space="preserve">Муфта концевая термоусаживающая   6-10 кв. наружной  установки КНТп 6-10 кв 3х70-120 с болтовым наконечником </t>
  </si>
  <si>
    <t xml:space="preserve">Муфта концевая термоусаживающая   6-10 кв. внутренней установки КВТп 6-10 кв 3х70-120 с болтовым наконечником </t>
  </si>
  <si>
    <t>Набор электромонтажника  в ударопрочном кейсе</t>
  </si>
  <si>
    <t>Набор электрика  в ударопрочном кейсе</t>
  </si>
  <si>
    <t>3892 Т</t>
  </si>
  <si>
    <t>3893 Т</t>
  </si>
  <si>
    <t>3894 Т</t>
  </si>
  <si>
    <t>Сигнальная лента</t>
  </si>
  <si>
    <t>Футболка</t>
  </si>
  <si>
    <t>с короткими рукавами</t>
  </si>
  <si>
    <t>14.12.30.00.00.10.10.14.1</t>
  </si>
  <si>
    <t xml:space="preserve"> Ткань: полотно трикатажное, хлопок - 100%.</t>
  </si>
  <si>
    <t>РК, Мангистауская область, г.Актау, 23 мкр., склад АСМУ.</t>
  </si>
  <si>
    <t>Лента оградительная сигнальная</t>
  </si>
  <si>
    <t>32.99.59.00.00.00.21.00.2</t>
  </si>
  <si>
    <t>Рулон</t>
  </si>
  <si>
    <t>2744-1 Т</t>
  </si>
  <si>
    <t>январь,  октябрь, ноябрь</t>
  </si>
  <si>
    <t>2740-1 Т</t>
  </si>
  <si>
    <t xml:space="preserve"> январь, октябрь, ноябрь</t>
  </si>
  <si>
    <t>736</t>
  </si>
  <si>
    <t>для защиты от воды, из  винилискожи, ГОСТ 12.4.134-83</t>
  </si>
  <si>
    <t>14.12.30.00.00.30.10.18.1</t>
  </si>
  <si>
    <t>Плащ мужской</t>
  </si>
  <si>
    <t>Предназначается для защиты от влаги, ветра. Плащ прямого силуэта с центральной бортовой застежкой на кнопках. Полочки с боковыми накладными карманами с клапанами.  ГОСТ 12.4.134-83. Ткань: полиэфир - 100%, двусторонее ПВХ покрытие, толщина: 32 микрон.</t>
  </si>
  <si>
    <t>3895 Т</t>
  </si>
  <si>
    <t>618-3 Т</t>
  </si>
  <si>
    <t>3896 Т</t>
  </si>
  <si>
    <t>3897 Т</t>
  </si>
  <si>
    <t>22.19.35.00.00.46.16.02.1</t>
  </si>
  <si>
    <t>22.19.35.00.00.46.18.02.1</t>
  </si>
  <si>
    <t>22.19.35.00.00.46.22.02.1</t>
  </si>
  <si>
    <t>Рукав</t>
  </si>
  <si>
    <t>резиновый, d - 16 мм,  Ру - 0,16 мпа</t>
  </si>
  <si>
    <t>d=16 мм, Ру=16 кг/ см2 ГОСТ 10362-76</t>
  </si>
  <si>
    <t>d=20 мм, Ру=16 кг/ см2 ГОСТ 10362-76</t>
  </si>
  <si>
    <t>d=32 мм, Ру=16 кг/ см2 ГОСТ 10362-76</t>
  </si>
  <si>
    <t>резиновый, d - 20 мм,  Ру - 0,16 мпа</t>
  </si>
  <si>
    <t>резиновый, d - 32 мм,  Ру - 0,16 мпа</t>
  </si>
  <si>
    <t>3898 Т</t>
  </si>
  <si>
    <t>Колючая, для ограждения</t>
  </si>
  <si>
    <t>24.34.12.00.00.10.10.13.1</t>
  </si>
  <si>
    <t>Тонна (метрическая)</t>
  </si>
  <si>
    <t>ГОСТ 285-69</t>
  </si>
  <si>
    <t>508-4 Т</t>
  </si>
  <si>
    <t>453-4 Т</t>
  </si>
  <si>
    <t>март, август, октябрь, ноябрь</t>
  </si>
  <si>
    <t xml:space="preserve">в течение 30 дней с даты заключения договора, по заявкам </t>
  </si>
  <si>
    <t>423-4 Т</t>
  </si>
  <si>
    <t>422-3 Т</t>
  </si>
  <si>
    <t>380-5 Т</t>
  </si>
  <si>
    <t>3857-1 Т</t>
  </si>
  <si>
    <t>3507-2 Т</t>
  </si>
  <si>
    <t>3899 Т</t>
  </si>
  <si>
    <t>Отвод стальной Ø42,4х3,6  90гр.Ду32, Ст20, ГОСТ 17375-2001</t>
  </si>
  <si>
    <t>113-3 Т</t>
  </si>
  <si>
    <t>256 -3 Т</t>
  </si>
  <si>
    <t>96-5 Т</t>
  </si>
  <si>
    <t>91-5 Т</t>
  </si>
  <si>
    <t>90-5 Т</t>
  </si>
  <si>
    <t>77-5 Т</t>
  </si>
  <si>
    <t>76-5 Т</t>
  </si>
  <si>
    <t>1-2 Т</t>
  </si>
  <si>
    <t>3-2 Т</t>
  </si>
  <si>
    <t>4-2 Т</t>
  </si>
  <si>
    <t>5-2 Т</t>
  </si>
  <si>
    <t>6-2 Т</t>
  </si>
  <si>
    <t>Медиативные компетенции для менеджеров</t>
  </si>
  <si>
    <t>257-3 Т</t>
  </si>
  <si>
    <t>245-4 Т</t>
  </si>
  <si>
    <t>258-2 Т</t>
  </si>
  <si>
    <t>251-4 Т</t>
  </si>
  <si>
    <t>3508-2 Т</t>
  </si>
  <si>
    <t>3509-1 Т</t>
  </si>
  <si>
    <t>3506-2 Т</t>
  </si>
  <si>
    <t>166-2 У</t>
  </si>
  <si>
    <t>15,20,21</t>
  </si>
  <si>
    <t>181-3 У</t>
  </si>
  <si>
    <t>174-2 У</t>
  </si>
  <si>
    <t>3900 Т</t>
  </si>
  <si>
    <t>Регулятор перепада давления, сталь фланцевый Т 150°С, Ру 10,6 МПа, Dy 100 мм</t>
  </si>
  <si>
    <t>28.14.13.57.10.10.00.05.1</t>
  </si>
  <si>
    <t>Регулятор давления И 630 52 ф150 Ру 6.3 Мпа 21нж 15нж</t>
  </si>
  <si>
    <t>460-3 Т</t>
  </si>
  <si>
    <t>февраль, октябрь, ноябрь</t>
  </si>
  <si>
    <t>151-4 У</t>
  </si>
  <si>
    <t>152-2 У</t>
  </si>
  <si>
    <t>авансовый платеж- 0%, по факту оказания услуг</t>
  </si>
  <si>
    <t>153-3 У</t>
  </si>
  <si>
    <t>154-1 У</t>
  </si>
  <si>
    <t>155-2 У</t>
  </si>
  <si>
    <t>156-2 У</t>
  </si>
  <si>
    <t>157-3 У</t>
  </si>
  <si>
    <t>158-2 У</t>
  </si>
  <si>
    <t>159-3 У</t>
  </si>
  <si>
    <t>161-3 У</t>
  </si>
  <si>
    <t>162-1 У</t>
  </si>
  <si>
    <t>163-2 У</t>
  </si>
  <si>
    <t>164-2 У</t>
  </si>
  <si>
    <t>165-3 У</t>
  </si>
  <si>
    <t>167-3 У</t>
  </si>
  <si>
    <t>168-2 У</t>
  </si>
  <si>
    <t>169-1 У</t>
  </si>
  <si>
    <t>170-2 У</t>
  </si>
  <si>
    <t>171-3 У</t>
  </si>
  <si>
    <t>172-2 У</t>
  </si>
  <si>
    <t>173-2 У</t>
  </si>
  <si>
    <t>177-3 У</t>
  </si>
  <si>
    <t>179-3 У</t>
  </si>
  <si>
    <t>180-2 У</t>
  </si>
  <si>
    <t>182-2 У</t>
  </si>
  <si>
    <t>184-3 У</t>
  </si>
  <si>
    <t>185-1 У</t>
  </si>
  <si>
    <t>187-3 У</t>
  </si>
  <si>
    <t>188-2 У</t>
  </si>
  <si>
    <t>189-2 У</t>
  </si>
  <si>
    <t>193-1 У</t>
  </si>
  <si>
    <t>194-1 У</t>
  </si>
  <si>
    <t>195-2 У</t>
  </si>
  <si>
    <t>196-1 У</t>
  </si>
  <si>
    <t>197-2 У</t>
  </si>
  <si>
    <t>204-1 У</t>
  </si>
  <si>
    <t>205-1 У</t>
  </si>
  <si>
    <t>206-1 У</t>
  </si>
  <si>
    <t>209-1 У</t>
  </si>
  <si>
    <t>210-2 У</t>
  </si>
  <si>
    <t>211-1 У</t>
  </si>
  <si>
    <t>212-2 У</t>
  </si>
  <si>
    <t>213-2 У</t>
  </si>
  <si>
    <t>214-2 У</t>
  </si>
  <si>
    <t>216-1 У</t>
  </si>
  <si>
    <t>221-1У</t>
  </si>
  <si>
    <t>223-1 У</t>
  </si>
  <si>
    <t>224-1 У</t>
  </si>
  <si>
    <t>1000-2 Т</t>
  </si>
  <si>
    <t>1060-2 Т</t>
  </si>
  <si>
    <t>РК Мангистауская обл. пос. Ынтымак база ТОО "ОСС" УТиСТ</t>
  </si>
  <si>
    <t>1119-3 Т</t>
  </si>
  <si>
    <t>1123-3 Т</t>
  </si>
  <si>
    <t>1124-3 Т</t>
  </si>
  <si>
    <t>1136-3 Т</t>
  </si>
  <si>
    <t>1138-3 Т</t>
  </si>
  <si>
    <t>1151-3 Т</t>
  </si>
  <si>
    <t>11,14,15,19,20,21</t>
  </si>
  <si>
    <t>11,12,14,15</t>
  </si>
  <si>
    <t>2747-4 Т</t>
  </si>
  <si>
    <t>8,11,15,22</t>
  </si>
  <si>
    <t>2743-3 Т</t>
  </si>
  <si>
    <t>2745-3 Т</t>
  </si>
  <si>
    <t>215-2 У</t>
  </si>
  <si>
    <t>220-2 У</t>
  </si>
  <si>
    <t>120-4 Т</t>
  </si>
  <si>
    <t>127-4 Т</t>
  </si>
  <si>
    <t>126-5 Т</t>
  </si>
  <si>
    <t>282-3 Т</t>
  </si>
  <si>
    <t>8,11,15,18,20,21,22</t>
  </si>
  <si>
    <t>8,11,12,15,22</t>
  </si>
  <si>
    <t>445-4 Т</t>
  </si>
  <si>
    <t>446-4 Т</t>
  </si>
  <si>
    <t>8,15,22</t>
  </si>
  <si>
    <t>3735-2 Т</t>
  </si>
  <si>
    <t xml:space="preserve">в течение 45  дней с даты вступления в силу договора </t>
  </si>
  <si>
    <t>с даты подписания договора до 31 декабря</t>
  </si>
  <si>
    <t>3311-3 Т</t>
  </si>
  <si>
    <t>3315-3 Т</t>
  </si>
  <si>
    <t>3337-3 Т</t>
  </si>
  <si>
    <t>3514 -3 Т</t>
  </si>
  <si>
    <t>789-5 Т</t>
  </si>
  <si>
    <t>730-4 Т</t>
  </si>
  <si>
    <t>со склада поставщика  гАктау Мангистауской области</t>
  </si>
  <si>
    <t>11,15,22</t>
  </si>
  <si>
    <t>7-1 У</t>
  </si>
  <si>
    <t>ноябрь</t>
  </si>
  <si>
    <t>с ноября 2014г по октябрь 2015г</t>
  </si>
  <si>
    <t>авансовый платеж- 100%, в течение 10  раб.  дней с  момента получения  счета на оплату</t>
  </si>
  <si>
    <t>с даты вступления в силу договора до 30  ноября 2014 г</t>
  </si>
  <si>
    <t>РК, Мангистауская область, г.Астана</t>
  </si>
  <si>
    <t>22.11.17.11.16.13.11.18.1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</si>
  <si>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Всесезонная нешипованная шина.</t>
  </si>
  <si>
    <t>131-6 Т</t>
  </si>
  <si>
    <t>11,14,15,18,20,21</t>
  </si>
  <si>
    <t>авансовый платеж 0%, 100 % оплата в течении 30 календарных дней со дня подписания акта приемки</t>
  </si>
  <si>
    <t>7,11,12,14,15,22</t>
  </si>
  <si>
    <t>7,11,12,14,15</t>
  </si>
  <si>
    <t>395-5 Т</t>
  </si>
  <si>
    <t>11,14,15,18,20,21,22</t>
  </si>
  <si>
    <t>18,20,21,22</t>
  </si>
  <si>
    <t>11,14,15,18,19,20,21</t>
  </si>
  <si>
    <t>3,4,5,11,14,15</t>
  </si>
  <si>
    <t>11,15,18,19,20,21</t>
  </si>
  <si>
    <t>15,18,20,21</t>
  </si>
  <si>
    <t>в течение 45 календарных дней с даты заключения договора</t>
  </si>
  <si>
    <t>авансовый платеж -0%, 100% оплата  в течении 30 календарных  дней с момента подписания акта приемки</t>
  </si>
  <si>
    <t>6,15,20</t>
  </si>
  <si>
    <t>Проведение закупок в Информационной системе электронных закупок АО ФНБ СК</t>
  </si>
  <si>
    <t>11,12,14,15,20,21</t>
  </si>
  <si>
    <t>7,8,11,15,22</t>
  </si>
  <si>
    <t>7,8,11,15,18,20,21,22</t>
  </si>
  <si>
    <t>7,8,11,14,15,19,20,21,22</t>
  </si>
  <si>
    <t>7,8,11,14,15,22</t>
  </si>
  <si>
    <t>авансовый платеж 0%, 100 % оплата в течение 30 календарных дней со дня подписания акта приемки</t>
  </si>
  <si>
    <t>авансовый платеж - 0%, оставшаяся часть в течение 30 рабочих дней с момента подписания первичных документов</t>
  </si>
  <si>
    <t xml:space="preserve"> ноябрь, декабрь</t>
  </si>
  <si>
    <t>1240-3 Т</t>
  </si>
  <si>
    <t>3871-1 Т</t>
  </si>
  <si>
    <t>3872-1 Т</t>
  </si>
  <si>
    <t>1089-4 Т</t>
  </si>
  <si>
    <t>1090-4 Т</t>
  </si>
  <si>
    <t>1091-4 Т</t>
  </si>
  <si>
    <t>1092-4 Т</t>
  </si>
  <si>
    <t>938-3 Т</t>
  </si>
  <si>
    <t>1059-2 Т</t>
  </si>
  <si>
    <t>1063-2 Т</t>
  </si>
  <si>
    <t>1065-2 Т</t>
  </si>
  <si>
    <t>1066-2 Т</t>
  </si>
  <si>
    <t>1050-3 Т</t>
  </si>
  <si>
    <t>1051-3 Т</t>
  </si>
  <si>
    <t>1052-3 Т</t>
  </si>
  <si>
    <t>1053-3 Т</t>
  </si>
  <si>
    <t>1054-3 Т</t>
  </si>
  <si>
    <t>1055-3 Т</t>
  </si>
  <si>
    <t>1114-4 Т</t>
  </si>
  <si>
    <t>1115-4 Т</t>
  </si>
  <si>
    <t>1101-4 Т</t>
  </si>
  <si>
    <t>1097-4 Т</t>
  </si>
  <si>
    <t>11,12,15</t>
  </si>
  <si>
    <t>РК, Мангистауская область, пос. Ынтымак,  база УТиСТ  ТОО "ОСС"</t>
  </si>
  <si>
    <t>1109-5 Т</t>
  </si>
  <si>
    <t>1156-5 Т</t>
  </si>
  <si>
    <t>1157-5 Т</t>
  </si>
  <si>
    <t>1158-5 Т</t>
  </si>
  <si>
    <t>1159-5 Т</t>
  </si>
  <si>
    <t>1160-5 Т</t>
  </si>
  <si>
    <t>1161-5 Т</t>
  </si>
  <si>
    <t>1162-5 Т</t>
  </si>
  <si>
    <t>1163-5 Т</t>
  </si>
  <si>
    <t>1164-5 Т</t>
  </si>
  <si>
    <t>1165-5 Т</t>
  </si>
  <si>
    <t>1166-5 Т</t>
  </si>
  <si>
    <t>1193-4 Т</t>
  </si>
  <si>
    <t>1194-4 Т</t>
  </si>
  <si>
    <t>1195-4 Т</t>
  </si>
  <si>
    <t>1196-5 Т</t>
  </si>
  <si>
    <t>1197-4 Т</t>
  </si>
  <si>
    <t>1199-4 Т</t>
  </si>
  <si>
    <t>1202 -4 Т</t>
  </si>
  <si>
    <t>1203-4 Т</t>
  </si>
  <si>
    <t>1206-4 Т</t>
  </si>
  <si>
    <t>1204-4 Т</t>
  </si>
  <si>
    <t>1205-4 Т</t>
  </si>
  <si>
    <t>1117-4 Т</t>
  </si>
  <si>
    <t>1118-4 Т</t>
  </si>
  <si>
    <t>1121-4 Т</t>
  </si>
  <si>
    <t>1120-4 Т</t>
  </si>
  <si>
    <t>6,11,15</t>
  </si>
  <si>
    <t>Прокладка выхлопного коллектора  Д-37М-1008170Б (к сварочному агрегату)</t>
  </si>
  <si>
    <t>Прокладка всасывающего коллектора  Д-37М-1008070Б (к сварочному агрегату)</t>
  </si>
  <si>
    <t>1133-4 Т</t>
  </si>
  <si>
    <t>1134-4 Т</t>
  </si>
  <si>
    <t>1135-4 Т</t>
  </si>
  <si>
    <t>1137-4 Т</t>
  </si>
  <si>
    <t>1139-4 Т</t>
  </si>
  <si>
    <t>1147-4 Т</t>
  </si>
  <si>
    <t>1148-4 Т</t>
  </si>
  <si>
    <t>1149-4 Т</t>
  </si>
  <si>
    <t>1150-4 Т</t>
  </si>
  <si>
    <t>1152-4 Т</t>
  </si>
  <si>
    <t>1153-4 Т</t>
  </si>
  <si>
    <t>1154-4 Т</t>
  </si>
  <si>
    <t>1155-4 Т</t>
  </si>
  <si>
    <t>в течение 30 календарных дней с подачи заявки</t>
  </si>
  <si>
    <t>3676-2 Т</t>
  </si>
  <si>
    <t>3677-2 Т</t>
  </si>
  <si>
    <t>3680-2 Т</t>
  </si>
  <si>
    <t>3681-2 Т</t>
  </si>
  <si>
    <t>3682-2 Т</t>
  </si>
  <si>
    <t>3688-2 Т</t>
  </si>
  <si>
    <t>3689-2 Т</t>
  </si>
  <si>
    <t>3691-2 Т</t>
  </si>
  <si>
    <t>3692-2 Т</t>
  </si>
  <si>
    <t>3693-2 Т</t>
  </si>
  <si>
    <t>3694-2 Т</t>
  </si>
  <si>
    <t>3695-2 Т</t>
  </si>
  <si>
    <t>авансовый платеж 0%, 100 % оплата в течение 30 рабочих дней со дня подписания акта приемки</t>
  </si>
  <si>
    <t>11,12,14,19,20,21</t>
  </si>
  <si>
    <t>7,11,15</t>
  </si>
  <si>
    <t>1962-4 Т</t>
  </si>
  <si>
    <t>1963-4 Т</t>
  </si>
  <si>
    <t>1685-4 Т</t>
  </si>
  <si>
    <t>1686-4 Т</t>
  </si>
  <si>
    <t>1688-4 Т</t>
  </si>
  <si>
    <t>1261-3 Т</t>
  </si>
  <si>
    <t>1262-3 Т</t>
  </si>
  <si>
    <t>1271-3 Т</t>
  </si>
  <si>
    <t>1272-3 Т</t>
  </si>
  <si>
    <t>1539-4 Т</t>
  </si>
  <si>
    <t>1554-4 Т</t>
  </si>
  <si>
    <t>1556-4 Т</t>
  </si>
  <si>
    <t>1558-4 Т</t>
  </si>
  <si>
    <t>1562-4 Т</t>
  </si>
  <si>
    <t>1574-4 Т</t>
  </si>
  <si>
    <t>1587-4 Т</t>
  </si>
  <si>
    <t>1606-4 Т</t>
  </si>
  <si>
    <t>1609-4 Т</t>
  </si>
  <si>
    <t>1616-4 Т</t>
  </si>
  <si>
    <t>1622-4 Т</t>
  </si>
  <si>
    <t>1631-4 Т</t>
  </si>
  <si>
    <t>1640-4 Т</t>
  </si>
  <si>
    <t>1642-4 Т</t>
  </si>
  <si>
    <t>2110-4 Т</t>
  </si>
  <si>
    <t>2566-4 Т</t>
  </si>
  <si>
    <t>2579-4 Т</t>
  </si>
  <si>
    <t>Приказ №519 от 03.11.2014 год.</t>
  </si>
  <si>
    <t>3854-1 Т</t>
  </si>
  <si>
    <t>15, 22</t>
  </si>
  <si>
    <t>2126-3 Т</t>
  </si>
  <si>
    <t>2755-4 Т</t>
  </si>
  <si>
    <t>3674-2 Т</t>
  </si>
  <si>
    <t>3186-4 Т</t>
  </si>
  <si>
    <t>3187-4 Т</t>
  </si>
  <si>
    <t>3189-3 Т</t>
  </si>
  <si>
    <t>3191-3 Т</t>
  </si>
  <si>
    <t>3194-4 Т</t>
  </si>
  <si>
    <t>3196-4 Т</t>
  </si>
  <si>
    <t>3197-4 Т</t>
  </si>
  <si>
    <t>3198-4 Т</t>
  </si>
  <si>
    <t>3199-4 Т</t>
  </si>
  <si>
    <t>3200-4 Т</t>
  </si>
  <si>
    <t>3201-3 Т</t>
  </si>
  <si>
    <t>3202-4 Т</t>
  </si>
  <si>
    <t>3203-4 Т</t>
  </si>
  <si>
    <t>3206-3 Т</t>
  </si>
  <si>
    <t>3211-4 Т</t>
  </si>
  <si>
    <t>3212-4 Т</t>
  </si>
  <si>
    <t>3215-4 Т</t>
  </si>
  <si>
    <t>3216-4 Т</t>
  </si>
  <si>
    <t>3222-3 Т</t>
  </si>
  <si>
    <t>3697-2 Т</t>
  </si>
  <si>
    <t>авансовый платеж -30%, оставшаяся часть в течение 30 календарных дней со дня подписания акта приемки</t>
  </si>
  <si>
    <t>3698-2 Т</t>
  </si>
  <si>
    <t xml:space="preserve">в течение 30 календарных дней с даты вступления в силу договора </t>
  </si>
  <si>
    <t>3720-2 Т</t>
  </si>
  <si>
    <t>3721-2 Т</t>
  </si>
  <si>
    <t>29.10.59.00.00.00.40.13.1</t>
  </si>
  <si>
    <t>Агрегат специальный</t>
  </si>
  <si>
    <t>для работы в полевых условиях при прокладке технологических трубопроводов, где требуется автономное питание и проведение термообработки сварных швов. В состав агрегата входят дизель-генераторная установка и установка для термической обработки сварных швов</t>
  </si>
  <si>
    <t>6,11,14,15</t>
  </si>
  <si>
    <t>3722-2 Т</t>
  </si>
  <si>
    <t>Стенд для контроля и ремонта электрооборудование автомобилей</t>
  </si>
  <si>
    <t>3723-2 Т</t>
  </si>
  <si>
    <t>Приспособление для снятие установки КПП,  автомашины Урал, КрАЗ,</t>
  </si>
  <si>
    <t>3724-2 Т</t>
  </si>
  <si>
    <t>Приспособление для снятие установки КПП,  автомашины ГАЗ, ЗиЛ</t>
  </si>
  <si>
    <t>3725-2 Т</t>
  </si>
  <si>
    <t>Приспособление для снятие установки КПП,  автомашины КамАЗ, МАЗ</t>
  </si>
  <si>
    <t>3726-3 Т</t>
  </si>
  <si>
    <t>Установка моечная</t>
  </si>
  <si>
    <t>3727-2 Т</t>
  </si>
  <si>
    <t>3728-2 Т</t>
  </si>
  <si>
    <t>3729-2 Т</t>
  </si>
  <si>
    <t>3731-2 Т</t>
  </si>
  <si>
    <t>Автобетоносмеситель  с колесной формулой 6х4</t>
  </si>
  <si>
    <t>3732-2 Т</t>
  </si>
  <si>
    <t>Автомобиль тех. помощи, с КМУ колесной формулой 6х6</t>
  </si>
  <si>
    <t>3733-2 Т</t>
  </si>
  <si>
    <t>в течение 45 кал. дней с даты заключения договора</t>
  </si>
  <si>
    <t>3,5,14,18,20,21</t>
  </si>
  <si>
    <t>3734-2 Т</t>
  </si>
  <si>
    <t>28.92.26.00.00.00.01.00.1</t>
  </si>
  <si>
    <t>Экскаватор на пневмоколесном ходу</t>
  </si>
  <si>
    <t>3735-3 Т</t>
  </si>
  <si>
    <t>авансовый платеж - 30%, оставшаяся часть  в течении 30 календарных  дней со дня оформления акта приемки</t>
  </si>
  <si>
    <t>Трактор-тягач с колесной формулой 4х4</t>
  </si>
  <si>
    <t>3901 Т</t>
  </si>
  <si>
    <t>3902 Т</t>
  </si>
  <si>
    <t>3903 Т</t>
  </si>
  <si>
    <t>3904 Т</t>
  </si>
  <si>
    <t>28.41.21.00.00.00.10.15.1</t>
  </si>
  <si>
    <t>станок токарный металлорежущий</t>
  </si>
  <si>
    <t>станок токарный горизонтальный без числового программного управления многоцелевой (процессор или инструментальный станок)</t>
  </si>
  <si>
    <t>Токарно-винторезный станок</t>
  </si>
  <si>
    <t>Стенд для ремонта и испытания радиаторов</t>
  </si>
  <si>
    <t>28.99.39.00.00.08.11.01.1</t>
  </si>
  <si>
    <t>Стенд</t>
  </si>
  <si>
    <t>Стенд для испытаний, регулировки и диагностики топливных насосов высокого давления</t>
  </si>
  <si>
    <t>Стенд для испытания, регулировки и ремонта ТНВД</t>
  </si>
  <si>
    <t>31.09.11.00.00.00.45.14.1</t>
  </si>
  <si>
    <t>Верстак</t>
  </si>
  <si>
    <t>Верстак двухтумбовый слесарный, металлический</t>
  </si>
  <si>
    <t>3906 Т</t>
  </si>
  <si>
    <t>Сверхмощное высокопроизводительное абразивно-отрезное устройство с долговечным воздушным фильтром с циклонной предварительной очисткой.</t>
  </si>
  <si>
    <t>276-5 Т</t>
  </si>
  <si>
    <t>3900-1 Т</t>
  </si>
  <si>
    <t>256 -4 Т</t>
  </si>
  <si>
    <t>257-4 Т</t>
  </si>
  <si>
    <t>258-3 Т</t>
  </si>
  <si>
    <t>245-5 Т</t>
  </si>
  <si>
    <t>251-5 Т</t>
  </si>
  <si>
    <t>3527-4 Т</t>
  </si>
  <si>
    <t>3566-2 Т</t>
  </si>
  <si>
    <t>в течение 10 дней с даты заключения договора</t>
  </si>
  <si>
    <t>3,4,5,6,8,11,15,22</t>
  </si>
  <si>
    <t>Агрегат дизельный  мощность  10,8 квт (13,5ква) напряжение  220/380в</t>
  </si>
  <si>
    <t>61-2 Р</t>
  </si>
  <si>
    <t>96.09.19.90.21.13.20</t>
  </si>
  <si>
    <t>Работы по изготовлению и монтажу металлических конструкций</t>
  </si>
  <si>
    <t>62-2 Р</t>
  </si>
  <si>
    <t xml:space="preserve">ноябрь-декабрь </t>
  </si>
  <si>
    <t>3907 Т</t>
  </si>
  <si>
    <t>авансовый платеж 0%, 100% по факту поставки товара в течение 30 рабочих дней</t>
  </si>
  <si>
    <t>76-6 Т</t>
  </si>
  <si>
    <t>январь, июль, ноябрь</t>
  </si>
  <si>
    <t>77-6 Т</t>
  </si>
  <si>
    <t>83-3 Т</t>
  </si>
  <si>
    <t>86-5 Т</t>
  </si>
  <si>
    <t>89-5 Т</t>
  </si>
  <si>
    <t>93-5 Т</t>
  </si>
  <si>
    <t>103-3 Т</t>
  </si>
  <si>
    <t>март-апрель, июль, ноябрь</t>
  </si>
  <si>
    <t>108-3 Т</t>
  </si>
  <si>
    <t>110-2 Т</t>
  </si>
  <si>
    <t>112-2 Т</t>
  </si>
  <si>
    <t>524-4 Т</t>
  </si>
  <si>
    <t>3302-3 Т</t>
  </si>
  <si>
    <t>в течение 20 дней с даты заключения договора, по заявкам</t>
  </si>
  <si>
    <t>2896-2 Т</t>
  </si>
  <si>
    <t>РК, Мангистауская обл, г: Актау  23 мкр.офис ТОО "ОСС" , м/р Каламкас, м/р Жетыбай</t>
  </si>
  <si>
    <t>Приказ №525 от 07.11.2014 год.</t>
  </si>
  <si>
    <t>11,15,19,20,21,22</t>
  </si>
  <si>
    <t>71-2 Т</t>
  </si>
  <si>
    <t>март, июль, ноябрь</t>
  </si>
  <si>
    <t>73-5 Т</t>
  </si>
  <si>
    <t xml:space="preserve">июль, август, сентябрь, ноябрь </t>
  </si>
  <si>
    <t>7,8,15,19,20,21</t>
  </si>
  <si>
    <t>3908 Т</t>
  </si>
  <si>
    <t>29.10.13.00.00.00.11.16.1</t>
  </si>
  <si>
    <t>дизельный, 6 цилиндровый, с рядным расположением цилиндров, мощностью более 362 л.с., но не более 390 л.с.</t>
  </si>
  <si>
    <t>двигатель WD 615.46 (1комплектации, 372 л/с, со стартером, XGMG QY50K)</t>
  </si>
  <si>
    <t>3909 Т</t>
  </si>
  <si>
    <t>вал коленчатый 6ISBe3974538/4934862 (ДВС 6ISBe 4300)</t>
  </si>
  <si>
    <t>3910 Т</t>
  </si>
  <si>
    <t>вкладыши коренныеДВС 6ISBe 4300 (стандарт)</t>
  </si>
  <si>
    <t>3911 Т</t>
  </si>
  <si>
    <t>вкладыши шатунные ДВС 6ISBe 4300 (стандарт)</t>
  </si>
  <si>
    <t>3912 Т</t>
  </si>
  <si>
    <t>ремкомплектДВС 6ISBe 4300</t>
  </si>
  <si>
    <t>182-3 У</t>
  </si>
  <si>
    <t>РК, г.Актау</t>
  </si>
  <si>
    <t>«Информационная система электронных закупок в группе компаний АО «Самрук-Казына» Новые изменения по форме отчетности, вопросам закупок и методики расчета местного содержания в 2015 г»</t>
  </si>
  <si>
    <t>6,12,20,21</t>
  </si>
  <si>
    <t>229 У</t>
  </si>
  <si>
    <t>Обучение на тему:Социальное партнерство</t>
  </si>
  <si>
    <t>РК,  г.Актау</t>
  </si>
  <si>
    <t>33-2 Р</t>
  </si>
  <si>
    <t>142-4 У</t>
  </si>
  <si>
    <t>3880-1 Т</t>
  </si>
  <si>
    <t>двигатель ЗМЗ-409.10</t>
  </si>
  <si>
    <t>3881-1 Т</t>
  </si>
  <si>
    <t xml:space="preserve">коробка переменных передач  "УАЗ-315196"  </t>
  </si>
  <si>
    <t>3882-1 Т</t>
  </si>
  <si>
    <t xml:space="preserve">мост  передний с тормозами и ступицами в сборе"УАЗ-315196"  </t>
  </si>
  <si>
    <t>3883-1 Т</t>
  </si>
  <si>
    <t xml:space="preserve">мост задний "УАЗ-315196" с тормозами и ступицами в сборе </t>
  </si>
  <si>
    <t>3736-2 Т</t>
  </si>
</sst>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0.0"/>
    <numFmt numFmtId="198" formatCode="0.0"/>
    <numFmt numFmtId="199" formatCode="_-* #,##0_р_._-;\-* #,##0_р_._-;_-* &quot;-&quot;??_р_._-;_-@_-"/>
    <numFmt numFmtId="200" formatCode="#,##0_р_."/>
    <numFmt numFmtId="201" formatCode="#,##0.00_р_."/>
    <numFmt numFmtId="202" formatCode="#,##0.00_ ;\-#,##0.00\ "/>
    <numFmt numFmtId="203" formatCode="\ #,##0&quot;    &quot;;\-#,##0&quot;    &quot;;&quot; -&quot;#&quot;    &quot;;@\ "/>
    <numFmt numFmtId="204" formatCode="#,##0.000"/>
    <numFmt numFmtId="205" formatCode="#,##0.0000"/>
    <numFmt numFmtId="206" formatCode="0.000"/>
    <numFmt numFmtId="207" formatCode="#,##0.00000"/>
    <numFmt numFmtId="208" formatCode="0.0000"/>
  </numFmts>
  <fonts count="100">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1"/>
      <color theme="1"/>
      <name val="Calibri"/>
      <family val="2"/>
      <charset val="204"/>
    </font>
    <font>
      <sz val="10"/>
      <name val="MS Sans Serif"/>
      <family val="2"/>
    </font>
    <font>
      <b/>
      <sz val="10"/>
      <name val="Times New Roman"/>
      <family val="1"/>
      <charset val="204"/>
    </font>
    <font>
      <sz val="10"/>
      <name val="Times New Roman"/>
      <family val="1"/>
      <charset val="204"/>
    </font>
    <font>
      <sz val="8"/>
      <name val="Arial"/>
      <family val="2"/>
      <charset val="204"/>
    </font>
    <font>
      <i/>
      <sz val="10"/>
      <name val="Times New Roman"/>
      <family val="1"/>
      <charset val="204"/>
    </font>
    <font>
      <b/>
      <u/>
      <sz val="10"/>
      <name val="Times New Roman"/>
      <family val="1"/>
      <charset val="204"/>
    </font>
    <font>
      <b/>
      <sz val="14"/>
      <name val="Times New Roman"/>
      <family val="1"/>
      <charset val="204"/>
    </font>
    <font>
      <sz val="8"/>
      <name val="Times New Roman"/>
      <family val="1"/>
      <charset val="204"/>
    </font>
    <font>
      <b/>
      <sz val="12"/>
      <name val="Times New Roman"/>
      <family val="1"/>
      <charset val="204"/>
    </font>
    <font>
      <b/>
      <sz val="11"/>
      <name val="Times New Roman"/>
      <family val="1"/>
      <charset val="204"/>
    </font>
    <font>
      <u/>
      <sz val="12"/>
      <name val="Times New Roman"/>
      <family val="1"/>
      <charset val="204"/>
    </font>
    <font>
      <b/>
      <u/>
      <sz val="12"/>
      <name val="Times New Roman"/>
      <family val="1"/>
      <charset val="204"/>
    </font>
    <font>
      <sz val="10"/>
      <color rgb="FFFF0000"/>
      <name val="Times New Roman"/>
      <family val="1"/>
      <charset val="204"/>
    </font>
    <font>
      <sz val="10"/>
      <color indexed="8"/>
      <name val="Times New Roman"/>
      <family val="1"/>
      <charset val="204"/>
    </font>
    <font>
      <sz val="10"/>
      <color theme="1"/>
      <name val="Times New Roman"/>
      <family val="1"/>
      <charset val="204"/>
    </font>
    <font>
      <sz val="8"/>
      <color rgb="FF000000"/>
      <name val="Tahoma"/>
      <family val="2"/>
      <charset val="204"/>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rgb="FF000000"/>
      </patternFill>
    </fill>
  </fills>
  <borders count="43">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hair">
        <color indexed="64"/>
      </bottom>
      <diagonal/>
    </border>
    <border>
      <left/>
      <right style="thin">
        <color indexed="64"/>
      </right>
      <top style="thin">
        <color indexed="64"/>
      </top>
      <bottom/>
      <diagonal/>
    </border>
  </borders>
  <cellStyleXfs count="590">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0" fontId="62" fillId="0" borderId="0" applyNumberFormat="0" applyFill="0" applyBorder="0" applyAlignment="0" applyProtection="0">
      <alignment vertical="top"/>
      <protection locked="0"/>
    </xf>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26" fillId="0" borderId="0"/>
    <xf numFmtId="0" fontId="26" fillId="0" borderId="0"/>
    <xf numFmtId="0" fontId="84" fillId="0" borderId="0"/>
    <xf numFmtId="0" fontId="83"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43" fontId="30" fillId="0" borderId="0" applyFont="0" applyFill="0" applyBorder="0" applyAlignment="0" applyProtection="0"/>
    <xf numFmtId="0" fontId="5" fillId="0" borderId="0"/>
    <xf numFmtId="0" fontId="83" fillId="0" borderId="0"/>
    <xf numFmtId="0" fontId="83" fillId="0" borderId="0"/>
    <xf numFmtId="167" fontId="3" fillId="0" borderId="0" applyFont="0" applyFill="0" applyBorder="0" applyAlignment="0" applyProtection="0"/>
    <xf numFmtId="0" fontId="44" fillId="0" borderId="0"/>
    <xf numFmtId="0" fontId="83"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0" fontId="25" fillId="0" borderId="0"/>
    <xf numFmtId="43" fontId="25" fillId="0" borderId="0" applyFont="0" applyFill="0" applyBorder="0" applyAlignment="0" applyProtection="0"/>
    <xf numFmtId="0" fontId="25" fillId="0" borderId="0"/>
    <xf numFmtId="0" fontId="4" fillId="0" borderId="0"/>
    <xf numFmtId="0" fontId="87" fillId="0" borderId="0">
      <alignment horizontal="left"/>
    </xf>
    <xf numFmtId="0" fontId="25" fillId="0" borderId="0"/>
    <xf numFmtId="0" fontId="81" fillId="0" borderId="0"/>
    <xf numFmtId="0" fontId="81" fillId="0" borderId="0"/>
    <xf numFmtId="0" fontId="25" fillId="0" borderId="0"/>
    <xf numFmtId="0" fontId="4"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25" fillId="0" borderId="0"/>
  </cellStyleXfs>
  <cellXfs count="375">
    <xf numFmtId="0" fontId="0" fillId="0" borderId="0" xfId="0"/>
    <xf numFmtId="4" fontId="86" fillId="69" borderId="11" xfId="0" applyNumberFormat="1" applyFont="1" applyFill="1" applyBorder="1" applyAlignment="1">
      <alignment horizontal="center" vertical="center"/>
    </xf>
    <xf numFmtId="4" fontId="86" fillId="69" borderId="11" xfId="1" applyNumberFormat="1" applyFont="1" applyFill="1" applyBorder="1" applyAlignment="1">
      <alignment horizontal="center" vertical="center" wrapText="1"/>
    </xf>
    <xf numFmtId="0" fontId="86" fillId="69" borderId="11" xfId="0" applyFont="1" applyFill="1" applyBorder="1" applyAlignment="1">
      <alignment horizontal="center" vertical="center"/>
    </xf>
    <xf numFmtId="3" fontId="86" fillId="69" borderId="11" xfId="0" applyNumberFormat="1" applyFont="1" applyFill="1" applyBorder="1" applyAlignment="1">
      <alignment horizontal="center" vertical="center"/>
    </xf>
    <xf numFmtId="3"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center" vertical="center" wrapText="1"/>
    </xf>
    <xf numFmtId="0" fontId="86" fillId="69" borderId="11" xfId="566" applyFont="1" applyFill="1" applyBorder="1" applyAlignment="1" applyProtection="1">
      <alignment horizontal="center" vertical="center" wrapText="1"/>
    </xf>
    <xf numFmtId="0" fontId="86" fillId="69" borderId="11" xfId="329" applyFont="1" applyFill="1" applyBorder="1" applyAlignment="1" applyProtection="1">
      <alignment horizontal="center" vertical="center" wrapText="1"/>
      <protection hidden="1"/>
    </xf>
    <xf numFmtId="0" fontId="86" fillId="69" borderId="11" xfId="565" applyFont="1" applyFill="1" applyBorder="1" applyAlignment="1" applyProtection="1">
      <alignment horizontal="center" vertical="center" wrapText="1"/>
      <protection hidden="1"/>
    </xf>
    <xf numFmtId="0" fontId="86" fillId="69" borderId="11" xfId="570" applyFont="1" applyFill="1" applyBorder="1" applyAlignment="1">
      <alignment horizontal="center" vertical="center"/>
    </xf>
    <xf numFmtId="0" fontId="86" fillId="69" borderId="35" xfId="0" applyFont="1" applyFill="1" applyBorder="1" applyAlignment="1">
      <alignment horizontal="center" vertical="center" wrapText="1"/>
    </xf>
    <xf numFmtId="0" fontId="86" fillId="69" borderId="11" xfId="300" applyFont="1" applyFill="1" applyBorder="1" applyAlignment="1">
      <alignment horizontal="center" vertical="center" wrapText="1"/>
    </xf>
    <xf numFmtId="3" fontId="86" fillId="69" borderId="11" xfId="1" applyNumberFormat="1" applyFont="1" applyFill="1" applyBorder="1" applyAlignment="1">
      <alignment horizontal="center" vertical="center" wrapText="1"/>
    </xf>
    <xf numFmtId="0" fontId="86" fillId="69" borderId="11" xfId="0" applyFont="1" applyFill="1" applyBorder="1" applyAlignment="1">
      <alignment horizontal="left" vertical="center" wrapText="1"/>
    </xf>
    <xf numFmtId="0" fontId="86" fillId="69" borderId="11" xfId="278" applyFont="1" applyFill="1" applyBorder="1" applyAlignment="1">
      <alignment horizontal="center" vertical="center" wrapText="1"/>
    </xf>
    <xf numFmtId="0" fontId="86" fillId="70" borderId="11" xfId="0" applyFont="1" applyFill="1" applyBorder="1" applyAlignment="1">
      <alignment horizontal="center" vertical="center" wrapText="1"/>
    </xf>
    <xf numFmtId="0" fontId="86" fillId="69" borderId="11" xfId="579" applyFont="1" applyFill="1" applyBorder="1" applyAlignment="1">
      <alignment horizontal="center" vertical="center" wrapText="1"/>
    </xf>
    <xf numFmtId="1" fontId="86" fillId="69" borderId="11" xfId="0" applyNumberFormat="1" applyFont="1" applyFill="1" applyBorder="1" applyAlignment="1">
      <alignment horizontal="center" vertical="center"/>
    </xf>
    <xf numFmtId="1" fontId="86" fillId="69" borderId="11" xfId="564" applyNumberFormat="1" applyFont="1" applyFill="1" applyBorder="1" applyAlignment="1" applyProtection="1">
      <alignment horizontal="center" vertical="center"/>
      <protection hidden="1"/>
    </xf>
    <xf numFmtId="1" fontId="86" fillId="69" borderId="11" xfId="565" applyNumberFormat="1" applyFont="1" applyFill="1" applyBorder="1" applyAlignment="1" applyProtection="1">
      <alignment horizontal="center" vertical="center" wrapText="1"/>
      <protection hidden="1"/>
    </xf>
    <xf numFmtId="1" fontId="86" fillId="69" borderId="11" xfId="569" applyNumberFormat="1" applyFont="1" applyFill="1" applyBorder="1" applyAlignment="1" applyProtection="1">
      <alignment horizontal="center" vertical="center"/>
    </xf>
    <xf numFmtId="1" fontId="86" fillId="69" borderId="11" xfId="0" applyNumberFormat="1" applyFont="1" applyFill="1" applyBorder="1" applyAlignment="1">
      <alignment horizontal="center" vertical="center" wrapText="1"/>
    </xf>
    <xf numFmtId="1" fontId="86" fillId="69" borderId="11" xfId="565" applyNumberFormat="1" applyFont="1" applyFill="1" applyBorder="1" applyAlignment="1" applyProtection="1">
      <alignment horizontal="center" vertical="center"/>
      <protection locked="0" hidden="1"/>
    </xf>
    <xf numFmtId="0" fontId="86" fillId="69" borderId="11" xfId="560" applyNumberFormat="1" applyFont="1" applyFill="1" applyBorder="1" applyAlignment="1">
      <alignment horizontal="center" vertical="center" wrapText="1"/>
    </xf>
    <xf numFmtId="0" fontId="86" fillId="69" borderId="11" xfId="523" applyNumberFormat="1" applyFont="1" applyFill="1" applyBorder="1" applyAlignment="1">
      <alignment horizontal="center" vertical="center" wrapText="1"/>
    </xf>
    <xf numFmtId="0" fontId="86" fillId="69" borderId="11" xfId="565" applyFont="1" applyFill="1" applyBorder="1" applyAlignment="1" applyProtection="1">
      <alignment horizontal="center" vertical="center"/>
      <protection locked="0" hidden="1"/>
    </xf>
    <xf numFmtId="0" fontId="86" fillId="69" borderId="11" xfId="565" applyFont="1" applyFill="1" applyBorder="1" applyAlignment="1" applyProtection="1">
      <alignment horizontal="center" vertical="center"/>
      <protection hidden="1"/>
    </xf>
    <xf numFmtId="0" fontId="86" fillId="69" borderId="11" xfId="0" applyFont="1" applyFill="1" applyBorder="1" applyAlignment="1" applyProtection="1">
      <alignment horizontal="center" vertical="center"/>
      <protection hidden="1"/>
    </xf>
    <xf numFmtId="0" fontId="86" fillId="69" borderId="11" xfId="329" applyFont="1" applyFill="1" applyBorder="1" applyAlignment="1" applyProtection="1">
      <alignment horizontal="center" vertical="center"/>
      <protection hidden="1"/>
    </xf>
    <xf numFmtId="0" fontId="86" fillId="69" borderId="11" xfId="0" applyFont="1" applyFill="1" applyBorder="1" applyAlignment="1" applyProtection="1">
      <alignment horizontal="center" vertical="center" wrapText="1"/>
      <protection hidden="1"/>
    </xf>
    <xf numFmtId="0" fontId="86" fillId="69" borderId="11" xfId="564" applyFont="1" applyFill="1" applyBorder="1" applyAlignment="1" applyProtection="1">
      <alignment horizontal="center" vertical="center"/>
      <protection hidden="1"/>
    </xf>
    <xf numFmtId="3" fontId="86" fillId="69" borderId="11" xfId="564" applyNumberFormat="1" applyFont="1" applyFill="1" applyBorder="1" applyAlignment="1" applyProtection="1">
      <alignment horizontal="center" vertical="center"/>
      <protection hidden="1"/>
    </xf>
    <xf numFmtId="3" fontId="86" fillId="69" borderId="11" xfId="0" applyNumberFormat="1" applyFont="1" applyFill="1" applyBorder="1" applyAlignment="1" applyProtection="1">
      <alignment horizontal="center" vertical="center"/>
      <protection hidden="1"/>
    </xf>
    <xf numFmtId="3" fontId="86" fillId="69" borderId="11" xfId="565" applyNumberFormat="1" applyFont="1" applyFill="1" applyBorder="1" applyAlignment="1" applyProtection="1">
      <alignment horizontal="center" vertical="center"/>
      <protection locked="0" hidden="1"/>
    </xf>
    <xf numFmtId="3" fontId="86" fillId="69" borderId="11" xfId="0" applyNumberFormat="1" applyFont="1" applyFill="1" applyBorder="1" applyAlignment="1" applyProtection="1">
      <alignment horizontal="center" vertical="center" wrapText="1"/>
      <protection hidden="1"/>
    </xf>
    <xf numFmtId="3" fontId="86" fillId="69" borderId="11" xfId="564" applyNumberFormat="1"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protection hidden="1"/>
    </xf>
    <xf numFmtId="3" fontId="86" fillId="69" borderId="11" xfId="564" applyNumberFormat="1" applyFont="1" applyFill="1" applyBorder="1" applyAlignment="1" applyProtection="1">
      <alignment horizontal="center" vertical="center" wrapText="1"/>
      <protection hidden="1"/>
    </xf>
    <xf numFmtId="3" fontId="86" fillId="69" borderId="11" xfId="565" applyNumberFormat="1" applyFont="1" applyFill="1" applyBorder="1" applyAlignment="1" applyProtection="1">
      <alignment horizontal="center" vertical="center"/>
      <protection hidden="1"/>
    </xf>
    <xf numFmtId="3" fontId="86" fillId="69" borderId="11" xfId="329" applyNumberFormat="1" applyFont="1" applyFill="1" applyBorder="1" applyAlignment="1" applyProtection="1">
      <alignment horizontal="center" vertical="center"/>
      <protection hidden="1"/>
    </xf>
    <xf numFmtId="49" fontId="86" fillId="69" borderId="11" xfId="584" applyNumberFormat="1" applyFont="1" applyFill="1" applyBorder="1" applyAlignment="1">
      <alignment horizontal="center" vertical="center" wrapText="1"/>
    </xf>
    <xf numFmtId="0" fontId="86" fillId="69" borderId="11" xfId="581" applyFont="1" applyFill="1" applyBorder="1" applyAlignment="1">
      <alignment horizontal="center" vertical="center" wrapText="1"/>
    </xf>
    <xf numFmtId="0" fontId="86" fillId="69" borderId="11" xfId="577" applyFont="1" applyFill="1" applyBorder="1" applyAlignment="1">
      <alignment horizontal="center" vertical="center" wrapText="1"/>
    </xf>
    <xf numFmtId="0" fontId="86" fillId="69" borderId="11" xfId="284" applyNumberFormat="1" applyFont="1" applyFill="1" applyBorder="1" applyAlignment="1">
      <alignment horizontal="center" vertical="center" wrapText="1"/>
    </xf>
    <xf numFmtId="0" fontId="86" fillId="69" borderId="11" xfId="586" applyNumberFormat="1" applyFont="1" applyFill="1" applyBorder="1" applyAlignment="1" applyProtection="1">
      <alignment horizontal="center" vertical="center" wrapText="1"/>
      <protection hidden="1"/>
    </xf>
    <xf numFmtId="0" fontId="86" fillId="69" borderId="11" xfId="578" applyNumberFormat="1" applyFont="1" applyFill="1" applyBorder="1" applyAlignment="1" applyProtection="1">
      <alignment horizontal="center" vertical="center" wrapText="1"/>
      <protection hidden="1"/>
    </xf>
    <xf numFmtId="49" fontId="86" fillId="69" borderId="11" xfId="284" applyNumberFormat="1" applyFont="1" applyFill="1" applyBorder="1" applyAlignment="1">
      <alignment horizontal="center" vertical="center" wrapText="1"/>
    </xf>
    <xf numFmtId="0" fontId="86" fillId="69" borderId="11" xfId="566" applyNumberFormat="1" applyFont="1" applyFill="1" applyBorder="1" applyAlignment="1" applyProtection="1">
      <alignment horizontal="center" vertical="center" wrapText="1"/>
      <protection hidden="1"/>
    </xf>
    <xf numFmtId="0" fontId="86" fillId="69" borderId="11" xfId="330" applyNumberFormat="1" applyFont="1" applyFill="1" applyBorder="1" applyAlignment="1" applyProtection="1">
      <alignment horizontal="center" vertical="center" wrapText="1"/>
      <protection hidden="1"/>
    </xf>
    <xf numFmtId="197" fontId="86" fillId="69" borderId="11" xfId="0" applyNumberFormat="1" applyFont="1" applyFill="1" applyBorder="1" applyAlignment="1">
      <alignment horizontal="center" vertical="center"/>
    </xf>
    <xf numFmtId="2" fontId="86" fillId="69" borderId="11" xfId="0" applyNumberFormat="1" applyFont="1" applyFill="1" applyBorder="1" applyAlignment="1">
      <alignment horizontal="center" vertical="center"/>
    </xf>
    <xf numFmtId="0" fontId="86" fillId="69" borderId="11" xfId="280" applyFont="1" applyFill="1" applyBorder="1" applyAlignment="1">
      <alignment horizontal="center" vertical="center" wrapText="1"/>
    </xf>
    <xf numFmtId="0" fontId="86" fillId="69" borderId="11" xfId="564" applyNumberFormat="1" applyFont="1" applyFill="1" applyBorder="1" applyAlignment="1" applyProtection="1">
      <alignment horizontal="center" vertical="center" wrapText="1"/>
      <protection hidden="1"/>
    </xf>
    <xf numFmtId="9" fontId="86" fillId="69" borderId="11" xfId="0" applyNumberFormat="1" applyFont="1" applyFill="1" applyBorder="1" applyAlignment="1">
      <alignment horizontal="center" vertical="center"/>
    </xf>
    <xf numFmtId="0" fontId="86" fillId="71" borderId="11" xfId="0" applyFont="1" applyFill="1" applyBorder="1" applyAlignment="1">
      <alignment horizontal="center" vertical="center" wrapText="1"/>
    </xf>
    <xf numFmtId="0" fontId="86" fillId="70" borderId="11" xfId="278" applyFont="1" applyFill="1" applyBorder="1" applyAlignment="1">
      <alignment horizontal="center" vertical="center" wrapText="1"/>
    </xf>
    <xf numFmtId="0" fontId="86" fillId="69" borderId="11" xfId="566" applyFont="1" applyFill="1" applyBorder="1" applyAlignment="1" applyProtection="1">
      <alignment horizontal="center" vertical="center" wrapText="1"/>
      <protection hidden="1"/>
    </xf>
    <xf numFmtId="49" fontId="86" fillId="69" borderId="11" xfId="0" applyNumberFormat="1" applyFont="1" applyFill="1" applyBorder="1" applyAlignment="1">
      <alignment horizontal="center" vertical="center"/>
    </xf>
    <xf numFmtId="4" fontId="86" fillId="69" borderId="11" xfId="567" applyNumberFormat="1" applyFont="1" applyFill="1" applyBorder="1" applyAlignment="1">
      <alignment horizontal="center" vertical="center" wrapText="1"/>
    </xf>
    <xf numFmtId="4" fontId="86" fillId="69" borderId="11" xfId="1" applyNumberFormat="1" applyFont="1" applyFill="1" applyBorder="1" applyAlignment="1">
      <alignment horizontal="center" vertical="center"/>
    </xf>
    <xf numFmtId="0" fontId="86" fillId="70" borderId="11" xfId="280" applyFont="1" applyFill="1" applyBorder="1" applyAlignment="1">
      <alignment horizontal="center" vertical="center" wrapText="1"/>
    </xf>
    <xf numFmtId="0" fontId="86" fillId="70" borderId="11" xfId="278" applyFont="1" applyFill="1" applyBorder="1" applyAlignment="1">
      <alignment vertical="center" wrapText="1"/>
    </xf>
    <xf numFmtId="197" fontId="86" fillId="69" borderId="11" xfId="0" applyNumberFormat="1" applyFont="1" applyFill="1" applyBorder="1" applyAlignment="1">
      <alignment horizontal="center" vertical="center" wrapText="1"/>
    </xf>
    <xf numFmtId="49" fontId="86" fillId="69" borderId="11" xfId="0" applyNumberFormat="1" applyFont="1" applyFill="1" applyBorder="1" applyAlignment="1">
      <alignment horizontal="center" vertical="center" wrapText="1"/>
    </xf>
    <xf numFmtId="0" fontId="86" fillId="69" borderId="11" xfId="0" applyFont="1" applyFill="1" applyBorder="1" applyAlignment="1">
      <alignment vertical="center" wrapText="1"/>
    </xf>
    <xf numFmtId="0" fontId="86" fillId="69" borderId="11" xfId="278" applyNumberFormat="1" applyFont="1" applyFill="1" applyBorder="1" applyAlignment="1">
      <alignment horizontal="center" vertical="center" wrapText="1"/>
    </xf>
    <xf numFmtId="9" fontId="86" fillId="70" borderId="11" xfId="278" applyNumberFormat="1" applyFont="1" applyFill="1" applyBorder="1" applyAlignment="1">
      <alignment horizontal="center" vertical="center"/>
    </xf>
    <xf numFmtId="3" fontId="86" fillId="69" borderId="11" xfId="567" applyNumberFormat="1" applyFont="1" applyFill="1" applyBorder="1" applyAlignment="1">
      <alignment horizontal="center" vertical="center" wrapText="1"/>
    </xf>
    <xf numFmtId="0" fontId="86" fillId="69" borderId="11" xfId="588" applyFont="1" applyFill="1" applyBorder="1" applyAlignment="1">
      <alignment horizontal="center" vertical="center"/>
    </xf>
    <xf numFmtId="0" fontId="86" fillId="70" borderId="11" xfId="577" applyNumberFormat="1" applyFont="1" applyFill="1" applyBorder="1" applyAlignment="1" applyProtection="1">
      <alignment horizontal="center" vertical="center" wrapText="1"/>
      <protection hidden="1"/>
    </xf>
    <xf numFmtId="4" fontId="86" fillId="70" borderId="11" xfId="360" applyNumberFormat="1" applyFont="1" applyFill="1" applyBorder="1" applyAlignment="1" applyProtection="1">
      <alignment horizontal="center" vertical="center" wrapText="1"/>
    </xf>
    <xf numFmtId="0" fontId="86" fillId="69" borderId="11" xfId="278" applyFont="1" applyFill="1" applyBorder="1" applyAlignment="1">
      <alignment horizontal="center" vertical="center"/>
    </xf>
    <xf numFmtId="198" fontId="86" fillId="69" borderId="11" xfId="278" applyNumberFormat="1" applyFont="1" applyFill="1" applyBorder="1" applyAlignment="1">
      <alignment horizontal="center" vertical="center"/>
    </xf>
    <xf numFmtId="4" fontId="86" fillId="69" borderId="11" xfId="362" applyNumberFormat="1" applyFont="1" applyFill="1" applyBorder="1" applyAlignment="1">
      <alignment horizontal="center" vertical="center" wrapText="1"/>
    </xf>
    <xf numFmtId="4" fontId="86" fillId="69" borderId="11" xfId="360" applyNumberFormat="1" applyFont="1" applyFill="1" applyBorder="1" applyAlignment="1" applyProtection="1">
      <alignment horizontal="center" vertical="center" wrapText="1"/>
    </xf>
    <xf numFmtId="0" fontId="86" fillId="69" borderId="11" xfId="577" applyNumberFormat="1" applyFont="1" applyFill="1" applyBorder="1" applyAlignment="1" applyProtection="1">
      <alignment horizontal="center" vertical="center" wrapText="1"/>
      <protection hidden="1"/>
    </xf>
    <xf numFmtId="1" fontId="86" fillId="69" borderId="11" xfId="280" applyNumberFormat="1" applyFont="1" applyFill="1" applyBorder="1" applyAlignment="1">
      <alignment horizontal="center" vertical="center" wrapText="1"/>
    </xf>
    <xf numFmtId="0" fontId="86" fillId="69" borderId="11" xfId="290" applyFont="1" applyFill="1" applyBorder="1" applyAlignment="1">
      <alignment horizontal="center" vertical="center" wrapText="1"/>
    </xf>
    <xf numFmtId="0" fontId="86" fillId="70" borderId="11" xfId="278" applyFont="1" applyFill="1" applyBorder="1" applyAlignment="1">
      <alignment horizontal="center" vertical="center"/>
    </xf>
    <xf numFmtId="0" fontId="86" fillId="69" borderId="11" xfId="278" applyFont="1" applyFill="1" applyBorder="1" applyAlignment="1">
      <alignment vertical="center" wrapText="1"/>
    </xf>
    <xf numFmtId="0" fontId="86" fillId="69" borderId="11" xfId="0" applyFont="1" applyFill="1" applyBorder="1" applyAlignment="1">
      <alignment horizontal="left" vertical="center"/>
    </xf>
    <xf numFmtId="1" fontId="86" fillId="70" borderId="11" xfId="564" applyNumberFormat="1" applyFont="1" applyFill="1" applyBorder="1" applyAlignment="1" applyProtection="1">
      <alignment horizontal="center" vertical="center" wrapText="1"/>
      <protection hidden="1"/>
    </xf>
    <xf numFmtId="1" fontId="86" fillId="70" borderId="11" xfId="360" applyNumberFormat="1" applyFont="1" applyFill="1" applyBorder="1" applyAlignment="1" applyProtection="1">
      <alignment horizontal="center" vertical="center" wrapText="1"/>
    </xf>
    <xf numFmtId="0" fontId="86" fillId="69" borderId="11" xfId="0" applyFont="1" applyFill="1" applyBorder="1" applyAlignment="1">
      <alignment horizontal="left" vertical="top" wrapText="1"/>
    </xf>
    <xf numFmtId="0" fontId="86" fillId="69" borderId="11" xfId="290" applyFont="1" applyFill="1" applyBorder="1" applyAlignment="1">
      <alignment vertical="center" wrapText="1"/>
    </xf>
    <xf numFmtId="1" fontId="86" fillId="70" borderId="11" xfId="280" applyNumberFormat="1" applyFont="1" applyFill="1" applyBorder="1" applyAlignment="1">
      <alignment horizontal="center" vertical="center" wrapText="1"/>
    </xf>
    <xf numFmtId="0" fontId="86" fillId="70" borderId="11" xfId="564" applyNumberFormat="1" applyFont="1" applyFill="1" applyBorder="1" applyAlignment="1" applyProtection="1">
      <alignment horizontal="center" vertical="center" wrapText="1"/>
      <protection hidden="1"/>
    </xf>
    <xf numFmtId="2" fontId="86" fillId="70" borderId="11" xfId="360" applyNumberFormat="1" applyFont="1" applyFill="1" applyBorder="1" applyAlignment="1" applyProtection="1">
      <alignment horizontal="center" vertical="center" wrapText="1"/>
    </xf>
    <xf numFmtId="2" fontId="86" fillId="69" borderId="11" xfId="0" applyNumberFormat="1" applyFont="1" applyFill="1" applyBorder="1" applyAlignment="1">
      <alignment horizontal="center" vertical="center" wrapText="1"/>
    </xf>
    <xf numFmtId="0" fontId="86" fillId="69" borderId="11" xfId="589" applyFont="1" applyFill="1" applyBorder="1" applyAlignment="1">
      <alignment horizontal="center" vertical="center" wrapText="1"/>
    </xf>
    <xf numFmtId="3" fontId="86" fillId="69" borderId="11" xfId="589" applyNumberFormat="1" applyFont="1" applyFill="1" applyBorder="1" applyAlignment="1">
      <alignment horizontal="center" vertical="center"/>
    </xf>
    <xf numFmtId="2" fontId="86" fillId="69" borderId="11" xfId="0" applyNumberFormat="1" applyFont="1" applyFill="1" applyBorder="1" applyAlignment="1">
      <alignment vertical="center" wrapText="1"/>
    </xf>
    <xf numFmtId="0" fontId="86" fillId="69" borderId="11" xfId="554" applyFont="1" applyFill="1" applyBorder="1" applyAlignment="1">
      <alignment horizontal="center" vertical="center" wrapText="1"/>
    </xf>
    <xf numFmtId="0" fontId="86" fillId="69" borderId="11" xfId="278" applyFont="1" applyFill="1" applyBorder="1" applyAlignment="1">
      <alignment horizontal="center"/>
    </xf>
    <xf numFmtId="4" fontId="86" fillId="69" borderId="11" xfId="559" applyNumberFormat="1" applyFont="1" applyFill="1" applyBorder="1" applyAlignment="1">
      <alignment horizontal="center" vertical="center" wrapText="1"/>
    </xf>
    <xf numFmtId="0" fontId="86" fillId="71" borderId="11" xfId="0" applyFont="1" applyFill="1" applyBorder="1" applyAlignment="1">
      <alignment horizontal="center" vertical="center"/>
    </xf>
    <xf numFmtId="4" fontId="86" fillId="69" borderId="11" xfId="0" applyNumberFormat="1" applyFont="1" applyFill="1" applyBorder="1" applyAlignment="1">
      <alignment horizontal="center" vertical="center" wrapText="1"/>
    </xf>
    <xf numFmtId="9" fontId="86" fillId="70" borderId="11" xfId="580" applyNumberFormat="1" applyFont="1" applyFill="1" applyBorder="1" applyAlignment="1">
      <alignment horizontal="center" vertical="center"/>
    </xf>
    <xf numFmtId="202" fontId="86" fillId="69" borderId="11" xfId="1" applyNumberFormat="1" applyFont="1" applyFill="1" applyBorder="1" applyAlignment="1">
      <alignment horizontal="center" vertical="center"/>
    </xf>
    <xf numFmtId="0" fontId="86" fillId="69" borderId="11" xfId="0" applyNumberFormat="1" applyFont="1" applyFill="1" applyBorder="1" applyAlignment="1">
      <alignment horizontal="center" vertical="center" wrapText="1"/>
    </xf>
    <xf numFmtId="0" fontId="86" fillId="69" borderId="11" xfId="0" applyNumberFormat="1" applyFont="1" applyFill="1" applyBorder="1" applyAlignment="1">
      <alignment horizontal="left" vertical="center" wrapText="1"/>
    </xf>
    <xf numFmtId="0" fontId="86" fillId="69" borderId="11" xfId="583" applyFont="1" applyFill="1" applyBorder="1" applyAlignment="1">
      <alignment horizontal="center" vertical="center" wrapText="1"/>
    </xf>
    <xf numFmtId="49" fontId="86" fillId="69" borderId="11" xfId="583" applyNumberFormat="1" applyFont="1" applyFill="1" applyBorder="1" applyAlignment="1">
      <alignment horizontal="center" vertical="center" wrapText="1"/>
    </xf>
    <xf numFmtId="199" fontId="86" fillId="69" borderId="11" xfId="523" applyNumberFormat="1" applyFont="1" applyFill="1" applyBorder="1" applyAlignment="1">
      <alignment horizontal="center" vertical="center" wrapText="1"/>
    </xf>
    <xf numFmtId="0" fontId="86" fillId="69" borderId="11" xfId="584" applyFont="1" applyFill="1" applyBorder="1" applyAlignment="1">
      <alignment horizontal="center" vertical="center" wrapText="1"/>
    </xf>
    <xf numFmtId="4" fontId="86" fillId="69" borderId="11" xfId="523" applyNumberFormat="1" applyFont="1" applyFill="1" applyBorder="1" applyAlignment="1">
      <alignment horizontal="center" vertical="center" wrapText="1"/>
    </xf>
    <xf numFmtId="0" fontId="86" fillId="69" borderId="11" xfId="571" applyFont="1" applyFill="1" applyBorder="1" applyAlignment="1" applyProtection="1">
      <alignment horizontal="center" vertical="center" wrapText="1"/>
      <protection locked="0" hidden="1"/>
    </xf>
    <xf numFmtId="1" fontId="86" fillId="69" borderId="11" xfId="523" applyNumberFormat="1" applyFont="1" applyFill="1" applyBorder="1" applyAlignment="1">
      <alignment horizontal="center" vertical="center" wrapText="1"/>
    </xf>
    <xf numFmtId="0" fontId="86" fillId="69" borderId="11" xfId="571" applyNumberFormat="1" applyFont="1" applyFill="1" applyBorder="1" applyAlignment="1" applyProtection="1">
      <alignment horizontal="center" vertical="center" wrapText="1"/>
      <protection hidden="1"/>
    </xf>
    <xf numFmtId="0" fontId="86" fillId="69" borderId="11" xfId="565" applyNumberFormat="1" applyFont="1" applyFill="1" applyBorder="1" applyAlignment="1" applyProtection="1">
      <alignment horizontal="center" vertical="center" wrapText="1"/>
      <protection locked="0" hidden="1"/>
    </xf>
    <xf numFmtId="0" fontId="86" fillId="69" borderId="11" xfId="565" applyNumberFormat="1" applyFont="1" applyFill="1" applyBorder="1" applyAlignment="1" applyProtection="1">
      <alignment horizontal="center" vertical="center"/>
      <protection locked="0" hidden="1"/>
    </xf>
    <xf numFmtId="1" fontId="86" fillId="69" borderId="11" xfId="564" applyNumberFormat="1" applyFont="1" applyFill="1" applyBorder="1" applyAlignment="1" applyProtection="1">
      <alignment horizontal="center" vertical="center" wrapText="1"/>
      <protection hidden="1"/>
    </xf>
    <xf numFmtId="1" fontId="86" fillId="69" borderId="11" xfId="566" applyNumberFormat="1" applyFont="1" applyFill="1" applyBorder="1" applyAlignment="1" applyProtection="1">
      <alignment horizontal="center" vertical="center" wrapText="1"/>
      <protection hidden="1"/>
    </xf>
    <xf numFmtId="4" fontId="86" fillId="69" borderId="11" xfId="566" applyNumberFormat="1" applyFont="1" applyFill="1" applyBorder="1" applyAlignment="1" applyProtection="1">
      <alignment horizontal="center" vertical="center" wrapText="1"/>
      <protection hidden="1"/>
    </xf>
    <xf numFmtId="0" fontId="86" fillId="69" borderId="11" xfId="565" applyNumberFormat="1" applyFont="1" applyFill="1" applyBorder="1" applyAlignment="1" applyProtection="1">
      <alignment horizontal="left" vertical="center" wrapText="1"/>
      <protection hidden="1"/>
    </xf>
    <xf numFmtId="0" fontId="86" fillId="69" borderId="11" xfId="565" applyNumberFormat="1" applyFont="1" applyFill="1" applyBorder="1" applyAlignment="1" applyProtection="1">
      <alignment horizontal="center" vertical="center" wrapText="1"/>
      <protection hidden="1"/>
    </xf>
    <xf numFmtId="0" fontId="86" fillId="69" borderId="11" xfId="327" applyNumberFormat="1" applyFont="1" applyFill="1" applyBorder="1" applyAlignment="1" applyProtection="1">
      <alignment horizontal="center" vertical="center" wrapText="1"/>
      <protection hidden="1"/>
    </xf>
    <xf numFmtId="4" fontId="86" fillId="69" borderId="11" xfId="565" applyNumberFormat="1" applyFont="1" applyFill="1" applyBorder="1" applyAlignment="1" applyProtection="1">
      <alignment horizontal="center" vertical="center" wrapText="1"/>
      <protection hidden="1"/>
    </xf>
    <xf numFmtId="4" fontId="86" fillId="69" borderId="11" xfId="495" applyNumberFormat="1" applyFont="1" applyFill="1" applyBorder="1" applyAlignment="1">
      <alignment horizontal="center" vertical="center"/>
    </xf>
    <xf numFmtId="0" fontId="86" fillId="69" borderId="11" xfId="495" applyFont="1" applyFill="1" applyBorder="1" applyAlignment="1">
      <alignment horizontal="center" vertical="center"/>
    </xf>
    <xf numFmtId="49" fontId="86" fillId="69" borderId="11" xfId="495" applyNumberFormat="1" applyFont="1" applyFill="1" applyBorder="1" applyAlignment="1">
      <alignment horizontal="center" vertical="center"/>
    </xf>
    <xf numFmtId="2" fontId="86" fillId="69" borderId="11" xfId="495" applyNumberFormat="1" applyFont="1" applyFill="1" applyBorder="1" applyAlignment="1">
      <alignment horizontal="center" vertical="center"/>
    </xf>
    <xf numFmtId="0" fontId="86" fillId="69" borderId="11" xfId="495" applyFont="1" applyFill="1" applyBorder="1" applyAlignment="1">
      <alignment horizontal="center" vertical="center" wrapText="1"/>
    </xf>
    <xf numFmtId="49" fontId="86" fillId="69" borderId="11" xfId="564" applyNumberFormat="1" applyFont="1" applyFill="1" applyBorder="1" applyAlignment="1">
      <alignment horizontal="center" vertical="center" wrapText="1"/>
    </xf>
    <xf numFmtId="0" fontId="86" fillId="69" borderId="11" xfId="564" applyFont="1" applyFill="1" applyBorder="1" applyAlignment="1">
      <alignment vertical="center" wrapText="1"/>
    </xf>
    <xf numFmtId="0" fontId="86" fillId="69" borderId="11" xfId="564" applyFont="1" applyFill="1" applyBorder="1" applyAlignment="1">
      <alignment horizontal="center" vertical="center" wrapText="1"/>
    </xf>
    <xf numFmtId="0" fontId="86" fillId="69" borderId="11" xfId="564" applyFont="1" applyFill="1" applyBorder="1" applyAlignment="1">
      <alignment horizontal="left" vertical="center" wrapText="1"/>
    </xf>
    <xf numFmtId="0" fontId="86" fillId="69" borderId="11" xfId="573" applyFont="1" applyFill="1" applyBorder="1" applyAlignment="1" applyProtection="1">
      <alignment horizontal="center" vertical="center" wrapText="1"/>
      <protection hidden="1"/>
    </xf>
    <xf numFmtId="0" fontId="86" fillId="69" borderId="11" xfId="571" applyFont="1" applyFill="1" applyBorder="1" applyAlignment="1" applyProtection="1">
      <alignment horizontal="center" vertical="center" wrapText="1"/>
      <protection hidden="1"/>
    </xf>
    <xf numFmtId="0" fontId="86" fillId="69" borderId="11" xfId="574" applyFont="1" applyFill="1" applyBorder="1" applyAlignment="1" applyProtection="1">
      <alignment horizontal="center" vertical="center" wrapText="1"/>
    </xf>
    <xf numFmtId="1" fontId="86" fillId="69" borderId="11" xfId="329" applyNumberFormat="1" applyFont="1" applyFill="1" applyBorder="1" applyAlignment="1" applyProtection="1">
      <alignment horizontal="center" vertical="center"/>
      <protection hidden="1"/>
    </xf>
    <xf numFmtId="3" fontId="86" fillId="69" borderId="11" xfId="576" applyNumberFormat="1" applyFont="1" applyFill="1" applyBorder="1" applyAlignment="1">
      <alignment horizontal="center" vertical="center"/>
    </xf>
    <xf numFmtId="4" fontId="86" fillId="69" borderId="11" xfId="576" applyNumberFormat="1" applyFont="1" applyFill="1" applyBorder="1" applyAlignment="1">
      <alignment horizontal="center" vertical="center"/>
    </xf>
    <xf numFmtId="4" fontId="86" fillId="69" borderId="11" xfId="567" applyNumberFormat="1" applyFont="1" applyFill="1" applyBorder="1" applyAlignment="1">
      <alignment horizontal="center" vertical="center"/>
    </xf>
    <xf numFmtId="4" fontId="86" fillId="69" borderId="11" xfId="565" applyNumberFormat="1" applyFont="1" applyFill="1" applyBorder="1" applyAlignment="1" applyProtection="1">
      <alignment horizontal="center" vertical="center"/>
      <protection hidden="1"/>
    </xf>
    <xf numFmtId="198" fontId="86" fillId="69" borderId="11" xfId="0" applyNumberFormat="1" applyFont="1" applyFill="1" applyBorder="1" applyAlignment="1">
      <alignment horizontal="center" vertical="center"/>
    </xf>
    <xf numFmtId="3" fontId="86" fillId="69" borderId="11" xfId="303" applyNumberFormat="1" applyFont="1" applyFill="1" applyBorder="1" applyAlignment="1">
      <alignment horizontal="center" vertical="center"/>
    </xf>
    <xf numFmtId="0" fontId="86" fillId="69" borderId="11" xfId="303" applyNumberFormat="1" applyFont="1" applyFill="1" applyBorder="1" applyAlignment="1">
      <alignment horizontal="center" vertical="center"/>
    </xf>
    <xf numFmtId="0" fontId="85" fillId="69" borderId="11" xfId="0" applyFont="1" applyFill="1" applyBorder="1" applyAlignment="1">
      <alignment vertical="center"/>
    </xf>
    <xf numFmtId="0" fontId="85" fillId="69" borderId="11" xfId="0" applyFont="1" applyFill="1" applyBorder="1" applyAlignment="1">
      <alignment horizontal="center" vertical="center"/>
    </xf>
    <xf numFmtId="0" fontId="86" fillId="69" borderId="36" xfId="0" applyFont="1" applyFill="1" applyBorder="1" applyAlignment="1">
      <alignment horizontal="center" vertical="center"/>
    </xf>
    <xf numFmtId="0" fontId="86" fillId="69" borderId="37" xfId="0" applyFont="1" applyFill="1" applyBorder="1" applyAlignment="1">
      <alignment horizontal="center" vertical="center"/>
    </xf>
    <xf numFmtId="0" fontId="86" fillId="69" borderId="37" xfId="0" applyFont="1" applyFill="1" applyBorder="1" applyAlignment="1">
      <alignment horizontal="center" vertical="center" wrapText="1"/>
    </xf>
    <xf numFmtId="49" fontId="86" fillId="69" borderId="37" xfId="0" applyNumberFormat="1" applyFont="1" applyFill="1" applyBorder="1" applyAlignment="1">
      <alignment horizontal="center" vertical="center"/>
    </xf>
    <xf numFmtId="1" fontId="86" fillId="69" borderId="37" xfId="0" applyNumberFormat="1" applyFont="1" applyFill="1" applyBorder="1" applyAlignment="1">
      <alignment horizontal="center" vertical="center"/>
    </xf>
    <xf numFmtId="3" fontId="86" fillId="69" borderId="37" xfId="0" applyNumberFormat="1" applyFont="1" applyFill="1" applyBorder="1" applyAlignment="1">
      <alignment horizontal="center" vertical="center"/>
    </xf>
    <xf numFmtId="0" fontId="86" fillId="69" borderId="38" xfId="0" applyFont="1" applyFill="1" applyBorder="1" applyAlignment="1">
      <alignment horizontal="center" vertical="center"/>
    </xf>
    <xf numFmtId="0" fontId="85" fillId="69" borderId="35" xfId="0" applyFont="1" applyFill="1" applyBorder="1" applyAlignment="1">
      <alignment horizontal="center" vertical="center"/>
    </xf>
    <xf numFmtId="0" fontId="85" fillId="69" borderId="35" xfId="0" applyFont="1" applyFill="1" applyBorder="1"/>
    <xf numFmtId="0" fontId="86" fillId="69" borderId="35" xfId="0" applyFont="1" applyFill="1" applyBorder="1" applyAlignment="1">
      <alignment horizontal="center"/>
    </xf>
    <xf numFmtId="0" fontId="86" fillId="69" borderId="35" xfId="0" applyFont="1" applyFill="1" applyBorder="1" applyAlignment="1">
      <alignment horizontal="center" vertical="center"/>
    </xf>
    <xf numFmtId="0" fontId="86" fillId="69" borderId="35" xfId="0" applyFont="1" applyFill="1" applyBorder="1"/>
    <xf numFmtId="49" fontId="86" fillId="69" borderId="35" xfId="0" applyNumberFormat="1" applyFont="1" applyFill="1" applyBorder="1" applyAlignment="1">
      <alignment horizontal="center" vertical="center"/>
    </xf>
    <xf numFmtId="1" fontId="86" fillId="69" borderId="35" xfId="0" applyNumberFormat="1" applyFont="1" applyFill="1" applyBorder="1" applyAlignment="1">
      <alignment vertical="center"/>
    </xf>
    <xf numFmtId="0" fontId="86" fillId="69" borderId="35" xfId="0" applyFont="1" applyFill="1" applyBorder="1" applyAlignment="1">
      <alignment vertical="center"/>
    </xf>
    <xf numFmtId="3" fontId="86" fillId="69" borderId="35" xfId="0" applyNumberFormat="1" applyFont="1" applyFill="1" applyBorder="1" applyAlignment="1">
      <alignment horizontal="center" vertical="center"/>
    </xf>
    <xf numFmtId="0" fontId="86" fillId="70" borderId="11" xfId="279" applyFont="1" applyFill="1" applyBorder="1" applyAlignment="1">
      <alignment horizontal="center" vertical="center" wrapText="1"/>
    </xf>
    <xf numFmtId="0" fontId="86" fillId="69" borderId="11" xfId="0" applyFont="1" applyFill="1" applyBorder="1"/>
    <xf numFmtId="0" fontId="86" fillId="69" borderId="11" xfId="0" applyFont="1" applyFill="1" applyBorder="1" applyAlignment="1" applyProtection="1">
      <alignment horizontal="center" vertical="center" wrapText="1"/>
    </xf>
    <xf numFmtId="0" fontId="86" fillId="69" borderId="11" xfId="558" applyFont="1" applyFill="1" applyBorder="1" applyAlignment="1">
      <alignment horizontal="center" vertical="center" wrapText="1"/>
    </xf>
    <xf numFmtId="0" fontId="86" fillId="69" borderId="11" xfId="557" applyFont="1" applyFill="1" applyBorder="1" applyAlignment="1" applyProtection="1">
      <alignment horizontal="center" vertical="center" wrapText="1"/>
    </xf>
    <xf numFmtId="0" fontId="86" fillId="69" borderId="11" xfId="0" applyFont="1" applyFill="1" applyBorder="1" applyAlignment="1" applyProtection="1">
      <alignment horizontal="center" vertical="center" wrapText="1"/>
      <protection locked="0"/>
    </xf>
    <xf numFmtId="49" fontId="86" fillId="70" borderId="11" xfId="278" applyNumberFormat="1" applyFont="1" applyFill="1" applyBorder="1" applyAlignment="1">
      <alignment horizontal="center" vertical="center"/>
    </xf>
    <xf numFmtId="1" fontId="86" fillId="70" borderId="11" xfId="577" applyNumberFormat="1" applyFont="1" applyFill="1" applyBorder="1" applyAlignment="1" applyProtection="1">
      <alignment horizontal="center" vertical="center" wrapText="1"/>
      <protection hidden="1"/>
    </xf>
    <xf numFmtId="3" fontId="86" fillId="70" borderId="11" xfId="577" applyNumberFormat="1" applyFont="1" applyFill="1" applyBorder="1" applyAlignment="1" applyProtection="1">
      <alignment horizontal="center" vertical="center" wrapText="1"/>
      <protection hidden="1"/>
    </xf>
    <xf numFmtId="43" fontId="86" fillId="69" borderId="11" xfId="1" applyFont="1" applyFill="1" applyBorder="1" applyAlignment="1">
      <alignment horizontal="center" vertical="center"/>
    </xf>
    <xf numFmtId="0" fontId="86" fillId="69" borderId="11" xfId="582" applyFont="1" applyFill="1" applyBorder="1" applyAlignment="1">
      <alignment horizontal="center" vertical="center" wrapText="1"/>
    </xf>
    <xf numFmtId="0" fontId="86" fillId="69" borderId="11" xfId="581" applyFont="1" applyFill="1" applyBorder="1" applyAlignment="1">
      <alignment vertical="center" wrapText="1"/>
    </xf>
    <xf numFmtId="49" fontId="86" fillId="69" borderId="11" xfId="577" applyNumberFormat="1" applyFont="1" applyFill="1" applyBorder="1" applyAlignment="1" applyProtection="1">
      <alignment horizontal="center" vertical="center" wrapText="1"/>
      <protection hidden="1"/>
    </xf>
    <xf numFmtId="0" fontId="86" fillId="69" borderId="11" xfId="0" applyFont="1" applyFill="1" applyBorder="1" applyAlignment="1">
      <alignment wrapText="1"/>
    </xf>
    <xf numFmtId="0" fontId="86" fillId="69" borderId="11" xfId="0" applyFont="1" applyFill="1" applyBorder="1" applyAlignment="1" applyProtection="1">
      <alignment horizontal="center" vertical="center"/>
    </xf>
    <xf numFmtId="0" fontId="86" fillId="69" borderId="11" xfId="578" applyNumberFormat="1" applyFont="1" applyFill="1" applyBorder="1" applyAlignment="1" applyProtection="1">
      <alignment horizontal="center" vertical="center" wrapText="1" shrinkToFit="1"/>
      <protection hidden="1"/>
    </xf>
    <xf numFmtId="0" fontId="86" fillId="69" borderId="11" xfId="306" applyFont="1" applyFill="1" applyBorder="1" applyAlignment="1">
      <alignment horizontal="center" vertical="center"/>
    </xf>
    <xf numFmtId="49" fontId="86" fillId="69" borderId="11" xfId="585" applyNumberFormat="1" applyFont="1" applyFill="1" applyBorder="1" applyAlignment="1">
      <alignment horizontal="center" vertical="center" wrapText="1"/>
    </xf>
    <xf numFmtId="0" fontId="86" fillId="69" borderId="11" xfId="0" applyNumberFormat="1" applyFont="1" applyFill="1" applyBorder="1" applyAlignment="1" applyProtection="1">
      <alignment horizontal="center" vertical="center" wrapText="1"/>
      <protection hidden="1"/>
    </xf>
    <xf numFmtId="49" fontId="86" fillId="72" borderId="11" xfId="0" applyNumberFormat="1" applyFont="1" applyFill="1" applyBorder="1" applyAlignment="1" applyProtection="1">
      <alignment horizontal="center" vertical="center" wrapText="1"/>
    </xf>
    <xf numFmtId="0" fontId="86" fillId="72" borderId="11" xfId="0" applyFont="1" applyFill="1" applyBorder="1" applyAlignment="1" applyProtection="1">
      <alignment horizontal="center" vertical="center" wrapText="1"/>
    </xf>
    <xf numFmtId="9" fontId="86" fillId="69" borderId="11" xfId="0" applyNumberFormat="1" applyFont="1" applyFill="1" applyBorder="1" applyAlignment="1">
      <alignment horizontal="left" vertical="center"/>
    </xf>
    <xf numFmtId="49" fontId="86" fillId="69" borderId="11" xfId="574" applyNumberFormat="1" applyFont="1" applyFill="1" applyBorder="1" applyAlignment="1">
      <alignment horizontal="center" vertical="center" wrapText="1"/>
    </xf>
    <xf numFmtId="0" fontId="86" fillId="69" borderId="11" xfId="574" applyFont="1" applyFill="1" applyBorder="1" applyAlignment="1">
      <alignment horizontal="center" vertical="center" wrapText="1"/>
    </xf>
    <xf numFmtId="0" fontId="86" fillId="69" borderId="11" xfId="574" applyFont="1" applyFill="1" applyBorder="1" applyAlignment="1">
      <alignment vertical="center" wrapText="1"/>
    </xf>
    <xf numFmtId="0" fontId="86" fillId="69" borderId="11" xfId="0" applyFont="1" applyFill="1" applyBorder="1" applyAlignment="1">
      <alignment vertical="center"/>
    </xf>
    <xf numFmtId="0" fontId="86" fillId="69" borderId="11" xfId="566" applyFont="1" applyFill="1" applyBorder="1" applyAlignment="1" applyProtection="1">
      <alignment horizontal="center" wrapText="1"/>
      <protection hidden="1"/>
    </xf>
    <xf numFmtId="0" fontId="86" fillId="69" borderId="11" xfId="574" applyNumberFormat="1" applyFont="1" applyFill="1" applyBorder="1" applyAlignment="1" applyProtection="1">
      <alignment horizontal="center" vertical="center" wrapText="1"/>
    </xf>
    <xf numFmtId="9" fontId="86" fillId="69" borderId="11" xfId="566" applyNumberFormat="1" applyFont="1" applyFill="1" applyBorder="1" applyAlignment="1" applyProtection="1">
      <alignment horizontal="center" vertical="center" wrapText="1"/>
      <protection hidden="1"/>
    </xf>
    <xf numFmtId="9" fontId="86" fillId="70" borderId="11" xfId="587" applyNumberFormat="1" applyFont="1" applyFill="1" applyBorder="1" applyAlignment="1">
      <alignment horizontal="center" vertical="center"/>
    </xf>
    <xf numFmtId="0" fontId="86" fillId="70" borderId="11" xfId="587" applyFont="1" applyFill="1" applyBorder="1" applyAlignment="1">
      <alignment horizontal="center" vertical="center" wrapText="1"/>
    </xf>
    <xf numFmtId="0" fontId="86" fillId="69" borderId="11" xfId="587" applyFont="1" applyFill="1" applyBorder="1" applyAlignment="1">
      <alignment horizontal="center" vertical="center" wrapText="1"/>
    </xf>
    <xf numFmtId="0" fontId="86" fillId="70" borderId="11" xfId="587" applyFont="1" applyFill="1" applyBorder="1" applyAlignment="1">
      <alignment horizontal="center" vertical="center"/>
    </xf>
    <xf numFmtId="3" fontId="85" fillId="69" borderId="11" xfId="0" applyNumberFormat="1" applyFont="1" applyFill="1" applyBorder="1" applyAlignment="1">
      <alignment horizontal="center" vertical="center" wrapText="1"/>
    </xf>
    <xf numFmtId="49" fontId="86" fillId="69" borderId="11" xfId="362" applyNumberFormat="1" applyFont="1" applyFill="1" applyBorder="1" applyAlignment="1">
      <alignment horizontal="center" vertical="center" wrapText="1"/>
    </xf>
    <xf numFmtId="43" fontId="86" fillId="69" borderId="11" xfId="362" applyFont="1" applyFill="1" applyBorder="1" applyAlignment="1">
      <alignment horizontal="center" vertical="center" wrapText="1"/>
    </xf>
    <xf numFmtId="200"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left" vertical="center" wrapText="1" indent="1"/>
    </xf>
    <xf numFmtId="201" fontId="86" fillId="69" borderId="11" xfId="0" applyNumberFormat="1" applyFont="1" applyFill="1" applyBorder="1" applyAlignment="1">
      <alignment horizontal="center" vertical="center" wrapText="1"/>
    </xf>
    <xf numFmtId="9" fontId="86" fillId="69" borderId="11" xfId="278" applyNumberFormat="1" applyFont="1" applyFill="1" applyBorder="1" applyAlignment="1">
      <alignment horizontal="center" vertical="center"/>
    </xf>
    <xf numFmtId="17" fontId="86" fillId="70" borderId="11" xfId="278" applyNumberFormat="1" applyFont="1" applyFill="1" applyBorder="1" applyAlignment="1">
      <alignment horizontal="center" vertical="center" wrapText="1"/>
    </xf>
    <xf numFmtId="0" fontId="86" fillId="70" borderId="11" xfId="0" applyFont="1" applyFill="1" applyBorder="1" applyAlignment="1">
      <alignment horizontal="center" vertical="center"/>
    </xf>
    <xf numFmtId="9" fontId="86" fillId="70" borderId="11" xfId="0" applyNumberFormat="1" applyFont="1" applyFill="1" applyBorder="1" applyAlignment="1">
      <alignment horizontal="center" vertical="center" wrapText="1"/>
    </xf>
    <xf numFmtId="4" fontId="86" fillId="70" borderId="11" xfId="0" applyNumberFormat="1" applyFont="1" applyFill="1" applyBorder="1" applyAlignment="1">
      <alignment horizontal="center" vertical="center"/>
    </xf>
    <xf numFmtId="0" fontId="86" fillId="71" borderId="11" xfId="278" applyFont="1" applyFill="1" applyBorder="1" applyAlignment="1">
      <alignment horizontal="center" vertical="center"/>
    </xf>
    <xf numFmtId="9" fontId="86" fillId="71" borderId="11" xfId="278" applyNumberFormat="1" applyFont="1" applyFill="1" applyBorder="1" applyAlignment="1">
      <alignment horizontal="center" vertical="center"/>
    </xf>
    <xf numFmtId="0" fontId="86" fillId="71" borderId="11" xfId="578" applyNumberFormat="1" applyFont="1" applyFill="1" applyBorder="1" applyAlignment="1" applyProtection="1">
      <alignment horizontal="center" vertical="center"/>
      <protection hidden="1"/>
    </xf>
    <xf numFmtId="49" fontId="86" fillId="70" borderId="11" xfId="1" applyNumberFormat="1" applyFont="1" applyFill="1" applyBorder="1" applyAlignment="1" applyProtection="1">
      <alignment horizontal="center" vertical="center" wrapText="1"/>
    </xf>
    <xf numFmtId="0" fontId="85" fillId="69" borderId="11" xfId="0" applyFont="1" applyFill="1" applyBorder="1" applyAlignment="1">
      <alignment horizontal="center" vertical="center" wrapText="1"/>
    </xf>
    <xf numFmtId="9" fontId="86" fillId="70" borderId="11" xfId="279" applyNumberFormat="1" applyFont="1" applyFill="1" applyBorder="1" applyAlignment="1">
      <alignment horizontal="center" vertical="center"/>
    </xf>
    <xf numFmtId="203" fontId="86" fillId="70" borderId="11" xfId="360" applyNumberFormat="1" applyFont="1" applyFill="1" applyBorder="1" applyAlignment="1" applyProtection="1">
      <alignment horizontal="center" vertical="center" wrapText="1"/>
    </xf>
    <xf numFmtId="203" fontId="86" fillId="69" borderId="11" xfId="360" applyNumberFormat="1" applyFont="1" applyFill="1" applyBorder="1" applyAlignment="1" applyProtection="1">
      <alignment horizontal="center" vertical="center" wrapText="1"/>
    </xf>
    <xf numFmtId="0" fontId="86" fillId="71" borderId="11" xfId="278" applyFont="1" applyFill="1" applyBorder="1" applyAlignment="1">
      <alignment horizontal="center" vertical="center" wrapText="1"/>
    </xf>
    <xf numFmtId="0" fontId="86" fillId="71" borderId="11" xfId="279" applyFont="1" applyFill="1" applyBorder="1" applyAlignment="1">
      <alignment horizontal="center" vertical="center" wrapText="1"/>
    </xf>
    <xf numFmtId="3" fontId="85" fillId="69" borderId="11" xfId="0" applyNumberFormat="1" applyFont="1" applyFill="1" applyBorder="1" applyAlignment="1">
      <alignment horizontal="center" vertical="center"/>
    </xf>
    <xf numFmtId="3" fontId="85" fillId="69" borderId="11" xfId="0" applyNumberFormat="1" applyFont="1" applyFill="1" applyBorder="1"/>
    <xf numFmtId="3" fontId="85" fillId="69" borderId="11" xfId="0" applyNumberFormat="1" applyFont="1" applyFill="1" applyBorder="1" applyAlignment="1">
      <alignment horizontal="center"/>
    </xf>
    <xf numFmtId="3" fontId="85" fillId="69" borderId="11" xfId="0" applyNumberFormat="1" applyFont="1" applyFill="1" applyBorder="1" applyAlignment="1">
      <alignment vertical="center"/>
    </xf>
    <xf numFmtId="3" fontId="86" fillId="69" borderId="11" xfId="565" applyNumberFormat="1" applyFont="1" applyFill="1" applyBorder="1" applyAlignment="1" applyProtection="1">
      <alignment horizontal="center" vertical="center" wrapText="1"/>
      <protection hidden="1"/>
    </xf>
    <xf numFmtId="3" fontId="86" fillId="69" borderId="11" xfId="578" applyNumberFormat="1" applyFont="1" applyFill="1" applyBorder="1" applyAlignment="1" applyProtection="1">
      <alignment horizontal="center" vertical="center" wrapText="1"/>
      <protection hidden="1"/>
    </xf>
    <xf numFmtId="4" fontId="86" fillId="69" borderId="11" xfId="357" applyNumberFormat="1" applyFont="1" applyFill="1" applyBorder="1" applyAlignment="1">
      <alignment horizontal="center" vertical="center" wrapText="1"/>
    </xf>
    <xf numFmtId="43" fontId="86" fillId="70" borderId="11" xfId="1" applyFont="1" applyFill="1" applyBorder="1" applyAlignment="1" applyProtection="1">
      <alignment horizontal="center" vertical="center" wrapText="1"/>
    </xf>
    <xf numFmtId="3" fontId="86" fillId="71" borderId="11" xfId="0" applyNumberFormat="1" applyFont="1" applyFill="1" applyBorder="1" applyAlignment="1">
      <alignment horizontal="center" vertical="center" wrapText="1"/>
    </xf>
    <xf numFmtId="3" fontId="85" fillId="70" borderId="11" xfId="0" applyNumberFormat="1" applyFont="1" applyFill="1" applyBorder="1" applyAlignment="1">
      <alignment horizontal="center" vertical="center" wrapText="1"/>
    </xf>
    <xf numFmtId="49" fontId="86" fillId="70" borderId="11" xfId="278" applyNumberFormat="1" applyFont="1" applyFill="1" applyBorder="1" applyAlignment="1">
      <alignment horizontal="center" vertical="center" wrapText="1"/>
    </xf>
    <xf numFmtId="4" fontId="86" fillId="69" borderId="11" xfId="569" applyNumberFormat="1" applyFont="1" applyFill="1" applyBorder="1" applyAlignment="1" applyProtection="1">
      <alignment horizontal="center" vertical="center"/>
    </xf>
    <xf numFmtId="49" fontId="86" fillId="69" borderId="11" xfId="564" applyNumberFormat="1" applyFont="1" applyFill="1" applyBorder="1" applyAlignment="1" applyProtection="1">
      <alignment horizontal="center" vertical="center" wrapText="1"/>
      <protection locked="0" hidden="1"/>
    </xf>
    <xf numFmtId="0" fontId="86" fillId="69" borderId="11" xfId="565"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xf>
    <xf numFmtId="0" fontId="86" fillId="69" borderId="11" xfId="575" applyFont="1" applyFill="1" applyBorder="1" applyAlignment="1" applyProtection="1">
      <alignment horizontal="center" vertical="center" wrapText="1"/>
      <protection hidden="1"/>
    </xf>
    <xf numFmtId="0" fontId="86" fillId="69" borderId="11" xfId="571" applyFont="1" applyFill="1" applyBorder="1" applyAlignment="1" applyProtection="1">
      <alignment horizontal="center" vertical="center"/>
      <protection hidden="1"/>
    </xf>
    <xf numFmtId="0" fontId="86" fillId="69" borderId="11" xfId="571" applyFont="1" applyFill="1" applyBorder="1" applyAlignment="1" applyProtection="1">
      <alignment horizontal="center" vertical="center" wrapText="1"/>
    </xf>
    <xf numFmtId="0" fontId="86" fillId="69" borderId="11" xfId="565" applyFont="1" applyFill="1" applyBorder="1" applyAlignment="1" applyProtection="1">
      <alignment horizontal="center" vertical="center" wrapText="1" shrinkToFit="1"/>
      <protection hidden="1"/>
    </xf>
    <xf numFmtId="0" fontId="85" fillId="69" borderId="11" xfId="0" applyFont="1" applyFill="1" applyBorder="1" applyAlignment="1">
      <alignment horizontal="left" vertical="center"/>
    </xf>
    <xf numFmtId="0" fontId="85" fillId="69" borderId="11" xfId="278" applyFont="1" applyFill="1" applyBorder="1" applyAlignment="1">
      <alignment horizontal="center" vertical="center" wrapText="1"/>
    </xf>
    <xf numFmtId="0" fontId="85" fillId="70" borderId="11" xfId="280" applyFont="1" applyFill="1" applyBorder="1" applyAlignment="1">
      <alignment horizontal="center" vertical="center" wrapText="1"/>
    </xf>
    <xf numFmtId="3" fontId="89" fillId="69" borderId="11" xfId="0" applyNumberFormat="1" applyFont="1" applyFill="1" applyBorder="1" applyAlignment="1">
      <alignment horizontal="center" vertical="center" wrapText="1"/>
    </xf>
    <xf numFmtId="3" fontId="86" fillId="70" borderId="11" xfId="0" applyNumberFormat="1" applyFont="1" applyFill="1" applyBorder="1" applyAlignment="1">
      <alignment horizontal="center" vertical="center"/>
    </xf>
    <xf numFmtId="202" fontId="86" fillId="69" borderId="11" xfId="555" applyNumberFormat="1" applyFont="1" applyFill="1" applyBorder="1" applyAlignment="1" applyProtection="1">
      <alignment horizontal="center" vertical="center" wrapText="1"/>
    </xf>
    <xf numFmtId="4" fontId="86" fillId="71" borderId="11" xfId="0" applyNumberFormat="1" applyFont="1" applyFill="1" applyBorder="1" applyAlignment="1">
      <alignment horizontal="center" vertical="center" wrapText="1"/>
    </xf>
    <xf numFmtId="3" fontId="85" fillId="70" borderId="11" xfId="278" applyNumberFormat="1" applyFont="1" applyFill="1" applyBorder="1" applyAlignment="1">
      <alignment horizontal="center" vertical="center" wrapText="1"/>
    </xf>
    <xf numFmtId="3" fontId="85" fillId="70" borderId="11" xfId="278" applyNumberFormat="1" applyFont="1" applyFill="1" applyBorder="1" applyAlignment="1">
      <alignment horizontal="center" vertical="center"/>
    </xf>
    <xf numFmtId="3" fontId="85" fillId="69" borderId="11" xfId="0" applyNumberFormat="1" applyFont="1" applyFill="1" applyBorder="1" applyAlignment="1">
      <alignment vertical="center" wrapText="1"/>
    </xf>
    <xf numFmtId="3" fontId="85" fillId="69" borderId="11" xfId="0" applyNumberFormat="1" applyFont="1" applyFill="1" applyBorder="1" applyAlignment="1" applyProtection="1">
      <alignment horizontal="center" vertical="center" wrapText="1"/>
      <protection locked="0"/>
    </xf>
    <xf numFmtId="1" fontId="86" fillId="69" borderId="11" xfId="278" applyNumberFormat="1" applyFont="1" applyFill="1" applyBorder="1" applyAlignment="1">
      <alignment horizontal="center" vertical="center" wrapText="1"/>
    </xf>
    <xf numFmtId="0" fontId="86" fillId="69" borderId="11" xfId="279" applyFont="1" applyFill="1" applyBorder="1" applyAlignment="1">
      <alignment horizontal="center" vertical="center" wrapText="1"/>
    </xf>
    <xf numFmtId="204" fontId="86" fillId="69" borderId="11" xfId="565" applyNumberFormat="1" applyFont="1" applyFill="1" applyBorder="1" applyAlignment="1" applyProtection="1">
      <alignment horizontal="center" vertical="center" wrapText="1"/>
      <protection hidden="1"/>
    </xf>
    <xf numFmtId="205" fontId="86" fillId="69" borderId="11" xfId="565" applyNumberFormat="1" applyFont="1" applyFill="1" applyBorder="1" applyAlignment="1" applyProtection="1">
      <alignment horizontal="center" vertical="center" wrapText="1"/>
      <protection hidden="1"/>
    </xf>
    <xf numFmtId="204" fontId="86" fillId="69" borderId="11" xfId="569" applyNumberFormat="1" applyFont="1" applyFill="1" applyBorder="1" applyAlignment="1" applyProtection="1">
      <alignment horizontal="center" vertical="center"/>
    </xf>
    <xf numFmtId="197" fontId="86" fillId="69" borderId="11" xfId="567" applyNumberFormat="1" applyFont="1" applyFill="1" applyBorder="1" applyAlignment="1">
      <alignment horizontal="center" vertical="center" wrapText="1"/>
    </xf>
    <xf numFmtId="204" fontId="86" fillId="69" borderId="11" xfId="1" applyNumberFormat="1" applyFont="1" applyFill="1" applyBorder="1" applyAlignment="1">
      <alignment horizontal="center" vertical="center" wrapText="1"/>
    </xf>
    <xf numFmtId="206" fontId="86" fillId="69" borderId="11" xfId="0" applyNumberFormat="1" applyFont="1" applyFill="1" applyBorder="1" applyAlignment="1">
      <alignment horizontal="center" vertical="center"/>
    </xf>
    <xf numFmtId="204" fontId="86" fillId="69" borderId="11" xfId="0" applyNumberFormat="1" applyFont="1" applyFill="1" applyBorder="1" applyAlignment="1">
      <alignment horizontal="center" vertical="center"/>
    </xf>
    <xf numFmtId="4" fontId="86" fillId="69" borderId="11" xfId="578" applyNumberFormat="1" applyFont="1" applyFill="1" applyBorder="1" applyAlignment="1" applyProtection="1">
      <alignment horizontal="center" vertical="center" wrapText="1"/>
      <protection hidden="1"/>
    </xf>
    <xf numFmtId="204" fontId="86" fillId="69" borderId="11" xfId="578" applyNumberFormat="1" applyFont="1" applyFill="1" applyBorder="1" applyAlignment="1" applyProtection="1">
      <alignment horizontal="center" vertical="center" wrapText="1"/>
      <protection hidden="1"/>
    </xf>
    <xf numFmtId="207" fontId="86" fillId="69" borderId="11" xfId="565" applyNumberFormat="1" applyFont="1" applyFill="1" applyBorder="1" applyAlignment="1" applyProtection="1">
      <alignment horizontal="center" vertical="center" wrapText="1"/>
      <protection hidden="1"/>
    </xf>
    <xf numFmtId="197" fontId="86" fillId="69" borderId="11" xfId="565" applyNumberFormat="1" applyFont="1" applyFill="1" applyBorder="1" applyAlignment="1" applyProtection="1">
      <alignment horizontal="center" vertical="center" wrapText="1"/>
      <protection hidden="1"/>
    </xf>
    <xf numFmtId="205" fontId="86" fillId="69" borderId="11" xfId="578" applyNumberFormat="1" applyFont="1" applyFill="1" applyBorder="1" applyAlignment="1" applyProtection="1">
      <alignment horizontal="center" vertical="center" wrapText="1"/>
      <protection hidden="1"/>
    </xf>
    <xf numFmtId="0" fontId="86" fillId="69" borderId="11" xfId="569" applyFont="1" applyFill="1" applyBorder="1" applyAlignment="1" applyProtection="1">
      <alignment horizontal="center" vertical="center" wrapText="1"/>
    </xf>
    <xf numFmtId="3" fontId="86" fillId="69" borderId="11" xfId="567" applyNumberFormat="1" applyFont="1" applyFill="1" applyBorder="1" applyAlignment="1">
      <alignment horizontal="center" vertical="center"/>
    </xf>
    <xf numFmtId="9" fontId="86" fillId="69" borderId="11" xfId="0" applyNumberFormat="1" applyFont="1" applyFill="1" applyBorder="1" applyAlignment="1">
      <alignment horizontal="center" vertical="center" wrapText="1"/>
    </xf>
    <xf numFmtId="49" fontId="86" fillId="69" borderId="11" xfId="1" applyNumberFormat="1" applyFont="1" applyFill="1" applyBorder="1" applyAlignment="1" applyProtection="1">
      <alignment horizontal="center" vertical="center"/>
    </xf>
    <xf numFmtId="0" fontId="86" fillId="69" borderId="11" xfId="571" applyNumberFormat="1" applyFont="1" applyFill="1" applyBorder="1" applyAlignment="1" applyProtection="1">
      <alignment horizontal="center" vertical="center" wrapText="1"/>
    </xf>
    <xf numFmtId="0" fontId="86" fillId="69" borderId="11" xfId="500" applyFont="1" applyFill="1" applyBorder="1" applyAlignment="1">
      <alignment horizontal="center" vertical="center" wrapText="1"/>
    </xf>
    <xf numFmtId="0" fontId="86" fillId="69" borderId="11" xfId="569" applyNumberFormat="1" applyFont="1" applyFill="1" applyBorder="1" applyAlignment="1" applyProtection="1">
      <alignment horizontal="center" vertical="center" wrapText="1"/>
    </xf>
    <xf numFmtId="0" fontId="85" fillId="69" borderId="11" xfId="278" applyFont="1" applyFill="1" applyBorder="1" applyAlignment="1">
      <alignment vertical="center" wrapText="1"/>
    </xf>
    <xf numFmtId="197" fontId="86" fillId="69" borderId="11" xfId="495" applyNumberFormat="1" applyFont="1" applyFill="1" applyBorder="1" applyAlignment="1">
      <alignment horizontal="center" vertical="center"/>
    </xf>
    <xf numFmtId="0" fontId="86" fillId="70" borderId="39" xfId="0" applyFont="1" applyFill="1" applyBorder="1" applyAlignment="1">
      <alignment horizontal="center" vertical="center" wrapText="1"/>
    </xf>
    <xf numFmtId="0" fontId="86" fillId="69" borderId="40" xfId="0" applyFont="1" applyFill="1" applyBorder="1" applyAlignment="1">
      <alignment horizontal="center" vertical="center"/>
    </xf>
    <xf numFmtId="49" fontId="86" fillId="69" borderId="11" xfId="580" applyNumberFormat="1" applyFont="1" applyFill="1" applyBorder="1" applyAlignment="1" applyProtection="1">
      <alignment horizontal="center" vertical="center" wrapText="1"/>
    </xf>
    <xf numFmtId="0" fontId="86" fillId="69" borderId="0" xfId="0" applyFont="1" applyFill="1" applyAlignment="1">
      <alignment horizontal="center" vertical="center"/>
    </xf>
    <xf numFmtId="0" fontId="86" fillId="69" borderId="0" xfId="0" applyFont="1" applyFill="1"/>
    <xf numFmtId="0" fontId="86" fillId="69" borderId="0" xfId="0" applyFont="1" applyFill="1" applyAlignment="1">
      <alignment horizontal="center" vertical="center" wrapText="1"/>
    </xf>
    <xf numFmtId="0" fontId="86" fillId="69" borderId="0" xfId="0" applyFont="1" applyFill="1" applyAlignment="1">
      <alignment horizontal="center"/>
    </xf>
    <xf numFmtId="49" fontId="86" fillId="69" borderId="0" xfId="0" applyNumberFormat="1" applyFont="1" applyFill="1" applyAlignment="1">
      <alignment horizontal="center" vertical="center"/>
    </xf>
    <xf numFmtId="1" fontId="86" fillId="69" borderId="0" xfId="0" applyNumberFormat="1" applyFont="1" applyFill="1" applyAlignment="1">
      <alignment horizontal="center" vertical="center"/>
    </xf>
    <xf numFmtId="3" fontId="85" fillId="69" borderId="0" xfId="0" applyNumberFormat="1" applyFont="1" applyFill="1" applyAlignment="1">
      <alignment horizontal="right"/>
    </xf>
    <xf numFmtId="0" fontId="85" fillId="70" borderId="0" xfId="278" applyFont="1" applyFill="1" applyBorder="1" applyAlignment="1">
      <alignment horizontal="center" vertical="center" wrapText="1"/>
    </xf>
    <xf numFmtId="0" fontId="85" fillId="70" borderId="0" xfId="278" applyFont="1" applyFill="1" applyBorder="1" applyAlignment="1">
      <alignment horizontal="center" vertical="center"/>
    </xf>
    <xf numFmtId="0" fontId="90" fillId="70" borderId="0" xfId="278" applyFont="1" applyFill="1" applyBorder="1" applyAlignment="1">
      <alignment horizontal="center" vertical="center"/>
    </xf>
    <xf numFmtId="49" fontId="85" fillId="70" borderId="0" xfId="278" applyNumberFormat="1" applyFont="1" applyFill="1" applyBorder="1" applyAlignment="1">
      <alignment horizontal="center" vertical="center"/>
    </xf>
    <xf numFmtId="1" fontId="85" fillId="70" borderId="0" xfId="278" applyNumberFormat="1" applyFont="1" applyFill="1" applyBorder="1" applyAlignment="1">
      <alignment horizontal="center" vertical="center"/>
    </xf>
    <xf numFmtId="1" fontId="86" fillId="69" borderId="0" xfId="0" applyNumberFormat="1" applyFont="1" applyFill="1" applyAlignment="1">
      <alignment vertical="center"/>
    </xf>
    <xf numFmtId="0" fontId="86" fillId="69" borderId="0" xfId="0" applyFont="1" applyFill="1" applyAlignment="1">
      <alignment vertical="center"/>
    </xf>
    <xf numFmtId="3" fontId="86" fillId="69" borderId="0" xfId="0" applyNumberFormat="1" applyFont="1" applyFill="1" applyAlignment="1">
      <alignment horizontal="center" vertical="center"/>
    </xf>
    <xf numFmtId="0" fontId="86" fillId="69" borderId="0" xfId="0" applyFont="1" applyFill="1" applyBorder="1" applyAlignment="1">
      <alignment horizontal="center" vertical="center" wrapText="1"/>
    </xf>
    <xf numFmtId="0" fontId="91" fillId="69" borderId="11" xfId="0" applyFont="1" applyFill="1" applyBorder="1" applyAlignment="1">
      <alignment vertical="center" wrapText="1"/>
    </xf>
    <xf numFmtId="0" fontId="86" fillId="69" borderId="11" xfId="580" applyFont="1" applyFill="1" applyBorder="1" applyAlignment="1">
      <alignment horizontal="left" vertical="center" wrapText="1"/>
    </xf>
    <xf numFmtId="0" fontId="86" fillId="69" borderId="11" xfId="0" applyFont="1" applyFill="1" applyBorder="1" applyAlignment="1">
      <alignment horizontal="center"/>
    </xf>
    <xf numFmtId="0" fontId="86" fillId="69" borderId="11" xfId="0" applyNumberFormat="1" applyFont="1" applyFill="1" applyBorder="1" applyAlignment="1">
      <alignment horizontal="left" wrapText="1"/>
    </xf>
    <xf numFmtId="1" fontId="86" fillId="69" borderId="11" xfId="0" applyNumberFormat="1" applyFont="1" applyFill="1" applyBorder="1" applyAlignment="1">
      <alignment vertical="center" wrapText="1"/>
    </xf>
    <xf numFmtId="0" fontId="86" fillId="69" borderId="0" xfId="0" applyFont="1" applyFill="1" applyBorder="1"/>
    <xf numFmtId="0" fontId="85" fillId="69" borderId="11" xfId="0" applyFont="1" applyFill="1" applyBorder="1" applyAlignment="1">
      <alignment horizontal="left"/>
    </xf>
    <xf numFmtId="1" fontId="86" fillId="69" borderId="11" xfId="0" applyNumberFormat="1" applyFont="1" applyFill="1" applyBorder="1" applyAlignment="1">
      <alignment vertical="center"/>
    </xf>
    <xf numFmtId="0" fontId="92" fillId="69" borderId="0" xfId="0" applyFont="1" applyFill="1" applyAlignment="1">
      <alignment horizontal="left"/>
    </xf>
    <xf numFmtId="0" fontId="92" fillId="69" borderId="0" xfId="0" applyFont="1" applyFill="1" applyAlignment="1">
      <alignment horizontal="center" vertical="center"/>
    </xf>
    <xf numFmtId="0" fontId="92" fillId="69" borderId="0" xfId="0" applyFont="1" applyFill="1" applyAlignment="1">
      <alignment horizontal="left" vertical="center"/>
    </xf>
    <xf numFmtId="0" fontId="86" fillId="69" borderId="0" xfId="0" applyNumberFormat="1" applyFont="1" applyFill="1" applyBorder="1"/>
    <xf numFmtId="0" fontId="31" fillId="69" borderId="0" xfId="0" applyNumberFormat="1" applyFont="1" applyFill="1" applyBorder="1"/>
    <xf numFmtId="0" fontId="28" fillId="69" borderId="0" xfId="0" applyNumberFormat="1" applyFont="1" applyFill="1" applyBorder="1" applyAlignment="1">
      <alignment wrapText="1"/>
    </xf>
    <xf numFmtId="0" fontId="28" fillId="69" borderId="0" xfId="0" applyNumberFormat="1" applyFont="1" applyFill="1" applyBorder="1" applyAlignment="1">
      <alignment horizontal="center" vertical="center" wrapText="1"/>
    </xf>
    <xf numFmtId="0" fontId="28" fillId="69" borderId="0" xfId="0" applyNumberFormat="1" applyFont="1" applyFill="1" applyBorder="1"/>
    <xf numFmtId="0" fontId="28" fillId="69" borderId="0" xfId="0" applyNumberFormat="1" applyFont="1" applyFill="1" applyBorder="1" applyAlignment="1">
      <alignment horizontal="center" vertical="center"/>
    </xf>
    <xf numFmtId="0" fontId="93" fillId="69" borderId="0" xfId="0" applyNumberFormat="1" applyFont="1" applyFill="1" applyBorder="1"/>
    <xf numFmtId="0" fontId="92" fillId="69" borderId="0" xfId="0" applyNumberFormat="1" applyFont="1" applyFill="1" applyBorder="1"/>
    <xf numFmtId="0" fontId="93" fillId="69" borderId="0" xfId="0" applyNumberFormat="1" applyFont="1" applyFill="1" applyBorder="1" applyAlignment="1">
      <alignment horizontal="center" vertical="center"/>
    </xf>
    <xf numFmtId="0" fontId="93" fillId="69" borderId="0" xfId="0" applyNumberFormat="1" applyFont="1" applyFill="1" applyBorder="1" applyAlignment="1">
      <alignment horizontal="center"/>
    </xf>
    <xf numFmtId="0" fontId="31" fillId="69" borderId="0" xfId="0" applyNumberFormat="1" applyFont="1" applyFill="1" applyBorder="1" applyAlignment="1">
      <alignment horizontal="center" vertical="center"/>
    </xf>
    <xf numFmtId="0" fontId="94" fillId="69" borderId="0" xfId="0" applyNumberFormat="1" applyFont="1" applyFill="1" applyBorder="1" applyAlignment="1">
      <alignment horizontal="left"/>
    </xf>
    <xf numFmtId="0" fontId="31" fillId="69" borderId="0" xfId="0" applyNumberFormat="1" applyFont="1" applyFill="1" applyBorder="1" applyAlignment="1">
      <alignment horizontal="center" vertical="center" wrapText="1"/>
    </xf>
    <xf numFmtId="0" fontId="31" fillId="69" borderId="0" xfId="0" applyNumberFormat="1" applyFont="1" applyFill="1" applyBorder="1" applyAlignment="1">
      <alignment horizontal="left"/>
    </xf>
    <xf numFmtId="0" fontId="95" fillId="69" borderId="0" xfId="0" applyNumberFormat="1" applyFont="1" applyFill="1" applyBorder="1"/>
    <xf numFmtId="0" fontId="95" fillId="69" borderId="0" xfId="0" applyNumberFormat="1" applyFont="1" applyFill="1" applyBorder="1" applyAlignment="1">
      <alignment horizontal="center" vertical="center"/>
    </xf>
    <xf numFmtId="49" fontId="31" fillId="69" borderId="0" xfId="0" applyNumberFormat="1" applyFont="1" applyFill="1" applyBorder="1"/>
    <xf numFmtId="49" fontId="31" fillId="69" borderId="0" xfId="0" applyNumberFormat="1" applyFont="1" applyFill="1" applyBorder="1" applyAlignment="1">
      <alignment horizontal="center" vertical="center"/>
    </xf>
    <xf numFmtId="0" fontId="86" fillId="69" borderId="0" xfId="0" applyNumberFormat="1" applyFont="1" applyFill="1" applyBorder="1" applyAlignment="1">
      <alignment horizontal="center" vertical="center"/>
    </xf>
    <xf numFmtId="0" fontId="86" fillId="70" borderId="35" xfId="0" applyFont="1" applyFill="1" applyBorder="1" applyAlignment="1">
      <alignment horizontal="center" vertical="center" wrapText="1"/>
    </xf>
    <xf numFmtId="0" fontId="86" fillId="69" borderId="41" xfId="0" applyFont="1" applyFill="1" applyBorder="1" applyAlignment="1">
      <alignment horizontal="center" vertical="center" wrapText="1"/>
    </xf>
    <xf numFmtId="0" fontId="86" fillId="70" borderId="35" xfId="0" applyFont="1" applyFill="1" applyBorder="1" applyAlignment="1">
      <alignment horizontal="center" vertical="center"/>
    </xf>
    <xf numFmtId="9" fontId="86" fillId="70" borderId="35" xfId="278" applyNumberFormat="1" applyFont="1" applyFill="1" applyBorder="1" applyAlignment="1">
      <alignment horizontal="center" vertical="center"/>
    </xf>
    <xf numFmtId="0" fontId="96" fillId="69" borderId="11" xfId="0" applyFont="1" applyFill="1" applyBorder="1" applyAlignment="1">
      <alignment horizontal="center" vertical="center"/>
    </xf>
    <xf numFmtId="3" fontId="96" fillId="69" borderId="11" xfId="0" applyNumberFormat="1" applyFont="1" applyFill="1" applyBorder="1" applyAlignment="1">
      <alignment horizontal="center" vertical="center"/>
    </xf>
    <xf numFmtId="0" fontId="96" fillId="69" borderId="11" xfId="495" applyFont="1" applyFill="1" applyBorder="1" applyAlignment="1">
      <alignment horizontal="center" vertical="center" wrapText="1"/>
    </xf>
    <xf numFmtId="0" fontId="98" fillId="69" borderId="0" xfId="0" applyFont="1" applyFill="1"/>
    <xf numFmtId="1" fontId="86" fillId="69" borderId="11" xfId="577" applyNumberFormat="1" applyFont="1" applyFill="1" applyBorder="1" applyAlignment="1" applyProtection="1">
      <alignment horizontal="center" vertical="center"/>
      <protection hidden="1"/>
    </xf>
    <xf numFmtId="1" fontId="86" fillId="69" borderId="11" xfId="578" applyNumberFormat="1" applyFont="1" applyFill="1" applyBorder="1" applyAlignment="1" applyProtection="1">
      <alignment horizontal="center" vertical="center" wrapText="1"/>
      <protection hidden="1"/>
    </xf>
    <xf numFmtId="0" fontId="98" fillId="69" borderId="11" xfId="495" applyFont="1" applyFill="1" applyBorder="1" applyAlignment="1">
      <alignment horizontal="center" vertical="center" wrapText="1"/>
    </xf>
    <xf numFmtId="43" fontId="86" fillId="69" borderId="11" xfId="1" applyFont="1" applyFill="1" applyBorder="1" applyAlignment="1" applyProtection="1">
      <alignment horizontal="center" vertical="center"/>
    </xf>
    <xf numFmtId="0" fontId="97" fillId="69" borderId="11" xfId="0" applyFont="1" applyFill="1" applyBorder="1" applyAlignment="1">
      <alignment horizontal="center" vertical="center" wrapText="1"/>
    </xf>
    <xf numFmtId="0" fontId="86" fillId="69" borderId="11" xfId="577" applyFont="1" applyFill="1" applyBorder="1" applyAlignment="1" applyProtection="1">
      <alignment horizontal="center" vertical="center"/>
      <protection hidden="1"/>
    </xf>
    <xf numFmtId="0" fontId="99" fillId="69" borderId="0" xfId="0" applyFont="1" applyFill="1"/>
    <xf numFmtId="0" fontId="98" fillId="69" borderId="11" xfId="0" applyFont="1" applyFill="1" applyBorder="1" applyAlignment="1">
      <alignment horizontal="center" vertical="center" wrapText="1"/>
    </xf>
    <xf numFmtId="0" fontId="91" fillId="69" borderId="35" xfId="0" applyFont="1" applyFill="1" applyBorder="1" applyAlignment="1">
      <alignment horizontal="center" vertical="center" wrapText="1"/>
    </xf>
    <xf numFmtId="0" fontId="86" fillId="69" borderId="11" xfId="565" applyFont="1" applyFill="1" applyBorder="1" applyAlignment="1" applyProtection="1">
      <alignment horizontal="center" wrapText="1"/>
      <protection hidden="1"/>
    </xf>
    <xf numFmtId="0" fontId="91" fillId="69" borderId="11" xfId="0" applyFont="1" applyFill="1" applyBorder="1" applyAlignment="1">
      <alignment horizontal="center" vertical="center" wrapText="1"/>
    </xf>
    <xf numFmtId="0" fontId="86" fillId="69" borderId="11" xfId="578" applyFont="1" applyFill="1" applyBorder="1" applyAlignment="1" applyProtection="1">
      <alignment horizontal="center" vertical="center"/>
      <protection locked="0" hidden="1"/>
    </xf>
    <xf numFmtId="0" fontId="86" fillId="69" borderId="40" xfId="0" applyFont="1" applyFill="1" applyBorder="1" applyAlignment="1">
      <alignment horizontal="left" vertical="center" wrapText="1"/>
    </xf>
    <xf numFmtId="0" fontId="86" fillId="69" borderId="11" xfId="578" applyFont="1" applyFill="1" applyBorder="1" applyAlignment="1" applyProtection="1">
      <alignment horizontal="center" vertical="center" wrapText="1"/>
      <protection hidden="1"/>
    </xf>
    <xf numFmtId="0" fontId="86" fillId="69" borderId="11" xfId="578" applyFont="1" applyFill="1" applyBorder="1" applyAlignment="1" applyProtection="1">
      <alignment horizontal="center" vertical="center"/>
      <protection hidden="1"/>
    </xf>
    <xf numFmtId="0" fontId="86" fillId="69" borderId="11" xfId="577" applyFont="1" applyFill="1" applyBorder="1" applyAlignment="1">
      <alignment vertical="center" wrapText="1"/>
    </xf>
    <xf numFmtId="0" fontId="86" fillId="69" borderId="11" xfId="577" applyFont="1" applyFill="1" applyBorder="1" applyAlignment="1" applyProtection="1">
      <alignment horizontal="center" vertical="center" wrapText="1"/>
      <protection locked="0" hidden="1"/>
    </xf>
    <xf numFmtId="3" fontId="86" fillId="69" borderId="11" xfId="578" applyNumberFormat="1" applyFont="1" applyFill="1" applyBorder="1" applyAlignment="1" applyProtection="1">
      <alignment horizontal="center" vertical="center"/>
      <protection locked="0" hidden="1"/>
    </xf>
    <xf numFmtId="3" fontId="86" fillId="69" borderId="11" xfId="577" applyNumberFormat="1" applyFont="1" applyFill="1" applyBorder="1" applyAlignment="1" applyProtection="1">
      <alignment horizontal="center" vertical="center" wrapText="1"/>
      <protection locked="0" hidden="1"/>
    </xf>
    <xf numFmtId="3" fontId="86" fillId="69" borderId="11" xfId="578" applyNumberFormat="1" applyFont="1" applyFill="1" applyBorder="1" applyAlignment="1" applyProtection="1">
      <alignment horizontal="center" vertical="center"/>
      <protection hidden="1"/>
    </xf>
    <xf numFmtId="0" fontId="86" fillId="69" borderId="11" xfId="577" applyFont="1" applyFill="1" applyBorder="1" applyAlignment="1" applyProtection="1">
      <alignment horizontal="center" vertical="center" wrapText="1"/>
      <protection hidden="1"/>
    </xf>
    <xf numFmtId="208" fontId="86" fillId="70" borderId="11" xfId="278" applyNumberFormat="1" applyFont="1" applyFill="1" applyBorder="1" applyAlignment="1">
      <alignment horizontal="center" vertical="center" wrapText="1"/>
    </xf>
    <xf numFmtId="0" fontId="86" fillId="69" borderId="42" xfId="278" applyFont="1" applyFill="1" applyBorder="1" applyAlignment="1">
      <alignment horizontal="center" vertical="center" wrapText="1"/>
    </xf>
    <xf numFmtId="0" fontId="86" fillId="69" borderId="11" xfId="0" applyFont="1" applyFill="1" applyBorder="1" applyAlignment="1">
      <alignment horizontal="right" vertical="center"/>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wrapText="1"/>
    </xf>
    <xf numFmtId="0" fontId="92" fillId="69" borderId="42" xfId="278" applyFont="1" applyFill="1" applyBorder="1" applyAlignment="1">
      <alignment horizontal="left" vertical="center" wrapText="1"/>
    </xf>
    <xf numFmtId="43" fontId="86" fillId="70" borderId="11" xfId="1" applyFont="1" applyFill="1" applyBorder="1" applyAlignment="1" applyProtection="1">
      <alignment horizontal="center" vertical="center"/>
    </xf>
    <xf numFmtId="0" fontId="86" fillId="69" borderId="11" xfId="571" applyFont="1" applyFill="1" applyBorder="1" applyAlignment="1" applyProtection="1">
      <alignment horizontal="center" wrapText="1"/>
      <protection hidden="1"/>
    </xf>
    <xf numFmtId="0" fontId="86" fillId="69" borderId="27" xfId="0" applyFont="1" applyFill="1" applyBorder="1" applyAlignment="1">
      <alignment horizontal="center" vertical="center" wrapText="1"/>
    </xf>
    <xf numFmtId="0" fontId="86" fillId="69" borderId="31" xfId="0" applyFont="1" applyFill="1" applyBorder="1" applyAlignment="1">
      <alignment horizontal="center" vertical="center" wrapText="1"/>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horizontal="justify" vertical="justify" wrapText="1"/>
    </xf>
    <xf numFmtId="0" fontId="31" fillId="69" borderId="0" xfId="0" applyNumberFormat="1" applyFont="1" applyFill="1" applyBorder="1" applyAlignment="1">
      <alignment wrapText="1"/>
    </xf>
    <xf numFmtId="0" fontId="31" fillId="69" borderId="0" xfId="0" applyNumberFormat="1" applyFont="1" applyFill="1" applyBorder="1" applyAlignment="1">
      <alignment horizontal="left" vertical="center" wrapText="1"/>
    </xf>
    <xf numFmtId="0" fontId="86" fillId="69" borderId="32" xfId="0" applyFont="1" applyFill="1" applyBorder="1" applyAlignment="1">
      <alignment horizontal="center" vertical="center" wrapText="1"/>
    </xf>
    <xf numFmtId="49" fontId="86" fillId="69" borderId="25" xfId="0" applyNumberFormat="1" applyFont="1" applyFill="1" applyBorder="1" applyAlignment="1">
      <alignment horizontal="center" vertical="center" wrapText="1"/>
    </xf>
    <xf numFmtId="49" fontId="86" fillId="69" borderId="29" xfId="0" applyNumberFormat="1" applyFont="1" applyFill="1" applyBorder="1" applyAlignment="1">
      <alignment horizontal="center" vertical="center" wrapText="1"/>
    </xf>
    <xf numFmtId="0" fontId="86" fillId="69" borderId="25" xfId="0" applyFont="1" applyFill="1" applyBorder="1" applyAlignment="1">
      <alignment horizontal="center" vertical="center" wrapText="1"/>
    </xf>
    <xf numFmtId="0" fontId="86" fillId="69" borderId="29" xfId="0" applyFont="1" applyFill="1" applyBorder="1" applyAlignment="1">
      <alignment horizontal="center" vertical="center" wrapText="1"/>
    </xf>
    <xf numFmtId="1" fontId="86" fillId="69" borderId="25" xfId="0" applyNumberFormat="1" applyFont="1" applyFill="1" applyBorder="1" applyAlignment="1">
      <alignment horizontal="center" vertical="center" wrapText="1"/>
    </xf>
    <xf numFmtId="1" fontId="86" fillId="69" borderId="29" xfId="0" applyNumberFormat="1" applyFont="1" applyFill="1" applyBorder="1" applyAlignment="1">
      <alignment horizontal="center" vertical="center" wrapText="1"/>
    </xf>
    <xf numFmtId="0" fontId="85" fillId="70" borderId="0" xfId="278" applyFont="1" applyFill="1" applyBorder="1" applyAlignment="1">
      <alignment horizontal="left" vertical="center"/>
    </xf>
    <xf numFmtId="4" fontId="86" fillId="69" borderId="27" xfId="362" applyNumberFormat="1" applyFont="1" applyFill="1" applyBorder="1" applyAlignment="1">
      <alignment horizontal="center" vertical="center" wrapText="1"/>
    </xf>
    <xf numFmtId="4" fontId="86" fillId="69" borderId="32" xfId="362" applyNumberFormat="1" applyFont="1" applyFill="1" applyBorder="1" applyAlignment="1">
      <alignment horizontal="center" vertical="center" wrapText="1"/>
    </xf>
    <xf numFmtId="3" fontId="86" fillId="69" borderId="25" xfId="362" applyNumberFormat="1" applyFont="1" applyFill="1" applyBorder="1" applyAlignment="1">
      <alignment horizontal="center" vertical="center" wrapText="1"/>
    </xf>
    <xf numFmtId="3" fontId="86" fillId="69" borderId="29" xfId="362" applyNumberFormat="1" applyFont="1" applyFill="1" applyBorder="1" applyAlignment="1">
      <alignment horizontal="center" vertical="center" wrapText="1"/>
    </xf>
    <xf numFmtId="0" fontId="86" fillId="69" borderId="25" xfId="278" applyFont="1" applyFill="1" applyBorder="1" applyAlignment="1">
      <alignment horizontal="center" vertical="center" wrapText="1"/>
    </xf>
    <xf numFmtId="0" fontId="86" fillId="69" borderId="28" xfId="278" applyFont="1" applyFill="1" applyBorder="1" applyAlignment="1">
      <alignment horizontal="center" vertical="center" wrapText="1"/>
    </xf>
    <xf numFmtId="3" fontId="86" fillId="69" borderId="26" xfId="362" applyNumberFormat="1" applyFont="1" applyFill="1" applyBorder="1" applyAlignment="1">
      <alignment horizontal="center" vertical="center" wrapText="1"/>
    </xf>
    <xf numFmtId="3" fontId="86" fillId="69" borderId="30" xfId="362" applyNumberFormat="1" applyFont="1" applyFill="1" applyBorder="1" applyAlignment="1">
      <alignment horizontal="center" vertical="center" wrapText="1"/>
    </xf>
    <xf numFmtId="0" fontId="86" fillId="69" borderId="33" xfId="278" applyFont="1" applyFill="1" applyBorder="1" applyAlignment="1">
      <alignment horizontal="center" vertical="center" wrapText="1"/>
    </xf>
    <xf numFmtId="0" fontId="86" fillId="69" borderId="34" xfId="278" applyFont="1" applyFill="1" applyBorder="1" applyAlignment="1">
      <alignment horizontal="center" vertical="center" wrapText="1"/>
    </xf>
  </cellXfs>
  <cellStyles count="590">
    <cellStyle name=" 1" xfId="3"/>
    <cellStyle name="_x000d__x000a_JournalTemplate=C:\COMFO\CTALK\JOURSTD.TPL_x000d__x000a_LbStateAddress=3 3 0 251 1 89 2 311_x000d__x000a_LbStateJou" xfId="4"/>
    <cellStyle name="_______ 2" xfId="5"/>
    <cellStyle name="_Consolidator V0.16" xfId="6"/>
    <cellStyle name="_CoSM_v504_Draft" xfId="7"/>
    <cellStyle name="_Inp_Co_Details" xfId="8"/>
    <cellStyle name="_Inp_Company details" xfId="9"/>
    <cellStyle name="_KMG_Forms_Sample Intergroup Operations_KMG Level_V01_sdb" xfId="10"/>
    <cellStyle name="_Matrix" xfId="11"/>
    <cellStyle name="_PRICE_1C" xfId="12"/>
    <cellStyle name="_Sub_01_JSC KazMunaiGaz E&amp;P_2008" xfId="13"/>
    <cellStyle name="_x005f_x000d__x000a_JournalTemplate=C:\COMFO\CTALK\JOURSTD.TPL_x005f_x000d__x000a_LbStateAddress=3 3 0 251 1 89 2 311_x005f_x000d__x000a_LbStateJou" xfId="14"/>
    <cellStyle name="_Автошин " xfId="15"/>
    <cellStyle name="_Автошин  2" xfId="16"/>
    <cellStyle name="_Бюдж.формы ЗАО АГ" xfId="17"/>
    <cellStyle name="_Книга2" xfId="18"/>
    <cellStyle name="_мебель, оборудование инвентарь1207" xfId="19"/>
    <cellStyle name="_ОТЧЕТ для ДКФ    06 04 05  (6)" xfId="20"/>
    <cellStyle name="_План развития ПТС на 2005-2010 (связи станционной части)" xfId="21"/>
    <cellStyle name="_произв.цели - приложение к СНР_айгерим_09.11" xfId="22"/>
    <cellStyle name="_Расчет себестоимости Аманегльдинского газа" xfId="23"/>
    <cellStyle name="_Расчетная потребность на 01.01.08" xfId="489"/>
    <cellStyle name="_Расчетная потребность на 01.01.09" xfId="490"/>
    <cellStyle name="_Регистрация договоров 2003" xfId="24"/>
    <cellStyle name="_Себестоимость" xfId="25"/>
    <cellStyle name="_Утв СД Бюджет расшиф 29 12 05" xfId="26"/>
    <cellStyle name="_Форма дуль 2" xfId="27"/>
    <cellStyle name="_Форма ФОТ" xfId="28"/>
    <cellStyle name="_Формы по инвестплану" xfId="29"/>
    <cellStyle name="_формы по ип (4)" xfId="30"/>
    <cellStyle name="_Формы по ип 17 окт  08 (2)" xfId="31"/>
    <cellStyle name="_формы по ип 22 сент 08" xfId="32"/>
    <cellStyle name="”ќђќ‘ћ‚›‰" xfId="33"/>
    <cellStyle name="”љ‘ђћ‚ђќќ›‰" xfId="34"/>
    <cellStyle name="„…ќ…†ќ›‰" xfId="35"/>
    <cellStyle name="‡ђѓћ‹ћ‚ћљ1" xfId="36"/>
    <cellStyle name="‡ђѓћ‹ћ‚ћљ2" xfId="37"/>
    <cellStyle name="’ћѓћ‚›‰" xfId="38"/>
    <cellStyle name="20% - Accent1" xfId="39"/>
    <cellStyle name="20% - Accent2" xfId="40"/>
    <cellStyle name="20% - Accent3" xfId="41"/>
    <cellStyle name="20% - Accent4" xfId="42"/>
    <cellStyle name="20% - Accent5" xfId="43"/>
    <cellStyle name="20% - Accent6" xfId="44"/>
    <cellStyle name="20% - Акцент1 2" xfId="45"/>
    <cellStyle name="20% - Акцент2 2" xfId="46"/>
    <cellStyle name="20% - Акцент3 2" xfId="47"/>
    <cellStyle name="20% - Акцент4 2" xfId="48"/>
    <cellStyle name="20% - Акцент5 2" xfId="49"/>
    <cellStyle name="20% - Акцент6 2" xfId="50"/>
    <cellStyle name="40% - Accent1" xfId="51"/>
    <cellStyle name="40% - Accent2" xfId="52"/>
    <cellStyle name="40% - Accent3" xfId="53"/>
    <cellStyle name="40% - Accent4" xfId="54"/>
    <cellStyle name="40% - Accent5" xfId="55"/>
    <cellStyle name="40% - Accent6" xfId="56"/>
    <cellStyle name="40% - Акцент1 2" xfId="57"/>
    <cellStyle name="40% - Акцент2 2" xfId="58"/>
    <cellStyle name="40% - Акцент3 2" xfId="59"/>
    <cellStyle name="40% - Акцент4 2" xfId="60"/>
    <cellStyle name="40% - Акцент5 2" xfId="61"/>
    <cellStyle name="40% - Акцент6 2" xfId="62"/>
    <cellStyle name="60% - Accent1" xfId="63"/>
    <cellStyle name="60% - Accent2" xfId="64"/>
    <cellStyle name="60% - Accent3" xfId="65"/>
    <cellStyle name="60% - Accent4" xfId="66"/>
    <cellStyle name="60% - Accent5" xfId="67"/>
    <cellStyle name="60% - Accent6" xfId="68"/>
    <cellStyle name="60% - Акцент1 2" xfId="69"/>
    <cellStyle name="60% - Акцент2 2" xfId="70"/>
    <cellStyle name="60% - Акцент3 2" xfId="71"/>
    <cellStyle name="60% - Акцент4 2" xfId="72"/>
    <cellStyle name="60% - Акцент5 2" xfId="73"/>
    <cellStyle name="60% - Акцент6 2" xfId="74"/>
    <cellStyle name="Accent1" xfId="75"/>
    <cellStyle name="Accent2" xfId="76"/>
    <cellStyle name="Accent3" xfId="77"/>
    <cellStyle name="Accent4" xfId="78"/>
    <cellStyle name="Accent5" xfId="79"/>
    <cellStyle name="Accent6" xfId="80"/>
    <cellStyle name="Bad"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cellStyle name="Check" xfId="91"/>
    <cellStyle name="Check Cell" xfId="92"/>
    <cellStyle name="Check_2009_09_22 Ежеквартальный отчет по заимствованиям (Самрук-Казына)" xfId="93"/>
    <cellStyle name="Comma [0] 2" xfId="94"/>
    <cellStyle name="Comma [0]_#6 Temps &amp; Contractors" xfId="95"/>
    <cellStyle name="Comma [00]" xfId="96"/>
    <cellStyle name="Comma_#6 Temps &amp; Contractors" xfId="97"/>
    <cellStyle name="Currency [0]" xfId="98"/>
    <cellStyle name="Currency [00]" xfId="99"/>
    <cellStyle name="Currency_#6 Temps &amp; Contractors" xfId="100"/>
    <cellStyle name="Date" xfId="101"/>
    <cellStyle name="Date Short" xfId="102"/>
    <cellStyle name="Date without year" xfId="103"/>
    <cellStyle name="DELTA" xfId="104"/>
    <cellStyle name="E&amp;Y House" xfId="105"/>
    <cellStyle name="Enter Currency (0)" xfId="106"/>
    <cellStyle name="Enter Currency (2)" xfId="107"/>
    <cellStyle name="Enter Units (0)" xfId="108"/>
    <cellStyle name="Enter Units (1)" xfId="109"/>
    <cellStyle name="Enter Units (2)" xfId="110"/>
    <cellStyle name="Excel Built-in Normal" xfId="111"/>
    <cellStyle name="Excel Built-in Normal 2" xfId="112"/>
    <cellStyle name="Excel Built-in Normal 3" xfId="113"/>
    <cellStyle name="Excel Built-in Normal 4" xfId="114"/>
    <cellStyle name="Explanatory Text" xfId="115"/>
    <cellStyle name="EYBlocked" xfId="116"/>
    <cellStyle name="EYCallUp" xfId="117"/>
    <cellStyle name="EYCheck" xfId="118"/>
    <cellStyle name="EYDate" xfId="119"/>
    <cellStyle name="EYDeviant" xfId="120"/>
    <cellStyle name="EYFlag" xfId="121"/>
    <cellStyle name="EYHeader1" xfId="122"/>
    <cellStyle name="EYHeader2" xfId="123"/>
    <cellStyle name="EYHeader3" xfId="124"/>
    <cellStyle name="EYInputDate" xfId="125"/>
    <cellStyle name="EYInputPercent" xfId="126"/>
    <cellStyle name="EYInputValue" xfId="127"/>
    <cellStyle name="EYNormal" xfId="128"/>
    <cellStyle name="EYPercent" xfId="129"/>
    <cellStyle name="EYPercentCapped" xfId="130"/>
    <cellStyle name="EYSubTotal" xfId="131"/>
    <cellStyle name="EYTotal" xfId="132"/>
    <cellStyle name="EYWIP" xfId="133"/>
    <cellStyle name="From" xfId="134"/>
    <cellStyle name="General" xfId="135"/>
    <cellStyle name="Good" xfId="136"/>
    <cellStyle name="Grey" xfId="137"/>
    <cellStyle name="header" xfId="138"/>
    <cellStyle name="Header1" xfId="139"/>
    <cellStyle name="Header2" xfId="140"/>
    <cellStyle name="Heading" xfId="141"/>
    <cellStyle name="Heading 1" xfId="142"/>
    <cellStyle name="Heading 1 1" xfId="143"/>
    <cellStyle name="Heading 2" xfId="144"/>
    <cellStyle name="Heading 3" xfId="145"/>
    <cellStyle name="Heading 4" xfId="146"/>
    <cellStyle name="Heading_2009_09_22 Ежеквартальный отчет по заимствованиям (Самрук-Казына)" xfId="147"/>
    <cellStyle name="HKHeader1" xfId="148"/>
    <cellStyle name="HKHeader2" xfId="149"/>
    <cellStyle name="HKHeader3" xfId="150"/>
    <cellStyle name="Hyperlink_RESULTS" xfId="151"/>
    <cellStyle name="Input" xfId="152"/>
    <cellStyle name="Input [yellow]" xfId="153"/>
    <cellStyle name="Input_2009_09_22 Ежеквартальный отчет по заимствованиям (Самрук-Казына)" xfId="154"/>
    <cellStyle name="Link Currency (0)" xfId="155"/>
    <cellStyle name="Link Currency (2)" xfId="156"/>
    <cellStyle name="Link Units (0)" xfId="157"/>
    <cellStyle name="Link Units (1)" xfId="158"/>
    <cellStyle name="Link Units (2)" xfId="159"/>
    <cellStyle name="Linked Cell" xfId="160"/>
    <cellStyle name="Neutral" xfId="161"/>
    <cellStyle name="Normal - Style1" xfId="162"/>
    <cellStyle name="Normal 5" xfId="491"/>
    <cellStyle name="Normal 6" xfId="492"/>
    <cellStyle name="Normal_# 41-Market &amp;Trends" xfId="163"/>
    <cellStyle name="Normal1" xfId="164"/>
    <cellStyle name="normбlnм_laroux" xfId="165"/>
    <cellStyle name="Note" xfId="166"/>
    <cellStyle name="numbers" xfId="167"/>
    <cellStyle name="Output" xfId="168"/>
    <cellStyle name="paint" xfId="169"/>
    <cellStyle name="Percent (0)" xfId="170"/>
    <cellStyle name="Percent [0]" xfId="171"/>
    <cellStyle name="Percent [00]" xfId="172"/>
    <cellStyle name="Percent [2]" xfId="173"/>
    <cellStyle name="Percent_#6 Temps &amp; Contractors" xfId="174"/>
    <cellStyle name="piw#" xfId="175"/>
    <cellStyle name="piw%" xfId="176"/>
    <cellStyle name="PrePop Currency (0)" xfId="177"/>
    <cellStyle name="PrePop Currency (2)" xfId="178"/>
    <cellStyle name="PrePop Units (0)" xfId="179"/>
    <cellStyle name="PrePop Units (1)" xfId="180"/>
    <cellStyle name="PrePop Units (2)" xfId="181"/>
    <cellStyle name="Price_Body" xfId="182"/>
    <cellStyle name="Rubles" xfId="183"/>
    <cellStyle name="SAPBEXaggData" xfId="184"/>
    <cellStyle name="SAPBEXaggDataEmph" xfId="185"/>
    <cellStyle name="SAPBEXaggItem" xfId="186"/>
    <cellStyle name="SAPBEXaggItemX" xfId="187"/>
    <cellStyle name="SAPBEXchaText" xfId="18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Text" xfId="203"/>
    <cellStyle name="SAPBEXHLevel0" xfId="204"/>
    <cellStyle name="SAPBEXHLevel0X" xfId="205"/>
    <cellStyle name="SAPBEXHLevel1" xfId="20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Emph" xfId="217"/>
    <cellStyle name="SAPBEXstdItem" xfId="218"/>
    <cellStyle name="SAPBEXstdItemX" xfId="219"/>
    <cellStyle name="SAPBEXtitle" xfId="220"/>
    <cellStyle name="SAPBEXundefined" xfId="221"/>
    <cellStyle name="SHEET" xfId="222"/>
    <cellStyle name="stand_bord" xfId="223"/>
    <cellStyle name="Style 1" xfId="224"/>
    <cellStyle name="Style 2" xfId="225"/>
    <cellStyle name="Text" xfId="226"/>
    <cellStyle name="Text Indent A" xfId="227"/>
    <cellStyle name="Text Indent B" xfId="228"/>
    <cellStyle name="Text Indent C" xfId="229"/>
    <cellStyle name="Tickmark" xfId="230"/>
    <cellStyle name="Title" xfId="231"/>
    <cellStyle name="Total" xfId="232"/>
    <cellStyle name="Warning Text" xfId="233"/>
    <cellStyle name="Акцент1 2" xfId="234"/>
    <cellStyle name="Акцент2 2" xfId="235"/>
    <cellStyle name="Акцент3 2" xfId="236"/>
    <cellStyle name="Акцент4 2" xfId="237"/>
    <cellStyle name="Акцент5 2" xfId="238"/>
    <cellStyle name="Акцент6 2" xfId="239"/>
    <cellStyle name="Беззащитный" xfId="240"/>
    <cellStyle name="Ввод  2" xfId="241"/>
    <cellStyle name="Вывод 2" xfId="242"/>
    <cellStyle name="Вычисление 2" xfId="243"/>
    <cellStyle name="Гиперссылка 2" xfId="244"/>
    <cellStyle name="Гиперссылка 3" xfId="245"/>
    <cellStyle name="Группа" xfId="246"/>
    <cellStyle name="Дата" xfId="247"/>
    <cellStyle name="Денежный 2" xfId="248"/>
    <cellStyle name="Денежный 2 2" xfId="249"/>
    <cellStyle name="Заголовок 1 2" xfId="250"/>
    <cellStyle name="Заголовок 2 2" xfId="251"/>
    <cellStyle name="Заголовок 3 2" xfId="252"/>
    <cellStyle name="Заголовок 4 2" xfId="253"/>
    <cellStyle name="Защитный" xfId="254"/>
    <cellStyle name="Звезды" xfId="255"/>
    <cellStyle name="Итог 2" xfId="256"/>
    <cellStyle name="КАНДАГАЧ тел3-33-96" xfId="257"/>
    <cellStyle name="Контрольная ячейка 2" xfId="258"/>
    <cellStyle name="Название 2" xfId="260"/>
    <cellStyle name="Название 3" xfId="261"/>
    <cellStyle name="Название 4" xfId="262"/>
    <cellStyle name="Название 5" xfId="263"/>
    <cellStyle name="Название 6" xfId="264"/>
    <cellStyle name="Название 7" xfId="259"/>
    <cellStyle name="Наименование" xfId="265"/>
    <cellStyle name="Нейтральный 2" xfId="266"/>
    <cellStyle name="Обычный" xfId="0" builtinId="0"/>
    <cellStyle name="Обычный 10" xfId="267"/>
    <cellStyle name="Обычный 10 2" xfId="446"/>
    <cellStyle name="Обычный 10 3" xfId="493"/>
    <cellStyle name="Обычный 11" xfId="268"/>
    <cellStyle name="Обычный 11 2" xfId="494"/>
    <cellStyle name="Обычный 12" xfId="269"/>
    <cellStyle name="Обычный 12 2" xfId="495"/>
    <cellStyle name="Обычный 13" xfId="270"/>
    <cellStyle name="Обычный 13 2" xfId="496"/>
    <cellStyle name="Обычный 14" xfId="271"/>
    <cellStyle name="Обычный 14 2" xfId="497"/>
    <cellStyle name="Обычный 15" xfId="272"/>
    <cellStyle name="Обычный 15 2" xfId="498"/>
    <cellStyle name="Обычный 16" xfId="273"/>
    <cellStyle name="Обычный 16 2" xfId="499"/>
    <cellStyle name="Обычный 17" xfId="274"/>
    <cellStyle name="Обычный 17 2" xfId="500"/>
    <cellStyle name="Обычный 18" xfId="275"/>
    <cellStyle name="Обычный 18 2" xfId="501"/>
    <cellStyle name="Обычный 19" xfId="276"/>
    <cellStyle name="Обычный 19 2" xfId="277"/>
    <cellStyle name="Обычный 19 3" xfId="502"/>
    <cellStyle name="Обычный 2" xfId="278"/>
    <cellStyle name="Обычный 2 11" xfId="563"/>
    <cellStyle name="Обычный 2 2" xfId="279"/>
    <cellStyle name="Обычный 2 2 2" xfId="280"/>
    <cellStyle name="Обычный 2 2 2 2" xfId="580"/>
    <cellStyle name="Обычный 2 2 4" xfId="587"/>
    <cellStyle name="Обычный 2 2 6" xfId="558"/>
    <cellStyle name="Обычный 2 2 7" xfId="561"/>
    <cellStyle name="Обычный 2 3" xfId="281"/>
    <cellStyle name="Обычный 2 4" xfId="503"/>
    <cellStyle name="Обычный 2 4 2" xfId="576"/>
    <cellStyle name="Обычный 2 5" xfId="557"/>
    <cellStyle name="Обычный 2_Формы 8НК_для КВЛ" xfId="282"/>
    <cellStyle name="Обычный 20" xfId="283"/>
    <cellStyle name="Обычный 21" xfId="284"/>
    <cellStyle name="Обычный 21 2" xfId="560"/>
    <cellStyle name="Обычный 22" xfId="285"/>
    <cellStyle name="Обычный 23" xfId="286"/>
    <cellStyle name="Обычный 24" xfId="287"/>
    <cellStyle name="Обычный 25" xfId="288"/>
    <cellStyle name="Обычный 26" xfId="289"/>
    <cellStyle name="Обычный 26 2" xfId="504"/>
    <cellStyle name="Обычный 27" xfId="2"/>
    <cellStyle name="Обычный 28" xfId="378"/>
    <cellStyle name="Обычный 29" xfId="394"/>
    <cellStyle name="Обычный 3" xfId="290"/>
    <cellStyle name="Обычный 3 11 2 2 3 2" xfId="554"/>
    <cellStyle name="Обычный 3 11 2 2 3 2 3" xfId="556"/>
    <cellStyle name="Обычный 3 2" xfId="291"/>
    <cellStyle name="Обычный 3 3" xfId="292"/>
    <cellStyle name="Обычный 3 4" xfId="293"/>
    <cellStyle name="Обычный 3 5" xfId="294"/>
    <cellStyle name="Обычный 3 6" xfId="295"/>
    <cellStyle name="Обычный 3 7" xfId="296"/>
    <cellStyle name="Обычный 3 8" xfId="297"/>
    <cellStyle name="Обычный 3_22.1 раздел" xfId="505"/>
    <cellStyle name="Обычный 30" xfId="380"/>
    <cellStyle name="Обычный 31" xfId="398"/>
    <cellStyle name="Обычный 32" xfId="381"/>
    <cellStyle name="Обычный 32 2" xfId="506"/>
    <cellStyle name="Обычный 33" xfId="400"/>
    <cellStyle name="Обычный 33 2" xfId="507"/>
    <cellStyle name="Обычный 34" xfId="384"/>
    <cellStyle name="Обычный 34 2" xfId="508"/>
    <cellStyle name="Обычный 35" xfId="298"/>
    <cellStyle name="Обычный 36" xfId="403"/>
    <cellStyle name="Обычный 37" xfId="404"/>
    <cellStyle name="Обычный 38" xfId="299"/>
    <cellStyle name="Обычный 39" xfId="399"/>
    <cellStyle name="Обычный 4" xfId="300"/>
    <cellStyle name="Обычный 4 2" xfId="301"/>
    <cellStyle name="Обычный 4 2 2" xfId="579"/>
    <cellStyle name="Обычный 4 3" xfId="509"/>
    <cellStyle name="Обычный 4 5" xfId="510"/>
    <cellStyle name="Обычный 4_22.1 раздел" xfId="511"/>
    <cellStyle name="Обычный 40" xfId="407"/>
    <cellStyle name="Обычный 41" xfId="408"/>
    <cellStyle name="Обычный 42" xfId="386"/>
    <cellStyle name="Обычный 43" xfId="414"/>
    <cellStyle name="Обычный 44" xfId="415"/>
    <cellStyle name="Обычный 45" xfId="416"/>
    <cellStyle name="Обычный 46" xfId="302"/>
    <cellStyle name="Обычный 47" xfId="417"/>
    <cellStyle name="Обычный 48" xfId="418"/>
    <cellStyle name="Обычный 49" xfId="419"/>
    <cellStyle name="Обычный 5" xfId="303"/>
    <cellStyle name="Обычный 5 2" xfId="512"/>
    <cellStyle name="Обычный 5 3" xfId="562"/>
    <cellStyle name="Обычный 5 4" xfId="570"/>
    <cellStyle name="Обычный 50" xfId="420"/>
    <cellStyle name="Обычный 51" xfId="391"/>
    <cellStyle name="Обычный 52" xfId="429"/>
    <cellStyle name="Обычный 53" xfId="430"/>
    <cellStyle name="Обычный 54" xfId="426"/>
    <cellStyle name="Обычный 55" xfId="436"/>
    <cellStyle name="Обычный 56" xfId="437"/>
    <cellStyle name="Обычный 57" xfId="438"/>
    <cellStyle name="Обычный 58" xfId="439"/>
    <cellStyle name="Обычный 59" xfId="440"/>
    <cellStyle name="Обычный 6" xfId="304"/>
    <cellStyle name="Обычный 6 2" xfId="513"/>
    <cellStyle name="Обычный 60" xfId="441"/>
    <cellStyle name="Обычный 61" xfId="442"/>
    <cellStyle name="Обычный 62" xfId="443"/>
    <cellStyle name="Обычный 63" xfId="444"/>
    <cellStyle name="Обычный 64" xfId="409"/>
    <cellStyle name="Обычный 65" xfId="488"/>
    <cellStyle name="Обычный 66" xfId="531"/>
    <cellStyle name="Обычный 67" xfId="538"/>
    <cellStyle name="Обычный 68" xfId="539"/>
    <cellStyle name="Обычный 69" xfId="540"/>
    <cellStyle name="Обычный 7" xfId="305"/>
    <cellStyle name="Обычный 7 2" xfId="514"/>
    <cellStyle name="Обычный 7 6" xfId="515"/>
    <cellStyle name="Обычный 7 7" xfId="516"/>
    <cellStyle name="Обычный 70" xfId="541"/>
    <cellStyle name="Обычный 71" xfId="542"/>
    <cellStyle name="Обычный 72" xfId="543"/>
    <cellStyle name="Обычный 73" xfId="544"/>
    <cellStyle name="Обычный 74" xfId="545"/>
    <cellStyle name="Обычный 75" xfId="546"/>
    <cellStyle name="Обычный 76" xfId="547"/>
    <cellStyle name="Обычный 77" xfId="548"/>
    <cellStyle name="Обычный 78" xfId="549"/>
    <cellStyle name="Обычный 79" xfId="550"/>
    <cellStyle name="Обычный 8" xfId="306"/>
    <cellStyle name="Обычный 8 2" xfId="517"/>
    <cellStyle name="Обычный 80" xfId="551"/>
    <cellStyle name="Обычный 81" xfId="552"/>
    <cellStyle name="Обычный 82" xfId="553"/>
    <cellStyle name="Обычный 9" xfId="307"/>
    <cellStyle name="Обычный 9 2" xfId="518"/>
    <cellStyle name="Обычный 9 8" xfId="519"/>
    <cellStyle name="Обычный 9 9" xfId="520"/>
    <cellStyle name="Обычный_1.1.12" xfId="588"/>
    <cellStyle name="Обычный_2.19" xfId="589"/>
    <cellStyle name="Обычный_Асхат ОТК-замена КамАЗ 2" xfId="573"/>
    <cellStyle name="Обычный_Дополнение_1" xfId="569"/>
    <cellStyle name="Обычный_Заявка 2005 г. приложение 1.1." xfId="571"/>
    <cellStyle name="Обычный_Заявка 2005 г. приложение 1.1. 2" xfId="586"/>
    <cellStyle name="Обычный_Заявка ММГ-2005г.5 раздел11.10.04" xfId="566"/>
    <cellStyle name="Обычный_Лист1" xfId="564"/>
    <cellStyle name="Обычный_Лист1 12" xfId="581"/>
    <cellStyle name="Обычный_Лист1 13" xfId="584"/>
    <cellStyle name="Обычный_Лист1 2" xfId="577"/>
    <cellStyle name="Обычный_Лист2" xfId="574"/>
    <cellStyle name="Обычный_Лист2 2" xfId="585"/>
    <cellStyle name="Обычный_Лист3 2" xfId="582"/>
    <cellStyle name="Обычный_Лист4" xfId="583"/>
    <cellStyle name="Обычный_Прайс-лист  УАЗ" xfId="575"/>
    <cellStyle name="Обычный_Утв.заявка  (свод.)-2006  от 10 11 05.база xls (вар" xfId="565"/>
    <cellStyle name="Обычный_Утв.заявка  (свод.)-2006  от 10 11 05.база xls (вар 2" xfId="578"/>
    <cellStyle name="Плохой 2" xfId="308"/>
    <cellStyle name="Пояснение 2" xfId="309"/>
    <cellStyle name="Примечание 2" xfId="310"/>
    <cellStyle name="Процентный 2" xfId="311"/>
    <cellStyle name="Процентный 2 10" xfId="312"/>
    <cellStyle name="Процентный 2 11" xfId="313"/>
    <cellStyle name="Процентный 2 12" xfId="314"/>
    <cellStyle name="Процентный 2 13" xfId="315"/>
    <cellStyle name="Процентный 2 14" xfId="316"/>
    <cellStyle name="Процентный 2 2" xfId="317"/>
    <cellStyle name="Процентный 2 3" xfId="318"/>
    <cellStyle name="Процентный 2 4" xfId="319"/>
    <cellStyle name="Процентный 2 5" xfId="320"/>
    <cellStyle name="Процентный 2 6" xfId="321"/>
    <cellStyle name="Процентный 2 7" xfId="322"/>
    <cellStyle name="Процентный 2 8" xfId="323"/>
    <cellStyle name="Процентный 2 9" xfId="324"/>
    <cellStyle name="Процентный 3" xfId="325"/>
    <cellStyle name="Процентный 4" xfId="521"/>
    <cellStyle name="Связанная ячейка 2" xfId="326"/>
    <cellStyle name="Стиль 1" xfId="327"/>
    <cellStyle name="Стиль 1 2" xfId="328"/>
    <cellStyle name="Стиль 1 2 15" xfId="329"/>
    <cellStyle name="Стиль 1 3" xfId="330"/>
    <cellStyle name="Стиль 1 4" xfId="522"/>
    <cellStyle name="Стиль 2" xfId="331"/>
    <cellStyle name="Стиль 3" xfId="332"/>
    <cellStyle name="Стиль_названий" xfId="333"/>
    <cellStyle name="Строка нечётная" xfId="334"/>
    <cellStyle name="Строка чётная" xfId="335"/>
    <cellStyle name="Текст предупреждения 2" xfId="336"/>
    <cellStyle name="Тысячи [0]" xfId="337"/>
    <cellStyle name="Тысячи [0] 10" xfId="338"/>
    <cellStyle name="Тысячи [0] 11" xfId="339"/>
    <cellStyle name="Тысячи [0] 2" xfId="340"/>
    <cellStyle name="Тысячи [0] 3" xfId="341"/>
    <cellStyle name="Тысячи [0] 4" xfId="342"/>
    <cellStyle name="Тысячи [0] 5" xfId="343"/>
    <cellStyle name="Тысячи [0] 6" xfId="344"/>
    <cellStyle name="Тысячи [0] 7" xfId="345"/>
    <cellStyle name="Тысячи [0] 8" xfId="346"/>
    <cellStyle name="Тысячи [0] 9" xfId="347"/>
    <cellStyle name="Тысячи [0]_2009_09_22 Ежеквартальный отчет по заимствованиям (Самрук-Казына)" xfId="348"/>
    <cellStyle name="Тысячи_010SN05" xfId="349"/>
    <cellStyle name="Финансовый" xfId="1" builtinId="3"/>
    <cellStyle name="Финансовый [0] 3" xfId="351"/>
    <cellStyle name="Финансовый 10" xfId="352"/>
    <cellStyle name="Финансовый 10 2" xfId="523"/>
    <cellStyle name="Финансовый 100" xfId="555"/>
    <cellStyle name="Финансовый 11" xfId="353"/>
    <cellStyle name="Финансовый 11 2" xfId="525"/>
    <cellStyle name="Финансовый 11 3" xfId="526"/>
    <cellStyle name="Финансовый 11 4" xfId="527"/>
    <cellStyle name="Финансовый 11 5" xfId="528"/>
    <cellStyle name="Финансовый 11 6" xfId="529"/>
    <cellStyle name="Финансовый 11 7" xfId="530"/>
    <cellStyle name="Финансовый 11 8" xfId="524"/>
    <cellStyle name="Финансовый 12" xfId="354"/>
    <cellStyle name="Финансовый 13" xfId="355"/>
    <cellStyle name="Финансовый 14" xfId="356"/>
    <cellStyle name="Финансовый 15" xfId="357"/>
    <cellStyle name="Финансовый 16" xfId="358"/>
    <cellStyle name="Финансовый 17" xfId="359"/>
    <cellStyle name="Финансовый 18" xfId="350"/>
    <cellStyle name="Финансовый 19" xfId="392"/>
    <cellStyle name="Финансовый 19 2" xfId="567"/>
    <cellStyle name="Финансовый 2" xfId="360"/>
    <cellStyle name="Финансовый 2 2" xfId="361"/>
    <cellStyle name="Финансовый 2 2 3" xfId="362"/>
    <cellStyle name="Финансовый 2 3" xfId="363"/>
    <cellStyle name="Финансовый 2 36" xfId="364"/>
    <cellStyle name="Финансовый 2 4" xfId="365"/>
    <cellStyle name="Финансовый 2 5" xfId="568"/>
    <cellStyle name="Финансовый 20" xfId="379"/>
    <cellStyle name="Финансовый 21" xfId="395"/>
    <cellStyle name="Финансовый 22" xfId="382"/>
    <cellStyle name="Финансовый 23" xfId="397"/>
    <cellStyle name="Финансовый 24" xfId="383"/>
    <cellStyle name="Финансовый 25" xfId="402"/>
    <cellStyle name="Финансовый 26" xfId="385"/>
    <cellStyle name="Финансовый 27" xfId="401"/>
    <cellStyle name="Финансовый 28" xfId="405"/>
    <cellStyle name="Финансовый 29" xfId="366"/>
    <cellStyle name="Финансовый 3" xfId="367"/>
    <cellStyle name="Финансовый 3 2" xfId="559"/>
    <cellStyle name="Финансовый 30" xfId="396"/>
    <cellStyle name="Финансовый 31" xfId="406"/>
    <cellStyle name="Финансовый 32" xfId="410"/>
    <cellStyle name="Финансовый 33" xfId="389"/>
    <cellStyle name="Финансовый 34" xfId="411"/>
    <cellStyle name="Финансовый 35" xfId="390"/>
    <cellStyle name="Финансовый 36" xfId="412"/>
    <cellStyle name="Финансовый 37" xfId="388"/>
    <cellStyle name="Финансовый 38" xfId="413"/>
    <cellStyle name="Финансовый 39" xfId="387"/>
    <cellStyle name="Финансовый 4" xfId="368"/>
    <cellStyle name="Финансовый 4 2" xfId="369"/>
    <cellStyle name="Финансовый 4 3" xfId="532"/>
    <cellStyle name="Финансовый 40" xfId="427"/>
    <cellStyle name="Финансовый 41" xfId="393"/>
    <cellStyle name="Финансовый 42" xfId="428"/>
    <cellStyle name="Финансовый 43" xfId="434"/>
    <cellStyle name="Финансовый 44" xfId="421"/>
    <cellStyle name="Финансовый 45" xfId="431"/>
    <cellStyle name="Финансовый 46" xfId="422"/>
    <cellStyle name="Финансовый 47" xfId="432"/>
    <cellStyle name="Финансовый 48" xfId="423"/>
    <cellStyle name="Финансовый 49" xfId="433"/>
    <cellStyle name="Финансовый 5" xfId="370"/>
    <cellStyle name="Финансовый 5 2" xfId="533"/>
    <cellStyle name="Финансовый 50" xfId="424"/>
    <cellStyle name="Финансовый 51" xfId="435"/>
    <cellStyle name="Финансовый 52" xfId="425"/>
    <cellStyle name="Финансовый 53" xfId="445"/>
    <cellStyle name="Финансовый 54" xfId="448"/>
    <cellStyle name="Финансовый 55" xfId="451"/>
    <cellStyle name="Финансовый 56" xfId="447"/>
    <cellStyle name="Финансовый 57" xfId="450"/>
    <cellStyle name="Финансовый 58" xfId="449"/>
    <cellStyle name="Финансовый 59" xfId="452"/>
    <cellStyle name="Финансовый 6" xfId="371"/>
    <cellStyle name="Финансовый 6 2" xfId="534"/>
    <cellStyle name="Финансовый 60" xfId="453"/>
    <cellStyle name="Финансовый 61" xfId="455"/>
    <cellStyle name="Финансовый 62" xfId="454"/>
    <cellStyle name="Финансовый 63" xfId="459"/>
    <cellStyle name="Финансовый 64" xfId="457"/>
    <cellStyle name="Финансовый 65" xfId="458"/>
    <cellStyle name="Финансовый 66" xfId="456"/>
    <cellStyle name="Финансовый 67" xfId="460"/>
    <cellStyle name="Финансовый 68" xfId="464"/>
    <cellStyle name="Финансовый 69" xfId="462"/>
    <cellStyle name="Финансовый 7" xfId="372"/>
    <cellStyle name="Финансовый 7 2" xfId="535"/>
    <cellStyle name="Финансовый 70" xfId="463"/>
    <cellStyle name="Финансовый 71" xfId="461"/>
    <cellStyle name="Финансовый 72" xfId="465"/>
    <cellStyle name="Финансовый 73" xfId="469"/>
    <cellStyle name="Финансовый 74" xfId="467"/>
    <cellStyle name="Финансовый 75" xfId="468"/>
    <cellStyle name="Финансовый 76" xfId="466"/>
    <cellStyle name="Финансовый 77" xfId="470"/>
    <cellStyle name="Финансовый 78" xfId="471"/>
    <cellStyle name="Финансовый 79" xfId="478"/>
    <cellStyle name="Финансовый 8" xfId="373"/>
    <cellStyle name="Финансовый 8 2" xfId="536"/>
    <cellStyle name="Финансовый 80" xfId="472"/>
    <cellStyle name="Финансовый 81" xfId="480"/>
    <cellStyle name="Финансовый 82" xfId="474"/>
    <cellStyle name="Финансовый 83" xfId="481"/>
    <cellStyle name="Финансовый 84" xfId="475"/>
    <cellStyle name="Финансовый 85" xfId="479"/>
    <cellStyle name="Финансовый 86" xfId="473"/>
    <cellStyle name="Финансовый 87" xfId="482"/>
    <cellStyle name="Финансовый 88" xfId="483"/>
    <cellStyle name="Финансовый 89" xfId="485"/>
    <cellStyle name="Финансовый 9" xfId="374"/>
    <cellStyle name="Финансовый 9 2" xfId="537"/>
    <cellStyle name="Финансовый 90" xfId="477"/>
    <cellStyle name="Финансовый 91" xfId="484"/>
    <cellStyle name="Финансовый 92" xfId="476"/>
    <cellStyle name="Финансовый 93" xfId="486"/>
    <cellStyle name="Финансовый 94" xfId="487"/>
    <cellStyle name="Финансовый 96" xfId="572"/>
    <cellStyle name="Хороший 2" xfId="375"/>
    <cellStyle name="Цена" xfId="376"/>
    <cellStyle name="Џђћ–…ќ’ќ›‰" xfId="377"/>
  </cellStyles>
  <dxfs count="3">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238"/>
  <sheetViews>
    <sheetView tabSelected="1" workbookViewId="0">
      <pane xSplit="6" ySplit="19" topLeftCell="J8359" activePane="bottomRight" state="frozen"/>
      <selection pane="topRight" activeCell="G1" sqref="G1"/>
      <selection pane="bottomLeft" activeCell="A20" sqref="A20"/>
      <selection pane="bottomRight" activeCell="A8360" sqref="A8360:XFD8360"/>
    </sheetView>
  </sheetViews>
  <sheetFormatPr defaultRowHeight="12.75"/>
  <cols>
    <col min="1" max="1" width="7.140625" style="268" customWidth="1"/>
    <col min="2" max="2" width="11.42578125" style="269" customWidth="1"/>
    <col min="3" max="3" width="7.85546875" style="270" customWidth="1"/>
    <col min="4" max="4" width="17.85546875" style="271" customWidth="1"/>
    <col min="5" max="5" width="20.28515625" style="268" customWidth="1"/>
    <col min="6" max="6" width="22.42578125" style="268" customWidth="1"/>
    <col min="7" max="7" width="6.42578125" style="268" customWidth="1"/>
    <col min="8" max="8" width="6.85546875" style="269" customWidth="1"/>
    <col min="9" max="9" width="10.140625" style="269" customWidth="1"/>
    <col min="10" max="10" width="15.5703125" style="269" customWidth="1"/>
    <col min="11" max="11" width="8.7109375" style="269" customWidth="1"/>
    <col min="12" max="12" width="16.42578125" style="269" customWidth="1"/>
    <col min="13" max="13" width="6.140625" style="269" customWidth="1"/>
    <col min="14" max="14" width="14.85546875" style="268" customWidth="1"/>
    <col min="15" max="15" width="19.28515625" style="269" customWidth="1"/>
    <col min="16" max="16" width="5.5703125" style="272" customWidth="1"/>
    <col min="17" max="17" width="4.85546875" style="269" customWidth="1"/>
    <col min="18" max="18" width="8.5703125" style="280" customWidth="1"/>
    <col min="19" max="19" width="11.7109375" style="281" customWidth="1"/>
    <col min="20" max="20" width="13.7109375" style="268" customWidth="1"/>
    <col min="21" max="21" width="13.7109375" style="282" customWidth="1"/>
    <col min="22" max="22" width="7.140625" style="268" customWidth="1"/>
    <col min="23" max="23" width="6.7109375" style="268" customWidth="1"/>
    <col min="24" max="24" width="17.5703125" style="268" customWidth="1"/>
    <col min="25" max="16384" width="9.140625" style="269"/>
  </cols>
  <sheetData>
    <row r="1" spans="1:24">
      <c r="A1" s="269"/>
      <c r="Q1" s="268"/>
      <c r="R1" s="273"/>
      <c r="S1" s="268"/>
      <c r="U1" s="274" t="s">
        <v>11700</v>
      </c>
    </row>
    <row r="2" spans="1:24">
      <c r="A2" s="269"/>
      <c r="Q2" s="268"/>
      <c r="R2" s="273"/>
      <c r="S2" s="268"/>
      <c r="U2" s="274" t="s">
        <v>11701</v>
      </c>
      <c r="V2" s="276"/>
    </row>
    <row r="3" spans="1:24">
      <c r="A3" s="269"/>
      <c r="Q3" s="268"/>
      <c r="R3" s="273"/>
      <c r="S3" s="268"/>
      <c r="U3" s="274" t="s">
        <v>361</v>
      </c>
    </row>
    <row r="4" spans="1:24">
      <c r="A4" s="269"/>
      <c r="Q4" s="268"/>
      <c r="R4" s="273"/>
      <c r="S4" s="268"/>
      <c r="U4" s="274" t="s">
        <v>11702</v>
      </c>
    </row>
    <row r="5" spans="1:24" ht="18.75">
      <c r="A5" s="269"/>
      <c r="C5" s="275"/>
      <c r="D5" s="276"/>
      <c r="E5" s="277" t="s">
        <v>0</v>
      </c>
      <c r="F5" s="276"/>
      <c r="G5" s="276"/>
      <c r="H5" s="276"/>
      <c r="I5" s="276"/>
      <c r="J5" s="276"/>
      <c r="K5" s="276"/>
      <c r="L5" s="276"/>
      <c r="M5" s="276"/>
      <c r="N5" s="276"/>
      <c r="O5" s="276"/>
      <c r="P5" s="278"/>
      <c r="Q5" s="276"/>
      <c r="R5" s="279"/>
      <c r="S5" s="276"/>
      <c r="T5" s="364" t="s">
        <v>11838</v>
      </c>
      <c r="U5" s="364"/>
      <c r="W5" s="276"/>
      <c r="X5" s="276"/>
    </row>
    <row r="6" spans="1:24">
      <c r="A6" s="269"/>
      <c r="Q6" s="268"/>
      <c r="R6" s="273"/>
      <c r="S6" s="268"/>
      <c r="T6" s="364" t="s">
        <v>11897</v>
      </c>
      <c r="U6" s="364"/>
    </row>
    <row r="7" spans="1:24">
      <c r="A7" s="269"/>
      <c r="Q7" s="268"/>
      <c r="R7" s="273"/>
      <c r="S7" s="268"/>
      <c r="T7" s="364" t="s">
        <v>12058</v>
      </c>
      <c r="U7" s="364"/>
    </row>
    <row r="8" spans="1:24">
      <c r="A8" s="269"/>
      <c r="Q8" s="268"/>
      <c r="R8" s="273"/>
      <c r="S8" s="268"/>
      <c r="T8" s="364" t="s">
        <v>13962</v>
      </c>
      <c r="U8" s="364"/>
    </row>
    <row r="9" spans="1:24">
      <c r="A9" s="269"/>
      <c r="Q9" s="268"/>
      <c r="R9" s="273"/>
      <c r="S9" s="268"/>
      <c r="T9" s="364" t="s">
        <v>14124</v>
      </c>
      <c r="U9" s="364"/>
    </row>
    <row r="10" spans="1:24">
      <c r="A10" s="269"/>
      <c r="Q10" s="268"/>
      <c r="R10" s="273"/>
      <c r="S10" s="268"/>
      <c r="T10" s="364" t="s">
        <v>16347</v>
      </c>
      <c r="U10" s="364"/>
    </row>
    <row r="11" spans="1:24">
      <c r="A11" s="269"/>
      <c r="Q11" s="268"/>
      <c r="R11" s="273"/>
      <c r="S11" s="268"/>
      <c r="T11" s="364" t="s">
        <v>18379</v>
      </c>
      <c r="U11" s="364"/>
    </row>
    <row r="12" spans="1:24">
      <c r="A12" s="269"/>
      <c r="T12" s="364" t="s">
        <v>18769</v>
      </c>
      <c r="U12" s="364"/>
    </row>
    <row r="13" spans="1:24">
      <c r="A13" s="269"/>
      <c r="T13" s="364" t="s">
        <v>19089</v>
      </c>
      <c r="U13" s="364"/>
    </row>
    <row r="14" spans="1:24">
      <c r="A14" s="269"/>
      <c r="T14" s="364" t="s">
        <v>19519</v>
      </c>
      <c r="U14" s="364"/>
    </row>
    <row r="15" spans="1:24">
      <c r="A15" s="269"/>
      <c r="T15" s="364" t="s">
        <v>19634</v>
      </c>
      <c r="U15" s="364"/>
    </row>
    <row r="16" spans="1:24" ht="13.5" thickBot="1">
      <c r="A16" s="269"/>
    </row>
    <row r="17" spans="1:24">
      <c r="A17" s="360" t="s">
        <v>1</v>
      </c>
      <c r="B17" s="360" t="s">
        <v>2</v>
      </c>
      <c r="C17" s="360" t="s">
        <v>3</v>
      </c>
      <c r="D17" s="360" t="s">
        <v>4</v>
      </c>
      <c r="E17" s="360" t="s">
        <v>5</v>
      </c>
      <c r="F17" s="360" t="s">
        <v>6</v>
      </c>
      <c r="G17" s="369" t="s">
        <v>7</v>
      </c>
      <c r="H17" s="360" t="s">
        <v>8</v>
      </c>
      <c r="I17" s="358" t="s">
        <v>9</v>
      </c>
      <c r="J17" s="360" t="s">
        <v>10</v>
      </c>
      <c r="K17" s="360" t="s">
        <v>11</v>
      </c>
      <c r="L17" s="369" t="s">
        <v>12</v>
      </c>
      <c r="M17" s="373" t="s">
        <v>13</v>
      </c>
      <c r="N17" s="351" t="s">
        <v>14</v>
      </c>
      <c r="O17" s="351" t="s">
        <v>15</v>
      </c>
      <c r="P17" s="358" t="s">
        <v>16</v>
      </c>
      <c r="Q17" s="360" t="s">
        <v>17</v>
      </c>
      <c r="R17" s="362" t="s">
        <v>2976</v>
      </c>
      <c r="S17" s="365" t="s">
        <v>13720</v>
      </c>
      <c r="T17" s="367" t="s">
        <v>18</v>
      </c>
      <c r="U17" s="371" t="s">
        <v>19</v>
      </c>
      <c r="V17" s="351" t="s">
        <v>20</v>
      </c>
      <c r="W17" s="351" t="s">
        <v>21</v>
      </c>
      <c r="X17" s="351" t="s">
        <v>22</v>
      </c>
    </row>
    <row r="18" spans="1:24" ht="50.25" customHeight="1" thickBot="1">
      <c r="A18" s="361"/>
      <c r="B18" s="361"/>
      <c r="C18" s="361"/>
      <c r="D18" s="361"/>
      <c r="E18" s="361"/>
      <c r="F18" s="361"/>
      <c r="G18" s="370"/>
      <c r="H18" s="361"/>
      <c r="I18" s="359"/>
      <c r="J18" s="361"/>
      <c r="K18" s="361"/>
      <c r="L18" s="370"/>
      <c r="M18" s="374"/>
      <c r="N18" s="357"/>
      <c r="O18" s="357"/>
      <c r="P18" s="359"/>
      <c r="Q18" s="361"/>
      <c r="R18" s="363"/>
      <c r="S18" s="366"/>
      <c r="T18" s="368"/>
      <c r="U18" s="372"/>
      <c r="V18" s="352"/>
      <c r="W18" s="352"/>
      <c r="X18" s="352"/>
    </row>
    <row r="19" spans="1:24" ht="13.5" thickBot="1">
      <c r="A19" s="141">
        <v>1</v>
      </c>
      <c r="B19" s="142">
        <v>2</v>
      </c>
      <c r="C19" s="143">
        <v>3</v>
      </c>
      <c r="D19" s="142">
        <v>4</v>
      </c>
      <c r="E19" s="142">
        <v>5</v>
      </c>
      <c r="F19" s="142">
        <v>6</v>
      </c>
      <c r="G19" s="142">
        <v>7</v>
      </c>
      <c r="H19" s="142">
        <v>8</v>
      </c>
      <c r="I19" s="144" t="s">
        <v>23</v>
      </c>
      <c r="J19" s="142">
        <v>10</v>
      </c>
      <c r="K19" s="142">
        <v>11</v>
      </c>
      <c r="L19" s="142">
        <v>12</v>
      </c>
      <c r="M19" s="142">
        <v>13</v>
      </c>
      <c r="N19" s="142">
        <v>14</v>
      </c>
      <c r="O19" s="142">
        <v>15</v>
      </c>
      <c r="P19" s="144">
        <v>16</v>
      </c>
      <c r="Q19" s="142">
        <v>17</v>
      </c>
      <c r="R19" s="145">
        <v>18</v>
      </c>
      <c r="S19" s="142">
        <v>19</v>
      </c>
      <c r="T19" s="142">
        <v>20</v>
      </c>
      <c r="U19" s="146">
        <v>21</v>
      </c>
      <c r="V19" s="142">
        <v>22</v>
      </c>
      <c r="W19" s="142">
        <v>23</v>
      </c>
      <c r="X19" s="147">
        <v>24</v>
      </c>
    </row>
    <row r="20" spans="1:24">
      <c r="A20" s="148"/>
      <c r="B20" s="149" t="s">
        <v>2977</v>
      </c>
      <c r="C20" s="11"/>
      <c r="D20" s="150"/>
      <c r="E20" s="151"/>
      <c r="F20" s="151"/>
      <c r="G20" s="151"/>
      <c r="H20" s="152"/>
      <c r="I20" s="152"/>
      <c r="J20" s="152"/>
      <c r="K20" s="152"/>
      <c r="L20" s="152"/>
      <c r="M20" s="152"/>
      <c r="N20" s="151"/>
      <c r="O20" s="152"/>
      <c r="P20" s="153"/>
      <c r="Q20" s="152"/>
      <c r="R20" s="154"/>
      <c r="S20" s="155"/>
      <c r="T20" s="151"/>
      <c r="U20" s="156"/>
      <c r="V20" s="151"/>
      <c r="W20" s="151"/>
      <c r="X20" s="151"/>
    </row>
    <row r="21" spans="1:24" ht="153">
      <c r="A21" s="3" t="s">
        <v>647</v>
      </c>
      <c r="B21" s="6" t="s">
        <v>361</v>
      </c>
      <c r="C21" s="6" t="s">
        <v>262</v>
      </c>
      <c r="D21" s="4" t="s">
        <v>24</v>
      </c>
      <c r="E21" s="6" t="s">
        <v>263</v>
      </c>
      <c r="F21" s="6" t="s">
        <v>25</v>
      </c>
      <c r="G21" s="3" t="s">
        <v>11450</v>
      </c>
      <c r="H21" s="54">
        <v>0</v>
      </c>
      <c r="I21" s="16">
        <v>470000000</v>
      </c>
      <c r="J21" s="157" t="s">
        <v>229</v>
      </c>
      <c r="K21" s="5" t="s">
        <v>208</v>
      </c>
      <c r="L21" s="6" t="s">
        <v>231</v>
      </c>
      <c r="M21" s="3" t="s">
        <v>230</v>
      </c>
      <c r="N21" s="6" t="s">
        <v>7670</v>
      </c>
      <c r="O21" s="6" t="s">
        <v>233</v>
      </c>
      <c r="P21" s="58">
        <v>796</v>
      </c>
      <c r="Q21" s="6" t="s">
        <v>234</v>
      </c>
      <c r="R21" s="18">
        <v>600</v>
      </c>
      <c r="S21" s="2">
        <v>450</v>
      </c>
      <c r="T21" s="4">
        <v>0</v>
      </c>
      <c r="U21" s="4">
        <f>T21*1.12</f>
        <v>0</v>
      </c>
      <c r="V21" s="3"/>
      <c r="W21" s="3">
        <v>2014</v>
      </c>
      <c r="X21" s="3" t="s">
        <v>14230</v>
      </c>
    </row>
    <row r="22" spans="1:24" ht="153">
      <c r="A22" s="3" t="s">
        <v>14358</v>
      </c>
      <c r="B22" s="6" t="s">
        <v>361</v>
      </c>
      <c r="C22" s="6" t="s">
        <v>262</v>
      </c>
      <c r="D22" s="5" t="s">
        <v>24</v>
      </c>
      <c r="E22" s="6" t="s">
        <v>263</v>
      </c>
      <c r="F22" s="6" t="s">
        <v>25</v>
      </c>
      <c r="G22" s="3" t="s">
        <v>11450</v>
      </c>
      <c r="H22" s="54">
        <v>0</v>
      </c>
      <c r="I22" s="16">
        <v>470000000</v>
      </c>
      <c r="J22" s="157" t="s">
        <v>229</v>
      </c>
      <c r="K22" s="5" t="s">
        <v>208</v>
      </c>
      <c r="L22" s="6" t="s">
        <v>231</v>
      </c>
      <c r="M22" s="3" t="s">
        <v>230</v>
      </c>
      <c r="N22" s="6" t="s">
        <v>7670</v>
      </c>
      <c r="O22" s="6" t="s">
        <v>233</v>
      </c>
      <c r="P22" s="58">
        <v>796</v>
      </c>
      <c r="Q22" s="6" t="s">
        <v>234</v>
      </c>
      <c r="R22" s="18">
        <v>600</v>
      </c>
      <c r="S22" s="2">
        <v>375</v>
      </c>
      <c r="T22" s="4">
        <v>0</v>
      </c>
      <c r="U22" s="4">
        <f t="shared" ref="U22:U23" si="0">T22*1.12</f>
        <v>0</v>
      </c>
      <c r="V22" s="3"/>
      <c r="W22" s="3">
        <v>2014</v>
      </c>
      <c r="X22" s="3" t="s">
        <v>19387</v>
      </c>
    </row>
    <row r="23" spans="1:24" ht="153">
      <c r="A23" s="3" t="s">
        <v>19269</v>
      </c>
      <c r="B23" s="6" t="s">
        <v>361</v>
      </c>
      <c r="C23" s="6" t="s">
        <v>262</v>
      </c>
      <c r="D23" s="5" t="s">
        <v>24</v>
      </c>
      <c r="E23" s="6" t="s">
        <v>263</v>
      </c>
      <c r="F23" s="6" t="s">
        <v>25</v>
      </c>
      <c r="G23" s="3" t="s">
        <v>11450</v>
      </c>
      <c r="H23" s="54">
        <v>0</v>
      </c>
      <c r="I23" s="16">
        <v>470000000</v>
      </c>
      <c r="J23" s="157" t="s">
        <v>229</v>
      </c>
      <c r="K23" s="5" t="s">
        <v>19226</v>
      </c>
      <c r="L23" s="17" t="s">
        <v>11411</v>
      </c>
      <c r="M23" s="3" t="s">
        <v>230</v>
      </c>
      <c r="N23" s="6" t="s">
        <v>528</v>
      </c>
      <c r="O23" s="6" t="s">
        <v>19407</v>
      </c>
      <c r="P23" s="58">
        <v>796</v>
      </c>
      <c r="Q23" s="6" t="s">
        <v>234</v>
      </c>
      <c r="R23" s="18">
        <v>900</v>
      </c>
      <c r="S23" s="2">
        <v>375</v>
      </c>
      <c r="T23" s="4">
        <f>R23*S23</f>
        <v>337500</v>
      </c>
      <c r="U23" s="4">
        <f t="shared" si="0"/>
        <v>378000.00000000006</v>
      </c>
      <c r="V23" s="3"/>
      <c r="W23" s="3">
        <v>2014</v>
      </c>
      <c r="X23" s="3"/>
    </row>
    <row r="24" spans="1:24" ht="102">
      <c r="A24" s="3" t="s">
        <v>648</v>
      </c>
      <c r="B24" s="6" t="s">
        <v>361</v>
      </c>
      <c r="C24" s="6" t="s">
        <v>264</v>
      </c>
      <c r="D24" s="6" t="s">
        <v>265</v>
      </c>
      <c r="E24" s="3" t="s">
        <v>266</v>
      </c>
      <c r="F24" s="6" t="s">
        <v>26</v>
      </c>
      <c r="G24" s="3" t="s">
        <v>11450</v>
      </c>
      <c r="H24" s="54">
        <v>0</v>
      </c>
      <c r="I24" s="16">
        <v>470000000</v>
      </c>
      <c r="J24" s="157" t="s">
        <v>229</v>
      </c>
      <c r="K24" s="5" t="s">
        <v>209</v>
      </c>
      <c r="L24" s="6" t="s">
        <v>231</v>
      </c>
      <c r="M24" s="3" t="s">
        <v>230</v>
      </c>
      <c r="N24" s="6" t="s">
        <v>7670</v>
      </c>
      <c r="O24" s="6" t="s">
        <v>233</v>
      </c>
      <c r="P24" s="58">
        <v>796</v>
      </c>
      <c r="Q24" s="6" t="s">
        <v>234</v>
      </c>
      <c r="R24" s="18">
        <v>600</v>
      </c>
      <c r="S24" s="2">
        <v>97</v>
      </c>
      <c r="T24" s="4">
        <v>0</v>
      </c>
      <c r="U24" s="4">
        <f t="shared" ref="U24:U128" si="1">T24*1.12</f>
        <v>0</v>
      </c>
      <c r="V24" s="3"/>
      <c r="W24" s="3">
        <v>2014</v>
      </c>
      <c r="X24" s="3" t="s">
        <v>14230</v>
      </c>
    </row>
    <row r="25" spans="1:24" ht="102">
      <c r="A25" s="3" t="s">
        <v>14359</v>
      </c>
      <c r="B25" s="6" t="s">
        <v>361</v>
      </c>
      <c r="C25" s="6" t="s">
        <v>264</v>
      </c>
      <c r="D25" s="6" t="s">
        <v>265</v>
      </c>
      <c r="E25" s="3" t="s">
        <v>266</v>
      </c>
      <c r="F25" s="6" t="s">
        <v>26</v>
      </c>
      <c r="G25" s="3" t="s">
        <v>11450</v>
      </c>
      <c r="H25" s="54">
        <v>0</v>
      </c>
      <c r="I25" s="16">
        <v>470000000</v>
      </c>
      <c r="J25" s="157" t="s">
        <v>229</v>
      </c>
      <c r="K25" s="5" t="s">
        <v>209</v>
      </c>
      <c r="L25" s="6" t="s">
        <v>231</v>
      </c>
      <c r="M25" s="3" t="s">
        <v>230</v>
      </c>
      <c r="N25" s="6" t="s">
        <v>7670</v>
      </c>
      <c r="O25" s="6" t="s">
        <v>233</v>
      </c>
      <c r="P25" s="58">
        <v>796</v>
      </c>
      <c r="Q25" s="6" t="s">
        <v>234</v>
      </c>
      <c r="R25" s="18">
        <v>600</v>
      </c>
      <c r="S25" s="2">
        <v>97</v>
      </c>
      <c r="T25" s="4">
        <f>R25*S25</f>
        <v>58200</v>
      </c>
      <c r="U25" s="4">
        <f>T25*1.12</f>
        <v>65184.000000000007</v>
      </c>
      <c r="V25" s="3"/>
      <c r="W25" s="3">
        <v>2014</v>
      </c>
      <c r="X25" s="3"/>
    </row>
    <row r="26" spans="1:24" ht="204">
      <c r="A26" s="3" t="s">
        <v>649</v>
      </c>
      <c r="B26" s="6" t="s">
        <v>361</v>
      </c>
      <c r="C26" s="6" t="s">
        <v>271</v>
      </c>
      <c r="D26" s="6" t="s">
        <v>272</v>
      </c>
      <c r="E26" s="6" t="s">
        <v>273</v>
      </c>
      <c r="F26" s="6" t="s">
        <v>267</v>
      </c>
      <c r="G26" s="3" t="s">
        <v>11450</v>
      </c>
      <c r="H26" s="54">
        <v>0</v>
      </c>
      <c r="I26" s="16">
        <v>470000000</v>
      </c>
      <c r="J26" s="157" t="s">
        <v>229</v>
      </c>
      <c r="K26" s="5" t="s">
        <v>208</v>
      </c>
      <c r="L26" s="6" t="s">
        <v>231</v>
      </c>
      <c r="M26" s="3" t="s">
        <v>230</v>
      </c>
      <c r="N26" s="6" t="s">
        <v>7670</v>
      </c>
      <c r="O26" s="6" t="s">
        <v>233</v>
      </c>
      <c r="P26" s="58">
        <v>796</v>
      </c>
      <c r="Q26" s="6" t="s">
        <v>234</v>
      </c>
      <c r="R26" s="18">
        <v>300</v>
      </c>
      <c r="S26" s="2">
        <v>528</v>
      </c>
      <c r="T26" s="4">
        <v>0</v>
      </c>
      <c r="U26" s="4">
        <f t="shared" si="1"/>
        <v>0</v>
      </c>
      <c r="V26" s="3"/>
      <c r="W26" s="3">
        <v>2014</v>
      </c>
      <c r="X26" s="3" t="s">
        <v>14230</v>
      </c>
    </row>
    <row r="27" spans="1:24" ht="204">
      <c r="A27" s="3" t="s">
        <v>14360</v>
      </c>
      <c r="B27" s="6" t="s">
        <v>361</v>
      </c>
      <c r="C27" s="6" t="s">
        <v>271</v>
      </c>
      <c r="D27" s="6" t="s">
        <v>272</v>
      </c>
      <c r="E27" s="6" t="s">
        <v>273</v>
      </c>
      <c r="F27" s="6" t="s">
        <v>267</v>
      </c>
      <c r="G27" s="3" t="s">
        <v>11450</v>
      </c>
      <c r="H27" s="54">
        <v>0</v>
      </c>
      <c r="I27" s="16">
        <v>470000000</v>
      </c>
      <c r="J27" s="157" t="s">
        <v>229</v>
      </c>
      <c r="K27" s="5" t="s">
        <v>208</v>
      </c>
      <c r="L27" s="6" t="s">
        <v>231</v>
      </c>
      <c r="M27" s="3" t="s">
        <v>230</v>
      </c>
      <c r="N27" s="6" t="s">
        <v>7670</v>
      </c>
      <c r="O27" s="6" t="s">
        <v>233</v>
      </c>
      <c r="P27" s="58">
        <v>796</v>
      </c>
      <c r="Q27" s="6" t="s">
        <v>234</v>
      </c>
      <c r="R27" s="18">
        <v>300</v>
      </c>
      <c r="S27" s="2">
        <v>210</v>
      </c>
      <c r="T27" s="4">
        <v>0</v>
      </c>
      <c r="U27" s="4">
        <f t="shared" si="1"/>
        <v>0</v>
      </c>
      <c r="V27" s="3"/>
      <c r="W27" s="3">
        <v>2014</v>
      </c>
      <c r="X27" s="3" t="s">
        <v>19402</v>
      </c>
    </row>
    <row r="28" spans="1:24" ht="204">
      <c r="A28" s="3" t="s">
        <v>19270</v>
      </c>
      <c r="B28" s="6" t="s">
        <v>361</v>
      </c>
      <c r="C28" s="6" t="s">
        <v>271</v>
      </c>
      <c r="D28" s="6" t="s">
        <v>272</v>
      </c>
      <c r="E28" s="6" t="s">
        <v>273</v>
      </c>
      <c r="F28" s="6" t="s">
        <v>267</v>
      </c>
      <c r="G28" s="3" t="s">
        <v>11450</v>
      </c>
      <c r="H28" s="54">
        <v>0</v>
      </c>
      <c r="I28" s="16">
        <v>470000000</v>
      </c>
      <c r="J28" s="157" t="s">
        <v>229</v>
      </c>
      <c r="K28" s="5" t="s">
        <v>19226</v>
      </c>
      <c r="L28" s="17" t="s">
        <v>11411</v>
      </c>
      <c r="M28" s="3" t="s">
        <v>230</v>
      </c>
      <c r="N28" s="6" t="s">
        <v>528</v>
      </c>
      <c r="O28" s="6" t="s">
        <v>19407</v>
      </c>
      <c r="P28" s="58">
        <v>796</v>
      </c>
      <c r="Q28" s="6" t="s">
        <v>234</v>
      </c>
      <c r="R28" s="18">
        <v>460</v>
      </c>
      <c r="S28" s="2">
        <v>210</v>
      </c>
      <c r="T28" s="4">
        <f>R28*S28</f>
        <v>96600</v>
      </c>
      <c r="U28" s="4">
        <f t="shared" si="1"/>
        <v>108192.00000000001</v>
      </c>
      <c r="V28" s="3"/>
      <c r="W28" s="3">
        <v>2014</v>
      </c>
      <c r="X28" s="3"/>
    </row>
    <row r="29" spans="1:24" ht="178.5">
      <c r="A29" s="3" t="s">
        <v>650</v>
      </c>
      <c r="B29" s="6" t="s">
        <v>361</v>
      </c>
      <c r="C29" s="6" t="s">
        <v>271</v>
      </c>
      <c r="D29" s="6" t="s">
        <v>272</v>
      </c>
      <c r="E29" s="3" t="s">
        <v>273</v>
      </c>
      <c r="F29" s="6" t="s">
        <v>268</v>
      </c>
      <c r="G29" s="3" t="s">
        <v>11450</v>
      </c>
      <c r="H29" s="54">
        <v>0</v>
      </c>
      <c r="I29" s="16">
        <v>470000000</v>
      </c>
      <c r="J29" s="157" t="s">
        <v>229</v>
      </c>
      <c r="K29" s="5" t="s">
        <v>208</v>
      </c>
      <c r="L29" s="6" t="s">
        <v>231</v>
      </c>
      <c r="M29" s="3" t="s">
        <v>230</v>
      </c>
      <c r="N29" s="6" t="s">
        <v>7670</v>
      </c>
      <c r="O29" s="6" t="s">
        <v>233</v>
      </c>
      <c r="P29" s="58">
        <v>796</v>
      </c>
      <c r="Q29" s="6" t="s">
        <v>234</v>
      </c>
      <c r="R29" s="18">
        <v>300</v>
      </c>
      <c r="S29" s="2">
        <v>0</v>
      </c>
      <c r="T29" s="4">
        <f>R29*S29</f>
        <v>0</v>
      </c>
      <c r="U29" s="4">
        <f t="shared" si="1"/>
        <v>0</v>
      </c>
      <c r="V29" s="3"/>
      <c r="W29" s="3">
        <v>2014</v>
      </c>
      <c r="X29" s="3" t="s">
        <v>14230</v>
      </c>
    </row>
    <row r="30" spans="1:24" ht="178.5">
      <c r="A30" s="3" t="s">
        <v>14361</v>
      </c>
      <c r="B30" s="6" t="s">
        <v>361</v>
      </c>
      <c r="C30" s="6" t="s">
        <v>271</v>
      </c>
      <c r="D30" s="6" t="s">
        <v>272</v>
      </c>
      <c r="E30" s="3" t="s">
        <v>273</v>
      </c>
      <c r="F30" s="6" t="s">
        <v>268</v>
      </c>
      <c r="G30" s="3" t="s">
        <v>11450</v>
      </c>
      <c r="H30" s="54">
        <v>0</v>
      </c>
      <c r="I30" s="16">
        <v>470000000</v>
      </c>
      <c r="J30" s="157" t="s">
        <v>229</v>
      </c>
      <c r="K30" s="5" t="s">
        <v>208</v>
      </c>
      <c r="L30" s="6" t="s">
        <v>231</v>
      </c>
      <c r="M30" s="3" t="s">
        <v>230</v>
      </c>
      <c r="N30" s="6" t="s">
        <v>7670</v>
      </c>
      <c r="O30" s="6" t="s">
        <v>233</v>
      </c>
      <c r="P30" s="58">
        <v>796</v>
      </c>
      <c r="Q30" s="6" t="s">
        <v>234</v>
      </c>
      <c r="R30" s="18">
        <v>300</v>
      </c>
      <c r="S30" s="2">
        <v>182</v>
      </c>
      <c r="T30" s="4">
        <v>0</v>
      </c>
      <c r="U30" s="4">
        <f t="shared" si="1"/>
        <v>0</v>
      </c>
      <c r="V30" s="3"/>
      <c r="W30" s="3">
        <v>2014</v>
      </c>
      <c r="X30" s="3" t="s">
        <v>18908</v>
      </c>
    </row>
    <row r="31" spans="1:24" ht="178.5">
      <c r="A31" s="3" t="s">
        <v>19271</v>
      </c>
      <c r="B31" s="6" t="s">
        <v>361</v>
      </c>
      <c r="C31" s="6" t="s">
        <v>271</v>
      </c>
      <c r="D31" s="6" t="s">
        <v>272</v>
      </c>
      <c r="E31" s="3" t="s">
        <v>273</v>
      </c>
      <c r="F31" s="6" t="s">
        <v>268</v>
      </c>
      <c r="G31" s="3" t="s">
        <v>11450</v>
      </c>
      <c r="H31" s="54">
        <v>0</v>
      </c>
      <c r="I31" s="16">
        <v>470000000</v>
      </c>
      <c r="J31" s="157" t="s">
        <v>229</v>
      </c>
      <c r="K31" s="5" t="s">
        <v>19226</v>
      </c>
      <c r="L31" s="17" t="s">
        <v>11411</v>
      </c>
      <c r="M31" s="3" t="s">
        <v>230</v>
      </c>
      <c r="N31" s="6" t="s">
        <v>528</v>
      </c>
      <c r="O31" s="6" t="s">
        <v>19407</v>
      </c>
      <c r="P31" s="58">
        <v>796</v>
      </c>
      <c r="Q31" s="6" t="s">
        <v>234</v>
      </c>
      <c r="R31" s="18">
        <v>400</v>
      </c>
      <c r="S31" s="2">
        <v>182</v>
      </c>
      <c r="T31" s="4">
        <f>R31*S31</f>
        <v>72800</v>
      </c>
      <c r="U31" s="4">
        <f t="shared" si="1"/>
        <v>81536.000000000015</v>
      </c>
      <c r="V31" s="3"/>
      <c r="W31" s="3">
        <v>2014</v>
      </c>
      <c r="X31" s="3"/>
    </row>
    <row r="32" spans="1:24" ht="178.5">
      <c r="A32" s="3" t="s">
        <v>651</v>
      </c>
      <c r="B32" s="6" t="s">
        <v>361</v>
      </c>
      <c r="C32" s="6" t="s">
        <v>271</v>
      </c>
      <c r="D32" s="6" t="s">
        <v>272</v>
      </c>
      <c r="E32" s="3" t="s">
        <v>273</v>
      </c>
      <c r="F32" s="6" t="s">
        <v>269</v>
      </c>
      <c r="G32" s="3" t="s">
        <v>11450</v>
      </c>
      <c r="H32" s="54">
        <v>0</v>
      </c>
      <c r="I32" s="16">
        <v>470000000</v>
      </c>
      <c r="J32" s="157" t="s">
        <v>229</v>
      </c>
      <c r="K32" s="5" t="s">
        <v>208</v>
      </c>
      <c r="L32" s="6" t="s">
        <v>231</v>
      </c>
      <c r="M32" s="3" t="s">
        <v>230</v>
      </c>
      <c r="N32" s="6" t="s">
        <v>7670</v>
      </c>
      <c r="O32" s="6" t="s">
        <v>233</v>
      </c>
      <c r="P32" s="58">
        <v>796</v>
      </c>
      <c r="Q32" s="6" t="s">
        <v>234</v>
      </c>
      <c r="R32" s="18">
        <v>300</v>
      </c>
      <c r="S32" s="2">
        <v>686</v>
      </c>
      <c r="T32" s="4">
        <v>0</v>
      </c>
      <c r="U32" s="4">
        <f t="shared" si="1"/>
        <v>0</v>
      </c>
      <c r="V32" s="3"/>
      <c r="W32" s="3">
        <v>2014</v>
      </c>
      <c r="X32" s="3" t="s">
        <v>14230</v>
      </c>
    </row>
    <row r="33" spans="1:24" ht="178.5">
      <c r="A33" s="3" t="s">
        <v>14362</v>
      </c>
      <c r="B33" s="6" t="s">
        <v>361</v>
      </c>
      <c r="C33" s="6" t="s">
        <v>271</v>
      </c>
      <c r="D33" s="6" t="s">
        <v>272</v>
      </c>
      <c r="E33" s="3" t="s">
        <v>273</v>
      </c>
      <c r="F33" s="6" t="s">
        <v>269</v>
      </c>
      <c r="G33" s="3" t="s">
        <v>11450</v>
      </c>
      <c r="H33" s="54">
        <v>0</v>
      </c>
      <c r="I33" s="16">
        <v>470000000</v>
      </c>
      <c r="J33" s="157" t="s">
        <v>229</v>
      </c>
      <c r="K33" s="5" t="s">
        <v>208</v>
      </c>
      <c r="L33" s="6" t="s">
        <v>231</v>
      </c>
      <c r="M33" s="3" t="s">
        <v>230</v>
      </c>
      <c r="N33" s="6" t="s">
        <v>7670</v>
      </c>
      <c r="O33" s="6" t="s">
        <v>233</v>
      </c>
      <c r="P33" s="58">
        <v>796</v>
      </c>
      <c r="Q33" s="6" t="s">
        <v>234</v>
      </c>
      <c r="R33" s="18">
        <v>300</v>
      </c>
      <c r="S33" s="2">
        <v>224</v>
      </c>
      <c r="T33" s="4">
        <v>0</v>
      </c>
      <c r="U33" s="4">
        <f t="shared" si="1"/>
        <v>0</v>
      </c>
      <c r="V33" s="3"/>
      <c r="W33" s="3">
        <v>2014</v>
      </c>
      <c r="X33" s="3" t="s">
        <v>18908</v>
      </c>
    </row>
    <row r="34" spans="1:24" ht="178.5">
      <c r="A34" s="3" t="s">
        <v>19272</v>
      </c>
      <c r="B34" s="6" t="s">
        <v>361</v>
      </c>
      <c r="C34" s="6" t="s">
        <v>271</v>
      </c>
      <c r="D34" s="6" t="s">
        <v>272</v>
      </c>
      <c r="E34" s="3" t="s">
        <v>273</v>
      </c>
      <c r="F34" s="6" t="s">
        <v>269</v>
      </c>
      <c r="G34" s="3" t="s">
        <v>11450</v>
      </c>
      <c r="H34" s="54">
        <v>0</v>
      </c>
      <c r="I34" s="16">
        <v>470000000</v>
      </c>
      <c r="J34" s="157" t="s">
        <v>229</v>
      </c>
      <c r="K34" s="5" t="s">
        <v>19226</v>
      </c>
      <c r="L34" s="17" t="s">
        <v>11411</v>
      </c>
      <c r="M34" s="3" t="s">
        <v>230</v>
      </c>
      <c r="N34" s="6" t="s">
        <v>528</v>
      </c>
      <c r="O34" s="6" t="s">
        <v>19407</v>
      </c>
      <c r="P34" s="58">
        <v>796</v>
      </c>
      <c r="Q34" s="6" t="s">
        <v>234</v>
      </c>
      <c r="R34" s="18">
        <v>420</v>
      </c>
      <c r="S34" s="2">
        <v>224</v>
      </c>
      <c r="T34" s="4">
        <f>R34*S34</f>
        <v>94080</v>
      </c>
      <c r="U34" s="4">
        <f t="shared" si="1"/>
        <v>105369.60000000001</v>
      </c>
      <c r="V34" s="3"/>
      <c r="W34" s="3">
        <v>2014</v>
      </c>
      <c r="X34" s="3"/>
    </row>
    <row r="35" spans="1:24" ht="127.5">
      <c r="A35" s="3" t="s">
        <v>652</v>
      </c>
      <c r="B35" s="6" t="s">
        <v>361</v>
      </c>
      <c r="C35" s="6" t="s">
        <v>274</v>
      </c>
      <c r="D35" s="6" t="s">
        <v>272</v>
      </c>
      <c r="E35" s="6" t="s">
        <v>275</v>
      </c>
      <c r="F35" s="6" t="s">
        <v>270</v>
      </c>
      <c r="G35" s="3" t="s">
        <v>11450</v>
      </c>
      <c r="H35" s="54">
        <v>0</v>
      </c>
      <c r="I35" s="16">
        <v>470000000</v>
      </c>
      <c r="J35" s="157" t="s">
        <v>229</v>
      </c>
      <c r="K35" s="5" t="s">
        <v>210</v>
      </c>
      <c r="L35" s="6" t="s">
        <v>231</v>
      </c>
      <c r="M35" s="3" t="s">
        <v>230</v>
      </c>
      <c r="N35" s="6" t="s">
        <v>7670</v>
      </c>
      <c r="O35" s="6" t="s">
        <v>233</v>
      </c>
      <c r="P35" s="58">
        <v>796</v>
      </c>
      <c r="Q35" s="6" t="s">
        <v>234</v>
      </c>
      <c r="R35" s="18">
        <v>100</v>
      </c>
      <c r="S35" s="2">
        <v>500</v>
      </c>
      <c r="T35" s="4">
        <v>0</v>
      </c>
      <c r="U35" s="4">
        <f t="shared" si="1"/>
        <v>0</v>
      </c>
      <c r="V35" s="3"/>
      <c r="W35" s="3">
        <v>2014</v>
      </c>
      <c r="X35" s="3" t="s">
        <v>14230</v>
      </c>
    </row>
    <row r="36" spans="1:24" ht="127.5">
      <c r="A36" s="3" t="s">
        <v>14363</v>
      </c>
      <c r="B36" s="6" t="s">
        <v>361</v>
      </c>
      <c r="C36" s="6" t="s">
        <v>274</v>
      </c>
      <c r="D36" s="6" t="s">
        <v>272</v>
      </c>
      <c r="E36" s="6" t="s">
        <v>275</v>
      </c>
      <c r="F36" s="6" t="s">
        <v>270</v>
      </c>
      <c r="G36" s="3" t="s">
        <v>11450</v>
      </c>
      <c r="H36" s="54">
        <v>0</v>
      </c>
      <c r="I36" s="16">
        <v>470000000</v>
      </c>
      <c r="J36" s="157" t="s">
        <v>229</v>
      </c>
      <c r="K36" s="5" t="s">
        <v>210</v>
      </c>
      <c r="L36" s="6" t="s">
        <v>231</v>
      </c>
      <c r="M36" s="3" t="s">
        <v>230</v>
      </c>
      <c r="N36" s="6" t="s">
        <v>7670</v>
      </c>
      <c r="O36" s="6" t="s">
        <v>233</v>
      </c>
      <c r="P36" s="58">
        <v>796</v>
      </c>
      <c r="Q36" s="6" t="s">
        <v>234</v>
      </c>
      <c r="R36" s="18">
        <v>100</v>
      </c>
      <c r="S36" s="2">
        <v>400</v>
      </c>
      <c r="T36" s="4">
        <v>0</v>
      </c>
      <c r="U36" s="4">
        <f t="shared" si="1"/>
        <v>0</v>
      </c>
      <c r="V36" s="3"/>
      <c r="W36" s="3">
        <v>2014</v>
      </c>
      <c r="X36" s="3" t="s">
        <v>18908</v>
      </c>
    </row>
    <row r="37" spans="1:24" ht="127.5">
      <c r="A37" s="3" t="s">
        <v>19273</v>
      </c>
      <c r="B37" s="6" t="s">
        <v>361</v>
      </c>
      <c r="C37" s="6" t="s">
        <v>274</v>
      </c>
      <c r="D37" s="6" t="s">
        <v>272</v>
      </c>
      <c r="E37" s="6" t="s">
        <v>275</v>
      </c>
      <c r="F37" s="6" t="s">
        <v>270</v>
      </c>
      <c r="G37" s="3" t="s">
        <v>11450</v>
      </c>
      <c r="H37" s="54">
        <v>0</v>
      </c>
      <c r="I37" s="16">
        <v>470000000</v>
      </c>
      <c r="J37" s="157" t="s">
        <v>229</v>
      </c>
      <c r="K37" s="5" t="s">
        <v>19226</v>
      </c>
      <c r="L37" s="17" t="s">
        <v>11411</v>
      </c>
      <c r="M37" s="3" t="s">
        <v>230</v>
      </c>
      <c r="N37" s="6" t="s">
        <v>528</v>
      </c>
      <c r="O37" s="6" t="s">
        <v>19407</v>
      </c>
      <c r="P37" s="58">
        <v>796</v>
      </c>
      <c r="Q37" s="6" t="s">
        <v>234</v>
      </c>
      <c r="R37" s="18">
        <v>160</v>
      </c>
      <c r="S37" s="2">
        <v>400</v>
      </c>
      <c r="T37" s="4">
        <f>R37*S37</f>
        <v>64000</v>
      </c>
      <c r="U37" s="4">
        <f t="shared" si="1"/>
        <v>71680</v>
      </c>
      <c r="V37" s="3"/>
      <c r="W37" s="3">
        <v>2014</v>
      </c>
      <c r="X37" s="3"/>
    </row>
    <row r="38" spans="1:24" ht="191.25">
      <c r="A38" s="3" t="s">
        <v>653</v>
      </c>
      <c r="B38" s="6" t="s">
        <v>361</v>
      </c>
      <c r="C38" s="6" t="s">
        <v>280</v>
      </c>
      <c r="D38" s="6" t="s">
        <v>281</v>
      </c>
      <c r="E38" s="3" t="s">
        <v>282</v>
      </c>
      <c r="F38" s="6" t="s">
        <v>276</v>
      </c>
      <c r="G38" s="3" t="s">
        <v>11450</v>
      </c>
      <c r="H38" s="54">
        <v>0</v>
      </c>
      <c r="I38" s="16">
        <v>470000000</v>
      </c>
      <c r="J38" s="157" t="s">
        <v>229</v>
      </c>
      <c r="K38" s="5" t="s">
        <v>210</v>
      </c>
      <c r="L38" s="6" t="s">
        <v>231</v>
      </c>
      <c r="M38" s="3" t="s">
        <v>230</v>
      </c>
      <c r="N38" s="6" t="s">
        <v>7670</v>
      </c>
      <c r="O38" s="6" t="s">
        <v>233</v>
      </c>
      <c r="P38" s="58">
        <v>796</v>
      </c>
      <c r="Q38" s="6" t="s">
        <v>234</v>
      </c>
      <c r="R38" s="18">
        <v>20</v>
      </c>
      <c r="S38" s="2">
        <v>550</v>
      </c>
      <c r="T38" s="4">
        <v>0</v>
      </c>
      <c r="U38" s="4">
        <f t="shared" si="1"/>
        <v>0</v>
      </c>
      <c r="V38" s="3"/>
      <c r="W38" s="3">
        <v>2014</v>
      </c>
      <c r="X38" s="3" t="s">
        <v>12062</v>
      </c>
    </row>
    <row r="39" spans="1:24" ht="191.25">
      <c r="A39" s="3" t="s">
        <v>14364</v>
      </c>
      <c r="B39" s="6" t="s">
        <v>361</v>
      </c>
      <c r="C39" s="6" t="s">
        <v>280</v>
      </c>
      <c r="D39" s="6" t="s">
        <v>281</v>
      </c>
      <c r="E39" s="3" t="s">
        <v>282</v>
      </c>
      <c r="F39" s="6" t="s">
        <v>276</v>
      </c>
      <c r="G39" s="3" t="s">
        <v>11450</v>
      </c>
      <c r="H39" s="54">
        <v>0</v>
      </c>
      <c r="I39" s="16">
        <v>470000000</v>
      </c>
      <c r="J39" s="157" t="s">
        <v>229</v>
      </c>
      <c r="K39" s="5" t="s">
        <v>210</v>
      </c>
      <c r="L39" s="6" t="s">
        <v>231</v>
      </c>
      <c r="M39" s="3" t="s">
        <v>230</v>
      </c>
      <c r="N39" s="6" t="s">
        <v>7670</v>
      </c>
      <c r="O39" s="6" t="s">
        <v>233</v>
      </c>
      <c r="P39" s="58">
        <v>796</v>
      </c>
      <c r="Q39" s="6" t="s">
        <v>234</v>
      </c>
      <c r="R39" s="18">
        <v>1</v>
      </c>
      <c r="S39" s="2">
        <v>550</v>
      </c>
      <c r="T39" s="4">
        <f>R39*S39</f>
        <v>550</v>
      </c>
      <c r="U39" s="4">
        <f>T39*1.12</f>
        <v>616.00000000000011</v>
      </c>
      <c r="V39" s="3"/>
      <c r="W39" s="3">
        <v>2014</v>
      </c>
      <c r="X39" s="3"/>
    </row>
    <row r="40" spans="1:24" ht="191.25">
      <c r="A40" s="3" t="s">
        <v>654</v>
      </c>
      <c r="B40" s="6" t="s">
        <v>361</v>
      </c>
      <c r="C40" s="6" t="s">
        <v>283</v>
      </c>
      <c r="D40" s="6" t="s">
        <v>281</v>
      </c>
      <c r="E40" s="3" t="s">
        <v>284</v>
      </c>
      <c r="F40" s="6" t="s">
        <v>279</v>
      </c>
      <c r="G40" s="3" t="s">
        <v>11450</v>
      </c>
      <c r="H40" s="54">
        <v>0</v>
      </c>
      <c r="I40" s="16">
        <v>470000000</v>
      </c>
      <c r="J40" s="157" t="s">
        <v>229</v>
      </c>
      <c r="K40" s="5" t="s">
        <v>210</v>
      </c>
      <c r="L40" s="6" t="s">
        <v>231</v>
      </c>
      <c r="M40" s="3" t="s">
        <v>230</v>
      </c>
      <c r="N40" s="6" t="s">
        <v>7670</v>
      </c>
      <c r="O40" s="6" t="s">
        <v>233</v>
      </c>
      <c r="P40" s="58">
        <v>796</v>
      </c>
      <c r="Q40" s="6" t="s">
        <v>234</v>
      </c>
      <c r="R40" s="18">
        <v>10</v>
      </c>
      <c r="S40" s="2">
        <v>660</v>
      </c>
      <c r="T40" s="4">
        <f>R40*S40</f>
        <v>6600</v>
      </c>
      <c r="U40" s="4">
        <f t="shared" si="1"/>
        <v>7392.0000000000009</v>
      </c>
      <c r="V40" s="3"/>
      <c r="W40" s="3">
        <v>2014</v>
      </c>
      <c r="X40" s="3"/>
    </row>
    <row r="41" spans="1:24" ht="178.5">
      <c r="A41" s="3" t="s">
        <v>655</v>
      </c>
      <c r="B41" s="6" t="s">
        <v>361</v>
      </c>
      <c r="C41" s="6" t="s">
        <v>285</v>
      </c>
      <c r="D41" s="6" t="s">
        <v>281</v>
      </c>
      <c r="E41" s="3" t="s">
        <v>286</v>
      </c>
      <c r="F41" s="6" t="s">
        <v>277</v>
      </c>
      <c r="G41" s="3" t="s">
        <v>11450</v>
      </c>
      <c r="H41" s="54">
        <v>0</v>
      </c>
      <c r="I41" s="16">
        <v>470000000</v>
      </c>
      <c r="J41" s="157" t="s">
        <v>229</v>
      </c>
      <c r="K41" s="5" t="s">
        <v>210</v>
      </c>
      <c r="L41" s="6" t="s">
        <v>231</v>
      </c>
      <c r="M41" s="3" t="s">
        <v>230</v>
      </c>
      <c r="N41" s="6" t="s">
        <v>7670</v>
      </c>
      <c r="O41" s="6" t="s">
        <v>233</v>
      </c>
      <c r="P41" s="58">
        <v>796</v>
      </c>
      <c r="Q41" s="6" t="s">
        <v>234</v>
      </c>
      <c r="R41" s="18">
        <v>10</v>
      </c>
      <c r="S41" s="2">
        <v>920</v>
      </c>
      <c r="T41" s="4">
        <v>0</v>
      </c>
      <c r="U41" s="4">
        <f t="shared" si="1"/>
        <v>0</v>
      </c>
      <c r="V41" s="3"/>
      <c r="W41" s="3">
        <v>2014</v>
      </c>
      <c r="X41" s="3" t="s">
        <v>14230</v>
      </c>
    </row>
    <row r="42" spans="1:24" ht="178.5">
      <c r="A42" s="3" t="s">
        <v>14365</v>
      </c>
      <c r="B42" s="6" t="s">
        <v>361</v>
      </c>
      <c r="C42" s="6" t="s">
        <v>285</v>
      </c>
      <c r="D42" s="6" t="s">
        <v>281</v>
      </c>
      <c r="E42" s="3" t="s">
        <v>286</v>
      </c>
      <c r="F42" s="6" t="s">
        <v>277</v>
      </c>
      <c r="G42" s="3" t="s">
        <v>11450</v>
      </c>
      <c r="H42" s="54">
        <v>0</v>
      </c>
      <c r="I42" s="16">
        <v>470000000</v>
      </c>
      <c r="J42" s="157" t="s">
        <v>229</v>
      </c>
      <c r="K42" s="5" t="s">
        <v>210</v>
      </c>
      <c r="L42" s="6" t="s">
        <v>231</v>
      </c>
      <c r="M42" s="3" t="s">
        <v>230</v>
      </c>
      <c r="N42" s="6" t="s">
        <v>7670</v>
      </c>
      <c r="O42" s="6" t="s">
        <v>233</v>
      </c>
      <c r="P42" s="58">
        <v>796</v>
      </c>
      <c r="Q42" s="6" t="s">
        <v>234</v>
      </c>
      <c r="R42" s="18">
        <v>10</v>
      </c>
      <c r="S42" s="2">
        <v>1104</v>
      </c>
      <c r="T42" s="4">
        <f>R42*S42</f>
        <v>11040</v>
      </c>
      <c r="U42" s="4">
        <f>T42*1.12</f>
        <v>12364.800000000001</v>
      </c>
      <c r="V42" s="3"/>
      <c r="W42" s="3">
        <v>2014</v>
      </c>
      <c r="X42" s="3"/>
    </row>
    <row r="43" spans="1:24" ht="191.25">
      <c r="A43" s="3" t="s">
        <v>656</v>
      </c>
      <c r="B43" s="6" t="s">
        <v>361</v>
      </c>
      <c r="C43" s="6" t="s">
        <v>287</v>
      </c>
      <c r="D43" s="6" t="s">
        <v>281</v>
      </c>
      <c r="E43" s="3" t="s">
        <v>288</v>
      </c>
      <c r="F43" s="6" t="s">
        <v>278</v>
      </c>
      <c r="G43" s="3" t="s">
        <v>11450</v>
      </c>
      <c r="H43" s="54">
        <v>0</v>
      </c>
      <c r="I43" s="16">
        <v>470000000</v>
      </c>
      <c r="J43" s="157" t="s">
        <v>229</v>
      </c>
      <c r="K43" s="5" t="s">
        <v>210</v>
      </c>
      <c r="L43" s="6" t="s">
        <v>231</v>
      </c>
      <c r="M43" s="3" t="s">
        <v>230</v>
      </c>
      <c r="N43" s="6" t="s">
        <v>7670</v>
      </c>
      <c r="O43" s="6" t="s">
        <v>233</v>
      </c>
      <c r="P43" s="58">
        <v>796</v>
      </c>
      <c r="Q43" s="6" t="s">
        <v>234</v>
      </c>
      <c r="R43" s="18">
        <v>5</v>
      </c>
      <c r="S43" s="2">
        <v>1000</v>
      </c>
      <c r="T43" s="4">
        <v>0</v>
      </c>
      <c r="U43" s="4">
        <f t="shared" si="1"/>
        <v>0</v>
      </c>
      <c r="V43" s="3"/>
      <c r="W43" s="3">
        <v>2014</v>
      </c>
      <c r="X43" s="3" t="s">
        <v>14230</v>
      </c>
    </row>
    <row r="44" spans="1:24" ht="191.25">
      <c r="A44" s="3" t="s">
        <v>16358</v>
      </c>
      <c r="B44" s="6" t="s">
        <v>361</v>
      </c>
      <c r="C44" s="6" t="s">
        <v>287</v>
      </c>
      <c r="D44" s="6" t="s">
        <v>281</v>
      </c>
      <c r="E44" s="3" t="s">
        <v>288</v>
      </c>
      <c r="F44" s="6" t="s">
        <v>278</v>
      </c>
      <c r="G44" s="3" t="s">
        <v>11450</v>
      </c>
      <c r="H44" s="54">
        <v>0</v>
      </c>
      <c r="I44" s="16">
        <v>470000000</v>
      </c>
      <c r="J44" s="157" t="s">
        <v>229</v>
      </c>
      <c r="K44" s="5" t="s">
        <v>210</v>
      </c>
      <c r="L44" s="6" t="s">
        <v>231</v>
      </c>
      <c r="M44" s="3" t="s">
        <v>230</v>
      </c>
      <c r="N44" s="6" t="s">
        <v>7670</v>
      </c>
      <c r="O44" s="6" t="s">
        <v>233</v>
      </c>
      <c r="P44" s="58">
        <v>796</v>
      </c>
      <c r="Q44" s="6" t="s">
        <v>234</v>
      </c>
      <c r="R44" s="18">
        <v>5</v>
      </c>
      <c r="S44" s="2">
        <v>1200</v>
      </c>
      <c r="T44" s="4">
        <f>R44*S44</f>
        <v>6000</v>
      </c>
      <c r="U44" s="4">
        <f>T44*1.12</f>
        <v>6720.0000000000009</v>
      </c>
      <c r="V44" s="3"/>
      <c r="W44" s="3">
        <v>2014</v>
      </c>
      <c r="X44" s="3"/>
    </row>
    <row r="45" spans="1:24" ht="153">
      <c r="A45" s="3" t="s">
        <v>657</v>
      </c>
      <c r="B45" s="6" t="s">
        <v>361</v>
      </c>
      <c r="C45" s="6" t="s">
        <v>289</v>
      </c>
      <c r="D45" s="6" t="s">
        <v>281</v>
      </c>
      <c r="E45" s="3" t="s">
        <v>290</v>
      </c>
      <c r="F45" s="6" t="s">
        <v>14366</v>
      </c>
      <c r="G45" s="3" t="s">
        <v>11450</v>
      </c>
      <c r="H45" s="54">
        <v>0</v>
      </c>
      <c r="I45" s="16">
        <v>470000000</v>
      </c>
      <c r="J45" s="157" t="s">
        <v>229</v>
      </c>
      <c r="K45" s="5" t="s">
        <v>210</v>
      </c>
      <c r="L45" s="6" t="s">
        <v>231</v>
      </c>
      <c r="M45" s="3" t="s">
        <v>230</v>
      </c>
      <c r="N45" s="6" t="s">
        <v>7670</v>
      </c>
      <c r="O45" s="6" t="s">
        <v>233</v>
      </c>
      <c r="P45" s="58">
        <v>796</v>
      </c>
      <c r="Q45" s="6" t="s">
        <v>234</v>
      </c>
      <c r="R45" s="18">
        <v>20</v>
      </c>
      <c r="S45" s="2">
        <v>400</v>
      </c>
      <c r="T45" s="4">
        <f>R45*S45</f>
        <v>8000</v>
      </c>
      <c r="U45" s="4">
        <f t="shared" si="1"/>
        <v>8960</v>
      </c>
      <c r="V45" s="3"/>
      <c r="W45" s="3">
        <v>2014</v>
      </c>
      <c r="X45" s="3"/>
    </row>
    <row r="46" spans="1:24" ht="140.25">
      <c r="A46" s="3" t="s">
        <v>658</v>
      </c>
      <c r="B46" s="6" t="s">
        <v>361</v>
      </c>
      <c r="C46" s="6" t="s">
        <v>294</v>
      </c>
      <c r="D46" s="6" t="s">
        <v>292</v>
      </c>
      <c r="E46" s="3" t="s">
        <v>295</v>
      </c>
      <c r="F46" s="6" t="s">
        <v>27</v>
      </c>
      <c r="G46" s="3" t="s">
        <v>11450</v>
      </c>
      <c r="H46" s="54">
        <v>0</v>
      </c>
      <c r="I46" s="16">
        <v>470000000</v>
      </c>
      <c r="J46" s="157" t="s">
        <v>229</v>
      </c>
      <c r="K46" s="5" t="s">
        <v>208</v>
      </c>
      <c r="L46" s="6" t="s">
        <v>231</v>
      </c>
      <c r="M46" s="3" t="s">
        <v>230</v>
      </c>
      <c r="N46" s="6" t="s">
        <v>7670</v>
      </c>
      <c r="O46" s="6" t="s">
        <v>233</v>
      </c>
      <c r="P46" s="58">
        <v>796</v>
      </c>
      <c r="Q46" s="6" t="s">
        <v>234</v>
      </c>
      <c r="R46" s="18">
        <v>500</v>
      </c>
      <c r="S46" s="2">
        <v>1375</v>
      </c>
      <c r="T46" s="4">
        <v>0</v>
      </c>
      <c r="U46" s="4">
        <f t="shared" si="1"/>
        <v>0</v>
      </c>
      <c r="V46" s="3"/>
      <c r="W46" s="3">
        <v>2014</v>
      </c>
      <c r="X46" s="3" t="s">
        <v>13337</v>
      </c>
    </row>
    <row r="47" spans="1:24" ht="127.5">
      <c r="A47" s="3" t="s">
        <v>12079</v>
      </c>
      <c r="B47" s="6" t="s">
        <v>361</v>
      </c>
      <c r="C47" s="6" t="s">
        <v>294</v>
      </c>
      <c r="D47" s="6" t="s">
        <v>292</v>
      </c>
      <c r="E47" s="3" t="s">
        <v>295</v>
      </c>
      <c r="F47" s="6" t="s">
        <v>13338</v>
      </c>
      <c r="G47" s="3" t="s">
        <v>11450</v>
      </c>
      <c r="H47" s="54">
        <v>0</v>
      </c>
      <c r="I47" s="16">
        <v>470000000</v>
      </c>
      <c r="J47" s="157" t="s">
        <v>229</v>
      </c>
      <c r="K47" s="5" t="s">
        <v>217</v>
      </c>
      <c r="L47" s="17" t="s">
        <v>11411</v>
      </c>
      <c r="M47" s="3" t="s">
        <v>230</v>
      </c>
      <c r="N47" s="6" t="s">
        <v>7670</v>
      </c>
      <c r="O47" s="6" t="s">
        <v>233</v>
      </c>
      <c r="P47" s="58">
        <v>796</v>
      </c>
      <c r="Q47" s="6" t="s">
        <v>234</v>
      </c>
      <c r="R47" s="18">
        <v>500</v>
      </c>
      <c r="S47" s="2">
        <v>1375</v>
      </c>
      <c r="T47" s="4">
        <v>0</v>
      </c>
      <c r="U47" s="4">
        <f>T47*1.12</f>
        <v>0</v>
      </c>
      <c r="V47" s="3"/>
      <c r="W47" s="3">
        <v>2014</v>
      </c>
      <c r="X47" s="3" t="s">
        <v>14230</v>
      </c>
    </row>
    <row r="48" spans="1:24" ht="127.5">
      <c r="A48" s="3" t="s">
        <v>14367</v>
      </c>
      <c r="B48" s="6" t="s">
        <v>361</v>
      </c>
      <c r="C48" s="6" t="s">
        <v>294</v>
      </c>
      <c r="D48" s="6" t="s">
        <v>292</v>
      </c>
      <c r="E48" s="3" t="s">
        <v>295</v>
      </c>
      <c r="F48" s="6" t="s">
        <v>13338</v>
      </c>
      <c r="G48" s="3" t="s">
        <v>11450</v>
      </c>
      <c r="H48" s="54">
        <v>0</v>
      </c>
      <c r="I48" s="16">
        <v>470000000</v>
      </c>
      <c r="J48" s="157" t="s">
        <v>229</v>
      </c>
      <c r="K48" s="5" t="s">
        <v>217</v>
      </c>
      <c r="L48" s="17" t="s">
        <v>11411</v>
      </c>
      <c r="M48" s="3" t="s">
        <v>230</v>
      </c>
      <c r="N48" s="6" t="s">
        <v>7670</v>
      </c>
      <c r="O48" s="6" t="s">
        <v>233</v>
      </c>
      <c r="P48" s="58">
        <v>796</v>
      </c>
      <c r="Q48" s="6" t="s">
        <v>234</v>
      </c>
      <c r="R48" s="18">
        <v>500</v>
      </c>
      <c r="S48" s="2">
        <v>1300</v>
      </c>
      <c r="T48" s="4">
        <v>0</v>
      </c>
      <c r="U48" s="4">
        <f>T48*1.12</f>
        <v>0</v>
      </c>
      <c r="V48" s="3"/>
      <c r="W48" s="3">
        <v>2014</v>
      </c>
      <c r="X48" s="3" t="s">
        <v>17317</v>
      </c>
    </row>
    <row r="49" spans="1:24" ht="127.5">
      <c r="A49" s="3" t="s">
        <v>17316</v>
      </c>
      <c r="B49" s="6" t="s">
        <v>361</v>
      </c>
      <c r="C49" s="6" t="s">
        <v>294</v>
      </c>
      <c r="D49" s="6" t="s">
        <v>292</v>
      </c>
      <c r="E49" s="3" t="s">
        <v>295</v>
      </c>
      <c r="F49" s="6" t="s">
        <v>13338</v>
      </c>
      <c r="G49" s="3" t="s">
        <v>11450</v>
      </c>
      <c r="H49" s="54">
        <v>0</v>
      </c>
      <c r="I49" s="16">
        <v>470000000</v>
      </c>
      <c r="J49" s="157" t="s">
        <v>229</v>
      </c>
      <c r="K49" s="5" t="s">
        <v>17318</v>
      </c>
      <c r="L49" s="17" t="s">
        <v>11411</v>
      </c>
      <c r="M49" s="3" t="s">
        <v>230</v>
      </c>
      <c r="N49" s="8" t="s">
        <v>8898</v>
      </c>
      <c r="O49" s="6" t="s">
        <v>233</v>
      </c>
      <c r="P49" s="58">
        <v>796</v>
      </c>
      <c r="Q49" s="6" t="s">
        <v>234</v>
      </c>
      <c r="R49" s="18">
        <v>700</v>
      </c>
      <c r="S49" s="2">
        <v>1300</v>
      </c>
      <c r="T49" s="4">
        <f>R49*S49</f>
        <v>910000</v>
      </c>
      <c r="U49" s="4">
        <f>T49*1.12</f>
        <v>1019200.0000000001</v>
      </c>
      <c r="V49" s="3"/>
      <c r="W49" s="3">
        <v>2014</v>
      </c>
      <c r="X49" s="3"/>
    </row>
    <row r="50" spans="1:24" ht="267.75">
      <c r="A50" s="3" t="s">
        <v>659</v>
      </c>
      <c r="B50" s="6" t="s">
        <v>361</v>
      </c>
      <c r="C50" s="6" t="s">
        <v>291</v>
      </c>
      <c r="D50" s="6" t="s">
        <v>292</v>
      </c>
      <c r="E50" s="6" t="s">
        <v>293</v>
      </c>
      <c r="F50" s="6" t="s">
        <v>28</v>
      </c>
      <c r="G50" s="3" t="s">
        <v>11450</v>
      </c>
      <c r="H50" s="54">
        <v>0</v>
      </c>
      <c r="I50" s="16">
        <v>470000000</v>
      </c>
      <c r="J50" s="157" t="s">
        <v>229</v>
      </c>
      <c r="K50" s="5" t="s">
        <v>208</v>
      </c>
      <c r="L50" s="6" t="s">
        <v>231</v>
      </c>
      <c r="M50" s="3" t="s">
        <v>230</v>
      </c>
      <c r="N50" s="6" t="s">
        <v>7670</v>
      </c>
      <c r="O50" s="6" t="s">
        <v>233</v>
      </c>
      <c r="P50" s="58">
        <v>796</v>
      </c>
      <c r="Q50" s="6" t="s">
        <v>234</v>
      </c>
      <c r="R50" s="18">
        <v>500</v>
      </c>
      <c r="S50" s="2">
        <v>1375</v>
      </c>
      <c r="T50" s="4">
        <v>0</v>
      </c>
      <c r="U50" s="4">
        <f t="shared" si="1"/>
        <v>0</v>
      </c>
      <c r="V50" s="3"/>
      <c r="W50" s="3">
        <v>2014</v>
      </c>
      <c r="X50" s="3" t="s">
        <v>13337</v>
      </c>
    </row>
    <row r="51" spans="1:24" ht="127.5">
      <c r="A51" s="3" t="s">
        <v>12080</v>
      </c>
      <c r="B51" s="6" t="s">
        <v>361</v>
      </c>
      <c r="C51" s="6" t="s">
        <v>291</v>
      </c>
      <c r="D51" s="6" t="s">
        <v>292</v>
      </c>
      <c r="E51" s="6" t="s">
        <v>293</v>
      </c>
      <c r="F51" s="6" t="s">
        <v>13339</v>
      </c>
      <c r="G51" s="3" t="s">
        <v>11450</v>
      </c>
      <c r="H51" s="54">
        <v>0</v>
      </c>
      <c r="I51" s="16">
        <v>470000000</v>
      </c>
      <c r="J51" s="157" t="s">
        <v>229</v>
      </c>
      <c r="K51" s="5" t="s">
        <v>217</v>
      </c>
      <c r="L51" s="17" t="s">
        <v>11411</v>
      </c>
      <c r="M51" s="3" t="s">
        <v>230</v>
      </c>
      <c r="N51" s="6" t="s">
        <v>7670</v>
      </c>
      <c r="O51" s="6" t="s">
        <v>233</v>
      </c>
      <c r="P51" s="58">
        <v>796</v>
      </c>
      <c r="Q51" s="6" t="s">
        <v>234</v>
      </c>
      <c r="R51" s="18">
        <v>500</v>
      </c>
      <c r="S51" s="2">
        <v>1375</v>
      </c>
      <c r="T51" s="4">
        <v>0</v>
      </c>
      <c r="U51" s="4">
        <f>T51*1.12</f>
        <v>0</v>
      </c>
      <c r="V51" s="3"/>
      <c r="W51" s="3">
        <v>2014</v>
      </c>
      <c r="X51" s="3" t="s">
        <v>14230</v>
      </c>
    </row>
    <row r="52" spans="1:24" ht="127.5">
      <c r="A52" s="3" t="s">
        <v>14368</v>
      </c>
      <c r="B52" s="6" t="s">
        <v>361</v>
      </c>
      <c r="C52" s="6" t="s">
        <v>291</v>
      </c>
      <c r="D52" s="6" t="s">
        <v>292</v>
      </c>
      <c r="E52" s="6" t="s">
        <v>293</v>
      </c>
      <c r="F52" s="6" t="s">
        <v>13339</v>
      </c>
      <c r="G52" s="3" t="s">
        <v>11450</v>
      </c>
      <c r="H52" s="54">
        <v>0</v>
      </c>
      <c r="I52" s="16">
        <v>470000000</v>
      </c>
      <c r="J52" s="157" t="s">
        <v>229</v>
      </c>
      <c r="K52" s="5" t="s">
        <v>217</v>
      </c>
      <c r="L52" s="17" t="s">
        <v>11411</v>
      </c>
      <c r="M52" s="3" t="s">
        <v>230</v>
      </c>
      <c r="N52" s="6" t="s">
        <v>7670</v>
      </c>
      <c r="O52" s="6" t="s">
        <v>233</v>
      </c>
      <c r="P52" s="58">
        <v>796</v>
      </c>
      <c r="Q52" s="6" t="s">
        <v>234</v>
      </c>
      <c r="R52" s="18">
        <v>500</v>
      </c>
      <c r="S52" s="2">
        <v>1300</v>
      </c>
      <c r="T52" s="4">
        <v>0</v>
      </c>
      <c r="U52" s="4">
        <f>T52*1.12</f>
        <v>0</v>
      </c>
      <c r="V52" s="3"/>
      <c r="W52" s="3">
        <v>2014</v>
      </c>
      <c r="X52" s="3" t="s">
        <v>17317</v>
      </c>
    </row>
    <row r="53" spans="1:24" ht="127.5">
      <c r="A53" s="3" t="s">
        <v>17319</v>
      </c>
      <c r="B53" s="6" t="s">
        <v>361</v>
      </c>
      <c r="C53" s="6" t="s">
        <v>291</v>
      </c>
      <c r="D53" s="6" t="s">
        <v>292</v>
      </c>
      <c r="E53" s="6" t="s">
        <v>293</v>
      </c>
      <c r="F53" s="6" t="s">
        <v>13339</v>
      </c>
      <c r="G53" s="3" t="s">
        <v>11450</v>
      </c>
      <c r="H53" s="54">
        <v>0</v>
      </c>
      <c r="I53" s="16">
        <v>470000000</v>
      </c>
      <c r="J53" s="157" t="s">
        <v>229</v>
      </c>
      <c r="K53" s="5" t="s">
        <v>17318</v>
      </c>
      <c r="L53" s="17" t="s">
        <v>11411</v>
      </c>
      <c r="M53" s="3" t="s">
        <v>230</v>
      </c>
      <c r="N53" s="8" t="s">
        <v>8898</v>
      </c>
      <c r="O53" s="6" t="s">
        <v>233</v>
      </c>
      <c r="P53" s="58">
        <v>796</v>
      </c>
      <c r="Q53" s="6" t="s">
        <v>234</v>
      </c>
      <c r="R53" s="18">
        <v>700</v>
      </c>
      <c r="S53" s="2">
        <v>1300</v>
      </c>
      <c r="T53" s="4">
        <f>R53*S53</f>
        <v>910000</v>
      </c>
      <c r="U53" s="4">
        <f>T53*1.12</f>
        <v>1019200.0000000001</v>
      </c>
      <c r="V53" s="3"/>
      <c r="W53" s="3">
        <v>2014</v>
      </c>
      <c r="X53" s="3"/>
    </row>
    <row r="54" spans="1:24" ht="102">
      <c r="A54" s="3" t="s">
        <v>660</v>
      </c>
      <c r="B54" s="6" t="s">
        <v>361</v>
      </c>
      <c r="C54" s="6" t="s">
        <v>296</v>
      </c>
      <c r="D54" s="3" t="s">
        <v>297</v>
      </c>
      <c r="E54" s="6" t="s">
        <v>298</v>
      </c>
      <c r="F54" s="6" t="s">
        <v>29</v>
      </c>
      <c r="G54" s="3" t="s">
        <v>11450</v>
      </c>
      <c r="H54" s="54">
        <v>0</v>
      </c>
      <c r="I54" s="16">
        <v>470000000</v>
      </c>
      <c r="J54" s="157" t="s">
        <v>229</v>
      </c>
      <c r="K54" s="5" t="s">
        <v>208</v>
      </c>
      <c r="L54" s="6" t="s">
        <v>231</v>
      </c>
      <c r="M54" s="3" t="s">
        <v>230</v>
      </c>
      <c r="N54" s="6" t="s">
        <v>7670</v>
      </c>
      <c r="O54" s="6" t="s">
        <v>233</v>
      </c>
      <c r="P54" s="58">
        <v>796</v>
      </c>
      <c r="Q54" s="6" t="s">
        <v>234</v>
      </c>
      <c r="R54" s="18">
        <v>1000</v>
      </c>
      <c r="S54" s="2">
        <v>200</v>
      </c>
      <c r="T54" s="4">
        <v>0</v>
      </c>
      <c r="U54" s="4">
        <f t="shared" si="1"/>
        <v>0</v>
      </c>
      <c r="V54" s="3"/>
      <c r="W54" s="3">
        <v>2014</v>
      </c>
      <c r="X54" s="3" t="s">
        <v>14230</v>
      </c>
    </row>
    <row r="55" spans="1:24" ht="102">
      <c r="A55" s="3" t="s">
        <v>14369</v>
      </c>
      <c r="B55" s="6" t="s">
        <v>361</v>
      </c>
      <c r="C55" s="6" t="s">
        <v>296</v>
      </c>
      <c r="D55" s="3" t="s">
        <v>297</v>
      </c>
      <c r="E55" s="6" t="s">
        <v>298</v>
      </c>
      <c r="F55" s="6" t="s">
        <v>29</v>
      </c>
      <c r="G55" s="3" t="s">
        <v>11450</v>
      </c>
      <c r="H55" s="54">
        <v>0</v>
      </c>
      <c r="I55" s="16">
        <v>470000000</v>
      </c>
      <c r="J55" s="157" t="s">
        <v>229</v>
      </c>
      <c r="K55" s="5" t="s">
        <v>208</v>
      </c>
      <c r="L55" s="6" t="s">
        <v>231</v>
      </c>
      <c r="M55" s="3" t="s">
        <v>230</v>
      </c>
      <c r="N55" s="6" t="s">
        <v>7670</v>
      </c>
      <c r="O55" s="6" t="s">
        <v>233</v>
      </c>
      <c r="P55" s="58">
        <v>796</v>
      </c>
      <c r="Q55" s="6" t="s">
        <v>234</v>
      </c>
      <c r="R55" s="18">
        <v>1000</v>
      </c>
      <c r="S55" s="2">
        <v>159</v>
      </c>
      <c r="T55" s="4">
        <v>0</v>
      </c>
      <c r="U55" s="4">
        <f>T55*1.12</f>
        <v>0</v>
      </c>
      <c r="V55" s="3"/>
      <c r="W55" s="3">
        <v>2014</v>
      </c>
      <c r="X55" s="3" t="s">
        <v>17321</v>
      </c>
    </row>
    <row r="56" spans="1:24" ht="102">
      <c r="A56" s="3" t="s">
        <v>17320</v>
      </c>
      <c r="B56" s="6" t="s">
        <v>361</v>
      </c>
      <c r="C56" s="6" t="s">
        <v>296</v>
      </c>
      <c r="D56" s="3" t="s">
        <v>297</v>
      </c>
      <c r="E56" s="6" t="s">
        <v>298</v>
      </c>
      <c r="F56" s="6" t="s">
        <v>29</v>
      </c>
      <c r="G56" s="3" t="s">
        <v>11450</v>
      </c>
      <c r="H56" s="54">
        <v>0</v>
      </c>
      <c r="I56" s="16">
        <v>470000000</v>
      </c>
      <c r="J56" s="157" t="s">
        <v>229</v>
      </c>
      <c r="K56" s="5" t="s">
        <v>17318</v>
      </c>
      <c r="L56" s="17" t="s">
        <v>11411</v>
      </c>
      <c r="M56" s="3" t="s">
        <v>230</v>
      </c>
      <c r="N56" s="8" t="s">
        <v>8898</v>
      </c>
      <c r="O56" s="6" t="s">
        <v>233</v>
      </c>
      <c r="P56" s="58">
        <v>796</v>
      </c>
      <c r="Q56" s="6" t="s">
        <v>234</v>
      </c>
      <c r="R56" s="18">
        <v>1400</v>
      </c>
      <c r="S56" s="2">
        <v>250</v>
      </c>
      <c r="T56" s="4">
        <f t="shared" ref="T56:T61" si="2">R56*S56</f>
        <v>350000</v>
      </c>
      <c r="U56" s="4">
        <f>T56*1.12</f>
        <v>392000.00000000006</v>
      </c>
      <c r="V56" s="3"/>
      <c r="W56" s="3">
        <v>2014</v>
      </c>
      <c r="X56" s="3"/>
    </row>
    <row r="57" spans="1:24" ht="102">
      <c r="A57" s="3" t="s">
        <v>661</v>
      </c>
      <c r="B57" s="6" t="s">
        <v>361</v>
      </c>
      <c r="C57" s="6" t="s">
        <v>306</v>
      </c>
      <c r="D57" s="3" t="s">
        <v>307</v>
      </c>
      <c r="E57" s="6" t="s">
        <v>308</v>
      </c>
      <c r="F57" s="6" t="s">
        <v>299</v>
      </c>
      <c r="G57" s="3" t="s">
        <v>11450</v>
      </c>
      <c r="H57" s="54">
        <v>0</v>
      </c>
      <c r="I57" s="16">
        <v>470000000</v>
      </c>
      <c r="J57" s="157" t="s">
        <v>229</v>
      </c>
      <c r="K57" s="5" t="s">
        <v>211</v>
      </c>
      <c r="L57" s="6" t="s">
        <v>231</v>
      </c>
      <c r="M57" s="3" t="s">
        <v>230</v>
      </c>
      <c r="N57" s="6" t="s">
        <v>7670</v>
      </c>
      <c r="O57" s="6" t="s">
        <v>233</v>
      </c>
      <c r="P57" s="58">
        <v>796</v>
      </c>
      <c r="Q57" s="6" t="s">
        <v>234</v>
      </c>
      <c r="R57" s="18">
        <v>0</v>
      </c>
      <c r="S57" s="2">
        <v>3500</v>
      </c>
      <c r="T57" s="4">
        <f t="shared" si="2"/>
        <v>0</v>
      </c>
      <c r="U57" s="4">
        <f t="shared" si="1"/>
        <v>0</v>
      </c>
      <c r="V57" s="3"/>
      <c r="W57" s="3">
        <v>2014</v>
      </c>
      <c r="X57" s="3" t="s">
        <v>12076</v>
      </c>
    </row>
    <row r="58" spans="1:24" ht="114.75">
      <c r="A58" s="3" t="s">
        <v>662</v>
      </c>
      <c r="B58" s="6" t="s">
        <v>361</v>
      </c>
      <c r="C58" s="6" t="s">
        <v>309</v>
      </c>
      <c r="D58" s="3" t="s">
        <v>30</v>
      </c>
      <c r="E58" s="6" t="s">
        <v>310</v>
      </c>
      <c r="F58" s="6" t="s">
        <v>31</v>
      </c>
      <c r="G58" s="3" t="s">
        <v>11450</v>
      </c>
      <c r="H58" s="54">
        <v>0</v>
      </c>
      <c r="I58" s="16">
        <v>470000000</v>
      </c>
      <c r="J58" s="157" t="s">
        <v>229</v>
      </c>
      <c r="K58" s="5" t="s">
        <v>211</v>
      </c>
      <c r="L58" s="6" t="s">
        <v>231</v>
      </c>
      <c r="M58" s="3" t="s">
        <v>230</v>
      </c>
      <c r="N58" s="6" t="s">
        <v>7670</v>
      </c>
      <c r="O58" s="6" t="s">
        <v>233</v>
      </c>
      <c r="P58" s="58">
        <v>796</v>
      </c>
      <c r="Q58" s="6" t="s">
        <v>234</v>
      </c>
      <c r="R58" s="18">
        <v>0</v>
      </c>
      <c r="S58" s="2">
        <v>2375</v>
      </c>
      <c r="T58" s="4">
        <f t="shared" si="2"/>
        <v>0</v>
      </c>
      <c r="U58" s="4">
        <f t="shared" si="1"/>
        <v>0</v>
      </c>
      <c r="V58" s="3"/>
      <c r="W58" s="3">
        <v>2014</v>
      </c>
      <c r="X58" s="3" t="s">
        <v>12076</v>
      </c>
    </row>
    <row r="59" spans="1:24" ht="102">
      <c r="A59" s="3" t="s">
        <v>663</v>
      </c>
      <c r="B59" s="6" t="s">
        <v>361</v>
      </c>
      <c r="C59" s="6" t="s">
        <v>311</v>
      </c>
      <c r="D59" s="3" t="s">
        <v>312</v>
      </c>
      <c r="E59" s="6" t="s">
        <v>313</v>
      </c>
      <c r="F59" s="6" t="s">
        <v>300</v>
      </c>
      <c r="G59" s="3" t="s">
        <v>11450</v>
      </c>
      <c r="H59" s="54">
        <v>0</v>
      </c>
      <c r="I59" s="16">
        <v>470000000</v>
      </c>
      <c r="J59" s="157" t="s">
        <v>229</v>
      </c>
      <c r="K59" s="5" t="s">
        <v>211</v>
      </c>
      <c r="L59" s="6" t="s">
        <v>231</v>
      </c>
      <c r="M59" s="3" t="s">
        <v>230</v>
      </c>
      <c r="N59" s="6" t="s">
        <v>7670</v>
      </c>
      <c r="O59" s="6" t="s">
        <v>233</v>
      </c>
      <c r="P59" s="58">
        <v>796</v>
      </c>
      <c r="Q59" s="6" t="s">
        <v>234</v>
      </c>
      <c r="R59" s="18">
        <v>0</v>
      </c>
      <c r="S59" s="2">
        <v>2124</v>
      </c>
      <c r="T59" s="4">
        <f t="shared" si="2"/>
        <v>0</v>
      </c>
      <c r="U59" s="4">
        <f t="shared" si="1"/>
        <v>0</v>
      </c>
      <c r="V59" s="3"/>
      <c r="W59" s="3">
        <v>2014</v>
      </c>
      <c r="X59" s="3" t="s">
        <v>12076</v>
      </c>
    </row>
    <row r="60" spans="1:24" ht="102">
      <c r="A60" s="3" t="s">
        <v>664</v>
      </c>
      <c r="B60" s="6" t="s">
        <v>361</v>
      </c>
      <c r="C60" s="6" t="s">
        <v>314</v>
      </c>
      <c r="D60" s="3" t="s">
        <v>312</v>
      </c>
      <c r="E60" s="6" t="s">
        <v>315</v>
      </c>
      <c r="F60" s="6" t="s">
        <v>301</v>
      </c>
      <c r="G60" s="3" t="s">
        <v>11450</v>
      </c>
      <c r="H60" s="54">
        <v>0</v>
      </c>
      <c r="I60" s="16">
        <v>470000000</v>
      </c>
      <c r="J60" s="157" t="s">
        <v>229</v>
      </c>
      <c r="K60" s="5" t="s">
        <v>212</v>
      </c>
      <c r="L60" s="6" t="s">
        <v>231</v>
      </c>
      <c r="M60" s="3" t="s">
        <v>230</v>
      </c>
      <c r="N60" s="6" t="s">
        <v>7670</v>
      </c>
      <c r="O60" s="6" t="s">
        <v>233</v>
      </c>
      <c r="P60" s="58">
        <v>796</v>
      </c>
      <c r="Q60" s="6" t="s">
        <v>234</v>
      </c>
      <c r="R60" s="18">
        <v>0</v>
      </c>
      <c r="S60" s="2">
        <v>3050</v>
      </c>
      <c r="T60" s="4">
        <f t="shared" si="2"/>
        <v>0</v>
      </c>
      <c r="U60" s="4">
        <f t="shared" si="1"/>
        <v>0</v>
      </c>
      <c r="V60" s="3"/>
      <c r="W60" s="3">
        <v>2014</v>
      </c>
      <c r="X60" s="3" t="s">
        <v>14132</v>
      </c>
    </row>
    <row r="61" spans="1:24" ht="102">
      <c r="A61" s="3" t="s">
        <v>14370</v>
      </c>
      <c r="B61" s="6" t="s">
        <v>361</v>
      </c>
      <c r="C61" s="6" t="s">
        <v>314</v>
      </c>
      <c r="D61" s="3" t="s">
        <v>312</v>
      </c>
      <c r="E61" s="6" t="s">
        <v>315</v>
      </c>
      <c r="F61" s="6" t="s">
        <v>301</v>
      </c>
      <c r="G61" s="3" t="s">
        <v>11450</v>
      </c>
      <c r="H61" s="54">
        <v>0</v>
      </c>
      <c r="I61" s="16">
        <v>470000000</v>
      </c>
      <c r="J61" s="157" t="s">
        <v>229</v>
      </c>
      <c r="K61" s="5" t="s">
        <v>212</v>
      </c>
      <c r="L61" s="6" t="s">
        <v>231</v>
      </c>
      <c r="M61" s="3" t="s">
        <v>230</v>
      </c>
      <c r="N61" s="6" t="s">
        <v>7670</v>
      </c>
      <c r="O61" s="6" t="s">
        <v>233</v>
      </c>
      <c r="P61" s="58">
        <v>796</v>
      </c>
      <c r="Q61" s="6" t="s">
        <v>234</v>
      </c>
      <c r="R61" s="18">
        <v>9</v>
      </c>
      <c r="S61" s="2">
        <v>3660</v>
      </c>
      <c r="T61" s="4">
        <f t="shared" si="2"/>
        <v>32940</v>
      </c>
      <c r="U61" s="4">
        <f>T61*1.12</f>
        <v>36892.800000000003</v>
      </c>
      <c r="V61" s="3"/>
      <c r="W61" s="3">
        <v>2014</v>
      </c>
      <c r="X61" s="3"/>
    </row>
    <row r="62" spans="1:24" ht="102">
      <c r="A62" s="3" t="s">
        <v>665</v>
      </c>
      <c r="B62" s="6" t="s">
        <v>361</v>
      </c>
      <c r="C62" s="6" t="s">
        <v>316</v>
      </c>
      <c r="D62" s="3" t="s">
        <v>317</v>
      </c>
      <c r="E62" s="6" t="s">
        <v>318</v>
      </c>
      <c r="F62" s="6" t="s">
        <v>302</v>
      </c>
      <c r="G62" s="3" t="s">
        <v>11450</v>
      </c>
      <c r="H62" s="54">
        <v>0</v>
      </c>
      <c r="I62" s="16">
        <v>470000000</v>
      </c>
      <c r="J62" s="157" t="s">
        <v>229</v>
      </c>
      <c r="K62" s="5" t="s">
        <v>212</v>
      </c>
      <c r="L62" s="6" t="s">
        <v>231</v>
      </c>
      <c r="M62" s="3" t="s">
        <v>230</v>
      </c>
      <c r="N62" s="6" t="s">
        <v>7670</v>
      </c>
      <c r="O62" s="6" t="s">
        <v>233</v>
      </c>
      <c r="P62" s="58">
        <v>796</v>
      </c>
      <c r="Q62" s="6" t="s">
        <v>234</v>
      </c>
      <c r="R62" s="18">
        <v>10</v>
      </c>
      <c r="S62" s="2">
        <v>3000</v>
      </c>
      <c r="T62" s="4">
        <v>0</v>
      </c>
      <c r="U62" s="4">
        <f t="shared" si="1"/>
        <v>0</v>
      </c>
      <c r="V62" s="3"/>
      <c r="W62" s="3">
        <v>2014</v>
      </c>
      <c r="X62" s="3" t="s">
        <v>14230</v>
      </c>
    </row>
    <row r="63" spans="1:24" ht="102">
      <c r="A63" s="3" t="s">
        <v>14371</v>
      </c>
      <c r="B63" s="6" t="s">
        <v>361</v>
      </c>
      <c r="C63" s="6" t="s">
        <v>316</v>
      </c>
      <c r="D63" s="3" t="s">
        <v>317</v>
      </c>
      <c r="E63" s="6" t="s">
        <v>318</v>
      </c>
      <c r="F63" s="6" t="s">
        <v>302</v>
      </c>
      <c r="G63" s="3" t="s">
        <v>11450</v>
      </c>
      <c r="H63" s="54">
        <v>0</v>
      </c>
      <c r="I63" s="16">
        <v>470000000</v>
      </c>
      <c r="J63" s="157" t="s">
        <v>229</v>
      </c>
      <c r="K63" s="5" t="s">
        <v>212</v>
      </c>
      <c r="L63" s="6" t="s">
        <v>231</v>
      </c>
      <c r="M63" s="3" t="s">
        <v>230</v>
      </c>
      <c r="N63" s="6" t="s">
        <v>7670</v>
      </c>
      <c r="O63" s="6" t="s">
        <v>233</v>
      </c>
      <c r="P63" s="58">
        <v>796</v>
      </c>
      <c r="Q63" s="6" t="s">
        <v>234</v>
      </c>
      <c r="R63" s="18">
        <v>10</v>
      </c>
      <c r="S63" s="2">
        <v>3600</v>
      </c>
      <c r="T63" s="4">
        <f>R63*S63</f>
        <v>36000</v>
      </c>
      <c r="U63" s="4">
        <f>T63*1.12</f>
        <v>40320.000000000007</v>
      </c>
      <c r="V63" s="3"/>
      <c r="W63" s="3">
        <v>2014</v>
      </c>
      <c r="X63" s="3"/>
    </row>
    <row r="64" spans="1:24" ht="102">
      <c r="A64" s="3" t="s">
        <v>666</v>
      </c>
      <c r="B64" s="6" t="s">
        <v>361</v>
      </c>
      <c r="C64" s="6" t="s">
        <v>319</v>
      </c>
      <c r="D64" s="3" t="s">
        <v>320</v>
      </c>
      <c r="E64" s="6" t="s">
        <v>321</v>
      </c>
      <c r="F64" s="6" t="s">
        <v>303</v>
      </c>
      <c r="G64" s="3" t="s">
        <v>11450</v>
      </c>
      <c r="H64" s="54">
        <v>0</v>
      </c>
      <c r="I64" s="16">
        <v>470000000</v>
      </c>
      <c r="J64" s="157" t="s">
        <v>229</v>
      </c>
      <c r="K64" s="5" t="s">
        <v>213</v>
      </c>
      <c r="L64" s="6" t="s">
        <v>231</v>
      </c>
      <c r="M64" s="3" t="s">
        <v>230</v>
      </c>
      <c r="N64" s="6" t="s">
        <v>7670</v>
      </c>
      <c r="O64" s="6" t="s">
        <v>233</v>
      </c>
      <c r="P64" s="58">
        <v>796</v>
      </c>
      <c r="Q64" s="6" t="s">
        <v>234</v>
      </c>
      <c r="R64" s="18">
        <v>5</v>
      </c>
      <c r="S64" s="2">
        <v>4500</v>
      </c>
      <c r="T64" s="4">
        <v>0</v>
      </c>
      <c r="U64" s="4">
        <f t="shared" si="1"/>
        <v>0</v>
      </c>
      <c r="V64" s="3"/>
      <c r="W64" s="3">
        <v>2014</v>
      </c>
      <c r="X64" s="3" t="s">
        <v>14230</v>
      </c>
    </row>
    <row r="65" spans="1:24" ht="102">
      <c r="A65" s="3" t="s">
        <v>14372</v>
      </c>
      <c r="B65" s="6" t="s">
        <v>361</v>
      </c>
      <c r="C65" s="6" t="s">
        <v>319</v>
      </c>
      <c r="D65" s="3" t="s">
        <v>320</v>
      </c>
      <c r="E65" s="6" t="s">
        <v>321</v>
      </c>
      <c r="F65" s="6" t="s">
        <v>303</v>
      </c>
      <c r="G65" s="3" t="s">
        <v>11450</v>
      </c>
      <c r="H65" s="54">
        <v>0</v>
      </c>
      <c r="I65" s="16">
        <v>470000000</v>
      </c>
      <c r="J65" s="157" t="s">
        <v>229</v>
      </c>
      <c r="K65" s="5" t="s">
        <v>213</v>
      </c>
      <c r="L65" s="6" t="s">
        <v>231</v>
      </c>
      <c r="M65" s="3" t="s">
        <v>230</v>
      </c>
      <c r="N65" s="6" t="s">
        <v>7670</v>
      </c>
      <c r="O65" s="6" t="s">
        <v>233</v>
      </c>
      <c r="P65" s="58">
        <v>796</v>
      </c>
      <c r="Q65" s="6" t="s">
        <v>234</v>
      </c>
      <c r="R65" s="18">
        <v>5</v>
      </c>
      <c r="S65" s="2">
        <v>5400</v>
      </c>
      <c r="T65" s="4">
        <f>R65*S65</f>
        <v>27000</v>
      </c>
      <c r="U65" s="4">
        <f>T65*1.12</f>
        <v>30240.000000000004</v>
      </c>
      <c r="V65" s="3"/>
      <c r="W65" s="3">
        <v>2014</v>
      </c>
      <c r="X65" s="3"/>
    </row>
    <row r="66" spans="1:24" ht="102">
      <c r="A66" s="3" t="s">
        <v>667</v>
      </c>
      <c r="B66" s="6" t="s">
        <v>361</v>
      </c>
      <c r="C66" s="6" t="s">
        <v>319</v>
      </c>
      <c r="D66" s="3" t="s">
        <v>320</v>
      </c>
      <c r="E66" s="6" t="s">
        <v>321</v>
      </c>
      <c r="F66" s="6" t="s">
        <v>304</v>
      </c>
      <c r="G66" s="3" t="s">
        <v>11450</v>
      </c>
      <c r="H66" s="54">
        <v>0</v>
      </c>
      <c r="I66" s="16">
        <v>470000000</v>
      </c>
      <c r="J66" s="157" t="s">
        <v>229</v>
      </c>
      <c r="K66" s="5" t="s">
        <v>213</v>
      </c>
      <c r="L66" s="6" t="s">
        <v>231</v>
      </c>
      <c r="M66" s="3" t="s">
        <v>230</v>
      </c>
      <c r="N66" s="6" t="s">
        <v>7670</v>
      </c>
      <c r="O66" s="6" t="s">
        <v>233</v>
      </c>
      <c r="P66" s="58">
        <v>796</v>
      </c>
      <c r="Q66" s="6" t="s">
        <v>234</v>
      </c>
      <c r="R66" s="18">
        <v>5</v>
      </c>
      <c r="S66" s="2">
        <v>5000</v>
      </c>
      <c r="T66" s="4">
        <v>0</v>
      </c>
      <c r="U66" s="4">
        <f t="shared" si="1"/>
        <v>0</v>
      </c>
      <c r="V66" s="3"/>
      <c r="W66" s="3">
        <v>2014</v>
      </c>
      <c r="X66" s="3" t="s">
        <v>14230</v>
      </c>
    </row>
    <row r="67" spans="1:24" ht="102">
      <c r="A67" s="3" t="s">
        <v>14373</v>
      </c>
      <c r="B67" s="6" t="s">
        <v>361</v>
      </c>
      <c r="C67" s="6" t="s">
        <v>319</v>
      </c>
      <c r="D67" s="3" t="s">
        <v>320</v>
      </c>
      <c r="E67" s="6" t="s">
        <v>321</v>
      </c>
      <c r="F67" s="6" t="s">
        <v>304</v>
      </c>
      <c r="G67" s="3" t="s">
        <v>11450</v>
      </c>
      <c r="H67" s="54">
        <v>0</v>
      </c>
      <c r="I67" s="16">
        <v>470000000</v>
      </c>
      <c r="J67" s="157" t="s">
        <v>229</v>
      </c>
      <c r="K67" s="5" t="s">
        <v>213</v>
      </c>
      <c r="L67" s="6" t="s">
        <v>231</v>
      </c>
      <c r="M67" s="3" t="s">
        <v>230</v>
      </c>
      <c r="N67" s="6" t="s">
        <v>7670</v>
      </c>
      <c r="O67" s="6" t="s">
        <v>233</v>
      </c>
      <c r="P67" s="58">
        <v>796</v>
      </c>
      <c r="Q67" s="6" t="s">
        <v>234</v>
      </c>
      <c r="R67" s="18">
        <v>5</v>
      </c>
      <c r="S67" s="2">
        <v>6000</v>
      </c>
      <c r="T67" s="4">
        <f>R67*S67</f>
        <v>30000</v>
      </c>
      <c r="U67" s="4">
        <f>T67*1.12</f>
        <v>33600</v>
      </c>
      <c r="V67" s="3"/>
      <c r="W67" s="3">
        <v>2014</v>
      </c>
      <c r="X67" s="3"/>
    </row>
    <row r="68" spans="1:24" ht="102">
      <c r="A68" s="3" t="s">
        <v>668</v>
      </c>
      <c r="B68" s="6" t="s">
        <v>361</v>
      </c>
      <c r="C68" s="6" t="s">
        <v>319</v>
      </c>
      <c r="D68" s="3" t="s">
        <v>320</v>
      </c>
      <c r="E68" s="6" t="s">
        <v>321</v>
      </c>
      <c r="F68" s="6" t="s">
        <v>305</v>
      </c>
      <c r="G68" s="3" t="s">
        <v>11450</v>
      </c>
      <c r="H68" s="54">
        <v>0</v>
      </c>
      <c r="I68" s="16">
        <v>470000000</v>
      </c>
      <c r="J68" s="157" t="s">
        <v>229</v>
      </c>
      <c r="K68" s="5" t="s">
        <v>213</v>
      </c>
      <c r="L68" s="6" t="s">
        <v>231</v>
      </c>
      <c r="M68" s="3" t="s">
        <v>230</v>
      </c>
      <c r="N68" s="6" t="s">
        <v>7670</v>
      </c>
      <c r="O68" s="6" t="s">
        <v>233</v>
      </c>
      <c r="P68" s="58">
        <v>796</v>
      </c>
      <c r="Q68" s="6" t="s">
        <v>234</v>
      </c>
      <c r="R68" s="18">
        <v>5</v>
      </c>
      <c r="S68" s="2">
        <v>8250</v>
      </c>
      <c r="T68" s="4">
        <v>0</v>
      </c>
      <c r="U68" s="4">
        <f t="shared" si="1"/>
        <v>0</v>
      </c>
      <c r="V68" s="3"/>
      <c r="W68" s="3">
        <v>2014</v>
      </c>
      <c r="X68" s="3" t="s">
        <v>14230</v>
      </c>
    </row>
    <row r="69" spans="1:24" ht="102">
      <c r="A69" s="3" t="s">
        <v>14374</v>
      </c>
      <c r="B69" s="6" t="s">
        <v>361</v>
      </c>
      <c r="C69" s="6" t="s">
        <v>319</v>
      </c>
      <c r="D69" s="3" t="s">
        <v>320</v>
      </c>
      <c r="E69" s="6" t="s">
        <v>321</v>
      </c>
      <c r="F69" s="6" t="s">
        <v>305</v>
      </c>
      <c r="G69" s="3" t="s">
        <v>11450</v>
      </c>
      <c r="H69" s="54">
        <v>0</v>
      </c>
      <c r="I69" s="16">
        <v>470000000</v>
      </c>
      <c r="J69" s="157" t="s">
        <v>229</v>
      </c>
      <c r="K69" s="5" t="s">
        <v>213</v>
      </c>
      <c r="L69" s="6" t="s">
        <v>231</v>
      </c>
      <c r="M69" s="3" t="s">
        <v>230</v>
      </c>
      <c r="N69" s="6" t="s">
        <v>7670</v>
      </c>
      <c r="O69" s="6" t="s">
        <v>233</v>
      </c>
      <c r="P69" s="58">
        <v>796</v>
      </c>
      <c r="Q69" s="6" t="s">
        <v>234</v>
      </c>
      <c r="R69" s="18">
        <v>5</v>
      </c>
      <c r="S69" s="2">
        <v>9900</v>
      </c>
      <c r="T69" s="4">
        <f>R69*S69</f>
        <v>49500</v>
      </c>
      <c r="U69" s="4">
        <f>T69*1.12</f>
        <v>55440.000000000007</v>
      </c>
      <c r="V69" s="3"/>
      <c r="W69" s="3">
        <v>2014</v>
      </c>
      <c r="X69" s="3"/>
    </row>
    <row r="70" spans="1:24" ht="178.5">
      <c r="A70" s="3" t="s">
        <v>669</v>
      </c>
      <c r="B70" s="6" t="s">
        <v>361</v>
      </c>
      <c r="C70" s="6" t="s">
        <v>327</v>
      </c>
      <c r="D70" s="3" t="s">
        <v>323</v>
      </c>
      <c r="E70" s="6" t="s">
        <v>328</v>
      </c>
      <c r="F70" s="6" t="s">
        <v>32</v>
      </c>
      <c r="G70" s="3" t="s">
        <v>11450</v>
      </c>
      <c r="H70" s="54">
        <v>0</v>
      </c>
      <c r="I70" s="16">
        <v>470000000</v>
      </c>
      <c r="J70" s="157" t="s">
        <v>229</v>
      </c>
      <c r="K70" s="5" t="s">
        <v>211</v>
      </c>
      <c r="L70" s="6" t="s">
        <v>231</v>
      </c>
      <c r="M70" s="3" t="s">
        <v>230</v>
      </c>
      <c r="N70" s="6" t="s">
        <v>7670</v>
      </c>
      <c r="O70" s="6" t="s">
        <v>233</v>
      </c>
      <c r="P70" s="58">
        <v>796</v>
      </c>
      <c r="Q70" s="6" t="s">
        <v>234</v>
      </c>
      <c r="R70" s="18">
        <v>5</v>
      </c>
      <c r="S70" s="2">
        <v>2040</v>
      </c>
      <c r="T70" s="4">
        <v>0</v>
      </c>
      <c r="U70" s="4">
        <f t="shared" si="1"/>
        <v>0</v>
      </c>
      <c r="V70" s="3"/>
      <c r="W70" s="3">
        <v>2014</v>
      </c>
      <c r="X70" s="3" t="s">
        <v>14230</v>
      </c>
    </row>
    <row r="71" spans="1:24" ht="178.5">
      <c r="A71" s="3" t="s">
        <v>14375</v>
      </c>
      <c r="B71" s="6" t="s">
        <v>361</v>
      </c>
      <c r="C71" s="6" t="s">
        <v>327</v>
      </c>
      <c r="D71" s="3" t="s">
        <v>323</v>
      </c>
      <c r="E71" s="6" t="s">
        <v>328</v>
      </c>
      <c r="F71" s="6" t="s">
        <v>32</v>
      </c>
      <c r="G71" s="3" t="s">
        <v>11450</v>
      </c>
      <c r="H71" s="54">
        <v>0</v>
      </c>
      <c r="I71" s="16">
        <v>470000000</v>
      </c>
      <c r="J71" s="157" t="s">
        <v>229</v>
      </c>
      <c r="K71" s="5" t="s">
        <v>211</v>
      </c>
      <c r="L71" s="6" t="s">
        <v>231</v>
      </c>
      <c r="M71" s="3" t="s">
        <v>230</v>
      </c>
      <c r="N71" s="6" t="s">
        <v>7670</v>
      </c>
      <c r="O71" s="6" t="s">
        <v>233</v>
      </c>
      <c r="P71" s="58">
        <v>796</v>
      </c>
      <c r="Q71" s="6" t="s">
        <v>234</v>
      </c>
      <c r="R71" s="18">
        <v>5</v>
      </c>
      <c r="S71" s="2">
        <v>2448</v>
      </c>
      <c r="T71" s="4">
        <f>R71*S71</f>
        <v>12240</v>
      </c>
      <c r="U71" s="4">
        <f>T71*1.12</f>
        <v>13708.800000000001</v>
      </c>
      <c r="V71" s="3"/>
      <c r="W71" s="3">
        <v>2014</v>
      </c>
      <c r="X71" s="3"/>
    </row>
    <row r="72" spans="1:24" ht="178.5">
      <c r="A72" s="3" t="s">
        <v>670</v>
      </c>
      <c r="B72" s="6" t="s">
        <v>361</v>
      </c>
      <c r="C72" s="6" t="s">
        <v>325</v>
      </c>
      <c r="D72" s="3" t="s">
        <v>323</v>
      </c>
      <c r="E72" s="6" t="s">
        <v>326</v>
      </c>
      <c r="F72" s="6" t="s">
        <v>32</v>
      </c>
      <c r="G72" s="3" t="s">
        <v>11450</v>
      </c>
      <c r="H72" s="54">
        <v>0</v>
      </c>
      <c r="I72" s="16">
        <v>470000000</v>
      </c>
      <c r="J72" s="157" t="s">
        <v>229</v>
      </c>
      <c r="K72" s="5" t="s">
        <v>211</v>
      </c>
      <c r="L72" s="6" t="s">
        <v>231</v>
      </c>
      <c r="M72" s="3" t="s">
        <v>230</v>
      </c>
      <c r="N72" s="6" t="s">
        <v>7670</v>
      </c>
      <c r="O72" s="6" t="s">
        <v>233</v>
      </c>
      <c r="P72" s="58">
        <v>796</v>
      </c>
      <c r="Q72" s="6" t="s">
        <v>234</v>
      </c>
      <c r="R72" s="18">
        <v>5</v>
      </c>
      <c r="S72" s="2">
        <v>2760</v>
      </c>
      <c r="T72" s="4">
        <v>0</v>
      </c>
      <c r="U72" s="4">
        <f t="shared" si="1"/>
        <v>0</v>
      </c>
      <c r="V72" s="3"/>
      <c r="W72" s="3">
        <v>2014</v>
      </c>
      <c r="X72" s="3" t="s">
        <v>14230</v>
      </c>
    </row>
    <row r="73" spans="1:24" ht="178.5">
      <c r="A73" s="3" t="s">
        <v>14376</v>
      </c>
      <c r="B73" s="6" t="s">
        <v>361</v>
      </c>
      <c r="C73" s="6" t="s">
        <v>325</v>
      </c>
      <c r="D73" s="3" t="s">
        <v>323</v>
      </c>
      <c r="E73" s="6" t="s">
        <v>326</v>
      </c>
      <c r="F73" s="6" t="s">
        <v>32</v>
      </c>
      <c r="G73" s="3" t="s">
        <v>11450</v>
      </c>
      <c r="H73" s="54">
        <v>0</v>
      </c>
      <c r="I73" s="16">
        <v>470000000</v>
      </c>
      <c r="J73" s="157" t="s">
        <v>229</v>
      </c>
      <c r="K73" s="5" t="s">
        <v>211</v>
      </c>
      <c r="L73" s="6" t="s">
        <v>231</v>
      </c>
      <c r="M73" s="3" t="s">
        <v>230</v>
      </c>
      <c r="N73" s="6" t="s">
        <v>7670</v>
      </c>
      <c r="O73" s="6" t="s">
        <v>233</v>
      </c>
      <c r="P73" s="58">
        <v>796</v>
      </c>
      <c r="Q73" s="6" t="s">
        <v>234</v>
      </c>
      <c r="R73" s="18">
        <v>5</v>
      </c>
      <c r="S73" s="2">
        <v>3312</v>
      </c>
      <c r="T73" s="4">
        <v>0</v>
      </c>
      <c r="U73" s="4">
        <f>T73*1.12</f>
        <v>0</v>
      </c>
      <c r="V73" s="3"/>
      <c r="W73" s="3">
        <v>2014</v>
      </c>
      <c r="X73" s="3" t="s">
        <v>12142</v>
      </c>
    </row>
    <row r="74" spans="1:24" ht="178.5">
      <c r="A74" s="3" t="s">
        <v>18967</v>
      </c>
      <c r="B74" s="6" t="s">
        <v>361</v>
      </c>
      <c r="C74" s="6" t="s">
        <v>325</v>
      </c>
      <c r="D74" s="3" t="s">
        <v>323</v>
      </c>
      <c r="E74" s="6" t="s">
        <v>326</v>
      </c>
      <c r="F74" s="6" t="s">
        <v>32</v>
      </c>
      <c r="G74" s="3" t="s">
        <v>11450</v>
      </c>
      <c r="H74" s="54">
        <v>0</v>
      </c>
      <c r="I74" s="16">
        <v>470000000</v>
      </c>
      <c r="J74" s="157" t="s">
        <v>229</v>
      </c>
      <c r="K74" s="5" t="s">
        <v>18437</v>
      </c>
      <c r="L74" s="17" t="s">
        <v>11411</v>
      </c>
      <c r="M74" s="3" t="s">
        <v>230</v>
      </c>
      <c r="N74" s="6" t="s">
        <v>528</v>
      </c>
      <c r="O74" s="6" t="s">
        <v>233</v>
      </c>
      <c r="P74" s="58">
        <v>796</v>
      </c>
      <c r="Q74" s="6" t="s">
        <v>234</v>
      </c>
      <c r="R74" s="18">
        <v>5</v>
      </c>
      <c r="S74" s="2">
        <v>3312</v>
      </c>
      <c r="T74" s="4">
        <f>R74*S74</f>
        <v>16560</v>
      </c>
      <c r="U74" s="4">
        <f>T74*1.12</f>
        <v>18547.2</v>
      </c>
      <c r="V74" s="3"/>
      <c r="W74" s="3">
        <v>2014</v>
      </c>
      <c r="X74" s="3"/>
    </row>
    <row r="75" spans="1:24" ht="178.5">
      <c r="A75" s="3" t="s">
        <v>671</v>
      </c>
      <c r="B75" s="6" t="s">
        <v>361</v>
      </c>
      <c r="C75" s="6" t="s">
        <v>322</v>
      </c>
      <c r="D75" s="3" t="s">
        <v>323</v>
      </c>
      <c r="E75" s="6" t="s">
        <v>324</v>
      </c>
      <c r="F75" s="6" t="s">
        <v>32</v>
      </c>
      <c r="G75" s="3" t="s">
        <v>11450</v>
      </c>
      <c r="H75" s="54">
        <v>0</v>
      </c>
      <c r="I75" s="16">
        <v>470000000</v>
      </c>
      <c r="J75" s="157" t="s">
        <v>229</v>
      </c>
      <c r="K75" s="5" t="s">
        <v>211</v>
      </c>
      <c r="L75" s="6" t="s">
        <v>231</v>
      </c>
      <c r="M75" s="3" t="s">
        <v>230</v>
      </c>
      <c r="N75" s="6" t="s">
        <v>7670</v>
      </c>
      <c r="O75" s="6" t="s">
        <v>233</v>
      </c>
      <c r="P75" s="58">
        <v>796</v>
      </c>
      <c r="Q75" s="6" t="s">
        <v>234</v>
      </c>
      <c r="R75" s="18">
        <v>5</v>
      </c>
      <c r="S75" s="2">
        <v>4050</v>
      </c>
      <c r="T75" s="4">
        <v>0</v>
      </c>
      <c r="U75" s="4">
        <f t="shared" si="1"/>
        <v>0</v>
      </c>
      <c r="V75" s="3"/>
      <c r="W75" s="3">
        <v>2014</v>
      </c>
      <c r="X75" s="3" t="s">
        <v>14230</v>
      </c>
    </row>
    <row r="76" spans="1:24" ht="178.5">
      <c r="A76" s="3" t="s">
        <v>14377</v>
      </c>
      <c r="B76" s="6" t="s">
        <v>361</v>
      </c>
      <c r="C76" s="6" t="s">
        <v>322</v>
      </c>
      <c r="D76" s="3" t="s">
        <v>323</v>
      </c>
      <c r="E76" s="6" t="s">
        <v>324</v>
      </c>
      <c r="F76" s="6" t="s">
        <v>32</v>
      </c>
      <c r="G76" s="3" t="s">
        <v>11450</v>
      </c>
      <c r="H76" s="54">
        <v>0</v>
      </c>
      <c r="I76" s="16">
        <v>470000000</v>
      </c>
      <c r="J76" s="157" t="s">
        <v>229</v>
      </c>
      <c r="K76" s="5" t="s">
        <v>211</v>
      </c>
      <c r="L76" s="6" t="s">
        <v>231</v>
      </c>
      <c r="M76" s="3" t="s">
        <v>230</v>
      </c>
      <c r="N76" s="6" t="s">
        <v>7670</v>
      </c>
      <c r="O76" s="6" t="s">
        <v>233</v>
      </c>
      <c r="P76" s="58">
        <v>796</v>
      </c>
      <c r="Q76" s="6" t="s">
        <v>234</v>
      </c>
      <c r="R76" s="18">
        <v>5</v>
      </c>
      <c r="S76" s="2">
        <v>4860</v>
      </c>
      <c r="T76" s="4">
        <v>0</v>
      </c>
      <c r="U76" s="4">
        <f>T76*1.12</f>
        <v>0</v>
      </c>
      <c r="V76" s="3"/>
      <c r="W76" s="3">
        <v>2014</v>
      </c>
      <c r="X76" s="3" t="s">
        <v>12142</v>
      </c>
    </row>
    <row r="77" spans="1:24" ht="178.5">
      <c r="A77" s="3" t="s">
        <v>18968</v>
      </c>
      <c r="B77" s="6" t="s">
        <v>361</v>
      </c>
      <c r="C77" s="6" t="s">
        <v>322</v>
      </c>
      <c r="D77" s="3" t="s">
        <v>323</v>
      </c>
      <c r="E77" s="6" t="s">
        <v>324</v>
      </c>
      <c r="F77" s="6" t="s">
        <v>32</v>
      </c>
      <c r="G77" s="3" t="s">
        <v>11450</v>
      </c>
      <c r="H77" s="54">
        <v>0</v>
      </c>
      <c r="I77" s="16">
        <v>470000000</v>
      </c>
      <c r="J77" s="157" t="s">
        <v>229</v>
      </c>
      <c r="K77" s="5" t="s">
        <v>18437</v>
      </c>
      <c r="L77" s="17" t="s">
        <v>11411</v>
      </c>
      <c r="M77" s="3" t="s">
        <v>230</v>
      </c>
      <c r="N77" s="6" t="s">
        <v>528</v>
      </c>
      <c r="O77" s="6" t="s">
        <v>233</v>
      </c>
      <c r="P77" s="58">
        <v>796</v>
      </c>
      <c r="Q77" s="6" t="s">
        <v>234</v>
      </c>
      <c r="R77" s="18">
        <v>5</v>
      </c>
      <c r="S77" s="2">
        <v>4860</v>
      </c>
      <c r="T77" s="4">
        <f>R77*S77</f>
        <v>24300</v>
      </c>
      <c r="U77" s="4">
        <f>T77*1.12</f>
        <v>27216.000000000004</v>
      </c>
      <c r="V77" s="3"/>
      <c r="W77" s="3">
        <v>2014</v>
      </c>
      <c r="X77" s="3"/>
    </row>
    <row r="78" spans="1:24" ht="127.5">
      <c r="A78" s="3" t="s">
        <v>672</v>
      </c>
      <c r="B78" s="6" t="s">
        <v>361</v>
      </c>
      <c r="C78" s="6" t="s">
        <v>330</v>
      </c>
      <c r="D78" s="3" t="s">
        <v>331</v>
      </c>
      <c r="E78" s="6" t="s">
        <v>332</v>
      </c>
      <c r="F78" s="6" t="s">
        <v>329</v>
      </c>
      <c r="G78" s="3" t="s">
        <v>11450</v>
      </c>
      <c r="H78" s="54">
        <v>0</v>
      </c>
      <c r="I78" s="16">
        <v>470000000</v>
      </c>
      <c r="J78" s="157" t="s">
        <v>229</v>
      </c>
      <c r="K78" s="5" t="s">
        <v>212</v>
      </c>
      <c r="L78" s="6" t="s">
        <v>231</v>
      </c>
      <c r="M78" s="3" t="s">
        <v>230</v>
      </c>
      <c r="N78" s="6" t="s">
        <v>7670</v>
      </c>
      <c r="O78" s="6" t="s">
        <v>233</v>
      </c>
      <c r="P78" s="58">
        <v>796</v>
      </c>
      <c r="Q78" s="6" t="s">
        <v>234</v>
      </c>
      <c r="R78" s="18">
        <v>10</v>
      </c>
      <c r="S78" s="2">
        <v>900</v>
      </c>
      <c r="T78" s="4">
        <v>0</v>
      </c>
      <c r="U78" s="4">
        <f t="shared" si="1"/>
        <v>0</v>
      </c>
      <c r="V78" s="3"/>
      <c r="W78" s="3">
        <v>2014</v>
      </c>
      <c r="X78" s="3" t="s">
        <v>14230</v>
      </c>
    </row>
    <row r="79" spans="1:24" ht="127.5">
      <c r="A79" s="3" t="s">
        <v>14378</v>
      </c>
      <c r="B79" s="6" t="s">
        <v>361</v>
      </c>
      <c r="C79" s="6" t="s">
        <v>330</v>
      </c>
      <c r="D79" s="3" t="s">
        <v>331</v>
      </c>
      <c r="E79" s="6" t="s">
        <v>332</v>
      </c>
      <c r="F79" s="6" t="s">
        <v>329</v>
      </c>
      <c r="G79" s="3" t="s">
        <v>11450</v>
      </c>
      <c r="H79" s="54">
        <v>0</v>
      </c>
      <c r="I79" s="16">
        <v>470000000</v>
      </c>
      <c r="J79" s="157" t="s">
        <v>229</v>
      </c>
      <c r="K79" s="5" t="s">
        <v>212</v>
      </c>
      <c r="L79" s="6" t="s">
        <v>231</v>
      </c>
      <c r="M79" s="3" t="s">
        <v>230</v>
      </c>
      <c r="N79" s="6" t="s">
        <v>7670</v>
      </c>
      <c r="O79" s="6" t="s">
        <v>233</v>
      </c>
      <c r="P79" s="58">
        <v>796</v>
      </c>
      <c r="Q79" s="6" t="s">
        <v>234</v>
      </c>
      <c r="R79" s="18">
        <v>10</v>
      </c>
      <c r="S79" s="2">
        <v>1080</v>
      </c>
      <c r="T79" s="4">
        <v>0</v>
      </c>
      <c r="U79" s="4">
        <f>T79*1.12</f>
        <v>0</v>
      </c>
      <c r="V79" s="3"/>
      <c r="W79" s="3">
        <v>2014</v>
      </c>
      <c r="X79" s="3" t="s">
        <v>12142</v>
      </c>
    </row>
    <row r="80" spans="1:24" ht="127.5">
      <c r="A80" s="3" t="s">
        <v>18969</v>
      </c>
      <c r="B80" s="6" t="s">
        <v>361</v>
      </c>
      <c r="C80" s="6" t="s">
        <v>330</v>
      </c>
      <c r="D80" s="3" t="s">
        <v>331</v>
      </c>
      <c r="E80" s="6" t="s">
        <v>332</v>
      </c>
      <c r="F80" s="6" t="s">
        <v>329</v>
      </c>
      <c r="G80" s="3" t="s">
        <v>11450</v>
      </c>
      <c r="H80" s="54">
        <v>0</v>
      </c>
      <c r="I80" s="16">
        <v>470000000</v>
      </c>
      <c r="J80" s="157" t="s">
        <v>229</v>
      </c>
      <c r="K80" s="5" t="s">
        <v>18437</v>
      </c>
      <c r="L80" s="17" t="s">
        <v>11411</v>
      </c>
      <c r="M80" s="3" t="s">
        <v>230</v>
      </c>
      <c r="N80" s="6" t="s">
        <v>528</v>
      </c>
      <c r="O80" s="6" t="s">
        <v>233</v>
      </c>
      <c r="P80" s="58">
        <v>796</v>
      </c>
      <c r="Q80" s="6" t="s">
        <v>234</v>
      </c>
      <c r="R80" s="18">
        <v>10</v>
      </c>
      <c r="S80" s="2">
        <v>1080</v>
      </c>
      <c r="T80" s="4">
        <f>R80*S80</f>
        <v>10800</v>
      </c>
      <c r="U80" s="4">
        <f>T80*1.12</f>
        <v>12096.000000000002</v>
      </c>
      <c r="V80" s="3"/>
      <c r="W80" s="3">
        <v>2014</v>
      </c>
      <c r="X80" s="3"/>
    </row>
    <row r="81" spans="1:24" ht="178.5">
      <c r="A81" s="3" t="s">
        <v>673</v>
      </c>
      <c r="B81" s="6" t="s">
        <v>361</v>
      </c>
      <c r="C81" s="6" t="s">
        <v>333</v>
      </c>
      <c r="D81" s="3" t="s">
        <v>334</v>
      </c>
      <c r="E81" s="6" t="s">
        <v>335</v>
      </c>
      <c r="F81" s="6" t="s">
        <v>33</v>
      </c>
      <c r="G81" s="3" t="s">
        <v>11450</v>
      </c>
      <c r="H81" s="54">
        <v>0</v>
      </c>
      <c r="I81" s="16">
        <v>470000000</v>
      </c>
      <c r="J81" s="157" t="s">
        <v>229</v>
      </c>
      <c r="K81" s="5" t="s">
        <v>212</v>
      </c>
      <c r="L81" s="6" t="s">
        <v>231</v>
      </c>
      <c r="M81" s="3" t="s">
        <v>230</v>
      </c>
      <c r="N81" s="6" t="s">
        <v>7670</v>
      </c>
      <c r="O81" s="6" t="s">
        <v>233</v>
      </c>
      <c r="P81" s="58">
        <v>796</v>
      </c>
      <c r="Q81" s="6" t="s">
        <v>234</v>
      </c>
      <c r="R81" s="18">
        <v>3</v>
      </c>
      <c r="S81" s="2">
        <v>6200</v>
      </c>
      <c r="T81" s="4">
        <v>0</v>
      </c>
      <c r="U81" s="4">
        <f t="shared" si="1"/>
        <v>0</v>
      </c>
      <c r="V81" s="3"/>
      <c r="W81" s="3">
        <v>2014</v>
      </c>
      <c r="X81" s="3" t="s">
        <v>14230</v>
      </c>
    </row>
    <row r="82" spans="1:24" ht="178.5">
      <c r="A82" s="3" t="s">
        <v>14379</v>
      </c>
      <c r="B82" s="6" t="s">
        <v>361</v>
      </c>
      <c r="C82" s="6" t="s">
        <v>333</v>
      </c>
      <c r="D82" s="3" t="s">
        <v>334</v>
      </c>
      <c r="E82" s="6" t="s">
        <v>335</v>
      </c>
      <c r="F82" s="6" t="s">
        <v>33</v>
      </c>
      <c r="G82" s="3" t="s">
        <v>11450</v>
      </c>
      <c r="H82" s="54">
        <v>0</v>
      </c>
      <c r="I82" s="16">
        <v>470000000</v>
      </c>
      <c r="J82" s="157" t="s">
        <v>229</v>
      </c>
      <c r="K82" s="5" t="s">
        <v>212</v>
      </c>
      <c r="L82" s="6" t="s">
        <v>231</v>
      </c>
      <c r="M82" s="3" t="s">
        <v>230</v>
      </c>
      <c r="N82" s="6" t="s">
        <v>7670</v>
      </c>
      <c r="O82" s="6" t="s">
        <v>233</v>
      </c>
      <c r="P82" s="58">
        <v>796</v>
      </c>
      <c r="Q82" s="6" t="s">
        <v>234</v>
      </c>
      <c r="R82" s="18">
        <v>3</v>
      </c>
      <c r="S82" s="2">
        <v>7440</v>
      </c>
      <c r="T82" s="4">
        <f>R82*S82</f>
        <v>22320</v>
      </c>
      <c r="U82" s="4">
        <f>T82*1.12</f>
        <v>24998.400000000001</v>
      </c>
      <c r="V82" s="3"/>
      <c r="W82" s="3">
        <v>2014</v>
      </c>
      <c r="X82" s="3"/>
    </row>
    <row r="83" spans="1:24" ht="114.75">
      <c r="A83" s="3" t="s">
        <v>674</v>
      </c>
      <c r="B83" s="6" t="s">
        <v>361</v>
      </c>
      <c r="C83" s="6" t="s">
        <v>337</v>
      </c>
      <c r="D83" s="3" t="s">
        <v>338</v>
      </c>
      <c r="E83" s="6" t="s">
        <v>339</v>
      </c>
      <c r="F83" s="6" t="s">
        <v>336</v>
      </c>
      <c r="G83" s="3" t="s">
        <v>11450</v>
      </c>
      <c r="H83" s="54">
        <v>0</v>
      </c>
      <c r="I83" s="16">
        <v>470000000</v>
      </c>
      <c r="J83" s="157" t="s">
        <v>229</v>
      </c>
      <c r="K83" s="5" t="s">
        <v>213</v>
      </c>
      <c r="L83" s="6" t="s">
        <v>231</v>
      </c>
      <c r="M83" s="3" t="s">
        <v>230</v>
      </c>
      <c r="N83" s="6" t="s">
        <v>7670</v>
      </c>
      <c r="O83" s="6" t="s">
        <v>233</v>
      </c>
      <c r="P83" s="58">
        <v>796</v>
      </c>
      <c r="Q83" s="6" t="s">
        <v>234</v>
      </c>
      <c r="R83" s="18">
        <v>5</v>
      </c>
      <c r="S83" s="2">
        <v>3500</v>
      </c>
      <c r="T83" s="4">
        <v>0</v>
      </c>
      <c r="U83" s="4">
        <f t="shared" si="1"/>
        <v>0</v>
      </c>
      <c r="V83" s="3"/>
      <c r="W83" s="3">
        <v>2014</v>
      </c>
      <c r="X83" s="6" t="s">
        <v>14230</v>
      </c>
    </row>
    <row r="84" spans="1:24" ht="114.75">
      <c r="A84" s="3" t="s">
        <v>14380</v>
      </c>
      <c r="B84" s="6" t="s">
        <v>361</v>
      </c>
      <c r="C84" s="6" t="s">
        <v>337</v>
      </c>
      <c r="D84" s="3" t="s">
        <v>338</v>
      </c>
      <c r="E84" s="6" t="s">
        <v>339</v>
      </c>
      <c r="F84" s="6" t="s">
        <v>336</v>
      </c>
      <c r="G84" s="3" t="s">
        <v>11450</v>
      </c>
      <c r="H84" s="54">
        <v>0</v>
      </c>
      <c r="I84" s="16">
        <v>470000000</v>
      </c>
      <c r="J84" s="157" t="s">
        <v>229</v>
      </c>
      <c r="K84" s="5" t="s">
        <v>213</v>
      </c>
      <c r="L84" s="6" t="s">
        <v>231</v>
      </c>
      <c r="M84" s="3" t="s">
        <v>230</v>
      </c>
      <c r="N84" s="6" t="s">
        <v>7670</v>
      </c>
      <c r="O84" s="6" t="s">
        <v>233</v>
      </c>
      <c r="P84" s="58">
        <v>796</v>
      </c>
      <c r="Q84" s="6" t="s">
        <v>234</v>
      </c>
      <c r="R84" s="18">
        <v>5</v>
      </c>
      <c r="S84" s="2">
        <v>4200</v>
      </c>
      <c r="T84" s="4">
        <f>R84*S84</f>
        <v>21000</v>
      </c>
      <c r="U84" s="4">
        <f>T84*1.12</f>
        <v>23520.000000000004</v>
      </c>
      <c r="V84" s="3"/>
      <c r="W84" s="3">
        <v>2014</v>
      </c>
      <c r="X84" s="6"/>
    </row>
    <row r="85" spans="1:24" ht="140.25">
      <c r="A85" s="3" t="s">
        <v>675</v>
      </c>
      <c r="B85" s="6" t="s">
        <v>361</v>
      </c>
      <c r="C85" s="6" t="s">
        <v>529</v>
      </c>
      <c r="D85" s="3" t="s">
        <v>530</v>
      </c>
      <c r="E85" s="6" t="s">
        <v>530</v>
      </c>
      <c r="F85" s="6" t="s">
        <v>34</v>
      </c>
      <c r="G85" s="3" t="s">
        <v>11450</v>
      </c>
      <c r="H85" s="54">
        <v>0</v>
      </c>
      <c r="I85" s="16">
        <v>470000000</v>
      </c>
      <c r="J85" s="157" t="s">
        <v>229</v>
      </c>
      <c r="K85" s="5" t="s">
        <v>213</v>
      </c>
      <c r="L85" s="6" t="s">
        <v>231</v>
      </c>
      <c r="M85" s="3" t="s">
        <v>230</v>
      </c>
      <c r="N85" s="6" t="s">
        <v>7670</v>
      </c>
      <c r="O85" s="6" t="s">
        <v>233</v>
      </c>
      <c r="P85" s="58">
        <v>796</v>
      </c>
      <c r="Q85" s="6" t="s">
        <v>234</v>
      </c>
      <c r="R85" s="18">
        <v>0</v>
      </c>
      <c r="S85" s="2">
        <v>25764</v>
      </c>
      <c r="T85" s="4">
        <f>R85*S85</f>
        <v>0</v>
      </c>
      <c r="U85" s="4">
        <f t="shared" si="1"/>
        <v>0</v>
      </c>
      <c r="V85" s="3"/>
      <c r="W85" s="3">
        <v>2014</v>
      </c>
      <c r="X85" s="3" t="s">
        <v>12076</v>
      </c>
    </row>
    <row r="86" spans="1:24" ht="153">
      <c r="A86" s="3" t="s">
        <v>676</v>
      </c>
      <c r="B86" s="6" t="s">
        <v>361</v>
      </c>
      <c r="C86" s="159" t="s">
        <v>531</v>
      </c>
      <c r="D86" s="6" t="s">
        <v>532</v>
      </c>
      <c r="E86" s="6" t="s">
        <v>533</v>
      </c>
      <c r="F86" s="6" t="s">
        <v>35</v>
      </c>
      <c r="G86" s="3" t="s">
        <v>11450</v>
      </c>
      <c r="H86" s="54">
        <v>0</v>
      </c>
      <c r="I86" s="16">
        <v>470000000</v>
      </c>
      <c r="J86" s="157" t="s">
        <v>229</v>
      </c>
      <c r="K86" s="5" t="s">
        <v>213</v>
      </c>
      <c r="L86" s="6" t="s">
        <v>231</v>
      </c>
      <c r="M86" s="3" t="s">
        <v>230</v>
      </c>
      <c r="N86" s="6" t="s">
        <v>7670</v>
      </c>
      <c r="O86" s="6" t="s">
        <v>233</v>
      </c>
      <c r="P86" s="58">
        <v>796</v>
      </c>
      <c r="Q86" s="6" t="s">
        <v>234</v>
      </c>
      <c r="R86" s="18">
        <v>3</v>
      </c>
      <c r="S86" s="2">
        <v>34400</v>
      </c>
      <c r="T86" s="4">
        <v>0</v>
      </c>
      <c r="U86" s="4">
        <f t="shared" si="1"/>
        <v>0</v>
      </c>
      <c r="V86" s="3"/>
      <c r="W86" s="3">
        <v>2014</v>
      </c>
      <c r="X86" s="3" t="s">
        <v>14230</v>
      </c>
    </row>
    <row r="87" spans="1:24" ht="153">
      <c r="A87" s="3" t="s">
        <v>14381</v>
      </c>
      <c r="B87" s="6" t="s">
        <v>361</v>
      </c>
      <c r="C87" s="159" t="s">
        <v>531</v>
      </c>
      <c r="D87" s="6" t="s">
        <v>532</v>
      </c>
      <c r="E87" s="6" t="s">
        <v>533</v>
      </c>
      <c r="F87" s="6" t="s">
        <v>35</v>
      </c>
      <c r="G87" s="3" t="s">
        <v>11450</v>
      </c>
      <c r="H87" s="54">
        <v>0</v>
      </c>
      <c r="I87" s="16">
        <v>470000000</v>
      </c>
      <c r="J87" s="157" t="s">
        <v>229</v>
      </c>
      <c r="K87" s="5" t="s">
        <v>213</v>
      </c>
      <c r="L87" s="6" t="s">
        <v>231</v>
      </c>
      <c r="M87" s="3" t="s">
        <v>230</v>
      </c>
      <c r="N87" s="6" t="s">
        <v>7670</v>
      </c>
      <c r="O87" s="6" t="s">
        <v>233</v>
      </c>
      <c r="P87" s="58">
        <v>796</v>
      </c>
      <c r="Q87" s="6" t="s">
        <v>234</v>
      </c>
      <c r="R87" s="18">
        <v>3</v>
      </c>
      <c r="S87" s="2">
        <v>41280</v>
      </c>
      <c r="T87" s="4">
        <v>0</v>
      </c>
      <c r="U87" s="4">
        <f>T87*1.12</f>
        <v>0</v>
      </c>
      <c r="V87" s="3"/>
      <c r="W87" s="3">
        <v>2014</v>
      </c>
      <c r="X87" s="3" t="s">
        <v>12142</v>
      </c>
    </row>
    <row r="88" spans="1:24" ht="153">
      <c r="A88" s="3" t="s">
        <v>18970</v>
      </c>
      <c r="B88" s="6" t="s">
        <v>361</v>
      </c>
      <c r="C88" s="159" t="s">
        <v>531</v>
      </c>
      <c r="D88" s="6" t="s">
        <v>532</v>
      </c>
      <c r="E88" s="6" t="s">
        <v>533</v>
      </c>
      <c r="F88" s="6" t="s">
        <v>35</v>
      </c>
      <c r="G88" s="3" t="s">
        <v>11450</v>
      </c>
      <c r="H88" s="54">
        <v>0</v>
      </c>
      <c r="I88" s="16">
        <v>470000000</v>
      </c>
      <c r="J88" s="157" t="s">
        <v>229</v>
      </c>
      <c r="K88" s="5" t="s">
        <v>18437</v>
      </c>
      <c r="L88" s="6" t="s">
        <v>11411</v>
      </c>
      <c r="M88" s="3" t="s">
        <v>230</v>
      </c>
      <c r="N88" s="6" t="s">
        <v>528</v>
      </c>
      <c r="O88" s="6" t="s">
        <v>233</v>
      </c>
      <c r="P88" s="58">
        <v>796</v>
      </c>
      <c r="Q88" s="6" t="s">
        <v>234</v>
      </c>
      <c r="R88" s="18">
        <v>3</v>
      </c>
      <c r="S88" s="2">
        <v>41280</v>
      </c>
      <c r="T88" s="4">
        <f>R88*S88</f>
        <v>123840</v>
      </c>
      <c r="U88" s="4">
        <f>T88*1.12</f>
        <v>138700.80000000002</v>
      </c>
      <c r="V88" s="3"/>
      <c r="W88" s="3">
        <v>2014</v>
      </c>
      <c r="X88" s="3"/>
    </row>
    <row r="89" spans="1:24" ht="102">
      <c r="A89" s="3" t="s">
        <v>677</v>
      </c>
      <c r="B89" s="6" t="s">
        <v>361</v>
      </c>
      <c r="C89" s="159" t="s">
        <v>535</v>
      </c>
      <c r="D89" s="6" t="s">
        <v>536</v>
      </c>
      <c r="E89" s="6" t="s">
        <v>11618</v>
      </c>
      <c r="F89" s="6" t="s">
        <v>534</v>
      </c>
      <c r="G89" s="3" t="s">
        <v>11450</v>
      </c>
      <c r="H89" s="54">
        <v>0</v>
      </c>
      <c r="I89" s="16">
        <v>470000000</v>
      </c>
      <c r="J89" s="157" t="s">
        <v>229</v>
      </c>
      <c r="K89" s="5" t="s">
        <v>213</v>
      </c>
      <c r="L89" s="6" t="s">
        <v>231</v>
      </c>
      <c r="M89" s="3" t="s">
        <v>230</v>
      </c>
      <c r="N89" s="6" t="s">
        <v>7670</v>
      </c>
      <c r="O89" s="6" t="s">
        <v>233</v>
      </c>
      <c r="P89" s="58">
        <v>796</v>
      </c>
      <c r="Q89" s="6" t="s">
        <v>234</v>
      </c>
      <c r="R89" s="18">
        <v>3</v>
      </c>
      <c r="S89" s="2">
        <v>19200</v>
      </c>
      <c r="T89" s="4">
        <v>0</v>
      </c>
      <c r="U89" s="4">
        <f t="shared" si="1"/>
        <v>0</v>
      </c>
      <c r="V89" s="3"/>
      <c r="W89" s="3">
        <v>2014</v>
      </c>
      <c r="X89" s="3" t="s">
        <v>14230</v>
      </c>
    </row>
    <row r="90" spans="1:24" ht="102">
      <c r="A90" s="3" t="s">
        <v>14382</v>
      </c>
      <c r="B90" s="6" t="s">
        <v>361</v>
      </c>
      <c r="C90" s="159" t="s">
        <v>535</v>
      </c>
      <c r="D90" s="6" t="s">
        <v>536</v>
      </c>
      <c r="E90" s="6" t="s">
        <v>11618</v>
      </c>
      <c r="F90" s="6" t="s">
        <v>534</v>
      </c>
      <c r="G90" s="3" t="s">
        <v>11450</v>
      </c>
      <c r="H90" s="54">
        <v>0</v>
      </c>
      <c r="I90" s="16">
        <v>470000000</v>
      </c>
      <c r="J90" s="157" t="s">
        <v>229</v>
      </c>
      <c r="K90" s="5" t="s">
        <v>213</v>
      </c>
      <c r="L90" s="6" t="s">
        <v>231</v>
      </c>
      <c r="M90" s="3" t="s">
        <v>230</v>
      </c>
      <c r="N90" s="6" t="s">
        <v>7670</v>
      </c>
      <c r="O90" s="6" t="s">
        <v>233</v>
      </c>
      <c r="P90" s="58">
        <v>796</v>
      </c>
      <c r="Q90" s="6" t="s">
        <v>234</v>
      </c>
      <c r="R90" s="18">
        <v>3</v>
      </c>
      <c r="S90" s="2">
        <v>23040</v>
      </c>
      <c r="T90" s="4">
        <v>0</v>
      </c>
      <c r="U90" s="4">
        <f>T90*1.12</f>
        <v>0</v>
      </c>
      <c r="V90" s="3"/>
      <c r="W90" s="3">
        <v>2014</v>
      </c>
      <c r="X90" s="3" t="s">
        <v>12142</v>
      </c>
    </row>
    <row r="91" spans="1:24" ht="89.25">
      <c r="A91" s="3" t="s">
        <v>18971</v>
      </c>
      <c r="B91" s="6" t="s">
        <v>361</v>
      </c>
      <c r="C91" s="159" t="s">
        <v>535</v>
      </c>
      <c r="D91" s="6" t="s">
        <v>536</v>
      </c>
      <c r="E91" s="6" t="s">
        <v>11618</v>
      </c>
      <c r="F91" s="6" t="s">
        <v>534</v>
      </c>
      <c r="G91" s="3" t="s">
        <v>11450</v>
      </c>
      <c r="H91" s="54">
        <v>0</v>
      </c>
      <c r="I91" s="16">
        <v>470000000</v>
      </c>
      <c r="J91" s="157" t="s">
        <v>229</v>
      </c>
      <c r="K91" s="5" t="s">
        <v>18437</v>
      </c>
      <c r="L91" s="6" t="s">
        <v>11411</v>
      </c>
      <c r="M91" s="3" t="s">
        <v>230</v>
      </c>
      <c r="N91" s="6" t="s">
        <v>528</v>
      </c>
      <c r="O91" s="6" t="s">
        <v>233</v>
      </c>
      <c r="P91" s="58">
        <v>796</v>
      </c>
      <c r="Q91" s="6" t="s">
        <v>234</v>
      </c>
      <c r="R91" s="18">
        <v>3</v>
      </c>
      <c r="S91" s="2">
        <v>23040</v>
      </c>
      <c r="T91" s="4">
        <f>R91*S91</f>
        <v>69120</v>
      </c>
      <c r="U91" s="4">
        <f>T91*1.12</f>
        <v>77414.400000000009</v>
      </c>
      <c r="V91" s="3"/>
      <c r="W91" s="3">
        <v>2014</v>
      </c>
      <c r="X91" s="3"/>
    </row>
    <row r="92" spans="1:24" ht="102">
      <c r="A92" s="3" t="s">
        <v>678</v>
      </c>
      <c r="B92" s="6" t="s">
        <v>361</v>
      </c>
      <c r="C92" s="161" t="s">
        <v>537</v>
      </c>
      <c r="D92" s="161" t="s">
        <v>538</v>
      </c>
      <c r="E92" s="161" t="s">
        <v>36</v>
      </c>
      <c r="F92" s="6" t="s">
        <v>601</v>
      </c>
      <c r="G92" s="3" t="s">
        <v>11450</v>
      </c>
      <c r="H92" s="54">
        <v>0</v>
      </c>
      <c r="I92" s="16">
        <v>470000000</v>
      </c>
      <c r="J92" s="157" t="s">
        <v>229</v>
      </c>
      <c r="K92" s="5" t="s">
        <v>212</v>
      </c>
      <c r="L92" s="6" t="s">
        <v>231</v>
      </c>
      <c r="M92" s="3" t="s">
        <v>230</v>
      </c>
      <c r="N92" s="6" t="s">
        <v>7670</v>
      </c>
      <c r="O92" s="6" t="s">
        <v>233</v>
      </c>
      <c r="P92" s="58">
        <v>796</v>
      </c>
      <c r="Q92" s="6" t="s">
        <v>234</v>
      </c>
      <c r="R92" s="18">
        <v>3</v>
      </c>
      <c r="S92" s="2">
        <v>44000</v>
      </c>
      <c r="T92" s="4">
        <v>0</v>
      </c>
      <c r="U92" s="4">
        <f t="shared" si="1"/>
        <v>0</v>
      </c>
      <c r="V92" s="3"/>
      <c r="W92" s="3">
        <v>2014</v>
      </c>
      <c r="X92" s="3" t="s">
        <v>14230</v>
      </c>
    </row>
    <row r="93" spans="1:24" ht="102">
      <c r="A93" s="3" t="s">
        <v>14383</v>
      </c>
      <c r="B93" s="6" t="s">
        <v>361</v>
      </c>
      <c r="C93" s="161" t="s">
        <v>537</v>
      </c>
      <c r="D93" s="161" t="s">
        <v>538</v>
      </c>
      <c r="E93" s="161" t="s">
        <v>36</v>
      </c>
      <c r="F93" s="6" t="s">
        <v>601</v>
      </c>
      <c r="G93" s="3" t="s">
        <v>11450</v>
      </c>
      <c r="H93" s="54">
        <v>0</v>
      </c>
      <c r="I93" s="16">
        <v>470000000</v>
      </c>
      <c r="J93" s="157" t="s">
        <v>229</v>
      </c>
      <c r="K93" s="5" t="s">
        <v>212</v>
      </c>
      <c r="L93" s="6" t="s">
        <v>231</v>
      </c>
      <c r="M93" s="3" t="s">
        <v>230</v>
      </c>
      <c r="N93" s="6" t="s">
        <v>7670</v>
      </c>
      <c r="O93" s="6" t="s">
        <v>233</v>
      </c>
      <c r="P93" s="58">
        <v>796</v>
      </c>
      <c r="Q93" s="6" t="s">
        <v>234</v>
      </c>
      <c r="R93" s="18">
        <v>3</v>
      </c>
      <c r="S93" s="2">
        <v>52800</v>
      </c>
      <c r="T93" s="4">
        <v>0</v>
      </c>
      <c r="U93" s="4">
        <f>T93*1.12</f>
        <v>0</v>
      </c>
      <c r="V93" s="3"/>
      <c r="W93" s="3">
        <v>2014</v>
      </c>
      <c r="X93" s="3" t="s">
        <v>12142</v>
      </c>
    </row>
    <row r="94" spans="1:24" ht="89.25">
      <c r="A94" s="3" t="s">
        <v>18972</v>
      </c>
      <c r="B94" s="6" t="s">
        <v>361</v>
      </c>
      <c r="C94" s="161" t="s">
        <v>537</v>
      </c>
      <c r="D94" s="161" t="s">
        <v>538</v>
      </c>
      <c r="E94" s="161" t="s">
        <v>36</v>
      </c>
      <c r="F94" s="6" t="s">
        <v>601</v>
      </c>
      <c r="G94" s="3" t="s">
        <v>11450</v>
      </c>
      <c r="H94" s="54">
        <v>0</v>
      </c>
      <c r="I94" s="16">
        <v>470000000</v>
      </c>
      <c r="J94" s="157" t="s">
        <v>229</v>
      </c>
      <c r="K94" s="5" t="s">
        <v>18437</v>
      </c>
      <c r="L94" s="6" t="s">
        <v>11411</v>
      </c>
      <c r="M94" s="3" t="s">
        <v>230</v>
      </c>
      <c r="N94" s="6" t="s">
        <v>528</v>
      </c>
      <c r="O94" s="6" t="s">
        <v>233</v>
      </c>
      <c r="P94" s="58">
        <v>796</v>
      </c>
      <c r="Q94" s="6" t="s">
        <v>234</v>
      </c>
      <c r="R94" s="18">
        <v>3</v>
      </c>
      <c r="S94" s="2">
        <v>52800</v>
      </c>
      <c r="T94" s="4">
        <f>R94*S94</f>
        <v>158400</v>
      </c>
      <c r="U94" s="4">
        <f>T94*1.12</f>
        <v>177408.00000000003</v>
      </c>
      <c r="V94" s="3"/>
      <c r="W94" s="3">
        <v>2014</v>
      </c>
      <c r="X94" s="3"/>
    </row>
    <row r="95" spans="1:24" ht="102">
      <c r="A95" s="3" t="s">
        <v>679</v>
      </c>
      <c r="B95" s="6" t="s">
        <v>361</v>
      </c>
      <c r="C95" s="6" t="s">
        <v>539</v>
      </c>
      <c r="D95" s="6" t="s">
        <v>540</v>
      </c>
      <c r="E95" s="6" t="s">
        <v>541</v>
      </c>
      <c r="F95" s="6" t="s">
        <v>37</v>
      </c>
      <c r="G95" s="3" t="s">
        <v>11450</v>
      </c>
      <c r="H95" s="54">
        <v>0</v>
      </c>
      <c r="I95" s="16">
        <v>470000000</v>
      </c>
      <c r="J95" s="157" t="s">
        <v>229</v>
      </c>
      <c r="K95" s="5" t="s">
        <v>212</v>
      </c>
      <c r="L95" s="6" t="s">
        <v>231</v>
      </c>
      <c r="M95" s="3" t="s">
        <v>230</v>
      </c>
      <c r="N95" s="6" t="s">
        <v>7670</v>
      </c>
      <c r="O95" s="6" t="s">
        <v>233</v>
      </c>
      <c r="P95" s="58">
        <v>796</v>
      </c>
      <c r="Q95" s="6" t="s">
        <v>234</v>
      </c>
      <c r="R95" s="18">
        <v>0</v>
      </c>
      <c r="S95" s="2">
        <v>516</v>
      </c>
      <c r="T95" s="4">
        <v>0</v>
      </c>
      <c r="U95" s="4">
        <f t="shared" si="1"/>
        <v>0</v>
      </c>
      <c r="V95" s="3"/>
      <c r="W95" s="3">
        <v>2014</v>
      </c>
      <c r="X95" s="3" t="s">
        <v>12076</v>
      </c>
    </row>
    <row r="96" spans="1:24" ht="102">
      <c r="A96" s="3" t="s">
        <v>680</v>
      </c>
      <c r="B96" s="6" t="s">
        <v>361</v>
      </c>
      <c r="C96" s="6" t="s">
        <v>539</v>
      </c>
      <c r="D96" s="6" t="s">
        <v>540</v>
      </c>
      <c r="E96" s="6" t="s">
        <v>541</v>
      </c>
      <c r="F96" s="6" t="s">
        <v>542</v>
      </c>
      <c r="G96" s="3" t="s">
        <v>11450</v>
      </c>
      <c r="H96" s="54">
        <v>0</v>
      </c>
      <c r="I96" s="16">
        <v>470000000</v>
      </c>
      <c r="J96" s="157" t="s">
        <v>229</v>
      </c>
      <c r="K96" s="5" t="s">
        <v>213</v>
      </c>
      <c r="L96" s="6" t="s">
        <v>231</v>
      </c>
      <c r="M96" s="3" t="s">
        <v>230</v>
      </c>
      <c r="N96" s="6" t="s">
        <v>7670</v>
      </c>
      <c r="O96" s="6" t="s">
        <v>233</v>
      </c>
      <c r="P96" s="58">
        <v>796</v>
      </c>
      <c r="Q96" s="6" t="s">
        <v>234</v>
      </c>
      <c r="R96" s="18">
        <v>0</v>
      </c>
      <c r="S96" s="2">
        <v>264</v>
      </c>
      <c r="T96" s="4">
        <v>0</v>
      </c>
      <c r="U96" s="4">
        <f t="shared" si="1"/>
        <v>0</v>
      </c>
      <c r="V96" s="3"/>
      <c r="W96" s="3">
        <v>2014</v>
      </c>
      <c r="X96" s="3" t="s">
        <v>12076</v>
      </c>
    </row>
    <row r="97" spans="1:24" ht="102">
      <c r="A97" s="3" t="s">
        <v>681</v>
      </c>
      <c r="B97" s="6" t="s">
        <v>361</v>
      </c>
      <c r="C97" s="6" t="s">
        <v>7686</v>
      </c>
      <c r="D97" s="6" t="s">
        <v>331</v>
      </c>
      <c r="E97" s="6" t="s">
        <v>7687</v>
      </c>
      <c r="F97" s="6" t="s">
        <v>38</v>
      </c>
      <c r="G97" s="3" t="s">
        <v>11450</v>
      </c>
      <c r="H97" s="54">
        <v>0</v>
      </c>
      <c r="I97" s="16">
        <v>470000000</v>
      </c>
      <c r="J97" s="157" t="s">
        <v>229</v>
      </c>
      <c r="K97" s="5" t="s">
        <v>213</v>
      </c>
      <c r="L97" s="6" t="s">
        <v>231</v>
      </c>
      <c r="M97" s="3" t="s">
        <v>230</v>
      </c>
      <c r="N97" s="6" t="s">
        <v>7670</v>
      </c>
      <c r="O97" s="6" t="s">
        <v>233</v>
      </c>
      <c r="P97" s="58">
        <v>796</v>
      </c>
      <c r="Q97" s="6" t="s">
        <v>234</v>
      </c>
      <c r="R97" s="18">
        <v>0</v>
      </c>
      <c r="S97" s="13">
        <v>780</v>
      </c>
      <c r="T97" s="4">
        <v>0</v>
      </c>
      <c r="U97" s="4">
        <f t="shared" si="1"/>
        <v>0</v>
      </c>
      <c r="V97" s="3"/>
      <c r="W97" s="3">
        <v>2014</v>
      </c>
      <c r="X97" s="3" t="s">
        <v>12076</v>
      </c>
    </row>
    <row r="98" spans="1:24" ht="114.75">
      <c r="A98" s="3" t="s">
        <v>682</v>
      </c>
      <c r="B98" s="6" t="s">
        <v>361</v>
      </c>
      <c r="C98" s="6" t="s">
        <v>558</v>
      </c>
      <c r="D98" s="6" t="s">
        <v>559</v>
      </c>
      <c r="E98" s="6" t="s">
        <v>560</v>
      </c>
      <c r="F98" s="6" t="s">
        <v>544</v>
      </c>
      <c r="G98" s="3" t="s">
        <v>11450</v>
      </c>
      <c r="H98" s="54">
        <v>0</v>
      </c>
      <c r="I98" s="16">
        <v>470000000</v>
      </c>
      <c r="J98" s="157" t="s">
        <v>229</v>
      </c>
      <c r="K98" s="5" t="s">
        <v>213</v>
      </c>
      <c r="L98" s="6" t="s">
        <v>231</v>
      </c>
      <c r="M98" s="3" t="s">
        <v>230</v>
      </c>
      <c r="N98" s="6" t="s">
        <v>7670</v>
      </c>
      <c r="O98" s="6" t="s">
        <v>233</v>
      </c>
      <c r="P98" s="58">
        <v>796</v>
      </c>
      <c r="Q98" s="6" t="s">
        <v>234</v>
      </c>
      <c r="R98" s="18">
        <v>0</v>
      </c>
      <c r="S98" s="13">
        <v>4800</v>
      </c>
      <c r="T98" s="4">
        <v>0</v>
      </c>
      <c r="U98" s="4">
        <f t="shared" si="1"/>
        <v>0</v>
      </c>
      <c r="V98" s="3"/>
      <c r="W98" s="3">
        <v>2014</v>
      </c>
      <c r="X98" s="3" t="s">
        <v>12076</v>
      </c>
    </row>
    <row r="99" spans="1:24" ht="102">
      <c r="A99" s="3" t="s">
        <v>683</v>
      </c>
      <c r="B99" s="6" t="s">
        <v>361</v>
      </c>
      <c r="C99" s="6" t="s">
        <v>552</v>
      </c>
      <c r="D99" s="6" t="s">
        <v>553</v>
      </c>
      <c r="E99" s="6" t="s">
        <v>554</v>
      </c>
      <c r="F99" s="6" t="s">
        <v>545</v>
      </c>
      <c r="G99" s="3" t="s">
        <v>11450</v>
      </c>
      <c r="H99" s="54">
        <v>0</v>
      </c>
      <c r="I99" s="16">
        <v>470000000</v>
      </c>
      <c r="J99" s="157" t="s">
        <v>229</v>
      </c>
      <c r="K99" s="5" t="s">
        <v>213</v>
      </c>
      <c r="L99" s="6" t="s">
        <v>231</v>
      </c>
      <c r="M99" s="3" t="s">
        <v>230</v>
      </c>
      <c r="N99" s="6" t="s">
        <v>7670</v>
      </c>
      <c r="O99" s="6" t="s">
        <v>233</v>
      </c>
      <c r="P99" s="58">
        <v>796</v>
      </c>
      <c r="Q99" s="6" t="s">
        <v>234</v>
      </c>
      <c r="R99" s="18">
        <v>0</v>
      </c>
      <c r="S99" s="13">
        <v>6000</v>
      </c>
      <c r="T99" s="4">
        <v>0</v>
      </c>
      <c r="U99" s="4">
        <f t="shared" si="1"/>
        <v>0</v>
      </c>
      <c r="V99" s="3"/>
      <c r="W99" s="3">
        <v>2014</v>
      </c>
      <c r="X99" s="3" t="s">
        <v>12076</v>
      </c>
    </row>
    <row r="100" spans="1:24" ht="165.75">
      <c r="A100" s="3" t="s">
        <v>684</v>
      </c>
      <c r="B100" s="6" t="s">
        <v>361</v>
      </c>
      <c r="C100" s="6" t="s">
        <v>558</v>
      </c>
      <c r="D100" s="6" t="s">
        <v>559</v>
      </c>
      <c r="E100" s="6" t="s">
        <v>560</v>
      </c>
      <c r="F100" s="6" t="s">
        <v>543</v>
      </c>
      <c r="G100" s="3" t="s">
        <v>11450</v>
      </c>
      <c r="H100" s="54">
        <v>0</v>
      </c>
      <c r="I100" s="16">
        <v>470000000</v>
      </c>
      <c r="J100" s="157" t="s">
        <v>229</v>
      </c>
      <c r="K100" s="5" t="s">
        <v>213</v>
      </c>
      <c r="L100" s="6" t="s">
        <v>231</v>
      </c>
      <c r="M100" s="3" t="s">
        <v>230</v>
      </c>
      <c r="N100" s="6" t="s">
        <v>7670</v>
      </c>
      <c r="O100" s="6" t="s">
        <v>233</v>
      </c>
      <c r="P100" s="58">
        <v>796</v>
      </c>
      <c r="Q100" s="6" t="s">
        <v>234</v>
      </c>
      <c r="R100" s="18">
        <v>0</v>
      </c>
      <c r="S100" s="13">
        <v>5400</v>
      </c>
      <c r="T100" s="4">
        <v>0</v>
      </c>
      <c r="U100" s="4">
        <f t="shared" si="1"/>
        <v>0</v>
      </c>
      <c r="V100" s="3"/>
      <c r="W100" s="3">
        <v>2014</v>
      </c>
      <c r="X100" s="3" t="s">
        <v>12076</v>
      </c>
    </row>
    <row r="101" spans="1:24" ht="267.75">
      <c r="A101" s="3" t="s">
        <v>685</v>
      </c>
      <c r="B101" s="6" t="s">
        <v>361</v>
      </c>
      <c r="C101" s="6" t="s">
        <v>555</v>
      </c>
      <c r="D101" s="6" t="s">
        <v>556</v>
      </c>
      <c r="E101" s="6" t="s">
        <v>557</v>
      </c>
      <c r="F101" s="6" t="s">
        <v>546</v>
      </c>
      <c r="G101" s="3" t="s">
        <v>11450</v>
      </c>
      <c r="H101" s="54">
        <v>0</v>
      </c>
      <c r="I101" s="16">
        <v>470000000</v>
      </c>
      <c r="J101" s="157" t="s">
        <v>229</v>
      </c>
      <c r="K101" s="5" t="s">
        <v>212</v>
      </c>
      <c r="L101" s="6" t="s">
        <v>231</v>
      </c>
      <c r="M101" s="3" t="s">
        <v>230</v>
      </c>
      <c r="N101" s="6" t="s">
        <v>7670</v>
      </c>
      <c r="O101" s="6" t="s">
        <v>233</v>
      </c>
      <c r="P101" s="58" t="s">
        <v>550</v>
      </c>
      <c r="Q101" s="6" t="s">
        <v>551</v>
      </c>
      <c r="R101" s="18">
        <v>0</v>
      </c>
      <c r="S101" s="13">
        <v>7800</v>
      </c>
      <c r="T101" s="4">
        <v>0</v>
      </c>
      <c r="U101" s="4">
        <f t="shared" si="1"/>
        <v>0</v>
      </c>
      <c r="V101" s="3"/>
      <c r="W101" s="3">
        <v>2014</v>
      </c>
      <c r="X101" s="3" t="s">
        <v>12076</v>
      </c>
    </row>
    <row r="102" spans="1:24" ht="102">
      <c r="A102" s="3" t="s">
        <v>686</v>
      </c>
      <c r="B102" s="6" t="s">
        <v>361</v>
      </c>
      <c r="C102" s="6" t="s">
        <v>547</v>
      </c>
      <c r="D102" s="6" t="s">
        <v>548</v>
      </c>
      <c r="E102" s="6" t="s">
        <v>549</v>
      </c>
      <c r="F102" s="6"/>
      <c r="G102" s="3" t="s">
        <v>11450</v>
      </c>
      <c r="H102" s="54">
        <v>0</v>
      </c>
      <c r="I102" s="16">
        <v>470000000</v>
      </c>
      <c r="J102" s="157" t="s">
        <v>229</v>
      </c>
      <c r="K102" s="5" t="s">
        <v>212</v>
      </c>
      <c r="L102" s="6" t="s">
        <v>231</v>
      </c>
      <c r="M102" s="3" t="s">
        <v>230</v>
      </c>
      <c r="N102" s="6" t="s">
        <v>7670</v>
      </c>
      <c r="O102" s="6" t="s">
        <v>233</v>
      </c>
      <c r="P102" s="58" t="s">
        <v>550</v>
      </c>
      <c r="Q102" s="6" t="s">
        <v>551</v>
      </c>
      <c r="R102" s="18">
        <v>0</v>
      </c>
      <c r="S102" s="13">
        <v>4140</v>
      </c>
      <c r="T102" s="4">
        <f>R102*S102</f>
        <v>0</v>
      </c>
      <c r="U102" s="4">
        <f t="shared" si="1"/>
        <v>0</v>
      </c>
      <c r="V102" s="3"/>
      <c r="W102" s="3">
        <v>2014</v>
      </c>
      <c r="X102" s="3" t="s">
        <v>12076</v>
      </c>
    </row>
    <row r="103" spans="1:24" ht="114.75">
      <c r="A103" s="3" t="s">
        <v>687</v>
      </c>
      <c r="B103" s="6" t="s">
        <v>361</v>
      </c>
      <c r="C103" s="6" t="s">
        <v>564</v>
      </c>
      <c r="D103" s="6" t="s">
        <v>565</v>
      </c>
      <c r="E103" s="6" t="s">
        <v>566</v>
      </c>
      <c r="F103" s="6" t="s">
        <v>563</v>
      </c>
      <c r="G103" s="3" t="s">
        <v>11450</v>
      </c>
      <c r="H103" s="54">
        <v>0</v>
      </c>
      <c r="I103" s="16">
        <v>470000000</v>
      </c>
      <c r="J103" s="157" t="s">
        <v>229</v>
      </c>
      <c r="K103" s="5" t="s">
        <v>213</v>
      </c>
      <c r="L103" s="6" t="s">
        <v>231</v>
      </c>
      <c r="M103" s="3" t="s">
        <v>230</v>
      </c>
      <c r="N103" s="6" t="s">
        <v>7670</v>
      </c>
      <c r="O103" s="6" t="s">
        <v>233</v>
      </c>
      <c r="P103" s="58">
        <v>796</v>
      </c>
      <c r="Q103" s="6" t="s">
        <v>234</v>
      </c>
      <c r="R103" s="18">
        <v>0</v>
      </c>
      <c r="S103" s="13">
        <v>7200</v>
      </c>
      <c r="T103" s="4">
        <f>R103*S103</f>
        <v>0</v>
      </c>
      <c r="U103" s="4">
        <f t="shared" si="1"/>
        <v>0</v>
      </c>
      <c r="V103" s="3"/>
      <c r="W103" s="3">
        <v>2014</v>
      </c>
      <c r="X103" s="3" t="s">
        <v>12076</v>
      </c>
    </row>
    <row r="104" spans="1:24" ht="102">
      <c r="A104" s="3" t="s">
        <v>688</v>
      </c>
      <c r="B104" s="6" t="s">
        <v>361</v>
      </c>
      <c r="C104" s="6" t="s">
        <v>568</v>
      </c>
      <c r="D104" s="6" t="s">
        <v>569</v>
      </c>
      <c r="E104" s="6" t="s">
        <v>570</v>
      </c>
      <c r="F104" s="6" t="s">
        <v>39</v>
      </c>
      <c r="G104" s="3" t="s">
        <v>11450</v>
      </c>
      <c r="H104" s="54">
        <v>0</v>
      </c>
      <c r="I104" s="16">
        <v>470000000</v>
      </c>
      <c r="J104" s="157" t="s">
        <v>229</v>
      </c>
      <c r="K104" s="5" t="s">
        <v>212</v>
      </c>
      <c r="L104" s="6" t="s">
        <v>231</v>
      </c>
      <c r="M104" s="3" t="s">
        <v>230</v>
      </c>
      <c r="N104" s="6" t="s">
        <v>7670</v>
      </c>
      <c r="O104" s="6" t="s">
        <v>233</v>
      </c>
      <c r="P104" s="58">
        <v>796</v>
      </c>
      <c r="Q104" s="6" t="s">
        <v>234</v>
      </c>
      <c r="R104" s="18">
        <v>0</v>
      </c>
      <c r="S104" s="13">
        <v>10320</v>
      </c>
      <c r="T104" s="4">
        <f>R104*S104</f>
        <v>0</v>
      </c>
      <c r="U104" s="4">
        <f t="shared" si="1"/>
        <v>0</v>
      </c>
      <c r="V104" s="3"/>
      <c r="W104" s="3">
        <v>2014</v>
      </c>
      <c r="X104" s="3" t="s">
        <v>12076</v>
      </c>
    </row>
    <row r="105" spans="1:24" ht="114.75">
      <c r="A105" s="3" t="s">
        <v>689</v>
      </c>
      <c r="B105" s="6" t="s">
        <v>361</v>
      </c>
      <c r="C105" s="161" t="s">
        <v>571</v>
      </c>
      <c r="D105" s="161" t="s">
        <v>572</v>
      </c>
      <c r="E105" s="161" t="s">
        <v>573</v>
      </c>
      <c r="F105" s="6" t="s">
        <v>567</v>
      </c>
      <c r="G105" s="3" t="s">
        <v>11450</v>
      </c>
      <c r="H105" s="54">
        <v>0</v>
      </c>
      <c r="I105" s="16">
        <v>470000000</v>
      </c>
      <c r="J105" s="157" t="s">
        <v>229</v>
      </c>
      <c r="K105" s="5" t="s">
        <v>214</v>
      </c>
      <c r="L105" s="6" t="s">
        <v>231</v>
      </c>
      <c r="M105" s="3" t="s">
        <v>230</v>
      </c>
      <c r="N105" s="6" t="s">
        <v>7670</v>
      </c>
      <c r="O105" s="6" t="s">
        <v>233</v>
      </c>
      <c r="P105" s="58">
        <v>796</v>
      </c>
      <c r="Q105" s="6" t="s">
        <v>234</v>
      </c>
      <c r="R105" s="18">
        <v>0</v>
      </c>
      <c r="S105" s="13">
        <v>37000</v>
      </c>
      <c r="T105" s="4">
        <v>0</v>
      </c>
      <c r="U105" s="4">
        <f t="shared" si="1"/>
        <v>0</v>
      </c>
      <c r="V105" s="3"/>
      <c r="W105" s="3">
        <v>2014</v>
      </c>
      <c r="X105" s="3">
        <v>11.12</v>
      </c>
    </row>
    <row r="106" spans="1:24" ht="114.75">
      <c r="A106" s="3" t="s">
        <v>12081</v>
      </c>
      <c r="B106" s="6" t="s">
        <v>361</v>
      </c>
      <c r="C106" s="161" t="s">
        <v>571</v>
      </c>
      <c r="D106" s="161" t="s">
        <v>572</v>
      </c>
      <c r="E106" s="161" t="s">
        <v>573</v>
      </c>
      <c r="F106" s="6" t="s">
        <v>567</v>
      </c>
      <c r="G106" s="3" t="s">
        <v>11450</v>
      </c>
      <c r="H106" s="54">
        <v>0</v>
      </c>
      <c r="I106" s="16">
        <v>470000000</v>
      </c>
      <c r="J106" s="157" t="s">
        <v>229</v>
      </c>
      <c r="K106" s="5" t="s">
        <v>217</v>
      </c>
      <c r="L106" s="17" t="s">
        <v>11411</v>
      </c>
      <c r="M106" s="3" t="s">
        <v>230</v>
      </c>
      <c r="N106" s="6" t="s">
        <v>7670</v>
      </c>
      <c r="O106" s="6" t="s">
        <v>233</v>
      </c>
      <c r="P106" s="58">
        <v>796</v>
      </c>
      <c r="Q106" s="6" t="s">
        <v>234</v>
      </c>
      <c r="R106" s="18">
        <v>0</v>
      </c>
      <c r="S106" s="13">
        <v>44400</v>
      </c>
      <c r="T106" s="4">
        <f t="shared" ref="T106:T133" si="3">R106*S106</f>
        <v>0</v>
      </c>
      <c r="U106" s="4">
        <f>T106*1.12</f>
        <v>0</v>
      </c>
      <c r="V106" s="3"/>
      <c r="W106" s="3">
        <v>2014</v>
      </c>
      <c r="X106" s="3" t="s">
        <v>12076</v>
      </c>
    </row>
    <row r="107" spans="1:24" ht="102">
      <c r="A107" s="3" t="s">
        <v>690</v>
      </c>
      <c r="B107" s="6" t="s">
        <v>361</v>
      </c>
      <c r="C107" s="161" t="s">
        <v>11619</v>
      </c>
      <c r="D107" s="161" t="s">
        <v>11620</v>
      </c>
      <c r="E107" s="161" t="s">
        <v>11621</v>
      </c>
      <c r="F107" s="3"/>
      <c r="G107" s="3" t="s">
        <v>11450</v>
      </c>
      <c r="H107" s="54">
        <v>0</v>
      </c>
      <c r="I107" s="16">
        <v>470000000</v>
      </c>
      <c r="J107" s="157" t="s">
        <v>229</v>
      </c>
      <c r="K107" s="5" t="s">
        <v>211</v>
      </c>
      <c r="L107" s="6" t="s">
        <v>231</v>
      </c>
      <c r="M107" s="3" t="s">
        <v>230</v>
      </c>
      <c r="N107" s="6" t="s">
        <v>7670</v>
      </c>
      <c r="O107" s="6" t="s">
        <v>233</v>
      </c>
      <c r="P107" s="58">
        <v>796</v>
      </c>
      <c r="Q107" s="6" t="s">
        <v>234</v>
      </c>
      <c r="R107" s="18">
        <v>0</v>
      </c>
      <c r="S107" s="13">
        <v>48720</v>
      </c>
      <c r="T107" s="4">
        <f t="shared" si="3"/>
        <v>0</v>
      </c>
      <c r="U107" s="4">
        <f t="shared" si="1"/>
        <v>0</v>
      </c>
      <c r="V107" s="3"/>
      <c r="W107" s="3">
        <v>2014</v>
      </c>
      <c r="X107" s="3" t="s">
        <v>12076</v>
      </c>
    </row>
    <row r="108" spans="1:24" ht="102">
      <c r="A108" s="3" t="s">
        <v>691</v>
      </c>
      <c r="B108" s="6" t="s">
        <v>361</v>
      </c>
      <c r="C108" s="161" t="s">
        <v>574</v>
      </c>
      <c r="D108" s="161" t="s">
        <v>575</v>
      </c>
      <c r="E108" s="161" t="s">
        <v>576</v>
      </c>
      <c r="F108" s="6" t="s">
        <v>40</v>
      </c>
      <c r="G108" s="3" t="s">
        <v>11450</v>
      </c>
      <c r="H108" s="54">
        <v>0</v>
      </c>
      <c r="I108" s="16">
        <v>470000000</v>
      </c>
      <c r="J108" s="157" t="s">
        <v>229</v>
      </c>
      <c r="K108" s="5" t="s">
        <v>213</v>
      </c>
      <c r="L108" s="6" t="s">
        <v>231</v>
      </c>
      <c r="M108" s="3" t="s">
        <v>230</v>
      </c>
      <c r="N108" s="6" t="s">
        <v>7670</v>
      </c>
      <c r="O108" s="6" t="s">
        <v>233</v>
      </c>
      <c r="P108" s="58">
        <v>796</v>
      </c>
      <c r="Q108" s="6" t="s">
        <v>234</v>
      </c>
      <c r="R108" s="18">
        <v>0</v>
      </c>
      <c r="S108" s="13">
        <v>1320</v>
      </c>
      <c r="T108" s="4">
        <f t="shared" si="3"/>
        <v>0</v>
      </c>
      <c r="U108" s="4">
        <f t="shared" si="1"/>
        <v>0</v>
      </c>
      <c r="V108" s="3"/>
      <c r="W108" s="3">
        <v>2014</v>
      </c>
      <c r="X108" s="3" t="s">
        <v>12076</v>
      </c>
    </row>
    <row r="109" spans="1:24" ht="102">
      <c r="A109" s="3" t="s">
        <v>692</v>
      </c>
      <c r="B109" s="6" t="s">
        <v>361</v>
      </c>
      <c r="C109" s="161" t="s">
        <v>577</v>
      </c>
      <c r="D109" s="161" t="s">
        <v>578</v>
      </c>
      <c r="E109" s="161" t="s">
        <v>578</v>
      </c>
      <c r="F109" s="6" t="s">
        <v>41</v>
      </c>
      <c r="G109" s="3" t="s">
        <v>11450</v>
      </c>
      <c r="H109" s="54">
        <v>0</v>
      </c>
      <c r="I109" s="16">
        <v>470000000</v>
      </c>
      <c r="J109" s="157" t="s">
        <v>229</v>
      </c>
      <c r="K109" s="5" t="s">
        <v>211</v>
      </c>
      <c r="L109" s="6" t="s">
        <v>231</v>
      </c>
      <c r="M109" s="3" t="s">
        <v>230</v>
      </c>
      <c r="N109" s="6" t="s">
        <v>7670</v>
      </c>
      <c r="O109" s="6" t="s">
        <v>233</v>
      </c>
      <c r="P109" s="58">
        <v>796</v>
      </c>
      <c r="Q109" s="6" t="s">
        <v>234</v>
      </c>
      <c r="R109" s="18">
        <v>0</v>
      </c>
      <c r="S109" s="13">
        <v>48360</v>
      </c>
      <c r="T109" s="4">
        <f t="shared" si="3"/>
        <v>0</v>
      </c>
      <c r="U109" s="4">
        <f t="shared" si="1"/>
        <v>0</v>
      </c>
      <c r="V109" s="3"/>
      <c r="W109" s="3">
        <v>2014</v>
      </c>
      <c r="X109" s="3" t="s">
        <v>12076</v>
      </c>
    </row>
    <row r="110" spans="1:24" ht="102">
      <c r="A110" s="3" t="s">
        <v>693</v>
      </c>
      <c r="B110" s="6" t="s">
        <v>361</v>
      </c>
      <c r="C110" s="161" t="s">
        <v>579</v>
      </c>
      <c r="D110" s="161" t="s">
        <v>580</v>
      </c>
      <c r="E110" s="161" t="s">
        <v>581</v>
      </c>
      <c r="F110" s="6" t="s">
        <v>42</v>
      </c>
      <c r="G110" s="3" t="s">
        <v>11450</v>
      </c>
      <c r="H110" s="54">
        <v>0</v>
      </c>
      <c r="I110" s="16">
        <v>470000000</v>
      </c>
      <c r="J110" s="157" t="s">
        <v>229</v>
      </c>
      <c r="K110" s="5" t="s">
        <v>213</v>
      </c>
      <c r="L110" s="6" t="s">
        <v>231</v>
      </c>
      <c r="M110" s="3" t="s">
        <v>230</v>
      </c>
      <c r="N110" s="6" t="s">
        <v>7670</v>
      </c>
      <c r="O110" s="6" t="s">
        <v>233</v>
      </c>
      <c r="P110" s="58" t="s">
        <v>550</v>
      </c>
      <c r="Q110" s="6" t="s">
        <v>551</v>
      </c>
      <c r="R110" s="18">
        <v>0</v>
      </c>
      <c r="S110" s="13">
        <v>18000</v>
      </c>
      <c r="T110" s="4">
        <f t="shared" si="3"/>
        <v>0</v>
      </c>
      <c r="U110" s="4">
        <f t="shared" si="1"/>
        <v>0</v>
      </c>
      <c r="V110" s="3"/>
      <c r="W110" s="3">
        <v>2014</v>
      </c>
      <c r="X110" s="3" t="s">
        <v>12076</v>
      </c>
    </row>
    <row r="111" spans="1:24" ht="102">
      <c r="A111" s="3" t="s">
        <v>694</v>
      </c>
      <c r="B111" s="6" t="s">
        <v>361</v>
      </c>
      <c r="C111" s="161" t="s">
        <v>586</v>
      </c>
      <c r="D111" s="161" t="s">
        <v>553</v>
      </c>
      <c r="E111" s="161" t="s">
        <v>587</v>
      </c>
      <c r="F111" s="6" t="s">
        <v>561</v>
      </c>
      <c r="G111" s="3" t="s">
        <v>11450</v>
      </c>
      <c r="H111" s="54">
        <v>0</v>
      </c>
      <c r="I111" s="16">
        <v>470000000</v>
      </c>
      <c r="J111" s="157" t="s">
        <v>229</v>
      </c>
      <c r="K111" s="5" t="s">
        <v>211</v>
      </c>
      <c r="L111" s="6" t="s">
        <v>231</v>
      </c>
      <c r="M111" s="3" t="s">
        <v>230</v>
      </c>
      <c r="N111" s="6" t="s">
        <v>7670</v>
      </c>
      <c r="O111" s="6" t="s">
        <v>233</v>
      </c>
      <c r="P111" s="58">
        <v>796</v>
      </c>
      <c r="Q111" s="6" t="s">
        <v>234</v>
      </c>
      <c r="R111" s="18">
        <v>0</v>
      </c>
      <c r="S111" s="13">
        <v>38400</v>
      </c>
      <c r="T111" s="4">
        <f t="shared" si="3"/>
        <v>0</v>
      </c>
      <c r="U111" s="4">
        <f t="shared" si="1"/>
        <v>0</v>
      </c>
      <c r="V111" s="3"/>
      <c r="W111" s="3">
        <v>2014</v>
      </c>
      <c r="X111" s="3" t="s">
        <v>12076</v>
      </c>
    </row>
    <row r="112" spans="1:24" ht="102">
      <c r="A112" s="3" t="s">
        <v>695</v>
      </c>
      <c r="B112" s="6" t="s">
        <v>361</v>
      </c>
      <c r="C112" s="161" t="s">
        <v>582</v>
      </c>
      <c r="D112" s="6" t="s">
        <v>583</v>
      </c>
      <c r="E112" s="6" t="s">
        <v>584</v>
      </c>
      <c r="F112" s="6" t="s">
        <v>43</v>
      </c>
      <c r="G112" s="3" t="s">
        <v>11450</v>
      </c>
      <c r="H112" s="54">
        <v>0</v>
      </c>
      <c r="I112" s="16">
        <v>470000000</v>
      </c>
      <c r="J112" s="157" t="s">
        <v>229</v>
      </c>
      <c r="K112" s="5" t="s">
        <v>213</v>
      </c>
      <c r="L112" s="6" t="s">
        <v>231</v>
      </c>
      <c r="M112" s="3" t="s">
        <v>230</v>
      </c>
      <c r="N112" s="6" t="s">
        <v>7670</v>
      </c>
      <c r="O112" s="6" t="s">
        <v>233</v>
      </c>
      <c r="P112" s="58">
        <v>796</v>
      </c>
      <c r="Q112" s="6" t="s">
        <v>234</v>
      </c>
      <c r="R112" s="18">
        <v>0</v>
      </c>
      <c r="S112" s="13">
        <v>10272</v>
      </c>
      <c r="T112" s="4">
        <f t="shared" si="3"/>
        <v>0</v>
      </c>
      <c r="U112" s="4">
        <f t="shared" si="1"/>
        <v>0</v>
      </c>
      <c r="V112" s="3"/>
      <c r="W112" s="3">
        <v>2014</v>
      </c>
      <c r="X112" s="3" t="s">
        <v>12076</v>
      </c>
    </row>
    <row r="113" spans="1:24" ht="102">
      <c r="A113" s="3" t="s">
        <v>696</v>
      </c>
      <c r="B113" s="6" t="s">
        <v>361</v>
      </c>
      <c r="C113" s="161" t="s">
        <v>11622</v>
      </c>
      <c r="D113" s="6" t="s">
        <v>585</v>
      </c>
      <c r="E113" s="6" t="s">
        <v>10151</v>
      </c>
      <c r="F113" s="7" t="s">
        <v>562</v>
      </c>
      <c r="G113" s="3" t="s">
        <v>11450</v>
      </c>
      <c r="H113" s="54">
        <v>0</v>
      </c>
      <c r="I113" s="16">
        <v>470000000</v>
      </c>
      <c r="J113" s="157" t="s">
        <v>229</v>
      </c>
      <c r="K113" s="5" t="s">
        <v>213</v>
      </c>
      <c r="L113" s="6" t="s">
        <v>231</v>
      </c>
      <c r="M113" s="3" t="s">
        <v>230</v>
      </c>
      <c r="N113" s="6" t="s">
        <v>7670</v>
      </c>
      <c r="O113" s="6" t="s">
        <v>233</v>
      </c>
      <c r="P113" s="58">
        <v>796</v>
      </c>
      <c r="Q113" s="6" t="s">
        <v>234</v>
      </c>
      <c r="R113" s="18">
        <v>0</v>
      </c>
      <c r="S113" s="13">
        <v>25800</v>
      </c>
      <c r="T113" s="4">
        <f t="shared" si="3"/>
        <v>0</v>
      </c>
      <c r="U113" s="4">
        <f t="shared" si="1"/>
        <v>0</v>
      </c>
      <c r="V113" s="3"/>
      <c r="W113" s="3">
        <v>2014</v>
      </c>
      <c r="X113" s="3" t="s">
        <v>12076</v>
      </c>
    </row>
    <row r="114" spans="1:24" ht="102">
      <c r="A114" s="3" t="s">
        <v>697</v>
      </c>
      <c r="B114" s="6" t="s">
        <v>361</v>
      </c>
      <c r="C114" s="6" t="s">
        <v>589</v>
      </c>
      <c r="D114" s="6" t="s">
        <v>590</v>
      </c>
      <c r="E114" s="6" t="s">
        <v>591</v>
      </c>
      <c r="F114" s="7" t="s">
        <v>588</v>
      </c>
      <c r="G114" s="3" t="s">
        <v>11450</v>
      </c>
      <c r="H114" s="54">
        <v>0</v>
      </c>
      <c r="I114" s="16">
        <v>470000000</v>
      </c>
      <c r="J114" s="157" t="s">
        <v>229</v>
      </c>
      <c r="K114" s="5" t="s">
        <v>212</v>
      </c>
      <c r="L114" s="6" t="s">
        <v>231</v>
      </c>
      <c r="M114" s="3" t="s">
        <v>230</v>
      </c>
      <c r="N114" s="6" t="s">
        <v>7670</v>
      </c>
      <c r="O114" s="6" t="s">
        <v>233</v>
      </c>
      <c r="P114" s="58">
        <v>796</v>
      </c>
      <c r="Q114" s="6" t="s">
        <v>234</v>
      </c>
      <c r="R114" s="18">
        <v>0</v>
      </c>
      <c r="S114" s="13">
        <v>1440</v>
      </c>
      <c r="T114" s="4">
        <f t="shared" si="3"/>
        <v>0</v>
      </c>
      <c r="U114" s="4">
        <f t="shared" si="1"/>
        <v>0</v>
      </c>
      <c r="V114" s="3"/>
      <c r="W114" s="3">
        <v>2014</v>
      </c>
      <c r="X114" s="3" t="s">
        <v>12076</v>
      </c>
    </row>
    <row r="115" spans="1:24" ht="102">
      <c r="A115" s="3" t="s">
        <v>698</v>
      </c>
      <c r="B115" s="6" t="s">
        <v>361</v>
      </c>
      <c r="C115" s="6" t="s">
        <v>593</v>
      </c>
      <c r="D115" s="6" t="s">
        <v>45</v>
      </c>
      <c r="E115" s="6" t="s">
        <v>594</v>
      </c>
      <c r="F115" s="8" t="s">
        <v>592</v>
      </c>
      <c r="G115" s="3" t="s">
        <v>11450</v>
      </c>
      <c r="H115" s="54">
        <v>0</v>
      </c>
      <c r="I115" s="16">
        <v>470000000</v>
      </c>
      <c r="J115" s="157" t="s">
        <v>229</v>
      </c>
      <c r="K115" s="5" t="s">
        <v>212</v>
      </c>
      <c r="L115" s="6" t="s">
        <v>231</v>
      </c>
      <c r="M115" s="3" t="s">
        <v>230</v>
      </c>
      <c r="N115" s="6" t="s">
        <v>7670</v>
      </c>
      <c r="O115" s="6" t="s">
        <v>233</v>
      </c>
      <c r="P115" s="58">
        <v>796</v>
      </c>
      <c r="Q115" s="6" t="s">
        <v>234</v>
      </c>
      <c r="R115" s="18">
        <v>0</v>
      </c>
      <c r="S115" s="13">
        <v>2040</v>
      </c>
      <c r="T115" s="4">
        <f t="shared" si="3"/>
        <v>0</v>
      </c>
      <c r="U115" s="4">
        <f t="shared" si="1"/>
        <v>0</v>
      </c>
      <c r="V115" s="3"/>
      <c r="W115" s="3">
        <v>2014</v>
      </c>
      <c r="X115" s="3" t="s">
        <v>12076</v>
      </c>
    </row>
    <row r="116" spans="1:24" ht="102">
      <c r="A116" s="3" t="s">
        <v>699</v>
      </c>
      <c r="B116" s="6" t="s">
        <v>361</v>
      </c>
      <c r="C116" s="6" t="s">
        <v>595</v>
      </c>
      <c r="D116" s="6" t="s">
        <v>44</v>
      </c>
      <c r="E116" s="6" t="s">
        <v>596</v>
      </c>
      <c r="F116" s="6" t="s">
        <v>44</v>
      </c>
      <c r="G116" s="3" t="s">
        <v>11450</v>
      </c>
      <c r="H116" s="54">
        <v>0</v>
      </c>
      <c r="I116" s="16">
        <v>470000000</v>
      </c>
      <c r="J116" s="157" t="s">
        <v>229</v>
      </c>
      <c r="K116" s="5" t="s">
        <v>211</v>
      </c>
      <c r="L116" s="6" t="s">
        <v>231</v>
      </c>
      <c r="M116" s="3" t="s">
        <v>230</v>
      </c>
      <c r="N116" s="6" t="s">
        <v>7670</v>
      </c>
      <c r="O116" s="6" t="s">
        <v>233</v>
      </c>
      <c r="P116" s="58">
        <v>796</v>
      </c>
      <c r="Q116" s="6" t="s">
        <v>234</v>
      </c>
      <c r="R116" s="18">
        <v>0</v>
      </c>
      <c r="S116" s="13">
        <v>1080</v>
      </c>
      <c r="T116" s="4">
        <f t="shared" si="3"/>
        <v>0</v>
      </c>
      <c r="U116" s="4">
        <f t="shared" si="1"/>
        <v>0</v>
      </c>
      <c r="V116" s="3"/>
      <c r="W116" s="3">
        <v>2014</v>
      </c>
      <c r="X116" s="3" t="s">
        <v>12076</v>
      </c>
    </row>
    <row r="117" spans="1:24" ht="102">
      <c r="A117" s="3" t="s">
        <v>700</v>
      </c>
      <c r="B117" s="6" t="s">
        <v>361</v>
      </c>
      <c r="C117" s="6" t="s">
        <v>593</v>
      </c>
      <c r="D117" s="6" t="s">
        <v>45</v>
      </c>
      <c r="E117" s="6" t="s">
        <v>594</v>
      </c>
      <c r="F117" s="6" t="s">
        <v>597</v>
      </c>
      <c r="G117" s="3" t="s">
        <v>11450</v>
      </c>
      <c r="H117" s="54">
        <v>0</v>
      </c>
      <c r="I117" s="16">
        <v>470000000</v>
      </c>
      <c r="J117" s="157" t="s">
        <v>229</v>
      </c>
      <c r="K117" s="5" t="s">
        <v>210</v>
      </c>
      <c r="L117" s="6" t="s">
        <v>231</v>
      </c>
      <c r="M117" s="3" t="s">
        <v>230</v>
      </c>
      <c r="N117" s="6" t="s">
        <v>7670</v>
      </c>
      <c r="O117" s="6" t="s">
        <v>233</v>
      </c>
      <c r="P117" s="58">
        <v>796</v>
      </c>
      <c r="Q117" s="6" t="s">
        <v>234</v>
      </c>
      <c r="R117" s="18">
        <v>0</v>
      </c>
      <c r="S117" s="13">
        <v>1440</v>
      </c>
      <c r="T117" s="4">
        <f t="shared" si="3"/>
        <v>0</v>
      </c>
      <c r="U117" s="4">
        <f t="shared" si="1"/>
        <v>0</v>
      </c>
      <c r="V117" s="3"/>
      <c r="W117" s="3">
        <v>2014</v>
      </c>
      <c r="X117" s="3" t="s">
        <v>12076</v>
      </c>
    </row>
    <row r="118" spans="1:24" ht="165.75">
      <c r="A118" s="3" t="s">
        <v>701</v>
      </c>
      <c r="B118" s="6" t="s">
        <v>361</v>
      </c>
      <c r="C118" s="6" t="s">
        <v>599</v>
      </c>
      <c r="D118" s="6" t="s">
        <v>11623</v>
      </c>
      <c r="E118" s="6" t="s">
        <v>11624</v>
      </c>
      <c r="F118" s="6" t="s">
        <v>598</v>
      </c>
      <c r="G118" s="3" t="s">
        <v>11450</v>
      </c>
      <c r="H118" s="54">
        <v>0</v>
      </c>
      <c r="I118" s="16">
        <v>470000000</v>
      </c>
      <c r="J118" s="157" t="s">
        <v>229</v>
      </c>
      <c r="K118" s="5" t="s">
        <v>210</v>
      </c>
      <c r="L118" s="6" t="s">
        <v>231</v>
      </c>
      <c r="M118" s="3" t="s">
        <v>230</v>
      </c>
      <c r="N118" s="6" t="s">
        <v>7670</v>
      </c>
      <c r="O118" s="6" t="s">
        <v>233</v>
      </c>
      <c r="P118" s="58">
        <v>796</v>
      </c>
      <c r="Q118" s="6" t="s">
        <v>234</v>
      </c>
      <c r="R118" s="18">
        <v>0</v>
      </c>
      <c r="S118" s="4">
        <v>71280</v>
      </c>
      <c r="T118" s="4">
        <f t="shared" si="3"/>
        <v>0</v>
      </c>
      <c r="U118" s="4">
        <f t="shared" si="1"/>
        <v>0</v>
      </c>
      <c r="V118" s="3"/>
      <c r="W118" s="3">
        <v>2014</v>
      </c>
      <c r="X118" s="3" t="s">
        <v>12076</v>
      </c>
    </row>
    <row r="119" spans="1:24" ht="216.75">
      <c r="A119" s="3" t="s">
        <v>702</v>
      </c>
      <c r="B119" s="6" t="s">
        <v>361</v>
      </c>
      <c r="C119" s="24" t="s">
        <v>2979</v>
      </c>
      <c r="D119" s="6" t="s">
        <v>600</v>
      </c>
      <c r="E119" s="6" t="s">
        <v>2980</v>
      </c>
      <c r="F119" s="6" t="s">
        <v>2978</v>
      </c>
      <c r="G119" s="3" t="s">
        <v>11450</v>
      </c>
      <c r="H119" s="54">
        <v>0</v>
      </c>
      <c r="I119" s="16">
        <v>470000000</v>
      </c>
      <c r="J119" s="157" t="s">
        <v>229</v>
      </c>
      <c r="K119" s="5" t="s">
        <v>213</v>
      </c>
      <c r="L119" s="6" t="s">
        <v>231</v>
      </c>
      <c r="M119" s="3" t="s">
        <v>230</v>
      </c>
      <c r="N119" s="6" t="s">
        <v>7670</v>
      </c>
      <c r="O119" s="6" t="s">
        <v>233</v>
      </c>
      <c r="P119" s="58">
        <v>796</v>
      </c>
      <c r="Q119" s="6" t="s">
        <v>234</v>
      </c>
      <c r="R119" s="18">
        <v>0</v>
      </c>
      <c r="S119" s="4">
        <v>54240</v>
      </c>
      <c r="T119" s="4">
        <f t="shared" si="3"/>
        <v>0</v>
      </c>
      <c r="U119" s="4">
        <f t="shared" si="1"/>
        <v>0</v>
      </c>
      <c r="V119" s="3"/>
      <c r="W119" s="3">
        <v>2014</v>
      </c>
      <c r="X119" s="3" t="s">
        <v>12076</v>
      </c>
    </row>
    <row r="120" spans="1:24" ht="280.5">
      <c r="A120" s="3" t="s">
        <v>703</v>
      </c>
      <c r="B120" s="6" t="s">
        <v>361</v>
      </c>
      <c r="C120" s="6" t="s">
        <v>2982</v>
      </c>
      <c r="D120" s="6" t="s">
        <v>600</v>
      </c>
      <c r="E120" s="6" t="s">
        <v>2983</v>
      </c>
      <c r="F120" s="6" t="s">
        <v>2981</v>
      </c>
      <c r="G120" s="3" t="s">
        <v>11450</v>
      </c>
      <c r="H120" s="54">
        <v>0</v>
      </c>
      <c r="I120" s="16">
        <v>470000000</v>
      </c>
      <c r="J120" s="157" t="s">
        <v>229</v>
      </c>
      <c r="K120" s="5" t="s">
        <v>212</v>
      </c>
      <c r="L120" s="6" t="s">
        <v>231</v>
      </c>
      <c r="M120" s="3" t="s">
        <v>230</v>
      </c>
      <c r="N120" s="6" t="s">
        <v>7670</v>
      </c>
      <c r="O120" s="6" t="s">
        <v>233</v>
      </c>
      <c r="P120" s="58">
        <v>796</v>
      </c>
      <c r="Q120" s="6" t="s">
        <v>234</v>
      </c>
      <c r="R120" s="18">
        <v>0</v>
      </c>
      <c r="S120" s="4">
        <v>114000</v>
      </c>
      <c r="T120" s="4">
        <f t="shared" si="3"/>
        <v>0</v>
      </c>
      <c r="U120" s="4">
        <f t="shared" si="1"/>
        <v>0</v>
      </c>
      <c r="V120" s="3"/>
      <c r="W120" s="3">
        <v>2014</v>
      </c>
      <c r="X120" s="3" t="s">
        <v>12076</v>
      </c>
    </row>
    <row r="121" spans="1:24" ht="280.5">
      <c r="A121" s="3" t="s">
        <v>704</v>
      </c>
      <c r="B121" s="6" t="s">
        <v>361</v>
      </c>
      <c r="C121" s="6" t="s">
        <v>2982</v>
      </c>
      <c r="D121" s="6" t="s">
        <v>600</v>
      </c>
      <c r="E121" s="6" t="s">
        <v>2983</v>
      </c>
      <c r="F121" s="6" t="s">
        <v>2984</v>
      </c>
      <c r="G121" s="3" t="s">
        <v>11450</v>
      </c>
      <c r="H121" s="54">
        <v>0</v>
      </c>
      <c r="I121" s="16">
        <v>470000000</v>
      </c>
      <c r="J121" s="157" t="s">
        <v>229</v>
      </c>
      <c r="K121" s="5" t="s">
        <v>213</v>
      </c>
      <c r="L121" s="6" t="s">
        <v>231</v>
      </c>
      <c r="M121" s="3" t="s">
        <v>230</v>
      </c>
      <c r="N121" s="6" t="s">
        <v>7670</v>
      </c>
      <c r="O121" s="6" t="s">
        <v>233</v>
      </c>
      <c r="P121" s="58">
        <v>796</v>
      </c>
      <c r="Q121" s="6" t="s">
        <v>234</v>
      </c>
      <c r="R121" s="18">
        <v>0</v>
      </c>
      <c r="S121" s="4">
        <v>240000</v>
      </c>
      <c r="T121" s="4">
        <f t="shared" si="3"/>
        <v>0</v>
      </c>
      <c r="U121" s="4">
        <f t="shared" si="1"/>
        <v>0</v>
      </c>
      <c r="V121" s="3"/>
      <c r="W121" s="3">
        <v>2014</v>
      </c>
      <c r="X121" s="3" t="s">
        <v>12076</v>
      </c>
    </row>
    <row r="122" spans="1:24" ht="318.75">
      <c r="A122" s="3" t="s">
        <v>705</v>
      </c>
      <c r="B122" s="6" t="s">
        <v>361</v>
      </c>
      <c r="C122" s="6" t="s">
        <v>558</v>
      </c>
      <c r="D122" s="6" t="s">
        <v>559</v>
      </c>
      <c r="E122" s="6" t="s">
        <v>560</v>
      </c>
      <c r="F122" s="6" t="s">
        <v>2985</v>
      </c>
      <c r="G122" s="3" t="s">
        <v>11450</v>
      </c>
      <c r="H122" s="54">
        <v>0</v>
      </c>
      <c r="I122" s="16">
        <v>470000000</v>
      </c>
      <c r="J122" s="157" t="s">
        <v>229</v>
      </c>
      <c r="K122" s="5" t="s">
        <v>213</v>
      </c>
      <c r="L122" s="6" t="s">
        <v>231</v>
      </c>
      <c r="M122" s="3" t="s">
        <v>230</v>
      </c>
      <c r="N122" s="6" t="s">
        <v>7670</v>
      </c>
      <c r="O122" s="6" t="s">
        <v>233</v>
      </c>
      <c r="P122" s="58">
        <v>796</v>
      </c>
      <c r="Q122" s="6" t="s">
        <v>234</v>
      </c>
      <c r="R122" s="18">
        <v>0</v>
      </c>
      <c r="S122" s="4">
        <v>202200</v>
      </c>
      <c r="T122" s="4">
        <f t="shared" si="3"/>
        <v>0</v>
      </c>
      <c r="U122" s="4">
        <f t="shared" si="1"/>
        <v>0</v>
      </c>
      <c r="V122" s="3"/>
      <c r="W122" s="3">
        <v>2014</v>
      </c>
      <c r="X122" s="3" t="s">
        <v>12076</v>
      </c>
    </row>
    <row r="123" spans="1:24" ht="242.25">
      <c r="A123" s="3" t="s">
        <v>706</v>
      </c>
      <c r="B123" s="6" t="s">
        <v>361</v>
      </c>
      <c r="C123" s="6" t="s">
        <v>558</v>
      </c>
      <c r="D123" s="6" t="s">
        <v>559</v>
      </c>
      <c r="E123" s="6" t="s">
        <v>560</v>
      </c>
      <c r="F123" s="6" t="s">
        <v>2986</v>
      </c>
      <c r="G123" s="3" t="s">
        <v>11450</v>
      </c>
      <c r="H123" s="54">
        <v>0</v>
      </c>
      <c r="I123" s="16">
        <v>470000000</v>
      </c>
      <c r="J123" s="157" t="s">
        <v>229</v>
      </c>
      <c r="K123" s="5" t="s">
        <v>213</v>
      </c>
      <c r="L123" s="6" t="s">
        <v>231</v>
      </c>
      <c r="M123" s="3" t="s">
        <v>230</v>
      </c>
      <c r="N123" s="6" t="s">
        <v>7670</v>
      </c>
      <c r="O123" s="6" t="s">
        <v>233</v>
      </c>
      <c r="P123" s="58">
        <v>796</v>
      </c>
      <c r="Q123" s="6" t="s">
        <v>234</v>
      </c>
      <c r="R123" s="18">
        <v>0</v>
      </c>
      <c r="S123" s="4">
        <v>202200</v>
      </c>
      <c r="T123" s="4">
        <f t="shared" si="3"/>
        <v>0</v>
      </c>
      <c r="U123" s="4">
        <f t="shared" si="1"/>
        <v>0</v>
      </c>
      <c r="V123" s="3"/>
      <c r="W123" s="3">
        <v>2014</v>
      </c>
      <c r="X123" s="3" t="s">
        <v>12076</v>
      </c>
    </row>
    <row r="124" spans="1:24" ht="153">
      <c r="A124" s="3" t="s">
        <v>707</v>
      </c>
      <c r="B124" s="6" t="s">
        <v>361</v>
      </c>
      <c r="C124" s="6" t="s">
        <v>2990</v>
      </c>
      <c r="D124" s="6" t="s">
        <v>2991</v>
      </c>
      <c r="E124" s="6" t="s">
        <v>2992</v>
      </c>
      <c r="F124" s="6" t="s">
        <v>2987</v>
      </c>
      <c r="G124" s="3" t="s">
        <v>11450</v>
      </c>
      <c r="H124" s="54">
        <v>0</v>
      </c>
      <c r="I124" s="16">
        <v>470000000</v>
      </c>
      <c r="J124" s="157" t="s">
        <v>229</v>
      </c>
      <c r="K124" s="5" t="s">
        <v>213</v>
      </c>
      <c r="L124" s="6" t="s">
        <v>231</v>
      </c>
      <c r="M124" s="3" t="s">
        <v>230</v>
      </c>
      <c r="N124" s="6" t="s">
        <v>7670</v>
      </c>
      <c r="O124" s="6" t="s">
        <v>233</v>
      </c>
      <c r="P124" s="58">
        <v>796</v>
      </c>
      <c r="Q124" s="6" t="s">
        <v>234</v>
      </c>
      <c r="R124" s="18">
        <v>0</v>
      </c>
      <c r="S124" s="4">
        <v>116978</v>
      </c>
      <c r="T124" s="4">
        <f t="shared" si="3"/>
        <v>0</v>
      </c>
      <c r="U124" s="4">
        <f t="shared" si="1"/>
        <v>0</v>
      </c>
      <c r="V124" s="3"/>
      <c r="W124" s="3">
        <v>2014</v>
      </c>
      <c r="X124" s="3" t="s">
        <v>12076</v>
      </c>
    </row>
    <row r="125" spans="1:24" ht="102">
      <c r="A125" s="3" t="s">
        <v>708</v>
      </c>
      <c r="B125" s="6" t="s">
        <v>361</v>
      </c>
      <c r="C125" s="6" t="s">
        <v>2993</v>
      </c>
      <c r="D125" s="6" t="s">
        <v>2994</v>
      </c>
      <c r="E125" s="6" t="s">
        <v>2995</v>
      </c>
      <c r="F125" s="6" t="s">
        <v>2989</v>
      </c>
      <c r="G125" s="3" t="s">
        <v>11450</v>
      </c>
      <c r="H125" s="54">
        <v>0</v>
      </c>
      <c r="I125" s="16">
        <v>470000000</v>
      </c>
      <c r="J125" s="157" t="s">
        <v>229</v>
      </c>
      <c r="K125" s="5" t="s">
        <v>213</v>
      </c>
      <c r="L125" s="6" t="s">
        <v>231</v>
      </c>
      <c r="M125" s="3" t="s">
        <v>230</v>
      </c>
      <c r="N125" s="6" t="s">
        <v>7670</v>
      </c>
      <c r="O125" s="6" t="s">
        <v>233</v>
      </c>
      <c r="P125" s="58">
        <v>796</v>
      </c>
      <c r="Q125" s="6" t="s">
        <v>234</v>
      </c>
      <c r="R125" s="18">
        <v>0</v>
      </c>
      <c r="S125" s="4">
        <v>2640</v>
      </c>
      <c r="T125" s="4">
        <f t="shared" si="3"/>
        <v>0</v>
      </c>
      <c r="U125" s="4">
        <f t="shared" si="1"/>
        <v>0</v>
      </c>
      <c r="V125" s="3"/>
      <c r="W125" s="3">
        <v>2014</v>
      </c>
      <c r="X125" s="3" t="s">
        <v>12076</v>
      </c>
    </row>
    <row r="126" spans="1:24" ht="102">
      <c r="A126" s="3" t="s">
        <v>709</v>
      </c>
      <c r="B126" s="6" t="s">
        <v>361</v>
      </c>
      <c r="C126" s="6" t="s">
        <v>2993</v>
      </c>
      <c r="D126" s="6" t="s">
        <v>2994</v>
      </c>
      <c r="E126" s="6" t="s">
        <v>2995</v>
      </c>
      <c r="F126" s="6" t="s">
        <v>2988</v>
      </c>
      <c r="G126" s="3" t="s">
        <v>11450</v>
      </c>
      <c r="H126" s="54">
        <v>0</v>
      </c>
      <c r="I126" s="16">
        <v>470000000</v>
      </c>
      <c r="J126" s="157" t="s">
        <v>229</v>
      </c>
      <c r="K126" s="5" t="s">
        <v>212</v>
      </c>
      <c r="L126" s="6" t="s">
        <v>231</v>
      </c>
      <c r="M126" s="3" t="s">
        <v>230</v>
      </c>
      <c r="N126" s="6" t="s">
        <v>7670</v>
      </c>
      <c r="O126" s="6" t="s">
        <v>233</v>
      </c>
      <c r="P126" s="58">
        <v>796</v>
      </c>
      <c r="Q126" s="6" t="s">
        <v>234</v>
      </c>
      <c r="R126" s="18">
        <v>0</v>
      </c>
      <c r="S126" s="4">
        <v>2640</v>
      </c>
      <c r="T126" s="4">
        <f t="shared" si="3"/>
        <v>0</v>
      </c>
      <c r="U126" s="4">
        <f t="shared" si="1"/>
        <v>0</v>
      </c>
      <c r="V126" s="3"/>
      <c r="W126" s="3">
        <v>2014</v>
      </c>
      <c r="X126" s="3" t="s">
        <v>12076</v>
      </c>
    </row>
    <row r="127" spans="1:24" ht="102">
      <c r="A127" s="3" t="s">
        <v>710</v>
      </c>
      <c r="B127" s="6" t="s">
        <v>361</v>
      </c>
      <c r="C127" s="6" t="s">
        <v>2993</v>
      </c>
      <c r="D127" s="6" t="s">
        <v>2994</v>
      </c>
      <c r="E127" s="6" t="s">
        <v>2995</v>
      </c>
      <c r="F127" s="6" t="s">
        <v>2996</v>
      </c>
      <c r="G127" s="3" t="s">
        <v>11450</v>
      </c>
      <c r="H127" s="54">
        <v>0</v>
      </c>
      <c r="I127" s="16">
        <v>470000000</v>
      </c>
      <c r="J127" s="157" t="s">
        <v>229</v>
      </c>
      <c r="K127" s="5" t="s">
        <v>212</v>
      </c>
      <c r="L127" s="6" t="s">
        <v>231</v>
      </c>
      <c r="M127" s="3" t="s">
        <v>230</v>
      </c>
      <c r="N127" s="6" t="s">
        <v>7670</v>
      </c>
      <c r="O127" s="6" t="s">
        <v>233</v>
      </c>
      <c r="P127" s="58">
        <v>796</v>
      </c>
      <c r="Q127" s="6" t="s">
        <v>234</v>
      </c>
      <c r="R127" s="18">
        <v>0</v>
      </c>
      <c r="S127" s="4">
        <v>2640</v>
      </c>
      <c r="T127" s="4">
        <f t="shared" si="3"/>
        <v>0</v>
      </c>
      <c r="U127" s="4">
        <f t="shared" si="1"/>
        <v>0</v>
      </c>
      <c r="V127" s="3"/>
      <c r="W127" s="3">
        <v>2014</v>
      </c>
      <c r="X127" s="3" t="s">
        <v>12076</v>
      </c>
    </row>
    <row r="128" spans="1:24" ht="102">
      <c r="A128" s="3" t="s">
        <v>711</v>
      </c>
      <c r="B128" s="6" t="s">
        <v>361</v>
      </c>
      <c r="C128" s="6" t="s">
        <v>2998</v>
      </c>
      <c r="D128" s="6" t="s">
        <v>2997</v>
      </c>
      <c r="E128" s="6" t="s">
        <v>2999</v>
      </c>
      <c r="F128" s="6" t="s">
        <v>5311</v>
      </c>
      <c r="G128" s="3" t="s">
        <v>11450</v>
      </c>
      <c r="H128" s="54">
        <v>0</v>
      </c>
      <c r="I128" s="16">
        <v>470000000</v>
      </c>
      <c r="J128" s="157" t="s">
        <v>229</v>
      </c>
      <c r="K128" s="5" t="s">
        <v>212</v>
      </c>
      <c r="L128" s="6" t="s">
        <v>231</v>
      </c>
      <c r="M128" s="3" t="s">
        <v>230</v>
      </c>
      <c r="N128" s="6" t="s">
        <v>7670</v>
      </c>
      <c r="O128" s="6" t="s">
        <v>233</v>
      </c>
      <c r="P128" s="58">
        <v>796</v>
      </c>
      <c r="Q128" s="6" t="s">
        <v>234</v>
      </c>
      <c r="R128" s="18">
        <v>0</v>
      </c>
      <c r="S128" s="4">
        <v>15750</v>
      </c>
      <c r="T128" s="4">
        <f t="shared" si="3"/>
        <v>0</v>
      </c>
      <c r="U128" s="4">
        <f t="shared" si="1"/>
        <v>0</v>
      </c>
      <c r="V128" s="3"/>
      <c r="W128" s="3">
        <v>2014</v>
      </c>
      <c r="X128" s="3" t="s">
        <v>12076</v>
      </c>
    </row>
    <row r="129" spans="1:24" ht="102">
      <c r="A129" s="3" t="s">
        <v>712</v>
      </c>
      <c r="B129" s="6" t="s">
        <v>361</v>
      </c>
      <c r="C129" s="6" t="s">
        <v>2998</v>
      </c>
      <c r="D129" s="6" t="s">
        <v>2997</v>
      </c>
      <c r="E129" s="6" t="s">
        <v>2999</v>
      </c>
      <c r="F129" s="6" t="s">
        <v>5312</v>
      </c>
      <c r="G129" s="3" t="s">
        <v>11450</v>
      </c>
      <c r="H129" s="54">
        <v>0</v>
      </c>
      <c r="I129" s="16">
        <v>470000000</v>
      </c>
      <c r="J129" s="157" t="s">
        <v>229</v>
      </c>
      <c r="K129" s="5" t="s">
        <v>212</v>
      </c>
      <c r="L129" s="6" t="s">
        <v>231</v>
      </c>
      <c r="M129" s="3" t="s">
        <v>230</v>
      </c>
      <c r="N129" s="6" t="s">
        <v>7670</v>
      </c>
      <c r="O129" s="6" t="s">
        <v>233</v>
      </c>
      <c r="P129" s="58">
        <v>796</v>
      </c>
      <c r="Q129" s="6" t="s">
        <v>234</v>
      </c>
      <c r="R129" s="18">
        <v>0</v>
      </c>
      <c r="S129" s="1">
        <v>19530</v>
      </c>
      <c r="T129" s="4">
        <f t="shared" si="3"/>
        <v>0</v>
      </c>
      <c r="U129" s="4">
        <f t="shared" ref="U129:U199" si="4">T129*1.12</f>
        <v>0</v>
      </c>
      <c r="V129" s="3"/>
      <c r="W129" s="3">
        <v>2014</v>
      </c>
      <c r="X129" s="3" t="s">
        <v>12076</v>
      </c>
    </row>
    <row r="130" spans="1:24" ht="102">
      <c r="A130" s="3" t="s">
        <v>713</v>
      </c>
      <c r="B130" s="6" t="s">
        <v>361</v>
      </c>
      <c r="C130" s="6" t="s">
        <v>2998</v>
      </c>
      <c r="D130" s="6" t="s">
        <v>2997</v>
      </c>
      <c r="E130" s="6" t="s">
        <v>2999</v>
      </c>
      <c r="F130" s="6" t="s">
        <v>5313</v>
      </c>
      <c r="G130" s="3" t="s">
        <v>11450</v>
      </c>
      <c r="H130" s="54">
        <v>0</v>
      </c>
      <c r="I130" s="16">
        <v>470000000</v>
      </c>
      <c r="J130" s="157" t="s">
        <v>229</v>
      </c>
      <c r="K130" s="5" t="s">
        <v>212</v>
      </c>
      <c r="L130" s="6" t="s">
        <v>231</v>
      </c>
      <c r="M130" s="3" t="s">
        <v>230</v>
      </c>
      <c r="N130" s="6" t="s">
        <v>7670</v>
      </c>
      <c r="O130" s="6" t="s">
        <v>233</v>
      </c>
      <c r="P130" s="58">
        <v>796</v>
      </c>
      <c r="Q130" s="6" t="s">
        <v>234</v>
      </c>
      <c r="R130" s="18">
        <v>0</v>
      </c>
      <c r="S130" s="1">
        <v>27090</v>
      </c>
      <c r="T130" s="4">
        <f t="shared" si="3"/>
        <v>0</v>
      </c>
      <c r="U130" s="4">
        <f t="shared" si="4"/>
        <v>0</v>
      </c>
      <c r="V130" s="3"/>
      <c r="W130" s="3">
        <v>2014</v>
      </c>
      <c r="X130" s="3" t="s">
        <v>12076</v>
      </c>
    </row>
    <row r="131" spans="1:24" ht="102">
      <c r="A131" s="3" t="s">
        <v>714</v>
      </c>
      <c r="B131" s="6" t="s">
        <v>361</v>
      </c>
      <c r="C131" s="6" t="s">
        <v>2998</v>
      </c>
      <c r="D131" s="6" t="s">
        <v>2997</v>
      </c>
      <c r="E131" s="6" t="s">
        <v>2999</v>
      </c>
      <c r="F131" s="6" t="s">
        <v>3001</v>
      </c>
      <c r="G131" s="3" t="s">
        <v>11450</v>
      </c>
      <c r="H131" s="54">
        <v>0</v>
      </c>
      <c r="I131" s="16">
        <v>470000000</v>
      </c>
      <c r="J131" s="157" t="s">
        <v>229</v>
      </c>
      <c r="K131" s="5" t="s">
        <v>212</v>
      </c>
      <c r="L131" s="6" t="s">
        <v>231</v>
      </c>
      <c r="M131" s="3" t="s">
        <v>230</v>
      </c>
      <c r="N131" s="6" t="s">
        <v>7670</v>
      </c>
      <c r="O131" s="6" t="s">
        <v>233</v>
      </c>
      <c r="P131" s="58">
        <v>796</v>
      </c>
      <c r="Q131" s="6" t="s">
        <v>234</v>
      </c>
      <c r="R131" s="18">
        <v>0</v>
      </c>
      <c r="S131" s="4">
        <v>39600</v>
      </c>
      <c r="T131" s="4">
        <f t="shared" si="3"/>
        <v>0</v>
      </c>
      <c r="U131" s="4">
        <f t="shared" si="4"/>
        <v>0</v>
      </c>
      <c r="V131" s="3"/>
      <c r="W131" s="3">
        <v>2014</v>
      </c>
      <c r="X131" s="3" t="s">
        <v>12076</v>
      </c>
    </row>
    <row r="132" spans="1:24" ht="102">
      <c r="A132" s="3" t="s">
        <v>715</v>
      </c>
      <c r="B132" s="6" t="s">
        <v>361</v>
      </c>
      <c r="C132" s="6" t="s">
        <v>3002</v>
      </c>
      <c r="D132" s="6" t="s">
        <v>2997</v>
      </c>
      <c r="E132" s="6" t="s">
        <v>3003</v>
      </c>
      <c r="F132" s="6" t="s">
        <v>3000</v>
      </c>
      <c r="G132" s="3" t="s">
        <v>11450</v>
      </c>
      <c r="H132" s="54">
        <v>0</v>
      </c>
      <c r="I132" s="16">
        <v>470000000</v>
      </c>
      <c r="J132" s="157" t="s">
        <v>229</v>
      </c>
      <c r="K132" s="5" t="s">
        <v>212</v>
      </c>
      <c r="L132" s="6" t="s">
        <v>231</v>
      </c>
      <c r="M132" s="3" t="s">
        <v>230</v>
      </c>
      <c r="N132" s="6" t="s">
        <v>7670</v>
      </c>
      <c r="O132" s="6" t="s">
        <v>233</v>
      </c>
      <c r="P132" s="58" t="s">
        <v>550</v>
      </c>
      <c r="Q132" s="6" t="s">
        <v>551</v>
      </c>
      <c r="R132" s="18">
        <v>0</v>
      </c>
      <c r="S132" s="4">
        <v>5700</v>
      </c>
      <c r="T132" s="4">
        <f t="shared" si="3"/>
        <v>0</v>
      </c>
      <c r="U132" s="4">
        <f t="shared" si="4"/>
        <v>0</v>
      </c>
      <c r="V132" s="3"/>
      <c r="W132" s="3">
        <v>2014</v>
      </c>
      <c r="X132" s="3" t="s">
        <v>12076</v>
      </c>
    </row>
    <row r="133" spans="1:24" ht="102">
      <c r="A133" s="3" t="s">
        <v>716</v>
      </c>
      <c r="B133" s="6" t="s">
        <v>361</v>
      </c>
      <c r="C133" s="6" t="s">
        <v>3005</v>
      </c>
      <c r="D133" s="6" t="s">
        <v>3006</v>
      </c>
      <c r="E133" s="6" t="s">
        <v>3007</v>
      </c>
      <c r="F133" s="3" t="s">
        <v>3004</v>
      </c>
      <c r="G133" s="3" t="s">
        <v>11450</v>
      </c>
      <c r="H133" s="54">
        <v>0</v>
      </c>
      <c r="I133" s="16">
        <v>470000000</v>
      </c>
      <c r="J133" s="157" t="s">
        <v>229</v>
      </c>
      <c r="K133" s="5" t="s">
        <v>213</v>
      </c>
      <c r="L133" s="6" t="s">
        <v>231</v>
      </c>
      <c r="M133" s="3" t="s">
        <v>230</v>
      </c>
      <c r="N133" s="6" t="s">
        <v>7670</v>
      </c>
      <c r="O133" s="6" t="s">
        <v>233</v>
      </c>
      <c r="P133" s="58">
        <v>796</v>
      </c>
      <c r="Q133" s="6" t="s">
        <v>234</v>
      </c>
      <c r="R133" s="18">
        <v>0</v>
      </c>
      <c r="S133" s="4">
        <v>22080</v>
      </c>
      <c r="T133" s="4">
        <f t="shared" si="3"/>
        <v>0</v>
      </c>
      <c r="U133" s="4">
        <f t="shared" si="4"/>
        <v>0</v>
      </c>
      <c r="V133" s="3"/>
      <c r="W133" s="3">
        <v>2014</v>
      </c>
      <c r="X133" s="3" t="s">
        <v>12076</v>
      </c>
    </row>
    <row r="134" spans="1:24" ht="165.75">
      <c r="A134" s="3" t="s">
        <v>717</v>
      </c>
      <c r="B134" s="6" t="s">
        <v>361</v>
      </c>
      <c r="C134" s="6" t="s">
        <v>254</v>
      </c>
      <c r="D134" s="6" t="s">
        <v>255</v>
      </c>
      <c r="E134" s="3" t="s">
        <v>257</v>
      </c>
      <c r="F134" s="6" t="s">
        <v>256</v>
      </c>
      <c r="G134" s="3" t="s">
        <v>11449</v>
      </c>
      <c r="H134" s="54">
        <v>0.64</v>
      </c>
      <c r="I134" s="6">
        <v>470000000</v>
      </c>
      <c r="J134" s="243" t="s">
        <v>229</v>
      </c>
      <c r="K134" s="5" t="s">
        <v>14620</v>
      </c>
      <c r="L134" s="6" t="s">
        <v>232</v>
      </c>
      <c r="M134" s="3" t="s">
        <v>230</v>
      </c>
      <c r="N134" s="6" t="s">
        <v>7669</v>
      </c>
      <c r="O134" s="6" t="s">
        <v>233</v>
      </c>
      <c r="P134" s="58" t="s">
        <v>235</v>
      </c>
      <c r="Q134" s="6" t="s">
        <v>236</v>
      </c>
      <c r="R134" s="1">
        <v>3</v>
      </c>
      <c r="S134" s="2">
        <v>28589000</v>
      </c>
      <c r="T134" s="4">
        <v>0</v>
      </c>
      <c r="U134" s="4">
        <f t="shared" si="4"/>
        <v>0</v>
      </c>
      <c r="V134" s="3" t="s">
        <v>362</v>
      </c>
      <c r="W134" s="3">
        <v>2014</v>
      </c>
      <c r="X134" s="3" t="s">
        <v>14840</v>
      </c>
    </row>
    <row r="135" spans="1:24" ht="165.75">
      <c r="A135" s="3" t="s">
        <v>17345</v>
      </c>
      <c r="B135" s="6" t="s">
        <v>361</v>
      </c>
      <c r="C135" s="6" t="s">
        <v>254</v>
      </c>
      <c r="D135" s="6" t="s">
        <v>255</v>
      </c>
      <c r="E135" s="3" t="s">
        <v>257</v>
      </c>
      <c r="F135" s="6" t="s">
        <v>256</v>
      </c>
      <c r="G135" s="3" t="s">
        <v>11449</v>
      </c>
      <c r="H135" s="54">
        <v>0.64</v>
      </c>
      <c r="I135" s="6">
        <v>470000000</v>
      </c>
      <c r="J135" s="243" t="s">
        <v>229</v>
      </c>
      <c r="K135" s="5" t="s">
        <v>212</v>
      </c>
      <c r="L135" s="6" t="s">
        <v>12251</v>
      </c>
      <c r="M135" s="3" t="s">
        <v>12250</v>
      </c>
      <c r="N135" s="6" t="s">
        <v>7669</v>
      </c>
      <c r="O135" s="6" t="s">
        <v>233</v>
      </c>
      <c r="P135" s="58" t="s">
        <v>235</v>
      </c>
      <c r="Q135" s="6" t="s">
        <v>236</v>
      </c>
      <c r="R135" s="1">
        <v>3.13</v>
      </c>
      <c r="S135" s="2">
        <v>28017220</v>
      </c>
      <c r="T135" s="4">
        <v>0</v>
      </c>
      <c r="U135" s="4">
        <f t="shared" si="4"/>
        <v>0</v>
      </c>
      <c r="V135" s="3" t="s">
        <v>362</v>
      </c>
      <c r="W135" s="3">
        <v>2014</v>
      </c>
      <c r="X135" s="3" t="s">
        <v>14780</v>
      </c>
    </row>
    <row r="136" spans="1:24" ht="165.75">
      <c r="A136" s="3" t="s">
        <v>19636</v>
      </c>
      <c r="B136" s="6" t="s">
        <v>361</v>
      </c>
      <c r="C136" s="6" t="s">
        <v>254</v>
      </c>
      <c r="D136" s="6" t="s">
        <v>255</v>
      </c>
      <c r="E136" s="3" t="s">
        <v>257</v>
      </c>
      <c r="F136" s="6" t="s">
        <v>256</v>
      </c>
      <c r="G136" s="3" t="s">
        <v>11449</v>
      </c>
      <c r="H136" s="54">
        <v>0.64</v>
      </c>
      <c r="I136" s="6">
        <v>470000000</v>
      </c>
      <c r="J136" s="243" t="s">
        <v>229</v>
      </c>
      <c r="K136" s="5" t="s">
        <v>19637</v>
      </c>
      <c r="L136" s="6" t="s">
        <v>12251</v>
      </c>
      <c r="M136" s="3" t="s">
        <v>12250</v>
      </c>
      <c r="N136" s="6" t="s">
        <v>7669</v>
      </c>
      <c r="O136" s="6" t="s">
        <v>233</v>
      </c>
      <c r="P136" s="58" t="s">
        <v>235</v>
      </c>
      <c r="Q136" s="6" t="s">
        <v>236</v>
      </c>
      <c r="R136" s="1">
        <v>6.6429242999999998</v>
      </c>
      <c r="S136" s="2">
        <v>28017220</v>
      </c>
      <c r="T136" s="4">
        <f t="shared" ref="T136" si="5">R136*S136</f>
        <v>186116271.55644599</v>
      </c>
      <c r="U136" s="4">
        <f t="shared" ref="U136" si="6">T136*1.12</f>
        <v>208450224.14321953</v>
      </c>
      <c r="V136" s="3" t="s">
        <v>362</v>
      </c>
      <c r="W136" s="3">
        <v>2014</v>
      </c>
      <c r="X136" s="3"/>
    </row>
    <row r="137" spans="1:24" ht="153">
      <c r="A137" s="3" t="s">
        <v>718</v>
      </c>
      <c r="B137" s="6" t="s">
        <v>361</v>
      </c>
      <c r="C137" s="6" t="s">
        <v>254</v>
      </c>
      <c r="D137" s="6" t="s">
        <v>255</v>
      </c>
      <c r="E137" s="3" t="s">
        <v>257</v>
      </c>
      <c r="F137" s="6" t="s">
        <v>258</v>
      </c>
      <c r="G137" s="3" t="s">
        <v>11449</v>
      </c>
      <c r="H137" s="54">
        <v>0.64</v>
      </c>
      <c r="I137" s="16">
        <v>470000000</v>
      </c>
      <c r="J137" s="157" t="s">
        <v>229</v>
      </c>
      <c r="K137" s="5" t="s">
        <v>14953</v>
      </c>
      <c r="L137" s="6" t="s">
        <v>232</v>
      </c>
      <c r="M137" s="3" t="s">
        <v>230</v>
      </c>
      <c r="N137" s="6" t="s">
        <v>7669</v>
      </c>
      <c r="O137" s="6" t="s">
        <v>233</v>
      </c>
      <c r="P137" s="58" t="s">
        <v>235</v>
      </c>
      <c r="Q137" s="6" t="s">
        <v>236</v>
      </c>
      <c r="R137" s="1">
        <v>0.2</v>
      </c>
      <c r="S137" s="2">
        <v>17009000</v>
      </c>
      <c r="T137" s="4">
        <v>0</v>
      </c>
      <c r="U137" s="4">
        <f t="shared" si="4"/>
        <v>0</v>
      </c>
      <c r="V137" s="3" t="s">
        <v>362</v>
      </c>
      <c r="W137" s="3">
        <v>2014</v>
      </c>
      <c r="X137" s="3" t="s">
        <v>12062</v>
      </c>
    </row>
    <row r="138" spans="1:24" ht="153">
      <c r="A138" s="3" t="s">
        <v>14384</v>
      </c>
      <c r="B138" s="6" t="s">
        <v>361</v>
      </c>
      <c r="C138" s="6" t="s">
        <v>254</v>
      </c>
      <c r="D138" s="6" t="s">
        <v>255</v>
      </c>
      <c r="E138" s="3" t="s">
        <v>257</v>
      </c>
      <c r="F138" s="6" t="s">
        <v>258</v>
      </c>
      <c r="G138" s="3" t="s">
        <v>11449</v>
      </c>
      <c r="H138" s="54">
        <v>0.64</v>
      </c>
      <c r="I138" s="16">
        <v>470000000</v>
      </c>
      <c r="J138" s="157" t="s">
        <v>229</v>
      </c>
      <c r="K138" s="5" t="s">
        <v>210</v>
      </c>
      <c r="L138" s="6" t="s">
        <v>232</v>
      </c>
      <c r="M138" s="3" t="s">
        <v>230</v>
      </c>
      <c r="N138" s="6" t="s">
        <v>7669</v>
      </c>
      <c r="O138" s="6" t="s">
        <v>233</v>
      </c>
      <c r="P138" s="58" t="s">
        <v>235</v>
      </c>
      <c r="Q138" s="6" t="s">
        <v>236</v>
      </c>
      <c r="R138" s="1">
        <v>1.5</v>
      </c>
      <c r="S138" s="2">
        <v>17009000</v>
      </c>
      <c r="T138" s="4">
        <v>0</v>
      </c>
      <c r="U138" s="4">
        <f t="shared" si="4"/>
        <v>0</v>
      </c>
      <c r="V138" s="3" t="s">
        <v>362</v>
      </c>
      <c r="W138" s="3">
        <v>2014</v>
      </c>
      <c r="X138" s="3" t="s">
        <v>17347</v>
      </c>
    </row>
    <row r="139" spans="1:24" ht="153">
      <c r="A139" s="3" t="s">
        <v>17346</v>
      </c>
      <c r="B139" s="6" t="s">
        <v>361</v>
      </c>
      <c r="C139" s="6" t="s">
        <v>254</v>
      </c>
      <c r="D139" s="6" t="s">
        <v>255</v>
      </c>
      <c r="E139" s="6" t="s">
        <v>257</v>
      </c>
      <c r="F139" s="6" t="s">
        <v>258</v>
      </c>
      <c r="G139" s="3" t="s">
        <v>11449</v>
      </c>
      <c r="H139" s="54">
        <v>0.64</v>
      </c>
      <c r="I139" s="16">
        <v>470000000</v>
      </c>
      <c r="J139" s="157" t="s">
        <v>229</v>
      </c>
      <c r="K139" s="5" t="s">
        <v>212</v>
      </c>
      <c r="L139" s="6" t="s">
        <v>12251</v>
      </c>
      <c r="M139" s="3" t="s">
        <v>12250</v>
      </c>
      <c r="N139" s="6" t="s">
        <v>7669</v>
      </c>
      <c r="O139" s="6" t="s">
        <v>233</v>
      </c>
      <c r="P139" s="58" t="s">
        <v>235</v>
      </c>
      <c r="Q139" s="6" t="s">
        <v>236</v>
      </c>
      <c r="R139" s="1">
        <v>1.73</v>
      </c>
      <c r="S139" s="2">
        <v>17009000</v>
      </c>
      <c r="T139" s="4">
        <v>0</v>
      </c>
      <c r="U139" s="4">
        <f t="shared" si="4"/>
        <v>0</v>
      </c>
      <c r="V139" s="3" t="s">
        <v>362</v>
      </c>
      <c r="W139" s="3">
        <v>2014</v>
      </c>
      <c r="X139" s="3" t="s">
        <v>12062</v>
      </c>
    </row>
    <row r="140" spans="1:24" ht="153">
      <c r="A140" s="3" t="s">
        <v>18733</v>
      </c>
      <c r="B140" s="6" t="s">
        <v>361</v>
      </c>
      <c r="C140" s="6" t="s">
        <v>254</v>
      </c>
      <c r="D140" s="6" t="s">
        <v>255</v>
      </c>
      <c r="E140" s="6" t="s">
        <v>257</v>
      </c>
      <c r="F140" s="6" t="s">
        <v>258</v>
      </c>
      <c r="G140" s="3" t="s">
        <v>11449</v>
      </c>
      <c r="H140" s="54">
        <v>0.64</v>
      </c>
      <c r="I140" s="16">
        <v>470000000</v>
      </c>
      <c r="J140" s="157" t="s">
        <v>229</v>
      </c>
      <c r="K140" s="5" t="s">
        <v>212</v>
      </c>
      <c r="L140" s="6" t="s">
        <v>12251</v>
      </c>
      <c r="M140" s="3" t="s">
        <v>12250</v>
      </c>
      <c r="N140" s="6" t="s">
        <v>7669</v>
      </c>
      <c r="O140" s="6" t="s">
        <v>233</v>
      </c>
      <c r="P140" s="58" t="s">
        <v>235</v>
      </c>
      <c r="Q140" s="6" t="s">
        <v>236</v>
      </c>
      <c r="R140" s="1">
        <v>1.5</v>
      </c>
      <c r="S140" s="2">
        <v>17009000</v>
      </c>
      <c r="T140" s="4">
        <f>R140*S140</f>
        <v>25513500</v>
      </c>
      <c r="U140" s="4">
        <f t="shared" si="4"/>
        <v>28575120.000000004</v>
      </c>
      <c r="V140" s="3" t="s">
        <v>362</v>
      </c>
      <c r="W140" s="3">
        <v>2014</v>
      </c>
      <c r="X140" s="3"/>
    </row>
    <row r="141" spans="1:24" ht="153">
      <c r="A141" s="3" t="s">
        <v>719</v>
      </c>
      <c r="B141" s="6" t="s">
        <v>361</v>
      </c>
      <c r="C141" s="6" t="s">
        <v>254</v>
      </c>
      <c r="D141" s="6" t="s">
        <v>255</v>
      </c>
      <c r="E141" s="3" t="s">
        <v>257</v>
      </c>
      <c r="F141" s="6" t="s">
        <v>259</v>
      </c>
      <c r="G141" s="3" t="s">
        <v>11449</v>
      </c>
      <c r="H141" s="54">
        <v>0.64</v>
      </c>
      <c r="I141" s="16">
        <v>470000000</v>
      </c>
      <c r="J141" s="157" t="s">
        <v>229</v>
      </c>
      <c r="K141" s="5" t="s">
        <v>214</v>
      </c>
      <c r="L141" s="6" t="s">
        <v>232</v>
      </c>
      <c r="M141" s="3" t="s">
        <v>230</v>
      </c>
      <c r="N141" s="6" t="s">
        <v>7669</v>
      </c>
      <c r="O141" s="6" t="s">
        <v>233</v>
      </c>
      <c r="P141" s="58" t="s">
        <v>235</v>
      </c>
      <c r="Q141" s="6" t="s">
        <v>236</v>
      </c>
      <c r="R141" s="1">
        <v>8.9158600000000003</v>
      </c>
      <c r="S141" s="2">
        <v>10230000</v>
      </c>
      <c r="T141" s="4">
        <v>0</v>
      </c>
      <c r="U141" s="4">
        <f t="shared" si="4"/>
        <v>0</v>
      </c>
      <c r="V141" s="3" t="s">
        <v>362</v>
      </c>
      <c r="W141" s="3">
        <v>2014</v>
      </c>
      <c r="X141" s="3">
        <v>11</v>
      </c>
    </row>
    <row r="142" spans="1:24" ht="153">
      <c r="A142" s="3" t="s">
        <v>12082</v>
      </c>
      <c r="B142" s="6" t="s">
        <v>361</v>
      </c>
      <c r="C142" s="6" t="s">
        <v>254</v>
      </c>
      <c r="D142" s="6" t="s">
        <v>255</v>
      </c>
      <c r="E142" s="3" t="s">
        <v>257</v>
      </c>
      <c r="F142" s="6" t="s">
        <v>259</v>
      </c>
      <c r="G142" s="3" t="s">
        <v>11449</v>
      </c>
      <c r="H142" s="54">
        <v>0.64</v>
      </c>
      <c r="I142" s="16">
        <v>470000000</v>
      </c>
      <c r="J142" s="157" t="s">
        <v>229</v>
      </c>
      <c r="K142" s="5" t="s">
        <v>12083</v>
      </c>
      <c r="L142" s="6" t="s">
        <v>232</v>
      </c>
      <c r="M142" s="3" t="s">
        <v>230</v>
      </c>
      <c r="N142" s="6" t="s">
        <v>7669</v>
      </c>
      <c r="O142" s="6" t="s">
        <v>233</v>
      </c>
      <c r="P142" s="58" t="s">
        <v>235</v>
      </c>
      <c r="Q142" s="6" t="s">
        <v>236</v>
      </c>
      <c r="R142" s="1">
        <v>8.9158600000000003</v>
      </c>
      <c r="S142" s="2">
        <v>10230000</v>
      </c>
      <c r="T142" s="4">
        <v>0</v>
      </c>
      <c r="U142" s="4">
        <f t="shared" si="4"/>
        <v>0</v>
      </c>
      <c r="V142" s="3" t="s">
        <v>362</v>
      </c>
      <c r="W142" s="3">
        <v>2014</v>
      </c>
      <c r="X142" s="3" t="s">
        <v>12062</v>
      </c>
    </row>
    <row r="143" spans="1:24" ht="153">
      <c r="A143" s="3" t="s">
        <v>14385</v>
      </c>
      <c r="B143" s="6" t="s">
        <v>361</v>
      </c>
      <c r="C143" s="6" t="s">
        <v>254</v>
      </c>
      <c r="D143" s="6" t="s">
        <v>255</v>
      </c>
      <c r="E143" s="3" t="s">
        <v>257</v>
      </c>
      <c r="F143" s="6" t="s">
        <v>259</v>
      </c>
      <c r="G143" s="3" t="s">
        <v>11449</v>
      </c>
      <c r="H143" s="54">
        <v>0.64</v>
      </c>
      <c r="I143" s="16">
        <v>470000000</v>
      </c>
      <c r="J143" s="157" t="s">
        <v>229</v>
      </c>
      <c r="K143" s="5" t="s">
        <v>12083</v>
      </c>
      <c r="L143" s="6" t="s">
        <v>232</v>
      </c>
      <c r="M143" s="3" t="s">
        <v>230</v>
      </c>
      <c r="N143" s="6" t="s">
        <v>7669</v>
      </c>
      <c r="O143" s="6" t="s">
        <v>233</v>
      </c>
      <c r="P143" s="58" t="s">
        <v>235</v>
      </c>
      <c r="Q143" s="6" t="s">
        <v>236</v>
      </c>
      <c r="R143" s="1">
        <v>6.92</v>
      </c>
      <c r="S143" s="2">
        <v>10230000</v>
      </c>
      <c r="T143" s="4">
        <v>0</v>
      </c>
      <c r="U143" s="4">
        <f t="shared" si="4"/>
        <v>0</v>
      </c>
      <c r="V143" s="3" t="s">
        <v>362</v>
      </c>
      <c r="W143" s="3">
        <v>2014</v>
      </c>
      <c r="X143" s="3" t="s">
        <v>17347</v>
      </c>
    </row>
    <row r="144" spans="1:24" ht="153">
      <c r="A144" s="3" t="s">
        <v>17348</v>
      </c>
      <c r="B144" s="6" t="s">
        <v>361</v>
      </c>
      <c r="C144" s="6" t="s">
        <v>254</v>
      </c>
      <c r="D144" s="6" t="s">
        <v>255</v>
      </c>
      <c r="E144" s="3" t="s">
        <v>257</v>
      </c>
      <c r="F144" s="6" t="s">
        <v>259</v>
      </c>
      <c r="G144" s="3" t="s">
        <v>11449</v>
      </c>
      <c r="H144" s="54">
        <v>0.64</v>
      </c>
      <c r="I144" s="16">
        <v>470000000</v>
      </c>
      <c r="J144" s="157" t="s">
        <v>229</v>
      </c>
      <c r="K144" s="5" t="s">
        <v>212</v>
      </c>
      <c r="L144" s="6" t="s">
        <v>12251</v>
      </c>
      <c r="M144" s="3" t="s">
        <v>12250</v>
      </c>
      <c r="N144" s="6" t="s">
        <v>7669</v>
      </c>
      <c r="O144" s="6" t="s">
        <v>233</v>
      </c>
      <c r="P144" s="58" t="s">
        <v>235</v>
      </c>
      <c r="Q144" s="6" t="s">
        <v>236</v>
      </c>
      <c r="R144" s="1">
        <v>10.92</v>
      </c>
      <c r="S144" s="2">
        <v>10230000</v>
      </c>
      <c r="T144" s="4">
        <v>0</v>
      </c>
      <c r="U144" s="4">
        <f t="shared" si="4"/>
        <v>0</v>
      </c>
      <c r="V144" s="3" t="s">
        <v>362</v>
      </c>
      <c r="W144" s="3">
        <v>2014</v>
      </c>
      <c r="X144" s="3" t="s">
        <v>14780</v>
      </c>
    </row>
    <row r="145" spans="1:24" ht="153">
      <c r="A145" s="3" t="s">
        <v>18734</v>
      </c>
      <c r="B145" s="6" t="s">
        <v>361</v>
      </c>
      <c r="C145" s="6" t="s">
        <v>254</v>
      </c>
      <c r="D145" s="6" t="s">
        <v>255</v>
      </c>
      <c r="E145" s="6" t="s">
        <v>257</v>
      </c>
      <c r="F145" s="6" t="s">
        <v>259</v>
      </c>
      <c r="G145" s="3" t="s">
        <v>11449</v>
      </c>
      <c r="H145" s="54">
        <v>0.64</v>
      </c>
      <c r="I145" s="16">
        <v>470000000</v>
      </c>
      <c r="J145" s="157" t="s">
        <v>229</v>
      </c>
      <c r="K145" s="5" t="s">
        <v>18738</v>
      </c>
      <c r="L145" s="6" t="s">
        <v>12251</v>
      </c>
      <c r="M145" s="3" t="s">
        <v>12250</v>
      </c>
      <c r="N145" s="6" t="s">
        <v>7669</v>
      </c>
      <c r="O145" s="6" t="s">
        <v>233</v>
      </c>
      <c r="P145" s="58" t="s">
        <v>235</v>
      </c>
      <c r="Q145" s="6" t="s">
        <v>236</v>
      </c>
      <c r="R145" s="1">
        <v>12.695460000000001</v>
      </c>
      <c r="S145" s="2">
        <v>10230000</v>
      </c>
      <c r="T145" s="4">
        <v>0</v>
      </c>
      <c r="U145" s="4">
        <f t="shared" si="4"/>
        <v>0</v>
      </c>
      <c r="V145" s="3" t="s">
        <v>362</v>
      </c>
      <c r="W145" s="3">
        <v>2014</v>
      </c>
      <c r="X145" s="3" t="s">
        <v>14780</v>
      </c>
    </row>
    <row r="146" spans="1:24" ht="153">
      <c r="A146" s="3" t="s">
        <v>19638</v>
      </c>
      <c r="B146" s="6" t="s">
        <v>361</v>
      </c>
      <c r="C146" s="6" t="s">
        <v>254</v>
      </c>
      <c r="D146" s="6" t="s">
        <v>255</v>
      </c>
      <c r="E146" s="6" t="s">
        <v>257</v>
      </c>
      <c r="F146" s="6" t="s">
        <v>259</v>
      </c>
      <c r="G146" s="3" t="s">
        <v>11449</v>
      </c>
      <c r="H146" s="54">
        <v>0.64</v>
      </c>
      <c r="I146" s="16">
        <v>470000000</v>
      </c>
      <c r="J146" s="157" t="s">
        <v>229</v>
      </c>
      <c r="K146" s="5" t="s">
        <v>19639</v>
      </c>
      <c r="L146" s="6" t="s">
        <v>12251</v>
      </c>
      <c r="M146" s="3" t="s">
        <v>12250</v>
      </c>
      <c r="N146" s="6" t="s">
        <v>7669</v>
      </c>
      <c r="O146" s="6" t="s">
        <v>233</v>
      </c>
      <c r="P146" s="58" t="s">
        <v>235</v>
      </c>
      <c r="Q146" s="6" t="s">
        <v>236</v>
      </c>
      <c r="R146" s="1">
        <v>12.74546</v>
      </c>
      <c r="S146" s="2">
        <v>10230000</v>
      </c>
      <c r="T146" s="4">
        <f>R146*S146</f>
        <v>130386055.8</v>
      </c>
      <c r="U146" s="4">
        <f t="shared" ref="U146" si="7">T146*1.12</f>
        <v>146032382.49600002</v>
      </c>
      <c r="V146" s="3" t="s">
        <v>362</v>
      </c>
      <c r="W146" s="3">
        <v>2014</v>
      </c>
      <c r="X146" s="3"/>
    </row>
    <row r="147" spans="1:24" ht="153">
      <c r="A147" s="3" t="s">
        <v>720</v>
      </c>
      <c r="B147" s="6" t="s">
        <v>361</v>
      </c>
      <c r="C147" s="6" t="s">
        <v>254</v>
      </c>
      <c r="D147" s="6" t="s">
        <v>255</v>
      </c>
      <c r="E147" s="3" t="s">
        <v>257</v>
      </c>
      <c r="F147" s="6" t="s">
        <v>8324</v>
      </c>
      <c r="G147" s="3" t="s">
        <v>11449</v>
      </c>
      <c r="H147" s="54">
        <v>0.64</v>
      </c>
      <c r="I147" s="16">
        <v>470000000</v>
      </c>
      <c r="J147" s="157" t="s">
        <v>229</v>
      </c>
      <c r="K147" s="5" t="s">
        <v>214</v>
      </c>
      <c r="L147" s="6" t="s">
        <v>232</v>
      </c>
      <c r="M147" s="3" t="s">
        <v>230</v>
      </c>
      <c r="N147" s="6" t="s">
        <v>7669</v>
      </c>
      <c r="O147" s="6" t="s">
        <v>233</v>
      </c>
      <c r="P147" s="58" t="s">
        <v>235</v>
      </c>
      <c r="Q147" s="6" t="s">
        <v>236</v>
      </c>
      <c r="R147" s="1">
        <v>0.7</v>
      </c>
      <c r="S147" s="2">
        <v>9196000</v>
      </c>
      <c r="T147" s="4">
        <v>0</v>
      </c>
      <c r="U147" s="4">
        <f t="shared" si="4"/>
        <v>0</v>
      </c>
      <c r="V147" s="3" t="s">
        <v>362</v>
      </c>
      <c r="W147" s="3">
        <v>2014</v>
      </c>
      <c r="X147" s="3">
        <v>11</v>
      </c>
    </row>
    <row r="148" spans="1:24" ht="153">
      <c r="A148" s="3" t="s">
        <v>12084</v>
      </c>
      <c r="B148" s="6" t="s">
        <v>361</v>
      </c>
      <c r="C148" s="6" t="s">
        <v>254</v>
      </c>
      <c r="D148" s="6" t="s">
        <v>255</v>
      </c>
      <c r="E148" s="3" t="s">
        <v>257</v>
      </c>
      <c r="F148" s="6" t="s">
        <v>8324</v>
      </c>
      <c r="G148" s="3" t="s">
        <v>11449</v>
      </c>
      <c r="H148" s="54">
        <v>0.64</v>
      </c>
      <c r="I148" s="16">
        <v>470000000</v>
      </c>
      <c r="J148" s="157" t="s">
        <v>229</v>
      </c>
      <c r="K148" s="5" t="s">
        <v>12083</v>
      </c>
      <c r="L148" s="6" t="s">
        <v>232</v>
      </c>
      <c r="M148" s="3" t="s">
        <v>230</v>
      </c>
      <c r="N148" s="6" t="s">
        <v>7669</v>
      </c>
      <c r="O148" s="6" t="s">
        <v>233</v>
      </c>
      <c r="P148" s="58" t="s">
        <v>235</v>
      </c>
      <c r="Q148" s="6" t="s">
        <v>236</v>
      </c>
      <c r="R148" s="1">
        <v>0.7</v>
      </c>
      <c r="S148" s="2">
        <v>9196000</v>
      </c>
      <c r="T148" s="4">
        <v>0</v>
      </c>
      <c r="U148" s="4">
        <f t="shared" si="4"/>
        <v>0</v>
      </c>
      <c r="V148" s="3" t="s">
        <v>362</v>
      </c>
      <c r="W148" s="3">
        <v>2014</v>
      </c>
      <c r="X148" s="6" t="s">
        <v>14122</v>
      </c>
    </row>
    <row r="149" spans="1:24" ht="153">
      <c r="A149" s="3" t="s">
        <v>14119</v>
      </c>
      <c r="B149" s="6" t="s">
        <v>361</v>
      </c>
      <c r="C149" s="6" t="s">
        <v>254</v>
      </c>
      <c r="D149" s="6" t="s">
        <v>255</v>
      </c>
      <c r="E149" s="3" t="s">
        <v>257</v>
      </c>
      <c r="F149" s="6" t="s">
        <v>14121</v>
      </c>
      <c r="G149" s="3" t="s">
        <v>11449</v>
      </c>
      <c r="H149" s="54">
        <v>0.64</v>
      </c>
      <c r="I149" s="16">
        <v>470000000</v>
      </c>
      <c r="J149" s="157" t="s">
        <v>229</v>
      </c>
      <c r="K149" s="5" t="s">
        <v>14120</v>
      </c>
      <c r="L149" s="6" t="s">
        <v>12251</v>
      </c>
      <c r="M149" s="3" t="s">
        <v>12250</v>
      </c>
      <c r="N149" s="6" t="s">
        <v>7685</v>
      </c>
      <c r="O149" s="6" t="s">
        <v>233</v>
      </c>
      <c r="P149" s="58" t="s">
        <v>235</v>
      </c>
      <c r="Q149" s="6" t="s">
        <v>236</v>
      </c>
      <c r="R149" s="1">
        <v>9.49</v>
      </c>
      <c r="S149" s="2">
        <v>8260000</v>
      </c>
      <c r="T149" s="4">
        <v>0</v>
      </c>
      <c r="U149" s="4">
        <f t="shared" si="4"/>
        <v>0</v>
      </c>
      <c r="V149" s="3" t="s">
        <v>362</v>
      </c>
      <c r="W149" s="3">
        <v>2014</v>
      </c>
      <c r="X149" s="3" t="s">
        <v>14780</v>
      </c>
    </row>
    <row r="150" spans="1:24" ht="153">
      <c r="A150" s="3" t="s">
        <v>17349</v>
      </c>
      <c r="B150" s="6" t="s">
        <v>361</v>
      </c>
      <c r="C150" s="6" t="s">
        <v>254</v>
      </c>
      <c r="D150" s="6" t="s">
        <v>255</v>
      </c>
      <c r="E150" s="3" t="s">
        <v>257</v>
      </c>
      <c r="F150" s="6" t="s">
        <v>14121</v>
      </c>
      <c r="G150" s="3" t="s">
        <v>11449</v>
      </c>
      <c r="H150" s="54">
        <v>0.64</v>
      </c>
      <c r="I150" s="16">
        <v>470000000</v>
      </c>
      <c r="J150" s="157" t="s">
        <v>229</v>
      </c>
      <c r="K150" s="5" t="s">
        <v>212</v>
      </c>
      <c r="L150" s="6" t="s">
        <v>12251</v>
      </c>
      <c r="M150" s="3" t="s">
        <v>12250</v>
      </c>
      <c r="N150" s="6" t="s">
        <v>7685</v>
      </c>
      <c r="O150" s="6" t="s">
        <v>233</v>
      </c>
      <c r="P150" s="58" t="s">
        <v>235</v>
      </c>
      <c r="Q150" s="6" t="s">
        <v>236</v>
      </c>
      <c r="R150" s="1">
        <v>10.9</v>
      </c>
      <c r="S150" s="2">
        <v>8260000</v>
      </c>
      <c r="T150" s="4">
        <f>R150*S150</f>
        <v>90034000</v>
      </c>
      <c r="U150" s="4">
        <f t="shared" si="4"/>
        <v>100838080.00000001</v>
      </c>
      <c r="V150" s="3" t="s">
        <v>362</v>
      </c>
      <c r="W150" s="3">
        <v>2014</v>
      </c>
      <c r="X150" s="3"/>
    </row>
    <row r="151" spans="1:24" ht="153">
      <c r="A151" s="3" t="s">
        <v>721</v>
      </c>
      <c r="B151" s="6" t="s">
        <v>361</v>
      </c>
      <c r="C151" s="6" t="s">
        <v>254</v>
      </c>
      <c r="D151" s="6" t="s">
        <v>255</v>
      </c>
      <c r="E151" s="3" t="s">
        <v>257</v>
      </c>
      <c r="F151" s="6" t="s">
        <v>8325</v>
      </c>
      <c r="G151" s="3" t="s">
        <v>11449</v>
      </c>
      <c r="H151" s="54">
        <v>0.64</v>
      </c>
      <c r="I151" s="16">
        <v>470000000</v>
      </c>
      <c r="J151" s="157" t="s">
        <v>229</v>
      </c>
      <c r="K151" s="5" t="s">
        <v>214</v>
      </c>
      <c r="L151" s="6" t="s">
        <v>232</v>
      </c>
      <c r="M151" s="3" t="s">
        <v>230</v>
      </c>
      <c r="N151" s="6" t="s">
        <v>7669</v>
      </c>
      <c r="O151" s="6" t="s">
        <v>233</v>
      </c>
      <c r="P151" s="58" t="s">
        <v>235</v>
      </c>
      <c r="Q151" s="6" t="s">
        <v>236</v>
      </c>
      <c r="R151" s="1">
        <v>9.49</v>
      </c>
      <c r="S151" s="2">
        <v>8260000</v>
      </c>
      <c r="T151" s="4">
        <v>0</v>
      </c>
      <c r="U151" s="4">
        <f t="shared" si="4"/>
        <v>0</v>
      </c>
      <c r="V151" s="3" t="s">
        <v>362</v>
      </c>
      <c r="W151" s="3">
        <v>2014</v>
      </c>
      <c r="X151" s="3">
        <v>11</v>
      </c>
    </row>
    <row r="152" spans="1:24" ht="153">
      <c r="A152" s="3" t="s">
        <v>12085</v>
      </c>
      <c r="B152" s="6" t="s">
        <v>361</v>
      </c>
      <c r="C152" s="6" t="s">
        <v>254</v>
      </c>
      <c r="D152" s="6" t="s">
        <v>255</v>
      </c>
      <c r="E152" s="3" t="s">
        <v>257</v>
      </c>
      <c r="F152" s="6" t="s">
        <v>8325</v>
      </c>
      <c r="G152" s="3" t="s">
        <v>11449</v>
      </c>
      <c r="H152" s="54">
        <v>0.64</v>
      </c>
      <c r="I152" s="16">
        <v>470000000</v>
      </c>
      <c r="J152" s="157" t="s">
        <v>229</v>
      </c>
      <c r="K152" s="5" t="s">
        <v>12083</v>
      </c>
      <c r="L152" s="6" t="s">
        <v>232</v>
      </c>
      <c r="M152" s="3" t="s">
        <v>230</v>
      </c>
      <c r="N152" s="6" t="s">
        <v>7669</v>
      </c>
      <c r="O152" s="6" t="s">
        <v>233</v>
      </c>
      <c r="P152" s="58" t="s">
        <v>235</v>
      </c>
      <c r="Q152" s="6" t="s">
        <v>236</v>
      </c>
      <c r="R152" s="1">
        <v>9.49</v>
      </c>
      <c r="S152" s="2">
        <v>8260000</v>
      </c>
      <c r="T152" s="4">
        <v>0</v>
      </c>
      <c r="U152" s="4">
        <f t="shared" si="4"/>
        <v>0</v>
      </c>
      <c r="V152" s="3" t="s">
        <v>362</v>
      </c>
      <c r="W152" s="3">
        <v>2014</v>
      </c>
      <c r="X152" s="6" t="s">
        <v>14122</v>
      </c>
    </row>
    <row r="153" spans="1:24" ht="153">
      <c r="A153" s="3" t="s">
        <v>14123</v>
      </c>
      <c r="B153" s="6" t="s">
        <v>361</v>
      </c>
      <c r="C153" s="6" t="s">
        <v>254</v>
      </c>
      <c r="D153" s="6" t="s">
        <v>255</v>
      </c>
      <c r="E153" s="3" t="s">
        <v>257</v>
      </c>
      <c r="F153" s="6" t="s">
        <v>8325</v>
      </c>
      <c r="G153" s="3" t="s">
        <v>11449</v>
      </c>
      <c r="H153" s="54">
        <v>0.64</v>
      </c>
      <c r="I153" s="16">
        <v>470000000</v>
      </c>
      <c r="J153" s="157" t="s">
        <v>229</v>
      </c>
      <c r="K153" s="5" t="s">
        <v>14120</v>
      </c>
      <c r="L153" s="6" t="s">
        <v>12251</v>
      </c>
      <c r="M153" s="3" t="s">
        <v>12250</v>
      </c>
      <c r="N153" s="6" t="s">
        <v>7685</v>
      </c>
      <c r="O153" s="6" t="s">
        <v>233</v>
      </c>
      <c r="P153" s="58" t="s">
        <v>235</v>
      </c>
      <c r="Q153" s="6" t="s">
        <v>236</v>
      </c>
      <c r="R153" s="1">
        <v>0.7</v>
      </c>
      <c r="S153" s="2">
        <v>9196000</v>
      </c>
      <c r="T153" s="4">
        <v>0</v>
      </c>
      <c r="U153" s="4">
        <f t="shared" si="4"/>
        <v>0</v>
      </c>
      <c r="V153" s="3" t="s">
        <v>362</v>
      </c>
      <c r="W153" s="3">
        <v>2014</v>
      </c>
      <c r="X153" s="3" t="s">
        <v>12062</v>
      </c>
    </row>
    <row r="154" spans="1:24" ht="153">
      <c r="A154" s="3" t="s">
        <v>14386</v>
      </c>
      <c r="B154" s="6" t="s">
        <v>361</v>
      </c>
      <c r="C154" s="6" t="s">
        <v>254</v>
      </c>
      <c r="D154" s="6" t="s">
        <v>255</v>
      </c>
      <c r="E154" s="3" t="s">
        <v>257</v>
      </c>
      <c r="F154" s="6" t="s">
        <v>8325</v>
      </c>
      <c r="G154" s="3" t="s">
        <v>11449</v>
      </c>
      <c r="H154" s="54">
        <v>0.64</v>
      </c>
      <c r="I154" s="16">
        <v>470000000</v>
      </c>
      <c r="J154" s="157" t="s">
        <v>229</v>
      </c>
      <c r="K154" s="5" t="s">
        <v>14120</v>
      </c>
      <c r="L154" s="6" t="s">
        <v>12251</v>
      </c>
      <c r="M154" s="3" t="s">
        <v>12250</v>
      </c>
      <c r="N154" s="6" t="s">
        <v>7685</v>
      </c>
      <c r="O154" s="6" t="s">
        <v>233</v>
      </c>
      <c r="P154" s="58" t="s">
        <v>235</v>
      </c>
      <c r="Q154" s="6" t="s">
        <v>236</v>
      </c>
      <c r="R154" s="1">
        <v>0.5</v>
      </c>
      <c r="S154" s="2">
        <v>9196000</v>
      </c>
      <c r="T154" s="4">
        <v>0</v>
      </c>
      <c r="U154" s="4">
        <f t="shared" si="4"/>
        <v>0</v>
      </c>
      <c r="V154" s="3" t="s">
        <v>362</v>
      </c>
      <c r="W154" s="3">
        <v>2014</v>
      </c>
      <c r="X154" s="3" t="s">
        <v>14780</v>
      </c>
    </row>
    <row r="155" spans="1:24" ht="153">
      <c r="A155" s="3" t="s">
        <v>17350</v>
      </c>
      <c r="B155" s="6" t="s">
        <v>361</v>
      </c>
      <c r="C155" s="6" t="s">
        <v>254</v>
      </c>
      <c r="D155" s="6" t="s">
        <v>255</v>
      </c>
      <c r="E155" s="6" t="s">
        <v>257</v>
      </c>
      <c r="F155" s="6" t="s">
        <v>8325</v>
      </c>
      <c r="G155" s="3" t="s">
        <v>11449</v>
      </c>
      <c r="H155" s="54">
        <v>0.64</v>
      </c>
      <c r="I155" s="16">
        <v>470000000</v>
      </c>
      <c r="J155" s="157" t="s">
        <v>229</v>
      </c>
      <c r="K155" s="5" t="s">
        <v>212</v>
      </c>
      <c r="L155" s="6" t="s">
        <v>12251</v>
      </c>
      <c r="M155" s="3" t="s">
        <v>12250</v>
      </c>
      <c r="N155" s="6" t="s">
        <v>7685</v>
      </c>
      <c r="O155" s="6" t="s">
        <v>233</v>
      </c>
      <c r="P155" s="58" t="s">
        <v>235</v>
      </c>
      <c r="Q155" s="6" t="s">
        <v>236</v>
      </c>
      <c r="R155" s="1">
        <v>17.782662134418899</v>
      </c>
      <c r="S155" s="2">
        <v>9196000</v>
      </c>
      <c r="T155" s="4">
        <v>0</v>
      </c>
      <c r="U155" s="4">
        <f t="shared" si="4"/>
        <v>0</v>
      </c>
      <c r="V155" s="3" t="s">
        <v>362</v>
      </c>
      <c r="W155" s="3">
        <v>2014</v>
      </c>
      <c r="X155" s="3" t="s">
        <v>12062</v>
      </c>
    </row>
    <row r="156" spans="1:24" ht="153">
      <c r="A156" s="3" t="s">
        <v>18735</v>
      </c>
      <c r="B156" s="6" t="s">
        <v>361</v>
      </c>
      <c r="C156" s="6" t="s">
        <v>254</v>
      </c>
      <c r="D156" s="6" t="s">
        <v>255</v>
      </c>
      <c r="E156" s="6" t="s">
        <v>257</v>
      </c>
      <c r="F156" s="6" t="s">
        <v>8325</v>
      </c>
      <c r="G156" s="3" t="s">
        <v>11449</v>
      </c>
      <c r="H156" s="54">
        <v>0.64</v>
      </c>
      <c r="I156" s="16">
        <v>470000000</v>
      </c>
      <c r="J156" s="157" t="s">
        <v>229</v>
      </c>
      <c r="K156" s="5" t="s">
        <v>212</v>
      </c>
      <c r="L156" s="6" t="s">
        <v>12251</v>
      </c>
      <c r="M156" s="3" t="s">
        <v>12250</v>
      </c>
      <c r="N156" s="6" t="s">
        <v>7685</v>
      </c>
      <c r="O156" s="6" t="s">
        <v>233</v>
      </c>
      <c r="P156" s="58" t="s">
        <v>235</v>
      </c>
      <c r="Q156" s="6" t="s">
        <v>236</v>
      </c>
      <c r="R156" s="1">
        <v>0.6</v>
      </c>
      <c r="S156" s="2">
        <v>9196000</v>
      </c>
      <c r="T156" s="4">
        <f>R156*S156</f>
        <v>5517600</v>
      </c>
      <c r="U156" s="4">
        <f t="shared" si="4"/>
        <v>6179712.0000000009</v>
      </c>
      <c r="V156" s="3" t="s">
        <v>362</v>
      </c>
      <c r="W156" s="3">
        <v>2014</v>
      </c>
      <c r="X156" s="3"/>
    </row>
    <row r="157" spans="1:24" ht="153">
      <c r="A157" s="3" t="s">
        <v>722</v>
      </c>
      <c r="B157" s="6" t="s">
        <v>361</v>
      </c>
      <c r="C157" s="6" t="s">
        <v>254</v>
      </c>
      <c r="D157" s="6" t="s">
        <v>255</v>
      </c>
      <c r="E157" s="3" t="s">
        <v>257</v>
      </c>
      <c r="F157" s="6" t="s">
        <v>260</v>
      </c>
      <c r="G157" s="3" t="s">
        <v>11449</v>
      </c>
      <c r="H157" s="54">
        <v>0.64</v>
      </c>
      <c r="I157" s="16">
        <v>470000000</v>
      </c>
      <c r="J157" s="157" t="s">
        <v>229</v>
      </c>
      <c r="K157" s="5" t="s">
        <v>214</v>
      </c>
      <c r="L157" s="6" t="s">
        <v>232</v>
      </c>
      <c r="M157" s="3" t="s">
        <v>230</v>
      </c>
      <c r="N157" s="6" t="s">
        <v>7669</v>
      </c>
      <c r="O157" s="6" t="s">
        <v>233</v>
      </c>
      <c r="P157" s="58" t="s">
        <v>235</v>
      </c>
      <c r="Q157" s="6" t="s">
        <v>236</v>
      </c>
      <c r="R157" s="1">
        <v>82.2</v>
      </c>
      <c r="S157" s="2">
        <v>7194000</v>
      </c>
      <c r="T157" s="4">
        <v>0</v>
      </c>
      <c r="U157" s="4">
        <f t="shared" si="4"/>
        <v>0</v>
      </c>
      <c r="V157" s="3" t="s">
        <v>362</v>
      </c>
      <c r="W157" s="3">
        <v>2014</v>
      </c>
      <c r="X157" s="3">
        <v>11</v>
      </c>
    </row>
    <row r="158" spans="1:24" ht="153">
      <c r="A158" s="3" t="s">
        <v>12086</v>
      </c>
      <c r="B158" s="6" t="s">
        <v>361</v>
      </c>
      <c r="C158" s="6" t="s">
        <v>254</v>
      </c>
      <c r="D158" s="6" t="s">
        <v>255</v>
      </c>
      <c r="E158" s="3" t="s">
        <v>257</v>
      </c>
      <c r="F158" s="6" t="s">
        <v>260</v>
      </c>
      <c r="G158" s="3" t="s">
        <v>11449</v>
      </c>
      <c r="H158" s="54">
        <v>0.64</v>
      </c>
      <c r="I158" s="16">
        <v>470000000</v>
      </c>
      <c r="J158" s="157" t="s">
        <v>229</v>
      </c>
      <c r="K158" s="5" t="s">
        <v>12083</v>
      </c>
      <c r="L158" s="6" t="s">
        <v>232</v>
      </c>
      <c r="M158" s="3" t="s">
        <v>230</v>
      </c>
      <c r="N158" s="6" t="s">
        <v>7669</v>
      </c>
      <c r="O158" s="6" t="s">
        <v>233</v>
      </c>
      <c r="P158" s="58" t="s">
        <v>235</v>
      </c>
      <c r="Q158" s="6" t="s">
        <v>236</v>
      </c>
      <c r="R158" s="1">
        <v>82.2</v>
      </c>
      <c r="S158" s="2">
        <v>7194000</v>
      </c>
      <c r="T158" s="4">
        <v>0</v>
      </c>
      <c r="U158" s="4">
        <f t="shared" si="4"/>
        <v>0</v>
      </c>
      <c r="V158" s="3" t="s">
        <v>362</v>
      </c>
      <c r="W158" s="3">
        <v>2014</v>
      </c>
      <c r="X158" s="3" t="s">
        <v>14780</v>
      </c>
    </row>
    <row r="159" spans="1:24" ht="153">
      <c r="A159" s="3" t="s">
        <v>14387</v>
      </c>
      <c r="B159" s="6" t="s">
        <v>361</v>
      </c>
      <c r="C159" s="6" t="s">
        <v>254</v>
      </c>
      <c r="D159" s="6" t="s">
        <v>255</v>
      </c>
      <c r="E159" s="3" t="s">
        <v>257</v>
      </c>
      <c r="F159" s="6" t="s">
        <v>260</v>
      </c>
      <c r="G159" s="3" t="s">
        <v>11449</v>
      </c>
      <c r="H159" s="54">
        <v>0.64</v>
      </c>
      <c r="I159" s="16">
        <v>470000000</v>
      </c>
      <c r="J159" s="157" t="s">
        <v>229</v>
      </c>
      <c r="K159" s="5" t="s">
        <v>14954</v>
      </c>
      <c r="L159" s="6" t="s">
        <v>232</v>
      </c>
      <c r="M159" s="3" t="s">
        <v>230</v>
      </c>
      <c r="N159" s="6" t="s">
        <v>7669</v>
      </c>
      <c r="O159" s="6" t="s">
        <v>233</v>
      </c>
      <c r="P159" s="58" t="s">
        <v>235</v>
      </c>
      <c r="Q159" s="6" t="s">
        <v>236</v>
      </c>
      <c r="R159" s="1">
        <v>74.95377834</v>
      </c>
      <c r="S159" s="2">
        <v>7194000</v>
      </c>
      <c r="T159" s="4">
        <v>0</v>
      </c>
      <c r="U159" s="4">
        <f t="shared" si="4"/>
        <v>0</v>
      </c>
      <c r="V159" s="3" t="s">
        <v>362</v>
      </c>
      <c r="W159" s="3">
        <v>2014</v>
      </c>
      <c r="X159" s="3" t="s">
        <v>17347</v>
      </c>
    </row>
    <row r="160" spans="1:24" ht="153">
      <c r="A160" s="3" t="s">
        <v>17351</v>
      </c>
      <c r="B160" s="6" t="s">
        <v>361</v>
      </c>
      <c r="C160" s="6" t="s">
        <v>254</v>
      </c>
      <c r="D160" s="6" t="s">
        <v>255</v>
      </c>
      <c r="E160" s="6" t="s">
        <v>257</v>
      </c>
      <c r="F160" s="6" t="s">
        <v>260</v>
      </c>
      <c r="G160" s="3" t="s">
        <v>11449</v>
      </c>
      <c r="H160" s="54">
        <v>0.64</v>
      </c>
      <c r="I160" s="16">
        <v>470000000</v>
      </c>
      <c r="J160" s="157" t="s">
        <v>229</v>
      </c>
      <c r="K160" s="5" t="s">
        <v>212</v>
      </c>
      <c r="L160" s="6" t="s">
        <v>12251</v>
      </c>
      <c r="M160" s="3" t="s">
        <v>12250</v>
      </c>
      <c r="N160" s="6" t="s">
        <v>7669</v>
      </c>
      <c r="O160" s="6" t="s">
        <v>233</v>
      </c>
      <c r="P160" s="58" t="s">
        <v>235</v>
      </c>
      <c r="Q160" s="6" t="s">
        <v>236</v>
      </c>
      <c r="R160" s="1">
        <v>95.202999999999989</v>
      </c>
      <c r="S160" s="2">
        <v>7194000</v>
      </c>
      <c r="T160" s="4">
        <v>0</v>
      </c>
      <c r="U160" s="4">
        <f t="shared" si="4"/>
        <v>0</v>
      </c>
      <c r="V160" s="3" t="s">
        <v>362</v>
      </c>
      <c r="W160" s="3">
        <v>2014</v>
      </c>
      <c r="X160" s="3" t="s">
        <v>12062</v>
      </c>
    </row>
    <row r="161" spans="1:24" ht="153">
      <c r="A161" s="3" t="s">
        <v>18736</v>
      </c>
      <c r="B161" s="6" t="s">
        <v>361</v>
      </c>
      <c r="C161" s="6" t="s">
        <v>254</v>
      </c>
      <c r="D161" s="6" t="s">
        <v>255</v>
      </c>
      <c r="E161" s="6" t="s">
        <v>257</v>
      </c>
      <c r="F161" s="6" t="s">
        <v>260</v>
      </c>
      <c r="G161" s="3" t="s">
        <v>11449</v>
      </c>
      <c r="H161" s="54">
        <v>0.64</v>
      </c>
      <c r="I161" s="16">
        <v>470000000</v>
      </c>
      <c r="J161" s="157" t="s">
        <v>229</v>
      </c>
      <c r="K161" s="5" t="s">
        <v>212</v>
      </c>
      <c r="L161" s="6" t="s">
        <v>12251</v>
      </c>
      <c r="M161" s="3" t="s">
        <v>12250</v>
      </c>
      <c r="N161" s="6" t="s">
        <v>7669</v>
      </c>
      <c r="O161" s="6" t="s">
        <v>233</v>
      </c>
      <c r="P161" s="58" t="s">
        <v>235</v>
      </c>
      <c r="Q161" s="6" t="s">
        <v>236</v>
      </c>
      <c r="R161" s="1">
        <v>88.83554566594384</v>
      </c>
      <c r="S161" s="2">
        <v>7194000</v>
      </c>
      <c r="T161" s="4">
        <v>0</v>
      </c>
      <c r="U161" s="4">
        <f t="shared" si="4"/>
        <v>0</v>
      </c>
      <c r="V161" s="3" t="s">
        <v>362</v>
      </c>
      <c r="W161" s="3">
        <v>2014</v>
      </c>
      <c r="X161" s="3" t="s">
        <v>12062</v>
      </c>
    </row>
    <row r="162" spans="1:24" ht="153">
      <c r="A162" s="3" t="s">
        <v>19268</v>
      </c>
      <c r="B162" s="6" t="s">
        <v>361</v>
      </c>
      <c r="C162" s="6" t="s">
        <v>254</v>
      </c>
      <c r="D162" s="6" t="s">
        <v>255</v>
      </c>
      <c r="E162" s="6" t="s">
        <v>257</v>
      </c>
      <c r="F162" s="6" t="s">
        <v>260</v>
      </c>
      <c r="G162" s="3" t="s">
        <v>11449</v>
      </c>
      <c r="H162" s="54">
        <v>0.64</v>
      </c>
      <c r="I162" s="16">
        <v>470000000</v>
      </c>
      <c r="J162" s="157" t="s">
        <v>229</v>
      </c>
      <c r="K162" s="5" t="s">
        <v>212</v>
      </c>
      <c r="L162" s="6" t="s">
        <v>12251</v>
      </c>
      <c r="M162" s="3" t="s">
        <v>12250</v>
      </c>
      <c r="N162" s="6" t="s">
        <v>7669</v>
      </c>
      <c r="O162" s="6" t="s">
        <v>233</v>
      </c>
      <c r="P162" s="58" t="s">
        <v>235</v>
      </c>
      <c r="Q162" s="6" t="s">
        <v>236</v>
      </c>
      <c r="R162" s="1">
        <v>98.633548599999997</v>
      </c>
      <c r="S162" s="2">
        <v>7194000</v>
      </c>
      <c r="T162" s="4">
        <v>0</v>
      </c>
      <c r="U162" s="4">
        <f t="shared" si="4"/>
        <v>0</v>
      </c>
      <c r="V162" s="3" t="s">
        <v>362</v>
      </c>
      <c r="W162" s="3">
        <v>2014</v>
      </c>
      <c r="X162" s="344" t="s">
        <v>14780</v>
      </c>
    </row>
    <row r="163" spans="1:24" ht="153">
      <c r="A163" s="3" t="s">
        <v>19617</v>
      </c>
      <c r="B163" s="6" t="s">
        <v>361</v>
      </c>
      <c r="C163" s="6" t="s">
        <v>254</v>
      </c>
      <c r="D163" s="6" t="s">
        <v>255</v>
      </c>
      <c r="E163" s="6" t="s">
        <v>257</v>
      </c>
      <c r="F163" s="6" t="s">
        <v>260</v>
      </c>
      <c r="G163" s="3" t="s">
        <v>11449</v>
      </c>
      <c r="H163" s="54">
        <v>0.64</v>
      </c>
      <c r="I163" s="16">
        <v>470000000</v>
      </c>
      <c r="J163" s="157" t="s">
        <v>229</v>
      </c>
      <c r="K163" s="5" t="s">
        <v>19618</v>
      </c>
      <c r="L163" s="6" t="s">
        <v>12251</v>
      </c>
      <c r="M163" s="3" t="s">
        <v>12250</v>
      </c>
      <c r="N163" s="6" t="s">
        <v>7669</v>
      </c>
      <c r="O163" s="6" t="s">
        <v>233</v>
      </c>
      <c r="P163" s="58" t="s">
        <v>235</v>
      </c>
      <c r="Q163" s="6" t="s">
        <v>236</v>
      </c>
      <c r="R163" s="1">
        <v>91.496998109999993</v>
      </c>
      <c r="S163" s="2">
        <v>7194000</v>
      </c>
      <c r="T163" s="4">
        <f t="shared" ref="T163" si="8">R163*S163</f>
        <v>658229404.40333998</v>
      </c>
      <c r="U163" s="4">
        <f t="shared" si="4"/>
        <v>737216932.93174088</v>
      </c>
      <c r="V163" s="3" t="s">
        <v>362</v>
      </c>
      <c r="W163" s="3">
        <v>2014</v>
      </c>
      <c r="X163" s="348"/>
    </row>
    <row r="164" spans="1:24" ht="178.5">
      <c r="A164" s="3" t="s">
        <v>723</v>
      </c>
      <c r="B164" s="6" t="s">
        <v>361</v>
      </c>
      <c r="C164" s="6" t="s">
        <v>254</v>
      </c>
      <c r="D164" s="6" t="s">
        <v>255</v>
      </c>
      <c r="E164" s="3" t="s">
        <v>257</v>
      </c>
      <c r="F164" s="6" t="s">
        <v>261</v>
      </c>
      <c r="G164" s="3" t="s">
        <v>11449</v>
      </c>
      <c r="H164" s="54">
        <v>0.64</v>
      </c>
      <c r="I164" s="16">
        <v>470000000</v>
      </c>
      <c r="J164" s="157" t="s">
        <v>229</v>
      </c>
      <c r="K164" s="5" t="s">
        <v>214</v>
      </c>
      <c r="L164" s="6" t="s">
        <v>232</v>
      </c>
      <c r="M164" s="3" t="s">
        <v>230</v>
      </c>
      <c r="N164" s="6" t="s">
        <v>7669</v>
      </c>
      <c r="O164" s="6" t="s">
        <v>233</v>
      </c>
      <c r="P164" s="58" t="s">
        <v>235</v>
      </c>
      <c r="Q164" s="6" t="s">
        <v>236</v>
      </c>
      <c r="R164" s="1">
        <v>125</v>
      </c>
      <c r="S164" s="2">
        <v>6313000</v>
      </c>
      <c r="T164" s="4">
        <v>0</v>
      </c>
      <c r="U164" s="4">
        <f t="shared" si="4"/>
        <v>0</v>
      </c>
      <c r="V164" s="3" t="s">
        <v>362</v>
      </c>
      <c r="W164" s="3">
        <v>2014</v>
      </c>
      <c r="X164" s="3">
        <v>11</v>
      </c>
    </row>
    <row r="165" spans="1:24" ht="178.5">
      <c r="A165" s="3" t="s">
        <v>12087</v>
      </c>
      <c r="B165" s="6" t="s">
        <v>361</v>
      </c>
      <c r="C165" s="6" t="s">
        <v>254</v>
      </c>
      <c r="D165" s="6" t="s">
        <v>255</v>
      </c>
      <c r="E165" s="3" t="s">
        <v>257</v>
      </c>
      <c r="F165" s="6" t="s">
        <v>261</v>
      </c>
      <c r="G165" s="3" t="s">
        <v>11449</v>
      </c>
      <c r="H165" s="54">
        <v>0.64</v>
      </c>
      <c r="I165" s="16">
        <v>470000000</v>
      </c>
      <c r="J165" s="157" t="s">
        <v>229</v>
      </c>
      <c r="K165" s="5" t="s">
        <v>12083</v>
      </c>
      <c r="L165" s="6" t="s">
        <v>232</v>
      </c>
      <c r="M165" s="3" t="s">
        <v>230</v>
      </c>
      <c r="N165" s="6" t="s">
        <v>7669</v>
      </c>
      <c r="O165" s="6" t="s">
        <v>233</v>
      </c>
      <c r="P165" s="58" t="s">
        <v>235</v>
      </c>
      <c r="Q165" s="6" t="s">
        <v>236</v>
      </c>
      <c r="R165" s="1">
        <v>125</v>
      </c>
      <c r="S165" s="2">
        <v>6313000</v>
      </c>
      <c r="T165" s="4">
        <v>0</v>
      </c>
      <c r="U165" s="4">
        <f t="shared" si="4"/>
        <v>0</v>
      </c>
      <c r="V165" s="3" t="s">
        <v>362</v>
      </c>
      <c r="W165" s="3">
        <v>2014</v>
      </c>
      <c r="X165" s="3" t="s">
        <v>14780</v>
      </c>
    </row>
    <row r="166" spans="1:24" ht="178.5">
      <c r="A166" s="3" t="s">
        <v>14388</v>
      </c>
      <c r="B166" s="6" t="s">
        <v>361</v>
      </c>
      <c r="C166" s="6" t="s">
        <v>254</v>
      </c>
      <c r="D166" s="6" t="s">
        <v>255</v>
      </c>
      <c r="E166" s="3" t="s">
        <v>257</v>
      </c>
      <c r="F166" s="6" t="s">
        <v>261</v>
      </c>
      <c r="G166" s="3" t="s">
        <v>11449</v>
      </c>
      <c r="H166" s="54">
        <v>0.64</v>
      </c>
      <c r="I166" s="16">
        <v>470000000</v>
      </c>
      <c r="J166" s="157" t="s">
        <v>229</v>
      </c>
      <c r="K166" s="5" t="s">
        <v>14954</v>
      </c>
      <c r="L166" s="6" t="s">
        <v>232</v>
      </c>
      <c r="M166" s="3" t="s">
        <v>230</v>
      </c>
      <c r="N166" s="6" t="s">
        <v>7669</v>
      </c>
      <c r="O166" s="6" t="s">
        <v>233</v>
      </c>
      <c r="P166" s="58" t="s">
        <v>235</v>
      </c>
      <c r="Q166" s="6" t="s">
        <v>236</v>
      </c>
      <c r="R166" s="1">
        <v>123.87718359</v>
      </c>
      <c r="S166" s="2">
        <v>6313000</v>
      </c>
      <c r="T166" s="4">
        <v>0</v>
      </c>
      <c r="U166" s="4">
        <f t="shared" si="4"/>
        <v>0</v>
      </c>
      <c r="V166" s="3" t="s">
        <v>362</v>
      </c>
      <c r="W166" s="3">
        <v>2014</v>
      </c>
      <c r="X166" s="3" t="s">
        <v>17347</v>
      </c>
    </row>
    <row r="167" spans="1:24" ht="178.5">
      <c r="A167" s="3" t="s">
        <v>17352</v>
      </c>
      <c r="B167" s="6" t="s">
        <v>361</v>
      </c>
      <c r="C167" s="6" t="s">
        <v>254</v>
      </c>
      <c r="D167" s="6" t="s">
        <v>255</v>
      </c>
      <c r="E167" s="6" t="s">
        <v>257</v>
      </c>
      <c r="F167" s="6" t="s">
        <v>261</v>
      </c>
      <c r="G167" s="3" t="s">
        <v>11449</v>
      </c>
      <c r="H167" s="54">
        <v>0.64</v>
      </c>
      <c r="I167" s="16">
        <v>470000000</v>
      </c>
      <c r="J167" s="157" t="s">
        <v>229</v>
      </c>
      <c r="K167" s="5" t="s">
        <v>212</v>
      </c>
      <c r="L167" s="6" t="s">
        <v>12251</v>
      </c>
      <c r="M167" s="3" t="s">
        <v>12250</v>
      </c>
      <c r="N167" s="6" t="s">
        <v>7669</v>
      </c>
      <c r="O167" s="6" t="s">
        <v>233</v>
      </c>
      <c r="P167" s="58" t="s">
        <v>235</v>
      </c>
      <c r="Q167" s="6" t="s">
        <v>236</v>
      </c>
      <c r="R167" s="1">
        <v>137.56992</v>
      </c>
      <c r="S167" s="2">
        <v>6313000</v>
      </c>
      <c r="T167" s="4">
        <v>0</v>
      </c>
      <c r="U167" s="4">
        <f t="shared" si="4"/>
        <v>0</v>
      </c>
      <c r="V167" s="3" t="s">
        <v>362</v>
      </c>
      <c r="W167" s="3">
        <v>2014</v>
      </c>
      <c r="X167" s="3" t="s">
        <v>14780</v>
      </c>
    </row>
    <row r="168" spans="1:24" ht="178.5">
      <c r="A168" s="3" t="s">
        <v>18737</v>
      </c>
      <c r="B168" s="6" t="s">
        <v>361</v>
      </c>
      <c r="C168" s="6" t="s">
        <v>254</v>
      </c>
      <c r="D168" s="6" t="s">
        <v>255</v>
      </c>
      <c r="E168" s="6" t="s">
        <v>257</v>
      </c>
      <c r="F168" s="6" t="s">
        <v>261</v>
      </c>
      <c r="G168" s="3" t="s">
        <v>11449</v>
      </c>
      <c r="H168" s="54">
        <v>0.64</v>
      </c>
      <c r="I168" s="16">
        <v>470000000</v>
      </c>
      <c r="J168" s="157" t="s">
        <v>229</v>
      </c>
      <c r="K168" s="5" t="s">
        <v>18738</v>
      </c>
      <c r="L168" s="6" t="s">
        <v>12251</v>
      </c>
      <c r="M168" s="3" t="s">
        <v>12250</v>
      </c>
      <c r="N168" s="6" t="s">
        <v>7669</v>
      </c>
      <c r="O168" s="6" t="s">
        <v>233</v>
      </c>
      <c r="P168" s="58" t="s">
        <v>235</v>
      </c>
      <c r="Q168" s="6" t="s">
        <v>236</v>
      </c>
      <c r="R168" s="1">
        <v>165.94548</v>
      </c>
      <c r="S168" s="2">
        <v>6313000</v>
      </c>
      <c r="T168" s="4">
        <v>0</v>
      </c>
      <c r="U168" s="4">
        <f t="shared" si="4"/>
        <v>0</v>
      </c>
      <c r="V168" s="3" t="s">
        <v>362</v>
      </c>
      <c r="W168" s="3">
        <v>2014</v>
      </c>
      <c r="X168" s="3" t="s">
        <v>12062</v>
      </c>
    </row>
    <row r="169" spans="1:24" ht="178.5">
      <c r="A169" s="3" t="s">
        <v>19267</v>
      </c>
      <c r="B169" s="6" t="s">
        <v>361</v>
      </c>
      <c r="C169" s="6" t="s">
        <v>254</v>
      </c>
      <c r="D169" s="6" t="s">
        <v>255</v>
      </c>
      <c r="E169" s="6" t="s">
        <v>257</v>
      </c>
      <c r="F169" s="6" t="s">
        <v>261</v>
      </c>
      <c r="G169" s="3" t="s">
        <v>11449</v>
      </c>
      <c r="H169" s="54">
        <v>0.64</v>
      </c>
      <c r="I169" s="16">
        <v>470000000</v>
      </c>
      <c r="J169" s="157" t="s">
        <v>229</v>
      </c>
      <c r="K169" s="5" t="s">
        <v>18738</v>
      </c>
      <c r="L169" s="6" t="s">
        <v>12251</v>
      </c>
      <c r="M169" s="3" t="s">
        <v>12250</v>
      </c>
      <c r="N169" s="6" t="s">
        <v>7669</v>
      </c>
      <c r="O169" s="6" t="s">
        <v>233</v>
      </c>
      <c r="P169" s="58" t="s">
        <v>235</v>
      </c>
      <c r="Q169" s="6" t="s">
        <v>236</v>
      </c>
      <c r="R169" s="1">
        <v>157.7214685335023</v>
      </c>
      <c r="S169" s="2">
        <v>6313000</v>
      </c>
      <c r="T169" s="4">
        <v>0</v>
      </c>
      <c r="U169" s="4">
        <f t="shared" si="4"/>
        <v>0</v>
      </c>
      <c r="V169" s="3" t="s">
        <v>362</v>
      </c>
      <c r="W169" s="3">
        <v>2014</v>
      </c>
      <c r="X169" s="3" t="s">
        <v>14780</v>
      </c>
    </row>
    <row r="170" spans="1:24" ht="178.5">
      <c r="A170" s="3" t="s">
        <v>19619</v>
      </c>
      <c r="B170" s="6" t="s">
        <v>361</v>
      </c>
      <c r="C170" s="6" t="s">
        <v>254</v>
      </c>
      <c r="D170" s="6" t="s">
        <v>255</v>
      </c>
      <c r="E170" s="6" t="s">
        <v>257</v>
      </c>
      <c r="F170" s="6" t="s">
        <v>261</v>
      </c>
      <c r="G170" s="3" t="s">
        <v>11449</v>
      </c>
      <c r="H170" s="54">
        <v>0.64</v>
      </c>
      <c r="I170" s="16">
        <v>470000000</v>
      </c>
      <c r="J170" s="157" t="s">
        <v>229</v>
      </c>
      <c r="K170" s="5" t="s">
        <v>19618</v>
      </c>
      <c r="L170" s="6" t="s">
        <v>12251</v>
      </c>
      <c r="M170" s="3" t="s">
        <v>12250</v>
      </c>
      <c r="N170" s="6" t="s">
        <v>7669</v>
      </c>
      <c r="O170" s="6" t="s">
        <v>233</v>
      </c>
      <c r="P170" s="58" t="s">
        <v>235</v>
      </c>
      <c r="Q170" s="6" t="s">
        <v>236</v>
      </c>
      <c r="R170" s="1">
        <v>140.99616</v>
      </c>
      <c r="S170" s="2">
        <v>6313000</v>
      </c>
      <c r="T170" s="4">
        <f t="shared" ref="T170" si="9">R170*S170</f>
        <v>890108758.08000004</v>
      </c>
      <c r="U170" s="4">
        <f t="shared" si="4"/>
        <v>996921809.04960012</v>
      </c>
      <c r="V170" s="3" t="s">
        <v>362</v>
      </c>
      <c r="W170" s="3">
        <v>2014</v>
      </c>
      <c r="X170" s="348"/>
    </row>
    <row r="171" spans="1:24" ht="165.75">
      <c r="A171" s="3" t="s">
        <v>724</v>
      </c>
      <c r="B171" s="6" t="s">
        <v>361</v>
      </c>
      <c r="C171" s="6" t="s">
        <v>254</v>
      </c>
      <c r="D171" s="6" t="s">
        <v>255</v>
      </c>
      <c r="E171" s="3" t="s">
        <v>257</v>
      </c>
      <c r="F171" s="6" t="s">
        <v>3008</v>
      </c>
      <c r="G171" s="3" t="s">
        <v>11449</v>
      </c>
      <c r="H171" s="54">
        <v>0.64</v>
      </c>
      <c r="I171" s="16">
        <v>470000000</v>
      </c>
      <c r="J171" s="157" t="s">
        <v>229</v>
      </c>
      <c r="K171" s="5" t="s">
        <v>210</v>
      </c>
      <c r="L171" s="6" t="s">
        <v>232</v>
      </c>
      <c r="M171" s="3" t="s">
        <v>230</v>
      </c>
      <c r="N171" s="6" t="s">
        <v>7669</v>
      </c>
      <c r="O171" s="6" t="s">
        <v>233</v>
      </c>
      <c r="P171" s="58" t="s">
        <v>237</v>
      </c>
      <c r="Q171" s="6" t="s">
        <v>238</v>
      </c>
      <c r="R171" s="1">
        <v>300</v>
      </c>
      <c r="S171" s="2">
        <v>28589</v>
      </c>
      <c r="T171" s="4">
        <v>0</v>
      </c>
      <c r="U171" s="4">
        <f t="shared" si="4"/>
        <v>0</v>
      </c>
      <c r="V171" s="3" t="s">
        <v>362</v>
      </c>
      <c r="W171" s="3">
        <v>2014</v>
      </c>
      <c r="X171" s="3" t="s">
        <v>17354</v>
      </c>
    </row>
    <row r="172" spans="1:24" ht="165.75">
      <c r="A172" s="3" t="s">
        <v>17353</v>
      </c>
      <c r="B172" s="6" t="s">
        <v>361</v>
      </c>
      <c r="C172" s="6" t="s">
        <v>254</v>
      </c>
      <c r="D172" s="6" t="s">
        <v>255</v>
      </c>
      <c r="E172" s="3" t="s">
        <v>257</v>
      </c>
      <c r="F172" s="6" t="s">
        <v>3008</v>
      </c>
      <c r="G172" s="3" t="s">
        <v>11449</v>
      </c>
      <c r="H172" s="54">
        <v>0.64</v>
      </c>
      <c r="I172" s="16">
        <v>470000000</v>
      </c>
      <c r="J172" s="157" t="s">
        <v>229</v>
      </c>
      <c r="K172" s="5" t="s">
        <v>212</v>
      </c>
      <c r="L172" s="6" t="s">
        <v>12251</v>
      </c>
      <c r="M172" s="3" t="s">
        <v>12250</v>
      </c>
      <c r="N172" s="6" t="s">
        <v>7669</v>
      </c>
      <c r="O172" s="6" t="s">
        <v>233</v>
      </c>
      <c r="P172" s="58" t="s">
        <v>237</v>
      </c>
      <c r="Q172" s="6" t="s">
        <v>238</v>
      </c>
      <c r="R172" s="1">
        <v>300</v>
      </c>
      <c r="S172" s="2">
        <v>28017.22</v>
      </c>
      <c r="T172" s="4">
        <f>R172*S172</f>
        <v>8405166</v>
      </c>
      <c r="U172" s="4">
        <f t="shared" si="4"/>
        <v>9413785.9200000018</v>
      </c>
      <c r="V172" s="3" t="s">
        <v>362</v>
      </c>
      <c r="W172" s="3">
        <v>2014</v>
      </c>
      <c r="X172" s="3"/>
    </row>
    <row r="173" spans="1:24" ht="153">
      <c r="A173" s="3" t="s">
        <v>725</v>
      </c>
      <c r="B173" s="6" t="s">
        <v>361</v>
      </c>
      <c r="C173" s="6" t="s">
        <v>254</v>
      </c>
      <c r="D173" s="6" t="s">
        <v>255</v>
      </c>
      <c r="E173" s="3" t="s">
        <v>257</v>
      </c>
      <c r="F173" s="6" t="s">
        <v>3009</v>
      </c>
      <c r="G173" s="3" t="s">
        <v>11449</v>
      </c>
      <c r="H173" s="54">
        <v>0.64</v>
      </c>
      <c r="I173" s="16">
        <v>470000000</v>
      </c>
      <c r="J173" s="157" t="s">
        <v>229</v>
      </c>
      <c r="K173" s="5" t="s">
        <v>214</v>
      </c>
      <c r="L173" s="6" t="s">
        <v>232</v>
      </c>
      <c r="M173" s="3" t="s">
        <v>230</v>
      </c>
      <c r="N173" s="6" t="s">
        <v>7669</v>
      </c>
      <c r="O173" s="6" t="s">
        <v>233</v>
      </c>
      <c r="P173" s="58" t="s">
        <v>237</v>
      </c>
      <c r="Q173" s="6" t="s">
        <v>238</v>
      </c>
      <c r="R173" s="1">
        <v>20</v>
      </c>
      <c r="S173" s="2">
        <v>32043</v>
      </c>
      <c r="T173" s="4">
        <v>0</v>
      </c>
      <c r="U173" s="4">
        <f t="shared" si="4"/>
        <v>0</v>
      </c>
      <c r="V173" s="3" t="s">
        <v>362</v>
      </c>
      <c r="W173" s="3">
        <v>2014</v>
      </c>
      <c r="X173" s="3">
        <v>11</v>
      </c>
    </row>
    <row r="174" spans="1:24" ht="153">
      <c r="A174" s="3" t="s">
        <v>12088</v>
      </c>
      <c r="B174" s="6" t="s">
        <v>361</v>
      </c>
      <c r="C174" s="6" t="s">
        <v>254</v>
      </c>
      <c r="D174" s="6" t="s">
        <v>255</v>
      </c>
      <c r="E174" s="3" t="s">
        <v>257</v>
      </c>
      <c r="F174" s="6" t="s">
        <v>3009</v>
      </c>
      <c r="G174" s="3" t="s">
        <v>11449</v>
      </c>
      <c r="H174" s="54">
        <v>0.64</v>
      </c>
      <c r="I174" s="16">
        <v>470000000</v>
      </c>
      <c r="J174" s="157" t="s">
        <v>229</v>
      </c>
      <c r="K174" s="5" t="s">
        <v>12089</v>
      </c>
      <c r="L174" s="6" t="s">
        <v>232</v>
      </c>
      <c r="M174" s="3" t="s">
        <v>230</v>
      </c>
      <c r="N174" s="6" t="s">
        <v>7669</v>
      </c>
      <c r="O174" s="6" t="s">
        <v>233</v>
      </c>
      <c r="P174" s="58" t="s">
        <v>237</v>
      </c>
      <c r="Q174" s="6" t="s">
        <v>238</v>
      </c>
      <c r="R174" s="1">
        <v>20</v>
      </c>
      <c r="S174" s="2">
        <v>32043</v>
      </c>
      <c r="T174" s="4">
        <v>0</v>
      </c>
      <c r="U174" s="4">
        <f t="shared" si="4"/>
        <v>0</v>
      </c>
      <c r="V174" s="3" t="s">
        <v>362</v>
      </c>
      <c r="W174" s="3">
        <v>2014</v>
      </c>
      <c r="X174" s="3" t="s">
        <v>12062</v>
      </c>
    </row>
    <row r="175" spans="1:24" ht="153">
      <c r="A175" s="3" t="s">
        <v>14389</v>
      </c>
      <c r="B175" s="6" t="s">
        <v>361</v>
      </c>
      <c r="C175" s="6" t="s">
        <v>254</v>
      </c>
      <c r="D175" s="6" t="s">
        <v>255</v>
      </c>
      <c r="E175" s="3" t="s">
        <v>257</v>
      </c>
      <c r="F175" s="6" t="s">
        <v>3009</v>
      </c>
      <c r="G175" s="3" t="s">
        <v>11449</v>
      </c>
      <c r="H175" s="54">
        <v>0.64</v>
      </c>
      <c r="I175" s="16">
        <v>470000000</v>
      </c>
      <c r="J175" s="157" t="s">
        <v>229</v>
      </c>
      <c r="K175" s="5" t="s">
        <v>12089</v>
      </c>
      <c r="L175" s="6" t="s">
        <v>232</v>
      </c>
      <c r="M175" s="3" t="s">
        <v>230</v>
      </c>
      <c r="N175" s="6" t="s">
        <v>7669</v>
      </c>
      <c r="O175" s="6" t="s">
        <v>233</v>
      </c>
      <c r="P175" s="58" t="s">
        <v>237</v>
      </c>
      <c r="Q175" s="6" t="s">
        <v>238</v>
      </c>
      <c r="R175" s="1">
        <v>15</v>
      </c>
      <c r="S175" s="2">
        <v>32043</v>
      </c>
      <c r="T175" s="4">
        <v>0</v>
      </c>
      <c r="U175" s="4">
        <f t="shared" si="4"/>
        <v>0</v>
      </c>
      <c r="V175" s="3" t="s">
        <v>362</v>
      </c>
      <c r="W175" s="3">
        <v>2014</v>
      </c>
      <c r="X175" s="3" t="s">
        <v>17347</v>
      </c>
    </row>
    <row r="176" spans="1:24" ht="153">
      <c r="A176" s="3" t="s">
        <v>17355</v>
      </c>
      <c r="B176" s="6" t="s">
        <v>361</v>
      </c>
      <c r="C176" s="6" t="s">
        <v>254</v>
      </c>
      <c r="D176" s="6" t="s">
        <v>255</v>
      </c>
      <c r="E176" s="6" t="s">
        <v>257</v>
      </c>
      <c r="F176" s="6" t="s">
        <v>3009</v>
      </c>
      <c r="G176" s="3" t="s">
        <v>11449</v>
      </c>
      <c r="H176" s="54">
        <v>0.64</v>
      </c>
      <c r="I176" s="16">
        <v>470000000</v>
      </c>
      <c r="J176" s="157" t="s">
        <v>229</v>
      </c>
      <c r="K176" s="5" t="s">
        <v>212</v>
      </c>
      <c r="L176" s="6" t="s">
        <v>12251</v>
      </c>
      <c r="M176" s="3" t="s">
        <v>12250</v>
      </c>
      <c r="N176" s="6" t="s">
        <v>7669</v>
      </c>
      <c r="O176" s="6" t="s">
        <v>233</v>
      </c>
      <c r="P176" s="58" t="s">
        <v>237</v>
      </c>
      <c r="Q176" s="6" t="s">
        <v>238</v>
      </c>
      <c r="R176" s="1">
        <v>75</v>
      </c>
      <c r="S176" s="2">
        <v>32043</v>
      </c>
      <c r="T176" s="4">
        <v>0</v>
      </c>
      <c r="U176" s="4">
        <f t="shared" si="4"/>
        <v>0</v>
      </c>
      <c r="V176" s="3" t="s">
        <v>362</v>
      </c>
      <c r="W176" s="3">
        <v>2014</v>
      </c>
      <c r="X176" s="3" t="s">
        <v>12062</v>
      </c>
    </row>
    <row r="177" spans="1:24" ht="153">
      <c r="A177" s="3" t="s">
        <v>18739</v>
      </c>
      <c r="B177" s="6" t="s">
        <v>361</v>
      </c>
      <c r="C177" s="6" t="s">
        <v>254</v>
      </c>
      <c r="D177" s="6" t="s">
        <v>255</v>
      </c>
      <c r="E177" s="6" t="s">
        <v>257</v>
      </c>
      <c r="F177" s="6" t="s">
        <v>3009</v>
      </c>
      <c r="G177" s="3" t="s">
        <v>11449</v>
      </c>
      <c r="H177" s="54">
        <v>0.64</v>
      </c>
      <c r="I177" s="16">
        <v>470000000</v>
      </c>
      <c r="J177" s="157" t="s">
        <v>229</v>
      </c>
      <c r="K177" s="5" t="s">
        <v>212</v>
      </c>
      <c r="L177" s="6" t="s">
        <v>12251</v>
      </c>
      <c r="M177" s="3" t="s">
        <v>12250</v>
      </c>
      <c r="N177" s="6" t="s">
        <v>7669</v>
      </c>
      <c r="O177" s="6" t="s">
        <v>233</v>
      </c>
      <c r="P177" s="58" t="s">
        <v>237</v>
      </c>
      <c r="Q177" s="6" t="s">
        <v>238</v>
      </c>
      <c r="R177" s="1">
        <v>15</v>
      </c>
      <c r="S177" s="2">
        <v>32043</v>
      </c>
      <c r="T177" s="4">
        <f>R177*S177</f>
        <v>480645</v>
      </c>
      <c r="U177" s="4">
        <f t="shared" si="4"/>
        <v>538322.4</v>
      </c>
      <c r="V177" s="3" t="s">
        <v>362</v>
      </c>
      <c r="W177" s="3">
        <v>2014</v>
      </c>
      <c r="X177" s="3"/>
    </row>
    <row r="178" spans="1:24" ht="153">
      <c r="A178" s="3" t="s">
        <v>726</v>
      </c>
      <c r="B178" s="6" t="s">
        <v>361</v>
      </c>
      <c r="C178" s="6" t="s">
        <v>254</v>
      </c>
      <c r="D178" s="6" t="s">
        <v>255</v>
      </c>
      <c r="E178" s="3" t="s">
        <v>257</v>
      </c>
      <c r="F178" s="6" t="s">
        <v>3010</v>
      </c>
      <c r="G178" s="3" t="s">
        <v>11449</v>
      </c>
      <c r="H178" s="54">
        <v>0.64</v>
      </c>
      <c r="I178" s="16">
        <v>470000000</v>
      </c>
      <c r="J178" s="157" t="s">
        <v>229</v>
      </c>
      <c r="K178" s="5" t="s">
        <v>214</v>
      </c>
      <c r="L178" s="6" t="s">
        <v>232</v>
      </c>
      <c r="M178" s="3" t="s">
        <v>230</v>
      </c>
      <c r="N178" s="6" t="s">
        <v>7669</v>
      </c>
      <c r="O178" s="6" t="s">
        <v>233</v>
      </c>
      <c r="P178" s="58" t="s">
        <v>237</v>
      </c>
      <c r="Q178" s="6" t="s">
        <v>238</v>
      </c>
      <c r="R178" s="1">
        <v>358</v>
      </c>
      <c r="S178" s="2">
        <v>15706</v>
      </c>
      <c r="T178" s="4">
        <v>0</v>
      </c>
      <c r="U178" s="4">
        <f t="shared" si="4"/>
        <v>0</v>
      </c>
      <c r="V178" s="3" t="s">
        <v>362</v>
      </c>
      <c r="W178" s="3">
        <v>2014</v>
      </c>
      <c r="X178" s="3">
        <v>11</v>
      </c>
    </row>
    <row r="179" spans="1:24" ht="153">
      <c r="A179" s="3" t="s">
        <v>12090</v>
      </c>
      <c r="B179" s="6" t="s">
        <v>361</v>
      </c>
      <c r="C179" s="6" t="s">
        <v>254</v>
      </c>
      <c r="D179" s="6" t="s">
        <v>255</v>
      </c>
      <c r="E179" s="3" t="s">
        <v>257</v>
      </c>
      <c r="F179" s="6" t="s">
        <v>3010</v>
      </c>
      <c r="G179" s="3" t="s">
        <v>11449</v>
      </c>
      <c r="H179" s="54">
        <v>0.64</v>
      </c>
      <c r="I179" s="16">
        <v>470000000</v>
      </c>
      <c r="J179" s="157" t="s">
        <v>229</v>
      </c>
      <c r="K179" s="5" t="s">
        <v>12083</v>
      </c>
      <c r="L179" s="6" t="s">
        <v>232</v>
      </c>
      <c r="M179" s="3" t="s">
        <v>230</v>
      </c>
      <c r="N179" s="6" t="s">
        <v>7669</v>
      </c>
      <c r="O179" s="6" t="s">
        <v>233</v>
      </c>
      <c r="P179" s="58" t="s">
        <v>237</v>
      </c>
      <c r="Q179" s="6" t="s">
        <v>238</v>
      </c>
      <c r="R179" s="1">
        <v>358</v>
      </c>
      <c r="S179" s="2">
        <v>15706</v>
      </c>
      <c r="T179" s="4">
        <v>0</v>
      </c>
      <c r="U179" s="4">
        <f t="shared" si="4"/>
        <v>0</v>
      </c>
      <c r="V179" s="3" t="s">
        <v>362</v>
      </c>
      <c r="W179" s="3">
        <v>2014</v>
      </c>
      <c r="X179" s="3" t="s">
        <v>14132</v>
      </c>
    </row>
    <row r="180" spans="1:24" ht="153">
      <c r="A180" s="3" t="s">
        <v>14390</v>
      </c>
      <c r="B180" s="6" t="s">
        <v>361</v>
      </c>
      <c r="C180" s="6" t="s">
        <v>254</v>
      </c>
      <c r="D180" s="6" t="s">
        <v>255</v>
      </c>
      <c r="E180" s="3" t="s">
        <v>257</v>
      </c>
      <c r="F180" s="6" t="s">
        <v>3010</v>
      </c>
      <c r="G180" s="3" t="s">
        <v>11449</v>
      </c>
      <c r="H180" s="54">
        <v>0.64</v>
      </c>
      <c r="I180" s="16">
        <v>470000000</v>
      </c>
      <c r="J180" s="157" t="s">
        <v>229</v>
      </c>
      <c r="K180" s="5" t="s">
        <v>12083</v>
      </c>
      <c r="L180" s="6" t="s">
        <v>232</v>
      </c>
      <c r="M180" s="3" t="s">
        <v>230</v>
      </c>
      <c r="N180" s="6" t="s">
        <v>7669</v>
      </c>
      <c r="O180" s="6" t="s">
        <v>233</v>
      </c>
      <c r="P180" s="58" t="s">
        <v>237</v>
      </c>
      <c r="Q180" s="6" t="s">
        <v>238</v>
      </c>
      <c r="R180" s="1">
        <v>271</v>
      </c>
      <c r="S180" s="2">
        <v>15479.97</v>
      </c>
      <c r="T180" s="4">
        <v>0</v>
      </c>
      <c r="U180" s="4">
        <f t="shared" si="4"/>
        <v>0</v>
      </c>
      <c r="V180" s="3" t="s">
        <v>362</v>
      </c>
      <c r="W180" s="3">
        <v>2014</v>
      </c>
      <c r="X180" s="3" t="s">
        <v>17354</v>
      </c>
    </row>
    <row r="181" spans="1:24" ht="153">
      <c r="A181" s="3" t="s">
        <v>17356</v>
      </c>
      <c r="B181" s="6" t="s">
        <v>361</v>
      </c>
      <c r="C181" s="6" t="s">
        <v>254</v>
      </c>
      <c r="D181" s="6" t="s">
        <v>255</v>
      </c>
      <c r="E181" s="3" t="s">
        <v>257</v>
      </c>
      <c r="F181" s="6" t="s">
        <v>3010</v>
      </c>
      <c r="G181" s="3" t="s">
        <v>11449</v>
      </c>
      <c r="H181" s="54">
        <v>0.64</v>
      </c>
      <c r="I181" s="16">
        <v>470000000</v>
      </c>
      <c r="J181" s="157" t="s">
        <v>229</v>
      </c>
      <c r="K181" s="5" t="s">
        <v>212</v>
      </c>
      <c r="L181" s="6" t="s">
        <v>12251</v>
      </c>
      <c r="M181" s="3" t="s">
        <v>12250</v>
      </c>
      <c r="N181" s="6" t="s">
        <v>7669</v>
      </c>
      <c r="O181" s="6" t="s">
        <v>233</v>
      </c>
      <c r="P181" s="58" t="s">
        <v>237</v>
      </c>
      <c r="Q181" s="6" t="s">
        <v>238</v>
      </c>
      <c r="R181" s="1">
        <v>271</v>
      </c>
      <c r="S181" s="2">
        <v>15706</v>
      </c>
      <c r="T181" s="4">
        <f>R181*S181</f>
        <v>4256326</v>
      </c>
      <c r="U181" s="4">
        <f t="shared" si="4"/>
        <v>4767085.12</v>
      </c>
      <c r="V181" s="3" t="s">
        <v>362</v>
      </c>
      <c r="W181" s="3">
        <v>2014</v>
      </c>
      <c r="X181" s="3"/>
    </row>
    <row r="182" spans="1:24" ht="153">
      <c r="A182" s="3" t="s">
        <v>727</v>
      </c>
      <c r="B182" s="6" t="s">
        <v>361</v>
      </c>
      <c r="C182" s="6" t="s">
        <v>254</v>
      </c>
      <c r="D182" s="6" t="s">
        <v>255</v>
      </c>
      <c r="E182" s="3" t="s">
        <v>257</v>
      </c>
      <c r="F182" s="6" t="s">
        <v>3011</v>
      </c>
      <c r="G182" s="3" t="s">
        <v>11449</v>
      </c>
      <c r="H182" s="54">
        <v>0.64</v>
      </c>
      <c r="I182" s="16">
        <v>470000000</v>
      </c>
      <c r="J182" s="157" t="s">
        <v>229</v>
      </c>
      <c r="K182" s="5" t="s">
        <v>214</v>
      </c>
      <c r="L182" s="6" t="s">
        <v>232</v>
      </c>
      <c r="M182" s="3" t="s">
        <v>230</v>
      </c>
      <c r="N182" s="6" t="s">
        <v>7669</v>
      </c>
      <c r="O182" s="6" t="s">
        <v>233</v>
      </c>
      <c r="P182" s="58" t="s">
        <v>237</v>
      </c>
      <c r="Q182" s="6" t="s">
        <v>238</v>
      </c>
      <c r="R182" s="1">
        <v>1320</v>
      </c>
      <c r="S182" s="2">
        <v>11708</v>
      </c>
      <c r="T182" s="4">
        <v>0</v>
      </c>
      <c r="U182" s="4">
        <f t="shared" si="4"/>
        <v>0</v>
      </c>
      <c r="V182" s="3" t="s">
        <v>362</v>
      </c>
      <c r="W182" s="3">
        <v>2014</v>
      </c>
      <c r="X182" s="3">
        <v>11</v>
      </c>
    </row>
    <row r="183" spans="1:24" ht="153">
      <c r="A183" s="3" t="s">
        <v>12091</v>
      </c>
      <c r="B183" s="6" t="s">
        <v>361</v>
      </c>
      <c r="C183" s="6" t="s">
        <v>254</v>
      </c>
      <c r="D183" s="6" t="s">
        <v>255</v>
      </c>
      <c r="E183" s="3" t="s">
        <v>257</v>
      </c>
      <c r="F183" s="6" t="s">
        <v>3011</v>
      </c>
      <c r="G183" s="3" t="s">
        <v>11449</v>
      </c>
      <c r="H183" s="54">
        <v>0.64</v>
      </c>
      <c r="I183" s="16">
        <v>470000000</v>
      </c>
      <c r="J183" s="157" t="s">
        <v>229</v>
      </c>
      <c r="K183" s="5" t="s">
        <v>12083</v>
      </c>
      <c r="L183" s="6" t="s">
        <v>232</v>
      </c>
      <c r="M183" s="3" t="s">
        <v>230</v>
      </c>
      <c r="N183" s="6" t="s">
        <v>7669</v>
      </c>
      <c r="O183" s="6" t="s">
        <v>233</v>
      </c>
      <c r="P183" s="58" t="s">
        <v>237</v>
      </c>
      <c r="Q183" s="6" t="s">
        <v>238</v>
      </c>
      <c r="R183" s="1">
        <v>1320</v>
      </c>
      <c r="S183" s="2">
        <v>11708</v>
      </c>
      <c r="T183" s="4">
        <v>0</v>
      </c>
      <c r="U183" s="4">
        <f t="shared" si="4"/>
        <v>0</v>
      </c>
      <c r="V183" s="3" t="s">
        <v>362</v>
      </c>
      <c r="W183" s="3">
        <v>2014</v>
      </c>
      <c r="X183" s="3" t="s">
        <v>12062</v>
      </c>
    </row>
    <row r="184" spans="1:24" ht="153">
      <c r="A184" s="3" t="s">
        <v>14391</v>
      </c>
      <c r="B184" s="6" t="s">
        <v>361</v>
      </c>
      <c r="C184" s="6" t="s">
        <v>254</v>
      </c>
      <c r="D184" s="6" t="s">
        <v>255</v>
      </c>
      <c r="E184" s="3" t="s">
        <v>257</v>
      </c>
      <c r="F184" s="6" t="s">
        <v>3011</v>
      </c>
      <c r="G184" s="3" t="s">
        <v>11449</v>
      </c>
      <c r="H184" s="54">
        <v>0.64</v>
      </c>
      <c r="I184" s="16">
        <v>470000000</v>
      </c>
      <c r="J184" s="157" t="s">
        <v>229</v>
      </c>
      <c r="K184" s="5" t="s">
        <v>12083</v>
      </c>
      <c r="L184" s="6" t="s">
        <v>232</v>
      </c>
      <c r="M184" s="3" t="s">
        <v>230</v>
      </c>
      <c r="N184" s="6" t="s">
        <v>7669</v>
      </c>
      <c r="O184" s="6" t="s">
        <v>233</v>
      </c>
      <c r="P184" s="58" t="s">
        <v>237</v>
      </c>
      <c r="Q184" s="6" t="s">
        <v>238</v>
      </c>
      <c r="R184" s="1">
        <v>250</v>
      </c>
      <c r="S184" s="2">
        <v>11708</v>
      </c>
      <c r="T184" s="4">
        <v>0</v>
      </c>
      <c r="U184" s="4">
        <f t="shared" si="4"/>
        <v>0</v>
      </c>
      <c r="V184" s="3" t="s">
        <v>362</v>
      </c>
      <c r="W184" s="3">
        <v>2014</v>
      </c>
      <c r="X184" s="3" t="s">
        <v>12313</v>
      </c>
    </row>
    <row r="185" spans="1:24" ht="153">
      <c r="A185" s="3" t="s">
        <v>17357</v>
      </c>
      <c r="B185" s="6" t="s">
        <v>361</v>
      </c>
      <c r="C185" s="6" t="s">
        <v>254</v>
      </c>
      <c r="D185" s="6" t="s">
        <v>255</v>
      </c>
      <c r="E185" s="3" t="s">
        <v>257</v>
      </c>
      <c r="F185" s="6" t="s">
        <v>3011</v>
      </c>
      <c r="G185" s="3" t="s">
        <v>11449</v>
      </c>
      <c r="H185" s="54">
        <v>0.64</v>
      </c>
      <c r="I185" s="16">
        <v>470000000</v>
      </c>
      <c r="J185" s="157" t="s">
        <v>229</v>
      </c>
      <c r="K185" s="5" t="s">
        <v>212</v>
      </c>
      <c r="L185" s="6" t="s">
        <v>12251</v>
      </c>
      <c r="M185" s="3" t="s">
        <v>12250</v>
      </c>
      <c r="N185" s="6" t="s">
        <v>7669</v>
      </c>
      <c r="O185" s="6" t="s">
        <v>233</v>
      </c>
      <c r="P185" s="58" t="s">
        <v>237</v>
      </c>
      <c r="Q185" s="6" t="s">
        <v>238</v>
      </c>
      <c r="R185" s="1">
        <v>250</v>
      </c>
      <c r="S185" s="2">
        <v>11708</v>
      </c>
      <c r="T185" s="4">
        <v>0</v>
      </c>
      <c r="U185" s="4">
        <f t="shared" si="4"/>
        <v>0</v>
      </c>
      <c r="V185" s="3" t="s">
        <v>362</v>
      </c>
      <c r="W185" s="3">
        <v>2014</v>
      </c>
      <c r="X185" s="3" t="s">
        <v>12062</v>
      </c>
    </row>
    <row r="186" spans="1:24" ht="153">
      <c r="A186" s="3" t="s">
        <v>18419</v>
      </c>
      <c r="B186" s="6" t="s">
        <v>361</v>
      </c>
      <c r="C186" s="6" t="s">
        <v>254</v>
      </c>
      <c r="D186" s="6" t="s">
        <v>255</v>
      </c>
      <c r="E186" s="6" t="s">
        <v>257</v>
      </c>
      <c r="F186" s="6" t="s">
        <v>3011</v>
      </c>
      <c r="G186" s="3" t="s">
        <v>11449</v>
      </c>
      <c r="H186" s="54">
        <v>0.64</v>
      </c>
      <c r="I186" s="16">
        <v>470000000</v>
      </c>
      <c r="J186" s="157" t="s">
        <v>229</v>
      </c>
      <c r="K186" s="5" t="s">
        <v>212</v>
      </c>
      <c r="L186" s="6" t="s">
        <v>12251</v>
      </c>
      <c r="M186" s="3" t="s">
        <v>12250</v>
      </c>
      <c r="N186" s="6" t="s">
        <v>7669</v>
      </c>
      <c r="O186" s="6" t="s">
        <v>233</v>
      </c>
      <c r="P186" s="58" t="s">
        <v>237</v>
      </c>
      <c r="Q186" s="6" t="s">
        <v>238</v>
      </c>
      <c r="R186" s="1">
        <v>450</v>
      </c>
      <c r="S186" s="2">
        <v>11708</v>
      </c>
      <c r="T186" s="4">
        <v>0</v>
      </c>
      <c r="U186" s="4">
        <f t="shared" si="4"/>
        <v>0</v>
      </c>
      <c r="V186" s="3" t="s">
        <v>362</v>
      </c>
      <c r="W186" s="3">
        <v>2014</v>
      </c>
      <c r="X186" s="3" t="s">
        <v>14132</v>
      </c>
    </row>
    <row r="187" spans="1:24" ht="153">
      <c r="A187" s="3" t="s">
        <v>18740</v>
      </c>
      <c r="B187" s="6" t="s">
        <v>361</v>
      </c>
      <c r="C187" s="6" t="s">
        <v>254</v>
      </c>
      <c r="D187" s="6" t="s">
        <v>255</v>
      </c>
      <c r="E187" s="6" t="s">
        <v>257</v>
      </c>
      <c r="F187" s="6" t="s">
        <v>3011</v>
      </c>
      <c r="G187" s="3" t="s">
        <v>11449</v>
      </c>
      <c r="H187" s="54">
        <v>0.64</v>
      </c>
      <c r="I187" s="16">
        <v>470000000</v>
      </c>
      <c r="J187" s="157" t="s">
        <v>229</v>
      </c>
      <c r="K187" s="5" t="s">
        <v>212</v>
      </c>
      <c r="L187" s="6" t="s">
        <v>12251</v>
      </c>
      <c r="M187" s="3" t="s">
        <v>12250</v>
      </c>
      <c r="N187" s="6" t="s">
        <v>7669</v>
      </c>
      <c r="O187" s="6" t="s">
        <v>233</v>
      </c>
      <c r="P187" s="58" t="s">
        <v>237</v>
      </c>
      <c r="Q187" s="6" t="s">
        <v>238</v>
      </c>
      <c r="R187" s="1">
        <v>250</v>
      </c>
      <c r="S187" s="2">
        <v>11356.76</v>
      </c>
      <c r="T187" s="4">
        <f>R187*S187</f>
        <v>2839190</v>
      </c>
      <c r="U187" s="4">
        <f t="shared" si="4"/>
        <v>3179892.8000000003</v>
      </c>
      <c r="V187" s="3" t="s">
        <v>362</v>
      </c>
      <c r="W187" s="3">
        <v>2014</v>
      </c>
      <c r="X187" s="3"/>
    </row>
    <row r="188" spans="1:24" ht="153">
      <c r="A188" s="3" t="s">
        <v>728</v>
      </c>
      <c r="B188" s="6" t="s">
        <v>361</v>
      </c>
      <c r="C188" s="6" t="s">
        <v>254</v>
      </c>
      <c r="D188" s="6" t="s">
        <v>255</v>
      </c>
      <c r="E188" s="3" t="s">
        <v>257</v>
      </c>
      <c r="F188" s="6" t="s">
        <v>3012</v>
      </c>
      <c r="G188" s="3" t="s">
        <v>11449</v>
      </c>
      <c r="H188" s="54">
        <v>0.64</v>
      </c>
      <c r="I188" s="16">
        <v>470000000</v>
      </c>
      <c r="J188" s="157" t="s">
        <v>229</v>
      </c>
      <c r="K188" s="5" t="s">
        <v>214</v>
      </c>
      <c r="L188" s="6" t="s">
        <v>232</v>
      </c>
      <c r="M188" s="3" t="s">
        <v>230</v>
      </c>
      <c r="N188" s="6" t="s">
        <v>7685</v>
      </c>
      <c r="O188" s="6" t="s">
        <v>233</v>
      </c>
      <c r="P188" s="58" t="s">
        <v>237</v>
      </c>
      <c r="Q188" s="6" t="s">
        <v>238</v>
      </c>
      <c r="R188" s="1">
        <v>10500</v>
      </c>
      <c r="S188" s="2">
        <v>9039</v>
      </c>
      <c r="T188" s="4">
        <v>0</v>
      </c>
      <c r="U188" s="4">
        <f t="shared" si="4"/>
        <v>0</v>
      </c>
      <c r="V188" s="3" t="s">
        <v>362</v>
      </c>
      <c r="W188" s="3">
        <v>2014</v>
      </c>
      <c r="X188" s="3">
        <v>11</v>
      </c>
    </row>
    <row r="189" spans="1:24" ht="153">
      <c r="A189" s="3" t="s">
        <v>12092</v>
      </c>
      <c r="B189" s="6" t="s">
        <v>361</v>
      </c>
      <c r="C189" s="6" t="s">
        <v>254</v>
      </c>
      <c r="D189" s="6" t="s">
        <v>255</v>
      </c>
      <c r="E189" s="3" t="s">
        <v>257</v>
      </c>
      <c r="F189" s="6" t="s">
        <v>3012</v>
      </c>
      <c r="G189" s="3" t="s">
        <v>11449</v>
      </c>
      <c r="H189" s="54">
        <v>0.64</v>
      </c>
      <c r="I189" s="16">
        <v>470000000</v>
      </c>
      <c r="J189" s="157" t="s">
        <v>229</v>
      </c>
      <c r="K189" s="5" t="s">
        <v>12083</v>
      </c>
      <c r="L189" s="6" t="s">
        <v>232</v>
      </c>
      <c r="M189" s="3" t="s">
        <v>230</v>
      </c>
      <c r="N189" s="6" t="s">
        <v>7685</v>
      </c>
      <c r="O189" s="6" t="s">
        <v>233</v>
      </c>
      <c r="P189" s="58" t="s">
        <v>237</v>
      </c>
      <c r="Q189" s="6" t="s">
        <v>238</v>
      </c>
      <c r="R189" s="1">
        <v>10500</v>
      </c>
      <c r="S189" s="2">
        <v>9039</v>
      </c>
      <c r="T189" s="4">
        <v>0</v>
      </c>
      <c r="U189" s="4">
        <f t="shared" si="4"/>
        <v>0</v>
      </c>
      <c r="V189" s="3" t="s">
        <v>362</v>
      </c>
      <c r="W189" s="3">
        <v>2014</v>
      </c>
      <c r="X189" s="3" t="s">
        <v>14780</v>
      </c>
    </row>
    <row r="190" spans="1:24" ht="153">
      <c r="A190" s="3" t="s">
        <v>14392</v>
      </c>
      <c r="B190" s="6" t="s">
        <v>361</v>
      </c>
      <c r="C190" s="6" t="s">
        <v>254</v>
      </c>
      <c r="D190" s="6" t="s">
        <v>255</v>
      </c>
      <c r="E190" s="3" t="s">
        <v>257</v>
      </c>
      <c r="F190" s="6" t="s">
        <v>3012</v>
      </c>
      <c r="G190" s="3" t="s">
        <v>11449</v>
      </c>
      <c r="H190" s="54">
        <v>0.64</v>
      </c>
      <c r="I190" s="16">
        <v>470000000</v>
      </c>
      <c r="J190" s="157" t="s">
        <v>229</v>
      </c>
      <c r="K190" s="5" t="s">
        <v>14954</v>
      </c>
      <c r="L190" s="6" t="s">
        <v>232</v>
      </c>
      <c r="M190" s="3" t="s">
        <v>230</v>
      </c>
      <c r="N190" s="6" t="s">
        <v>7685</v>
      </c>
      <c r="O190" s="6" t="s">
        <v>233</v>
      </c>
      <c r="P190" s="58" t="s">
        <v>237</v>
      </c>
      <c r="Q190" s="6" t="s">
        <v>238</v>
      </c>
      <c r="R190" s="1">
        <v>10342.790000000001</v>
      </c>
      <c r="S190" s="2">
        <v>9039</v>
      </c>
      <c r="T190" s="4">
        <v>0</v>
      </c>
      <c r="U190" s="4">
        <f t="shared" si="4"/>
        <v>0</v>
      </c>
      <c r="V190" s="3" t="s">
        <v>362</v>
      </c>
      <c r="W190" s="3">
        <v>2014</v>
      </c>
      <c r="X190" s="3" t="s">
        <v>17347</v>
      </c>
    </row>
    <row r="191" spans="1:24" ht="153">
      <c r="A191" s="3" t="s">
        <v>17358</v>
      </c>
      <c r="B191" s="6" t="s">
        <v>361</v>
      </c>
      <c r="C191" s="6" t="s">
        <v>254</v>
      </c>
      <c r="D191" s="6" t="s">
        <v>255</v>
      </c>
      <c r="E191" s="6" t="s">
        <v>257</v>
      </c>
      <c r="F191" s="6" t="s">
        <v>3012</v>
      </c>
      <c r="G191" s="3" t="s">
        <v>11449</v>
      </c>
      <c r="H191" s="54">
        <v>0.64</v>
      </c>
      <c r="I191" s="16">
        <v>470000000</v>
      </c>
      <c r="J191" s="157" t="s">
        <v>229</v>
      </c>
      <c r="K191" s="5" t="s">
        <v>212</v>
      </c>
      <c r="L191" s="6" t="s">
        <v>12251</v>
      </c>
      <c r="M191" s="3" t="s">
        <v>12250</v>
      </c>
      <c r="N191" s="6" t="s">
        <v>7685</v>
      </c>
      <c r="O191" s="6" t="s">
        <v>233</v>
      </c>
      <c r="P191" s="58" t="s">
        <v>237</v>
      </c>
      <c r="Q191" s="6" t="s">
        <v>238</v>
      </c>
      <c r="R191" s="1">
        <v>12592.776901199999</v>
      </c>
      <c r="S191" s="2">
        <v>9039</v>
      </c>
      <c r="T191" s="4">
        <v>0</v>
      </c>
      <c r="U191" s="4">
        <f t="shared" si="4"/>
        <v>0</v>
      </c>
      <c r="V191" s="3" t="s">
        <v>362</v>
      </c>
      <c r="W191" s="3">
        <v>2014</v>
      </c>
      <c r="X191" s="3" t="s">
        <v>12062</v>
      </c>
    </row>
    <row r="192" spans="1:24" ht="153">
      <c r="A192" s="3" t="s">
        <v>18741</v>
      </c>
      <c r="B192" s="6" t="s">
        <v>361</v>
      </c>
      <c r="C192" s="6" t="s">
        <v>254</v>
      </c>
      <c r="D192" s="6" t="s">
        <v>255</v>
      </c>
      <c r="E192" s="6" t="s">
        <v>257</v>
      </c>
      <c r="F192" s="6" t="s">
        <v>3012</v>
      </c>
      <c r="G192" s="3" t="s">
        <v>11449</v>
      </c>
      <c r="H192" s="54">
        <v>0.64</v>
      </c>
      <c r="I192" s="16">
        <v>470000000</v>
      </c>
      <c r="J192" s="157" t="s">
        <v>229</v>
      </c>
      <c r="K192" s="5" t="s">
        <v>212</v>
      </c>
      <c r="L192" s="6" t="s">
        <v>12251</v>
      </c>
      <c r="M192" s="3" t="s">
        <v>12250</v>
      </c>
      <c r="N192" s="6" t="s">
        <v>7685</v>
      </c>
      <c r="O192" s="6" t="s">
        <v>233</v>
      </c>
      <c r="P192" s="58" t="s">
        <v>237</v>
      </c>
      <c r="Q192" s="6" t="s">
        <v>238</v>
      </c>
      <c r="R192" s="1">
        <v>8000.0000012</v>
      </c>
      <c r="S192" s="2">
        <v>9039</v>
      </c>
      <c r="T192" s="4">
        <f>R192*S192</f>
        <v>72312000.010846794</v>
      </c>
      <c r="U192" s="4">
        <f t="shared" si="4"/>
        <v>80989440.01214841</v>
      </c>
      <c r="V192" s="3" t="s">
        <v>362</v>
      </c>
      <c r="W192" s="3">
        <v>2014</v>
      </c>
      <c r="X192" s="3"/>
    </row>
    <row r="193" spans="1:24" ht="114.75">
      <c r="A193" s="3" t="s">
        <v>729</v>
      </c>
      <c r="B193" s="6" t="s">
        <v>361</v>
      </c>
      <c r="C193" s="16" t="s">
        <v>3013</v>
      </c>
      <c r="D193" s="16" t="s">
        <v>3014</v>
      </c>
      <c r="E193" s="16" t="s">
        <v>3015</v>
      </c>
      <c r="F193" s="6" t="s">
        <v>46</v>
      </c>
      <c r="G193" s="3" t="s">
        <v>11449</v>
      </c>
      <c r="H193" s="54">
        <v>0.64</v>
      </c>
      <c r="I193" s="16">
        <v>470000000</v>
      </c>
      <c r="J193" s="157" t="s">
        <v>229</v>
      </c>
      <c r="K193" s="5" t="s">
        <v>210</v>
      </c>
      <c r="L193" s="6" t="s">
        <v>232</v>
      </c>
      <c r="M193" s="3" t="s">
        <v>230</v>
      </c>
      <c r="N193" s="6" t="s">
        <v>7685</v>
      </c>
      <c r="O193" s="6" t="s">
        <v>233</v>
      </c>
      <c r="P193" s="58">
        <v>796</v>
      </c>
      <c r="Q193" s="6" t="s">
        <v>234</v>
      </c>
      <c r="R193" s="19">
        <v>12</v>
      </c>
      <c r="S193" s="2">
        <v>189756</v>
      </c>
      <c r="T193" s="4">
        <v>0</v>
      </c>
      <c r="U193" s="4">
        <f t="shared" si="4"/>
        <v>0</v>
      </c>
      <c r="V193" s="3" t="s">
        <v>362</v>
      </c>
      <c r="W193" s="3">
        <v>2014</v>
      </c>
      <c r="X193" s="3">
        <v>3.5</v>
      </c>
    </row>
    <row r="194" spans="1:24" ht="114.75">
      <c r="A194" s="3" t="s">
        <v>12009</v>
      </c>
      <c r="B194" s="6" t="s">
        <v>361</v>
      </c>
      <c r="C194" s="6" t="s">
        <v>12010</v>
      </c>
      <c r="D194" s="6" t="s">
        <v>3014</v>
      </c>
      <c r="E194" s="6" t="s">
        <v>12011</v>
      </c>
      <c r="F194" s="6" t="s">
        <v>46</v>
      </c>
      <c r="G194" s="3" t="s">
        <v>11449</v>
      </c>
      <c r="H194" s="54">
        <v>0.64</v>
      </c>
      <c r="I194" s="16">
        <v>470000000</v>
      </c>
      <c r="J194" s="157" t="s">
        <v>229</v>
      </c>
      <c r="K194" s="5" t="s">
        <v>210</v>
      </c>
      <c r="L194" s="6" t="s">
        <v>232</v>
      </c>
      <c r="M194" s="3" t="s">
        <v>230</v>
      </c>
      <c r="N194" s="6" t="s">
        <v>7685</v>
      </c>
      <c r="O194" s="6" t="s">
        <v>233</v>
      </c>
      <c r="P194" s="58">
        <v>796</v>
      </c>
      <c r="Q194" s="6" t="s">
        <v>234</v>
      </c>
      <c r="R194" s="19">
        <v>12</v>
      </c>
      <c r="S194" s="2">
        <v>189756</v>
      </c>
      <c r="T194" s="4">
        <v>0</v>
      </c>
      <c r="U194" s="4">
        <f t="shared" si="4"/>
        <v>0</v>
      </c>
      <c r="V194" s="3" t="s">
        <v>362</v>
      </c>
      <c r="W194" s="3">
        <v>2014</v>
      </c>
      <c r="X194" s="3" t="s">
        <v>17354</v>
      </c>
    </row>
    <row r="195" spans="1:24" ht="89.25">
      <c r="A195" s="3" t="s">
        <v>17359</v>
      </c>
      <c r="B195" s="6" t="s">
        <v>361</v>
      </c>
      <c r="C195" s="6" t="s">
        <v>12010</v>
      </c>
      <c r="D195" s="6" t="s">
        <v>3014</v>
      </c>
      <c r="E195" s="6" t="s">
        <v>12011</v>
      </c>
      <c r="F195" s="6" t="s">
        <v>46</v>
      </c>
      <c r="G195" s="3" t="s">
        <v>11449</v>
      </c>
      <c r="H195" s="54">
        <v>0.64</v>
      </c>
      <c r="I195" s="16">
        <v>470000000</v>
      </c>
      <c r="J195" s="157" t="s">
        <v>229</v>
      </c>
      <c r="K195" s="5" t="s">
        <v>212</v>
      </c>
      <c r="L195" s="6" t="s">
        <v>12251</v>
      </c>
      <c r="M195" s="3" t="s">
        <v>12250</v>
      </c>
      <c r="N195" s="6" t="s">
        <v>7685</v>
      </c>
      <c r="O195" s="6" t="s">
        <v>233</v>
      </c>
      <c r="P195" s="58">
        <v>796</v>
      </c>
      <c r="Q195" s="6" t="s">
        <v>234</v>
      </c>
      <c r="R195" s="322">
        <v>12</v>
      </c>
      <c r="S195" s="2">
        <v>185960.88</v>
      </c>
      <c r="T195" s="4">
        <v>0</v>
      </c>
      <c r="U195" s="4">
        <f t="shared" si="4"/>
        <v>0</v>
      </c>
      <c r="V195" s="3" t="s">
        <v>362</v>
      </c>
      <c r="W195" s="3">
        <v>2014</v>
      </c>
      <c r="X195" s="3" t="s">
        <v>14780</v>
      </c>
    </row>
    <row r="196" spans="1:24" ht="89.25">
      <c r="A196" s="3" t="s">
        <v>19620</v>
      </c>
      <c r="B196" s="6" t="s">
        <v>361</v>
      </c>
      <c r="C196" s="6" t="s">
        <v>12010</v>
      </c>
      <c r="D196" s="6" t="s">
        <v>3014</v>
      </c>
      <c r="E196" s="6" t="s">
        <v>12011</v>
      </c>
      <c r="F196" s="6" t="s">
        <v>46</v>
      </c>
      <c r="G196" s="3" t="s">
        <v>11449</v>
      </c>
      <c r="H196" s="54">
        <v>0.64</v>
      </c>
      <c r="I196" s="16">
        <v>470000000</v>
      </c>
      <c r="J196" s="157" t="s">
        <v>229</v>
      </c>
      <c r="K196" s="5" t="s">
        <v>19618</v>
      </c>
      <c r="L196" s="6" t="s">
        <v>12251</v>
      </c>
      <c r="M196" s="3" t="s">
        <v>12250</v>
      </c>
      <c r="N196" s="6" t="s">
        <v>7685</v>
      </c>
      <c r="O196" s="6" t="s">
        <v>233</v>
      </c>
      <c r="P196" s="58">
        <v>796</v>
      </c>
      <c r="Q196" s="6" t="s">
        <v>234</v>
      </c>
      <c r="R196" s="322">
        <v>10</v>
      </c>
      <c r="S196" s="2">
        <v>185960.88</v>
      </c>
      <c r="T196" s="4">
        <f>R196*S196</f>
        <v>1859608.8</v>
      </c>
      <c r="U196" s="4">
        <f t="shared" si="4"/>
        <v>2082761.8560000001</v>
      </c>
      <c r="V196" s="3" t="s">
        <v>362</v>
      </c>
      <c r="W196" s="3">
        <v>2014</v>
      </c>
      <c r="X196" s="348"/>
    </row>
    <row r="197" spans="1:24" ht="114.75">
      <c r="A197" s="3" t="s">
        <v>730</v>
      </c>
      <c r="B197" s="6" t="s">
        <v>361</v>
      </c>
      <c r="C197" s="16" t="s">
        <v>7681</v>
      </c>
      <c r="D197" s="16" t="s">
        <v>3014</v>
      </c>
      <c r="E197" s="16" t="s">
        <v>7682</v>
      </c>
      <c r="F197" s="6" t="s">
        <v>47</v>
      </c>
      <c r="G197" s="3" t="s">
        <v>11449</v>
      </c>
      <c r="H197" s="54">
        <v>0.64</v>
      </c>
      <c r="I197" s="16">
        <v>470000000</v>
      </c>
      <c r="J197" s="157" t="s">
        <v>229</v>
      </c>
      <c r="K197" s="5" t="s">
        <v>210</v>
      </c>
      <c r="L197" s="6" t="s">
        <v>232</v>
      </c>
      <c r="M197" s="3" t="s">
        <v>230</v>
      </c>
      <c r="N197" s="6" t="s">
        <v>228</v>
      </c>
      <c r="O197" s="6" t="s">
        <v>233</v>
      </c>
      <c r="P197" s="58">
        <v>796</v>
      </c>
      <c r="Q197" s="6" t="s">
        <v>234</v>
      </c>
      <c r="R197" s="19">
        <v>6</v>
      </c>
      <c r="S197" s="2">
        <v>165888</v>
      </c>
      <c r="T197" s="4">
        <v>0</v>
      </c>
      <c r="U197" s="4">
        <f t="shared" si="4"/>
        <v>0</v>
      </c>
      <c r="V197" s="3" t="s">
        <v>362</v>
      </c>
      <c r="W197" s="3">
        <v>2014</v>
      </c>
      <c r="X197" s="3">
        <v>3.5</v>
      </c>
    </row>
    <row r="198" spans="1:24" ht="114.75">
      <c r="A198" s="3" t="s">
        <v>12012</v>
      </c>
      <c r="B198" s="6" t="s">
        <v>361</v>
      </c>
      <c r="C198" s="6" t="s">
        <v>12013</v>
      </c>
      <c r="D198" s="16" t="s">
        <v>3014</v>
      </c>
      <c r="E198" s="6" t="s">
        <v>12014</v>
      </c>
      <c r="F198" s="6" t="s">
        <v>47</v>
      </c>
      <c r="G198" s="3" t="s">
        <v>11449</v>
      </c>
      <c r="H198" s="54">
        <v>0.64</v>
      </c>
      <c r="I198" s="16">
        <v>470000000</v>
      </c>
      <c r="J198" s="157" t="s">
        <v>229</v>
      </c>
      <c r="K198" s="5" t="s">
        <v>210</v>
      </c>
      <c r="L198" s="6" t="s">
        <v>232</v>
      </c>
      <c r="M198" s="3" t="s">
        <v>230</v>
      </c>
      <c r="N198" s="6" t="s">
        <v>228</v>
      </c>
      <c r="O198" s="6" t="s">
        <v>233</v>
      </c>
      <c r="P198" s="58">
        <v>796</v>
      </c>
      <c r="Q198" s="6" t="s">
        <v>234</v>
      </c>
      <c r="R198" s="19">
        <v>6</v>
      </c>
      <c r="S198" s="2">
        <v>165888</v>
      </c>
      <c r="T198" s="4">
        <v>0</v>
      </c>
      <c r="U198" s="4">
        <f t="shared" si="4"/>
        <v>0</v>
      </c>
      <c r="V198" s="3" t="s">
        <v>362</v>
      </c>
      <c r="W198" s="3">
        <v>2014</v>
      </c>
      <c r="X198" s="3">
        <v>12.13</v>
      </c>
    </row>
    <row r="199" spans="1:24" ht="89.25">
      <c r="A199" s="3" t="s">
        <v>17364</v>
      </c>
      <c r="B199" s="6" t="s">
        <v>361</v>
      </c>
      <c r="C199" s="6" t="s">
        <v>12013</v>
      </c>
      <c r="D199" s="16" t="s">
        <v>3014</v>
      </c>
      <c r="E199" s="6" t="s">
        <v>12014</v>
      </c>
      <c r="F199" s="6" t="s">
        <v>47</v>
      </c>
      <c r="G199" s="3" t="s">
        <v>11449</v>
      </c>
      <c r="H199" s="54">
        <v>0.64</v>
      </c>
      <c r="I199" s="16">
        <v>470000000</v>
      </c>
      <c r="J199" s="157" t="s">
        <v>229</v>
      </c>
      <c r="K199" s="5" t="s">
        <v>210</v>
      </c>
      <c r="L199" s="6" t="s">
        <v>12251</v>
      </c>
      <c r="M199" s="3" t="s">
        <v>12250</v>
      </c>
      <c r="N199" s="6" t="s">
        <v>228</v>
      </c>
      <c r="O199" s="6" t="s">
        <v>233</v>
      </c>
      <c r="P199" s="58">
        <v>796</v>
      </c>
      <c r="Q199" s="6" t="s">
        <v>234</v>
      </c>
      <c r="R199" s="19">
        <v>6</v>
      </c>
      <c r="S199" s="2">
        <v>165888</v>
      </c>
      <c r="T199" s="4">
        <f>R199*S199</f>
        <v>995328</v>
      </c>
      <c r="U199" s="4">
        <f t="shared" si="4"/>
        <v>1114767.3600000001</v>
      </c>
      <c r="V199" s="3" t="s">
        <v>362</v>
      </c>
      <c r="W199" s="3">
        <v>2014</v>
      </c>
      <c r="X199" s="3"/>
    </row>
    <row r="200" spans="1:24" ht="114.75">
      <c r="A200" s="3" t="s">
        <v>731</v>
      </c>
      <c r="B200" s="6" t="s">
        <v>361</v>
      </c>
      <c r="C200" s="16" t="s">
        <v>7679</v>
      </c>
      <c r="D200" s="16" t="s">
        <v>3014</v>
      </c>
      <c r="E200" s="16" t="s">
        <v>7680</v>
      </c>
      <c r="F200" s="6" t="s">
        <v>48</v>
      </c>
      <c r="G200" s="3" t="s">
        <v>11449</v>
      </c>
      <c r="H200" s="54">
        <v>0.64</v>
      </c>
      <c r="I200" s="16">
        <v>470000000</v>
      </c>
      <c r="J200" s="157" t="s">
        <v>229</v>
      </c>
      <c r="K200" s="5" t="s">
        <v>214</v>
      </c>
      <c r="L200" s="6" t="s">
        <v>232</v>
      </c>
      <c r="M200" s="3" t="s">
        <v>230</v>
      </c>
      <c r="N200" s="6" t="s">
        <v>227</v>
      </c>
      <c r="O200" s="6" t="s">
        <v>233</v>
      </c>
      <c r="P200" s="58">
        <v>796</v>
      </c>
      <c r="Q200" s="6" t="s">
        <v>234</v>
      </c>
      <c r="R200" s="19">
        <v>37</v>
      </c>
      <c r="S200" s="2">
        <v>73463</v>
      </c>
      <c r="T200" s="4">
        <v>0</v>
      </c>
      <c r="U200" s="4">
        <f t="shared" ref="U200:U269" si="10">T200*1.12</f>
        <v>0</v>
      </c>
      <c r="V200" s="3" t="s">
        <v>362</v>
      </c>
      <c r="W200" s="3">
        <v>2014</v>
      </c>
      <c r="X200" s="3">
        <v>3.5</v>
      </c>
    </row>
    <row r="201" spans="1:24" ht="114.75">
      <c r="A201" s="3" t="s">
        <v>12015</v>
      </c>
      <c r="B201" s="6" t="s">
        <v>361</v>
      </c>
      <c r="C201" s="6" t="s">
        <v>12016</v>
      </c>
      <c r="D201" s="16" t="s">
        <v>3014</v>
      </c>
      <c r="E201" s="6" t="s">
        <v>12017</v>
      </c>
      <c r="F201" s="6" t="s">
        <v>48</v>
      </c>
      <c r="G201" s="3" t="s">
        <v>11449</v>
      </c>
      <c r="H201" s="54">
        <v>0.64</v>
      </c>
      <c r="I201" s="16">
        <v>470000000</v>
      </c>
      <c r="J201" s="157" t="s">
        <v>229</v>
      </c>
      <c r="K201" s="5" t="s">
        <v>214</v>
      </c>
      <c r="L201" s="6" t="s">
        <v>232</v>
      </c>
      <c r="M201" s="3" t="s">
        <v>230</v>
      </c>
      <c r="N201" s="6" t="s">
        <v>227</v>
      </c>
      <c r="O201" s="6" t="s">
        <v>233</v>
      </c>
      <c r="P201" s="58">
        <v>796</v>
      </c>
      <c r="Q201" s="6" t="s">
        <v>234</v>
      </c>
      <c r="R201" s="19">
        <v>37</v>
      </c>
      <c r="S201" s="2">
        <v>73463</v>
      </c>
      <c r="T201" s="4">
        <v>0</v>
      </c>
      <c r="U201" s="4">
        <f t="shared" si="10"/>
        <v>0</v>
      </c>
      <c r="V201" s="3" t="s">
        <v>362</v>
      </c>
      <c r="W201" s="3">
        <v>2014</v>
      </c>
      <c r="X201" s="3">
        <v>11</v>
      </c>
    </row>
    <row r="202" spans="1:24" ht="114.75">
      <c r="A202" s="3" t="s">
        <v>12093</v>
      </c>
      <c r="B202" s="6" t="s">
        <v>361</v>
      </c>
      <c r="C202" s="6" t="s">
        <v>12016</v>
      </c>
      <c r="D202" s="16" t="s">
        <v>3014</v>
      </c>
      <c r="E202" s="6" t="s">
        <v>12017</v>
      </c>
      <c r="F202" s="6" t="s">
        <v>48</v>
      </c>
      <c r="G202" s="3" t="s">
        <v>11449</v>
      </c>
      <c r="H202" s="54">
        <v>0.64</v>
      </c>
      <c r="I202" s="16">
        <v>470000000</v>
      </c>
      <c r="J202" s="157" t="s">
        <v>229</v>
      </c>
      <c r="K202" s="5" t="s">
        <v>12083</v>
      </c>
      <c r="L202" s="6" t="s">
        <v>232</v>
      </c>
      <c r="M202" s="3" t="s">
        <v>230</v>
      </c>
      <c r="N202" s="6" t="s">
        <v>227</v>
      </c>
      <c r="O202" s="6" t="s">
        <v>233</v>
      </c>
      <c r="P202" s="58">
        <v>796</v>
      </c>
      <c r="Q202" s="6" t="s">
        <v>234</v>
      </c>
      <c r="R202" s="19">
        <v>37</v>
      </c>
      <c r="S202" s="2">
        <v>73463</v>
      </c>
      <c r="T202" s="4">
        <v>0</v>
      </c>
      <c r="U202" s="4">
        <f t="shared" si="10"/>
        <v>0</v>
      </c>
      <c r="V202" s="3" t="s">
        <v>362</v>
      </c>
      <c r="W202" s="3">
        <v>2014</v>
      </c>
      <c r="X202" s="3" t="s">
        <v>12062</v>
      </c>
    </row>
    <row r="203" spans="1:24" ht="114.75">
      <c r="A203" s="3" t="s">
        <v>14393</v>
      </c>
      <c r="B203" s="6" t="s">
        <v>361</v>
      </c>
      <c r="C203" s="6" t="s">
        <v>12016</v>
      </c>
      <c r="D203" s="16" t="s">
        <v>3014</v>
      </c>
      <c r="E203" s="6" t="s">
        <v>12017</v>
      </c>
      <c r="F203" s="6" t="s">
        <v>48</v>
      </c>
      <c r="G203" s="3" t="s">
        <v>11449</v>
      </c>
      <c r="H203" s="54">
        <v>0.64</v>
      </c>
      <c r="I203" s="16">
        <v>470000000</v>
      </c>
      <c r="J203" s="157" t="s">
        <v>229</v>
      </c>
      <c r="K203" s="5" t="s">
        <v>12083</v>
      </c>
      <c r="L203" s="6" t="s">
        <v>232</v>
      </c>
      <c r="M203" s="3" t="s">
        <v>230</v>
      </c>
      <c r="N203" s="6" t="s">
        <v>227</v>
      </c>
      <c r="O203" s="6" t="s">
        <v>233</v>
      </c>
      <c r="P203" s="58">
        <v>796</v>
      </c>
      <c r="Q203" s="6" t="s">
        <v>234</v>
      </c>
      <c r="R203" s="19">
        <v>30</v>
      </c>
      <c r="S203" s="2">
        <v>73463</v>
      </c>
      <c r="T203" s="4">
        <v>0</v>
      </c>
      <c r="U203" s="4">
        <f t="shared" si="10"/>
        <v>0</v>
      </c>
      <c r="V203" s="3" t="s">
        <v>362</v>
      </c>
      <c r="W203" s="3">
        <v>2014</v>
      </c>
      <c r="X203" s="3" t="s">
        <v>17347</v>
      </c>
    </row>
    <row r="204" spans="1:24" ht="89.25">
      <c r="A204" s="3" t="s">
        <v>17369</v>
      </c>
      <c r="B204" s="6" t="s">
        <v>361</v>
      </c>
      <c r="C204" s="6" t="s">
        <v>12016</v>
      </c>
      <c r="D204" s="16" t="s">
        <v>3014</v>
      </c>
      <c r="E204" s="6" t="s">
        <v>12017</v>
      </c>
      <c r="F204" s="6" t="s">
        <v>48</v>
      </c>
      <c r="G204" s="3" t="s">
        <v>11449</v>
      </c>
      <c r="H204" s="54">
        <v>0.64</v>
      </c>
      <c r="I204" s="16">
        <v>470000000</v>
      </c>
      <c r="J204" s="157" t="s">
        <v>229</v>
      </c>
      <c r="K204" s="5" t="s">
        <v>212</v>
      </c>
      <c r="L204" s="6" t="s">
        <v>12251</v>
      </c>
      <c r="M204" s="3" t="s">
        <v>12250</v>
      </c>
      <c r="N204" s="6" t="s">
        <v>227</v>
      </c>
      <c r="O204" s="6" t="s">
        <v>233</v>
      </c>
      <c r="P204" s="58">
        <v>796</v>
      </c>
      <c r="Q204" s="6" t="s">
        <v>234</v>
      </c>
      <c r="R204" s="19">
        <v>36</v>
      </c>
      <c r="S204" s="2">
        <v>73463</v>
      </c>
      <c r="T204" s="4">
        <f>R204*S204</f>
        <v>2644668</v>
      </c>
      <c r="U204" s="4">
        <f t="shared" si="10"/>
        <v>2962028.16</v>
      </c>
      <c r="V204" s="3" t="s">
        <v>362</v>
      </c>
      <c r="W204" s="3">
        <v>2014</v>
      </c>
      <c r="X204" s="3"/>
    </row>
    <row r="205" spans="1:24" ht="114.75">
      <c r="A205" s="3" t="s">
        <v>732</v>
      </c>
      <c r="B205" s="6" t="s">
        <v>361</v>
      </c>
      <c r="C205" s="16" t="s">
        <v>7683</v>
      </c>
      <c r="D205" s="16" t="s">
        <v>3014</v>
      </c>
      <c r="E205" s="16" t="s">
        <v>7684</v>
      </c>
      <c r="F205" s="6" t="s">
        <v>49</v>
      </c>
      <c r="G205" s="3" t="s">
        <v>11449</v>
      </c>
      <c r="H205" s="54">
        <v>0.64</v>
      </c>
      <c r="I205" s="16">
        <v>470000000</v>
      </c>
      <c r="J205" s="157" t="s">
        <v>229</v>
      </c>
      <c r="K205" s="5" t="s">
        <v>214</v>
      </c>
      <c r="L205" s="6" t="s">
        <v>232</v>
      </c>
      <c r="M205" s="3" t="s">
        <v>230</v>
      </c>
      <c r="N205" s="6" t="s">
        <v>227</v>
      </c>
      <c r="O205" s="6" t="s">
        <v>233</v>
      </c>
      <c r="P205" s="58">
        <v>796</v>
      </c>
      <c r="Q205" s="6" t="s">
        <v>234</v>
      </c>
      <c r="R205" s="19">
        <v>9</v>
      </c>
      <c r="S205" s="2">
        <v>73463</v>
      </c>
      <c r="T205" s="4">
        <v>0</v>
      </c>
      <c r="U205" s="4">
        <f t="shared" si="10"/>
        <v>0</v>
      </c>
      <c r="V205" s="3" t="s">
        <v>362</v>
      </c>
      <c r="W205" s="3">
        <v>2014</v>
      </c>
      <c r="X205" s="3">
        <v>3.5</v>
      </c>
    </row>
    <row r="206" spans="1:24" ht="114.75">
      <c r="A206" s="3" t="s">
        <v>12018</v>
      </c>
      <c r="B206" s="6" t="s">
        <v>361</v>
      </c>
      <c r="C206" s="6" t="s">
        <v>12019</v>
      </c>
      <c r="D206" s="16" t="s">
        <v>3014</v>
      </c>
      <c r="E206" s="6" t="s">
        <v>12020</v>
      </c>
      <c r="F206" s="6" t="s">
        <v>49</v>
      </c>
      <c r="G206" s="3" t="s">
        <v>11449</v>
      </c>
      <c r="H206" s="54">
        <v>0.64</v>
      </c>
      <c r="I206" s="16">
        <v>470000000</v>
      </c>
      <c r="J206" s="157" t="s">
        <v>229</v>
      </c>
      <c r="K206" s="5" t="s">
        <v>214</v>
      </c>
      <c r="L206" s="6" t="s">
        <v>232</v>
      </c>
      <c r="M206" s="3" t="s">
        <v>230</v>
      </c>
      <c r="N206" s="6" t="s">
        <v>227</v>
      </c>
      <c r="O206" s="6" t="s">
        <v>233</v>
      </c>
      <c r="P206" s="58">
        <v>796</v>
      </c>
      <c r="Q206" s="6" t="s">
        <v>234</v>
      </c>
      <c r="R206" s="19">
        <v>9</v>
      </c>
      <c r="S206" s="2">
        <v>73463</v>
      </c>
      <c r="T206" s="4">
        <v>0</v>
      </c>
      <c r="U206" s="4">
        <f t="shared" si="10"/>
        <v>0</v>
      </c>
      <c r="V206" s="3" t="s">
        <v>362</v>
      </c>
      <c r="W206" s="3">
        <v>2014</v>
      </c>
      <c r="X206" s="3">
        <v>11</v>
      </c>
    </row>
    <row r="207" spans="1:24" ht="114.75">
      <c r="A207" s="3" t="s">
        <v>12094</v>
      </c>
      <c r="B207" s="6" t="s">
        <v>361</v>
      </c>
      <c r="C207" s="6" t="s">
        <v>12019</v>
      </c>
      <c r="D207" s="16" t="s">
        <v>3014</v>
      </c>
      <c r="E207" s="6" t="s">
        <v>12020</v>
      </c>
      <c r="F207" s="6" t="s">
        <v>49</v>
      </c>
      <c r="G207" s="3" t="s">
        <v>11449</v>
      </c>
      <c r="H207" s="54">
        <v>0.64</v>
      </c>
      <c r="I207" s="16">
        <v>470000000</v>
      </c>
      <c r="J207" s="157" t="s">
        <v>229</v>
      </c>
      <c r="K207" s="5" t="s">
        <v>12083</v>
      </c>
      <c r="L207" s="6" t="s">
        <v>232</v>
      </c>
      <c r="M207" s="3" t="s">
        <v>230</v>
      </c>
      <c r="N207" s="6" t="s">
        <v>227</v>
      </c>
      <c r="O207" s="6" t="s">
        <v>233</v>
      </c>
      <c r="P207" s="58">
        <v>796</v>
      </c>
      <c r="Q207" s="6" t="s">
        <v>234</v>
      </c>
      <c r="R207" s="19">
        <v>9</v>
      </c>
      <c r="S207" s="2">
        <v>73463</v>
      </c>
      <c r="T207" s="4">
        <v>0</v>
      </c>
      <c r="U207" s="4">
        <f t="shared" si="10"/>
        <v>0</v>
      </c>
      <c r="V207" s="3" t="s">
        <v>362</v>
      </c>
      <c r="W207" s="3">
        <v>2014</v>
      </c>
      <c r="X207" s="3" t="s">
        <v>12062</v>
      </c>
    </row>
    <row r="208" spans="1:24" ht="114.75">
      <c r="A208" s="3" t="s">
        <v>14394</v>
      </c>
      <c r="B208" s="6" t="s">
        <v>361</v>
      </c>
      <c r="C208" s="6" t="s">
        <v>12019</v>
      </c>
      <c r="D208" s="16" t="s">
        <v>3014</v>
      </c>
      <c r="E208" s="6" t="s">
        <v>12020</v>
      </c>
      <c r="F208" s="6" t="s">
        <v>49</v>
      </c>
      <c r="G208" s="3" t="s">
        <v>11449</v>
      </c>
      <c r="H208" s="54">
        <v>0.64</v>
      </c>
      <c r="I208" s="16">
        <v>470000000</v>
      </c>
      <c r="J208" s="157" t="s">
        <v>229</v>
      </c>
      <c r="K208" s="5" t="s">
        <v>12083</v>
      </c>
      <c r="L208" s="6" t="s">
        <v>232</v>
      </c>
      <c r="M208" s="3" t="s">
        <v>230</v>
      </c>
      <c r="N208" s="6" t="s">
        <v>227</v>
      </c>
      <c r="O208" s="6" t="s">
        <v>233</v>
      </c>
      <c r="P208" s="58">
        <v>796</v>
      </c>
      <c r="Q208" s="6" t="s">
        <v>234</v>
      </c>
      <c r="R208" s="19">
        <v>1</v>
      </c>
      <c r="S208" s="2">
        <v>73463</v>
      </c>
      <c r="T208" s="4">
        <v>0</v>
      </c>
      <c r="U208" s="4">
        <f t="shared" si="10"/>
        <v>0</v>
      </c>
      <c r="V208" s="3" t="s">
        <v>362</v>
      </c>
      <c r="W208" s="3">
        <v>2014</v>
      </c>
      <c r="X208" s="3" t="s">
        <v>17347</v>
      </c>
    </row>
    <row r="209" spans="1:24" ht="89.25">
      <c r="A209" s="3" t="s">
        <v>17370</v>
      </c>
      <c r="B209" s="6" t="s">
        <v>361</v>
      </c>
      <c r="C209" s="6" t="s">
        <v>12019</v>
      </c>
      <c r="D209" s="16" t="s">
        <v>3014</v>
      </c>
      <c r="E209" s="6" t="s">
        <v>12020</v>
      </c>
      <c r="F209" s="6" t="s">
        <v>49</v>
      </c>
      <c r="G209" s="3" t="s">
        <v>11449</v>
      </c>
      <c r="H209" s="54">
        <v>0.64</v>
      </c>
      <c r="I209" s="16">
        <v>470000000</v>
      </c>
      <c r="J209" s="157" t="s">
        <v>229</v>
      </c>
      <c r="K209" s="5" t="s">
        <v>212</v>
      </c>
      <c r="L209" s="6" t="s">
        <v>12251</v>
      </c>
      <c r="M209" s="3" t="s">
        <v>12250</v>
      </c>
      <c r="N209" s="6" t="s">
        <v>227</v>
      </c>
      <c r="O209" s="6" t="s">
        <v>233</v>
      </c>
      <c r="P209" s="58">
        <v>796</v>
      </c>
      <c r="Q209" s="6" t="s">
        <v>234</v>
      </c>
      <c r="R209" s="322">
        <v>3</v>
      </c>
      <c r="S209" s="2">
        <v>73463</v>
      </c>
      <c r="T209" s="4">
        <v>0</v>
      </c>
      <c r="U209" s="4">
        <f t="shared" si="10"/>
        <v>0</v>
      </c>
      <c r="V209" s="3" t="s">
        <v>362</v>
      </c>
      <c r="W209" s="3">
        <v>2014</v>
      </c>
      <c r="X209" s="3" t="s">
        <v>14780</v>
      </c>
    </row>
    <row r="210" spans="1:24" ht="89.25">
      <c r="A210" s="3" t="s">
        <v>19621</v>
      </c>
      <c r="B210" s="6" t="s">
        <v>361</v>
      </c>
      <c r="C210" s="6" t="s">
        <v>12019</v>
      </c>
      <c r="D210" s="16" t="s">
        <v>3014</v>
      </c>
      <c r="E210" s="6" t="s">
        <v>12020</v>
      </c>
      <c r="F210" s="6" t="s">
        <v>49</v>
      </c>
      <c r="G210" s="3" t="s">
        <v>11449</v>
      </c>
      <c r="H210" s="54">
        <v>0.64</v>
      </c>
      <c r="I210" s="16">
        <v>470000000</v>
      </c>
      <c r="J210" s="157" t="s">
        <v>229</v>
      </c>
      <c r="K210" s="5" t="s">
        <v>17263</v>
      </c>
      <c r="L210" s="6" t="s">
        <v>12251</v>
      </c>
      <c r="M210" s="3" t="s">
        <v>12250</v>
      </c>
      <c r="N210" s="6" t="s">
        <v>227</v>
      </c>
      <c r="O210" s="6" t="s">
        <v>233</v>
      </c>
      <c r="P210" s="58">
        <v>796</v>
      </c>
      <c r="Q210" s="6" t="s">
        <v>234</v>
      </c>
      <c r="R210" s="322">
        <v>4</v>
      </c>
      <c r="S210" s="2">
        <v>73463</v>
      </c>
      <c r="T210" s="4">
        <f>R210*S210</f>
        <v>293852</v>
      </c>
      <c r="U210" s="4">
        <f t="shared" si="10"/>
        <v>329114.24000000005</v>
      </c>
      <c r="V210" s="3" t="s">
        <v>362</v>
      </c>
      <c r="W210" s="3">
        <v>2014</v>
      </c>
      <c r="X210" s="348"/>
    </row>
    <row r="211" spans="1:24" ht="153">
      <c r="A211" s="3" t="s">
        <v>733</v>
      </c>
      <c r="B211" s="6" t="s">
        <v>361</v>
      </c>
      <c r="C211" s="16" t="s">
        <v>7675</v>
      </c>
      <c r="D211" s="16" t="s">
        <v>3014</v>
      </c>
      <c r="E211" s="16" t="s">
        <v>7676</v>
      </c>
      <c r="F211" s="6" t="s">
        <v>3016</v>
      </c>
      <c r="G211" s="3" t="s">
        <v>11449</v>
      </c>
      <c r="H211" s="54">
        <v>0.64</v>
      </c>
      <c r="I211" s="16">
        <v>470000000</v>
      </c>
      <c r="J211" s="157" t="s">
        <v>229</v>
      </c>
      <c r="K211" s="5" t="s">
        <v>214</v>
      </c>
      <c r="L211" s="6" t="s">
        <v>232</v>
      </c>
      <c r="M211" s="3" t="s">
        <v>230</v>
      </c>
      <c r="N211" s="6" t="s">
        <v>227</v>
      </c>
      <c r="O211" s="6" t="s">
        <v>233</v>
      </c>
      <c r="P211" s="58">
        <v>796</v>
      </c>
      <c r="Q211" s="6" t="s">
        <v>234</v>
      </c>
      <c r="R211" s="19">
        <v>19</v>
      </c>
      <c r="S211" s="2">
        <v>73463</v>
      </c>
      <c r="T211" s="4">
        <v>0</v>
      </c>
      <c r="U211" s="4">
        <f t="shared" si="10"/>
        <v>0</v>
      </c>
      <c r="V211" s="3" t="s">
        <v>362</v>
      </c>
      <c r="W211" s="3">
        <v>2014</v>
      </c>
      <c r="X211" s="3">
        <v>3.5</v>
      </c>
    </row>
    <row r="212" spans="1:24" ht="153">
      <c r="A212" s="3" t="s">
        <v>12021</v>
      </c>
      <c r="B212" s="6" t="s">
        <v>361</v>
      </c>
      <c r="C212" s="6" t="s">
        <v>12022</v>
      </c>
      <c r="D212" s="16" t="s">
        <v>3014</v>
      </c>
      <c r="E212" s="6" t="s">
        <v>12023</v>
      </c>
      <c r="F212" s="6" t="s">
        <v>3016</v>
      </c>
      <c r="G212" s="3" t="s">
        <v>11449</v>
      </c>
      <c r="H212" s="54">
        <v>0.64</v>
      </c>
      <c r="I212" s="16">
        <v>470000000</v>
      </c>
      <c r="J212" s="157" t="s">
        <v>229</v>
      </c>
      <c r="K212" s="5" t="s">
        <v>214</v>
      </c>
      <c r="L212" s="6" t="s">
        <v>232</v>
      </c>
      <c r="M212" s="3" t="s">
        <v>230</v>
      </c>
      <c r="N212" s="6" t="s">
        <v>227</v>
      </c>
      <c r="O212" s="6" t="s">
        <v>233</v>
      </c>
      <c r="P212" s="58">
        <v>796</v>
      </c>
      <c r="Q212" s="6" t="s">
        <v>234</v>
      </c>
      <c r="R212" s="19">
        <v>19</v>
      </c>
      <c r="S212" s="2">
        <v>73463</v>
      </c>
      <c r="T212" s="4">
        <v>0</v>
      </c>
      <c r="U212" s="4">
        <f t="shared" si="10"/>
        <v>0</v>
      </c>
      <c r="V212" s="3" t="s">
        <v>362</v>
      </c>
      <c r="W212" s="3">
        <v>2014</v>
      </c>
      <c r="X212" s="3">
        <v>11</v>
      </c>
    </row>
    <row r="213" spans="1:24" ht="153">
      <c r="A213" s="3" t="s">
        <v>12095</v>
      </c>
      <c r="B213" s="6" t="s">
        <v>361</v>
      </c>
      <c r="C213" s="6" t="s">
        <v>12022</v>
      </c>
      <c r="D213" s="16" t="s">
        <v>3014</v>
      </c>
      <c r="E213" s="6" t="s">
        <v>12023</v>
      </c>
      <c r="F213" s="6" t="s">
        <v>3016</v>
      </c>
      <c r="G213" s="3" t="s">
        <v>11449</v>
      </c>
      <c r="H213" s="54">
        <v>0.64</v>
      </c>
      <c r="I213" s="16">
        <v>470000000</v>
      </c>
      <c r="J213" s="157" t="s">
        <v>229</v>
      </c>
      <c r="K213" s="5" t="s">
        <v>12083</v>
      </c>
      <c r="L213" s="6" t="s">
        <v>232</v>
      </c>
      <c r="M213" s="3" t="s">
        <v>230</v>
      </c>
      <c r="N213" s="6" t="s">
        <v>227</v>
      </c>
      <c r="O213" s="6" t="s">
        <v>233</v>
      </c>
      <c r="P213" s="58">
        <v>796</v>
      </c>
      <c r="Q213" s="6" t="s">
        <v>234</v>
      </c>
      <c r="R213" s="19">
        <v>0</v>
      </c>
      <c r="S213" s="2">
        <v>73463</v>
      </c>
      <c r="T213" s="4">
        <v>0</v>
      </c>
      <c r="U213" s="4">
        <f t="shared" si="10"/>
        <v>0</v>
      </c>
      <c r="V213" s="3" t="s">
        <v>362</v>
      </c>
      <c r="W213" s="3">
        <v>2014</v>
      </c>
      <c r="X213" s="3" t="s">
        <v>12076</v>
      </c>
    </row>
    <row r="214" spans="1:24" ht="153">
      <c r="A214" s="3" t="s">
        <v>734</v>
      </c>
      <c r="B214" s="6" t="s">
        <v>361</v>
      </c>
      <c r="C214" s="16" t="s">
        <v>7677</v>
      </c>
      <c r="D214" s="16" t="s">
        <v>3014</v>
      </c>
      <c r="E214" s="16" t="s">
        <v>7678</v>
      </c>
      <c r="F214" s="6" t="s">
        <v>3017</v>
      </c>
      <c r="G214" s="3" t="s">
        <v>11449</v>
      </c>
      <c r="H214" s="54">
        <v>0.64</v>
      </c>
      <c r="I214" s="16">
        <v>470000000</v>
      </c>
      <c r="J214" s="157" t="s">
        <v>229</v>
      </c>
      <c r="K214" s="5" t="s">
        <v>214</v>
      </c>
      <c r="L214" s="6" t="s">
        <v>232</v>
      </c>
      <c r="M214" s="3" t="s">
        <v>230</v>
      </c>
      <c r="N214" s="6" t="s">
        <v>227</v>
      </c>
      <c r="O214" s="6" t="s">
        <v>233</v>
      </c>
      <c r="P214" s="58">
        <v>796</v>
      </c>
      <c r="Q214" s="6" t="s">
        <v>234</v>
      </c>
      <c r="R214" s="19">
        <v>9</v>
      </c>
      <c r="S214" s="2">
        <v>73463</v>
      </c>
      <c r="T214" s="4">
        <v>0</v>
      </c>
      <c r="U214" s="4">
        <f t="shared" si="10"/>
        <v>0</v>
      </c>
      <c r="V214" s="3" t="s">
        <v>362</v>
      </c>
      <c r="W214" s="3">
        <v>2014</v>
      </c>
      <c r="X214" s="3">
        <v>3.5</v>
      </c>
    </row>
    <row r="215" spans="1:24" ht="153">
      <c r="A215" s="3" t="s">
        <v>12024</v>
      </c>
      <c r="B215" s="6" t="s">
        <v>361</v>
      </c>
      <c r="C215" s="6" t="s">
        <v>12025</v>
      </c>
      <c r="D215" s="16" t="s">
        <v>3014</v>
      </c>
      <c r="E215" s="6" t="s">
        <v>12026</v>
      </c>
      <c r="F215" s="6" t="s">
        <v>3017</v>
      </c>
      <c r="G215" s="3" t="s">
        <v>11449</v>
      </c>
      <c r="H215" s="54">
        <v>0.64</v>
      </c>
      <c r="I215" s="16">
        <v>470000000</v>
      </c>
      <c r="J215" s="157" t="s">
        <v>229</v>
      </c>
      <c r="K215" s="5" t="s">
        <v>214</v>
      </c>
      <c r="L215" s="6" t="s">
        <v>232</v>
      </c>
      <c r="M215" s="3" t="s">
        <v>230</v>
      </c>
      <c r="N215" s="6" t="s">
        <v>227</v>
      </c>
      <c r="O215" s="6" t="s">
        <v>233</v>
      </c>
      <c r="P215" s="58">
        <v>796</v>
      </c>
      <c r="Q215" s="6" t="s">
        <v>234</v>
      </c>
      <c r="R215" s="19">
        <v>9</v>
      </c>
      <c r="S215" s="2">
        <v>73463</v>
      </c>
      <c r="T215" s="4">
        <v>0</v>
      </c>
      <c r="U215" s="4">
        <f t="shared" si="10"/>
        <v>0</v>
      </c>
      <c r="V215" s="3" t="s">
        <v>362</v>
      </c>
      <c r="W215" s="3">
        <v>2014</v>
      </c>
      <c r="X215" s="3">
        <v>11</v>
      </c>
    </row>
    <row r="216" spans="1:24" ht="153">
      <c r="A216" s="3" t="s">
        <v>12096</v>
      </c>
      <c r="B216" s="6" t="s">
        <v>361</v>
      </c>
      <c r="C216" s="6" t="s">
        <v>12025</v>
      </c>
      <c r="D216" s="16" t="s">
        <v>3014</v>
      </c>
      <c r="E216" s="6" t="s">
        <v>12026</v>
      </c>
      <c r="F216" s="6" t="s">
        <v>3017</v>
      </c>
      <c r="G216" s="3" t="s">
        <v>11449</v>
      </c>
      <c r="H216" s="54">
        <v>0.64</v>
      </c>
      <c r="I216" s="16">
        <v>470000000</v>
      </c>
      <c r="J216" s="157" t="s">
        <v>229</v>
      </c>
      <c r="K216" s="5" t="s">
        <v>12083</v>
      </c>
      <c r="L216" s="6" t="s">
        <v>232</v>
      </c>
      <c r="M216" s="3" t="s">
        <v>230</v>
      </c>
      <c r="N216" s="6" t="s">
        <v>227</v>
      </c>
      <c r="O216" s="6" t="s">
        <v>233</v>
      </c>
      <c r="P216" s="58">
        <v>796</v>
      </c>
      <c r="Q216" s="6" t="s">
        <v>234</v>
      </c>
      <c r="R216" s="19">
        <v>0</v>
      </c>
      <c r="S216" s="2">
        <v>73463</v>
      </c>
      <c r="T216" s="4">
        <f>R216*S216</f>
        <v>0</v>
      </c>
      <c r="U216" s="4">
        <f t="shared" si="10"/>
        <v>0</v>
      </c>
      <c r="V216" s="3" t="s">
        <v>362</v>
      </c>
      <c r="W216" s="3">
        <v>2014</v>
      </c>
      <c r="X216" s="3" t="s">
        <v>12076</v>
      </c>
    </row>
    <row r="217" spans="1:24" ht="178.5">
      <c r="A217" s="3" t="s">
        <v>735</v>
      </c>
      <c r="B217" s="6" t="s">
        <v>361</v>
      </c>
      <c r="C217" s="16" t="s">
        <v>7673</v>
      </c>
      <c r="D217" s="16" t="s">
        <v>3014</v>
      </c>
      <c r="E217" s="16" t="s">
        <v>7674</v>
      </c>
      <c r="F217" s="6" t="s">
        <v>3018</v>
      </c>
      <c r="G217" s="3" t="s">
        <v>11449</v>
      </c>
      <c r="H217" s="54">
        <v>0.64</v>
      </c>
      <c r="I217" s="16">
        <v>470000000</v>
      </c>
      <c r="J217" s="157" t="s">
        <v>229</v>
      </c>
      <c r="K217" s="5" t="s">
        <v>214</v>
      </c>
      <c r="L217" s="6" t="s">
        <v>232</v>
      </c>
      <c r="M217" s="3" t="s">
        <v>230</v>
      </c>
      <c r="N217" s="6" t="s">
        <v>227</v>
      </c>
      <c r="O217" s="6" t="s">
        <v>233</v>
      </c>
      <c r="P217" s="58">
        <v>796</v>
      </c>
      <c r="Q217" s="6" t="s">
        <v>234</v>
      </c>
      <c r="R217" s="19">
        <v>300</v>
      </c>
      <c r="S217" s="2">
        <v>70250</v>
      </c>
      <c r="T217" s="4">
        <v>0</v>
      </c>
      <c r="U217" s="4">
        <f t="shared" si="10"/>
        <v>0</v>
      </c>
      <c r="V217" s="3" t="s">
        <v>362</v>
      </c>
      <c r="W217" s="3">
        <v>2014</v>
      </c>
      <c r="X217" s="3">
        <v>3.5</v>
      </c>
    </row>
    <row r="218" spans="1:24" ht="178.5">
      <c r="A218" s="3" t="s">
        <v>12027</v>
      </c>
      <c r="B218" s="6" t="s">
        <v>361</v>
      </c>
      <c r="C218" s="6" t="s">
        <v>12028</v>
      </c>
      <c r="D218" s="16" t="s">
        <v>3014</v>
      </c>
      <c r="E218" s="6" t="s">
        <v>12029</v>
      </c>
      <c r="F218" s="6" t="s">
        <v>3018</v>
      </c>
      <c r="G218" s="3" t="s">
        <v>11449</v>
      </c>
      <c r="H218" s="54">
        <v>0.64</v>
      </c>
      <c r="I218" s="16">
        <v>470000000</v>
      </c>
      <c r="J218" s="157" t="s">
        <v>229</v>
      </c>
      <c r="K218" s="5" t="s">
        <v>214</v>
      </c>
      <c r="L218" s="6" t="s">
        <v>232</v>
      </c>
      <c r="M218" s="3" t="s">
        <v>230</v>
      </c>
      <c r="N218" s="6" t="s">
        <v>227</v>
      </c>
      <c r="O218" s="6" t="s">
        <v>233</v>
      </c>
      <c r="P218" s="58">
        <v>796</v>
      </c>
      <c r="Q218" s="6" t="s">
        <v>234</v>
      </c>
      <c r="R218" s="19">
        <v>300</v>
      </c>
      <c r="S218" s="2">
        <v>70250</v>
      </c>
      <c r="T218" s="4">
        <v>0</v>
      </c>
      <c r="U218" s="4">
        <f t="shared" si="10"/>
        <v>0</v>
      </c>
      <c r="V218" s="3" t="s">
        <v>362</v>
      </c>
      <c r="W218" s="3">
        <v>2014</v>
      </c>
      <c r="X218" s="3">
        <v>11</v>
      </c>
    </row>
    <row r="219" spans="1:24" ht="178.5">
      <c r="A219" s="3" t="s">
        <v>12097</v>
      </c>
      <c r="B219" s="6" t="s">
        <v>361</v>
      </c>
      <c r="C219" s="6" t="s">
        <v>12028</v>
      </c>
      <c r="D219" s="16" t="s">
        <v>3014</v>
      </c>
      <c r="E219" s="6" t="s">
        <v>12029</v>
      </c>
      <c r="F219" s="6" t="s">
        <v>3018</v>
      </c>
      <c r="G219" s="3" t="s">
        <v>11449</v>
      </c>
      <c r="H219" s="54">
        <v>0.64</v>
      </c>
      <c r="I219" s="16">
        <v>470000000</v>
      </c>
      <c r="J219" s="157" t="s">
        <v>229</v>
      </c>
      <c r="K219" s="5" t="s">
        <v>12083</v>
      </c>
      <c r="L219" s="6" t="s">
        <v>232</v>
      </c>
      <c r="M219" s="3" t="s">
        <v>230</v>
      </c>
      <c r="N219" s="6" t="s">
        <v>227</v>
      </c>
      <c r="O219" s="6" t="s">
        <v>233</v>
      </c>
      <c r="P219" s="58">
        <v>796</v>
      </c>
      <c r="Q219" s="6" t="s">
        <v>234</v>
      </c>
      <c r="R219" s="19">
        <v>300</v>
      </c>
      <c r="S219" s="2">
        <v>70250</v>
      </c>
      <c r="T219" s="4">
        <v>0</v>
      </c>
      <c r="U219" s="4">
        <f t="shared" si="10"/>
        <v>0</v>
      </c>
      <c r="V219" s="3" t="s">
        <v>362</v>
      </c>
      <c r="W219" s="3">
        <v>2014</v>
      </c>
      <c r="X219" s="3" t="s">
        <v>14132</v>
      </c>
    </row>
    <row r="220" spans="1:24" ht="178.5">
      <c r="A220" s="3" t="s">
        <v>14395</v>
      </c>
      <c r="B220" s="6" t="s">
        <v>361</v>
      </c>
      <c r="C220" s="6" t="s">
        <v>12028</v>
      </c>
      <c r="D220" s="16" t="s">
        <v>3014</v>
      </c>
      <c r="E220" s="6" t="s">
        <v>12029</v>
      </c>
      <c r="F220" s="6" t="s">
        <v>3018</v>
      </c>
      <c r="G220" s="3" t="s">
        <v>11449</v>
      </c>
      <c r="H220" s="54">
        <v>0.64</v>
      </c>
      <c r="I220" s="16">
        <v>470000000</v>
      </c>
      <c r="J220" s="157" t="s">
        <v>229</v>
      </c>
      <c r="K220" s="5" t="s">
        <v>12083</v>
      </c>
      <c r="L220" s="6" t="s">
        <v>232</v>
      </c>
      <c r="M220" s="3" t="s">
        <v>230</v>
      </c>
      <c r="N220" s="6" t="s">
        <v>227</v>
      </c>
      <c r="O220" s="6" t="s">
        <v>233</v>
      </c>
      <c r="P220" s="58">
        <v>796</v>
      </c>
      <c r="Q220" s="6" t="s">
        <v>234</v>
      </c>
      <c r="R220" s="19">
        <v>150</v>
      </c>
      <c r="S220" s="2">
        <v>69969</v>
      </c>
      <c r="T220" s="4">
        <v>0</v>
      </c>
      <c r="U220" s="4">
        <f t="shared" si="10"/>
        <v>0</v>
      </c>
      <c r="V220" s="3" t="s">
        <v>362</v>
      </c>
      <c r="W220" s="3">
        <v>2014</v>
      </c>
      <c r="X220" s="3" t="s">
        <v>14840</v>
      </c>
    </row>
    <row r="221" spans="1:24" ht="178.5">
      <c r="A221" s="3" t="s">
        <v>17371</v>
      </c>
      <c r="B221" s="6" t="s">
        <v>361</v>
      </c>
      <c r="C221" s="6" t="s">
        <v>12028</v>
      </c>
      <c r="D221" s="16" t="s">
        <v>3014</v>
      </c>
      <c r="E221" s="6" t="s">
        <v>12029</v>
      </c>
      <c r="F221" s="6" t="s">
        <v>3018</v>
      </c>
      <c r="G221" s="3" t="s">
        <v>11449</v>
      </c>
      <c r="H221" s="54">
        <v>0.64</v>
      </c>
      <c r="I221" s="16">
        <v>470000000</v>
      </c>
      <c r="J221" s="157" t="s">
        <v>229</v>
      </c>
      <c r="K221" s="5" t="s">
        <v>212</v>
      </c>
      <c r="L221" s="6" t="s">
        <v>12251</v>
      </c>
      <c r="M221" s="3" t="s">
        <v>12250</v>
      </c>
      <c r="N221" s="6" t="s">
        <v>227</v>
      </c>
      <c r="O221" s="6" t="s">
        <v>233</v>
      </c>
      <c r="P221" s="58">
        <v>796</v>
      </c>
      <c r="Q221" s="6" t="s">
        <v>234</v>
      </c>
      <c r="R221" s="322">
        <v>180</v>
      </c>
      <c r="S221" s="2">
        <v>70250</v>
      </c>
      <c r="T221" s="4">
        <v>0</v>
      </c>
      <c r="U221" s="4">
        <f t="shared" si="10"/>
        <v>0</v>
      </c>
      <c r="V221" s="3" t="s">
        <v>362</v>
      </c>
      <c r="W221" s="3">
        <v>2014</v>
      </c>
      <c r="X221" s="3" t="s">
        <v>14780</v>
      </c>
    </row>
    <row r="222" spans="1:24" ht="178.5">
      <c r="A222" s="3" t="s">
        <v>19622</v>
      </c>
      <c r="B222" s="6" t="s">
        <v>361</v>
      </c>
      <c r="C222" s="6" t="s">
        <v>12028</v>
      </c>
      <c r="D222" s="16" t="s">
        <v>3014</v>
      </c>
      <c r="E222" s="6" t="s">
        <v>12029</v>
      </c>
      <c r="F222" s="6" t="s">
        <v>3018</v>
      </c>
      <c r="G222" s="3" t="s">
        <v>11449</v>
      </c>
      <c r="H222" s="54">
        <v>0.64</v>
      </c>
      <c r="I222" s="16">
        <v>470000000</v>
      </c>
      <c r="J222" s="157" t="s">
        <v>229</v>
      </c>
      <c r="K222" s="5" t="s">
        <v>17263</v>
      </c>
      <c r="L222" s="6" t="s">
        <v>12251</v>
      </c>
      <c r="M222" s="3" t="s">
        <v>12250</v>
      </c>
      <c r="N222" s="6" t="s">
        <v>227</v>
      </c>
      <c r="O222" s="6" t="s">
        <v>233</v>
      </c>
      <c r="P222" s="58">
        <v>796</v>
      </c>
      <c r="Q222" s="6" t="s">
        <v>234</v>
      </c>
      <c r="R222" s="322">
        <v>250</v>
      </c>
      <c r="S222" s="2">
        <v>70250</v>
      </c>
      <c r="T222" s="4">
        <f>R222*S222</f>
        <v>17562500</v>
      </c>
      <c r="U222" s="4">
        <f t="shared" si="10"/>
        <v>19670000.000000004</v>
      </c>
      <c r="V222" s="3" t="s">
        <v>362</v>
      </c>
      <c r="W222" s="3">
        <v>2014</v>
      </c>
      <c r="X222" s="3"/>
    </row>
    <row r="223" spans="1:24" ht="153">
      <c r="A223" s="3" t="s">
        <v>736</v>
      </c>
      <c r="B223" s="6" t="s">
        <v>361</v>
      </c>
      <c r="C223" s="16" t="s">
        <v>7671</v>
      </c>
      <c r="D223" s="16" t="s">
        <v>3014</v>
      </c>
      <c r="E223" s="16" t="s">
        <v>7672</v>
      </c>
      <c r="F223" s="6" t="s">
        <v>3019</v>
      </c>
      <c r="G223" s="3" t="s">
        <v>11449</v>
      </c>
      <c r="H223" s="54">
        <v>0.64</v>
      </c>
      <c r="I223" s="16">
        <v>470000000</v>
      </c>
      <c r="J223" s="157" t="s">
        <v>229</v>
      </c>
      <c r="K223" s="5" t="s">
        <v>214</v>
      </c>
      <c r="L223" s="6" t="s">
        <v>232</v>
      </c>
      <c r="M223" s="3" t="s">
        <v>230</v>
      </c>
      <c r="N223" s="6" t="s">
        <v>227</v>
      </c>
      <c r="O223" s="6" t="s">
        <v>233</v>
      </c>
      <c r="P223" s="58">
        <v>796</v>
      </c>
      <c r="Q223" s="6" t="s">
        <v>234</v>
      </c>
      <c r="R223" s="19">
        <v>150</v>
      </c>
      <c r="S223" s="2">
        <v>70250</v>
      </c>
      <c r="T223" s="4">
        <v>0</v>
      </c>
      <c r="U223" s="4">
        <f t="shared" si="10"/>
        <v>0</v>
      </c>
      <c r="V223" s="3" t="s">
        <v>362</v>
      </c>
      <c r="W223" s="3">
        <v>2014</v>
      </c>
      <c r="X223" s="3">
        <v>11</v>
      </c>
    </row>
    <row r="224" spans="1:24" ht="153">
      <c r="A224" s="3" t="s">
        <v>12098</v>
      </c>
      <c r="B224" s="6" t="s">
        <v>361</v>
      </c>
      <c r="C224" s="16" t="s">
        <v>7671</v>
      </c>
      <c r="D224" s="16" t="s">
        <v>3014</v>
      </c>
      <c r="E224" s="16" t="s">
        <v>7672</v>
      </c>
      <c r="F224" s="6" t="s">
        <v>3019</v>
      </c>
      <c r="G224" s="3" t="s">
        <v>11449</v>
      </c>
      <c r="H224" s="54">
        <v>0.64</v>
      </c>
      <c r="I224" s="16">
        <v>470000000</v>
      </c>
      <c r="J224" s="157" t="s">
        <v>229</v>
      </c>
      <c r="K224" s="5" t="s">
        <v>12083</v>
      </c>
      <c r="L224" s="6" t="s">
        <v>232</v>
      </c>
      <c r="M224" s="3" t="s">
        <v>230</v>
      </c>
      <c r="N224" s="6" t="s">
        <v>227</v>
      </c>
      <c r="O224" s="6" t="s">
        <v>233</v>
      </c>
      <c r="P224" s="58">
        <v>796</v>
      </c>
      <c r="Q224" s="6" t="s">
        <v>234</v>
      </c>
      <c r="R224" s="19">
        <v>150</v>
      </c>
      <c r="S224" s="2">
        <v>70250</v>
      </c>
      <c r="T224" s="4">
        <v>0</v>
      </c>
      <c r="U224" s="4">
        <f t="shared" si="10"/>
        <v>0</v>
      </c>
      <c r="V224" s="3" t="s">
        <v>362</v>
      </c>
      <c r="W224" s="3">
        <v>2014</v>
      </c>
      <c r="X224" s="3" t="s">
        <v>11811</v>
      </c>
    </row>
    <row r="225" spans="1:24" ht="153">
      <c r="A225" s="3" t="s">
        <v>14192</v>
      </c>
      <c r="B225" s="6" t="s">
        <v>361</v>
      </c>
      <c r="C225" s="6" t="s">
        <v>14193</v>
      </c>
      <c r="D225" s="6" t="s">
        <v>3014</v>
      </c>
      <c r="E225" s="6" t="s">
        <v>14194</v>
      </c>
      <c r="F225" s="6" t="s">
        <v>3019</v>
      </c>
      <c r="G225" s="3" t="s">
        <v>11449</v>
      </c>
      <c r="H225" s="54">
        <v>0.64</v>
      </c>
      <c r="I225" s="6">
        <v>470000000</v>
      </c>
      <c r="J225" s="243" t="s">
        <v>229</v>
      </c>
      <c r="K225" s="5" t="s">
        <v>12083</v>
      </c>
      <c r="L225" s="6" t="s">
        <v>232</v>
      </c>
      <c r="M225" s="3" t="s">
        <v>230</v>
      </c>
      <c r="N225" s="6" t="s">
        <v>227</v>
      </c>
      <c r="O225" s="6" t="s">
        <v>233</v>
      </c>
      <c r="P225" s="58">
        <v>796</v>
      </c>
      <c r="Q225" s="6" t="s">
        <v>234</v>
      </c>
      <c r="R225" s="19">
        <v>150</v>
      </c>
      <c r="S225" s="2">
        <v>70250</v>
      </c>
      <c r="T225" s="4">
        <v>0</v>
      </c>
      <c r="U225" s="4">
        <f t="shared" si="10"/>
        <v>0</v>
      </c>
      <c r="V225" s="3" t="s">
        <v>362</v>
      </c>
      <c r="W225" s="3">
        <v>2014</v>
      </c>
      <c r="X225" s="3" t="s">
        <v>12062</v>
      </c>
    </row>
    <row r="226" spans="1:24" ht="153">
      <c r="A226" s="3" t="s">
        <v>14396</v>
      </c>
      <c r="B226" s="6" t="s">
        <v>361</v>
      </c>
      <c r="C226" s="6" t="s">
        <v>14193</v>
      </c>
      <c r="D226" s="6" t="s">
        <v>3014</v>
      </c>
      <c r="E226" s="6" t="s">
        <v>14194</v>
      </c>
      <c r="F226" s="6" t="s">
        <v>3019</v>
      </c>
      <c r="G226" s="3" t="s">
        <v>11449</v>
      </c>
      <c r="H226" s="54">
        <v>0.64</v>
      </c>
      <c r="I226" s="6">
        <v>470000000</v>
      </c>
      <c r="J226" s="243" t="s">
        <v>229</v>
      </c>
      <c r="K226" s="5" t="s">
        <v>12083</v>
      </c>
      <c r="L226" s="6" t="s">
        <v>232</v>
      </c>
      <c r="M226" s="3" t="s">
        <v>230</v>
      </c>
      <c r="N226" s="6" t="s">
        <v>227</v>
      </c>
      <c r="O226" s="6" t="s">
        <v>233</v>
      </c>
      <c r="P226" s="58">
        <v>796</v>
      </c>
      <c r="Q226" s="6" t="s">
        <v>234</v>
      </c>
      <c r="R226" s="19">
        <v>350</v>
      </c>
      <c r="S226" s="2">
        <v>70250</v>
      </c>
      <c r="T226" s="4">
        <v>0</v>
      </c>
      <c r="U226" s="4">
        <f t="shared" si="10"/>
        <v>0</v>
      </c>
      <c r="V226" s="3" t="s">
        <v>362</v>
      </c>
      <c r="W226" s="3">
        <v>2014</v>
      </c>
      <c r="X226" s="3" t="s">
        <v>14840</v>
      </c>
    </row>
    <row r="227" spans="1:24" ht="153">
      <c r="A227" s="3" t="s">
        <v>17372</v>
      </c>
      <c r="B227" s="6" t="s">
        <v>361</v>
      </c>
      <c r="C227" s="6" t="s">
        <v>14193</v>
      </c>
      <c r="D227" s="6" t="s">
        <v>3014</v>
      </c>
      <c r="E227" s="6" t="s">
        <v>14194</v>
      </c>
      <c r="F227" s="6" t="s">
        <v>3019</v>
      </c>
      <c r="G227" s="3" t="s">
        <v>11449</v>
      </c>
      <c r="H227" s="54">
        <v>0.64</v>
      </c>
      <c r="I227" s="6">
        <v>470000000</v>
      </c>
      <c r="J227" s="243" t="s">
        <v>229</v>
      </c>
      <c r="K227" s="5" t="s">
        <v>17373</v>
      </c>
      <c r="L227" s="6" t="s">
        <v>12251</v>
      </c>
      <c r="M227" s="3" t="s">
        <v>12250</v>
      </c>
      <c r="N227" s="6" t="s">
        <v>227</v>
      </c>
      <c r="O227" s="6" t="s">
        <v>233</v>
      </c>
      <c r="P227" s="58">
        <v>796</v>
      </c>
      <c r="Q227" s="6" t="s">
        <v>234</v>
      </c>
      <c r="R227" s="19">
        <v>400</v>
      </c>
      <c r="S227" s="2">
        <v>68142.5</v>
      </c>
      <c r="T227" s="4">
        <v>0</v>
      </c>
      <c r="U227" s="4">
        <f t="shared" si="10"/>
        <v>0</v>
      </c>
      <c r="V227" s="3" t="s">
        <v>362</v>
      </c>
      <c r="W227" s="3">
        <v>2014</v>
      </c>
      <c r="X227" s="3" t="s">
        <v>12062</v>
      </c>
    </row>
    <row r="228" spans="1:24" ht="153">
      <c r="A228" s="3" t="s">
        <v>19266</v>
      </c>
      <c r="B228" s="6" t="s">
        <v>361</v>
      </c>
      <c r="C228" s="6" t="s">
        <v>14193</v>
      </c>
      <c r="D228" s="6" t="s">
        <v>3014</v>
      </c>
      <c r="E228" s="6" t="s">
        <v>14194</v>
      </c>
      <c r="F228" s="6" t="s">
        <v>3019</v>
      </c>
      <c r="G228" s="3" t="s">
        <v>11449</v>
      </c>
      <c r="H228" s="54">
        <v>0.64</v>
      </c>
      <c r="I228" s="6">
        <v>470000000</v>
      </c>
      <c r="J228" s="243" t="s">
        <v>229</v>
      </c>
      <c r="K228" s="5" t="s">
        <v>17373</v>
      </c>
      <c r="L228" s="6" t="s">
        <v>12251</v>
      </c>
      <c r="M228" s="3" t="s">
        <v>12250</v>
      </c>
      <c r="N228" s="6" t="s">
        <v>227</v>
      </c>
      <c r="O228" s="6" t="s">
        <v>233</v>
      </c>
      <c r="P228" s="58">
        <v>796</v>
      </c>
      <c r="Q228" s="6" t="s">
        <v>234</v>
      </c>
      <c r="R228" s="19">
        <v>480</v>
      </c>
      <c r="S228" s="2">
        <v>68142.5</v>
      </c>
      <c r="T228" s="4">
        <f>R228*S228</f>
        <v>32708400</v>
      </c>
      <c r="U228" s="4">
        <f t="shared" ref="U228" si="11">T228*1.12</f>
        <v>36633408</v>
      </c>
      <c r="V228" s="3" t="s">
        <v>362</v>
      </c>
      <c r="W228" s="3">
        <v>2014</v>
      </c>
      <c r="X228" s="3"/>
    </row>
    <row r="229" spans="1:24" ht="153">
      <c r="A229" s="3" t="s">
        <v>737</v>
      </c>
      <c r="B229" s="6" t="s">
        <v>361</v>
      </c>
      <c r="C229" s="16" t="s">
        <v>7671</v>
      </c>
      <c r="D229" s="16" t="s">
        <v>3014</v>
      </c>
      <c r="E229" s="16" t="s">
        <v>7672</v>
      </c>
      <c r="F229" s="6" t="s">
        <v>3020</v>
      </c>
      <c r="G229" s="3" t="s">
        <v>11449</v>
      </c>
      <c r="H229" s="54">
        <v>0.64</v>
      </c>
      <c r="I229" s="16">
        <v>470000000</v>
      </c>
      <c r="J229" s="157" t="s">
        <v>229</v>
      </c>
      <c r="K229" s="5" t="s">
        <v>214</v>
      </c>
      <c r="L229" s="6" t="s">
        <v>232</v>
      </c>
      <c r="M229" s="3" t="s">
        <v>230</v>
      </c>
      <c r="N229" s="6" t="s">
        <v>7669</v>
      </c>
      <c r="O229" s="6" t="s">
        <v>233</v>
      </c>
      <c r="P229" s="58">
        <v>796</v>
      </c>
      <c r="Q229" s="6" t="s">
        <v>234</v>
      </c>
      <c r="R229" s="19">
        <v>950</v>
      </c>
      <c r="S229" s="2">
        <v>70250</v>
      </c>
      <c r="T229" s="4">
        <v>0</v>
      </c>
      <c r="U229" s="4">
        <f t="shared" si="10"/>
        <v>0</v>
      </c>
      <c r="V229" s="3" t="s">
        <v>362</v>
      </c>
      <c r="W229" s="3">
        <v>2014</v>
      </c>
      <c r="X229" s="3">
        <v>3.5</v>
      </c>
    </row>
    <row r="230" spans="1:24" ht="153">
      <c r="A230" s="3" t="s">
        <v>12030</v>
      </c>
      <c r="B230" s="6" t="s">
        <v>361</v>
      </c>
      <c r="C230" s="6" t="s">
        <v>12031</v>
      </c>
      <c r="D230" s="16" t="s">
        <v>3014</v>
      </c>
      <c r="E230" s="6" t="s">
        <v>12032</v>
      </c>
      <c r="F230" s="6" t="s">
        <v>3020</v>
      </c>
      <c r="G230" s="3" t="s">
        <v>11449</v>
      </c>
      <c r="H230" s="54">
        <v>0.64</v>
      </c>
      <c r="I230" s="16">
        <v>470000000</v>
      </c>
      <c r="J230" s="157" t="s">
        <v>229</v>
      </c>
      <c r="K230" s="5" t="s">
        <v>214</v>
      </c>
      <c r="L230" s="6" t="s">
        <v>232</v>
      </c>
      <c r="M230" s="3" t="s">
        <v>230</v>
      </c>
      <c r="N230" s="6" t="s">
        <v>7669</v>
      </c>
      <c r="O230" s="6" t="s">
        <v>233</v>
      </c>
      <c r="P230" s="58">
        <v>796</v>
      </c>
      <c r="Q230" s="6" t="s">
        <v>234</v>
      </c>
      <c r="R230" s="19">
        <v>950</v>
      </c>
      <c r="S230" s="2">
        <v>70250</v>
      </c>
      <c r="T230" s="4">
        <v>0</v>
      </c>
      <c r="U230" s="4">
        <f t="shared" si="10"/>
        <v>0</v>
      </c>
      <c r="V230" s="3" t="s">
        <v>362</v>
      </c>
      <c r="W230" s="3">
        <v>2014</v>
      </c>
      <c r="X230" s="3">
        <v>11</v>
      </c>
    </row>
    <row r="231" spans="1:24" ht="153">
      <c r="A231" s="3" t="s">
        <v>12099</v>
      </c>
      <c r="B231" s="6" t="s">
        <v>361</v>
      </c>
      <c r="C231" s="6" t="s">
        <v>12031</v>
      </c>
      <c r="D231" s="16" t="s">
        <v>3014</v>
      </c>
      <c r="E231" s="6" t="s">
        <v>12032</v>
      </c>
      <c r="F231" s="6" t="s">
        <v>3020</v>
      </c>
      <c r="G231" s="3" t="s">
        <v>11449</v>
      </c>
      <c r="H231" s="54">
        <v>0.64</v>
      </c>
      <c r="I231" s="16">
        <v>470000000</v>
      </c>
      <c r="J231" s="157" t="s">
        <v>229</v>
      </c>
      <c r="K231" s="5" t="s">
        <v>12083</v>
      </c>
      <c r="L231" s="6" t="s">
        <v>232</v>
      </c>
      <c r="M231" s="3" t="s">
        <v>230</v>
      </c>
      <c r="N231" s="6" t="s">
        <v>7669</v>
      </c>
      <c r="O231" s="6" t="s">
        <v>233</v>
      </c>
      <c r="P231" s="58">
        <v>796</v>
      </c>
      <c r="Q231" s="6" t="s">
        <v>234</v>
      </c>
      <c r="R231" s="19">
        <v>950</v>
      </c>
      <c r="S231" s="2">
        <v>70250</v>
      </c>
      <c r="T231" s="4">
        <v>0</v>
      </c>
      <c r="U231" s="4">
        <f t="shared" si="10"/>
        <v>0</v>
      </c>
      <c r="V231" s="3" t="s">
        <v>362</v>
      </c>
      <c r="W231" s="3">
        <v>2014</v>
      </c>
      <c r="X231" s="3" t="s">
        <v>12062</v>
      </c>
    </row>
    <row r="232" spans="1:24" ht="153">
      <c r="A232" s="3" t="s">
        <v>14397</v>
      </c>
      <c r="B232" s="6" t="s">
        <v>361</v>
      </c>
      <c r="C232" s="6" t="s">
        <v>12031</v>
      </c>
      <c r="D232" s="16" t="s">
        <v>3014</v>
      </c>
      <c r="E232" s="6" t="s">
        <v>12032</v>
      </c>
      <c r="F232" s="6" t="s">
        <v>3020</v>
      </c>
      <c r="G232" s="3" t="s">
        <v>11449</v>
      </c>
      <c r="H232" s="54">
        <v>0.64</v>
      </c>
      <c r="I232" s="16">
        <v>470000000</v>
      </c>
      <c r="J232" s="157" t="s">
        <v>229</v>
      </c>
      <c r="K232" s="5" t="s">
        <v>12083</v>
      </c>
      <c r="L232" s="6" t="s">
        <v>232</v>
      </c>
      <c r="M232" s="3" t="s">
        <v>230</v>
      </c>
      <c r="N232" s="6" t="s">
        <v>7669</v>
      </c>
      <c r="O232" s="6" t="s">
        <v>233</v>
      </c>
      <c r="P232" s="58">
        <v>796</v>
      </c>
      <c r="Q232" s="6" t="s">
        <v>234</v>
      </c>
      <c r="R232" s="19">
        <v>721</v>
      </c>
      <c r="S232" s="2">
        <v>70250</v>
      </c>
      <c r="T232" s="4">
        <v>0</v>
      </c>
      <c r="U232" s="4">
        <f t="shared" si="10"/>
        <v>0</v>
      </c>
      <c r="V232" s="3" t="s">
        <v>362</v>
      </c>
      <c r="W232" s="3">
        <v>2014</v>
      </c>
      <c r="X232" s="3" t="s">
        <v>14840</v>
      </c>
    </row>
    <row r="233" spans="1:24" ht="153">
      <c r="A233" s="3" t="s">
        <v>17374</v>
      </c>
      <c r="B233" s="6" t="s">
        <v>361</v>
      </c>
      <c r="C233" s="6" t="s">
        <v>12031</v>
      </c>
      <c r="D233" s="16" t="s">
        <v>3014</v>
      </c>
      <c r="E233" s="6" t="s">
        <v>12032</v>
      </c>
      <c r="F233" s="6" t="s">
        <v>3020</v>
      </c>
      <c r="G233" s="3" t="s">
        <v>11449</v>
      </c>
      <c r="H233" s="54">
        <v>0.64</v>
      </c>
      <c r="I233" s="16">
        <v>470000000</v>
      </c>
      <c r="J233" s="157" t="s">
        <v>229</v>
      </c>
      <c r="K233" s="5" t="s">
        <v>17373</v>
      </c>
      <c r="L233" s="6" t="s">
        <v>12251</v>
      </c>
      <c r="M233" s="3" t="s">
        <v>12250</v>
      </c>
      <c r="N233" s="6" t="s">
        <v>7669</v>
      </c>
      <c r="O233" s="6" t="s">
        <v>233</v>
      </c>
      <c r="P233" s="58">
        <v>796</v>
      </c>
      <c r="Q233" s="6" t="s">
        <v>234</v>
      </c>
      <c r="R233" s="19">
        <v>921</v>
      </c>
      <c r="S233" s="2">
        <v>68142.5</v>
      </c>
      <c r="T233" s="4">
        <v>0</v>
      </c>
      <c r="U233" s="4">
        <f t="shared" si="10"/>
        <v>0</v>
      </c>
      <c r="V233" s="3" t="s">
        <v>362</v>
      </c>
      <c r="W233" s="3">
        <v>2014</v>
      </c>
      <c r="X233" s="3" t="s">
        <v>12062</v>
      </c>
    </row>
    <row r="234" spans="1:24" ht="153">
      <c r="A234" s="3" t="s">
        <v>19265</v>
      </c>
      <c r="B234" s="6" t="s">
        <v>361</v>
      </c>
      <c r="C234" s="6" t="s">
        <v>12031</v>
      </c>
      <c r="D234" s="16" t="s">
        <v>3014</v>
      </c>
      <c r="E234" s="6" t="s">
        <v>12032</v>
      </c>
      <c r="F234" s="6" t="s">
        <v>3020</v>
      </c>
      <c r="G234" s="3" t="s">
        <v>11449</v>
      </c>
      <c r="H234" s="54">
        <v>0.64</v>
      </c>
      <c r="I234" s="16">
        <v>470000000</v>
      </c>
      <c r="J234" s="157" t="s">
        <v>229</v>
      </c>
      <c r="K234" s="5" t="s">
        <v>17373</v>
      </c>
      <c r="L234" s="6" t="s">
        <v>12251</v>
      </c>
      <c r="M234" s="3" t="s">
        <v>12250</v>
      </c>
      <c r="N234" s="6" t="s">
        <v>7669</v>
      </c>
      <c r="O234" s="6" t="s">
        <v>233</v>
      </c>
      <c r="P234" s="58">
        <v>796</v>
      </c>
      <c r="Q234" s="6" t="s">
        <v>234</v>
      </c>
      <c r="R234" s="19">
        <v>1171</v>
      </c>
      <c r="S234" s="2">
        <v>68142.5</v>
      </c>
      <c r="T234" s="4">
        <f>R234*S234</f>
        <v>79794867.5</v>
      </c>
      <c r="U234" s="4">
        <f t="shared" ref="U234" si="12">T234*1.12</f>
        <v>89370251.600000009</v>
      </c>
      <c r="V234" s="3" t="s">
        <v>362</v>
      </c>
      <c r="W234" s="3">
        <v>2014</v>
      </c>
      <c r="X234" s="3"/>
    </row>
    <row r="235" spans="1:24" ht="114.75">
      <c r="A235" s="3" t="s">
        <v>738</v>
      </c>
      <c r="B235" s="6" t="s">
        <v>361</v>
      </c>
      <c r="C235" s="16" t="s">
        <v>11407</v>
      </c>
      <c r="D235" s="16" t="s">
        <v>3021</v>
      </c>
      <c r="E235" s="16" t="s">
        <v>11408</v>
      </c>
      <c r="F235" s="6" t="s">
        <v>50</v>
      </c>
      <c r="G235" s="3" t="s">
        <v>11449</v>
      </c>
      <c r="H235" s="54">
        <v>0.64</v>
      </c>
      <c r="I235" s="16">
        <v>470000000</v>
      </c>
      <c r="J235" s="157" t="s">
        <v>229</v>
      </c>
      <c r="K235" s="5" t="s">
        <v>210</v>
      </c>
      <c r="L235" s="6" t="s">
        <v>232</v>
      </c>
      <c r="M235" s="3" t="s">
        <v>230</v>
      </c>
      <c r="N235" s="6" t="s">
        <v>7669</v>
      </c>
      <c r="O235" s="6" t="s">
        <v>233</v>
      </c>
      <c r="P235" s="58">
        <v>796</v>
      </c>
      <c r="Q235" s="6" t="s">
        <v>234</v>
      </c>
      <c r="R235" s="19">
        <v>16</v>
      </c>
      <c r="S235" s="2">
        <v>149000</v>
      </c>
      <c r="T235" s="4">
        <v>0</v>
      </c>
      <c r="U235" s="4">
        <f t="shared" si="10"/>
        <v>0</v>
      </c>
      <c r="V235" s="3" t="s">
        <v>362</v>
      </c>
      <c r="W235" s="3">
        <v>2014</v>
      </c>
      <c r="X235" s="3" t="s">
        <v>18366</v>
      </c>
    </row>
    <row r="236" spans="1:24" ht="114.75">
      <c r="A236" s="3" t="s">
        <v>14213</v>
      </c>
      <c r="B236" s="6" t="s">
        <v>361</v>
      </c>
      <c r="C236" s="16" t="s">
        <v>14214</v>
      </c>
      <c r="D236" s="16" t="s">
        <v>467</v>
      </c>
      <c r="E236" s="16" t="s">
        <v>14215</v>
      </c>
      <c r="F236" s="6" t="s">
        <v>50</v>
      </c>
      <c r="G236" s="3" t="s">
        <v>11449</v>
      </c>
      <c r="H236" s="54">
        <v>0.64</v>
      </c>
      <c r="I236" s="16">
        <v>470000000</v>
      </c>
      <c r="J236" s="157" t="s">
        <v>229</v>
      </c>
      <c r="K236" s="5" t="s">
        <v>210</v>
      </c>
      <c r="L236" s="6" t="s">
        <v>232</v>
      </c>
      <c r="M236" s="3" t="s">
        <v>230</v>
      </c>
      <c r="N236" s="6" t="s">
        <v>7669</v>
      </c>
      <c r="O236" s="6" t="s">
        <v>233</v>
      </c>
      <c r="P236" s="58">
        <v>796</v>
      </c>
      <c r="Q236" s="6" t="s">
        <v>234</v>
      </c>
      <c r="R236" s="19">
        <v>16</v>
      </c>
      <c r="S236" s="2">
        <v>149000</v>
      </c>
      <c r="T236" s="4">
        <v>0</v>
      </c>
      <c r="U236" s="4">
        <f t="shared" si="10"/>
        <v>0</v>
      </c>
      <c r="V236" s="3" t="s">
        <v>362</v>
      </c>
      <c r="W236" s="3">
        <v>2014</v>
      </c>
      <c r="X236" s="3" t="s">
        <v>18367</v>
      </c>
    </row>
    <row r="237" spans="1:24" ht="89.25">
      <c r="A237" s="3" t="s">
        <v>17375</v>
      </c>
      <c r="B237" s="6" t="s">
        <v>361</v>
      </c>
      <c r="C237" s="16" t="s">
        <v>14214</v>
      </c>
      <c r="D237" s="16" t="s">
        <v>467</v>
      </c>
      <c r="E237" s="16" t="s">
        <v>14215</v>
      </c>
      <c r="F237" s="6" t="s">
        <v>50</v>
      </c>
      <c r="G237" s="3" t="s">
        <v>11449</v>
      </c>
      <c r="H237" s="54">
        <v>0.64</v>
      </c>
      <c r="I237" s="16">
        <v>470000000</v>
      </c>
      <c r="J237" s="157" t="s">
        <v>229</v>
      </c>
      <c r="K237" s="5" t="s">
        <v>212</v>
      </c>
      <c r="L237" s="6" t="s">
        <v>12251</v>
      </c>
      <c r="M237" s="3" t="s">
        <v>12250</v>
      </c>
      <c r="N237" s="6" t="s">
        <v>7669</v>
      </c>
      <c r="O237" s="6" t="s">
        <v>233</v>
      </c>
      <c r="P237" s="58">
        <v>796</v>
      </c>
      <c r="Q237" s="6" t="s">
        <v>234</v>
      </c>
      <c r="R237" s="19">
        <v>16</v>
      </c>
      <c r="S237" s="2">
        <v>146020</v>
      </c>
      <c r="T237" s="4">
        <f>R237*S237</f>
        <v>2336320</v>
      </c>
      <c r="U237" s="4">
        <f t="shared" si="10"/>
        <v>2616678.4000000004</v>
      </c>
      <c r="V237" s="3" t="s">
        <v>362</v>
      </c>
      <c r="W237" s="3">
        <v>2014</v>
      </c>
      <c r="X237" s="3"/>
    </row>
    <row r="238" spans="1:24" ht="114.75">
      <c r="A238" s="3" t="s">
        <v>739</v>
      </c>
      <c r="B238" s="6" t="s">
        <v>361</v>
      </c>
      <c r="C238" s="16" t="s">
        <v>11407</v>
      </c>
      <c r="D238" s="16" t="s">
        <v>3021</v>
      </c>
      <c r="E238" s="16" t="s">
        <v>11408</v>
      </c>
      <c r="F238" s="6" t="s">
        <v>51</v>
      </c>
      <c r="G238" s="3" t="s">
        <v>11449</v>
      </c>
      <c r="H238" s="54">
        <v>0.64</v>
      </c>
      <c r="I238" s="16">
        <v>470000000</v>
      </c>
      <c r="J238" s="157" t="s">
        <v>229</v>
      </c>
      <c r="K238" s="5" t="s">
        <v>210</v>
      </c>
      <c r="L238" s="6" t="s">
        <v>232</v>
      </c>
      <c r="M238" s="3" t="s">
        <v>230</v>
      </c>
      <c r="N238" s="6" t="s">
        <v>7669</v>
      </c>
      <c r="O238" s="6" t="s">
        <v>233</v>
      </c>
      <c r="P238" s="58">
        <v>796</v>
      </c>
      <c r="Q238" s="6" t="s">
        <v>234</v>
      </c>
      <c r="R238" s="19">
        <v>3</v>
      </c>
      <c r="S238" s="2">
        <v>122701</v>
      </c>
      <c r="T238" s="4">
        <v>0</v>
      </c>
      <c r="U238" s="4">
        <f t="shared" si="10"/>
        <v>0</v>
      </c>
      <c r="V238" s="3" t="s">
        <v>362</v>
      </c>
      <c r="W238" s="3">
        <v>2014</v>
      </c>
      <c r="X238" s="3" t="s">
        <v>11811</v>
      </c>
    </row>
    <row r="239" spans="1:24" ht="114.75">
      <c r="A239" s="3" t="s">
        <v>14219</v>
      </c>
      <c r="B239" s="6" t="s">
        <v>361</v>
      </c>
      <c r="C239" s="6" t="s">
        <v>14220</v>
      </c>
      <c r="D239" s="6" t="s">
        <v>467</v>
      </c>
      <c r="E239" s="6" t="s">
        <v>14221</v>
      </c>
      <c r="F239" s="6" t="s">
        <v>51</v>
      </c>
      <c r="G239" s="3" t="s">
        <v>11449</v>
      </c>
      <c r="H239" s="54">
        <v>0.64</v>
      </c>
      <c r="I239" s="6">
        <v>470000000</v>
      </c>
      <c r="J239" s="243" t="s">
        <v>229</v>
      </c>
      <c r="K239" s="5" t="s">
        <v>210</v>
      </c>
      <c r="L239" s="6" t="s">
        <v>232</v>
      </c>
      <c r="M239" s="3" t="s">
        <v>230</v>
      </c>
      <c r="N239" s="6" t="s">
        <v>7669</v>
      </c>
      <c r="O239" s="6" t="s">
        <v>233</v>
      </c>
      <c r="P239" s="58">
        <v>796</v>
      </c>
      <c r="Q239" s="6" t="s">
        <v>234</v>
      </c>
      <c r="R239" s="19">
        <v>3</v>
      </c>
      <c r="S239" s="2">
        <v>122701</v>
      </c>
      <c r="T239" s="4">
        <v>0</v>
      </c>
      <c r="U239" s="4">
        <f t="shared" si="10"/>
        <v>0</v>
      </c>
      <c r="V239" s="3" t="s">
        <v>362</v>
      </c>
      <c r="W239" s="3">
        <v>2014</v>
      </c>
      <c r="X239" s="3" t="s">
        <v>12062</v>
      </c>
    </row>
    <row r="240" spans="1:24" ht="114.75">
      <c r="A240" s="3" t="s">
        <v>14398</v>
      </c>
      <c r="B240" s="6" t="s">
        <v>361</v>
      </c>
      <c r="C240" s="16" t="s">
        <v>14220</v>
      </c>
      <c r="D240" s="16" t="s">
        <v>467</v>
      </c>
      <c r="E240" s="16" t="s">
        <v>14221</v>
      </c>
      <c r="F240" s="6" t="s">
        <v>51</v>
      </c>
      <c r="G240" s="3" t="s">
        <v>11449</v>
      </c>
      <c r="H240" s="54">
        <v>0.64</v>
      </c>
      <c r="I240" s="16">
        <v>470000000</v>
      </c>
      <c r="J240" s="157" t="s">
        <v>229</v>
      </c>
      <c r="K240" s="5" t="s">
        <v>210</v>
      </c>
      <c r="L240" s="6" t="s">
        <v>232</v>
      </c>
      <c r="M240" s="3" t="s">
        <v>230</v>
      </c>
      <c r="N240" s="6" t="s">
        <v>7669</v>
      </c>
      <c r="O240" s="6" t="s">
        <v>233</v>
      </c>
      <c r="P240" s="58">
        <v>796</v>
      </c>
      <c r="Q240" s="6" t="s">
        <v>234</v>
      </c>
      <c r="R240" s="19">
        <v>12</v>
      </c>
      <c r="S240" s="2">
        <v>122701</v>
      </c>
      <c r="T240" s="4">
        <v>0</v>
      </c>
      <c r="U240" s="4">
        <f t="shared" si="10"/>
        <v>0</v>
      </c>
      <c r="V240" s="3" t="s">
        <v>362</v>
      </c>
      <c r="W240" s="3">
        <v>2014</v>
      </c>
      <c r="X240" s="3" t="s">
        <v>12313</v>
      </c>
    </row>
    <row r="241" spans="1:24" ht="89.25">
      <c r="A241" s="3" t="s">
        <v>17377</v>
      </c>
      <c r="B241" s="6" t="s">
        <v>361</v>
      </c>
      <c r="C241" s="16" t="s">
        <v>14220</v>
      </c>
      <c r="D241" s="16" t="s">
        <v>467</v>
      </c>
      <c r="E241" s="16" t="s">
        <v>14221</v>
      </c>
      <c r="F241" s="6" t="s">
        <v>51</v>
      </c>
      <c r="G241" s="3" t="s">
        <v>11449</v>
      </c>
      <c r="H241" s="54">
        <v>0.64</v>
      </c>
      <c r="I241" s="16">
        <v>470000000</v>
      </c>
      <c r="J241" s="157" t="s">
        <v>229</v>
      </c>
      <c r="K241" s="5" t="s">
        <v>212</v>
      </c>
      <c r="L241" s="6" t="s">
        <v>12251</v>
      </c>
      <c r="M241" s="3" t="s">
        <v>12250</v>
      </c>
      <c r="N241" s="6" t="s">
        <v>7669</v>
      </c>
      <c r="O241" s="6" t="s">
        <v>233</v>
      </c>
      <c r="P241" s="58">
        <v>796</v>
      </c>
      <c r="Q241" s="6" t="s">
        <v>234</v>
      </c>
      <c r="R241" s="322">
        <v>12</v>
      </c>
      <c r="S241" s="2">
        <v>122701</v>
      </c>
      <c r="T241" s="4">
        <v>0</v>
      </c>
      <c r="U241" s="4">
        <f t="shared" si="10"/>
        <v>0</v>
      </c>
      <c r="V241" s="3" t="s">
        <v>362</v>
      </c>
      <c r="W241" s="3">
        <v>2014</v>
      </c>
      <c r="X241" s="3" t="s">
        <v>12062</v>
      </c>
    </row>
    <row r="242" spans="1:24" ht="89.25">
      <c r="A242" s="3" t="s">
        <v>18743</v>
      </c>
      <c r="B242" s="6" t="s">
        <v>361</v>
      </c>
      <c r="C242" s="16" t="s">
        <v>14220</v>
      </c>
      <c r="D242" s="16" t="s">
        <v>467</v>
      </c>
      <c r="E242" s="16" t="s">
        <v>14221</v>
      </c>
      <c r="F242" s="6" t="s">
        <v>51</v>
      </c>
      <c r="G242" s="3" t="s">
        <v>11449</v>
      </c>
      <c r="H242" s="54">
        <v>0.64</v>
      </c>
      <c r="I242" s="16">
        <v>470000000</v>
      </c>
      <c r="J242" s="157" t="s">
        <v>229</v>
      </c>
      <c r="K242" s="5" t="s">
        <v>212</v>
      </c>
      <c r="L242" s="6" t="s">
        <v>12251</v>
      </c>
      <c r="M242" s="3" t="s">
        <v>12250</v>
      </c>
      <c r="N242" s="6" t="s">
        <v>7669</v>
      </c>
      <c r="O242" s="6" t="s">
        <v>233</v>
      </c>
      <c r="P242" s="58">
        <v>796</v>
      </c>
      <c r="Q242" s="6" t="s">
        <v>234</v>
      </c>
      <c r="R242" s="322">
        <v>13</v>
      </c>
      <c r="S242" s="2">
        <v>122701</v>
      </c>
      <c r="T242" s="4">
        <v>0</v>
      </c>
      <c r="U242" s="4">
        <f t="shared" si="10"/>
        <v>0</v>
      </c>
      <c r="V242" s="3" t="s">
        <v>362</v>
      </c>
      <c r="W242" s="3">
        <v>2014</v>
      </c>
      <c r="X242" s="3" t="s">
        <v>14780</v>
      </c>
    </row>
    <row r="243" spans="1:24" ht="89.25">
      <c r="A243" s="3" t="s">
        <v>19623</v>
      </c>
      <c r="B243" s="6" t="s">
        <v>361</v>
      </c>
      <c r="C243" s="16" t="s">
        <v>14220</v>
      </c>
      <c r="D243" s="16" t="s">
        <v>467</v>
      </c>
      <c r="E243" s="16" t="s">
        <v>14221</v>
      </c>
      <c r="F243" s="6" t="s">
        <v>51</v>
      </c>
      <c r="G243" s="3" t="s">
        <v>11449</v>
      </c>
      <c r="H243" s="54">
        <v>0.64</v>
      </c>
      <c r="I243" s="16">
        <v>470000000</v>
      </c>
      <c r="J243" s="157" t="s">
        <v>229</v>
      </c>
      <c r="K243" s="5" t="s">
        <v>17263</v>
      </c>
      <c r="L243" s="6" t="s">
        <v>12251</v>
      </c>
      <c r="M243" s="3" t="s">
        <v>12250</v>
      </c>
      <c r="N243" s="6" t="s">
        <v>7669</v>
      </c>
      <c r="O243" s="6" t="s">
        <v>233</v>
      </c>
      <c r="P243" s="58">
        <v>796</v>
      </c>
      <c r="Q243" s="6" t="s">
        <v>234</v>
      </c>
      <c r="R243" s="322">
        <v>16</v>
      </c>
      <c r="S243" s="2">
        <v>122701</v>
      </c>
      <c r="T243" s="4">
        <f>R243*S243</f>
        <v>1963216</v>
      </c>
      <c r="U243" s="4">
        <f t="shared" si="10"/>
        <v>2198801.9200000004</v>
      </c>
      <c r="V243" s="3" t="s">
        <v>362</v>
      </c>
      <c r="W243" s="3">
        <v>2014</v>
      </c>
      <c r="X243" s="3"/>
    </row>
    <row r="244" spans="1:24" ht="114.75">
      <c r="A244" s="3" t="s">
        <v>740</v>
      </c>
      <c r="B244" s="6" t="s">
        <v>361</v>
      </c>
      <c r="C244" s="16" t="s">
        <v>11407</v>
      </c>
      <c r="D244" s="16" t="s">
        <v>3021</v>
      </c>
      <c r="E244" s="16" t="s">
        <v>11408</v>
      </c>
      <c r="F244" s="6" t="s">
        <v>52</v>
      </c>
      <c r="G244" s="3" t="s">
        <v>11449</v>
      </c>
      <c r="H244" s="54">
        <v>0.64</v>
      </c>
      <c r="I244" s="16">
        <v>470000000</v>
      </c>
      <c r="J244" s="157" t="s">
        <v>229</v>
      </c>
      <c r="K244" s="5" t="s">
        <v>214</v>
      </c>
      <c r="L244" s="6" t="s">
        <v>232</v>
      </c>
      <c r="M244" s="3" t="s">
        <v>230</v>
      </c>
      <c r="N244" s="6" t="s">
        <v>7669</v>
      </c>
      <c r="O244" s="6" t="s">
        <v>233</v>
      </c>
      <c r="P244" s="58">
        <v>796</v>
      </c>
      <c r="Q244" s="6" t="s">
        <v>234</v>
      </c>
      <c r="R244" s="19">
        <v>40</v>
      </c>
      <c r="S244" s="2">
        <v>66305</v>
      </c>
      <c r="T244" s="4">
        <v>0</v>
      </c>
      <c r="U244" s="4">
        <f t="shared" si="10"/>
        <v>0</v>
      </c>
      <c r="V244" s="3" t="s">
        <v>362</v>
      </c>
      <c r="W244" s="3">
        <v>2014</v>
      </c>
      <c r="X244" s="3">
        <v>11</v>
      </c>
    </row>
    <row r="245" spans="1:24" ht="114.75">
      <c r="A245" s="3" t="s">
        <v>12100</v>
      </c>
      <c r="B245" s="6" t="s">
        <v>361</v>
      </c>
      <c r="C245" s="16" t="s">
        <v>11407</v>
      </c>
      <c r="D245" s="16" t="s">
        <v>3021</v>
      </c>
      <c r="E245" s="16" t="s">
        <v>11408</v>
      </c>
      <c r="F245" s="6" t="s">
        <v>52</v>
      </c>
      <c r="G245" s="3" t="s">
        <v>11449</v>
      </c>
      <c r="H245" s="54">
        <v>0.64</v>
      </c>
      <c r="I245" s="16">
        <v>470000000</v>
      </c>
      <c r="J245" s="157" t="s">
        <v>229</v>
      </c>
      <c r="K245" s="5" t="s">
        <v>12083</v>
      </c>
      <c r="L245" s="6" t="s">
        <v>232</v>
      </c>
      <c r="M245" s="3" t="s">
        <v>230</v>
      </c>
      <c r="N245" s="6" t="s">
        <v>7669</v>
      </c>
      <c r="O245" s="6" t="s">
        <v>233</v>
      </c>
      <c r="P245" s="58">
        <v>796</v>
      </c>
      <c r="Q245" s="6" t="s">
        <v>234</v>
      </c>
      <c r="R245" s="19">
        <v>40</v>
      </c>
      <c r="S245" s="2">
        <v>66305</v>
      </c>
      <c r="T245" s="4">
        <v>0</v>
      </c>
      <c r="U245" s="4">
        <f t="shared" si="10"/>
        <v>0</v>
      </c>
      <c r="V245" s="3" t="s">
        <v>362</v>
      </c>
      <c r="W245" s="3">
        <v>2014</v>
      </c>
      <c r="X245" s="3" t="s">
        <v>11811</v>
      </c>
    </row>
    <row r="246" spans="1:24" ht="114.75">
      <c r="A246" s="3" t="s">
        <v>14222</v>
      </c>
      <c r="B246" s="6" t="s">
        <v>361</v>
      </c>
      <c r="C246" s="6" t="s">
        <v>14223</v>
      </c>
      <c r="D246" s="6" t="s">
        <v>467</v>
      </c>
      <c r="E246" s="6" t="s">
        <v>14224</v>
      </c>
      <c r="F246" s="6" t="s">
        <v>52</v>
      </c>
      <c r="G246" s="3" t="s">
        <v>11449</v>
      </c>
      <c r="H246" s="54">
        <v>0.64</v>
      </c>
      <c r="I246" s="6">
        <v>470000000</v>
      </c>
      <c r="J246" s="243" t="s">
        <v>229</v>
      </c>
      <c r="K246" s="5" t="s">
        <v>12083</v>
      </c>
      <c r="L246" s="6" t="s">
        <v>232</v>
      </c>
      <c r="M246" s="3" t="s">
        <v>230</v>
      </c>
      <c r="N246" s="6" t="s">
        <v>7669</v>
      </c>
      <c r="O246" s="6" t="s">
        <v>233</v>
      </c>
      <c r="P246" s="58">
        <v>796</v>
      </c>
      <c r="Q246" s="6" t="s">
        <v>234</v>
      </c>
      <c r="R246" s="19">
        <v>40</v>
      </c>
      <c r="S246" s="2">
        <v>66305</v>
      </c>
      <c r="T246" s="4">
        <v>0</v>
      </c>
      <c r="U246" s="4">
        <f t="shared" si="10"/>
        <v>0</v>
      </c>
      <c r="V246" s="3" t="s">
        <v>362</v>
      </c>
      <c r="W246" s="3">
        <v>2014</v>
      </c>
      <c r="X246" s="3" t="s">
        <v>12062</v>
      </c>
    </row>
    <row r="247" spans="1:24" ht="114.75">
      <c r="A247" s="3" t="s">
        <v>14399</v>
      </c>
      <c r="B247" s="6" t="s">
        <v>361</v>
      </c>
      <c r="C247" s="16" t="s">
        <v>14223</v>
      </c>
      <c r="D247" s="16" t="s">
        <v>467</v>
      </c>
      <c r="E247" s="16" t="s">
        <v>14224</v>
      </c>
      <c r="F247" s="6" t="s">
        <v>52</v>
      </c>
      <c r="G247" s="3" t="s">
        <v>11449</v>
      </c>
      <c r="H247" s="54">
        <v>0.64</v>
      </c>
      <c r="I247" s="16">
        <v>470000000</v>
      </c>
      <c r="J247" s="157" t="s">
        <v>229</v>
      </c>
      <c r="K247" s="5" t="s">
        <v>12083</v>
      </c>
      <c r="L247" s="6" t="s">
        <v>232</v>
      </c>
      <c r="M247" s="3" t="s">
        <v>230</v>
      </c>
      <c r="N247" s="6" t="s">
        <v>7669</v>
      </c>
      <c r="O247" s="6" t="s">
        <v>233</v>
      </c>
      <c r="P247" s="58">
        <v>796</v>
      </c>
      <c r="Q247" s="6" t="s">
        <v>234</v>
      </c>
      <c r="R247" s="19">
        <v>46</v>
      </c>
      <c r="S247" s="2">
        <v>66305</v>
      </c>
      <c r="T247" s="4">
        <v>0</v>
      </c>
      <c r="U247" s="4">
        <f t="shared" si="10"/>
        <v>0</v>
      </c>
      <c r="V247" s="3" t="s">
        <v>362</v>
      </c>
      <c r="W247" s="3">
        <v>2014</v>
      </c>
      <c r="X247" s="3" t="s">
        <v>17376</v>
      </c>
    </row>
    <row r="248" spans="1:24" ht="89.25">
      <c r="A248" s="3" t="s">
        <v>17378</v>
      </c>
      <c r="B248" s="6" t="s">
        <v>361</v>
      </c>
      <c r="C248" s="16" t="s">
        <v>14223</v>
      </c>
      <c r="D248" s="16" t="s">
        <v>467</v>
      </c>
      <c r="E248" s="16" t="s">
        <v>14224</v>
      </c>
      <c r="F248" s="6" t="s">
        <v>52</v>
      </c>
      <c r="G248" s="3" t="s">
        <v>11449</v>
      </c>
      <c r="H248" s="54">
        <v>0.64</v>
      </c>
      <c r="I248" s="16">
        <v>470000000</v>
      </c>
      <c r="J248" s="157" t="s">
        <v>229</v>
      </c>
      <c r="K248" s="5" t="s">
        <v>12083</v>
      </c>
      <c r="L248" s="6" t="s">
        <v>12251</v>
      </c>
      <c r="M248" s="3" t="s">
        <v>12250</v>
      </c>
      <c r="N248" s="6" t="s">
        <v>7669</v>
      </c>
      <c r="O248" s="6" t="s">
        <v>233</v>
      </c>
      <c r="P248" s="58">
        <v>796</v>
      </c>
      <c r="Q248" s="6" t="s">
        <v>234</v>
      </c>
      <c r="R248" s="19">
        <v>46</v>
      </c>
      <c r="S248" s="2">
        <v>64315.85</v>
      </c>
      <c r="T248" s="4">
        <f>R248*S248</f>
        <v>2958529.1</v>
      </c>
      <c r="U248" s="4">
        <f t="shared" si="10"/>
        <v>3313552.5920000006</v>
      </c>
      <c r="V248" s="3" t="s">
        <v>362</v>
      </c>
      <c r="W248" s="3">
        <v>2014</v>
      </c>
      <c r="X248" s="3"/>
    </row>
    <row r="249" spans="1:24" ht="153">
      <c r="A249" s="3" t="s">
        <v>741</v>
      </c>
      <c r="B249" s="6" t="s">
        <v>361</v>
      </c>
      <c r="C249" s="16" t="s">
        <v>11407</v>
      </c>
      <c r="D249" s="16" t="s">
        <v>3021</v>
      </c>
      <c r="E249" s="16" t="s">
        <v>11408</v>
      </c>
      <c r="F249" s="6" t="s">
        <v>3022</v>
      </c>
      <c r="G249" s="3" t="s">
        <v>11449</v>
      </c>
      <c r="H249" s="54">
        <v>0.64</v>
      </c>
      <c r="I249" s="16">
        <v>470000000</v>
      </c>
      <c r="J249" s="157" t="s">
        <v>229</v>
      </c>
      <c r="K249" s="5" t="s">
        <v>214</v>
      </c>
      <c r="L249" s="6" t="s">
        <v>232</v>
      </c>
      <c r="M249" s="3" t="s">
        <v>230</v>
      </c>
      <c r="N249" s="6" t="s">
        <v>7669</v>
      </c>
      <c r="O249" s="6" t="s">
        <v>233</v>
      </c>
      <c r="P249" s="58">
        <v>796</v>
      </c>
      <c r="Q249" s="6" t="s">
        <v>234</v>
      </c>
      <c r="R249" s="19">
        <v>35</v>
      </c>
      <c r="S249" s="2">
        <v>66305</v>
      </c>
      <c r="T249" s="4">
        <v>0</v>
      </c>
      <c r="U249" s="4">
        <f t="shared" si="10"/>
        <v>0</v>
      </c>
      <c r="V249" s="3" t="s">
        <v>362</v>
      </c>
      <c r="W249" s="3">
        <v>2014</v>
      </c>
      <c r="X249" s="3">
        <v>11</v>
      </c>
    </row>
    <row r="250" spans="1:24" ht="153">
      <c r="A250" s="3" t="s">
        <v>12101</v>
      </c>
      <c r="B250" s="6" t="s">
        <v>361</v>
      </c>
      <c r="C250" s="16" t="s">
        <v>11407</v>
      </c>
      <c r="D250" s="16" t="s">
        <v>3021</v>
      </c>
      <c r="E250" s="16" t="s">
        <v>11408</v>
      </c>
      <c r="F250" s="6" t="s">
        <v>3022</v>
      </c>
      <c r="G250" s="3" t="s">
        <v>11449</v>
      </c>
      <c r="H250" s="54">
        <v>0.64</v>
      </c>
      <c r="I250" s="16">
        <v>470000000</v>
      </c>
      <c r="J250" s="157" t="s">
        <v>229</v>
      </c>
      <c r="K250" s="5" t="s">
        <v>12083</v>
      </c>
      <c r="L250" s="6" t="s">
        <v>232</v>
      </c>
      <c r="M250" s="3" t="s">
        <v>230</v>
      </c>
      <c r="N250" s="6" t="s">
        <v>7669</v>
      </c>
      <c r="O250" s="6" t="s">
        <v>233</v>
      </c>
      <c r="P250" s="58">
        <v>796</v>
      </c>
      <c r="Q250" s="6" t="s">
        <v>234</v>
      </c>
      <c r="R250" s="19">
        <v>35</v>
      </c>
      <c r="S250" s="2">
        <v>66305</v>
      </c>
      <c r="T250" s="4">
        <v>0</v>
      </c>
      <c r="U250" s="4">
        <f t="shared" si="10"/>
        <v>0</v>
      </c>
      <c r="V250" s="3" t="s">
        <v>362</v>
      </c>
      <c r="W250" s="3">
        <v>2014</v>
      </c>
      <c r="X250" s="3" t="s">
        <v>11811</v>
      </c>
    </row>
    <row r="251" spans="1:24" ht="153">
      <c r="A251" s="3" t="s">
        <v>14248</v>
      </c>
      <c r="B251" s="6" t="s">
        <v>361</v>
      </c>
      <c r="C251" s="6" t="s">
        <v>14249</v>
      </c>
      <c r="D251" s="6" t="s">
        <v>3021</v>
      </c>
      <c r="E251" s="6" t="s">
        <v>14250</v>
      </c>
      <c r="F251" s="6" t="s">
        <v>3022</v>
      </c>
      <c r="G251" s="3" t="s">
        <v>11449</v>
      </c>
      <c r="H251" s="54">
        <v>0.64</v>
      </c>
      <c r="I251" s="6">
        <v>470000000</v>
      </c>
      <c r="J251" s="243" t="s">
        <v>229</v>
      </c>
      <c r="K251" s="5" t="s">
        <v>12083</v>
      </c>
      <c r="L251" s="6" t="s">
        <v>232</v>
      </c>
      <c r="M251" s="3" t="s">
        <v>230</v>
      </c>
      <c r="N251" s="6" t="s">
        <v>7669</v>
      </c>
      <c r="O251" s="6" t="s">
        <v>233</v>
      </c>
      <c r="P251" s="58">
        <v>796</v>
      </c>
      <c r="Q251" s="6" t="s">
        <v>234</v>
      </c>
      <c r="R251" s="19">
        <v>35</v>
      </c>
      <c r="S251" s="2">
        <v>66305</v>
      </c>
      <c r="T251" s="4">
        <v>0</v>
      </c>
      <c r="U251" s="4">
        <f t="shared" si="10"/>
        <v>0</v>
      </c>
      <c r="V251" s="3" t="s">
        <v>362</v>
      </c>
      <c r="W251" s="3">
        <v>2014</v>
      </c>
      <c r="X251" s="3" t="s">
        <v>14132</v>
      </c>
    </row>
    <row r="252" spans="1:24" ht="153">
      <c r="A252" s="3" t="s">
        <v>14400</v>
      </c>
      <c r="B252" s="6" t="s">
        <v>361</v>
      </c>
      <c r="C252" s="16" t="s">
        <v>14249</v>
      </c>
      <c r="D252" s="16" t="s">
        <v>3021</v>
      </c>
      <c r="E252" s="16" t="s">
        <v>14250</v>
      </c>
      <c r="F252" s="6" t="s">
        <v>3022</v>
      </c>
      <c r="G252" s="3" t="s">
        <v>11449</v>
      </c>
      <c r="H252" s="54">
        <v>0.64</v>
      </c>
      <c r="I252" s="16">
        <v>470000000</v>
      </c>
      <c r="J252" s="157" t="s">
        <v>229</v>
      </c>
      <c r="K252" s="5" t="s">
        <v>12083</v>
      </c>
      <c r="L252" s="6" t="s">
        <v>232</v>
      </c>
      <c r="M252" s="3" t="s">
        <v>230</v>
      </c>
      <c r="N252" s="6" t="s">
        <v>7669</v>
      </c>
      <c r="O252" s="6" t="s">
        <v>233</v>
      </c>
      <c r="P252" s="58">
        <v>796</v>
      </c>
      <c r="Q252" s="6" t="s">
        <v>234</v>
      </c>
      <c r="R252" s="19">
        <v>37</v>
      </c>
      <c r="S252" s="2">
        <v>65874.899999999994</v>
      </c>
      <c r="T252" s="4">
        <v>0</v>
      </c>
      <c r="U252" s="4">
        <f t="shared" si="10"/>
        <v>0</v>
      </c>
      <c r="V252" s="3" t="s">
        <v>362</v>
      </c>
      <c r="W252" s="3">
        <v>2014</v>
      </c>
      <c r="X252" s="3" t="s">
        <v>14840</v>
      </c>
    </row>
    <row r="253" spans="1:24" ht="153">
      <c r="A253" s="3" t="s">
        <v>17379</v>
      </c>
      <c r="B253" s="6" t="s">
        <v>361</v>
      </c>
      <c r="C253" s="16" t="s">
        <v>14249</v>
      </c>
      <c r="D253" s="16" t="s">
        <v>3021</v>
      </c>
      <c r="E253" s="16" t="s">
        <v>14250</v>
      </c>
      <c r="F253" s="6" t="s">
        <v>3022</v>
      </c>
      <c r="G253" s="3" t="s">
        <v>11449</v>
      </c>
      <c r="H253" s="54">
        <v>0.64</v>
      </c>
      <c r="I253" s="16">
        <v>470000000</v>
      </c>
      <c r="J253" s="157" t="s">
        <v>229</v>
      </c>
      <c r="K253" s="5" t="s">
        <v>17373</v>
      </c>
      <c r="L253" s="6" t="s">
        <v>12251</v>
      </c>
      <c r="M253" s="3" t="s">
        <v>12250</v>
      </c>
      <c r="N253" s="6" t="s">
        <v>7669</v>
      </c>
      <c r="O253" s="6" t="s">
        <v>233</v>
      </c>
      <c r="P253" s="58">
        <v>796</v>
      </c>
      <c r="Q253" s="6" t="s">
        <v>234</v>
      </c>
      <c r="R253" s="19">
        <v>40</v>
      </c>
      <c r="S253" s="2">
        <v>64315.85</v>
      </c>
      <c r="T253" s="4">
        <f>R253*S253</f>
        <v>2572634</v>
      </c>
      <c r="U253" s="4">
        <f t="shared" si="10"/>
        <v>2881350.08</v>
      </c>
      <c r="V253" s="3" t="s">
        <v>362</v>
      </c>
      <c r="W253" s="3">
        <v>2014</v>
      </c>
      <c r="X253" s="3"/>
    </row>
    <row r="254" spans="1:24" ht="153">
      <c r="A254" s="3" t="s">
        <v>742</v>
      </c>
      <c r="B254" s="6" t="s">
        <v>361</v>
      </c>
      <c r="C254" s="16" t="s">
        <v>11407</v>
      </c>
      <c r="D254" s="16" t="s">
        <v>3021</v>
      </c>
      <c r="E254" s="16" t="s">
        <v>11408</v>
      </c>
      <c r="F254" s="6" t="s">
        <v>3023</v>
      </c>
      <c r="G254" s="3" t="s">
        <v>11449</v>
      </c>
      <c r="H254" s="54">
        <v>0.64</v>
      </c>
      <c r="I254" s="16">
        <v>470000000</v>
      </c>
      <c r="J254" s="157" t="s">
        <v>229</v>
      </c>
      <c r="K254" s="5" t="s">
        <v>214</v>
      </c>
      <c r="L254" s="6" t="s">
        <v>232</v>
      </c>
      <c r="M254" s="3" t="s">
        <v>230</v>
      </c>
      <c r="N254" s="6" t="s">
        <v>7669</v>
      </c>
      <c r="O254" s="6" t="s">
        <v>233</v>
      </c>
      <c r="P254" s="58">
        <v>796</v>
      </c>
      <c r="Q254" s="6" t="s">
        <v>234</v>
      </c>
      <c r="R254" s="19">
        <v>970</v>
      </c>
      <c r="S254" s="2">
        <v>63185</v>
      </c>
      <c r="T254" s="4">
        <v>0</v>
      </c>
      <c r="U254" s="4">
        <f t="shared" si="10"/>
        <v>0</v>
      </c>
      <c r="V254" s="3" t="s">
        <v>362</v>
      </c>
      <c r="W254" s="3">
        <v>2014</v>
      </c>
      <c r="X254" s="3">
        <v>11</v>
      </c>
    </row>
    <row r="255" spans="1:24" ht="153">
      <c r="A255" s="3" t="s">
        <v>12102</v>
      </c>
      <c r="B255" s="6" t="s">
        <v>361</v>
      </c>
      <c r="C255" s="16" t="s">
        <v>11407</v>
      </c>
      <c r="D255" s="16" t="s">
        <v>3021</v>
      </c>
      <c r="E255" s="16" t="s">
        <v>11408</v>
      </c>
      <c r="F255" s="6" t="s">
        <v>3023</v>
      </c>
      <c r="G255" s="3" t="s">
        <v>11449</v>
      </c>
      <c r="H255" s="54">
        <v>0.64</v>
      </c>
      <c r="I255" s="16">
        <v>470000000</v>
      </c>
      <c r="J255" s="157" t="s">
        <v>229</v>
      </c>
      <c r="K255" s="5" t="s">
        <v>12083</v>
      </c>
      <c r="L255" s="6" t="s">
        <v>232</v>
      </c>
      <c r="M255" s="3" t="s">
        <v>230</v>
      </c>
      <c r="N255" s="6" t="s">
        <v>7669</v>
      </c>
      <c r="O255" s="6" t="s">
        <v>233</v>
      </c>
      <c r="P255" s="58">
        <v>796</v>
      </c>
      <c r="Q255" s="6" t="s">
        <v>234</v>
      </c>
      <c r="R255" s="19">
        <v>970</v>
      </c>
      <c r="S255" s="2">
        <v>63185</v>
      </c>
      <c r="T255" s="4">
        <v>0</v>
      </c>
      <c r="U255" s="4">
        <f t="shared" si="10"/>
        <v>0</v>
      </c>
      <c r="V255" s="3" t="s">
        <v>362</v>
      </c>
      <c r="W255" s="3">
        <v>2014</v>
      </c>
      <c r="X255" s="3" t="s">
        <v>11811</v>
      </c>
    </row>
    <row r="256" spans="1:24" ht="153">
      <c r="A256" s="3" t="s">
        <v>14216</v>
      </c>
      <c r="B256" s="6" t="s">
        <v>361</v>
      </c>
      <c r="C256" s="6" t="s">
        <v>14217</v>
      </c>
      <c r="D256" s="6" t="s">
        <v>467</v>
      </c>
      <c r="E256" s="6" t="s">
        <v>14218</v>
      </c>
      <c r="F256" s="6" t="s">
        <v>3023</v>
      </c>
      <c r="G256" s="3" t="s">
        <v>11449</v>
      </c>
      <c r="H256" s="54">
        <v>0.64</v>
      </c>
      <c r="I256" s="6">
        <v>470000000</v>
      </c>
      <c r="J256" s="243" t="s">
        <v>229</v>
      </c>
      <c r="K256" s="5" t="s">
        <v>12083</v>
      </c>
      <c r="L256" s="6" t="s">
        <v>232</v>
      </c>
      <c r="M256" s="3" t="s">
        <v>230</v>
      </c>
      <c r="N256" s="6" t="s">
        <v>7669</v>
      </c>
      <c r="O256" s="6" t="s">
        <v>233</v>
      </c>
      <c r="P256" s="58">
        <v>796</v>
      </c>
      <c r="Q256" s="6" t="s">
        <v>234</v>
      </c>
      <c r="R256" s="19">
        <v>970</v>
      </c>
      <c r="S256" s="2">
        <v>63185</v>
      </c>
      <c r="T256" s="4">
        <v>0</v>
      </c>
      <c r="U256" s="4">
        <f t="shared" si="10"/>
        <v>0</v>
      </c>
      <c r="V256" s="3" t="s">
        <v>362</v>
      </c>
      <c r="W256" s="3">
        <v>2014</v>
      </c>
      <c r="X256" s="3" t="s">
        <v>14132</v>
      </c>
    </row>
    <row r="257" spans="1:24" ht="153">
      <c r="A257" s="3" t="s">
        <v>14401</v>
      </c>
      <c r="B257" s="6" t="s">
        <v>361</v>
      </c>
      <c r="C257" s="16" t="s">
        <v>14217</v>
      </c>
      <c r="D257" s="16" t="s">
        <v>467</v>
      </c>
      <c r="E257" s="16" t="s">
        <v>14218</v>
      </c>
      <c r="F257" s="6" t="s">
        <v>3023</v>
      </c>
      <c r="G257" s="3" t="s">
        <v>11449</v>
      </c>
      <c r="H257" s="54">
        <v>0.64</v>
      </c>
      <c r="I257" s="16">
        <v>470000000</v>
      </c>
      <c r="J257" s="157" t="s">
        <v>229</v>
      </c>
      <c r="K257" s="5" t="s">
        <v>12083</v>
      </c>
      <c r="L257" s="6" t="s">
        <v>232</v>
      </c>
      <c r="M257" s="3" t="s">
        <v>230</v>
      </c>
      <c r="N257" s="6" t="s">
        <v>7669</v>
      </c>
      <c r="O257" s="6" t="s">
        <v>233</v>
      </c>
      <c r="P257" s="58">
        <v>796</v>
      </c>
      <c r="Q257" s="6" t="s">
        <v>234</v>
      </c>
      <c r="R257" s="19">
        <v>866</v>
      </c>
      <c r="S257" s="2">
        <v>62966.11</v>
      </c>
      <c r="T257" s="4">
        <v>0</v>
      </c>
      <c r="U257" s="4">
        <f t="shared" si="10"/>
        <v>0</v>
      </c>
      <c r="V257" s="3" t="s">
        <v>362</v>
      </c>
      <c r="W257" s="3">
        <v>2014</v>
      </c>
      <c r="X257" s="3" t="s">
        <v>17354</v>
      </c>
    </row>
    <row r="258" spans="1:24" ht="153">
      <c r="A258" s="3" t="s">
        <v>17380</v>
      </c>
      <c r="B258" s="6" t="s">
        <v>361</v>
      </c>
      <c r="C258" s="16" t="s">
        <v>14217</v>
      </c>
      <c r="D258" s="16" t="s">
        <v>467</v>
      </c>
      <c r="E258" s="16" t="s">
        <v>14218</v>
      </c>
      <c r="F258" s="6" t="s">
        <v>3023</v>
      </c>
      <c r="G258" s="3" t="s">
        <v>11449</v>
      </c>
      <c r="H258" s="54">
        <v>0.64</v>
      </c>
      <c r="I258" s="16">
        <v>470000000</v>
      </c>
      <c r="J258" s="157" t="s">
        <v>229</v>
      </c>
      <c r="K258" s="5" t="s">
        <v>17373</v>
      </c>
      <c r="L258" s="6" t="s">
        <v>12251</v>
      </c>
      <c r="M258" s="3" t="s">
        <v>12250</v>
      </c>
      <c r="N258" s="6" t="s">
        <v>7669</v>
      </c>
      <c r="O258" s="6" t="s">
        <v>233</v>
      </c>
      <c r="P258" s="58">
        <v>796</v>
      </c>
      <c r="Q258" s="6" t="s">
        <v>234</v>
      </c>
      <c r="R258" s="19">
        <v>866</v>
      </c>
      <c r="S258" s="2">
        <v>63185</v>
      </c>
      <c r="T258" s="4">
        <v>0</v>
      </c>
      <c r="U258" s="4">
        <f t="shared" si="10"/>
        <v>0</v>
      </c>
      <c r="V258" s="3" t="s">
        <v>362</v>
      </c>
      <c r="W258" s="3">
        <v>2014</v>
      </c>
      <c r="X258" s="3" t="s">
        <v>12062</v>
      </c>
    </row>
    <row r="259" spans="1:24" ht="153">
      <c r="A259" s="3" t="s">
        <v>19264</v>
      </c>
      <c r="B259" s="6" t="s">
        <v>361</v>
      </c>
      <c r="C259" s="16" t="s">
        <v>14217</v>
      </c>
      <c r="D259" s="16" t="s">
        <v>467</v>
      </c>
      <c r="E259" s="16" t="s">
        <v>14218</v>
      </c>
      <c r="F259" s="6" t="s">
        <v>3023</v>
      </c>
      <c r="G259" s="3" t="s">
        <v>11449</v>
      </c>
      <c r="H259" s="54">
        <v>0.64</v>
      </c>
      <c r="I259" s="16">
        <v>470000000</v>
      </c>
      <c r="J259" s="157" t="s">
        <v>229</v>
      </c>
      <c r="K259" s="5" t="s">
        <v>17373</v>
      </c>
      <c r="L259" s="6" t="s">
        <v>12251</v>
      </c>
      <c r="M259" s="3" t="s">
        <v>12250</v>
      </c>
      <c r="N259" s="6" t="s">
        <v>7669</v>
      </c>
      <c r="O259" s="6" t="s">
        <v>233</v>
      </c>
      <c r="P259" s="58">
        <v>796</v>
      </c>
      <c r="Q259" s="6" t="s">
        <v>234</v>
      </c>
      <c r="R259" s="19">
        <v>1190</v>
      </c>
      <c r="S259" s="2">
        <v>63185</v>
      </c>
      <c r="T259" s="4">
        <f>R259*S259</f>
        <v>75190150</v>
      </c>
      <c r="U259" s="4">
        <f t="shared" ref="U259" si="13">T259*1.12</f>
        <v>84212968.000000015</v>
      </c>
      <c r="V259" s="3" t="s">
        <v>362</v>
      </c>
      <c r="W259" s="3">
        <v>2014</v>
      </c>
      <c r="X259" s="3"/>
    </row>
    <row r="260" spans="1:24" ht="114.75">
      <c r="A260" s="3" t="s">
        <v>743</v>
      </c>
      <c r="B260" s="6" t="s">
        <v>361</v>
      </c>
      <c r="C260" s="6" t="s">
        <v>3036</v>
      </c>
      <c r="D260" s="3" t="s">
        <v>3037</v>
      </c>
      <c r="E260" s="6" t="s">
        <v>3038</v>
      </c>
      <c r="F260" s="6" t="s">
        <v>53</v>
      </c>
      <c r="G260" s="3" t="s">
        <v>11449</v>
      </c>
      <c r="H260" s="54">
        <v>0.64</v>
      </c>
      <c r="I260" s="16">
        <v>470000000</v>
      </c>
      <c r="J260" s="157" t="s">
        <v>229</v>
      </c>
      <c r="K260" s="5" t="s">
        <v>210</v>
      </c>
      <c r="L260" s="6" t="s">
        <v>232</v>
      </c>
      <c r="M260" s="3" t="s">
        <v>230</v>
      </c>
      <c r="N260" s="6" t="s">
        <v>7669</v>
      </c>
      <c r="O260" s="6" t="s">
        <v>233</v>
      </c>
      <c r="P260" s="58">
        <v>796</v>
      </c>
      <c r="Q260" s="6" t="s">
        <v>234</v>
      </c>
      <c r="R260" s="19">
        <v>8</v>
      </c>
      <c r="S260" s="2">
        <v>146458</v>
      </c>
      <c r="T260" s="4">
        <v>0</v>
      </c>
      <c r="U260" s="4">
        <f t="shared" si="10"/>
        <v>0</v>
      </c>
      <c r="V260" s="3" t="s">
        <v>362</v>
      </c>
      <c r="W260" s="3">
        <v>2014</v>
      </c>
      <c r="X260" s="3" t="s">
        <v>14230</v>
      </c>
    </row>
    <row r="261" spans="1:24" ht="114.75">
      <c r="A261" s="3" t="s">
        <v>14402</v>
      </c>
      <c r="B261" s="6" t="s">
        <v>361</v>
      </c>
      <c r="C261" s="6" t="s">
        <v>3036</v>
      </c>
      <c r="D261" s="3" t="s">
        <v>3037</v>
      </c>
      <c r="E261" s="6" t="s">
        <v>3038</v>
      </c>
      <c r="F261" s="6" t="s">
        <v>53</v>
      </c>
      <c r="G261" s="3" t="s">
        <v>11449</v>
      </c>
      <c r="H261" s="54">
        <v>0.64</v>
      </c>
      <c r="I261" s="16">
        <v>470000000</v>
      </c>
      <c r="J261" s="157" t="s">
        <v>229</v>
      </c>
      <c r="K261" s="5" t="s">
        <v>210</v>
      </c>
      <c r="L261" s="6" t="s">
        <v>232</v>
      </c>
      <c r="M261" s="3" t="s">
        <v>230</v>
      </c>
      <c r="N261" s="6" t="s">
        <v>7669</v>
      </c>
      <c r="O261" s="6" t="s">
        <v>233</v>
      </c>
      <c r="P261" s="58">
        <v>796</v>
      </c>
      <c r="Q261" s="6" t="s">
        <v>234</v>
      </c>
      <c r="R261" s="19">
        <v>8</v>
      </c>
      <c r="S261" s="2">
        <v>143528.84</v>
      </c>
      <c r="T261" s="4">
        <v>0</v>
      </c>
      <c r="U261" s="4">
        <f t="shared" si="10"/>
        <v>0</v>
      </c>
      <c r="V261" s="3" t="s">
        <v>362</v>
      </c>
      <c r="W261" s="3">
        <v>2014</v>
      </c>
      <c r="X261" s="3" t="s">
        <v>12313</v>
      </c>
    </row>
    <row r="262" spans="1:24" ht="89.25">
      <c r="A262" s="3" t="s">
        <v>17381</v>
      </c>
      <c r="B262" s="6" t="s">
        <v>361</v>
      </c>
      <c r="C262" s="6" t="s">
        <v>3036</v>
      </c>
      <c r="D262" s="3" t="s">
        <v>3037</v>
      </c>
      <c r="E262" s="6" t="s">
        <v>3038</v>
      </c>
      <c r="F262" s="6" t="s">
        <v>53</v>
      </c>
      <c r="G262" s="3" t="s">
        <v>11449</v>
      </c>
      <c r="H262" s="54">
        <v>0.64</v>
      </c>
      <c r="I262" s="16">
        <v>470000000</v>
      </c>
      <c r="J262" s="157" t="s">
        <v>229</v>
      </c>
      <c r="K262" s="5" t="s">
        <v>17401</v>
      </c>
      <c r="L262" s="6" t="s">
        <v>12251</v>
      </c>
      <c r="M262" s="3" t="s">
        <v>12250</v>
      </c>
      <c r="N262" s="6" t="s">
        <v>7669</v>
      </c>
      <c r="O262" s="6" t="s">
        <v>233</v>
      </c>
      <c r="P262" s="58">
        <v>796</v>
      </c>
      <c r="Q262" s="6" t="s">
        <v>234</v>
      </c>
      <c r="R262" s="19">
        <v>8</v>
      </c>
      <c r="S262" s="2">
        <v>143528.84</v>
      </c>
      <c r="T262" s="4">
        <f>R262*S262</f>
        <v>1148230.72</v>
      </c>
      <c r="U262" s="4">
        <f t="shared" si="10"/>
        <v>1286018.4064</v>
      </c>
      <c r="V262" s="3" t="s">
        <v>362</v>
      </c>
      <c r="W262" s="3">
        <v>2014</v>
      </c>
      <c r="X262" s="3"/>
    </row>
    <row r="263" spans="1:24" ht="114.75">
      <c r="A263" s="3" t="s">
        <v>744</v>
      </c>
      <c r="B263" s="6" t="s">
        <v>361</v>
      </c>
      <c r="C263" s="6" t="s">
        <v>3036</v>
      </c>
      <c r="D263" s="3" t="s">
        <v>3037</v>
      </c>
      <c r="E263" s="6" t="s">
        <v>3038</v>
      </c>
      <c r="F263" s="6" t="s">
        <v>54</v>
      </c>
      <c r="G263" s="3" t="s">
        <v>11449</v>
      </c>
      <c r="H263" s="54">
        <v>0.64</v>
      </c>
      <c r="I263" s="16">
        <v>470000000</v>
      </c>
      <c r="J263" s="157" t="s">
        <v>229</v>
      </c>
      <c r="K263" s="5" t="s">
        <v>210</v>
      </c>
      <c r="L263" s="6" t="s">
        <v>232</v>
      </c>
      <c r="M263" s="3" t="s">
        <v>230</v>
      </c>
      <c r="N263" s="6" t="s">
        <v>7669</v>
      </c>
      <c r="O263" s="6" t="s">
        <v>233</v>
      </c>
      <c r="P263" s="58">
        <v>796</v>
      </c>
      <c r="Q263" s="6" t="s">
        <v>234</v>
      </c>
      <c r="R263" s="19">
        <v>0</v>
      </c>
      <c r="S263" s="2">
        <v>136182</v>
      </c>
      <c r="T263" s="4">
        <f>R263*S263</f>
        <v>0</v>
      </c>
      <c r="U263" s="4">
        <f t="shared" si="10"/>
        <v>0</v>
      </c>
      <c r="V263" s="3" t="s">
        <v>362</v>
      </c>
      <c r="W263" s="3">
        <v>2014</v>
      </c>
      <c r="X263" s="3" t="s">
        <v>12076</v>
      </c>
    </row>
    <row r="264" spans="1:24" ht="114.75">
      <c r="A264" s="3" t="s">
        <v>745</v>
      </c>
      <c r="B264" s="6" t="s">
        <v>361</v>
      </c>
      <c r="C264" s="6" t="s">
        <v>3036</v>
      </c>
      <c r="D264" s="3" t="s">
        <v>3037</v>
      </c>
      <c r="E264" s="6" t="s">
        <v>3038</v>
      </c>
      <c r="F264" s="6" t="s">
        <v>55</v>
      </c>
      <c r="G264" s="3" t="s">
        <v>11449</v>
      </c>
      <c r="H264" s="54">
        <v>0.64</v>
      </c>
      <c r="I264" s="16">
        <v>470000000</v>
      </c>
      <c r="J264" s="157" t="s">
        <v>229</v>
      </c>
      <c r="K264" s="5" t="s">
        <v>214</v>
      </c>
      <c r="L264" s="6" t="s">
        <v>232</v>
      </c>
      <c r="M264" s="3" t="s">
        <v>230</v>
      </c>
      <c r="N264" s="6" t="s">
        <v>7669</v>
      </c>
      <c r="O264" s="6" t="s">
        <v>233</v>
      </c>
      <c r="P264" s="58">
        <v>796</v>
      </c>
      <c r="Q264" s="6" t="s">
        <v>234</v>
      </c>
      <c r="R264" s="19">
        <v>25</v>
      </c>
      <c r="S264" s="2">
        <v>66725</v>
      </c>
      <c r="T264" s="4">
        <v>0</v>
      </c>
      <c r="U264" s="4">
        <f t="shared" si="10"/>
        <v>0</v>
      </c>
      <c r="V264" s="3" t="s">
        <v>362</v>
      </c>
      <c r="W264" s="3">
        <v>2014</v>
      </c>
      <c r="X264" s="6" t="s">
        <v>17347</v>
      </c>
    </row>
    <row r="265" spans="1:24" ht="89.25">
      <c r="A265" s="3" t="s">
        <v>12103</v>
      </c>
      <c r="B265" s="6" t="s">
        <v>361</v>
      </c>
      <c r="C265" s="6" t="s">
        <v>3036</v>
      </c>
      <c r="D265" s="3" t="s">
        <v>3037</v>
      </c>
      <c r="E265" s="6" t="s">
        <v>3038</v>
      </c>
      <c r="F265" s="6" t="s">
        <v>55</v>
      </c>
      <c r="G265" s="3" t="s">
        <v>11449</v>
      </c>
      <c r="H265" s="54">
        <v>0.64</v>
      </c>
      <c r="I265" s="16">
        <v>470000000</v>
      </c>
      <c r="J265" s="157" t="s">
        <v>229</v>
      </c>
      <c r="K265" s="5" t="s">
        <v>17401</v>
      </c>
      <c r="L265" s="6" t="s">
        <v>12251</v>
      </c>
      <c r="M265" s="3" t="s">
        <v>12250</v>
      </c>
      <c r="N265" s="6" t="s">
        <v>7669</v>
      </c>
      <c r="O265" s="6" t="s">
        <v>233</v>
      </c>
      <c r="P265" s="58">
        <v>796</v>
      </c>
      <c r="Q265" s="6" t="s">
        <v>234</v>
      </c>
      <c r="R265" s="19">
        <v>2</v>
      </c>
      <c r="S265" s="2">
        <v>66725</v>
      </c>
      <c r="T265" s="4">
        <f>R265*S265</f>
        <v>133450</v>
      </c>
      <c r="U265" s="4">
        <f t="shared" si="10"/>
        <v>149464</v>
      </c>
      <c r="V265" s="3" t="s">
        <v>362</v>
      </c>
      <c r="W265" s="3">
        <v>2014</v>
      </c>
      <c r="X265" s="3"/>
    </row>
    <row r="266" spans="1:24" ht="153">
      <c r="A266" s="3" t="s">
        <v>746</v>
      </c>
      <c r="B266" s="6" t="s">
        <v>361</v>
      </c>
      <c r="C266" s="6" t="s">
        <v>3036</v>
      </c>
      <c r="D266" s="3" t="s">
        <v>3037</v>
      </c>
      <c r="E266" s="6" t="s">
        <v>3038</v>
      </c>
      <c r="F266" s="6" t="s">
        <v>3025</v>
      </c>
      <c r="G266" s="3" t="s">
        <v>11449</v>
      </c>
      <c r="H266" s="54">
        <v>0.64</v>
      </c>
      <c r="I266" s="16">
        <v>470000000</v>
      </c>
      <c r="J266" s="157" t="s">
        <v>229</v>
      </c>
      <c r="K266" s="5" t="s">
        <v>214</v>
      </c>
      <c r="L266" s="6" t="s">
        <v>232</v>
      </c>
      <c r="M266" s="3" t="s">
        <v>230</v>
      </c>
      <c r="N266" s="6" t="s">
        <v>7669</v>
      </c>
      <c r="O266" s="6" t="s">
        <v>233</v>
      </c>
      <c r="P266" s="58">
        <v>796</v>
      </c>
      <c r="Q266" s="6" t="s">
        <v>234</v>
      </c>
      <c r="R266" s="19">
        <v>13</v>
      </c>
      <c r="S266" s="2">
        <v>66725</v>
      </c>
      <c r="T266" s="4">
        <v>0</v>
      </c>
      <c r="U266" s="4">
        <f t="shared" si="10"/>
        <v>0</v>
      </c>
      <c r="V266" s="3" t="s">
        <v>362</v>
      </c>
      <c r="W266" s="3">
        <v>2014</v>
      </c>
      <c r="X266" s="3">
        <v>11</v>
      </c>
    </row>
    <row r="267" spans="1:24" ht="153">
      <c r="A267" s="3" t="s">
        <v>12104</v>
      </c>
      <c r="B267" s="6" t="s">
        <v>361</v>
      </c>
      <c r="C267" s="6" t="s">
        <v>3036</v>
      </c>
      <c r="D267" s="3" t="s">
        <v>3037</v>
      </c>
      <c r="E267" s="6" t="s">
        <v>3038</v>
      </c>
      <c r="F267" s="6" t="s">
        <v>3025</v>
      </c>
      <c r="G267" s="3" t="s">
        <v>11449</v>
      </c>
      <c r="H267" s="54">
        <v>0.64</v>
      </c>
      <c r="I267" s="16">
        <v>470000000</v>
      </c>
      <c r="J267" s="157" t="s">
        <v>229</v>
      </c>
      <c r="K267" s="5" t="s">
        <v>12083</v>
      </c>
      <c r="L267" s="6" t="s">
        <v>232</v>
      </c>
      <c r="M267" s="3" t="s">
        <v>230</v>
      </c>
      <c r="N267" s="6" t="s">
        <v>7669</v>
      </c>
      <c r="O267" s="6" t="s">
        <v>233</v>
      </c>
      <c r="P267" s="58">
        <v>796</v>
      </c>
      <c r="Q267" s="6" t="s">
        <v>234</v>
      </c>
      <c r="R267" s="19">
        <v>0</v>
      </c>
      <c r="S267" s="2">
        <v>66725</v>
      </c>
      <c r="T267" s="4">
        <f>R267*S267</f>
        <v>0</v>
      </c>
      <c r="U267" s="4">
        <f t="shared" si="10"/>
        <v>0</v>
      </c>
      <c r="V267" s="3" t="s">
        <v>362</v>
      </c>
      <c r="W267" s="3">
        <v>2014</v>
      </c>
      <c r="X267" s="3" t="s">
        <v>12076</v>
      </c>
    </row>
    <row r="268" spans="1:24" ht="165.75">
      <c r="A268" s="3" t="s">
        <v>747</v>
      </c>
      <c r="B268" s="6" t="s">
        <v>361</v>
      </c>
      <c r="C268" s="6" t="s">
        <v>3036</v>
      </c>
      <c r="D268" s="3" t="s">
        <v>3037</v>
      </c>
      <c r="E268" s="6" t="s">
        <v>3038</v>
      </c>
      <c r="F268" s="6" t="s">
        <v>3024</v>
      </c>
      <c r="G268" s="3" t="s">
        <v>11449</v>
      </c>
      <c r="H268" s="54">
        <v>0.64</v>
      </c>
      <c r="I268" s="16">
        <v>470000000</v>
      </c>
      <c r="J268" s="157" t="s">
        <v>229</v>
      </c>
      <c r="K268" s="5" t="s">
        <v>214</v>
      </c>
      <c r="L268" s="6" t="s">
        <v>232</v>
      </c>
      <c r="M268" s="3" t="s">
        <v>230</v>
      </c>
      <c r="N268" s="6" t="s">
        <v>7669</v>
      </c>
      <c r="O268" s="6" t="s">
        <v>233</v>
      </c>
      <c r="P268" s="58">
        <v>796</v>
      </c>
      <c r="Q268" s="6" t="s">
        <v>234</v>
      </c>
      <c r="R268" s="19">
        <v>92</v>
      </c>
      <c r="S268" s="2">
        <v>64189</v>
      </c>
      <c r="T268" s="4">
        <v>0</v>
      </c>
      <c r="U268" s="4">
        <f t="shared" si="10"/>
        <v>0</v>
      </c>
      <c r="V268" s="3" t="s">
        <v>362</v>
      </c>
      <c r="W268" s="3">
        <v>2014</v>
      </c>
      <c r="X268" s="3">
        <v>11</v>
      </c>
    </row>
    <row r="269" spans="1:24" ht="165.75">
      <c r="A269" s="3" t="s">
        <v>12105</v>
      </c>
      <c r="B269" s="6" t="s">
        <v>361</v>
      </c>
      <c r="C269" s="6" t="s">
        <v>3036</v>
      </c>
      <c r="D269" s="3" t="s">
        <v>3037</v>
      </c>
      <c r="E269" s="6" t="s">
        <v>3038</v>
      </c>
      <c r="F269" s="6" t="s">
        <v>3024</v>
      </c>
      <c r="G269" s="3" t="s">
        <v>11449</v>
      </c>
      <c r="H269" s="54">
        <v>0.64</v>
      </c>
      <c r="I269" s="16">
        <v>470000000</v>
      </c>
      <c r="J269" s="157" t="s">
        <v>229</v>
      </c>
      <c r="K269" s="5" t="s">
        <v>12083</v>
      </c>
      <c r="L269" s="6" t="s">
        <v>232</v>
      </c>
      <c r="M269" s="3" t="s">
        <v>230</v>
      </c>
      <c r="N269" s="6" t="s">
        <v>7669</v>
      </c>
      <c r="O269" s="6" t="s">
        <v>233</v>
      </c>
      <c r="P269" s="58">
        <v>796</v>
      </c>
      <c r="Q269" s="6" t="s">
        <v>234</v>
      </c>
      <c r="R269" s="19">
        <v>92</v>
      </c>
      <c r="S269" s="2">
        <v>64189</v>
      </c>
      <c r="T269" s="4">
        <v>0</v>
      </c>
      <c r="U269" s="4">
        <f t="shared" si="10"/>
        <v>0</v>
      </c>
      <c r="V269" s="3" t="s">
        <v>362</v>
      </c>
      <c r="W269" s="3">
        <v>2014</v>
      </c>
      <c r="X269" s="3" t="s">
        <v>14132</v>
      </c>
    </row>
    <row r="270" spans="1:24" ht="165.75">
      <c r="A270" s="3" t="s">
        <v>14403</v>
      </c>
      <c r="B270" s="6" t="s">
        <v>361</v>
      </c>
      <c r="C270" s="6" t="s">
        <v>3036</v>
      </c>
      <c r="D270" s="3" t="s">
        <v>3037</v>
      </c>
      <c r="E270" s="6" t="s">
        <v>3038</v>
      </c>
      <c r="F270" s="6" t="s">
        <v>3024</v>
      </c>
      <c r="G270" s="3" t="s">
        <v>11449</v>
      </c>
      <c r="H270" s="54">
        <v>0.64</v>
      </c>
      <c r="I270" s="16">
        <v>470000000</v>
      </c>
      <c r="J270" s="157" t="s">
        <v>229</v>
      </c>
      <c r="K270" s="5" t="s">
        <v>12083</v>
      </c>
      <c r="L270" s="6" t="s">
        <v>232</v>
      </c>
      <c r="M270" s="3" t="s">
        <v>230</v>
      </c>
      <c r="N270" s="6" t="s">
        <v>7669</v>
      </c>
      <c r="O270" s="6" t="s">
        <v>233</v>
      </c>
      <c r="P270" s="58">
        <v>796</v>
      </c>
      <c r="Q270" s="6" t="s">
        <v>234</v>
      </c>
      <c r="R270" s="19">
        <v>60</v>
      </c>
      <c r="S270" s="2">
        <v>63547.11</v>
      </c>
      <c r="T270" s="4">
        <v>0</v>
      </c>
      <c r="U270" s="4">
        <f t="shared" ref="U270:U318" si="14">T270*1.12</f>
        <v>0</v>
      </c>
      <c r="V270" s="3" t="s">
        <v>362</v>
      </c>
      <c r="W270" s="3">
        <v>2014</v>
      </c>
      <c r="X270" s="3" t="s">
        <v>14840</v>
      </c>
    </row>
    <row r="271" spans="1:24" ht="165.75">
      <c r="A271" s="3" t="s">
        <v>17382</v>
      </c>
      <c r="B271" s="6" t="s">
        <v>361</v>
      </c>
      <c r="C271" s="6" t="s">
        <v>3036</v>
      </c>
      <c r="D271" s="3" t="s">
        <v>3037</v>
      </c>
      <c r="E271" s="6" t="s">
        <v>3038</v>
      </c>
      <c r="F271" s="6" t="s">
        <v>3024</v>
      </c>
      <c r="G271" s="3" t="s">
        <v>11449</v>
      </c>
      <c r="H271" s="54">
        <v>0.64</v>
      </c>
      <c r="I271" s="16">
        <v>470000000</v>
      </c>
      <c r="J271" s="157" t="s">
        <v>229</v>
      </c>
      <c r="K271" s="5" t="s">
        <v>17373</v>
      </c>
      <c r="L271" s="6" t="s">
        <v>12251</v>
      </c>
      <c r="M271" s="3" t="s">
        <v>12250</v>
      </c>
      <c r="N271" s="6" t="s">
        <v>7669</v>
      </c>
      <c r="O271" s="6" t="s">
        <v>233</v>
      </c>
      <c r="P271" s="58">
        <v>796</v>
      </c>
      <c r="Q271" s="6" t="s">
        <v>234</v>
      </c>
      <c r="R271" s="19">
        <v>61</v>
      </c>
      <c r="S271" s="2">
        <v>64189</v>
      </c>
      <c r="T271" s="4">
        <f>R271*S271</f>
        <v>3915529</v>
      </c>
      <c r="U271" s="4">
        <f t="shared" si="14"/>
        <v>4385392.4800000004</v>
      </c>
      <c r="V271" s="3" t="s">
        <v>362</v>
      </c>
      <c r="W271" s="3">
        <v>2014</v>
      </c>
      <c r="X271" s="3"/>
    </row>
    <row r="272" spans="1:24" ht="165.75">
      <c r="A272" s="3" t="s">
        <v>748</v>
      </c>
      <c r="B272" s="6" t="s">
        <v>361</v>
      </c>
      <c r="C272" s="6" t="s">
        <v>3036</v>
      </c>
      <c r="D272" s="3" t="s">
        <v>3037</v>
      </c>
      <c r="E272" s="6" t="s">
        <v>3038</v>
      </c>
      <c r="F272" s="6" t="s">
        <v>3026</v>
      </c>
      <c r="G272" s="3" t="s">
        <v>11449</v>
      </c>
      <c r="H272" s="54">
        <v>0.64</v>
      </c>
      <c r="I272" s="16">
        <v>470000000</v>
      </c>
      <c r="J272" s="157" t="s">
        <v>229</v>
      </c>
      <c r="K272" s="5" t="s">
        <v>214</v>
      </c>
      <c r="L272" s="6" t="s">
        <v>232</v>
      </c>
      <c r="M272" s="3" t="s">
        <v>230</v>
      </c>
      <c r="N272" s="6" t="s">
        <v>7669</v>
      </c>
      <c r="O272" s="6" t="s">
        <v>233</v>
      </c>
      <c r="P272" s="58">
        <v>796</v>
      </c>
      <c r="Q272" s="6" t="s">
        <v>234</v>
      </c>
      <c r="R272" s="19">
        <v>106</v>
      </c>
      <c r="S272" s="2">
        <v>64189</v>
      </c>
      <c r="T272" s="4">
        <v>0</v>
      </c>
      <c r="U272" s="4">
        <f t="shared" si="14"/>
        <v>0</v>
      </c>
      <c r="V272" s="3" t="s">
        <v>362</v>
      </c>
      <c r="W272" s="3">
        <v>2014</v>
      </c>
      <c r="X272" s="3">
        <v>11</v>
      </c>
    </row>
    <row r="273" spans="1:24" ht="165.75">
      <c r="A273" s="3" t="s">
        <v>12106</v>
      </c>
      <c r="B273" s="6" t="s">
        <v>361</v>
      </c>
      <c r="C273" s="6" t="s">
        <v>3036</v>
      </c>
      <c r="D273" s="3" t="s">
        <v>3037</v>
      </c>
      <c r="E273" s="6" t="s">
        <v>3038</v>
      </c>
      <c r="F273" s="6" t="s">
        <v>3026</v>
      </c>
      <c r="G273" s="3" t="s">
        <v>11449</v>
      </c>
      <c r="H273" s="54">
        <v>0.64</v>
      </c>
      <c r="I273" s="16">
        <v>470000000</v>
      </c>
      <c r="J273" s="157" t="s">
        <v>229</v>
      </c>
      <c r="K273" s="5" t="s">
        <v>12083</v>
      </c>
      <c r="L273" s="6" t="s">
        <v>232</v>
      </c>
      <c r="M273" s="3" t="s">
        <v>230</v>
      </c>
      <c r="N273" s="6" t="s">
        <v>7669</v>
      </c>
      <c r="O273" s="6" t="s">
        <v>233</v>
      </c>
      <c r="P273" s="58">
        <v>796</v>
      </c>
      <c r="Q273" s="6" t="s">
        <v>234</v>
      </c>
      <c r="R273" s="19">
        <v>106</v>
      </c>
      <c r="S273" s="2">
        <v>64189</v>
      </c>
      <c r="T273" s="4">
        <v>0</v>
      </c>
      <c r="U273" s="4">
        <f t="shared" si="14"/>
        <v>0</v>
      </c>
      <c r="V273" s="3" t="s">
        <v>362</v>
      </c>
      <c r="W273" s="3">
        <v>2014</v>
      </c>
      <c r="X273" s="3" t="s">
        <v>12062</v>
      </c>
    </row>
    <row r="274" spans="1:24" ht="165.75">
      <c r="A274" s="3" t="s">
        <v>14404</v>
      </c>
      <c r="B274" s="6" t="s">
        <v>361</v>
      </c>
      <c r="C274" s="6" t="s">
        <v>3036</v>
      </c>
      <c r="D274" s="3" t="s">
        <v>3037</v>
      </c>
      <c r="E274" s="6" t="s">
        <v>3038</v>
      </c>
      <c r="F274" s="6" t="s">
        <v>3026</v>
      </c>
      <c r="G274" s="3" t="s">
        <v>11449</v>
      </c>
      <c r="H274" s="54">
        <v>0.64</v>
      </c>
      <c r="I274" s="16">
        <v>470000000</v>
      </c>
      <c r="J274" s="157" t="s">
        <v>229</v>
      </c>
      <c r="K274" s="5" t="s">
        <v>12083</v>
      </c>
      <c r="L274" s="6" t="s">
        <v>232</v>
      </c>
      <c r="M274" s="3" t="s">
        <v>230</v>
      </c>
      <c r="N274" s="6" t="s">
        <v>7669</v>
      </c>
      <c r="O274" s="6" t="s">
        <v>233</v>
      </c>
      <c r="P274" s="58">
        <v>796</v>
      </c>
      <c r="Q274" s="6" t="s">
        <v>234</v>
      </c>
      <c r="R274" s="19">
        <v>20</v>
      </c>
      <c r="S274" s="2">
        <v>64189</v>
      </c>
      <c r="T274" s="4">
        <v>0</v>
      </c>
      <c r="U274" s="4">
        <f t="shared" si="14"/>
        <v>0</v>
      </c>
      <c r="V274" s="3" t="s">
        <v>362</v>
      </c>
      <c r="W274" s="3">
        <v>2014</v>
      </c>
      <c r="X274" s="3" t="s">
        <v>14840</v>
      </c>
    </row>
    <row r="275" spans="1:24" ht="165.75">
      <c r="A275" s="3" t="s">
        <v>17383</v>
      </c>
      <c r="B275" s="6" t="s">
        <v>361</v>
      </c>
      <c r="C275" s="6" t="s">
        <v>3036</v>
      </c>
      <c r="D275" s="3" t="s">
        <v>3037</v>
      </c>
      <c r="E275" s="6" t="s">
        <v>3038</v>
      </c>
      <c r="F275" s="6" t="s">
        <v>3026</v>
      </c>
      <c r="G275" s="3" t="s">
        <v>11449</v>
      </c>
      <c r="H275" s="54">
        <v>0.64</v>
      </c>
      <c r="I275" s="16">
        <v>470000000</v>
      </c>
      <c r="J275" s="157" t="s">
        <v>229</v>
      </c>
      <c r="K275" s="5" t="s">
        <v>17373</v>
      </c>
      <c r="L275" s="6" t="s">
        <v>12251</v>
      </c>
      <c r="M275" s="3" t="s">
        <v>12250</v>
      </c>
      <c r="N275" s="6" t="s">
        <v>7669</v>
      </c>
      <c r="O275" s="6" t="s">
        <v>233</v>
      </c>
      <c r="P275" s="58">
        <v>796</v>
      </c>
      <c r="Q275" s="6" t="s">
        <v>234</v>
      </c>
      <c r="R275" s="19">
        <v>70</v>
      </c>
      <c r="S275" s="2">
        <v>62263.33</v>
      </c>
      <c r="T275" s="4">
        <f>R275*S275</f>
        <v>4358433.1000000006</v>
      </c>
      <c r="U275" s="4">
        <f t="shared" si="14"/>
        <v>4881445.0720000006</v>
      </c>
      <c r="V275" s="3" t="s">
        <v>362</v>
      </c>
      <c r="W275" s="3">
        <v>2014</v>
      </c>
      <c r="X275" s="3"/>
    </row>
    <row r="276" spans="1:24" ht="114.75">
      <c r="A276" s="3" t="s">
        <v>749</v>
      </c>
      <c r="B276" s="6" t="s">
        <v>361</v>
      </c>
      <c r="C276" s="6" t="s">
        <v>3045</v>
      </c>
      <c r="D276" s="3" t="s">
        <v>418</v>
      </c>
      <c r="E276" s="6" t="s">
        <v>3046</v>
      </c>
      <c r="F276" s="6" t="s">
        <v>56</v>
      </c>
      <c r="G276" s="3" t="s">
        <v>11449</v>
      </c>
      <c r="H276" s="54">
        <v>0.64</v>
      </c>
      <c r="I276" s="16">
        <v>470000000</v>
      </c>
      <c r="J276" s="157" t="s">
        <v>229</v>
      </c>
      <c r="K276" s="5" t="s">
        <v>210</v>
      </c>
      <c r="L276" s="6" t="s">
        <v>232</v>
      </c>
      <c r="M276" s="3" t="s">
        <v>230</v>
      </c>
      <c r="N276" s="6" t="s">
        <v>7669</v>
      </c>
      <c r="O276" s="6" t="s">
        <v>233</v>
      </c>
      <c r="P276" s="58">
        <v>796</v>
      </c>
      <c r="Q276" s="6" t="s">
        <v>234</v>
      </c>
      <c r="R276" s="19">
        <v>7</v>
      </c>
      <c r="S276" s="2">
        <v>284475</v>
      </c>
      <c r="T276" s="4">
        <v>0</v>
      </c>
      <c r="U276" s="4">
        <f t="shared" si="14"/>
        <v>0</v>
      </c>
      <c r="V276" s="3" t="s">
        <v>362</v>
      </c>
      <c r="W276" s="3">
        <v>2014</v>
      </c>
      <c r="X276" s="3" t="s">
        <v>14230</v>
      </c>
    </row>
    <row r="277" spans="1:24" ht="114.75">
      <c r="A277" s="3" t="s">
        <v>14405</v>
      </c>
      <c r="B277" s="6" t="s">
        <v>361</v>
      </c>
      <c r="C277" s="6" t="s">
        <v>3045</v>
      </c>
      <c r="D277" s="3" t="s">
        <v>418</v>
      </c>
      <c r="E277" s="6" t="s">
        <v>3046</v>
      </c>
      <c r="F277" s="6" t="s">
        <v>56</v>
      </c>
      <c r="G277" s="3" t="s">
        <v>11449</v>
      </c>
      <c r="H277" s="54">
        <v>0.64</v>
      </c>
      <c r="I277" s="16">
        <v>470000000</v>
      </c>
      <c r="J277" s="157" t="s">
        <v>229</v>
      </c>
      <c r="K277" s="5" t="s">
        <v>210</v>
      </c>
      <c r="L277" s="6" t="s">
        <v>232</v>
      </c>
      <c r="M277" s="3" t="s">
        <v>230</v>
      </c>
      <c r="N277" s="6" t="s">
        <v>7669</v>
      </c>
      <c r="O277" s="6" t="s">
        <v>233</v>
      </c>
      <c r="P277" s="58">
        <v>796</v>
      </c>
      <c r="Q277" s="6" t="s">
        <v>234</v>
      </c>
      <c r="R277" s="19">
        <v>7</v>
      </c>
      <c r="S277" s="2">
        <v>278785.5</v>
      </c>
      <c r="T277" s="4">
        <v>0</v>
      </c>
      <c r="U277" s="4">
        <f t="shared" si="14"/>
        <v>0</v>
      </c>
      <c r="V277" s="3" t="s">
        <v>362</v>
      </c>
      <c r="W277" s="3">
        <v>2014</v>
      </c>
      <c r="X277" s="3" t="s">
        <v>17347</v>
      </c>
    </row>
    <row r="278" spans="1:24" ht="89.25">
      <c r="A278" s="3" t="s">
        <v>17384</v>
      </c>
      <c r="B278" s="6" t="s">
        <v>361</v>
      </c>
      <c r="C278" s="6" t="s">
        <v>3045</v>
      </c>
      <c r="D278" s="3" t="s">
        <v>418</v>
      </c>
      <c r="E278" s="6" t="s">
        <v>3046</v>
      </c>
      <c r="F278" s="6" t="s">
        <v>56</v>
      </c>
      <c r="G278" s="3" t="s">
        <v>11449</v>
      </c>
      <c r="H278" s="54">
        <v>0.64</v>
      </c>
      <c r="I278" s="16">
        <v>470000000</v>
      </c>
      <c r="J278" s="157" t="s">
        <v>229</v>
      </c>
      <c r="K278" s="5" t="s">
        <v>17385</v>
      </c>
      <c r="L278" s="6" t="s">
        <v>12251</v>
      </c>
      <c r="M278" s="3" t="s">
        <v>12250</v>
      </c>
      <c r="N278" s="6" t="s">
        <v>7669</v>
      </c>
      <c r="O278" s="6" t="s">
        <v>233</v>
      </c>
      <c r="P278" s="58">
        <v>796</v>
      </c>
      <c r="Q278" s="6" t="s">
        <v>234</v>
      </c>
      <c r="R278" s="322">
        <v>9</v>
      </c>
      <c r="S278" s="2">
        <v>278785.5</v>
      </c>
      <c r="T278" s="4">
        <v>0</v>
      </c>
      <c r="U278" s="4">
        <f t="shared" si="14"/>
        <v>0</v>
      </c>
      <c r="V278" s="3" t="s">
        <v>362</v>
      </c>
      <c r="W278" s="3">
        <v>2014</v>
      </c>
      <c r="X278" s="3" t="s">
        <v>14780</v>
      </c>
    </row>
    <row r="279" spans="1:24" ht="89.25">
      <c r="A279" s="3" t="s">
        <v>19624</v>
      </c>
      <c r="B279" s="6" t="s">
        <v>361</v>
      </c>
      <c r="C279" s="6" t="s">
        <v>3045</v>
      </c>
      <c r="D279" s="3" t="s">
        <v>418</v>
      </c>
      <c r="E279" s="6" t="s">
        <v>3046</v>
      </c>
      <c r="F279" s="6" t="s">
        <v>56</v>
      </c>
      <c r="G279" s="3" t="s">
        <v>11449</v>
      </c>
      <c r="H279" s="54">
        <v>0.64</v>
      </c>
      <c r="I279" s="16">
        <v>470000000</v>
      </c>
      <c r="J279" s="157" t="s">
        <v>229</v>
      </c>
      <c r="K279" s="5" t="s">
        <v>19625</v>
      </c>
      <c r="L279" s="6" t="s">
        <v>12251</v>
      </c>
      <c r="M279" s="3" t="s">
        <v>12250</v>
      </c>
      <c r="N279" s="6" t="s">
        <v>7669</v>
      </c>
      <c r="O279" s="6" t="s">
        <v>233</v>
      </c>
      <c r="P279" s="58">
        <v>796</v>
      </c>
      <c r="Q279" s="6" t="s">
        <v>234</v>
      </c>
      <c r="R279" s="322">
        <v>15</v>
      </c>
      <c r="S279" s="2">
        <v>278785.5</v>
      </c>
      <c r="T279" s="4">
        <f>R279*S279</f>
        <v>4181782.5</v>
      </c>
      <c r="U279" s="4">
        <f t="shared" si="14"/>
        <v>4683596.4000000004</v>
      </c>
      <c r="V279" s="3" t="s">
        <v>362</v>
      </c>
      <c r="W279" s="3">
        <v>2014</v>
      </c>
      <c r="X279" s="3"/>
    </row>
    <row r="280" spans="1:24" ht="114.75">
      <c r="A280" s="3" t="s">
        <v>750</v>
      </c>
      <c r="B280" s="6" t="s">
        <v>361</v>
      </c>
      <c r="C280" s="6" t="s">
        <v>3045</v>
      </c>
      <c r="D280" s="3" t="s">
        <v>418</v>
      </c>
      <c r="E280" s="6" t="s">
        <v>3046</v>
      </c>
      <c r="F280" s="6" t="s">
        <v>57</v>
      </c>
      <c r="G280" s="3" t="s">
        <v>11449</v>
      </c>
      <c r="H280" s="54">
        <v>0.64</v>
      </c>
      <c r="I280" s="16">
        <v>470000000</v>
      </c>
      <c r="J280" s="157" t="s">
        <v>229</v>
      </c>
      <c r="K280" s="5" t="s">
        <v>210</v>
      </c>
      <c r="L280" s="6" t="s">
        <v>232</v>
      </c>
      <c r="M280" s="3" t="s">
        <v>230</v>
      </c>
      <c r="N280" s="6" t="s">
        <v>7669</v>
      </c>
      <c r="O280" s="6" t="s">
        <v>233</v>
      </c>
      <c r="P280" s="58">
        <v>796</v>
      </c>
      <c r="Q280" s="6" t="s">
        <v>234</v>
      </c>
      <c r="R280" s="19">
        <v>1</v>
      </c>
      <c r="S280" s="2">
        <v>244794</v>
      </c>
      <c r="T280" s="4">
        <v>0</v>
      </c>
      <c r="U280" s="4">
        <f t="shared" si="14"/>
        <v>0</v>
      </c>
      <c r="V280" s="3" t="s">
        <v>362</v>
      </c>
      <c r="W280" s="3">
        <v>2014</v>
      </c>
      <c r="X280" s="3" t="s">
        <v>12062</v>
      </c>
    </row>
    <row r="281" spans="1:24" ht="114.75">
      <c r="A281" s="3" t="s">
        <v>14406</v>
      </c>
      <c r="B281" s="6" t="s">
        <v>361</v>
      </c>
      <c r="C281" s="6" t="s">
        <v>3045</v>
      </c>
      <c r="D281" s="3" t="s">
        <v>418</v>
      </c>
      <c r="E281" s="6" t="s">
        <v>3046</v>
      </c>
      <c r="F281" s="6" t="s">
        <v>57</v>
      </c>
      <c r="G281" s="3" t="s">
        <v>11449</v>
      </c>
      <c r="H281" s="54">
        <v>0.64</v>
      </c>
      <c r="I281" s="16">
        <v>470000000</v>
      </c>
      <c r="J281" s="157" t="s">
        <v>229</v>
      </c>
      <c r="K281" s="5" t="s">
        <v>210</v>
      </c>
      <c r="L281" s="6" t="s">
        <v>232</v>
      </c>
      <c r="M281" s="3" t="s">
        <v>230</v>
      </c>
      <c r="N281" s="6" t="s">
        <v>7669</v>
      </c>
      <c r="O281" s="6" t="s">
        <v>233</v>
      </c>
      <c r="P281" s="58">
        <v>796</v>
      </c>
      <c r="Q281" s="6" t="s">
        <v>234</v>
      </c>
      <c r="R281" s="19">
        <v>2</v>
      </c>
      <c r="S281" s="2">
        <v>244794</v>
      </c>
      <c r="T281" s="4">
        <v>0</v>
      </c>
      <c r="U281" s="4">
        <f t="shared" si="14"/>
        <v>0</v>
      </c>
      <c r="V281" s="3" t="s">
        <v>362</v>
      </c>
      <c r="W281" s="3">
        <v>2014</v>
      </c>
      <c r="X281" s="3" t="s">
        <v>17347</v>
      </c>
    </row>
    <row r="282" spans="1:24" ht="89.25">
      <c r="A282" s="3" t="s">
        <v>17386</v>
      </c>
      <c r="B282" s="6" t="s">
        <v>361</v>
      </c>
      <c r="C282" s="6" t="s">
        <v>3045</v>
      </c>
      <c r="D282" s="3" t="s">
        <v>418</v>
      </c>
      <c r="E282" s="6" t="s">
        <v>3046</v>
      </c>
      <c r="F282" s="6" t="s">
        <v>57</v>
      </c>
      <c r="G282" s="3" t="s">
        <v>11449</v>
      </c>
      <c r="H282" s="54">
        <v>0.64</v>
      </c>
      <c r="I282" s="16">
        <v>470000000</v>
      </c>
      <c r="J282" s="157" t="s">
        <v>229</v>
      </c>
      <c r="K282" s="5" t="s">
        <v>17385</v>
      </c>
      <c r="L282" s="6" t="s">
        <v>12251</v>
      </c>
      <c r="M282" s="3" t="s">
        <v>12250</v>
      </c>
      <c r="N282" s="6" t="s">
        <v>7669</v>
      </c>
      <c r="O282" s="6" t="s">
        <v>233</v>
      </c>
      <c r="P282" s="58">
        <v>796</v>
      </c>
      <c r="Q282" s="6" t="s">
        <v>234</v>
      </c>
      <c r="R282" s="19">
        <v>4</v>
      </c>
      <c r="S282" s="2">
        <v>244794</v>
      </c>
      <c r="T282" s="4">
        <f>R282*S282</f>
        <v>979176</v>
      </c>
      <c r="U282" s="4">
        <f t="shared" si="14"/>
        <v>1096677.1200000001</v>
      </c>
      <c r="V282" s="3" t="s">
        <v>362</v>
      </c>
      <c r="W282" s="3">
        <v>2014</v>
      </c>
      <c r="X282" s="3"/>
    </row>
    <row r="283" spans="1:24" ht="114.75">
      <c r="A283" s="3" t="s">
        <v>751</v>
      </c>
      <c r="B283" s="6" t="s">
        <v>361</v>
      </c>
      <c r="C283" s="6" t="s">
        <v>3045</v>
      </c>
      <c r="D283" s="3" t="s">
        <v>418</v>
      </c>
      <c r="E283" s="6" t="s">
        <v>3046</v>
      </c>
      <c r="F283" s="6" t="s">
        <v>58</v>
      </c>
      <c r="G283" s="3" t="s">
        <v>11449</v>
      </c>
      <c r="H283" s="54">
        <v>0.64</v>
      </c>
      <c r="I283" s="16">
        <v>470000000</v>
      </c>
      <c r="J283" s="157" t="s">
        <v>229</v>
      </c>
      <c r="K283" s="5" t="s">
        <v>214</v>
      </c>
      <c r="L283" s="6" t="s">
        <v>232</v>
      </c>
      <c r="M283" s="3" t="s">
        <v>230</v>
      </c>
      <c r="N283" s="6" t="s">
        <v>7669</v>
      </c>
      <c r="O283" s="6" t="s">
        <v>233</v>
      </c>
      <c r="P283" s="58">
        <v>796</v>
      </c>
      <c r="Q283" s="6" t="s">
        <v>234</v>
      </c>
      <c r="R283" s="19">
        <v>18</v>
      </c>
      <c r="S283" s="2">
        <v>86807</v>
      </c>
      <c r="T283" s="4">
        <v>0</v>
      </c>
      <c r="U283" s="4">
        <f t="shared" si="14"/>
        <v>0</v>
      </c>
      <c r="V283" s="3" t="s">
        <v>362</v>
      </c>
      <c r="W283" s="3">
        <v>2014</v>
      </c>
      <c r="X283" s="3">
        <v>11</v>
      </c>
    </row>
    <row r="284" spans="1:24" ht="114.75">
      <c r="A284" s="3" t="s">
        <v>12107</v>
      </c>
      <c r="B284" s="6" t="s">
        <v>361</v>
      </c>
      <c r="C284" s="6" t="s">
        <v>3045</v>
      </c>
      <c r="D284" s="3" t="s">
        <v>418</v>
      </c>
      <c r="E284" s="6" t="s">
        <v>3046</v>
      </c>
      <c r="F284" s="6" t="s">
        <v>58</v>
      </c>
      <c r="G284" s="3" t="s">
        <v>11449</v>
      </c>
      <c r="H284" s="54">
        <v>0.64</v>
      </c>
      <c r="I284" s="16">
        <v>470000000</v>
      </c>
      <c r="J284" s="157" t="s">
        <v>229</v>
      </c>
      <c r="K284" s="5" t="s">
        <v>12083</v>
      </c>
      <c r="L284" s="6" t="s">
        <v>232</v>
      </c>
      <c r="M284" s="3" t="s">
        <v>230</v>
      </c>
      <c r="N284" s="6" t="s">
        <v>7669</v>
      </c>
      <c r="O284" s="6" t="s">
        <v>233</v>
      </c>
      <c r="P284" s="58">
        <v>796</v>
      </c>
      <c r="Q284" s="6" t="s">
        <v>234</v>
      </c>
      <c r="R284" s="19">
        <v>18</v>
      </c>
      <c r="S284" s="2">
        <v>86807</v>
      </c>
      <c r="T284" s="4">
        <v>0</v>
      </c>
      <c r="U284" s="4">
        <f t="shared" si="14"/>
        <v>0</v>
      </c>
      <c r="V284" s="3" t="s">
        <v>362</v>
      </c>
      <c r="W284" s="3">
        <v>2014</v>
      </c>
      <c r="X284" s="3" t="s">
        <v>14132</v>
      </c>
    </row>
    <row r="285" spans="1:24" ht="114.75">
      <c r="A285" s="3" t="s">
        <v>14407</v>
      </c>
      <c r="B285" s="6" t="s">
        <v>361</v>
      </c>
      <c r="C285" s="6" t="s">
        <v>3045</v>
      </c>
      <c r="D285" s="3" t="s">
        <v>418</v>
      </c>
      <c r="E285" s="6" t="s">
        <v>3046</v>
      </c>
      <c r="F285" s="6" t="s">
        <v>58</v>
      </c>
      <c r="G285" s="3" t="s">
        <v>11449</v>
      </c>
      <c r="H285" s="54">
        <v>0.64</v>
      </c>
      <c r="I285" s="16">
        <v>470000000</v>
      </c>
      <c r="J285" s="157" t="s">
        <v>229</v>
      </c>
      <c r="K285" s="5" t="s">
        <v>12083</v>
      </c>
      <c r="L285" s="6" t="s">
        <v>232</v>
      </c>
      <c r="M285" s="3" t="s">
        <v>230</v>
      </c>
      <c r="N285" s="6" t="s">
        <v>7669</v>
      </c>
      <c r="O285" s="6" t="s">
        <v>233</v>
      </c>
      <c r="P285" s="58">
        <v>796</v>
      </c>
      <c r="Q285" s="6" t="s">
        <v>234</v>
      </c>
      <c r="R285" s="19">
        <v>24</v>
      </c>
      <c r="S285" s="2">
        <v>86481.47</v>
      </c>
      <c r="T285" s="4">
        <v>0</v>
      </c>
      <c r="U285" s="4">
        <f t="shared" si="14"/>
        <v>0</v>
      </c>
      <c r="V285" s="3" t="s">
        <v>362</v>
      </c>
      <c r="W285" s="3">
        <v>2014</v>
      </c>
      <c r="X285" s="3" t="s">
        <v>17376</v>
      </c>
    </row>
    <row r="286" spans="1:24" ht="89.25">
      <c r="A286" s="3" t="s">
        <v>17387</v>
      </c>
      <c r="B286" s="6" t="s">
        <v>361</v>
      </c>
      <c r="C286" s="6" t="s">
        <v>3045</v>
      </c>
      <c r="D286" s="3" t="s">
        <v>418</v>
      </c>
      <c r="E286" s="6" t="s">
        <v>3046</v>
      </c>
      <c r="F286" s="6" t="s">
        <v>58</v>
      </c>
      <c r="G286" s="3" t="s">
        <v>11449</v>
      </c>
      <c r="H286" s="54">
        <v>0.64</v>
      </c>
      <c r="I286" s="16">
        <v>470000000</v>
      </c>
      <c r="J286" s="157" t="s">
        <v>229</v>
      </c>
      <c r="K286" s="5" t="s">
        <v>12083</v>
      </c>
      <c r="L286" s="6" t="s">
        <v>12251</v>
      </c>
      <c r="M286" s="3" t="s">
        <v>12250</v>
      </c>
      <c r="N286" s="6" t="s">
        <v>7669</v>
      </c>
      <c r="O286" s="6" t="s">
        <v>233</v>
      </c>
      <c r="P286" s="58">
        <v>796</v>
      </c>
      <c r="Q286" s="6" t="s">
        <v>234</v>
      </c>
      <c r="R286" s="322">
        <v>24</v>
      </c>
      <c r="S286" s="2">
        <v>84202.79</v>
      </c>
      <c r="T286" s="4">
        <v>0</v>
      </c>
      <c r="U286" s="4">
        <f t="shared" si="14"/>
        <v>0</v>
      </c>
      <c r="V286" s="3" t="s">
        <v>362</v>
      </c>
      <c r="W286" s="3">
        <v>2014</v>
      </c>
      <c r="X286" s="3" t="s">
        <v>12062</v>
      </c>
    </row>
    <row r="287" spans="1:24" ht="89.25">
      <c r="A287" s="3" t="s">
        <v>18744</v>
      </c>
      <c r="B287" s="6" t="s">
        <v>361</v>
      </c>
      <c r="C287" s="6" t="s">
        <v>3045</v>
      </c>
      <c r="D287" s="3" t="s">
        <v>418</v>
      </c>
      <c r="E287" s="6" t="s">
        <v>3046</v>
      </c>
      <c r="F287" s="6" t="s">
        <v>58</v>
      </c>
      <c r="G287" s="3" t="s">
        <v>11449</v>
      </c>
      <c r="H287" s="54">
        <v>0.64</v>
      </c>
      <c r="I287" s="16">
        <v>470000000</v>
      </c>
      <c r="J287" s="157" t="s">
        <v>229</v>
      </c>
      <c r="K287" s="5" t="s">
        <v>12083</v>
      </c>
      <c r="L287" s="6" t="s">
        <v>12251</v>
      </c>
      <c r="M287" s="3" t="s">
        <v>12250</v>
      </c>
      <c r="N287" s="6" t="s">
        <v>7669</v>
      </c>
      <c r="O287" s="6" t="s">
        <v>233</v>
      </c>
      <c r="P287" s="58">
        <v>796</v>
      </c>
      <c r="Q287" s="6" t="s">
        <v>234</v>
      </c>
      <c r="R287" s="322">
        <v>22</v>
      </c>
      <c r="S287" s="2">
        <v>84202.79</v>
      </c>
      <c r="T287" s="4">
        <f>R287*S287</f>
        <v>1852461.38</v>
      </c>
      <c r="U287" s="4">
        <f t="shared" si="14"/>
        <v>2074756.7456</v>
      </c>
      <c r="V287" s="3" t="s">
        <v>362</v>
      </c>
      <c r="W287" s="3">
        <v>2014</v>
      </c>
      <c r="X287" s="3"/>
    </row>
    <row r="288" spans="1:24" ht="153">
      <c r="A288" s="3" t="s">
        <v>752</v>
      </c>
      <c r="B288" s="6" t="s">
        <v>361</v>
      </c>
      <c r="C288" s="6" t="s">
        <v>3045</v>
      </c>
      <c r="D288" s="3" t="s">
        <v>418</v>
      </c>
      <c r="E288" s="6" t="s">
        <v>3046</v>
      </c>
      <c r="F288" s="6" t="s">
        <v>3029</v>
      </c>
      <c r="G288" s="3" t="s">
        <v>11449</v>
      </c>
      <c r="H288" s="54">
        <v>0.64</v>
      </c>
      <c r="I288" s="16">
        <v>470000000</v>
      </c>
      <c r="J288" s="157" t="s">
        <v>229</v>
      </c>
      <c r="K288" s="5" t="s">
        <v>214</v>
      </c>
      <c r="L288" s="6" t="s">
        <v>232</v>
      </c>
      <c r="M288" s="3" t="s">
        <v>230</v>
      </c>
      <c r="N288" s="6" t="s">
        <v>7669</v>
      </c>
      <c r="O288" s="6" t="s">
        <v>233</v>
      </c>
      <c r="P288" s="58">
        <v>796</v>
      </c>
      <c r="Q288" s="6" t="s">
        <v>234</v>
      </c>
      <c r="R288" s="19">
        <v>15</v>
      </c>
      <c r="S288" s="2">
        <v>86807</v>
      </c>
      <c r="T288" s="4">
        <v>0</v>
      </c>
      <c r="U288" s="4">
        <f t="shared" si="14"/>
        <v>0</v>
      </c>
      <c r="V288" s="3" t="s">
        <v>362</v>
      </c>
      <c r="W288" s="3">
        <v>2014</v>
      </c>
      <c r="X288" s="3">
        <v>11</v>
      </c>
    </row>
    <row r="289" spans="1:24" ht="153">
      <c r="A289" s="3" t="s">
        <v>12108</v>
      </c>
      <c r="B289" s="6" t="s">
        <v>361</v>
      </c>
      <c r="C289" s="6" t="s">
        <v>3045</v>
      </c>
      <c r="D289" s="3" t="s">
        <v>418</v>
      </c>
      <c r="E289" s="6" t="s">
        <v>3046</v>
      </c>
      <c r="F289" s="6" t="s">
        <v>3029</v>
      </c>
      <c r="G289" s="3" t="s">
        <v>11449</v>
      </c>
      <c r="H289" s="54">
        <v>0.64</v>
      </c>
      <c r="I289" s="16">
        <v>470000000</v>
      </c>
      <c r="J289" s="157" t="s">
        <v>229</v>
      </c>
      <c r="K289" s="5" t="s">
        <v>12083</v>
      </c>
      <c r="L289" s="6" t="s">
        <v>232</v>
      </c>
      <c r="M289" s="3" t="s">
        <v>230</v>
      </c>
      <c r="N289" s="6" t="s">
        <v>7669</v>
      </c>
      <c r="O289" s="6" t="s">
        <v>233</v>
      </c>
      <c r="P289" s="58">
        <v>796</v>
      </c>
      <c r="Q289" s="6" t="s">
        <v>234</v>
      </c>
      <c r="R289" s="19">
        <v>15</v>
      </c>
      <c r="S289" s="2">
        <v>86807</v>
      </c>
      <c r="T289" s="4">
        <v>0</v>
      </c>
      <c r="U289" s="4">
        <f t="shared" si="14"/>
        <v>0</v>
      </c>
      <c r="V289" s="3" t="s">
        <v>362</v>
      </c>
      <c r="W289" s="3">
        <v>2014</v>
      </c>
      <c r="X289" s="3" t="s">
        <v>12062</v>
      </c>
    </row>
    <row r="290" spans="1:24" ht="153">
      <c r="A290" s="3" t="s">
        <v>14408</v>
      </c>
      <c r="B290" s="6" t="s">
        <v>361</v>
      </c>
      <c r="C290" s="6" t="s">
        <v>3045</v>
      </c>
      <c r="D290" s="3" t="s">
        <v>418</v>
      </c>
      <c r="E290" s="6" t="s">
        <v>3046</v>
      </c>
      <c r="F290" s="6" t="s">
        <v>3029</v>
      </c>
      <c r="G290" s="3" t="s">
        <v>11449</v>
      </c>
      <c r="H290" s="54">
        <v>0.64</v>
      </c>
      <c r="I290" s="16">
        <v>470000000</v>
      </c>
      <c r="J290" s="157" t="s">
        <v>229</v>
      </c>
      <c r="K290" s="5" t="s">
        <v>12083</v>
      </c>
      <c r="L290" s="6" t="s">
        <v>232</v>
      </c>
      <c r="M290" s="3" t="s">
        <v>230</v>
      </c>
      <c r="N290" s="6" t="s">
        <v>7669</v>
      </c>
      <c r="O290" s="6" t="s">
        <v>233</v>
      </c>
      <c r="P290" s="58">
        <v>796</v>
      </c>
      <c r="Q290" s="6" t="s">
        <v>234</v>
      </c>
      <c r="R290" s="19">
        <v>2</v>
      </c>
      <c r="S290" s="2">
        <v>86807</v>
      </c>
      <c r="T290" s="4">
        <v>0</v>
      </c>
      <c r="U290" s="4">
        <f t="shared" si="14"/>
        <v>0</v>
      </c>
      <c r="V290" s="3" t="s">
        <v>362</v>
      </c>
      <c r="W290" s="3">
        <v>2014</v>
      </c>
      <c r="X290" s="3" t="s">
        <v>12313</v>
      </c>
    </row>
    <row r="291" spans="1:24" ht="153">
      <c r="A291" s="3" t="s">
        <v>17388</v>
      </c>
      <c r="B291" s="6" t="s">
        <v>361</v>
      </c>
      <c r="C291" s="6" t="s">
        <v>3045</v>
      </c>
      <c r="D291" s="3" t="s">
        <v>418</v>
      </c>
      <c r="E291" s="6" t="s">
        <v>3046</v>
      </c>
      <c r="F291" s="6" t="s">
        <v>3029</v>
      </c>
      <c r="G291" s="3" t="s">
        <v>11449</v>
      </c>
      <c r="H291" s="54">
        <v>0.64</v>
      </c>
      <c r="I291" s="16">
        <v>470000000</v>
      </c>
      <c r="J291" s="157" t="s">
        <v>229</v>
      </c>
      <c r="K291" s="5" t="s">
        <v>17401</v>
      </c>
      <c r="L291" s="6" t="s">
        <v>12251</v>
      </c>
      <c r="M291" s="3" t="s">
        <v>12250</v>
      </c>
      <c r="N291" s="6" t="s">
        <v>7669</v>
      </c>
      <c r="O291" s="6" t="s">
        <v>233</v>
      </c>
      <c r="P291" s="58">
        <v>796</v>
      </c>
      <c r="Q291" s="6" t="s">
        <v>234</v>
      </c>
      <c r="R291" s="19">
        <v>2</v>
      </c>
      <c r="S291" s="2">
        <v>86807</v>
      </c>
      <c r="T291" s="4">
        <f>R291*S291</f>
        <v>173614</v>
      </c>
      <c r="U291" s="4">
        <f t="shared" si="14"/>
        <v>194447.68000000002</v>
      </c>
      <c r="V291" s="3" t="s">
        <v>362</v>
      </c>
      <c r="W291" s="3">
        <v>2014</v>
      </c>
      <c r="X291" s="3"/>
    </row>
    <row r="292" spans="1:24" ht="153">
      <c r="A292" s="3" t="s">
        <v>753</v>
      </c>
      <c r="B292" s="6" t="s">
        <v>361</v>
      </c>
      <c r="C292" s="6" t="s">
        <v>3045</v>
      </c>
      <c r="D292" s="3" t="s">
        <v>418</v>
      </c>
      <c r="E292" s="6" t="s">
        <v>3046</v>
      </c>
      <c r="F292" s="6" t="s">
        <v>3030</v>
      </c>
      <c r="G292" s="3" t="s">
        <v>11449</v>
      </c>
      <c r="H292" s="54">
        <v>0.64</v>
      </c>
      <c r="I292" s="16">
        <v>470000000</v>
      </c>
      <c r="J292" s="157" t="s">
        <v>229</v>
      </c>
      <c r="K292" s="5" t="s">
        <v>214</v>
      </c>
      <c r="L292" s="6" t="s">
        <v>232</v>
      </c>
      <c r="M292" s="3" t="s">
        <v>230</v>
      </c>
      <c r="N292" s="6" t="s">
        <v>7669</v>
      </c>
      <c r="O292" s="6" t="s">
        <v>233</v>
      </c>
      <c r="P292" s="58">
        <v>796</v>
      </c>
      <c r="Q292" s="6" t="s">
        <v>234</v>
      </c>
      <c r="R292" s="19">
        <v>160</v>
      </c>
      <c r="S292" s="2">
        <v>80570</v>
      </c>
      <c r="T292" s="4">
        <v>0</v>
      </c>
      <c r="U292" s="4">
        <f t="shared" si="14"/>
        <v>0</v>
      </c>
      <c r="V292" s="3" t="s">
        <v>362</v>
      </c>
      <c r="W292" s="3">
        <v>2014</v>
      </c>
      <c r="X292" s="3">
        <v>11</v>
      </c>
    </row>
    <row r="293" spans="1:24" ht="153">
      <c r="A293" s="3" t="s">
        <v>12109</v>
      </c>
      <c r="B293" s="6" t="s">
        <v>361</v>
      </c>
      <c r="C293" s="6" t="s">
        <v>3045</v>
      </c>
      <c r="D293" s="3" t="s">
        <v>418</v>
      </c>
      <c r="E293" s="6" t="s">
        <v>3046</v>
      </c>
      <c r="F293" s="6" t="s">
        <v>3030</v>
      </c>
      <c r="G293" s="3" t="s">
        <v>11449</v>
      </c>
      <c r="H293" s="54">
        <v>0.64</v>
      </c>
      <c r="I293" s="16">
        <v>470000000</v>
      </c>
      <c r="J293" s="157" t="s">
        <v>229</v>
      </c>
      <c r="K293" s="5" t="s">
        <v>12083</v>
      </c>
      <c r="L293" s="6" t="s">
        <v>232</v>
      </c>
      <c r="M293" s="3" t="s">
        <v>230</v>
      </c>
      <c r="N293" s="6" t="s">
        <v>7669</v>
      </c>
      <c r="O293" s="6" t="s">
        <v>233</v>
      </c>
      <c r="P293" s="58">
        <v>796</v>
      </c>
      <c r="Q293" s="6" t="s">
        <v>234</v>
      </c>
      <c r="R293" s="19">
        <v>160</v>
      </c>
      <c r="S293" s="2">
        <v>80570</v>
      </c>
      <c r="T293" s="4">
        <v>0</v>
      </c>
      <c r="U293" s="4">
        <f t="shared" si="14"/>
        <v>0</v>
      </c>
      <c r="V293" s="3" t="s">
        <v>362</v>
      </c>
      <c r="W293" s="3">
        <v>2014</v>
      </c>
      <c r="X293" s="3" t="s">
        <v>14132</v>
      </c>
    </row>
    <row r="294" spans="1:24" ht="153">
      <c r="A294" s="3" t="s">
        <v>14409</v>
      </c>
      <c r="B294" s="6" t="s">
        <v>361</v>
      </c>
      <c r="C294" s="6" t="s">
        <v>3045</v>
      </c>
      <c r="D294" s="3" t="s">
        <v>418</v>
      </c>
      <c r="E294" s="6" t="s">
        <v>3046</v>
      </c>
      <c r="F294" s="6" t="s">
        <v>3030</v>
      </c>
      <c r="G294" s="3" t="s">
        <v>11449</v>
      </c>
      <c r="H294" s="54">
        <v>0.64</v>
      </c>
      <c r="I294" s="16">
        <v>470000000</v>
      </c>
      <c r="J294" s="157" t="s">
        <v>229</v>
      </c>
      <c r="K294" s="5" t="s">
        <v>12083</v>
      </c>
      <c r="L294" s="6" t="s">
        <v>232</v>
      </c>
      <c r="M294" s="3" t="s">
        <v>230</v>
      </c>
      <c r="N294" s="6" t="s">
        <v>7669</v>
      </c>
      <c r="O294" s="6" t="s">
        <v>233</v>
      </c>
      <c r="P294" s="58">
        <v>796</v>
      </c>
      <c r="Q294" s="6" t="s">
        <v>234</v>
      </c>
      <c r="R294" s="19">
        <v>110</v>
      </c>
      <c r="S294" s="2">
        <v>80130.52</v>
      </c>
      <c r="T294" s="4">
        <v>0</v>
      </c>
      <c r="U294" s="4">
        <f t="shared" si="14"/>
        <v>0</v>
      </c>
      <c r="V294" s="3" t="s">
        <v>362</v>
      </c>
      <c r="W294" s="3">
        <v>2014</v>
      </c>
      <c r="X294" s="3" t="s">
        <v>14840</v>
      </c>
    </row>
    <row r="295" spans="1:24" ht="153">
      <c r="A295" s="3" t="s">
        <v>17389</v>
      </c>
      <c r="B295" s="6" t="s">
        <v>361</v>
      </c>
      <c r="C295" s="6" t="s">
        <v>3045</v>
      </c>
      <c r="D295" s="3" t="s">
        <v>418</v>
      </c>
      <c r="E295" s="6" t="s">
        <v>3046</v>
      </c>
      <c r="F295" s="6" t="s">
        <v>3030</v>
      </c>
      <c r="G295" s="3" t="s">
        <v>11449</v>
      </c>
      <c r="H295" s="54">
        <v>0.64</v>
      </c>
      <c r="I295" s="16">
        <v>470000000</v>
      </c>
      <c r="J295" s="157" t="s">
        <v>229</v>
      </c>
      <c r="K295" s="5" t="s">
        <v>17390</v>
      </c>
      <c r="L295" s="6" t="s">
        <v>12251</v>
      </c>
      <c r="M295" s="3" t="s">
        <v>12250</v>
      </c>
      <c r="N295" s="6" t="s">
        <v>7669</v>
      </c>
      <c r="O295" s="6" t="s">
        <v>233</v>
      </c>
      <c r="P295" s="58">
        <v>796</v>
      </c>
      <c r="Q295" s="6" t="s">
        <v>234</v>
      </c>
      <c r="R295" s="19">
        <v>120</v>
      </c>
      <c r="S295" s="2">
        <v>80570</v>
      </c>
      <c r="T295" s="4">
        <f>R295*S295</f>
        <v>9668400</v>
      </c>
      <c r="U295" s="4">
        <f t="shared" si="14"/>
        <v>10828608.000000002</v>
      </c>
      <c r="V295" s="3" t="s">
        <v>362</v>
      </c>
      <c r="W295" s="3">
        <v>2014</v>
      </c>
      <c r="X295" s="3"/>
    </row>
    <row r="296" spans="1:24" ht="114.75">
      <c r="A296" s="3" t="s">
        <v>754</v>
      </c>
      <c r="B296" s="6" t="s">
        <v>361</v>
      </c>
      <c r="C296" s="6" t="s">
        <v>3039</v>
      </c>
      <c r="D296" s="3" t="s">
        <v>3040</v>
      </c>
      <c r="E296" s="6" t="s">
        <v>3041</v>
      </c>
      <c r="F296" s="6" t="s">
        <v>59</v>
      </c>
      <c r="G296" s="3" t="s">
        <v>11449</v>
      </c>
      <c r="H296" s="54">
        <v>0.64</v>
      </c>
      <c r="I296" s="16">
        <v>470000000</v>
      </c>
      <c r="J296" s="157" t="s">
        <v>229</v>
      </c>
      <c r="K296" s="5" t="s">
        <v>210</v>
      </c>
      <c r="L296" s="6" t="s">
        <v>232</v>
      </c>
      <c r="M296" s="3" t="s">
        <v>230</v>
      </c>
      <c r="N296" s="6" t="s">
        <v>7669</v>
      </c>
      <c r="O296" s="6" t="s">
        <v>233</v>
      </c>
      <c r="P296" s="58">
        <v>839</v>
      </c>
      <c r="Q296" s="6" t="s">
        <v>239</v>
      </c>
      <c r="R296" s="20">
        <v>270</v>
      </c>
      <c r="S296" s="2">
        <v>95478</v>
      </c>
      <c r="T296" s="4">
        <v>0</v>
      </c>
      <c r="U296" s="4">
        <f t="shared" si="14"/>
        <v>0</v>
      </c>
      <c r="V296" s="3" t="s">
        <v>362</v>
      </c>
      <c r="W296" s="3">
        <v>2014</v>
      </c>
      <c r="X296" s="3" t="s">
        <v>14840</v>
      </c>
    </row>
    <row r="297" spans="1:24" ht="89.25">
      <c r="A297" s="3" t="s">
        <v>17391</v>
      </c>
      <c r="B297" s="6" t="s">
        <v>361</v>
      </c>
      <c r="C297" s="6" t="s">
        <v>3039</v>
      </c>
      <c r="D297" s="3" t="s">
        <v>3040</v>
      </c>
      <c r="E297" s="6" t="s">
        <v>3041</v>
      </c>
      <c r="F297" s="6" t="s">
        <v>59</v>
      </c>
      <c r="G297" s="3" t="s">
        <v>11449</v>
      </c>
      <c r="H297" s="54">
        <v>0.64</v>
      </c>
      <c r="I297" s="16">
        <v>470000000</v>
      </c>
      <c r="J297" s="157" t="s">
        <v>229</v>
      </c>
      <c r="K297" s="5" t="s">
        <v>17385</v>
      </c>
      <c r="L297" s="6" t="s">
        <v>12251</v>
      </c>
      <c r="M297" s="3" t="s">
        <v>12250</v>
      </c>
      <c r="N297" s="6" t="s">
        <v>7669</v>
      </c>
      <c r="O297" s="6" t="s">
        <v>233</v>
      </c>
      <c r="P297" s="58">
        <v>839</v>
      </c>
      <c r="Q297" s="6" t="s">
        <v>239</v>
      </c>
      <c r="R297" s="323">
        <v>310</v>
      </c>
      <c r="S297" s="2">
        <v>93568.44</v>
      </c>
      <c r="T297" s="4">
        <v>0</v>
      </c>
      <c r="U297" s="4">
        <f t="shared" si="14"/>
        <v>0</v>
      </c>
      <c r="V297" s="3" t="s">
        <v>362</v>
      </c>
      <c r="W297" s="3">
        <v>2014</v>
      </c>
      <c r="X297" s="3" t="s">
        <v>12062</v>
      </c>
    </row>
    <row r="298" spans="1:24" ht="89.25">
      <c r="A298" s="3" t="s">
        <v>18745</v>
      </c>
      <c r="B298" s="6" t="s">
        <v>361</v>
      </c>
      <c r="C298" s="6" t="s">
        <v>3039</v>
      </c>
      <c r="D298" s="3" t="s">
        <v>3040</v>
      </c>
      <c r="E298" s="6" t="s">
        <v>3041</v>
      </c>
      <c r="F298" s="6" t="s">
        <v>59</v>
      </c>
      <c r="G298" s="3" t="s">
        <v>11449</v>
      </c>
      <c r="H298" s="54">
        <v>0.64</v>
      </c>
      <c r="I298" s="16">
        <v>470000000</v>
      </c>
      <c r="J298" s="157" t="s">
        <v>229</v>
      </c>
      <c r="K298" s="5" t="s">
        <v>17385</v>
      </c>
      <c r="L298" s="6" t="s">
        <v>12251</v>
      </c>
      <c r="M298" s="3" t="s">
        <v>12250</v>
      </c>
      <c r="N298" s="6" t="s">
        <v>7669</v>
      </c>
      <c r="O298" s="6" t="s">
        <v>233</v>
      </c>
      <c r="P298" s="58">
        <v>839</v>
      </c>
      <c r="Q298" s="6" t="s">
        <v>239</v>
      </c>
      <c r="R298" s="323">
        <v>280</v>
      </c>
      <c r="S298" s="2">
        <v>93568.44</v>
      </c>
      <c r="T298" s="4">
        <v>0</v>
      </c>
      <c r="U298" s="4">
        <f t="shared" si="14"/>
        <v>0</v>
      </c>
      <c r="V298" s="3" t="s">
        <v>362</v>
      </c>
      <c r="W298" s="3">
        <v>2014</v>
      </c>
      <c r="X298" s="3" t="s">
        <v>14780</v>
      </c>
    </row>
    <row r="299" spans="1:24" ht="89.25">
      <c r="A299" s="3" t="s">
        <v>19626</v>
      </c>
      <c r="B299" s="6" t="s">
        <v>361</v>
      </c>
      <c r="C299" s="6" t="s">
        <v>3039</v>
      </c>
      <c r="D299" s="3" t="s">
        <v>3040</v>
      </c>
      <c r="E299" s="6" t="s">
        <v>3041</v>
      </c>
      <c r="F299" s="6" t="s">
        <v>59</v>
      </c>
      <c r="G299" s="3" t="s">
        <v>11449</v>
      </c>
      <c r="H299" s="54">
        <v>0.64</v>
      </c>
      <c r="I299" s="16">
        <v>470000000</v>
      </c>
      <c r="J299" s="157" t="s">
        <v>229</v>
      </c>
      <c r="K299" s="5" t="s">
        <v>19625</v>
      </c>
      <c r="L299" s="6" t="s">
        <v>12251</v>
      </c>
      <c r="M299" s="3" t="s">
        <v>12250</v>
      </c>
      <c r="N299" s="6" t="s">
        <v>7669</v>
      </c>
      <c r="O299" s="6" t="s">
        <v>233</v>
      </c>
      <c r="P299" s="58">
        <v>839</v>
      </c>
      <c r="Q299" s="6" t="s">
        <v>239</v>
      </c>
      <c r="R299" s="323">
        <v>586</v>
      </c>
      <c r="S299" s="2">
        <v>93568.44</v>
      </c>
      <c r="T299" s="4">
        <f>R299*S299</f>
        <v>54831105.840000004</v>
      </c>
      <c r="U299" s="4">
        <f t="shared" si="14"/>
        <v>61410838.540800013</v>
      </c>
      <c r="V299" s="3" t="s">
        <v>362</v>
      </c>
      <c r="W299" s="3">
        <v>2014</v>
      </c>
      <c r="X299" s="3"/>
    </row>
    <row r="300" spans="1:24" ht="114.75">
      <c r="A300" s="3" t="s">
        <v>755</v>
      </c>
      <c r="B300" s="6" t="s">
        <v>361</v>
      </c>
      <c r="C300" s="6" t="s">
        <v>3039</v>
      </c>
      <c r="D300" s="3" t="s">
        <v>3040</v>
      </c>
      <c r="E300" s="6" t="s">
        <v>3041</v>
      </c>
      <c r="F300" s="6" t="s">
        <v>60</v>
      </c>
      <c r="G300" s="3" t="s">
        <v>11449</v>
      </c>
      <c r="H300" s="54">
        <v>0.64</v>
      </c>
      <c r="I300" s="16">
        <v>470000000</v>
      </c>
      <c r="J300" s="157" t="s">
        <v>229</v>
      </c>
      <c r="K300" s="5" t="s">
        <v>210</v>
      </c>
      <c r="L300" s="6" t="s">
        <v>232</v>
      </c>
      <c r="M300" s="3" t="s">
        <v>230</v>
      </c>
      <c r="N300" s="6" t="s">
        <v>7669</v>
      </c>
      <c r="O300" s="6" t="s">
        <v>233</v>
      </c>
      <c r="P300" s="58">
        <v>839</v>
      </c>
      <c r="Q300" s="6" t="s">
        <v>239</v>
      </c>
      <c r="R300" s="20">
        <v>22</v>
      </c>
      <c r="S300" s="2">
        <v>75105</v>
      </c>
      <c r="T300" s="4">
        <v>0</v>
      </c>
      <c r="U300" s="4">
        <f t="shared" si="14"/>
        <v>0</v>
      </c>
      <c r="V300" s="3" t="s">
        <v>362</v>
      </c>
      <c r="W300" s="3">
        <v>2014</v>
      </c>
      <c r="X300" s="3" t="s">
        <v>12062</v>
      </c>
    </row>
    <row r="301" spans="1:24" ht="114.75">
      <c r="A301" s="3" t="s">
        <v>14410</v>
      </c>
      <c r="B301" s="6" t="s">
        <v>361</v>
      </c>
      <c r="C301" s="6" t="s">
        <v>3039</v>
      </c>
      <c r="D301" s="3" t="s">
        <v>3040</v>
      </c>
      <c r="E301" s="6" t="s">
        <v>3041</v>
      </c>
      <c r="F301" s="6" t="s">
        <v>60</v>
      </c>
      <c r="G301" s="3" t="s">
        <v>11449</v>
      </c>
      <c r="H301" s="54">
        <v>0.64</v>
      </c>
      <c r="I301" s="16">
        <v>470000000</v>
      </c>
      <c r="J301" s="157" t="s">
        <v>229</v>
      </c>
      <c r="K301" s="5" t="s">
        <v>210</v>
      </c>
      <c r="L301" s="6" t="s">
        <v>232</v>
      </c>
      <c r="M301" s="3" t="s">
        <v>230</v>
      </c>
      <c r="N301" s="6" t="s">
        <v>7669</v>
      </c>
      <c r="O301" s="6" t="s">
        <v>233</v>
      </c>
      <c r="P301" s="58">
        <v>839</v>
      </c>
      <c r="Q301" s="6" t="s">
        <v>239</v>
      </c>
      <c r="R301" s="20">
        <v>128</v>
      </c>
      <c r="S301" s="2">
        <v>75105</v>
      </c>
      <c r="T301" s="4">
        <v>0</v>
      </c>
      <c r="U301" s="4">
        <f t="shared" si="14"/>
        <v>0</v>
      </c>
      <c r="V301" s="3" t="s">
        <v>362</v>
      </c>
      <c r="W301" s="3">
        <v>2014</v>
      </c>
      <c r="X301" s="3" t="s">
        <v>17347</v>
      </c>
    </row>
    <row r="302" spans="1:24" ht="89.25">
      <c r="A302" s="3" t="s">
        <v>17392</v>
      </c>
      <c r="B302" s="6" t="s">
        <v>361</v>
      </c>
      <c r="C302" s="6" t="s">
        <v>3039</v>
      </c>
      <c r="D302" s="3" t="s">
        <v>3040</v>
      </c>
      <c r="E302" s="6" t="s">
        <v>3041</v>
      </c>
      <c r="F302" s="6" t="s">
        <v>60</v>
      </c>
      <c r="G302" s="3" t="s">
        <v>11449</v>
      </c>
      <c r="H302" s="54">
        <v>0.64</v>
      </c>
      <c r="I302" s="16">
        <v>470000000</v>
      </c>
      <c r="J302" s="157" t="s">
        <v>229</v>
      </c>
      <c r="K302" s="5" t="s">
        <v>17385</v>
      </c>
      <c r="L302" s="6" t="s">
        <v>12251</v>
      </c>
      <c r="M302" s="3" t="s">
        <v>12250</v>
      </c>
      <c r="N302" s="6" t="s">
        <v>7669</v>
      </c>
      <c r="O302" s="6" t="s">
        <v>233</v>
      </c>
      <c r="P302" s="58">
        <v>839</v>
      </c>
      <c r="Q302" s="6" t="s">
        <v>239</v>
      </c>
      <c r="R302" s="323">
        <v>140</v>
      </c>
      <c r="S302" s="2">
        <v>75105</v>
      </c>
      <c r="T302" s="4">
        <v>0</v>
      </c>
      <c r="U302" s="4">
        <f t="shared" si="14"/>
        <v>0</v>
      </c>
      <c r="V302" s="3" t="s">
        <v>362</v>
      </c>
      <c r="W302" s="3">
        <v>2014</v>
      </c>
      <c r="X302" s="3" t="s">
        <v>12062</v>
      </c>
    </row>
    <row r="303" spans="1:24" ht="89.25">
      <c r="A303" s="3" t="s">
        <v>18746</v>
      </c>
      <c r="B303" s="6" t="s">
        <v>361</v>
      </c>
      <c r="C303" s="6" t="s">
        <v>3039</v>
      </c>
      <c r="D303" s="3" t="s">
        <v>3040</v>
      </c>
      <c r="E303" s="6" t="s">
        <v>3041</v>
      </c>
      <c r="F303" s="6" t="s">
        <v>60</v>
      </c>
      <c r="G303" s="3" t="s">
        <v>11449</v>
      </c>
      <c r="H303" s="54">
        <v>0.64</v>
      </c>
      <c r="I303" s="16">
        <v>470000000</v>
      </c>
      <c r="J303" s="157" t="s">
        <v>229</v>
      </c>
      <c r="K303" s="5" t="s">
        <v>17385</v>
      </c>
      <c r="L303" s="6" t="s">
        <v>12251</v>
      </c>
      <c r="M303" s="3" t="s">
        <v>12250</v>
      </c>
      <c r="N303" s="6" t="s">
        <v>7669</v>
      </c>
      <c r="O303" s="6" t="s">
        <v>233</v>
      </c>
      <c r="P303" s="58">
        <v>839</v>
      </c>
      <c r="Q303" s="6" t="s">
        <v>239</v>
      </c>
      <c r="R303" s="323">
        <v>160</v>
      </c>
      <c r="S303" s="2">
        <v>75105</v>
      </c>
      <c r="T303" s="4">
        <f>R303*S303</f>
        <v>12016800</v>
      </c>
      <c r="U303" s="4">
        <f t="shared" si="14"/>
        <v>13458816.000000002</v>
      </c>
      <c r="V303" s="3" t="s">
        <v>362</v>
      </c>
      <c r="W303" s="3">
        <v>2014</v>
      </c>
      <c r="X303" s="3"/>
    </row>
    <row r="304" spans="1:24" ht="114.75">
      <c r="A304" s="3" t="s">
        <v>756</v>
      </c>
      <c r="B304" s="6" t="s">
        <v>361</v>
      </c>
      <c r="C304" s="6" t="s">
        <v>3042</v>
      </c>
      <c r="D304" s="6" t="s">
        <v>3043</v>
      </c>
      <c r="E304" s="6" t="s">
        <v>3044</v>
      </c>
      <c r="F304" s="6" t="s">
        <v>61</v>
      </c>
      <c r="G304" s="3" t="s">
        <v>11449</v>
      </c>
      <c r="H304" s="54">
        <v>0.64</v>
      </c>
      <c r="I304" s="16">
        <v>470000000</v>
      </c>
      <c r="J304" s="157" t="s">
        <v>229</v>
      </c>
      <c r="K304" s="5" t="s">
        <v>210</v>
      </c>
      <c r="L304" s="6" t="s">
        <v>232</v>
      </c>
      <c r="M304" s="3" t="s">
        <v>230</v>
      </c>
      <c r="N304" s="6" t="s">
        <v>7669</v>
      </c>
      <c r="O304" s="6" t="s">
        <v>233</v>
      </c>
      <c r="P304" s="58">
        <v>796</v>
      </c>
      <c r="Q304" s="6" t="s">
        <v>234</v>
      </c>
      <c r="R304" s="20">
        <v>540</v>
      </c>
      <c r="S304" s="2">
        <v>776.29</v>
      </c>
      <c r="T304" s="4">
        <v>0</v>
      </c>
      <c r="U304" s="4">
        <f t="shared" si="14"/>
        <v>0</v>
      </c>
      <c r="V304" s="3" t="s">
        <v>362</v>
      </c>
      <c r="W304" s="3">
        <v>2014</v>
      </c>
      <c r="X304" s="3" t="s">
        <v>17347</v>
      </c>
    </row>
    <row r="305" spans="1:24" ht="89.25">
      <c r="A305" s="3" t="s">
        <v>17393</v>
      </c>
      <c r="B305" s="6" t="s">
        <v>361</v>
      </c>
      <c r="C305" s="6" t="s">
        <v>3042</v>
      </c>
      <c r="D305" s="6" t="s">
        <v>3043</v>
      </c>
      <c r="E305" s="6" t="s">
        <v>3044</v>
      </c>
      <c r="F305" s="6" t="s">
        <v>61</v>
      </c>
      <c r="G305" s="3" t="s">
        <v>11449</v>
      </c>
      <c r="H305" s="54">
        <v>0.64</v>
      </c>
      <c r="I305" s="16">
        <v>470000000</v>
      </c>
      <c r="J305" s="157" t="s">
        <v>229</v>
      </c>
      <c r="K305" s="5" t="s">
        <v>17385</v>
      </c>
      <c r="L305" s="6" t="s">
        <v>12251</v>
      </c>
      <c r="M305" s="3" t="s">
        <v>12250</v>
      </c>
      <c r="N305" s="6" t="s">
        <v>7669</v>
      </c>
      <c r="O305" s="6" t="s">
        <v>233</v>
      </c>
      <c r="P305" s="58">
        <v>796</v>
      </c>
      <c r="Q305" s="6" t="s">
        <v>234</v>
      </c>
      <c r="R305" s="323">
        <v>620</v>
      </c>
      <c r="S305" s="2">
        <v>776.29</v>
      </c>
      <c r="T305" s="4">
        <v>0</v>
      </c>
      <c r="U305" s="4">
        <f t="shared" si="14"/>
        <v>0</v>
      </c>
      <c r="V305" s="3" t="s">
        <v>362</v>
      </c>
      <c r="W305" s="3">
        <v>2014</v>
      </c>
      <c r="X305" s="3" t="s">
        <v>14780</v>
      </c>
    </row>
    <row r="306" spans="1:24" ht="89.25">
      <c r="A306" s="3" t="s">
        <v>19627</v>
      </c>
      <c r="B306" s="6" t="s">
        <v>361</v>
      </c>
      <c r="C306" s="6" t="s">
        <v>3042</v>
      </c>
      <c r="D306" s="6" t="s">
        <v>3043</v>
      </c>
      <c r="E306" s="6" t="s">
        <v>3044</v>
      </c>
      <c r="F306" s="6" t="s">
        <v>61</v>
      </c>
      <c r="G306" s="3" t="s">
        <v>11449</v>
      </c>
      <c r="H306" s="54">
        <v>0.64</v>
      </c>
      <c r="I306" s="16">
        <v>470000000</v>
      </c>
      <c r="J306" s="157" t="s">
        <v>229</v>
      </c>
      <c r="K306" s="5" t="s">
        <v>19625</v>
      </c>
      <c r="L306" s="6" t="s">
        <v>12251</v>
      </c>
      <c r="M306" s="3" t="s">
        <v>12250</v>
      </c>
      <c r="N306" s="6" t="s">
        <v>7669</v>
      </c>
      <c r="O306" s="6" t="s">
        <v>233</v>
      </c>
      <c r="P306" s="58">
        <v>796</v>
      </c>
      <c r="Q306" s="6" t="s">
        <v>234</v>
      </c>
      <c r="R306" s="323">
        <v>1160</v>
      </c>
      <c r="S306" s="2">
        <v>776.29</v>
      </c>
      <c r="T306" s="4">
        <f>R306*S306</f>
        <v>900496.39999999991</v>
      </c>
      <c r="U306" s="4">
        <f t="shared" si="14"/>
        <v>1008555.968</v>
      </c>
      <c r="V306" s="3" t="s">
        <v>362</v>
      </c>
      <c r="W306" s="3">
        <v>2014</v>
      </c>
      <c r="X306" s="3"/>
    </row>
    <row r="307" spans="1:24" ht="114.75">
      <c r="A307" s="3" t="s">
        <v>757</v>
      </c>
      <c r="B307" s="6" t="s">
        <v>361</v>
      </c>
      <c r="C307" s="6" t="s">
        <v>3042</v>
      </c>
      <c r="D307" s="6" t="s">
        <v>3043</v>
      </c>
      <c r="E307" s="6" t="s">
        <v>3044</v>
      </c>
      <c r="F307" s="6" t="s">
        <v>62</v>
      </c>
      <c r="G307" s="3" t="s">
        <v>11449</v>
      </c>
      <c r="H307" s="54">
        <v>0.64</v>
      </c>
      <c r="I307" s="16">
        <v>470000000</v>
      </c>
      <c r="J307" s="157" t="s">
        <v>229</v>
      </c>
      <c r="K307" s="5" t="s">
        <v>210</v>
      </c>
      <c r="L307" s="6" t="s">
        <v>232</v>
      </c>
      <c r="M307" s="3" t="s">
        <v>230</v>
      </c>
      <c r="N307" s="6" t="s">
        <v>7669</v>
      </c>
      <c r="O307" s="6" t="s">
        <v>233</v>
      </c>
      <c r="P307" s="58">
        <v>796</v>
      </c>
      <c r="Q307" s="6" t="s">
        <v>234</v>
      </c>
      <c r="R307" s="20">
        <v>44</v>
      </c>
      <c r="S307" s="2">
        <v>484</v>
      </c>
      <c r="T307" s="4">
        <v>0</v>
      </c>
      <c r="U307" s="4">
        <f t="shared" si="14"/>
        <v>0</v>
      </c>
      <c r="V307" s="3" t="s">
        <v>362</v>
      </c>
      <c r="W307" s="3">
        <v>2014</v>
      </c>
      <c r="X307" s="3" t="s">
        <v>12062</v>
      </c>
    </row>
    <row r="308" spans="1:24" ht="114.75">
      <c r="A308" s="3" t="s">
        <v>14411</v>
      </c>
      <c r="B308" s="6" t="s">
        <v>361</v>
      </c>
      <c r="C308" s="6" t="s">
        <v>3042</v>
      </c>
      <c r="D308" s="6" t="s">
        <v>3043</v>
      </c>
      <c r="E308" s="6" t="s">
        <v>3044</v>
      </c>
      <c r="F308" s="6" t="s">
        <v>62</v>
      </c>
      <c r="G308" s="3" t="s">
        <v>11449</v>
      </c>
      <c r="H308" s="54">
        <v>0.64</v>
      </c>
      <c r="I308" s="16">
        <v>470000000</v>
      </c>
      <c r="J308" s="157" t="s">
        <v>229</v>
      </c>
      <c r="K308" s="5" t="s">
        <v>210</v>
      </c>
      <c r="L308" s="6" t="s">
        <v>232</v>
      </c>
      <c r="M308" s="3" t="s">
        <v>230</v>
      </c>
      <c r="N308" s="6" t="s">
        <v>7669</v>
      </c>
      <c r="O308" s="6" t="s">
        <v>233</v>
      </c>
      <c r="P308" s="58">
        <v>796</v>
      </c>
      <c r="Q308" s="6" t="s">
        <v>234</v>
      </c>
      <c r="R308" s="20">
        <v>256</v>
      </c>
      <c r="S308" s="2">
        <v>484</v>
      </c>
      <c r="T308" s="4">
        <v>0</v>
      </c>
      <c r="U308" s="4">
        <f t="shared" si="14"/>
        <v>0</v>
      </c>
      <c r="V308" s="3" t="s">
        <v>362</v>
      </c>
      <c r="W308" s="3">
        <v>2014</v>
      </c>
      <c r="X308" s="3" t="s">
        <v>17347</v>
      </c>
    </row>
    <row r="309" spans="1:24" ht="89.25">
      <c r="A309" s="3" t="s">
        <v>17394</v>
      </c>
      <c r="B309" s="6" t="s">
        <v>361</v>
      </c>
      <c r="C309" s="6" t="s">
        <v>3042</v>
      </c>
      <c r="D309" s="6" t="s">
        <v>3043</v>
      </c>
      <c r="E309" s="6" t="s">
        <v>3044</v>
      </c>
      <c r="F309" s="6" t="s">
        <v>62</v>
      </c>
      <c r="G309" s="3" t="s">
        <v>11449</v>
      </c>
      <c r="H309" s="54">
        <v>0.64</v>
      </c>
      <c r="I309" s="16">
        <v>470000000</v>
      </c>
      <c r="J309" s="157" t="s">
        <v>229</v>
      </c>
      <c r="K309" s="5" t="s">
        <v>17385</v>
      </c>
      <c r="L309" s="6" t="s">
        <v>12251</v>
      </c>
      <c r="M309" s="3" t="s">
        <v>12250</v>
      </c>
      <c r="N309" s="6" t="s">
        <v>7669</v>
      </c>
      <c r="O309" s="6" t="s">
        <v>233</v>
      </c>
      <c r="P309" s="58">
        <v>796</v>
      </c>
      <c r="Q309" s="6" t="s">
        <v>234</v>
      </c>
      <c r="R309" s="323">
        <v>280</v>
      </c>
      <c r="S309" s="2">
        <v>484</v>
      </c>
      <c r="T309" s="4">
        <v>0</v>
      </c>
      <c r="U309" s="4">
        <f t="shared" si="14"/>
        <v>0</v>
      </c>
      <c r="V309" s="3" t="s">
        <v>362</v>
      </c>
      <c r="W309" s="3">
        <v>2014</v>
      </c>
      <c r="X309" s="3" t="s">
        <v>12062</v>
      </c>
    </row>
    <row r="310" spans="1:24" ht="89.25">
      <c r="A310" s="3" t="s">
        <v>18747</v>
      </c>
      <c r="B310" s="6" t="s">
        <v>361</v>
      </c>
      <c r="C310" s="6" t="s">
        <v>3042</v>
      </c>
      <c r="D310" s="6" t="s">
        <v>3043</v>
      </c>
      <c r="E310" s="6" t="s">
        <v>3044</v>
      </c>
      <c r="F310" s="6" t="s">
        <v>62</v>
      </c>
      <c r="G310" s="3" t="s">
        <v>11449</v>
      </c>
      <c r="H310" s="54">
        <v>0.64</v>
      </c>
      <c r="I310" s="16">
        <v>470000000</v>
      </c>
      <c r="J310" s="157" t="s">
        <v>229</v>
      </c>
      <c r="K310" s="5" t="s">
        <v>17385</v>
      </c>
      <c r="L310" s="6" t="s">
        <v>12251</v>
      </c>
      <c r="M310" s="3" t="s">
        <v>12250</v>
      </c>
      <c r="N310" s="6" t="s">
        <v>7669</v>
      </c>
      <c r="O310" s="6" t="s">
        <v>233</v>
      </c>
      <c r="P310" s="58">
        <v>796</v>
      </c>
      <c r="Q310" s="6" t="s">
        <v>234</v>
      </c>
      <c r="R310" s="323">
        <v>346</v>
      </c>
      <c r="S310" s="2">
        <v>484</v>
      </c>
      <c r="T310" s="4">
        <f>R310*S310</f>
        <v>167464</v>
      </c>
      <c r="U310" s="4">
        <f t="shared" si="14"/>
        <v>187559.68000000002</v>
      </c>
      <c r="V310" s="3" t="s">
        <v>362</v>
      </c>
      <c r="W310" s="3">
        <v>2014</v>
      </c>
      <c r="X310" s="3"/>
    </row>
    <row r="311" spans="1:24" ht="114.75">
      <c r="A311" s="3" t="s">
        <v>758</v>
      </c>
      <c r="B311" s="6" t="s">
        <v>361</v>
      </c>
      <c r="C311" s="6" t="s">
        <v>3034</v>
      </c>
      <c r="D311" s="3" t="s">
        <v>3032</v>
      </c>
      <c r="E311" s="6" t="s">
        <v>3035</v>
      </c>
      <c r="F311" s="6" t="s">
        <v>3027</v>
      </c>
      <c r="G311" s="3" t="s">
        <v>11449</v>
      </c>
      <c r="H311" s="54">
        <v>0.64</v>
      </c>
      <c r="I311" s="16">
        <v>470000000</v>
      </c>
      <c r="J311" s="157" t="s">
        <v>229</v>
      </c>
      <c r="K311" s="5" t="s">
        <v>210</v>
      </c>
      <c r="L311" s="6" t="s">
        <v>232</v>
      </c>
      <c r="M311" s="3" t="s">
        <v>230</v>
      </c>
      <c r="N311" s="6" t="s">
        <v>7669</v>
      </c>
      <c r="O311" s="6" t="s">
        <v>233</v>
      </c>
      <c r="P311" s="58">
        <v>796</v>
      </c>
      <c r="Q311" s="6" t="s">
        <v>234</v>
      </c>
      <c r="R311" s="20">
        <v>540</v>
      </c>
      <c r="S311" s="2">
        <v>15830</v>
      </c>
      <c r="T311" s="4">
        <v>0</v>
      </c>
      <c r="U311" s="4">
        <f t="shared" si="14"/>
        <v>0</v>
      </c>
      <c r="V311" s="3" t="s">
        <v>362</v>
      </c>
      <c r="W311" s="3">
        <v>2014</v>
      </c>
      <c r="X311" s="3" t="s">
        <v>17347</v>
      </c>
    </row>
    <row r="312" spans="1:24" ht="89.25">
      <c r="A312" s="3" t="s">
        <v>17395</v>
      </c>
      <c r="B312" s="6" t="s">
        <v>361</v>
      </c>
      <c r="C312" s="6" t="s">
        <v>3034</v>
      </c>
      <c r="D312" s="3" t="s">
        <v>3032</v>
      </c>
      <c r="E312" s="6" t="s">
        <v>3035</v>
      </c>
      <c r="F312" s="6" t="s">
        <v>3027</v>
      </c>
      <c r="G312" s="3" t="s">
        <v>11449</v>
      </c>
      <c r="H312" s="54">
        <v>0.64</v>
      </c>
      <c r="I312" s="16">
        <v>470000000</v>
      </c>
      <c r="J312" s="157" t="s">
        <v>229</v>
      </c>
      <c r="K312" s="5" t="s">
        <v>17385</v>
      </c>
      <c r="L312" s="6" t="s">
        <v>12251</v>
      </c>
      <c r="M312" s="3" t="s">
        <v>12250</v>
      </c>
      <c r="N312" s="6" t="s">
        <v>7669</v>
      </c>
      <c r="O312" s="6" t="s">
        <v>233</v>
      </c>
      <c r="P312" s="58">
        <v>796</v>
      </c>
      <c r="Q312" s="6" t="s">
        <v>234</v>
      </c>
      <c r="R312" s="323">
        <v>620</v>
      </c>
      <c r="S312" s="2">
        <v>15830</v>
      </c>
      <c r="T312" s="4">
        <v>0</v>
      </c>
      <c r="U312" s="4">
        <f t="shared" si="14"/>
        <v>0</v>
      </c>
      <c r="V312" s="3" t="s">
        <v>362</v>
      </c>
      <c r="W312" s="3">
        <v>2014</v>
      </c>
      <c r="X312" s="3" t="s">
        <v>14780</v>
      </c>
    </row>
    <row r="313" spans="1:24" ht="89.25">
      <c r="A313" s="3" t="s">
        <v>19628</v>
      </c>
      <c r="B313" s="6" t="s">
        <v>361</v>
      </c>
      <c r="C313" s="6" t="s">
        <v>3034</v>
      </c>
      <c r="D313" s="3" t="s">
        <v>3032</v>
      </c>
      <c r="E313" s="6" t="s">
        <v>3035</v>
      </c>
      <c r="F313" s="6" t="s">
        <v>3027</v>
      </c>
      <c r="G313" s="3" t="s">
        <v>11449</v>
      </c>
      <c r="H313" s="54">
        <v>0.64</v>
      </c>
      <c r="I313" s="16">
        <v>470000000</v>
      </c>
      <c r="J313" s="157" t="s">
        <v>229</v>
      </c>
      <c r="K313" s="5" t="s">
        <v>19625</v>
      </c>
      <c r="L313" s="6" t="s">
        <v>12251</v>
      </c>
      <c r="M313" s="3" t="s">
        <v>12250</v>
      </c>
      <c r="N313" s="6" t="s">
        <v>7669</v>
      </c>
      <c r="O313" s="6" t="s">
        <v>233</v>
      </c>
      <c r="P313" s="58">
        <v>796</v>
      </c>
      <c r="Q313" s="6" t="s">
        <v>234</v>
      </c>
      <c r="R313" s="323">
        <v>1090</v>
      </c>
      <c r="S313" s="2">
        <v>15830</v>
      </c>
      <c r="T313" s="4">
        <f>R313*S313</f>
        <v>17254700</v>
      </c>
      <c r="U313" s="4">
        <f t="shared" si="14"/>
        <v>19325264</v>
      </c>
      <c r="V313" s="3" t="s">
        <v>362</v>
      </c>
      <c r="W313" s="3">
        <v>2014</v>
      </c>
      <c r="X313" s="3"/>
    </row>
    <row r="314" spans="1:24" ht="114.75">
      <c r="A314" s="3" t="s">
        <v>759</v>
      </c>
      <c r="B314" s="6" t="s">
        <v>361</v>
      </c>
      <c r="C314" s="6" t="s">
        <v>3031</v>
      </c>
      <c r="D314" s="3" t="s">
        <v>3032</v>
      </c>
      <c r="E314" s="6" t="s">
        <v>3033</v>
      </c>
      <c r="F314" s="6" t="s">
        <v>3028</v>
      </c>
      <c r="G314" s="3" t="s">
        <v>11449</v>
      </c>
      <c r="H314" s="54">
        <v>0.64</v>
      </c>
      <c r="I314" s="16">
        <v>470000000</v>
      </c>
      <c r="J314" s="157" t="s">
        <v>229</v>
      </c>
      <c r="K314" s="5" t="s">
        <v>210</v>
      </c>
      <c r="L314" s="6" t="s">
        <v>232</v>
      </c>
      <c r="M314" s="3" t="s">
        <v>230</v>
      </c>
      <c r="N314" s="6" t="s">
        <v>7669</v>
      </c>
      <c r="O314" s="6" t="s">
        <v>233</v>
      </c>
      <c r="P314" s="58">
        <v>796</v>
      </c>
      <c r="Q314" s="6" t="s">
        <v>234</v>
      </c>
      <c r="R314" s="20">
        <v>44</v>
      </c>
      <c r="S314" s="2">
        <v>7417</v>
      </c>
      <c r="T314" s="4">
        <v>0</v>
      </c>
      <c r="U314" s="4">
        <f t="shared" si="14"/>
        <v>0</v>
      </c>
      <c r="V314" s="3" t="s">
        <v>362</v>
      </c>
      <c r="W314" s="3">
        <v>2014</v>
      </c>
      <c r="X314" s="3" t="s">
        <v>12062</v>
      </c>
    </row>
    <row r="315" spans="1:24" ht="114.75">
      <c r="A315" s="3" t="s">
        <v>14412</v>
      </c>
      <c r="B315" s="6" t="s">
        <v>361</v>
      </c>
      <c r="C315" s="6" t="s">
        <v>3031</v>
      </c>
      <c r="D315" s="3" t="s">
        <v>3032</v>
      </c>
      <c r="E315" s="6" t="s">
        <v>3033</v>
      </c>
      <c r="F315" s="6" t="s">
        <v>3028</v>
      </c>
      <c r="G315" s="3" t="s">
        <v>11449</v>
      </c>
      <c r="H315" s="54">
        <v>0.64</v>
      </c>
      <c r="I315" s="16">
        <v>470000000</v>
      </c>
      <c r="J315" s="157" t="s">
        <v>229</v>
      </c>
      <c r="K315" s="5" t="s">
        <v>210</v>
      </c>
      <c r="L315" s="6" t="s">
        <v>232</v>
      </c>
      <c r="M315" s="3" t="s">
        <v>230</v>
      </c>
      <c r="N315" s="6" t="s">
        <v>7669</v>
      </c>
      <c r="O315" s="6" t="s">
        <v>233</v>
      </c>
      <c r="P315" s="58">
        <v>796</v>
      </c>
      <c r="Q315" s="6" t="s">
        <v>234</v>
      </c>
      <c r="R315" s="20">
        <v>256</v>
      </c>
      <c r="S315" s="2">
        <v>7417</v>
      </c>
      <c r="T315" s="4">
        <v>0</v>
      </c>
      <c r="U315" s="4">
        <f t="shared" si="14"/>
        <v>0</v>
      </c>
      <c r="V315" s="3" t="s">
        <v>362</v>
      </c>
      <c r="W315" s="3">
        <v>2014</v>
      </c>
      <c r="X315" s="3" t="s">
        <v>17347</v>
      </c>
    </row>
    <row r="316" spans="1:24" ht="89.25">
      <c r="A316" s="3" t="s">
        <v>17396</v>
      </c>
      <c r="B316" s="6" t="s">
        <v>361</v>
      </c>
      <c r="C316" s="6" t="s">
        <v>3031</v>
      </c>
      <c r="D316" s="3" t="s">
        <v>3032</v>
      </c>
      <c r="E316" s="6" t="s">
        <v>3033</v>
      </c>
      <c r="F316" s="6" t="s">
        <v>3028</v>
      </c>
      <c r="G316" s="3" t="s">
        <v>11449</v>
      </c>
      <c r="H316" s="54">
        <v>0.64</v>
      </c>
      <c r="I316" s="16">
        <v>470000000</v>
      </c>
      <c r="J316" s="157" t="s">
        <v>229</v>
      </c>
      <c r="K316" s="5" t="s">
        <v>17385</v>
      </c>
      <c r="L316" s="6" t="s">
        <v>12251</v>
      </c>
      <c r="M316" s="3" t="s">
        <v>12250</v>
      </c>
      <c r="N316" s="6" t="s">
        <v>7669</v>
      </c>
      <c r="O316" s="6" t="s">
        <v>233</v>
      </c>
      <c r="P316" s="58">
        <v>796</v>
      </c>
      <c r="Q316" s="6" t="s">
        <v>234</v>
      </c>
      <c r="R316" s="20">
        <v>280</v>
      </c>
      <c r="S316" s="2">
        <v>7417</v>
      </c>
      <c r="T316" s="4">
        <v>0</v>
      </c>
      <c r="U316" s="4">
        <f t="shared" si="14"/>
        <v>0</v>
      </c>
      <c r="V316" s="3" t="s">
        <v>362</v>
      </c>
      <c r="W316" s="3">
        <v>2014</v>
      </c>
      <c r="X316" s="3" t="s">
        <v>12062</v>
      </c>
    </row>
    <row r="317" spans="1:24" ht="89.25">
      <c r="A317" s="3" t="s">
        <v>19262</v>
      </c>
      <c r="B317" s="6" t="s">
        <v>361</v>
      </c>
      <c r="C317" s="6" t="s">
        <v>3031</v>
      </c>
      <c r="D317" s="3" t="s">
        <v>3032</v>
      </c>
      <c r="E317" s="6" t="s">
        <v>3033</v>
      </c>
      <c r="F317" s="6" t="s">
        <v>3028</v>
      </c>
      <c r="G317" s="3" t="s">
        <v>11449</v>
      </c>
      <c r="H317" s="54">
        <v>0.64</v>
      </c>
      <c r="I317" s="16">
        <v>470000000</v>
      </c>
      <c r="J317" s="157" t="s">
        <v>229</v>
      </c>
      <c r="K317" s="5" t="s">
        <v>17385</v>
      </c>
      <c r="L317" s="6" t="s">
        <v>12251</v>
      </c>
      <c r="M317" s="3" t="s">
        <v>12250</v>
      </c>
      <c r="N317" s="6" t="s">
        <v>7669</v>
      </c>
      <c r="O317" s="6" t="s">
        <v>233</v>
      </c>
      <c r="P317" s="58">
        <v>796</v>
      </c>
      <c r="Q317" s="6" t="s">
        <v>234</v>
      </c>
      <c r="R317" s="323">
        <v>302</v>
      </c>
      <c r="S317" s="2">
        <v>7417</v>
      </c>
      <c r="T317" s="4">
        <f>R317*S317</f>
        <v>2239934</v>
      </c>
      <c r="U317" s="4">
        <f t="shared" si="14"/>
        <v>2508726.08</v>
      </c>
      <c r="V317" s="3" t="s">
        <v>362</v>
      </c>
      <c r="W317" s="3">
        <v>2014</v>
      </c>
      <c r="X317" s="3"/>
    </row>
    <row r="318" spans="1:24" ht="102">
      <c r="A318" s="3" t="s">
        <v>760</v>
      </c>
      <c r="B318" s="6" t="s">
        <v>361</v>
      </c>
      <c r="C318" s="6" t="s">
        <v>11625</v>
      </c>
      <c r="D318" s="3" t="s">
        <v>255</v>
      </c>
      <c r="E318" s="6" t="s">
        <v>11626</v>
      </c>
      <c r="F318" s="6" t="s">
        <v>3048</v>
      </c>
      <c r="G318" s="3" t="s">
        <v>11449</v>
      </c>
      <c r="H318" s="54">
        <v>0</v>
      </c>
      <c r="I318" s="16">
        <v>470000000</v>
      </c>
      <c r="J318" s="157" t="s">
        <v>229</v>
      </c>
      <c r="K318" s="5" t="s">
        <v>210</v>
      </c>
      <c r="L318" s="6" t="s">
        <v>231</v>
      </c>
      <c r="M318" s="3" t="s">
        <v>230</v>
      </c>
      <c r="N318" s="65" t="s">
        <v>524</v>
      </c>
      <c r="O318" s="6" t="s">
        <v>233</v>
      </c>
      <c r="P318" s="58">
        <v>168</v>
      </c>
      <c r="Q318" s="6" t="s">
        <v>240</v>
      </c>
      <c r="R318" s="118">
        <v>7.44</v>
      </c>
      <c r="S318" s="2">
        <v>199020</v>
      </c>
      <c r="T318" s="4">
        <v>0</v>
      </c>
      <c r="U318" s="4">
        <f t="shared" si="14"/>
        <v>0</v>
      </c>
      <c r="V318" s="3" t="s">
        <v>362</v>
      </c>
      <c r="W318" s="3">
        <v>2014</v>
      </c>
      <c r="X318" s="3">
        <v>11.12</v>
      </c>
    </row>
    <row r="319" spans="1:24" ht="89.25">
      <c r="A319" s="3" t="s">
        <v>12110</v>
      </c>
      <c r="B319" s="6" t="s">
        <v>361</v>
      </c>
      <c r="C319" s="6" t="s">
        <v>11625</v>
      </c>
      <c r="D319" s="3" t="s">
        <v>255</v>
      </c>
      <c r="E319" s="6" t="s">
        <v>11626</v>
      </c>
      <c r="F319" s="6" t="s">
        <v>3048</v>
      </c>
      <c r="G319" s="3" t="s">
        <v>11449</v>
      </c>
      <c r="H319" s="54">
        <v>0</v>
      </c>
      <c r="I319" s="16">
        <v>470000000</v>
      </c>
      <c r="J319" s="157" t="s">
        <v>229</v>
      </c>
      <c r="K319" s="5" t="s">
        <v>12111</v>
      </c>
      <c r="L319" s="17" t="s">
        <v>11411</v>
      </c>
      <c r="M319" s="3" t="s">
        <v>230</v>
      </c>
      <c r="N319" s="65" t="s">
        <v>524</v>
      </c>
      <c r="O319" s="6" t="s">
        <v>233</v>
      </c>
      <c r="P319" s="58">
        <v>168</v>
      </c>
      <c r="Q319" s="6" t="s">
        <v>240</v>
      </c>
      <c r="R319" s="118">
        <v>7.44</v>
      </c>
      <c r="S319" s="2">
        <v>199020</v>
      </c>
      <c r="T319" s="4">
        <v>0</v>
      </c>
      <c r="U319" s="4">
        <v>0</v>
      </c>
      <c r="V319" s="3" t="s">
        <v>362</v>
      </c>
      <c r="W319" s="3">
        <v>2014</v>
      </c>
      <c r="X319" s="3" t="s">
        <v>14575</v>
      </c>
    </row>
    <row r="320" spans="1:24" ht="89.25">
      <c r="A320" s="3" t="s">
        <v>14576</v>
      </c>
      <c r="B320" s="6" t="s">
        <v>361</v>
      </c>
      <c r="C320" s="6" t="s">
        <v>11625</v>
      </c>
      <c r="D320" s="3" t="s">
        <v>255</v>
      </c>
      <c r="E320" s="6" t="s">
        <v>11626</v>
      </c>
      <c r="F320" s="6" t="s">
        <v>3048</v>
      </c>
      <c r="G320" s="3" t="s">
        <v>11449</v>
      </c>
      <c r="H320" s="54">
        <v>0</v>
      </c>
      <c r="I320" s="16">
        <v>470000000</v>
      </c>
      <c r="J320" s="157" t="s">
        <v>229</v>
      </c>
      <c r="K320" s="5" t="s">
        <v>12111</v>
      </c>
      <c r="L320" s="17" t="s">
        <v>11411</v>
      </c>
      <c r="M320" s="3" t="s">
        <v>230</v>
      </c>
      <c r="N320" s="65" t="s">
        <v>524</v>
      </c>
      <c r="O320" s="6" t="s">
        <v>233</v>
      </c>
      <c r="P320" s="58">
        <v>168</v>
      </c>
      <c r="Q320" s="6" t="s">
        <v>240</v>
      </c>
      <c r="R320" s="244">
        <v>2.2360000000000002</v>
      </c>
      <c r="S320" s="2">
        <v>238824</v>
      </c>
      <c r="T320" s="4">
        <v>0</v>
      </c>
      <c r="U320" s="4">
        <f t="shared" ref="U320:U394" si="15">T320*1.12</f>
        <v>0</v>
      </c>
      <c r="V320" s="3" t="s">
        <v>362</v>
      </c>
      <c r="W320" s="3">
        <v>2014</v>
      </c>
      <c r="X320" s="3" t="s">
        <v>17399</v>
      </c>
    </row>
    <row r="321" spans="1:24" ht="89.25">
      <c r="A321" s="3" t="s">
        <v>17397</v>
      </c>
      <c r="B321" s="6" t="s">
        <v>361</v>
      </c>
      <c r="C321" s="6" t="s">
        <v>11625</v>
      </c>
      <c r="D321" s="3" t="s">
        <v>255</v>
      </c>
      <c r="E321" s="6" t="s">
        <v>11626</v>
      </c>
      <c r="F321" s="6" t="s">
        <v>3048</v>
      </c>
      <c r="G321" s="3" t="s">
        <v>11450</v>
      </c>
      <c r="H321" s="54">
        <v>0</v>
      </c>
      <c r="I321" s="16">
        <v>470000000</v>
      </c>
      <c r="J321" s="157" t="s">
        <v>229</v>
      </c>
      <c r="K321" s="5" t="s">
        <v>17398</v>
      </c>
      <c r="L321" s="17" t="s">
        <v>11411</v>
      </c>
      <c r="M321" s="3" t="s">
        <v>230</v>
      </c>
      <c r="N321" s="65" t="s">
        <v>528</v>
      </c>
      <c r="O321" s="6" t="s">
        <v>233</v>
      </c>
      <c r="P321" s="58">
        <v>168</v>
      </c>
      <c r="Q321" s="6" t="s">
        <v>240</v>
      </c>
      <c r="R321" s="244">
        <v>2.2359999999999998</v>
      </c>
      <c r="S321" s="2">
        <v>238824</v>
      </c>
      <c r="T321" s="4">
        <v>0</v>
      </c>
      <c r="U321" s="4">
        <f t="shared" si="15"/>
        <v>0</v>
      </c>
      <c r="V321" s="3" t="s">
        <v>362</v>
      </c>
      <c r="W321" s="3">
        <v>2014</v>
      </c>
      <c r="X321" s="3" t="s">
        <v>12076</v>
      </c>
    </row>
    <row r="322" spans="1:24" ht="102">
      <c r="A322" s="3" t="s">
        <v>761</v>
      </c>
      <c r="B322" s="6" t="s">
        <v>361</v>
      </c>
      <c r="C322" s="6" t="s">
        <v>11627</v>
      </c>
      <c r="D322" s="3" t="s">
        <v>255</v>
      </c>
      <c r="E322" s="6" t="s">
        <v>11628</v>
      </c>
      <c r="F322" s="6" t="s">
        <v>3049</v>
      </c>
      <c r="G322" s="3" t="s">
        <v>11449</v>
      </c>
      <c r="H322" s="54">
        <v>0</v>
      </c>
      <c r="I322" s="16">
        <v>470000000</v>
      </c>
      <c r="J322" s="157" t="s">
        <v>229</v>
      </c>
      <c r="K322" s="5" t="s">
        <v>210</v>
      </c>
      <c r="L322" s="6" t="s">
        <v>231</v>
      </c>
      <c r="M322" s="3" t="s">
        <v>230</v>
      </c>
      <c r="N322" s="65" t="s">
        <v>524</v>
      </c>
      <c r="O322" s="6" t="s">
        <v>233</v>
      </c>
      <c r="P322" s="58">
        <v>168</v>
      </c>
      <c r="Q322" s="6" t="s">
        <v>240</v>
      </c>
      <c r="R322" s="118">
        <v>5.13</v>
      </c>
      <c r="S322" s="2">
        <v>199020</v>
      </c>
      <c r="T322" s="4">
        <v>0</v>
      </c>
      <c r="U322" s="4">
        <f t="shared" si="15"/>
        <v>0</v>
      </c>
      <c r="V322" s="3" t="s">
        <v>362</v>
      </c>
      <c r="W322" s="3">
        <v>2014</v>
      </c>
      <c r="X322" s="3">
        <v>11.12</v>
      </c>
    </row>
    <row r="323" spans="1:24" ht="89.25">
      <c r="A323" s="3" t="s">
        <v>12112</v>
      </c>
      <c r="B323" s="6" t="s">
        <v>361</v>
      </c>
      <c r="C323" s="6" t="s">
        <v>11627</v>
      </c>
      <c r="D323" s="3" t="s">
        <v>255</v>
      </c>
      <c r="E323" s="6" t="s">
        <v>11628</v>
      </c>
      <c r="F323" s="6" t="s">
        <v>3049</v>
      </c>
      <c r="G323" s="3" t="s">
        <v>11449</v>
      </c>
      <c r="H323" s="54">
        <v>0</v>
      </c>
      <c r="I323" s="16">
        <v>470000000</v>
      </c>
      <c r="J323" s="157" t="s">
        <v>229</v>
      </c>
      <c r="K323" s="5" t="s">
        <v>12111</v>
      </c>
      <c r="L323" s="17" t="s">
        <v>11411</v>
      </c>
      <c r="M323" s="3" t="s">
        <v>230</v>
      </c>
      <c r="N323" s="65" t="s">
        <v>524</v>
      </c>
      <c r="O323" s="6" t="s">
        <v>233</v>
      </c>
      <c r="P323" s="58">
        <v>168</v>
      </c>
      <c r="Q323" s="6" t="s">
        <v>240</v>
      </c>
      <c r="R323" s="118">
        <v>5.13</v>
      </c>
      <c r="S323" s="2">
        <v>199020</v>
      </c>
      <c r="T323" s="4">
        <v>0</v>
      </c>
      <c r="U323" s="4">
        <f t="shared" si="15"/>
        <v>0</v>
      </c>
      <c r="V323" s="3" t="s">
        <v>362</v>
      </c>
      <c r="W323" s="3">
        <v>2014</v>
      </c>
      <c r="X323" s="3" t="s">
        <v>12076</v>
      </c>
    </row>
    <row r="324" spans="1:24" ht="102">
      <c r="A324" s="3" t="s">
        <v>762</v>
      </c>
      <c r="B324" s="6" t="s">
        <v>361</v>
      </c>
      <c r="C324" s="6" t="s">
        <v>3076</v>
      </c>
      <c r="D324" s="6" t="s">
        <v>255</v>
      </c>
      <c r="E324" s="6" t="s">
        <v>11693</v>
      </c>
      <c r="F324" s="6" t="s">
        <v>3050</v>
      </c>
      <c r="G324" s="3" t="s">
        <v>11449</v>
      </c>
      <c r="H324" s="54">
        <v>0</v>
      </c>
      <c r="I324" s="16">
        <v>470000000</v>
      </c>
      <c r="J324" s="157" t="s">
        <v>229</v>
      </c>
      <c r="K324" s="5" t="s">
        <v>215</v>
      </c>
      <c r="L324" s="6" t="s">
        <v>231</v>
      </c>
      <c r="M324" s="3" t="s">
        <v>230</v>
      </c>
      <c r="N324" s="65" t="s">
        <v>524</v>
      </c>
      <c r="O324" s="6" t="s">
        <v>233</v>
      </c>
      <c r="P324" s="58">
        <v>168</v>
      </c>
      <c r="Q324" s="6" t="s">
        <v>240</v>
      </c>
      <c r="R324" s="118">
        <v>5.84</v>
      </c>
      <c r="S324" s="2">
        <v>199020</v>
      </c>
      <c r="T324" s="4">
        <v>0</v>
      </c>
      <c r="U324" s="4">
        <f t="shared" si="15"/>
        <v>0</v>
      </c>
      <c r="V324" s="3" t="s">
        <v>362</v>
      </c>
      <c r="W324" s="3">
        <v>2014</v>
      </c>
      <c r="X324" s="3">
        <v>11.12</v>
      </c>
    </row>
    <row r="325" spans="1:24" ht="89.25">
      <c r="A325" s="3" t="s">
        <v>12113</v>
      </c>
      <c r="B325" s="6" t="s">
        <v>361</v>
      </c>
      <c r="C325" s="6" t="s">
        <v>3076</v>
      </c>
      <c r="D325" s="6" t="s">
        <v>255</v>
      </c>
      <c r="E325" s="6" t="s">
        <v>11693</v>
      </c>
      <c r="F325" s="6" t="s">
        <v>3050</v>
      </c>
      <c r="G325" s="3" t="s">
        <v>11449</v>
      </c>
      <c r="H325" s="54">
        <v>0</v>
      </c>
      <c r="I325" s="16">
        <v>470000000</v>
      </c>
      <c r="J325" s="157" t="s">
        <v>229</v>
      </c>
      <c r="K325" s="5" t="s">
        <v>12111</v>
      </c>
      <c r="L325" s="17" t="s">
        <v>11411</v>
      </c>
      <c r="M325" s="3" t="s">
        <v>230</v>
      </c>
      <c r="N325" s="65" t="s">
        <v>524</v>
      </c>
      <c r="O325" s="6" t="s">
        <v>233</v>
      </c>
      <c r="P325" s="58">
        <v>168</v>
      </c>
      <c r="Q325" s="6" t="s">
        <v>240</v>
      </c>
      <c r="R325" s="118">
        <v>5.84</v>
      </c>
      <c r="S325" s="2">
        <v>199020</v>
      </c>
      <c r="T325" s="4">
        <v>0</v>
      </c>
      <c r="U325" s="4">
        <f t="shared" si="15"/>
        <v>0</v>
      </c>
      <c r="V325" s="3" t="s">
        <v>362</v>
      </c>
      <c r="W325" s="3">
        <v>2014</v>
      </c>
      <c r="X325" s="3" t="s">
        <v>11811</v>
      </c>
    </row>
    <row r="326" spans="1:24" ht="89.25">
      <c r="A326" s="3" t="s">
        <v>14135</v>
      </c>
      <c r="B326" s="6" t="s">
        <v>361</v>
      </c>
      <c r="C326" s="6" t="s">
        <v>14136</v>
      </c>
      <c r="D326" s="6" t="s">
        <v>255</v>
      </c>
      <c r="E326" s="6" t="s">
        <v>14137</v>
      </c>
      <c r="F326" s="6" t="s">
        <v>3050</v>
      </c>
      <c r="G326" s="3" t="s">
        <v>11449</v>
      </c>
      <c r="H326" s="54">
        <v>0</v>
      </c>
      <c r="I326" s="16">
        <v>470000000</v>
      </c>
      <c r="J326" s="157" t="s">
        <v>229</v>
      </c>
      <c r="K326" s="5" t="s">
        <v>12111</v>
      </c>
      <c r="L326" s="17" t="s">
        <v>11411</v>
      </c>
      <c r="M326" s="3" t="s">
        <v>230</v>
      </c>
      <c r="N326" s="65" t="s">
        <v>524</v>
      </c>
      <c r="O326" s="6" t="s">
        <v>233</v>
      </c>
      <c r="P326" s="58">
        <v>168</v>
      </c>
      <c r="Q326" s="6" t="s">
        <v>240</v>
      </c>
      <c r="R326" s="118">
        <v>5.84</v>
      </c>
      <c r="S326" s="2">
        <v>199020</v>
      </c>
      <c r="T326" s="4">
        <v>0</v>
      </c>
      <c r="U326" s="4">
        <f t="shared" si="15"/>
        <v>0</v>
      </c>
      <c r="V326" s="3" t="s">
        <v>362</v>
      </c>
      <c r="W326" s="3">
        <v>2014</v>
      </c>
      <c r="X326" s="3" t="s">
        <v>12076</v>
      </c>
    </row>
    <row r="327" spans="1:24" ht="102">
      <c r="A327" s="3" t="s">
        <v>763</v>
      </c>
      <c r="B327" s="6" t="s">
        <v>361</v>
      </c>
      <c r="C327" s="6" t="s">
        <v>3085</v>
      </c>
      <c r="D327" s="6" t="s">
        <v>255</v>
      </c>
      <c r="E327" s="6" t="s">
        <v>3086</v>
      </c>
      <c r="F327" s="6" t="s">
        <v>3051</v>
      </c>
      <c r="G327" s="3" t="s">
        <v>11449</v>
      </c>
      <c r="H327" s="54">
        <v>0</v>
      </c>
      <c r="I327" s="16">
        <v>470000000</v>
      </c>
      <c r="J327" s="157" t="s">
        <v>229</v>
      </c>
      <c r="K327" s="5" t="s">
        <v>210</v>
      </c>
      <c r="L327" s="6" t="s">
        <v>231</v>
      </c>
      <c r="M327" s="3" t="s">
        <v>230</v>
      </c>
      <c r="N327" s="65" t="s">
        <v>524</v>
      </c>
      <c r="O327" s="6" t="s">
        <v>233</v>
      </c>
      <c r="P327" s="58">
        <v>168</v>
      </c>
      <c r="Q327" s="6" t="s">
        <v>240</v>
      </c>
      <c r="R327" s="118">
        <v>7</v>
      </c>
      <c r="S327" s="2">
        <v>208115</v>
      </c>
      <c r="T327" s="4">
        <v>0</v>
      </c>
      <c r="U327" s="4">
        <f t="shared" si="15"/>
        <v>0</v>
      </c>
      <c r="V327" s="3" t="s">
        <v>362</v>
      </c>
      <c r="W327" s="3">
        <v>2014</v>
      </c>
      <c r="X327" s="3">
        <v>11.12</v>
      </c>
    </row>
    <row r="328" spans="1:24" ht="89.25">
      <c r="A328" s="3" t="s">
        <v>12114</v>
      </c>
      <c r="B328" s="6" t="s">
        <v>361</v>
      </c>
      <c r="C328" s="6" t="s">
        <v>3085</v>
      </c>
      <c r="D328" s="6" t="s">
        <v>255</v>
      </c>
      <c r="E328" s="6" t="s">
        <v>3086</v>
      </c>
      <c r="F328" s="6" t="s">
        <v>3051</v>
      </c>
      <c r="G328" s="3" t="s">
        <v>11449</v>
      </c>
      <c r="H328" s="54">
        <v>0</v>
      </c>
      <c r="I328" s="16">
        <v>470000000</v>
      </c>
      <c r="J328" s="157" t="s">
        <v>229</v>
      </c>
      <c r="K328" s="5" t="s">
        <v>12111</v>
      </c>
      <c r="L328" s="17" t="s">
        <v>11411</v>
      </c>
      <c r="M328" s="3" t="s">
        <v>230</v>
      </c>
      <c r="N328" s="65" t="s">
        <v>524</v>
      </c>
      <c r="O328" s="6" t="s">
        <v>233</v>
      </c>
      <c r="P328" s="58">
        <v>168</v>
      </c>
      <c r="Q328" s="6" t="s">
        <v>240</v>
      </c>
      <c r="R328" s="118">
        <v>0</v>
      </c>
      <c r="S328" s="2">
        <v>208115</v>
      </c>
      <c r="T328" s="4">
        <f>R328*S328</f>
        <v>0</v>
      </c>
      <c r="U328" s="4">
        <f t="shared" si="15"/>
        <v>0</v>
      </c>
      <c r="V328" s="3" t="s">
        <v>362</v>
      </c>
      <c r="W328" s="3">
        <v>2014</v>
      </c>
      <c r="X328" s="3" t="s">
        <v>12076</v>
      </c>
    </row>
    <row r="329" spans="1:24" ht="102">
      <c r="A329" s="3" t="s">
        <v>764</v>
      </c>
      <c r="B329" s="6" t="s">
        <v>361</v>
      </c>
      <c r="C329" s="6" t="s">
        <v>3084</v>
      </c>
      <c r="D329" s="6" t="s">
        <v>255</v>
      </c>
      <c r="E329" s="6" t="s">
        <v>3077</v>
      </c>
      <c r="F329" s="6" t="s">
        <v>3052</v>
      </c>
      <c r="G329" s="3" t="s">
        <v>11449</v>
      </c>
      <c r="H329" s="54">
        <v>0</v>
      </c>
      <c r="I329" s="16">
        <v>470000000</v>
      </c>
      <c r="J329" s="157" t="s">
        <v>229</v>
      </c>
      <c r="K329" s="5" t="s">
        <v>210</v>
      </c>
      <c r="L329" s="6" t="s">
        <v>231</v>
      </c>
      <c r="M329" s="3" t="s">
        <v>230</v>
      </c>
      <c r="N329" s="65" t="s">
        <v>524</v>
      </c>
      <c r="O329" s="6" t="s">
        <v>233</v>
      </c>
      <c r="P329" s="58">
        <v>168</v>
      </c>
      <c r="Q329" s="6" t="s">
        <v>240</v>
      </c>
      <c r="R329" s="118">
        <v>18</v>
      </c>
      <c r="S329" s="2">
        <v>208115</v>
      </c>
      <c r="T329" s="4">
        <v>0</v>
      </c>
      <c r="U329" s="4">
        <f t="shared" si="15"/>
        <v>0</v>
      </c>
      <c r="V329" s="3" t="s">
        <v>362</v>
      </c>
      <c r="W329" s="3">
        <v>2014</v>
      </c>
      <c r="X329" s="3" t="s">
        <v>14132</v>
      </c>
    </row>
    <row r="330" spans="1:24" ht="102">
      <c r="A330" s="3" t="s">
        <v>14578</v>
      </c>
      <c r="B330" s="6" t="s">
        <v>361</v>
      </c>
      <c r="C330" s="6" t="s">
        <v>3084</v>
      </c>
      <c r="D330" s="6" t="s">
        <v>255</v>
      </c>
      <c r="E330" s="6" t="s">
        <v>3077</v>
      </c>
      <c r="F330" s="6" t="s">
        <v>3052</v>
      </c>
      <c r="G330" s="3" t="s">
        <v>11449</v>
      </c>
      <c r="H330" s="54">
        <v>0</v>
      </c>
      <c r="I330" s="16">
        <v>470000000</v>
      </c>
      <c r="J330" s="157" t="s">
        <v>229</v>
      </c>
      <c r="K330" s="5" t="s">
        <v>14602</v>
      </c>
      <c r="L330" s="6" t="s">
        <v>231</v>
      </c>
      <c r="M330" s="3" t="s">
        <v>230</v>
      </c>
      <c r="N330" s="65" t="s">
        <v>524</v>
      </c>
      <c r="O330" s="6" t="s">
        <v>233</v>
      </c>
      <c r="P330" s="58">
        <v>168</v>
      </c>
      <c r="Q330" s="6" t="s">
        <v>240</v>
      </c>
      <c r="R330" s="244">
        <v>17.571000000000002</v>
      </c>
      <c r="S330" s="2">
        <v>249738</v>
      </c>
      <c r="T330" s="1">
        <f>R330*S330</f>
        <v>4388146.398</v>
      </c>
      <c r="U330" s="1">
        <f t="shared" si="15"/>
        <v>4914723.965760001</v>
      </c>
      <c r="V330" s="3" t="s">
        <v>362</v>
      </c>
      <c r="W330" s="3">
        <v>2014</v>
      </c>
      <c r="X330" s="3"/>
    </row>
    <row r="331" spans="1:24" ht="102">
      <c r="A331" s="3" t="s">
        <v>765</v>
      </c>
      <c r="B331" s="6" t="s">
        <v>361</v>
      </c>
      <c r="C331" s="6" t="s">
        <v>3078</v>
      </c>
      <c r="D331" s="6" t="s">
        <v>255</v>
      </c>
      <c r="E331" s="6" t="s">
        <v>3079</v>
      </c>
      <c r="F331" s="6" t="s">
        <v>3053</v>
      </c>
      <c r="G331" s="3" t="s">
        <v>11449</v>
      </c>
      <c r="H331" s="54">
        <v>0</v>
      </c>
      <c r="I331" s="16">
        <v>470000000</v>
      </c>
      <c r="J331" s="157" t="s">
        <v>229</v>
      </c>
      <c r="K331" s="5" t="s">
        <v>210</v>
      </c>
      <c r="L331" s="6" t="s">
        <v>231</v>
      </c>
      <c r="M331" s="3" t="s">
        <v>230</v>
      </c>
      <c r="N331" s="65" t="s">
        <v>524</v>
      </c>
      <c r="O331" s="6" t="s">
        <v>233</v>
      </c>
      <c r="P331" s="58">
        <v>168</v>
      </c>
      <c r="Q331" s="6" t="s">
        <v>240</v>
      </c>
      <c r="R331" s="118">
        <v>52.13</v>
      </c>
      <c r="S331" s="2">
        <v>205975</v>
      </c>
      <c r="T331" s="4">
        <v>0</v>
      </c>
      <c r="U331" s="4">
        <f t="shared" si="15"/>
        <v>0</v>
      </c>
      <c r="V331" s="3" t="s">
        <v>362</v>
      </c>
      <c r="W331" s="3">
        <v>2014</v>
      </c>
      <c r="X331" s="3">
        <v>11.12</v>
      </c>
    </row>
    <row r="332" spans="1:24" ht="89.25">
      <c r="A332" s="3" t="s">
        <v>12115</v>
      </c>
      <c r="B332" s="6" t="s">
        <v>361</v>
      </c>
      <c r="C332" s="6" t="s">
        <v>3078</v>
      </c>
      <c r="D332" s="6" t="s">
        <v>255</v>
      </c>
      <c r="E332" s="6" t="s">
        <v>3079</v>
      </c>
      <c r="F332" s="6" t="s">
        <v>3053</v>
      </c>
      <c r="G332" s="3" t="s">
        <v>11449</v>
      </c>
      <c r="H332" s="54">
        <v>0</v>
      </c>
      <c r="I332" s="16">
        <v>470000000</v>
      </c>
      <c r="J332" s="157" t="s">
        <v>229</v>
      </c>
      <c r="K332" s="5" t="s">
        <v>12111</v>
      </c>
      <c r="L332" s="17" t="s">
        <v>11411</v>
      </c>
      <c r="M332" s="3" t="s">
        <v>230</v>
      </c>
      <c r="N332" s="65" t="s">
        <v>524</v>
      </c>
      <c r="O332" s="6" t="s">
        <v>233</v>
      </c>
      <c r="P332" s="58">
        <v>168</v>
      </c>
      <c r="Q332" s="6" t="s">
        <v>240</v>
      </c>
      <c r="R332" s="118">
        <v>0</v>
      </c>
      <c r="S332" s="2">
        <v>205975</v>
      </c>
      <c r="T332" s="4">
        <f>R332*S332</f>
        <v>0</v>
      </c>
      <c r="U332" s="4">
        <f t="shared" si="15"/>
        <v>0</v>
      </c>
      <c r="V332" s="3" t="s">
        <v>362</v>
      </c>
      <c r="W332" s="3">
        <v>2014</v>
      </c>
      <c r="X332" s="3" t="s">
        <v>12076</v>
      </c>
    </row>
    <row r="333" spans="1:24" ht="102">
      <c r="A333" s="3" t="s">
        <v>766</v>
      </c>
      <c r="B333" s="6" t="s">
        <v>361</v>
      </c>
      <c r="C333" s="6" t="s">
        <v>3080</v>
      </c>
      <c r="D333" s="6" t="s">
        <v>255</v>
      </c>
      <c r="E333" s="6" t="s">
        <v>3081</v>
      </c>
      <c r="F333" s="6" t="s">
        <v>3054</v>
      </c>
      <c r="G333" s="3" t="s">
        <v>11449</v>
      </c>
      <c r="H333" s="54">
        <v>0</v>
      </c>
      <c r="I333" s="16">
        <v>470000000</v>
      </c>
      <c r="J333" s="157" t="s">
        <v>229</v>
      </c>
      <c r="K333" s="5" t="s">
        <v>216</v>
      </c>
      <c r="L333" s="6" t="s">
        <v>231</v>
      </c>
      <c r="M333" s="3" t="s">
        <v>230</v>
      </c>
      <c r="N333" s="65" t="s">
        <v>524</v>
      </c>
      <c r="O333" s="6" t="s">
        <v>233</v>
      </c>
      <c r="P333" s="58">
        <v>168</v>
      </c>
      <c r="Q333" s="6" t="s">
        <v>240</v>
      </c>
      <c r="R333" s="118">
        <v>37.869999999999997</v>
      </c>
      <c r="S333" s="2">
        <v>0</v>
      </c>
      <c r="T333" s="4">
        <f>R333*S333</f>
        <v>0</v>
      </c>
      <c r="U333" s="4">
        <f t="shared" si="15"/>
        <v>0</v>
      </c>
      <c r="V333" s="3" t="s">
        <v>362</v>
      </c>
      <c r="W333" s="3">
        <v>2014</v>
      </c>
      <c r="X333" s="3" t="s">
        <v>12051</v>
      </c>
    </row>
    <row r="334" spans="1:24" ht="102">
      <c r="A334" s="3" t="s">
        <v>14579</v>
      </c>
      <c r="B334" s="6" t="s">
        <v>361</v>
      </c>
      <c r="C334" s="6" t="s">
        <v>3080</v>
      </c>
      <c r="D334" s="6" t="s">
        <v>255</v>
      </c>
      <c r="E334" s="6" t="s">
        <v>3081</v>
      </c>
      <c r="F334" s="6" t="s">
        <v>3054</v>
      </c>
      <c r="G334" s="3" t="s">
        <v>11449</v>
      </c>
      <c r="H334" s="54">
        <v>0</v>
      </c>
      <c r="I334" s="16">
        <v>470000000</v>
      </c>
      <c r="J334" s="157" t="s">
        <v>229</v>
      </c>
      <c r="K334" s="5" t="s">
        <v>14602</v>
      </c>
      <c r="L334" s="6" t="s">
        <v>231</v>
      </c>
      <c r="M334" s="3" t="s">
        <v>230</v>
      </c>
      <c r="N334" s="65" t="s">
        <v>524</v>
      </c>
      <c r="O334" s="6" t="s">
        <v>233</v>
      </c>
      <c r="P334" s="58">
        <v>168</v>
      </c>
      <c r="Q334" s="6" t="s">
        <v>240</v>
      </c>
      <c r="R334" s="118">
        <v>30</v>
      </c>
      <c r="S334" s="2">
        <v>247170</v>
      </c>
      <c r="T334" s="4">
        <v>0</v>
      </c>
      <c r="U334" s="4">
        <f t="shared" si="15"/>
        <v>0</v>
      </c>
      <c r="V334" s="3" t="s">
        <v>362</v>
      </c>
      <c r="W334" s="3">
        <v>2014</v>
      </c>
      <c r="X334" s="3">
        <v>11.14</v>
      </c>
    </row>
    <row r="335" spans="1:24" ht="102">
      <c r="A335" s="3" t="s">
        <v>17400</v>
      </c>
      <c r="B335" s="6" t="s">
        <v>361</v>
      </c>
      <c r="C335" s="6" t="s">
        <v>3080</v>
      </c>
      <c r="D335" s="6" t="s">
        <v>255</v>
      </c>
      <c r="E335" s="6" t="s">
        <v>3081</v>
      </c>
      <c r="F335" s="6" t="s">
        <v>3054</v>
      </c>
      <c r="G335" s="3" t="s">
        <v>11449</v>
      </c>
      <c r="H335" s="54">
        <v>0</v>
      </c>
      <c r="I335" s="16">
        <v>470000000</v>
      </c>
      <c r="J335" s="157" t="s">
        <v>229</v>
      </c>
      <c r="K335" s="5" t="s">
        <v>17401</v>
      </c>
      <c r="L335" s="6" t="s">
        <v>231</v>
      </c>
      <c r="M335" s="3" t="s">
        <v>230</v>
      </c>
      <c r="N335" s="65" t="s">
        <v>521</v>
      </c>
      <c r="O335" s="6" t="s">
        <v>233</v>
      </c>
      <c r="P335" s="58">
        <v>168</v>
      </c>
      <c r="Q335" s="6" t="s">
        <v>240</v>
      </c>
      <c r="R335" s="118">
        <v>30</v>
      </c>
      <c r="S335" s="2">
        <v>247170</v>
      </c>
      <c r="T335" s="4">
        <v>0</v>
      </c>
      <c r="U335" s="4">
        <f t="shared" si="15"/>
        <v>0</v>
      </c>
      <c r="V335" s="3" t="s">
        <v>362</v>
      </c>
      <c r="W335" s="3">
        <v>2014</v>
      </c>
      <c r="X335" s="3" t="s">
        <v>18943</v>
      </c>
    </row>
    <row r="336" spans="1:24" ht="102">
      <c r="A336" s="3" t="s">
        <v>18904</v>
      </c>
      <c r="B336" s="6" t="s">
        <v>361</v>
      </c>
      <c r="C336" s="6" t="s">
        <v>3080</v>
      </c>
      <c r="D336" s="6" t="s">
        <v>255</v>
      </c>
      <c r="E336" s="6" t="s">
        <v>3081</v>
      </c>
      <c r="F336" s="6" t="s">
        <v>3054</v>
      </c>
      <c r="G336" s="3" t="s">
        <v>11449</v>
      </c>
      <c r="H336" s="54">
        <v>0.35</v>
      </c>
      <c r="I336" s="16">
        <v>470000000</v>
      </c>
      <c r="J336" s="157" t="s">
        <v>229</v>
      </c>
      <c r="K336" s="5" t="s">
        <v>18748</v>
      </c>
      <c r="L336" s="6" t="s">
        <v>231</v>
      </c>
      <c r="M336" s="3" t="s">
        <v>230</v>
      </c>
      <c r="N336" s="65" t="s">
        <v>521</v>
      </c>
      <c r="O336" s="6" t="s">
        <v>18864</v>
      </c>
      <c r="P336" s="58">
        <v>168</v>
      </c>
      <c r="Q336" s="6" t="s">
        <v>240</v>
      </c>
      <c r="R336" s="251">
        <v>30</v>
      </c>
      <c r="S336" s="2">
        <v>247170</v>
      </c>
      <c r="T336" s="4">
        <v>0</v>
      </c>
      <c r="U336" s="4">
        <f t="shared" si="15"/>
        <v>0</v>
      </c>
      <c r="V336" s="3" t="s">
        <v>362</v>
      </c>
      <c r="W336" s="3">
        <v>2014</v>
      </c>
      <c r="X336" s="3" t="s">
        <v>19088</v>
      </c>
    </row>
    <row r="337" spans="1:24" ht="89.25">
      <c r="A337" s="3" t="s">
        <v>19358</v>
      </c>
      <c r="B337" s="6" t="s">
        <v>361</v>
      </c>
      <c r="C337" s="6" t="s">
        <v>3080</v>
      </c>
      <c r="D337" s="6" t="s">
        <v>255</v>
      </c>
      <c r="E337" s="6" t="s">
        <v>3081</v>
      </c>
      <c r="F337" s="6" t="s">
        <v>3054</v>
      </c>
      <c r="G337" s="3" t="s">
        <v>11449</v>
      </c>
      <c r="H337" s="54">
        <v>0</v>
      </c>
      <c r="I337" s="16">
        <v>470000000</v>
      </c>
      <c r="J337" s="157" t="s">
        <v>229</v>
      </c>
      <c r="K337" s="5" t="s">
        <v>18861</v>
      </c>
      <c r="L337" s="17" t="s">
        <v>11411</v>
      </c>
      <c r="M337" s="3" t="s">
        <v>230</v>
      </c>
      <c r="N337" s="65" t="s">
        <v>521</v>
      </c>
      <c r="O337" s="6" t="s">
        <v>233</v>
      </c>
      <c r="P337" s="58">
        <v>168</v>
      </c>
      <c r="Q337" s="6" t="s">
        <v>240</v>
      </c>
      <c r="R337" s="251">
        <v>30</v>
      </c>
      <c r="S337" s="2">
        <v>247170</v>
      </c>
      <c r="T337" s="1">
        <f>R337*S337</f>
        <v>7415100</v>
      </c>
      <c r="U337" s="4">
        <f t="shared" si="15"/>
        <v>8304912.0000000009</v>
      </c>
      <c r="V337" s="3"/>
      <c r="W337" s="3">
        <v>2014</v>
      </c>
      <c r="X337" s="3"/>
    </row>
    <row r="338" spans="1:24" ht="102">
      <c r="A338" s="3" t="s">
        <v>767</v>
      </c>
      <c r="B338" s="6" t="s">
        <v>361</v>
      </c>
      <c r="C338" s="6" t="s">
        <v>3082</v>
      </c>
      <c r="D338" s="6" t="s">
        <v>255</v>
      </c>
      <c r="E338" s="6" t="s">
        <v>3083</v>
      </c>
      <c r="F338" s="6" t="s">
        <v>3055</v>
      </c>
      <c r="G338" s="3" t="s">
        <v>11449</v>
      </c>
      <c r="H338" s="54">
        <v>0</v>
      </c>
      <c r="I338" s="16">
        <v>470000000</v>
      </c>
      <c r="J338" s="157" t="s">
        <v>229</v>
      </c>
      <c r="K338" s="5" t="s">
        <v>215</v>
      </c>
      <c r="L338" s="6" t="s">
        <v>231</v>
      </c>
      <c r="M338" s="3" t="s">
        <v>230</v>
      </c>
      <c r="N338" s="65" t="s">
        <v>524</v>
      </c>
      <c r="O338" s="6" t="s">
        <v>233</v>
      </c>
      <c r="P338" s="58">
        <v>168</v>
      </c>
      <c r="Q338" s="6" t="s">
        <v>240</v>
      </c>
      <c r="R338" s="118">
        <v>30</v>
      </c>
      <c r="S338" s="2">
        <v>205975</v>
      </c>
      <c r="T338" s="4">
        <v>0</v>
      </c>
      <c r="U338" s="4">
        <f t="shared" si="15"/>
        <v>0</v>
      </c>
      <c r="V338" s="3" t="s">
        <v>362</v>
      </c>
      <c r="W338" s="3">
        <v>2014</v>
      </c>
      <c r="X338" s="3">
        <v>11.12</v>
      </c>
    </row>
    <row r="339" spans="1:24" ht="89.25">
      <c r="A339" s="3" t="s">
        <v>12116</v>
      </c>
      <c r="B339" s="6" t="s">
        <v>361</v>
      </c>
      <c r="C339" s="6" t="s">
        <v>3082</v>
      </c>
      <c r="D339" s="6" t="s">
        <v>255</v>
      </c>
      <c r="E339" s="6" t="s">
        <v>3083</v>
      </c>
      <c r="F339" s="6" t="s">
        <v>3055</v>
      </c>
      <c r="G339" s="3" t="s">
        <v>11449</v>
      </c>
      <c r="H339" s="54">
        <v>0</v>
      </c>
      <c r="I339" s="16">
        <v>470000000</v>
      </c>
      <c r="J339" s="157" t="s">
        <v>229</v>
      </c>
      <c r="K339" s="5" t="s">
        <v>12111</v>
      </c>
      <c r="L339" s="17" t="s">
        <v>11411</v>
      </c>
      <c r="M339" s="3" t="s">
        <v>230</v>
      </c>
      <c r="N339" s="65" t="s">
        <v>524</v>
      </c>
      <c r="O339" s="6" t="s">
        <v>233</v>
      </c>
      <c r="P339" s="58">
        <v>168</v>
      </c>
      <c r="Q339" s="6" t="s">
        <v>240</v>
      </c>
      <c r="R339" s="20">
        <v>0</v>
      </c>
      <c r="S339" s="2">
        <v>205975</v>
      </c>
      <c r="T339" s="4">
        <f>R339*S339</f>
        <v>0</v>
      </c>
      <c r="U339" s="4">
        <f t="shared" si="15"/>
        <v>0</v>
      </c>
      <c r="V339" s="3" t="s">
        <v>362</v>
      </c>
      <c r="W339" s="3">
        <v>2014</v>
      </c>
      <c r="X339" s="3" t="s">
        <v>12076</v>
      </c>
    </row>
    <row r="340" spans="1:24" ht="102">
      <c r="A340" s="3" t="s">
        <v>768</v>
      </c>
      <c r="B340" s="6" t="s">
        <v>361</v>
      </c>
      <c r="C340" s="6" t="s">
        <v>3087</v>
      </c>
      <c r="D340" s="6" t="s">
        <v>255</v>
      </c>
      <c r="E340" s="6" t="s">
        <v>3088</v>
      </c>
      <c r="F340" s="6" t="s">
        <v>3056</v>
      </c>
      <c r="G340" s="3" t="s">
        <v>11449</v>
      </c>
      <c r="H340" s="54">
        <v>0</v>
      </c>
      <c r="I340" s="16">
        <v>470000000</v>
      </c>
      <c r="J340" s="157" t="s">
        <v>229</v>
      </c>
      <c r="K340" s="5" t="s">
        <v>216</v>
      </c>
      <c r="L340" s="6" t="s">
        <v>231</v>
      </c>
      <c r="M340" s="3" t="s">
        <v>230</v>
      </c>
      <c r="N340" s="65" t="s">
        <v>524</v>
      </c>
      <c r="O340" s="6" t="s">
        <v>233</v>
      </c>
      <c r="P340" s="58">
        <v>168</v>
      </c>
      <c r="Q340" s="6" t="s">
        <v>240</v>
      </c>
      <c r="R340" s="118">
        <v>7.78</v>
      </c>
      <c r="S340" s="2">
        <v>203300</v>
      </c>
      <c r="T340" s="4">
        <v>0</v>
      </c>
      <c r="U340" s="4">
        <f t="shared" si="15"/>
        <v>0</v>
      </c>
      <c r="V340" s="3" t="s">
        <v>362</v>
      </c>
      <c r="W340" s="3">
        <v>2014</v>
      </c>
      <c r="X340" s="3">
        <v>11.12</v>
      </c>
    </row>
    <row r="341" spans="1:24" ht="89.25">
      <c r="A341" s="3" t="s">
        <v>12117</v>
      </c>
      <c r="B341" s="6" t="s">
        <v>361</v>
      </c>
      <c r="C341" s="6" t="s">
        <v>3087</v>
      </c>
      <c r="D341" s="6" t="s">
        <v>255</v>
      </c>
      <c r="E341" s="6" t="s">
        <v>3088</v>
      </c>
      <c r="F341" s="6" t="s">
        <v>3056</v>
      </c>
      <c r="G341" s="3" t="s">
        <v>11449</v>
      </c>
      <c r="H341" s="54">
        <v>0</v>
      </c>
      <c r="I341" s="16">
        <v>470000000</v>
      </c>
      <c r="J341" s="157" t="s">
        <v>229</v>
      </c>
      <c r="K341" s="5" t="s">
        <v>12118</v>
      </c>
      <c r="L341" s="17" t="s">
        <v>11411</v>
      </c>
      <c r="M341" s="3" t="s">
        <v>230</v>
      </c>
      <c r="N341" s="65" t="s">
        <v>524</v>
      </c>
      <c r="O341" s="6" t="s">
        <v>233</v>
      </c>
      <c r="P341" s="58">
        <v>168</v>
      </c>
      <c r="Q341" s="6" t="s">
        <v>240</v>
      </c>
      <c r="R341" s="118">
        <v>7.78</v>
      </c>
      <c r="S341" s="2">
        <v>203300</v>
      </c>
      <c r="T341" s="4">
        <v>0</v>
      </c>
      <c r="U341" s="4">
        <f t="shared" si="15"/>
        <v>0</v>
      </c>
      <c r="V341" s="3" t="s">
        <v>362</v>
      </c>
      <c r="W341" s="3">
        <v>2014</v>
      </c>
      <c r="X341" s="3" t="s">
        <v>11811</v>
      </c>
    </row>
    <row r="342" spans="1:24" ht="89.25">
      <c r="A342" s="3" t="s">
        <v>14138</v>
      </c>
      <c r="B342" s="6" t="s">
        <v>361</v>
      </c>
      <c r="C342" s="6" t="s">
        <v>14139</v>
      </c>
      <c r="D342" s="6" t="s">
        <v>255</v>
      </c>
      <c r="E342" s="6" t="s">
        <v>14140</v>
      </c>
      <c r="F342" s="6" t="s">
        <v>3056</v>
      </c>
      <c r="G342" s="3" t="s">
        <v>11449</v>
      </c>
      <c r="H342" s="54">
        <v>0</v>
      </c>
      <c r="I342" s="16">
        <v>470000000</v>
      </c>
      <c r="J342" s="157" t="s">
        <v>229</v>
      </c>
      <c r="K342" s="5" t="s">
        <v>12118</v>
      </c>
      <c r="L342" s="17" t="s">
        <v>11411</v>
      </c>
      <c r="M342" s="3" t="s">
        <v>230</v>
      </c>
      <c r="N342" s="65" t="s">
        <v>524</v>
      </c>
      <c r="O342" s="6" t="s">
        <v>233</v>
      </c>
      <c r="P342" s="58">
        <v>168</v>
      </c>
      <c r="Q342" s="6" t="s">
        <v>240</v>
      </c>
      <c r="R342" s="118">
        <v>7.78</v>
      </c>
      <c r="S342" s="2">
        <v>203300</v>
      </c>
      <c r="T342" s="4">
        <v>0</v>
      </c>
      <c r="U342" s="4">
        <f t="shared" si="15"/>
        <v>0</v>
      </c>
      <c r="V342" s="3" t="s">
        <v>362</v>
      </c>
      <c r="W342" s="3">
        <v>2014</v>
      </c>
      <c r="X342" s="3" t="s">
        <v>12051</v>
      </c>
    </row>
    <row r="343" spans="1:24" ht="89.25">
      <c r="A343" s="3" t="s">
        <v>14580</v>
      </c>
      <c r="B343" s="6" t="s">
        <v>361</v>
      </c>
      <c r="C343" s="6" t="s">
        <v>14139</v>
      </c>
      <c r="D343" s="6" t="s">
        <v>255</v>
      </c>
      <c r="E343" s="6" t="s">
        <v>14140</v>
      </c>
      <c r="F343" s="6" t="s">
        <v>3056</v>
      </c>
      <c r="G343" s="3" t="s">
        <v>11449</v>
      </c>
      <c r="H343" s="54">
        <v>0</v>
      </c>
      <c r="I343" s="16">
        <v>470000000</v>
      </c>
      <c r="J343" s="157" t="s">
        <v>229</v>
      </c>
      <c r="K343" s="5" t="s">
        <v>14955</v>
      </c>
      <c r="L343" s="17" t="s">
        <v>11411</v>
      </c>
      <c r="M343" s="3" t="s">
        <v>230</v>
      </c>
      <c r="N343" s="65" t="s">
        <v>524</v>
      </c>
      <c r="O343" s="6" t="s">
        <v>233</v>
      </c>
      <c r="P343" s="58">
        <v>168</v>
      </c>
      <c r="Q343" s="6" t="s">
        <v>240</v>
      </c>
      <c r="R343" s="118">
        <v>1.48</v>
      </c>
      <c r="S343" s="2">
        <v>243960</v>
      </c>
      <c r="T343" s="4">
        <v>0</v>
      </c>
      <c r="U343" s="4">
        <f t="shared" si="15"/>
        <v>0</v>
      </c>
      <c r="V343" s="3" t="s">
        <v>362</v>
      </c>
      <c r="W343" s="3">
        <v>2014</v>
      </c>
      <c r="X343" s="3" t="s">
        <v>17399</v>
      </c>
    </row>
    <row r="344" spans="1:24" ht="89.25">
      <c r="A344" s="3" t="s">
        <v>17402</v>
      </c>
      <c r="B344" s="6" t="s">
        <v>361</v>
      </c>
      <c r="C344" s="6" t="s">
        <v>14139</v>
      </c>
      <c r="D344" s="6" t="s">
        <v>255</v>
      </c>
      <c r="E344" s="6" t="s">
        <v>14140</v>
      </c>
      <c r="F344" s="6" t="s">
        <v>3056</v>
      </c>
      <c r="G344" s="3" t="s">
        <v>11450</v>
      </c>
      <c r="H344" s="54">
        <v>0</v>
      </c>
      <c r="I344" s="16">
        <v>470000000</v>
      </c>
      <c r="J344" s="157" t="s">
        <v>229</v>
      </c>
      <c r="K344" s="5" t="s">
        <v>17401</v>
      </c>
      <c r="L344" s="17" t="s">
        <v>11411</v>
      </c>
      <c r="M344" s="3" t="s">
        <v>230</v>
      </c>
      <c r="N344" s="65" t="s">
        <v>528</v>
      </c>
      <c r="O344" s="6" t="s">
        <v>233</v>
      </c>
      <c r="P344" s="58">
        <v>168</v>
      </c>
      <c r="Q344" s="6" t="s">
        <v>240</v>
      </c>
      <c r="R344" s="118">
        <v>1.48</v>
      </c>
      <c r="S344" s="2">
        <v>243960</v>
      </c>
      <c r="T344" s="4">
        <v>0</v>
      </c>
      <c r="U344" s="4">
        <f t="shared" si="15"/>
        <v>0</v>
      </c>
      <c r="V344" s="3" t="s">
        <v>362</v>
      </c>
      <c r="W344" s="3">
        <v>2014</v>
      </c>
      <c r="X344" s="3" t="s">
        <v>12076</v>
      </c>
    </row>
    <row r="345" spans="1:24" ht="102">
      <c r="A345" s="3" t="s">
        <v>769</v>
      </c>
      <c r="B345" s="6" t="s">
        <v>361</v>
      </c>
      <c r="C345" s="6" t="s">
        <v>3089</v>
      </c>
      <c r="D345" s="6" t="s">
        <v>255</v>
      </c>
      <c r="E345" s="6" t="s">
        <v>11514</v>
      </c>
      <c r="F345" s="6" t="s">
        <v>3057</v>
      </c>
      <c r="G345" s="3" t="s">
        <v>11449</v>
      </c>
      <c r="H345" s="54">
        <v>0</v>
      </c>
      <c r="I345" s="16">
        <v>470000000</v>
      </c>
      <c r="J345" s="157" t="s">
        <v>229</v>
      </c>
      <c r="K345" s="5" t="s">
        <v>215</v>
      </c>
      <c r="L345" s="6" t="s">
        <v>231</v>
      </c>
      <c r="M345" s="3" t="s">
        <v>230</v>
      </c>
      <c r="N345" s="65" t="s">
        <v>524</v>
      </c>
      <c r="O345" s="6" t="s">
        <v>233</v>
      </c>
      <c r="P345" s="58">
        <v>168</v>
      </c>
      <c r="Q345" s="6" t="s">
        <v>240</v>
      </c>
      <c r="R345" s="118">
        <v>56</v>
      </c>
      <c r="S345" s="2">
        <v>203300</v>
      </c>
      <c r="T345" s="4">
        <v>0</v>
      </c>
      <c r="U345" s="4">
        <f t="shared" si="15"/>
        <v>0</v>
      </c>
      <c r="V345" s="3" t="s">
        <v>362</v>
      </c>
      <c r="W345" s="3">
        <v>2014</v>
      </c>
      <c r="X345" s="3">
        <v>11.12</v>
      </c>
    </row>
    <row r="346" spans="1:24" ht="89.25">
      <c r="A346" s="3" t="s">
        <v>12119</v>
      </c>
      <c r="B346" s="6" t="s">
        <v>361</v>
      </c>
      <c r="C346" s="6" t="s">
        <v>3089</v>
      </c>
      <c r="D346" s="6" t="s">
        <v>255</v>
      </c>
      <c r="E346" s="6" t="s">
        <v>11514</v>
      </c>
      <c r="F346" s="6" t="s">
        <v>3057</v>
      </c>
      <c r="G346" s="3" t="s">
        <v>11449</v>
      </c>
      <c r="H346" s="54">
        <v>0</v>
      </c>
      <c r="I346" s="16">
        <v>470000000</v>
      </c>
      <c r="J346" s="157" t="s">
        <v>229</v>
      </c>
      <c r="K346" s="5" t="s">
        <v>12126</v>
      </c>
      <c r="L346" s="17" t="s">
        <v>11411</v>
      </c>
      <c r="M346" s="3" t="s">
        <v>230</v>
      </c>
      <c r="N346" s="65" t="s">
        <v>524</v>
      </c>
      <c r="O346" s="6" t="s">
        <v>233</v>
      </c>
      <c r="P346" s="58">
        <v>168</v>
      </c>
      <c r="Q346" s="6" t="s">
        <v>240</v>
      </c>
      <c r="R346" s="118">
        <v>56</v>
      </c>
      <c r="S346" s="2">
        <v>203300</v>
      </c>
      <c r="T346" s="4">
        <v>0</v>
      </c>
      <c r="U346" s="4">
        <f t="shared" si="15"/>
        <v>0</v>
      </c>
      <c r="V346" s="3" t="s">
        <v>362</v>
      </c>
      <c r="W346" s="3">
        <v>2014</v>
      </c>
      <c r="X346" s="3" t="s">
        <v>11811</v>
      </c>
    </row>
    <row r="347" spans="1:24" ht="89.25">
      <c r="A347" s="3" t="s">
        <v>14141</v>
      </c>
      <c r="B347" s="6" t="s">
        <v>361</v>
      </c>
      <c r="C347" s="6" t="s">
        <v>14142</v>
      </c>
      <c r="D347" s="6" t="s">
        <v>255</v>
      </c>
      <c r="E347" s="6" t="s">
        <v>14143</v>
      </c>
      <c r="F347" s="6" t="s">
        <v>3057</v>
      </c>
      <c r="G347" s="3" t="s">
        <v>11449</v>
      </c>
      <c r="H347" s="54">
        <v>0</v>
      </c>
      <c r="I347" s="16">
        <v>470000000</v>
      </c>
      <c r="J347" s="157" t="s">
        <v>229</v>
      </c>
      <c r="K347" s="5" t="s">
        <v>12126</v>
      </c>
      <c r="L347" s="17" t="s">
        <v>11411</v>
      </c>
      <c r="M347" s="3" t="s">
        <v>230</v>
      </c>
      <c r="N347" s="65" t="s">
        <v>524</v>
      </c>
      <c r="O347" s="6" t="s">
        <v>233</v>
      </c>
      <c r="P347" s="58">
        <v>168</v>
      </c>
      <c r="Q347" s="6" t="s">
        <v>240</v>
      </c>
      <c r="R347" s="118">
        <v>56</v>
      </c>
      <c r="S347" s="2">
        <v>203300</v>
      </c>
      <c r="T347" s="4">
        <v>0</v>
      </c>
      <c r="U347" s="4">
        <f t="shared" si="15"/>
        <v>0</v>
      </c>
      <c r="V347" s="3" t="s">
        <v>362</v>
      </c>
      <c r="W347" s="3">
        <v>2014</v>
      </c>
      <c r="X347" s="3" t="s">
        <v>14577</v>
      </c>
    </row>
    <row r="348" spans="1:24" ht="89.25">
      <c r="A348" s="3" t="s">
        <v>14581</v>
      </c>
      <c r="B348" s="6" t="s">
        <v>361</v>
      </c>
      <c r="C348" s="6" t="s">
        <v>14142</v>
      </c>
      <c r="D348" s="6" t="s">
        <v>255</v>
      </c>
      <c r="E348" s="6" t="s">
        <v>14143</v>
      </c>
      <c r="F348" s="6" t="s">
        <v>3057</v>
      </c>
      <c r="G348" s="3" t="s">
        <v>11449</v>
      </c>
      <c r="H348" s="54">
        <v>0</v>
      </c>
      <c r="I348" s="16">
        <v>470000000</v>
      </c>
      <c r="J348" s="157" t="s">
        <v>229</v>
      </c>
      <c r="K348" s="5" t="s">
        <v>14955</v>
      </c>
      <c r="L348" s="17" t="s">
        <v>11411</v>
      </c>
      <c r="M348" s="3" t="s">
        <v>230</v>
      </c>
      <c r="N348" s="65" t="s">
        <v>524</v>
      </c>
      <c r="O348" s="6" t="s">
        <v>233</v>
      </c>
      <c r="P348" s="58">
        <v>168</v>
      </c>
      <c r="Q348" s="6" t="s">
        <v>240</v>
      </c>
      <c r="R348" s="244">
        <v>53.706000000000003</v>
      </c>
      <c r="S348" s="2">
        <v>243960</v>
      </c>
      <c r="T348" s="4">
        <v>0</v>
      </c>
      <c r="U348" s="4">
        <f t="shared" si="15"/>
        <v>0</v>
      </c>
      <c r="V348" s="3" t="s">
        <v>362</v>
      </c>
      <c r="W348" s="3">
        <v>2014</v>
      </c>
      <c r="X348" s="3">
        <v>11.14</v>
      </c>
    </row>
    <row r="349" spans="1:24" ht="89.25">
      <c r="A349" s="3" t="s">
        <v>17403</v>
      </c>
      <c r="B349" s="6" t="s">
        <v>361</v>
      </c>
      <c r="C349" s="6" t="s">
        <v>14142</v>
      </c>
      <c r="D349" s="6" t="s">
        <v>255</v>
      </c>
      <c r="E349" s="6" t="s">
        <v>14143</v>
      </c>
      <c r="F349" s="6" t="s">
        <v>3057</v>
      </c>
      <c r="G349" s="3" t="s">
        <v>11449</v>
      </c>
      <c r="H349" s="54">
        <v>0</v>
      </c>
      <c r="I349" s="16">
        <v>470000000</v>
      </c>
      <c r="J349" s="157" t="s">
        <v>229</v>
      </c>
      <c r="K349" s="5" t="s">
        <v>17401</v>
      </c>
      <c r="L349" s="17" t="s">
        <v>11411</v>
      </c>
      <c r="M349" s="3" t="s">
        <v>230</v>
      </c>
      <c r="N349" s="65" t="s">
        <v>521</v>
      </c>
      <c r="O349" s="6" t="s">
        <v>233</v>
      </c>
      <c r="P349" s="58">
        <v>168</v>
      </c>
      <c r="Q349" s="6" t="s">
        <v>240</v>
      </c>
      <c r="R349" s="244">
        <v>53.705999999999996</v>
      </c>
      <c r="S349" s="2">
        <v>243960</v>
      </c>
      <c r="T349" s="4">
        <f>R349*S349</f>
        <v>13102115.76</v>
      </c>
      <c r="U349" s="4">
        <f t="shared" si="15"/>
        <v>14674369.651200002</v>
      </c>
      <c r="V349" s="3" t="s">
        <v>362</v>
      </c>
      <c r="W349" s="3">
        <v>2014</v>
      </c>
      <c r="X349" s="3">
        <v>11.22</v>
      </c>
    </row>
    <row r="350" spans="1:24" ht="89.25">
      <c r="A350" s="3" t="s">
        <v>19072</v>
      </c>
      <c r="B350" s="6" t="s">
        <v>361</v>
      </c>
      <c r="C350" s="6" t="s">
        <v>14142</v>
      </c>
      <c r="D350" s="6" t="s">
        <v>255</v>
      </c>
      <c r="E350" s="6" t="s">
        <v>14143</v>
      </c>
      <c r="F350" s="6" t="s">
        <v>3057</v>
      </c>
      <c r="G350" s="3" t="s">
        <v>11449</v>
      </c>
      <c r="H350" s="54">
        <v>0</v>
      </c>
      <c r="I350" s="16">
        <v>470000000</v>
      </c>
      <c r="J350" s="157" t="s">
        <v>229</v>
      </c>
      <c r="K350" s="5" t="s">
        <v>18748</v>
      </c>
      <c r="L350" s="17" t="s">
        <v>11411</v>
      </c>
      <c r="M350" s="3" t="s">
        <v>230</v>
      </c>
      <c r="N350" s="65" t="s">
        <v>521</v>
      </c>
      <c r="O350" s="6" t="s">
        <v>233</v>
      </c>
      <c r="P350" s="58">
        <v>168</v>
      </c>
      <c r="Q350" s="6" t="s">
        <v>240</v>
      </c>
      <c r="R350" s="244">
        <v>53.705999999999996</v>
      </c>
      <c r="S350" s="2">
        <v>243960</v>
      </c>
      <c r="T350" s="4">
        <f>R350*S350</f>
        <v>13102115.76</v>
      </c>
      <c r="U350" s="4">
        <f t="shared" ref="U350" si="16">T350*1.12</f>
        <v>14674369.651200002</v>
      </c>
      <c r="V350" s="3"/>
      <c r="W350" s="3">
        <v>2014</v>
      </c>
      <c r="X350" s="3"/>
    </row>
    <row r="351" spans="1:24" ht="102">
      <c r="A351" s="3" t="s">
        <v>770</v>
      </c>
      <c r="B351" s="6" t="s">
        <v>361</v>
      </c>
      <c r="C351" s="6" t="s">
        <v>3089</v>
      </c>
      <c r="D351" s="6" t="s">
        <v>255</v>
      </c>
      <c r="E351" s="6" t="s">
        <v>11514</v>
      </c>
      <c r="F351" s="6" t="s">
        <v>3058</v>
      </c>
      <c r="G351" s="3" t="s">
        <v>11449</v>
      </c>
      <c r="H351" s="54">
        <v>0</v>
      </c>
      <c r="I351" s="16">
        <v>470000000</v>
      </c>
      <c r="J351" s="157" t="s">
        <v>229</v>
      </c>
      <c r="K351" s="5" t="s">
        <v>215</v>
      </c>
      <c r="L351" s="6" t="s">
        <v>231</v>
      </c>
      <c r="M351" s="3" t="s">
        <v>230</v>
      </c>
      <c r="N351" s="65" t="s">
        <v>524</v>
      </c>
      <c r="O351" s="6" t="s">
        <v>233</v>
      </c>
      <c r="P351" s="58">
        <v>168</v>
      </c>
      <c r="Q351" s="6" t="s">
        <v>240</v>
      </c>
      <c r="R351" s="118">
        <v>28.93</v>
      </c>
      <c r="S351" s="2">
        <v>203300</v>
      </c>
      <c r="T351" s="4">
        <v>0</v>
      </c>
      <c r="U351" s="4">
        <f t="shared" si="15"/>
        <v>0</v>
      </c>
      <c r="V351" s="3" t="s">
        <v>362</v>
      </c>
      <c r="W351" s="3">
        <v>2014</v>
      </c>
      <c r="X351" s="3">
        <v>11.12</v>
      </c>
    </row>
    <row r="352" spans="1:24" ht="89.25">
      <c r="A352" s="3" t="s">
        <v>12121</v>
      </c>
      <c r="B352" s="6" t="s">
        <v>361</v>
      </c>
      <c r="C352" s="6" t="s">
        <v>3089</v>
      </c>
      <c r="D352" s="6" t="s">
        <v>255</v>
      </c>
      <c r="E352" s="6" t="s">
        <v>11514</v>
      </c>
      <c r="F352" s="6" t="s">
        <v>3058</v>
      </c>
      <c r="G352" s="3" t="s">
        <v>11449</v>
      </c>
      <c r="H352" s="54">
        <v>0</v>
      </c>
      <c r="I352" s="16">
        <v>470000000</v>
      </c>
      <c r="J352" s="157" t="s">
        <v>229</v>
      </c>
      <c r="K352" s="5" t="s">
        <v>12126</v>
      </c>
      <c r="L352" s="17" t="s">
        <v>11411</v>
      </c>
      <c r="M352" s="3" t="s">
        <v>230</v>
      </c>
      <c r="N352" s="65" t="s">
        <v>524</v>
      </c>
      <c r="O352" s="6" t="s">
        <v>233</v>
      </c>
      <c r="P352" s="58">
        <v>168</v>
      </c>
      <c r="Q352" s="6" t="s">
        <v>240</v>
      </c>
      <c r="R352" s="118">
        <v>28.93</v>
      </c>
      <c r="S352" s="2">
        <v>203300</v>
      </c>
      <c r="T352" s="4">
        <v>0</v>
      </c>
      <c r="U352" s="4">
        <f t="shared" si="15"/>
        <v>0</v>
      </c>
      <c r="V352" s="3" t="s">
        <v>362</v>
      </c>
      <c r="W352" s="3">
        <v>2014</v>
      </c>
      <c r="X352" s="3" t="s">
        <v>11811</v>
      </c>
    </row>
    <row r="353" spans="1:24" ht="89.25">
      <c r="A353" s="3" t="s">
        <v>14125</v>
      </c>
      <c r="B353" s="6" t="s">
        <v>361</v>
      </c>
      <c r="C353" s="6" t="s">
        <v>14126</v>
      </c>
      <c r="D353" s="6" t="s">
        <v>255</v>
      </c>
      <c r="E353" s="6" t="s">
        <v>14127</v>
      </c>
      <c r="F353" s="6" t="s">
        <v>3058</v>
      </c>
      <c r="G353" s="3" t="s">
        <v>11449</v>
      </c>
      <c r="H353" s="54">
        <v>0</v>
      </c>
      <c r="I353" s="16">
        <v>470000000</v>
      </c>
      <c r="J353" s="157" t="s">
        <v>229</v>
      </c>
      <c r="K353" s="5" t="s">
        <v>12126</v>
      </c>
      <c r="L353" s="17" t="s">
        <v>11411</v>
      </c>
      <c r="M353" s="3" t="s">
        <v>230</v>
      </c>
      <c r="N353" s="65" t="s">
        <v>524</v>
      </c>
      <c r="O353" s="6" t="s">
        <v>233</v>
      </c>
      <c r="P353" s="58">
        <v>168</v>
      </c>
      <c r="Q353" s="6" t="s">
        <v>240</v>
      </c>
      <c r="R353" s="118">
        <v>28.93</v>
      </c>
      <c r="S353" s="2">
        <v>203300</v>
      </c>
      <c r="T353" s="4">
        <v>0</v>
      </c>
      <c r="U353" s="4">
        <f t="shared" si="15"/>
        <v>0</v>
      </c>
      <c r="V353" s="3" t="s">
        <v>362</v>
      </c>
      <c r="W353" s="3">
        <v>2014</v>
      </c>
      <c r="X353" s="3" t="s">
        <v>14577</v>
      </c>
    </row>
    <row r="354" spans="1:24" ht="89.25">
      <c r="A354" s="3" t="s">
        <v>14582</v>
      </c>
      <c r="B354" s="6" t="s">
        <v>361</v>
      </c>
      <c r="C354" s="6" t="s">
        <v>14126</v>
      </c>
      <c r="D354" s="6" t="s">
        <v>255</v>
      </c>
      <c r="E354" s="6" t="s">
        <v>14127</v>
      </c>
      <c r="F354" s="6" t="s">
        <v>3058</v>
      </c>
      <c r="G354" s="3" t="s">
        <v>11449</v>
      </c>
      <c r="H354" s="54">
        <v>0</v>
      </c>
      <c r="I354" s="16">
        <v>470000000</v>
      </c>
      <c r="J354" s="157" t="s">
        <v>229</v>
      </c>
      <c r="K354" s="5" t="s">
        <v>14955</v>
      </c>
      <c r="L354" s="17" t="s">
        <v>11411</v>
      </c>
      <c r="M354" s="3" t="s">
        <v>230</v>
      </c>
      <c r="N354" s="65" t="s">
        <v>524</v>
      </c>
      <c r="O354" s="6" t="s">
        <v>233</v>
      </c>
      <c r="P354" s="58">
        <v>168</v>
      </c>
      <c r="Q354" s="6" t="s">
        <v>240</v>
      </c>
      <c r="R354" s="244">
        <v>25.263999999999999</v>
      </c>
      <c r="S354" s="2">
        <v>243960</v>
      </c>
      <c r="T354" s="4">
        <f>R354*S354</f>
        <v>6163405.4399999995</v>
      </c>
      <c r="U354" s="4">
        <f t="shared" si="15"/>
        <v>6903014.0927999998</v>
      </c>
      <c r="V354" s="3" t="s">
        <v>362</v>
      </c>
      <c r="W354" s="3">
        <v>2014</v>
      </c>
      <c r="X354" s="3"/>
    </row>
    <row r="355" spans="1:24" ht="102">
      <c r="A355" s="3" t="s">
        <v>771</v>
      </c>
      <c r="B355" s="6" t="s">
        <v>361</v>
      </c>
      <c r="C355" s="6" t="s">
        <v>3089</v>
      </c>
      <c r="D355" s="6" t="s">
        <v>255</v>
      </c>
      <c r="E355" s="6" t="s">
        <v>11514</v>
      </c>
      <c r="F355" s="6" t="s">
        <v>3059</v>
      </c>
      <c r="G355" s="3" t="s">
        <v>11449</v>
      </c>
      <c r="H355" s="54">
        <v>0</v>
      </c>
      <c r="I355" s="16">
        <v>470000000</v>
      </c>
      <c r="J355" s="157" t="s">
        <v>229</v>
      </c>
      <c r="K355" s="5" t="s">
        <v>215</v>
      </c>
      <c r="L355" s="6" t="s">
        <v>231</v>
      </c>
      <c r="M355" s="3" t="s">
        <v>230</v>
      </c>
      <c r="N355" s="65" t="s">
        <v>524</v>
      </c>
      <c r="O355" s="6" t="s">
        <v>233</v>
      </c>
      <c r="P355" s="58">
        <v>168</v>
      </c>
      <c r="Q355" s="6" t="s">
        <v>240</v>
      </c>
      <c r="R355" s="118">
        <v>45.6</v>
      </c>
      <c r="S355" s="2">
        <v>203300</v>
      </c>
      <c r="T355" s="4">
        <v>0</v>
      </c>
      <c r="U355" s="4">
        <f t="shared" si="15"/>
        <v>0</v>
      </c>
      <c r="V355" s="3" t="s">
        <v>362</v>
      </c>
      <c r="W355" s="3">
        <v>2014</v>
      </c>
      <c r="X355" s="3">
        <v>11.12</v>
      </c>
    </row>
    <row r="356" spans="1:24" ht="89.25">
      <c r="A356" s="3" t="s">
        <v>12122</v>
      </c>
      <c r="B356" s="6" t="s">
        <v>361</v>
      </c>
      <c r="C356" s="6" t="s">
        <v>3089</v>
      </c>
      <c r="D356" s="6" t="s">
        <v>255</v>
      </c>
      <c r="E356" s="6" t="s">
        <v>11514</v>
      </c>
      <c r="F356" s="6" t="s">
        <v>3059</v>
      </c>
      <c r="G356" s="3" t="s">
        <v>11449</v>
      </c>
      <c r="H356" s="54">
        <v>0</v>
      </c>
      <c r="I356" s="16">
        <v>470000000</v>
      </c>
      <c r="J356" s="157" t="s">
        <v>229</v>
      </c>
      <c r="K356" s="5" t="s">
        <v>211</v>
      </c>
      <c r="L356" s="17" t="s">
        <v>11411</v>
      </c>
      <c r="M356" s="3" t="s">
        <v>230</v>
      </c>
      <c r="N356" s="65" t="s">
        <v>524</v>
      </c>
      <c r="O356" s="6" t="s">
        <v>233</v>
      </c>
      <c r="P356" s="58">
        <v>168</v>
      </c>
      <c r="Q356" s="6" t="s">
        <v>240</v>
      </c>
      <c r="R356" s="118">
        <v>45.6</v>
      </c>
      <c r="S356" s="2">
        <v>203300</v>
      </c>
      <c r="T356" s="4">
        <v>0</v>
      </c>
      <c r="U356" s="4">
        <f t="shared" si="15"/>
        <v>0</v>
      </c>
      <c r="V356" s="3" t="s">
        <v>362</v>
      </c>
      <c r="W356" s="3">
        <v>2014</v>
      </c>
      <c r="X356" s="3" t="s">
        <v>11811</v>
      </c>
    </row>
    <row r="357" spans="1:24" ht="89.25">
      <c r="A357" s="3" t="s">
        <v>14144</v>
      </c>
      <c r="B357" s="6" t="s">
        <v>361</v>
      </c>
      <c r="C357" s="6" t="s">
        <v>14145</v>
      </c>
      <c r="D357" s="6" t="s">
        <v>255</v>
      </c>
      <c r="E357" s="6" t="s">
        <v>14146</v>
      </c>
      <c r="F357" s="6" t="s">
        <v>3059</v>
      </c>
      <c r="G357" s="3" t="s">
        <v>11449</v>
      </c>
      <c r="H357" s="54">
        <v>0</v>
      </c>
      <c r="I357" s="16">
        <v>470000000</v>
      </c>
      <c r="J357" s="157" t="s">
        <v>229</v>
      </c>
      <c r="K357" s="5" t="s">
        <v>211</v>
      </c>
      <c r="L357" s="17" t="s">
        <v>11411</v>
      </c>
      <c r="M357" s="3" t="s">
        <v>230</v>
      </c>
      <c r="N357" s="65" t="s">
        <v>524</v>
      </c>
      <c r="O357" s="6" t="s">
        <v>233</v>
      </c>
      <c r="P357" s="58">
        <v>168</v>
      </c>
      <c r="Q357" s="6" t="s">
        <v>240</v>
      </c>
      <c r="R357" s="118">
        <v>0</v>
      </c>
      <c r="S357" s="2">
        <v>203300</v>
      </c>
      <c r="T357" s="4">
        <v>0</v>
      </c>
      <c r="U357" s="4">
        <f t="shared" si="15"/>
        <v>0</v>
      </c>
      <c r="V357" s="3" t="s">
        <v>362</v>
      </c>
      <c r="W357" s="3">
        <v>2014</v>
      </c>
      <c r="X357" s="3" t="s">
        <v>12076</v>
      </c>
    </row>
    <row r="358" spans="1:24" ht="102">
      <c r="A358" s="3" t="s">
        <v>772</v>
      </c>
      <c r="B358" s="6" t="s">
        <v>361</v>
      </c>
      <c r="C358" s="6" t="s">
        <v>3089</v>
      </c>
      <c r="D358" s="6" t="s">
        <v>255</v>
      </c>
      <c r="E358" s="6" t="s">
        <v>11514</v>
      </c>
      <c r="F358" s="6" t="s">
        <v>3060</v>
      </c>
      <c r="G358" s="3" t="s">
        <v>11449</v>
      </c>
      <c r="H358" s="54">
        <v>0</v>
      </c>
      <c r="I358" s="16">
        <v>470000000</v>
      </c>
      <c r="J358" s="157" t="s">
        <v>229</v>
      </c>
      <c r="K358" s="5" t="s">
        <v>215</v>
      </c>
      <c r="L358" s="6" t="s">
        <v>231</v>
      </c>
      <c r="M358" s="3" t="s">
        <v>230</v>
      </c>
      <c r="N358" s="65" t="s">
        <v>524</v>
      </c>
      <c r="O358" s="6" t="s">
        <v>233</v>
      </c>
      <c r="P358" s="58">
        <v>168</v>
      </c>
      <c r="Q358" s="6" t="s">
        <v>240</v>
      </c>
      <c r="R358" s="118">
        <v>105</v>
      </c>
      <c r="S358" s="2">
        <v>189400</v>
      </c>
      <c r="T358" s="4">
        <v>0</v>
      </c>
      <c r="U358" s="4">
        <f t="shared" si="15"/>
        <v>0</v>
      </c>
      <c r="V358" s="3" t="s">
        <v>362</v>
      </c>
      <c r="W358" s="3">
        <v>2014</v>
      </c>
      <c r="X358" s="3">
        <v>11.12</v>
      </c>
    </row>
    <row r="359" spans="1:24" ht="89.25">
      <c r="A359" s="3" t="s">
        <v>12123</v>
      </c>
      <c r="B359" s="6" t="s">
        <v>361</v>
      </c>
      <c r="C359" s="6" t="s">
        <v>3089</v>
      </c>
      <c r="D359" s="6" t="s">
        <v>255</v>
      </c>
      <c r="E359" s="6" t="s">
        <v>11514</v>
      </c>
      <c r="F359" s="6" t="s">
        <v>3060</v>
      </c>
      <c r="G359" s="3" t="s">
        <v>11449</v>
      </c>
      <c r="H359" s="54">
        <v>0</v>
      </c>
      <c r="I359" s="16">
        <v>470000000</v>
      </c>
      <c r="J359" s="157" t="s">
        <v>229</v>
      </c>
      <c r="K359" s="5" t="s">
        <v>12126</v>
      </c>
      <c r="L359" s="17" t="s">
        <v>11411</v>
      </c>
      <c r="M359" s="3" t="s">
        <v>230</v>
      </c>
      <c r="N359" s="65" t="s">
        <v>524</v>
      </c>
      <c r="O359" s="6" t="s">
        <v>233</v>
      </c>
      <c r="P359" s="58">
        <v>168</v>
      </c>
      <c r="Q359" s="6" t="s">
        <v>240</v>
      </c>
      <c r="R359" s="118">
        <v>105</v>
      </c>
      <c r="S359" s="2">
        <v>189400</v>
      </c>
      <c r="T359" s="4">
        <v>0</v>
      </c>
      <c r="U359" s="4">
        <f t="shared" si="15"/>
        <v>0</v>
      </c>
      <c r="V359" s="3" t="s">
        <v>362</v>
      </c>
      <c r="W359" s="3">
        <v>2014</v>
      </c>
      <c r="X359" s="3" t="s">
        <v>11811</v>
      </c>
    </row>
    <row r="360" spans="1:24" ht="89.25">
      <c r="A360" s="3" t="s">
        <v>14257</v>
      </c>
      <c r="B360" s="6" t="s">
        <v>361</v>
      </c>
      <c r="C360" s="6" t="s">
        <v>14258</v>
      </c>
      <c r="D360" s="6" t="s">
        <v>255</v>
      </c>
      <c r="E360" s="6" t="s">
        <v>14259</v>
      </c>
      <c r="F360" s="6" t="s">
        <v>3060</v>
      </c>
      <c r="G360" s="3" t="s">
        <v>11449</v>
      </c>
      <c r="H360" s="54">
        <v>0</v>
      </c>
      <c r="I360" s="16">
        <v>470000000</v>
      </c>
      <c r="J360" s="157" t="s">
        <v>229</v>
      </c>
      <c r="K360" s="5" t="s">
        <v>12126</v>
      </c>
      <c r="L360" s="17" t="s">
        <v>11411</v>
      </c>
      <c r="M360" s="3" t="s">
        <v>230</v>
      </c>
      <c r="N360" s="65" t="s">
        <v>524</v>
      </c>
      <c r="O360" s="6" t="s">
        <v>233</v>
      </c>
      <c r="P360" s="58">
        <v>168</v>
      </c>
      <c r="Q360" s="6" t="s">
        <v>240</v>
      </c>
      <c r="R360" s="118">
        <v>105</v>
      </c>
      <c r="S360" s="2">
        <v>189400</v>
      </c>
      <c r="T360" s="4">
        <v>0</v>
      </c>
      <c r="U360" s="4">
        <f t="shared" si="15"/>
        <v>0</v>
      </c>
      <c r="V360" s="3" t="s">
        <v>362</v>
      </c>
      <c r="W360" s="3">
        <v>2014</v>
      </c>
      <c r="X360" s="3" t="s">
        <v>14577</v>
      </c>
    </row>
    <row r="361" spans="1:24" ht="89.25">
      <c r="A361" s="3" t="s">
        <v>14583</v>
      </c>
      <c r="B361" s="6" t="s">
        <v>361</v>
      </c>
      <c r="C361" s="6" t="s">
        <v>14258</v>
      </c>
      <c r="D361" s="6" t="s">
        <v>255</v>
      </c>
      <c r="E361" s="6" t="s">
        <v>14259</v>
      </c>
      <c r="F361" s="6" t="s">
        <v>3060</v>
      </c>
      <c r="G361" s="3" t="s">
        <v>11449</v>
      </c>
      <c r="H361" s="54">
        <v>0</v>
      </c>
      <c r="I361" s="16">
        <v>470000000</v>
      </c>
      <c r="J361" s="157" t="s">
        <v>229</v>
      </c>
      <c r="K361" s="5" t="s">
        <v>14955</v>
      </c>
      <c r="L361" s="17" t="s">
        <v>11411</v>
      </c>
      <c r="M361" s="3" t="s">
        <v>230</v>
      </c>
      <c r="N361" s="65" t="s">
        <v>524</v>
      </c>
      <c r="O361" s="6" t="s">
        <v>233</v>
      </c>
      <c r="P361" s="58">
        <v>168</v>
      </c>
      <c r="Q361" s="6" t="s">
        <v>240</v>
      </c>
      <c r="R361" s="245">
        <v>136.8486</v>
      </c>
      <c r="S361" s="2">
        <v>227280</v>
      </c>
      <c r="T361" s="4">
        <v>0</v>
      </c>
      <c r="U361" s="4">
        <f t="shared" si="15"/>
        <v>0</v>
      </c>
      <c r="V361" s="3" t="s">
        <v>362</v>
      </c>
      <c r="W361" s="3">
        <v>2014</v>
      </c>
      <c r="X361" s="3" t="s">
        <v>16521</v>
      </c>
    </row>
    <row r="362" spans="1:24" ht="89.25">
      <c r="A362" s="3" t="s">
        <v>17405</v>
      </c>
      <c r="B362" s="6" t="s">
        <v>361</v>
      </c>
      <c r="C362" s="6" t="s">
        <v>14258</v>
      </c>
      <c r="D362" s="6" t="s">
        <v>255</v>
      </c>
      <c r="E362" s="6" t="s">
        <v>14259</v>
      </c>
      <c r="F362" s="6" t="s">
        <v>3060</v>
      </c>
      <c r="G362" s="3" t="s">
        <v>11449</v>
      </c>
      <c r="H362" s="54">
        <v>0</v>
      </c>
      <c r="I362" s="16">
        <v>470000000</v>
      </c>
      <c r="J362" s="157" t="s">
        <v>229</v>
      </c>
      <c r="K362" s="5" t="s">
        <v>18314</v>
      </c>
      <c r="L362" s="17" t="s">
        <v>11411</v>
      </c>
      <c r="M362" s="3" t="s">
        <v>230</v>
      </c>
      <c r="N362" s="65" t="s">
        <v>521</v>
      </c>
      <c r="O362" s="6" t="s">
        <v>233</v>
      </c>
      <c r="P362" s="58">
        <v>168</v>
      </c>
      <c r="Q362" s="6" t="s">
        <v>240</v>
      </c>
      <c r="R362" s="245">
        <v>136.84859999999998</v>
      </c>
      <c r="S362" s="2">
        <v>183000</v>
      </c>
      <c r="T362" s="4">
        <v>0</v>
      </c>
      <c r="U362" s="4">
        <f t="shared" si="15"/>
        <v>0</v>
      </c>
      <c r="V362" s="3" t="s">
        <v>362</v>
      </c>
      <c r="W362" s="3">
        <v>2014</v>
      </c>
      <c r="X362" s="3">
        <v>11.22</v>
      </c>
    </row>
    <row r="363" spans="1:24" ht="89.25">
      <c r="A363" s="3" t="s">
        <v>19360</v>
      </c>
      <c r="B363" s="6" t="s">
        <v>361</v>
      </c>
      <c r="C363" s="6" t="s">
        <v>14258</v>
      </c>
      <c r="D363" s="6" t="s">
        <v>255</v>
      </c>
      <c r="E363" s="6" t="s">
        <v>14259</v>
      </c>
      <c r="F363" s="6" t="s">
        <v>3060</v>
      </c>
      <c r="G363" s="3" t="s">
        <v>11449</v>
      </c>
      <c r="H363" s="54">
        <v>0</v>
      </c>
      <c r="I363" s="16">
        <v>470000000</v>
      </c>
      <c r="J363" s="157" t="s">
        <v>229</v>
      </c>
      <c r="K363" s="5" t="s">
        <v>18869</v>
      </c>
      <c r="L363" s="17" t="s">
        <v>11411</v>
      </c>
      <c r="M363" s="3" t="s">
        <v>230</v>
      </c>
      <c r="N363" s="65" t="s">
        <v>521</v>
      </c>
      <c r="O363" s="6" t="s">
        <v>233</v>
      </c>
      <c r="P363" s="58">
        <v>168</v>
      </c>
      <c r="Q363" s="6" t="s">
        <v>240</v>
      </c>
      <c r="R363" s="245">
        <v>136.84859999999998</v>
      </c>
      <c r="S363" s="2">
        <v>183000</v>
      </c>
      <c r="T363" s="4">
        <f>R363*S363</f>
        <v>25043293.799999997</v>
      </c>
      <c r="U363" s="4">
        <f t="shared" ref="U363" si="17">T363*1.12</f>
        <v>28048489.055999998</v>
      </c>
      <c r="V363" s="3"/>
      <c r="W363" s="3">
        <v>2014</v>
      </c>
      <c r="X363" s="3"/>
    </row>
    <row r="364" spans="1:24" ht="102">
      <c r="A364" s="3" t="s">
        <v>773</v>
      </c>
      <c r="B364" s="6" t="s">
        <v>361</v>
      </c>
      <c r="C364" s="6" t="s">
        <v>3092</v>
      </c>
      <c r="D364" s="6" t="s">
        <v>255</v>
      </c>
      <c r="E364" s="6" t="s">
        <v>3093</v>
      </c>
      <c r="F364" s="6" t="s">
        <v>3061</v>
      </c>
      <c r="G364" s="3" t="s">
        <v>11449</v>
      </c>
      <c r="H364" s="54">
        <v>0</v>
      </c>
      <c r="I364" s="16">
        <v>470000000</v>
      </c>
      <c r="J364" s="157" t="s">
        <v>229</v>
      </c>
      <c r="K364" s="5" t="s">
        <v>215</v>
      </c>
      <c r="L364" s="6" t="s">
        <v>231</v>
      </c>
      <c r="M364" s="3" t="s">
        <v>230</v>
      </c>
      <c r="N364" s="65" t="s">
        <v>524</v>
      </c>
      <c r="O364" s="6" t="s">
        <v>233</v>
      </c>
      <c r="P364" s="58">
        <v>168</v>
      </c>
      <c r="Q364" s="6" t="s">
        <v>240</v>
      </c>
      <c r="R364" s="118">
        <v>65</v>
      </c>
      <c r="S364" s="2">
        <v>185000</v>
      </c>
      <c r="T364" s="4">
        <v>0</v>
      </c>
      <c r="U364" s="4">
        <f t="shared" si="15"/>
        <v>0</v>
      </c>
      <c r="V364" s="3" t="s">
        <v>362</v>
      </c>
      <c r="W364" s="3">
        <v>2014</v>
      </c>
      <c r="X364" s="3">
        <v>11.12</v>
      </c>
    </row>
    <row r="365" spans="1:24" ht="89.25">
      <c r="A365" s="3" t="s">
        <v>12124</v>
      </c>
      <c r="B365" s="6" t="s">
        <v>361</v>
      </c>
      <c r="C365" s="6" t="s">
        <v>3092</v>
      </c>
      <c r="D365" s="6" t="s">
        <v>255</v>
      </c>
      <c r="E365" s="6" t="s">
        <v>3093</v>
      </c>
      <c r="F365" s="6" t="s">
        <v>3061</v>
      </c>
      <c r="G365" s="3" t="s">
        <v>11449</v>
      </c>
      <c r="H365" s="54">
        <v>0</v>
      </c>
      <c r="I365" s="16">
        <v>470000000</v>
      </c>
      <c r="J365" s="157" t="s">
        <v>229</v>
      </c>
      <c r="K365" s="5" t="s">
        <v>217</v>
      </c>
      <c r="L365" s="17" t="s">
        <v>11411</v>
      </c>
      <c r="M365" s="3" t="s">
        <v>230</v>
      </c>
      <c r="N365" s="65" t="s">
        <v>524</v>
      </c>
      <c r="O365" s="6" t="s">
        <v>233</v>
      </c>
      <c r="P365" s="58">
        <v>168</v>
      </c>
      <c r="Q365" s="6" t="s">
        <v>240</v>
      </c>
      <c r="R365" s="118">
        <v>65</v>
      </c>
      <c r="S365" s="2">
        <v>185000</v>
      </c>
      <c r="T365" s="4">
        <v>0</v>
      </c>
      <c r="U365" s="4">
        <f t="shared" si="15"/>
        <v>0</v>
      </c>
      <c r="V365" s="3" t="s">
        <v>362</v>
      </c>
      <c r="W365" s="3">
        <v>2014</v>
      </c>
      <c r="X365" s="3" t="s">
        <v>14132</v>
      </c>
    </row>
    <row r="366" spans="1:24" ht="89.25">
      <c r="A366" s="3" t="s">
        <v>14584</v>
      </c>
      <c r="B366" s="6" t="s">
        <v>361</v>
      </c>
      <c r="C366" s="6" t="s">
        <v>3092</v>
      </c>
      <c r="D366" s="6" t="s">
        <v>255</v>
      </c>
      <c r="E366" s="6" t="s">
        <v>3093</v>
      </c>
      <c r="F366" s="6" t="s">
        <v>3061</v>
      </c>
      <c r="G366" s="3" t="s">
        <v>11449</v>
      </c>
      <c r="H366" s="54">
        <v>0</v>
      </c>
      <c r="I366" s="16">
        <v>470000000</v>
      </c>
      <c r="J366" s="157" t="s">
        <v>229</v>
      </c>
      <c r="K366" s="5" t="s">
        <v>14955</v>
      </c>
      <c r="L366" s="17" t="s">
        <v>11411</v>
      </c>
      <c r="M366" s="3" t="s">
        <v>230</v>
      </c>
      <c r="N366" s="65" t="s">
        <v>524</v>
      </c>
      <c r="O366" s="6" t="s">
        <v>233</v>
      </c>
      <c r="P366" s="58">
        <v>168</v>
      </c>
      <c r="Q366" s="6" t="s">
        <v>240</v>
      </c>
      <c r="R366" s="118">
        <v>88</v>
      </c>
      <c r="S366" s="2">
        <v>222000</v>
      </c>
      <c r="T366" s="4">
        <v>0</v>
      </c>
      <c r="U366" s="4">
        <f t="shared" si="15"/>
        <v>0</v>
      </c>
      <c r="V366" s="3" t="s">
        <v>362</v>
      </c>
      <c r="W366" s="3">
        <v>2014</v>
      </c>
      <c r="X366" s="3" t="s">
        <v>16521</v>
      </c>
    </row>
    <row r="367" spans="1:24" ht="89.25">
      <c r="A367" s="3" t="s">
        <v>17406</v>
      </c>
      <c r="B367" s="6" t="s">
        <v>361</v>
      </c>
      <c r="C367" s="6" t="s">
        <v>3092</v>
      </c>
      <c r="D367" s="6" t="s">
        <v>255</v>
      </c>
      <c r="E367" s="6" t="s">
        <v>3093</v>
      </c>
      <c r="F367" s="6" t="s">
        <v>3061</v>
      </c>
      <c r="G367" s="3" t="s">
        <v>11449</v>
      </c>
      <c r="H367" s="54">
        <v>0</v>
      </c>
      <c r="I367" s="16">
        <v>470000000</v>
      </c>
      <c r="J367" s="157" t="s">
        <v>229</v>
      </c>
      <c r="K367" s="5" t="s">
        <v>18314</v>
      </c>
      <c r="L367" s="17" t="s">
        <v>11411</v>
      </c>
      <c r="M367" s="3" t="s">
        <v>230</v>
      </c>
      <c r="N367" s="65" t="s">
        <v>521</v>
      </c>
      <c r="O367" s="6" t="s">
        <v>233</v>
      </c>
      <c r="P367" s="58">
        <v>168</v>
      </c>
      <c r="Q367" s="6" t="s">
        <v>240</v>
      </c>
      <c r="R367" s="251">
        <v>88</v>
      </c>
      <c r="S367" s="2">
        <v>183000</v>
      </c>
      <c r="T367" s="4">
        <v>0</v>
      </c>
      <c r="U367" s="4">
        <f t="shared" si="15"/>
        <v>0</v>
      </c>
      <c r="V367" s="3" t="s">
        <v>362</v>
      </c>
      <c r="W367" s="3">
        <v>2014</v>
      </c>
      <c r="X367" s="3">
        <v>11.22</v>
      </c>
    </row>
    <row r="368" spans="1:24" ht="89.25">
      <c r="A368" s="3" t="s">
        <v>19359</v>
      </c>
      <c r="B368" s="6" t="s">
        <v>361</v>
      </c>
      <c r="C368" s="6" t="s">
        <v>3092</v>
      </c>
      <c r="D368" s="6" t="s">
        <v>255</v>
      </c>
      <c r="E368" s="6" t="s">
        <v>3093</v>
      </c>
      <c r="F368" s="6" t="s">
        <v>3061</v>
      </c>
      <c r="G368" s="3" t="s">
        <v>11449</v>
      </c>
      <c r="H368" s="54">
        <v>0</v>
      </c>
      <c r="I368" s="16">
        <v>470000000</v>
      </c>
      <c r="J368" s="157" t="s">
        <v>229</v>
      </c>
      <c r="K368" s="5" t="s">
        <v>18861</v>
      </c>
      <c r="L368" s="17" t="s">
        <v>11411</v>
      </c>
      <c r="M368" s="3" t="s">
        <v>230</v>
      </c>
      <c r="N368" s="65" t="s">
        <v>521</v>
      </c>
      <c r="O368" s="6" t="s">
        <v>15287</v>
      </c>
      <c r="P368" s="58">
        <v>168</v>
      </c>
      <c r="Q368" s="6" t="s">
        <v>240</v>
      </c>
      <c r="R368" s="251">
        <v>88</v>
      </c>
      <c r="S368" s="2">
        <v>183000</v>
      </c>
      <c r="T368" s="1">
        <f>R368*S368</f>
        <v>16104000</v>
      </c>
      <c r="U368" s="4">
        <f t="shared" si="15"/>
        <v>18036480</v>
      </c>
      <c r="V368" s="3"/>
      <c r="W368" s="3">
        <v>2014</v>
      </c>
      <c r="X368" s="3"/>
    </row>
    <row r="369" spans="1:26" ht="102">
      <c r="A369" s="3" t="s">
        <v>774</v>
      </c>
      <c r="B369" s="6" t="s">
        <v>361</v>
      </c>
      <c r="C369" s="6" t="s">
        <v>3090</v>
      </c>
      <c r="D369" s="6" t="s">
        <v>255</v>
      </c>
      <c r="E369" s="6" t="s">
        <v>3091</v>
      </c>
      <c r="F369" s="6" t="s">
        <v>3062</v>
      </c>
      <c r="G369" s="3" t="s">
        <v>11449</v>
      </c>
      <c r="H369" s="54">
        <v>0</v>
      </c>
      <c r="I369" s="16">
        <v>470000000</v>
      </c>
      <c r="J369" s="157" t="s">
        <v>229</v>
      </c>
      <c r="K369" s="5" t="s">
        <v>215</v>
      </c>
      <c r="L369" s="6" t="s">
        <v>231</v>
      </c>
      <c r="M369" s="3" t="s">
        <v>230</v>
      </c>
      <c r="N369" s="65" t="s">
        <v>524</v>
      </c>
      <c r="O369" s="6" t="s">
        <v>233</v>
      </c>
      <c r="P369" s="58">
        <v>168</v>
      </c>
      <c r="Q369" s="6" t="s">
        <v>240</v>
      </c>
      <c r="R369" s="118">
        <v>15.13</v>
      </c>
      <c r="S369" s="2">
        <v>185000</v>
      </c>
      <c r="T369" s="4">
        <v>0</v>
      </c>
      <c r="U369" s="4">
        <f t="shared" si="15"/>
        <v>0</v>
      </c>
      <c r="V369" s="3" t="s">
        <v>362</v>
      </c>
      <c r="W369" s="3">
        <v>2014</v>
      </c>
      <c r="X369" s="3">
        <v>11.12</v>
      </c>
    </row>
    <row r="370" spans="1:26" ht="89.25">
      <c r="A370" s="3" t="s">
        <v>12125</v>
      </c>
      <c r="B370" s="6" t="s">
        <v>361</v>
      </c>
      <c r="C370" s="6" t="s">
        <v>14206</v>
      </c>
      <c r="D370" s="3" t="s">
        <v>255</v>
      </c>
      <c r="E370" s="6" t="s">
        <v>14207</v>
      </c>
      <c r="F370" s="6" t="s">
        <v>3062</v>
      </c>
      <c r="G370" s="3" t="s">
        <v>11449</v>
      </c>
      <c r="H370" s="54">
        <v>0</v>
      </c>
      <c r="I370" s="16">
        <v>470000000</v>
      </c>
      <c r="J370" s="157" t="s">
        <v>229</v>
      </c>
      <c r="K370" s="5" t="s">
        <v>211</v>
      </c>
      <c r="L370" s="17" t="s">
        <v>11411</v>
      </c>
      <c r="M370" s="3" t="s">
        <v>230</v>
      </c>
      <c r="N370" s="65" t="s">
        <v>524</v>
      </c>
      <c r="O370" s="6" t="s">
        <v>233</v>
      </c>
      <c r="P370" s="58">
        <v>168</v>
      </c>
      <c r="Q370" s="6" t="s">
        <v>240</v>
      </c>
      <c r="R370" s="118">
        <v>0</v>
      </c>
      <c r="S370" s="2">
        <v>185000</v>
      </c>
      <c r="T370" s="4">
        <v>0</v>
      </c>
      <c r="U370" s="4">
        <f t="shared" si="15"/>
        <v>0</v>
      </c>
      <c r="V370" s="3" t="s">
        <v>362</v>
      </c>
      <c r="W370" s="3">
        <v>2014</v>
      </c>
      <c r="X370" s="3" t="s">
        <v>12076</v>
      </c>
    </row>
    <row r="371" spans="1:26" ht="102">
      <c r="A371" s="3" t="s">
        <v>775</v>
      </c>
      <c r="B371" s="6" t="s">
        <v>361</v>
      </c>
      <c r="C371" s="6" t="s">
        <v>3090</v>
      </c>
      <c r="D371" s="6" t="s">
        <v>255</v>
      </c>
      <c r="E371" s="6" t="s">
        <v>3091</v>
      </c>
      <c r="F371" s="6" t="s">
        <v>3063</v>
      </c>
      <c r="G371" s="3" t="s">
        <v>11449</v>
      </c>
      <c r="H371" s="54">
        <v>0</v>
      </c>
      <c r="I371" s="16">
        <v>470000000</v>
      </c>
      <c r="J371" s="157" t="s">
        <v>229</v>
      </c>
      <c r="K371" s="5" t="s">
        <v>215</v>
      </c>
      <c r="L371" s="6" t="s">
        <v>231</v>
      </c>
      <c r="M371" s="3" t="s">
        <v>230</v>
      </c>
      <c r="N371" s="65" t="s">
        <v>524</v>
      </c>
      <c r="O371" s="6" t="s">
        <v>233</v>
      </c>
      <c r="P371" s="58">
        <v>168</v>
      </c>
      <c r="Q371" s="6" t="s">
        <v>240</v>
      </c>
      <c r="R371" s="118">
        <v>52</v>
      </c>
      <c r="S371" s="2">
        <v>185000</v>
      </c>
      <c r="T371" s="4">
        <v>0</v>
      </c>
      <c r="U371" s="4">
        <f t="shared" si="15"/>
        <v>0</v>
      </c>
      <c r="V371" s="3" t="s">
        <v>362</v>
      </c>
      <c r="W371" s="3">
        <v>2014</v>
      </c>
      <c r="X371" s="3">
        <v>11.12</v>
      </c>
    </row>
    <row r="372" spans="1:26" ht="89.25">
      <c r="A372" s="3" t="s">
        <v>12127</v>
      </c>
      <c r="B372" s="6" t="s">
        <v>361</v>
      </c>
      <c r="C372" s="6" t="s">
        <v>3090</v>
      </c>
      <c r="D372" s="6" t="s">
        <v>255</v>
      </c>
      <c r="E372" s="6" t="s">
        <v>3091</v>
      </c>
      <c r="F372" s="6" t="s">
        <v>3063</v>
      </c>
      <c r="G372" s="3" t="s">
        <v>11449</v>
      </c>
      <c r="H372" s="54">
        <v>0</v>
      </c>
      <c r="I372" s="16">
        <v>470000000</v>
      </c>
      <c r="J372" s="157" t="s">
        <v>229</v>
      </c>
      <c r="K372" s="5" t="s">
        <v>12128</v>
      </c>
      <c r="L372" s="17" t="s">
        <v>11411</v>
      </c>
      <c r="M372" s="3" t="s">
        <v>230</v>
      </c>
      <c r="N372" s="65" t="s">
        <v>524</v>
      </c>
      <c r="O372" s="6" t="s">
        <v>233</v>
      </c>
      <c r="P372" s="58">
        <v>168</v>
      </c>
      <c r="Q372" s="6" t="s">
        <v>240</v>
      </c>
      <c r="R372" s="118">
        <v>52</v>
      </c>
      <c r="S372" s="2">
        <v>185000</v>
      </c>
      <c r="T372" s="4">
        <v>0</v>
      </c>
      <c r="U372" s="4">
        <f t="shared" si="15"/>
        <v>0</v>
      </c>
      <c r="V372" s="3" t="s">
        <v>362</v>
      </c>
      <c r="W372" s="3">
        <v>2014</v>
      </c>
      <c r="X372" s="6" t="s">
        <v>11811</v>
      </c>
      <c r="Y372" s="283"/>
      <c r="Z372" s="283"/>
    </row>
    <row r="373" spans="1:26" ht="89.25">
      <c r="A373" s="3" t="s">
        <v>14254</v>
      </c>
      <c r="B373" s="6" t="s">
        <v>361</v>
      </c>
      <c r="C373" s="6" t="s">
        <v>14255</v>
      </c>
      <c r="D373" s="6" t="s">
        <v>255</v>
      </c>
      <c r="E373" s="6" t="s">
        <v>14256</v>
      </c>
      <c r="F373" s="6" t="s">
        <v>3063</v>
      </c>
      <c r="G373" s="3" t="s">
        <v>11449</v>
      </c>
      <c r="H373" s="54">
        <v>0</v>
      </c>
      <c r="I373" s="16">
        <v>470000000</v>
      </c>
      <c r="J373" s="157" t="s">
        <v>229</v>
      </c>
      <c r="K373" s="5" t="s">
        <v>12128</v>
      </c>
      <c r="L373" s="17" t="s">
        <v>11411</v>
      </c>
      <c r="M373" s="3" t="s">
        <v>230</v>
      </c>
      <c r="N373" s="65" t="s">
        <v>524</v>
      </c>
      <c r="O373" s="6" t="s">
        <v>233</v>
      </c>
      <c r="P373" s="58">
        <v>168</v>
      </c>
      <c r="Q373" s="6" t="s">
        <v>240</v>
      </c>
      <c r="R373" s="118">
        <v>52</v>
      </c>
      <c r="S373" s="2">
        <v>185000</v>
      </c>
      <c r="T373" s="4">
        <v>0</v>
      </c>
      <c r="U373" s="4">
        <f t="shared" si="15"/>
        <v>0</v>
      </c>
      <c r="V373" s="3" t="s">
        <v>362</v>
      </c>
      <c r="W373" s="3">
        <v>2014</v>
      </c>
      <c r="X373" s="3" t="s">
        <v>14577</v>
      </c>
    </row>
    <row r="374" spans="1:26" ht="89.25">
      <c r="A374" s="3" t="s">
        <v>14585</v>
      </c>
      <c r="B374" s="6" t="s">
        <v>361</v>
      </c>
      <c r="C374" s="6" t="s">
        <v>14255</v>
      </c>
      <c r="D374" s="6" t="s">
        <v>255</v>
      </c>
      <c r="E374" s="6" t="s">
        <v>14256</v>
      </c>
      <c r="F374" s="6" t="s">
        <v>3063</v>
      </c>
      <c r="G374" s="3" t="s">
        <v>11449</v>
      </c>
      <c r="H374" s="54">
        <v>0</v>
      </c>
      <c r="I374" s="16">
        <v>470000000</v>
      </c>
      <c r="J374" s="157" t="s">
        <v>229</v>
      </c>
      <c r="K374" s="5" t="s">
        <v>14662</v>
      </c>
      <c r="L374" s="17" t="s">
        <v>11411</v>
      </c>
      <c r="M374" s="3" t="s">
        <v>230</v>
      </c>
      <c r="N374" s="65" t="s">
        <v>524</v>
      </c>
      <c r="O374" s="6" t="s">
        <v>233</v>
      </c>
      <c r="P374" s="58">
        <v>168</v>
      </c>
      <c r="Q374" s="6" t="s">
        <v>240</v>
      </c>
      <c r="R374" s="118">
        <v>50.65</v>
      </c>
      <c r="S374" s="2">
        <v>222000</v>
      </c>
      <c r="T374" s="4">
        <v>0</v>
      </c>
      <c r="U374" s="4">
        <f t="shared" si="15"/>
        <v>0</v>
      </c>
      <c r="V374" s="3" t="s">
        <v>362</v>
      </c>
      <c r="W374" s="3">
        <v>2014</v>
      </c>
      <c r="X374" s="3" t="s">
        <v>14230</v>
      </c>
    </row>
    <row r="375" spans="1:26" ht="89.25">
      <c r="A375" s="3" t="s">
        <v>17407</v>
      </c>
      <c r="B375" s="6" t="s">
        <v>361</v>
      </c>
      <c r="C375" s="6" t="s">
        <v>14255</v>
      </c>
      <c r="D375" s="6" t="s">
        <v>255</v>
      </c>
      <c r="E375" s="6" t="s">
        <v>14256</v>
      </c>
      <c r="F375" s="6" t="s">
        <v>3063</v>
      </c>
      <c r="G375" s="3" t="s">
        <v>11449</v>
      </c>
      <c r="H375" s="54">
        <v>0</v>
      </c>
      <c r="I375" s="16">
        <v>470000000</v>
      </c>
      <c r="J375" s="157" t="s">
        <v>229</v>
      </c>
      <c r="K375" s="5" t="s">
        <v>14662</v>
      </c>
      <c r="L375" s="17" t="s">
        <v>11411</v>
      </c>
      <c r="M375" s="3" t="s">
        <v>230</v>
      </c>
      <c r="N375" s="65" t="s">
        <v>524</v>
      </c>
      <c r="O375" s="6" t="s">
        <v>233</v>
      </c>
      <c r="P375" s="58">
        <v>168</v>
      </c>
      <c r="Q375" s="6" t="s">
        <v>240</v>
      </c>
      <c r="R375" s="118">
        <v>50.65</v>
      </c>
      <c r="S375" s="2">
        <v>175000</v>
      </c>
      <c r="T375" s="4">
        <f>R375*S375</f>
        <v>8863750</v>
      </c>
      <c r="U375" s="4">
        <f t="shared" si="15"/>
        <v>9927400.0000000019</v>
      </c>
      <c r="V375" s="3" t="s">
        <v>362</v>
      </c>
      <c r="W375" s="3">
        <v>2014</v>
      </c>
      <c r="X375" s="3"/>
    </row>
    <row r="376" spans="1:26" ht="102">
      <c r="A376" s="3" t="s">
        <v>776</v>
      </c>
      <c r="B376" s="6" t="s">
        <v>361</v>
      </c>
      <c r="C376" s="6" t="s">
        <v>3090</v>
      </c>
      <c r="D376" s="6" t="s">
        <v>255</v>
      </c>
      <c r="E376" s="6" t="s">
        <v>3091</v>
      </c>
      <c r="F376" s="6" t="s">
        <v>3064</v>
      </c>
      <c r="G376" s="3" t="s">
        <v>11449</v>
      </c>
      <c r="H376" s="54">
        <v>0</v>
      </c>
      <c r="I376" s="16">
        <v>470000000</v>
      </c>
      <c r="J376" s="157" t="s">
        <v>229</v>
      </c>
      <c r="K376" s="5" t="s">
        <v>217</v>
      </c>
      <c r="L376" s="6" t="s">
        <v>231</v>
      </c>
      <c r="M376" s="3" t="s">
        <v>230</v>
      </c>
      <c r="N376" s="65" t="s">
        <v>524</v>
      </c>
      <c r="O376" s="6" t="s">
        <v>233</v>
      </c>
      <c r="P376" s="58">
        <v>168</v>
      </c>
      <c r="Q376" s="6" t="s">
        <v>240</v>
      </c>
      <c r="R376" s="118">
        <v>38.909999999999997</v>
      </c>
      <c r="S376" s="2">
        <v>185000</v>
      </c>
      <c r="T376" s="4">
        <v>0</v>
      </c>
      <c r="U376" s="4">
        <f t="shared" si="15"/>
        <v>0</v>
      </c>
      <c r="V376" s="3" t="s">
        <v>362</v>
      </c>
      <c r="W376" s="3">
        <v>2014</v>
      </c>
      <c r="X376" s="3" t="s">
        <v>14577</v>
      </c>
    </row>
    <row r="377" spans="1:26" ht="102">
      <c r="A377" s="3" t="s">
        <v>14586</v>
      </c>
      <c r="B377" s="6" t="s">
        <v>361</v>
      </c>
      <c r="C377" s="6" t="s">
        <v>3090</v>
      </c>
      <c r="D377" s="6" t="s">
        <v>255</v>
      </c>
      <c r="E377" s="6" t="s">
        <v>3091</v>
      </c>
      <c r="F377" s="6" t="s">
        <v>3064</v>
      </c>
      <c r="G377" s="3" t="s">
        <v>11449</v>
      </c>
      <c r="H377" s="54">
        <v>0</v>
      </c>
      <c r="I377" s="16">
        <v>470000000</v>
      </c>
      <c r="J377" s="157" t="s">
        <v>229</v>
      </c>
      <c r="K377" s="5" t="s">
        <v>14662</v>
      </c>
      <c r="L377" s="6" t="s">
        <v>231</v>
      </c>
      <c r="M377" s="3" t="s">
        <v>230</v>
      </c>
      <c r="N377" s="65" t="s">
        <v>524</v>
      </c>
      <c r="O377" s="6" t="s">
        <v>233</v>
      </c>
      <c r="P377" s="58">
        <v>168</v>
      </c>
      <c r="Q377" s="6" t="s">
        <v>240</v>
      </c>
      <c r="R377" s="245">
        <v>25.249600000000001</v>
      </c>
      <c r="S377" s="2">
        <v>222000</v>
      </c>
      <c r="T377" s="4">
        <v>0</v>
      </c>
      <c r="U377" s="4">
        <f t="shared" si="15"/>
        <v>0</v>
      </c>
      <c r="V377" s="3" t="s">
        <v>362</v>
      </c>
      <c r="W377" s="3">
        <v>2014</v>
      </c>
      <c r="X377" s="3" t="s">
        <v>14230</v>
      </c>
    </row>
    <row r="378" spans="1:26" ht="102">
      <c r="A378" s="3" t="s">
        <v>17408</v>
      </c>
      <c r="B378" s="6" t="s">
        <v>361</v>
      </c>
      <c r="C378" s="6" t="s">
        <v>3090</v>
      </c>
      <c r="D378" s="6" t="s">
        <v>255</v>
      </c>
      <c r="E378" s="6" t="s">
        <v>3091</v>
      </c>
      <c r="F378" s="6" t="s">
        <v>3064</v>
      </c>
      <c r="G378" s="3" t="s">
        <v>11449</v>
      </c>
      <c r="H378" s="54">
        <v>0</v>
      </c>
      <c r="I378" s="16">
        <v>470000000</v>
      </c>
      <c r="J378" s="157" t="s">
        <v>229</v>
      </c>
      <c r="K378" s="5" t="s">
        <v>14662</v>
      </c>
      <c r="L378" s="6" t="s">
        <v>231</v>
      </c>
      <c r="M378" s="3" t="s">
        <v>230</v>
      </c>
      <c r="N378" s="65" t="s">
        <v>524</v>
      </c>
      <c r="O378" s="6" t="s">
        <v>233</v>
      </c>
      <c r="P378" s="58">
        <v>168</v>
      </c>
      <c r="Q378" s="6" t="s">
        <v>240</v>
      </c>
      <c r="R378" s="245">
        <v>25.249600000000001</v>
      </c>
      <c r="S378" s="2">
        <v>175000</v>
      </c>
      <c r="T378" s="4">
        <f>R378*S378</f>
        <v>4418680</v>
      </c>
      <c r="U378" s="4">
        <f t="shared" si="15"/>
        <v>4948921.6000000006</v>
      </c>
      <c r="V378" s="3" t="s">
        <v>362</v>
      </c>
      <c r="W378" s="3">
        <v>2014</v>
      </c>
      <c r="X378" s="3"/>
    </row>
    <row r="379" spans="1:26" ht="102">
      <c r="A379" s="3" t="s">
        <v>777</v>
      </c>
      <c r="B379" s="6" t="s">
        <v>361</v>
      </c>
      <c r="C379" s="6" t="s">
        <v>3074</v>
      </c>
      <c r="D379" s="6" t="s">
        <v>255</v>
      </c>
      <c r="E379" s="6" t="s">
        <v>3075</v>
      </c>
      <c r="F379" s="6" t="s">
        <v>3065</v>
      </c>
      <c r="G379" s="3" t="s">
        <v>11449</v>
      </c>
      <c r="H379" s="54">
        <v>0</v>
      </c>
      <c r="I379" s="16">
        <v>470000000</v>
      </c>
      <c r="J379" s="157" t="s">
        <v>229</v>
      </c>
      <c r="K379" s="5" t="s">
        <v>215</v>
      </c>
      <c r="L379" s="6" t="s">
        <v>231</v>
      </c>
      <c r="M379" s="3" t="s">
        <v>230</v>
      </c>
      <c r="N379" s="65" t="s">
        <v>524</v>
      </c>
      <c r="O379" s="6" t="s">
        <v>233</v>
      </c>
      <c r="P379" s="58">
        <v>168</v>
      </c>
      <c r="Q379" s="6" t="s">
        <v>240</v>
      </c>
      <c r="R379" s="118">
        <v>240</v>
      </c>
      <c r="S379" s="2">
        <v>182000</v>
      </c>
      <c r="T379" s="4">
        <v>0</v>
      </c>
      <c r="U379" s="4">
        <f t="shared" si="15"/>
        <v>0</v>
      </c>
      <c r="V379" s="3" t="s">
        <v>362</v>
      </c>
      <c r="W379" s="3">
        <v>2014</v>
      </c>
      <c r="X379" s="3">
        <v>11.12</v>
      </c>
    </row>
    <row r="380" spans="1:26" ht="89.25">
      <c r="A380" s="3" t="s">
        <v>12129</v>
      </c>
      <c r="B380" s="6" t="s">
        <v>361</v>
      </c>
      <c r="C380" s="6" t="s">
        <v>3074</v>
      </c>
      <c r="D380" s="6" t="s">
        <v>255</v>
      </c>
      <c r="E380" s="6" t="s">
        <v>3075</v>
      </c>
      <c r="F380" s="6" t="s">
        <v>3065</v>
      </c>
      <c r="G380" s="3" t="s">
        <v>11449</v>
      </c>
      <c r="H380" s="54">
        <v>0</v>
      </c>
      <c r="I380" s="16">
        <v>470000000</v>
      </c>
      <c r="J380" s="157" t="s">
        <v>229</v>
      </c>
      <c r="K380" s="5" t="s">
        <v>217</v>
      </c>
      <c r="L380" s="17" t="s">
        <v>11411</v>
      </c>
      <c r="M380" s="3" t="s">
        <v>230</v>
      </c>
      <c r="N380" s="65" t="s">
        <v>524</v>
      </c>
      <c r="O380" s="6" t="s">
        <v>233</v>
      </c>
      <c r="P380" s="58">
        <v>168</v>
      </c>
      <c r="Q380" s="6" t="s">
        <v>240</v>
      </c>
      <c r="R380" s="118">
        <v>240</v>
      </c>
      <c r="S380" s="2">
        <v>182000</v>
      </c>
      <c r="T380" s="4">
        <v>0</v>
      </c>
      <c r="U380" s="4">
        <f t="shared" si="15"/>
        <v>0</v>
      </c>
      <c r="V380" s="3" t="s">
        <v>362</v>
      </c>
      <c r="W380" s="3">
        <v>2014</v>
      </c>
      <c r="X380" s="3" t="s">
        <v>11811</v>
      </c>
    </row>
    <row r="381" spans="1:26" ht="89.25">
      <c r="A381" s="3" t="s">
        <v>14251</v>
      </c>
      <c r="B381" s="6" t="s">
        <v>361</v>
      </c>
      <c r="C381" s="6" t="s">
        <v>14252</v>
      </c>
      <c r="D381" s="6" t="s">
        <v>255</v>
      </c>
      <c r="E381" s="6" t="s">
        <v>14253</v>
      </c>
      <c r="F381" s="6" t="s">
        <v>3065</v>
      </c>
      <c r="G381" s="3" t="s">
        <v>11449</v>
      </c>
      <c r="H381" s="54">
        <v>0</v>
      </c>
      <c r="I381" s="16">
        <v>470000000</v>
      </c>
      <c r="J381" s="157" t="s">
        <v>229</v>
      </c>
      <c r="K381" s="5" t="s">
        <v>217</v>
      </c>
      <c r="L381" s="17" t="s">
        <v>11411</v>
      </c>
      <c r="M381" s="3" t="s">
        <v>230</v>
      </c>
      <c r="N381" s="65" t="s">
        <v>524</v>
      </c>
      <c r="O381" s="6" t="s">
        <v>233</v>
      </c>
      <c r="P381" s="58">
        <v>168</v>
      </c>
      <c r="Q381" s="6" t="s">
        <v>240</v>
      </c>
      <c r="R381" s="118">
        <v>240</v>
      </c>
      <c r="S381" s="2">
        <v>182000</v>
      </c>
      <c r="T381" s="4">
        <v>0</v>
      </c>
      <c r="U381" s="4">
        <f t="shared" si="15"/>
        <v>0</v>
      </c>
      <c r="V381" s="3" t="s">
        <v>362</v>
      </c>
      <c r="W381" s="3">
        <v>2014</v>
      </c>
      <c r="X381" s="3" t="s">
        <v>14132</v>
      </c>
    </row>
    <row r="382" spans="1:26" ht="89.25">
      <c r="A382" s="3" t="s">
        <v>14587</v>
      </c>
      <c r="B382" s="6" t="s">
        <v>361</v>
      </c>
      <c r="C382" s="6" t="s">
        <v>14252</v>
      </c>
      <c r="D382" s="6" t="s">
        <v>255</v>
      </c>
      <c r="E382" s="6" t="s">
        <v>14253</v>
      </c>
      <c r="F382" s="6" t="s">
        <v>3065</v>
      </c>
      <c r="G382" s="3" t="s">
        <v>11449</v>
      </c>
      <c r="H382" s="54">
        <v>0</v>
      </c>
      <c r="I382" s="16">
        <v>470000000</v>
      </c>
      <c r="J382" s="157" t="s">
        <v>229</v>
      </c>
      <c r="K382" s="5" t="s">
        <v>14662</v>
      </c>
      <c r="L382" s="17" t="s">
        <v>11411</v>
      </c>
      <c r="M382" s="3" t="s">
        <v>230</v>
      </c>
      <c r="N382" s="65" t="s">
        <v>524</v>
      </c>
      <c r="O382" s="6" t="s">
        <v>233</v>
      </c>
      <c r="P382" s="58">
        <v>168</v>
      </c>
      <c r="Q382" s="6" t="s">
        <v>240</v>
      </c>
      <c r="R382" s="118">
        <v>498.45</v>
      </c>
      <c r="S382" s="2">
        <v>199462.834</v>
      </c>
      <c r="T382" s="4">
        <v>0</v>
      </c>
      <c r="U382" s="4">
        <f t="shared" si="15"/>
        <v>0</v>
      </c>
      <c r="V382" s="3" t="s">
        <v>362</v>
      </c>
      <c r="W382" s="3">
        <v>2014</v>
      </c>
      <c r="X382" s="3" t="s">
        <v>17321</v>
      </c>
    </row>
    <row r="383" spans="1:26" ht="89.25">
      <c r="A383" s="3" t="s">
        <v>17409</v>
      </c>
      <c r="B383" s="6" t="s">
        <v>361</v>
      </c>
      <c r="C383" s="6" t="s">
        <v>14252</v>
      </c>
      <c r="D383" s="6" t="s">
        <v>255</v>
      </c>
      <c r="E383" s="6" t="s">
        <v>14253</v>
      </c>
      <c r="F383" s="6" t="s">
        <v>3065</v>
      </c>
      <c r="G383" s="3" t="s">
        <v>11449</v>
      </c>
      <c r="H383" s="54">
        <v>0</v>
      </c>
      <c r="I383" s="16">
        <v>470000000</v>
      </c>
      <c r="J383" s="157" t="s">
        <v>229</v>
      </c>
      <c r="K383" s="5" t="s">
        <v>9041</v>
      </c>
      <c r="L383" s="17" t="s">
        <v>11411</v>
      </c>
      <c r="M383" s="3" t="s">
        <v>230</v>
      </c>
      <c r="N383" s="65" t="s">
        <v>521</v>
      </c>
      <c r="O383" s="6" t="s">
        <v>233</v>
      </c>
      <c r="P383" s="58">
        <v>168</v>
      </c>
      <c r="Q383" s="6" t="s">
        <v>240</v>
      </c>
      <c r="R383" s="118">
        <v>498.86</v>
      </c>
      <c r="S383" s="2">
        <v>201000</v>
      </c>
      <c r="T383" s="4">
        <v>0</v>
      </c>
      <c r="U383" s="4">
        <f t="shared" si="15"/>
        <v>0</v>
      </c>
      <c r="V383" s="3" t="s">
        <v>362</v>
      </c>
      <c r="W383" s="3">
        <v>2014</v>
      </c>
      <c r="X383" s="3" t="s">
        <v>18756</v>
      </c>
    </row>
    <row r="384" spans="1:26" ht="76.5">
      <c r="A384" s="3" t="s">
        <v>18755</v>
      </c>
      <c r="B384" s="6" t="s">
        <v>361</v>
      </c>
      <c r="C384" s="6" t="s">
        <v>14252</v>
      </c>
      <c r="D384" s="6" t="s">
        <v>255</v>
      </c>
      <c r="E384" s="6" t="s">
        <v>14253</v>
      </c>
      <c r="F384" s="6" t="s">
        <v>3065</v>
      </c>
      <c r="G384" s="3" t="s">
        <v>11449</v>
      </c>
      <c r="H384" s="54">
        <v>0.35</v>
      </c>
      <c r="I384" s="16">
        <v>470000000</v>
      </c>
      <c r="J384" s="157" t="s">
        <v>229</v>
      </c>
      <c r="K384" s="5" t="s">
        <v>18748</v>
      </c>
      <c r="L384" s="17" t="s">
        <v>11411</v>
      </c>
      <c r="M384" s="3" t="s">
        <v>230</v>
      </c>
      <c r="N384" s="65" t="s">
        <v>18966</v>
      </c>
      <c r="O384" s="6" t="s">
        <v>18749</v>
      </c>
      <c r="P384" s="58">
        <v>168</v>
      </c>
      <c r="Q384" s="6" t="s">
        <v>240</v>
      </c>
      <c r="R384" s="251">
        <v>1100</v>
      </c>
      <c r="S384" s="2">
        <v>201000</v>
      </c>
      <c r="T384" s="4">
        <v>0</v>
      </c>
      <c r="U384" s="4">
        <f t="shared" si="15"/>
        <v>0</v>
      </c>
      <c r="V384" s="3" t="s">
        <v>362</v>
      </c>
      <c r="W384" s="3">
        <v>2014</v>
      </c>
      <c r="X384" s="3" t="s">
        <v>14785</v>
      </c>
    </row>
    <row r="385" spans="1:24" ht="76.5">
      <c r="A385" s="3" t="s">
        <v>19386</v>
      </c>
      <c r="B385" s="6" t="s">
        <v>361</v>
      </c>
      <c r="C385" s="6" t="s">
        <v>14252</v>
      </c>
      <c r="D385" s="6" t="s">
        <v>255</v>
      </c>
      <c r="E385" s="6" t="s">
        <v>14253</v>
      </c>
      <c r="F385" s="6" t="s">
        <v>3065</v>
      </c>
      <c r="G385" s="3" t="s">
        <v>11449</v>
      </c>
      <c r="H385" s="54">
        <v>0.35</v>
      </c>
      <c r="I385" s="16">
        <v>470000000</v>
      </c>
      <c r="J385" s="157" t="s">
        <v>229</v>
      </c>
      <c r="K385" s="5" t="s">
        <v>18846</v>
      </c>
      <c r="L385" s="17" t="s">
        <v>11411</v>
      </c>
      <c r="M385" s="3" t="s">
        <v>230</v>
      </c>
      <c r="N385" s="65" t="s">
        <v>18966</v>
      </c>
      <c r="O385" s="6" t="s">
        <v>18749</v>
      </c>
      <c r="P385" s="58">
        <v>168</v>
      </c>
      <c r="Q385" s="6" t="s">
        <v>240</v>
      </c>
      <c r="R385" s="251">
        <v>1100</v>
      </c>
      <c r="S385" s="2">
        <v>185000</v>
      </c>
      <c r="T385" s="4">
        <f>R385*S385</f>
        <v>203500000</v>
      </c>
      <c r="U385" s="4">
        <f t="shared" si="15"/>
        <v>227920000.00000003</v>
      </c>
      <c r="V385" s="3" t="s">
        <v>362</v>
      </c>
      <c r="W385" s="3">
        <v>2014</v>
      </c>
      <c r="X385" s="3"/>
    </row>
    <row r="386" spans="1:24" ht="102">
      <c r="A386" s="3" t="s">
        <v>778</v>
      </c>
      <c r="B386" s="6" t="s">
        <v>361</v>
      </c>
      <c r="C386" s="6" t="s">
        <v>3074</v>
      </c>
      <c r="D386" s="6" t="s">
        <v>255</v>
      </c>
      <c r="E386" s="6" t="s">
        <v>3075</v>
      </c>
      <c r="F386" s="6" t="s">
        <v>3066</v>
      </c>
      <c r="G386" s="3" t="s">
        <v>11449</v>
      </c>
      <c r="H386" s="54">
        <v>0</v>
      </c>
      <c r="I386" s="16">
        <v>470000000</v>
      </c>
      <c r="J386" s="157" t="s">
        <v>229</v>
      </c>
      <c r="K386" s="5" t="s">
        <v>214</v>
      </c>
      <c r="L386" s="6" t="s">
        <v>231</v>
      </c>
      <c r="M386" s="3" t="s">
        <v>230</v>
      </c>
      <c r="N386" s="65" t="s">
        <v>524</v>
      </c>
      <c r="O386" s="6" t="s">
        <v>233</v>
      </c>
      <c r="P386" s="58">
        <v>168</v>
      </c>
      <c r="Q386" s="6" t="s">
        <v>240</v>
      </c>
      <c r="R386" s="118">
        <v>140</v>
      </c>
      <c r="S386" s="2">
        <v>185000</v>
      </c>
      <c r="T386" s="4">
        <v>0</v>
      </c>
      <c r="U386" s="4">
        <f t="shared" si="15"/>
        <v>0</v>
      </c>
      <c r="V386" s="3" t="s">
        <v>362</v>
      </c>
      <c r="W386" s="3">
        <v>2014</v>
      </c>
      <c r="X386" s="3">
        <v>11.12</v>
      </c>
    </row>
    <row r="387" spans="1:24" ht="89.25">
      <c r="A387" s="3" t="s">
        <v>12130</v>
      </c>
      <c r="B387" s="6" t="s">
        <v>361</v>
      </c>
      <c r="C387" s="6" t="s">
        <v>3074</v>
      </c>
      <c r="D387" s="6" t="s">
        <v>255</v>
      </c>
      <c r="E387" s="6" t="s">
        <v>3075</v>
      </c>
      <c r="F387" s="6" t="s">
        <v>3066</v>
      </c>
      <c r="G387" s="3" t="s">
        <v>11449</v>
      </c>
      <c r="H387" s="54">
        <v>0</v>
      </c>
      <c r="I387" s="16">
        <v>470000000</v>
      </c>
      <c r="J387" s="157" t="s">
        <v>229</v>
      </c>
      <c r="K387" s="5" t="s">
        <v>12131</v>
      </c>
      <c r="L387" s="17" t="s">
        <v>11411</v>
      </c>
      <c r="M387" s="3" t="s">
        <v>230</v>
      </c>
      <c r="N387" s="65" t="s">
        <v>524</v>
      </c>
      <c r="O387" s="6" t="s">
        <v>233</v>
      </c>
      <c r="P387" s="58">
        <v>168</v>
      </c>
      <c r="Q387" s="6" t="s">
        <v>240</v>
      </c>
      <c r="R387" s="118">
        <v>140</v>
      </c>
      <c r="S387" s="2">
        <v>185000</v>
      </c>
      <c r="T387" s="4">
        <v>0</v>
      </c>
      <c r="U387" s="4">
        <f t="shared" si="15"/>
        <v>0</v>
      </c>
      <c r="V387" s="3" t="s">
        <v>362</v>
      </c>
      <c r="W387" s="3">
        <v>2014</v>
      </c>
      <c r="X387" s="3" t="s">
        <v>11811</v>
      </c>
    </row>
    <row r="388" spans="1:24" ht="89.25">
      <c r="A388" s="3" t="s">
        <v>14147</v>
      </c>
      <c r="B388" s="6" t="s">
        <v>361</v>
      </c>
      <c r="C388" s="6" t="s">
        <v>14148</v>
      </c>
      <c r="D388" s="6" t="s">
        <v>255</v>
      </c>
      <c r="E388" s="6" t="s">
        <v>14149</v>
      </c>
      <c r="F388" s="6" t="s">
        <v>3066</v>
      </c>
      <c r="G388" s="3" t="s">
        <v>11449</v>
      </c>
      <c r="H388" s="54">
        <v>0</v>
      </c>
      <c r="I388" s="16">
        <v>470000000</v>
      </c>
      <c r="J388" s="157" t="s">
        <v>229</v>
      </c>
      <c r="K388" s="5" t="s">
        <v>12131</v>
      </c>
      <c r="L388" s="17" t="s">
        <v>11411</v>
      </c>
      <c r="M388" s="3" t="s">
        <v>230</v>
      </c>
      <c r="N388" s="65" t="s">
        <v>524</v>
      </c>
      <c r="O388" s="6" t="s">
        <v>233</v>
      </c>
      <c r="P388" s="58">
        <v>168</v>
      </c>
      <c r="Q388" s="6" t="s">
        <v>240</v>
      </c>
      <c r="R388" s="118">
        <v>140</v>
      </c>
      <c r="S388" s="2">
        <v>185000</v>
      </c>
      <c r="T388" s="4">
        <v>0</v>
      </c>
      <c r="U388" s="4">
        <f t="shared" si="15"/>
        <v>0</v>
      </c>
      <c r="V388" s="3" t="s">
        <v>362</v>
      </c>
      <c r="W388" s="3">
        <v>2014</v>
      </c>
      <c r="X388" s="3" t="s">
        <v>12051</v>
      </c>
    </row>
    <row r="389" spans="1:24" ht="89.25">
      <c r="A389" s="3" t="s">
        <v>14589</v>
      </c>
      <c r="B389" s="6" t="s">
        <v>361</v>
      </c>
      <c r="C389" s="6" t="s">
        <v>14148</v>
      </c>
      <c r="D389" s="6" t="s">
        <v>255</v>
      </c>
      <c r="E389" s="6" t="s">
        <v>14149</v>
      </c>
      <c r="F389" s="6" t="s">
        <v>3066</v>
      </c>
      <c r="G389" s="3" t="s">
        <v>11449</v>
      </c>
      <c r="H389" s="54">
        <v>0</v>
      </c>
      <c r="I389" s="16">
        <v>470000000</v>
      </c>
      <c r="J389" s="157" t="s">
        <v>229</v>
      </c>
      <c r="K389" s="5" t="s">
        <v>14590</v>
      </c>
      <c r="L389" s="17" t="s">
        <v>11411</v>
      </c>
      <c r="M389" s="3" t="s">
        <v>230</v>
      </c>
      <c r="N389" s="65" t="s">
        <v>524</v>
      </c>
      <c r="O389" s="6" t="s">
        <v>233</v>
      </c>
      <c r="P389" s="58">
        <v>168</v>
      </c>
      <c r="Q389" s="6" t="s">
        <v>240</v>
      </c>
      <c r="R389" s="118">
        <v>228.72</v>
      </c>
      <c r="S389" s="2">
        <v>193145.85500000001</v>
      </c>
      <c r="T389" s="4">
        <v>0</v>
      </c>
      <c r="U389" s="4">
        <f t="shared" si="15"/>
        <v>0</v>
      </c>
      <c r="V389" s="3" t="s">
        <v>362</v>
      </c>
      <c r="W389" s="3">
        <v>2014</v>
      </c>
      <c r="X389" s="6" t="s">
        <v>17321</v>
      </c>
    </row>
    <row r="390" spans="1:24" ht="89.25">
      <c r="A390" s="3" t="s">
        <v>17412</v>
      </c>
      <c r="B390" s="6" t="s">
        <v>361</v>
      </c>
      <c r="C390" s="6" t="s">
        <v>14148</v>
      </c>
      <c r="D390" s="6" t="s">
        <v>255</v>
      </c>
      <c r="E390" s="6" t="s">
        <v>14149</v>
      </c>
      <c r="F390" s="6" t="s">
        <v>3066</v>
      </c>
      <c r="G390" s="3" t="s">
        <v>11449</v>
      </c>
      <c r="H390" s="54">
        <v>0</v>
      </c>
      <c r="I390" s="16">
        <v>470000000</v>
      </c>
      <c r="J390" s="157" t="s">
        <v>229</v>
      </c>
      <c r="K390" s="5" t="s">
        <v>9041</v>
      </c>
      <c r="L390" s="17" t="s">
        <v>11411</v>
      </c>
      <c r="M390" s="3" t="s">
        <v>230</v>
      </c>
      <c r="N390" s="65" t="s">
        <v>521</v>
      </c>
      <c r="O390" s="6" t="s">
        <v>233</v>
      </c>
      <c r="P390" s="58">
        <v>168</v>
      </c>
      <c r="Q390" s="6" t="s">
        <v>240</v>
      </c>
      <c r="R390" s="118">
        <v>401.55</v>
      </c>
      <c r="S390" s="2">
        <v>206000</v>
      </c>
      <c r="T390" s="4">
        <v>0</v>
      </c>
      <c r="U390" s="4">
        <f t="shared" si="15"/>
        <v>0</v>
      </c>
      <c r="V390" s="3" t="s">
        <v>362</v>
      </c>
      <c r="W390" s="3">
        <v>2014</v>
      </c>
      <c r="X390" s="3">
        <v>11.22</v>
      </c>
    </row>
    <row r="391" spans="1:24" ht="89.25">
      <c r="A391" s="3" t="s">
        <v>19073</v>
      </c>
      <c r="B391" s="6" t="s">
        <v>361</v>
      </c>
      <c r="C391" s="6" t="s">
        <v>14148</v>
      </c>
      <c r="D391" s="6" t="s">
        <v>255</v>
      </c>
      <c r="E391" s="6" t="s">
        <v>14149</v>
      </c>
      <c r="F391" s="6" t="s">
        <v>3066</v>
      </c>
      <c r="G391" s="3" t="s">
        <v>11449</v>
      </c>
      <c r="H391" s="54">
        <v>0</v>
      </c>
      <c r="I391" s="16">
        <v>470000000</v>
      </c>
      <c r="J391" s="157" t="s">
        <v>229</v>
      </c>
      <c r="K391" s="5" t="s">
        <v>18748</v>
      </c>
      <c r="L391" s="17" t="s">
        <v>11411</v>
      </c>
      <c r="M391" s="3" t="s">
        <v>230</v>
      </c>
      <c r="N391" s="65" t="s">
        <v>521</v>
      </c>
      <c r="O391" s="6" t="s">
        <v>233</v>
      </c>
      <c r="P391" s="58">
        <v>168</v>
      </c>
      <c r="Q391" s="6" t="s">
        <v>240</v>
      </c>
      <c r="R391" s="118">
        <v>401.55</v>
      </c>
      <c r="S391" s="2">
        <v>206000</v>
      </c>
      <c r="T391" s="4">
        <f>R391*S391</f>
        <v>82719300</v>
      </c>
      <c r="U391" s="4">
        <f t="shared" ref="U391" si="18">T391*1.12</f>
        <v>92645616.000000015</v>
      </c>
      <c r="V391" s="3"/>
      <c r="W391" s="3">
        <v>2014</v>
      </c>
      <c r="X391" s="3"/>
    </row>
    <row r="392" spans="1:24" ht="102">
      <c r="A392" s="3" t="s">
        <v>779</v>
      </c>
      <c r="B392" s="6" t="s">
        <v>361</v>
      </c>
      <c r="C392" s="6" t="s">
        <v>3074</v>
      </c>
      <c r="D392" s="6" t="s">
        <v>255</v>
      </c>
      <c r="E392" s="6" t="s">
        <v>3075</v>
      </c>
      <c r="F392" s="6" t="s">
        <v>3067</v>
      </c>
      <c r="G392" s="3" t="s">
        <v>11449</v>
      </c>
      <c r="H392" s="54">
        <v>0</v>
      </c>
      <c r="I392" s="16">
        <v>470000000</v>
      </c>
      <c r="J392" s="157" t="s">
        <v>229</v>
      </c>
      <c r="K392" s="5" t="s">
        <v>215</v>
      </c>
      <c r="L392" s="6" t="s">
        <v>231</v>
      </c>
      <c r="M392" s="3" t="s">
        <v>230</v>
      </c>
      <c r="N392" s="65" t="s">
        <v>524</v>
      </c>
      <c r="O392" s="6" t="s">
        <v>233</v>
      </c>
      <c r="P392" s="58">
        <v>168</v>
      </c>
      <c r="Q392" s="6" t="s">
        <v>240</v>
      </c>
      <c r="R392" s="118">
        <v>35.21</v>
      </c>
      <c r="S392" s="2">
        <v>185000</v>
      </c>
      <c r="T392" s="4">
        <v>0</v>
      </c>
      <c r="U392" s="4">
        <f t="shared" si="15"/>
        <v>0</v>
      </c>
      <c r="V392" s="3" t="s">
        <v>362</v>
      </c>
      <c r="W392" s="3">
        <v>2014</v>
      </c>
      <c r="X392" s="3">
        <v>11.12</v>
      </c>
    </row>
    <row r="393" spans="1:24" ht="89.25">
      <c r="A393" s="3" t="s">
        <v>12132</v>
      </c>
      <c r="B393" s="6" t="s">
        <v>361</v>
      </c>
      <c r="C393" s="6" t="s">
        <v>3074</v>
      </c>
      <c r="D393" s="6" t="s">
        <v>255</v>
      </c>
      <c r="E393" s="6" t="s">
        <v>3075</v>
      </c>
      <c r="F393" s="6" t="s">
        <v>3067</v>
      </c>
      <c r="G393" s="3" t="s">
        <v>11449</v>
      </c>
      <c r="H393" s="54">
        <v>0</v>
      </c>
      <c r="I393" s="16">
        <v>470000000</v>
      </c>
      <c r="J393" s="157" t="s">
        <v>229</v>
      </c>
      <c r="K393" s="5" t="s">
        <v>12133</v>
      </c>
      <c r="L393" s="17" t="s">
        <v>11411</v>
      </c>
      <c r="M393" s="3" t="s">
        <v>230</v>
      </c>
      <c r="N393" s="65" t="s">
        <v>524</v>
      </c>
      <c r="O393" s="6" t="s">
        <v>233</v>
      </c>
      <c r="P393" s="58">
        <v>168</v>
      </c>
      <c r="Q393" s="6" t="s">
        <v>240</v>
      </c>
      <c r="R393" s="118">
        <v>35.21</v>
      </c>
      <c r="S393" s="2">
        <v>185000</v>
      </c>
      <c r="T393" s="4">
        <v>0</v>
      </c>
      <c r="U393" s="4">
        <f t="shared" si="15"/>
        <v>0</v>
      </c>
      <c r="V393" s="3" t="s">
        <v>362</v>
      </c>
      <c r="W393" s="3">
        <v>2014</v>
      </c>
      <c r="X393" s="3" t="s">
        <v>11811</v>
      </c>
    </row>
    <row r="394" spans="1:24" ht="89.25">
      <c r="A394" s="3" t="s">
        <v>14128</v>
      </c>
      <c r="B394" s="6" t="s">
        <v>361</v>
      </c>
      <c r="C394" s="6" t="s">
        <v>14129</v>
      </c>
      <c r="D394" s="6" t="s">
        <v>255</v>
      </c>
      <c r="E394" s="6" t="s">
        <v>14130</v>
      </c>
      <c r="F394" s="6" t="s">
        <v>3067</v>
      </c>
      <c r="G394" s="3" t="s">
        <v>11449</v>
      </c>
      <c r="H394" s="54">
        <v>0</v>
      </c>
      <c r="I394" s="16">
        <v>470000000</v>
      </c>
      <c r="J394" s="157" t="s">
        <v>229</v>
      </c>
      <c r="K394" s="5" t="s">
        <v>12133</v>
      </c>
      <c r="L394" s="17" t="s">
        <v>11411</v>
      </c>
      <c r="M394" s="3" t="s">
        <v>230</v>
      </c>
      <c r="N394" s="65" t="s">
        <v>524</v>
      </c>
      <c r="O394" s="6" t="s">
        <v>233</v>
      </c>
      <c r="P394" s="58">
        <v>168</v>
      </c>
      <c r="Q394" s="6" t="s">
        <v>240</v>
      </c>
      <c r="R394" s="118">
        <v>35.21</v>
      </c>
      <c r="S394" s="2">
        <v>185000</v>
      </c>
      <c r="T394" s="4">
        <v>0</v>
      </c>
      <c r="U394" s="4">
        <f t="shared" si="15"/>
        <v>0</v>
      </c>
      <c r="V394" s="3" t="s">
        <v>362</v>
      </c>
      <c r="W394" s="3">
        <v>2014</v>
      </c>
      <c r="X394" s="3" t="s">
        <v>12051</v>
      </c>
    </row>
    <row r="395" spans="1:24" ht="89.25">
      <c r="A395" s="3" t="s">
        <v>14591</v>
      </c>
      <c r="B395" s="6" t="s">
        <v>361</v>
      </c>
      <c r="C395" s="6" t="s">
        <v>14129</v>
      </c>
      <c r="D395" s="6" t="s">
        <v>255</v>
      </c>
      <c r="E395" s="6" t="s">
        <v>14130</v>
      </c>
      <c r="F395" s="6" t="s">
        <v>3067</v>
      </c>
      <c r="G395" s="3" t="s">
        <v>11449</v>
      </c>
      <c r="H395" s="54">
        <v>0</v>
      </c>
      <c r="I395" s="16">
        <v>470000000</v>
      </c>
      <c r="J395" s="157" t="s">
        <v>229</v>
      </c>
      <c r="K395" s="5" t="s">
        <v>14592</v>
      </c>
      <c r="L395" s="17" t="s">
        <v>11411</v>
      </c>
      <c r="M395" s="3" t="s">
        <v>230</v>
      </c>
      <c r="N395" s="65" t="s">
        <v>524</v>
      </c>
      <c r="O395" s="6" t="s">
        <v>233</v>
      </c>
      <c r="P395" s="58">
        <v>168</v>
      </c>
      <c r="Q395" s="6" t="s">
        <v>240</v>
      </c>
      <c r="R395" s="244">
        <v>35.058</v>
      </c>
      <c r="S395" s="2">
        <v>194731.302</v>
      </c>
      <c r="T395" s="4">
        <v>0</v>
      </c>
      <c r="U395" s="4">
        <f t="shared" ref="U395:U484" si="19">T395*1.12</f>
        <v>0</v>
      </c>
      <c r="V395" s="3" t="s">
        <v>362</v>
      </c>
      <c r="W395" s="3">
        <v>2014</v>
      </c>
      <c r="X395" s="6" t="s">
        <v>17321</v>
      </c>
    </row>
    <row r="396" spans="1:24" ht="89.25">
      <c r="A396" s="3" t="s">
        <v>17413</v>
      </c>
      <c r="B396" s="6" t="s">
        <v>361</v>
      </c>
      <c r="C396" s="6" t="s">
        <v>14129</v>
      </c>
      <c r="D396" s="6" t="s">
        <v>255</v>
      </c>
      <c r="E396" s="6" t="s">
        <v>14130</v>
      </c>
      <c r="F396" s="6" t="s">
        <v>3067</v>
      </c>
      <c r="G396" s="3" t="s">
        <v>11449</v>
      </c>
      <c r="H396" s="54">
        <v>0</v>
      </c>
      <c r="I396" s="16">
        <v>470000000</v>
      </c>
      <c r="J396" s="157" t="s">
        <v>229</v>
      </c>
      <c r="K396" s="5" t="s">
        <v>9041</v>
      </c>
      <c r="L396" s="17" t="s">
        <v>11411</v>
      </c>
      <c r="M396" s="3" t="s">
        <v>230</v>
      </c>
      <c r="N396" s="65" t="s">
        <v>521</v>
      </c>
      <c r="O396" s="6" t="s">
        <v>233</v>
      </c>
      <c r="P396" s="58">
        <v>168</v>
      </c>
      <c r="Q396" s="6" t="s">
        <v>240</v>
      </c>
      <c r="R396" s="244">
        <v>51.939</v>
      </c>
      <c r="S396" s="2">
        <v>206000</v>
      </c>
      <c r="T396" s="4">
        <v>0</v>
      </c>
      <c r="U396" s="4">
        <f t="shared" si="19"/>
        <v>0</v>
      </c>
      <c r="V396" s="3" t="s">
        <v>362</v>
      </c>
      <c r="W396" s="3">
        <v>2014</v>
      </c>
      <c r="X396" s="3">
        <v>11.22</v>
      </c>
    </row>
    <row r="397" spans="1:24" ht="89.25">
      <c r="A397" s="3" t="s">
        <v>19074</v>
      </c>
      <c r="B397" s="6" t="s">
        <v>361</v>
      </c>
      <c r="C397" s="6" t="s">
        <v>14129</v>
      </c>
      <c r="D397" s="6" t="s">
        <v>255</v>
      </c>
      <c r="E397" s="6" t="s">
        <v>14130</v>
      </c>
      <c r="F397" s="6" t="s">
        <v>3067</v>
      </c>
      <c r="G397" s="3" t="s">
        <v>11449</v>
      </c>
      <c r="H397" s="54">
        <v>0</v>
      </c>
      <c r="I397" s="16">
        <v>470000000</v>
      </c>
      <c r="J397" s="157" t="s">
        <v>229</v>
      </c>
      <c r="K397" s="5" t="s">
        <v>18748</v>
      </c>
      <c r="L397" s="17" t="s">
        <v>11411</v>
      </c>
      <c r="M397" s="3" t="s">
        <v>230</v>
      </c>
      <c r="N397" s="65" t="s">
        <v>521</v>
      </c>
      <c r="O397" s="6" t="s">
        <v>233</v>
      </c>
      <c r="P397" s="58">
        <v>168</v>
      </c>
      <c r="Q397" s="6" t="s">
        <v>240</v>
      </c>
      <c r="R397" s="244">
        <v>51.939</v>
      </c>
      <c r="S397" s="2">
        <v>206000</v>
      </c>
      <c r="T397" s="4">
        <f>R397*S397</f>
        <v>10699434</v>
      </c>
      <c r="U397" s="4">
        <f t="shared" ref="U397" si="20">T397*1.12</f>
        <v>11983366.080000002</v>
      </c>
      <c r="V397" s="3"/>
      <c r="W397" s="3">
        <v>2014</v>
      </c>
      <c r="X397" s="3"/>
    </row>
    <row r="398" spans="1:24" ht="102">
      <c r="A398" s="3" t="s">
        <v>780</v>
      </c>
      <c r="B398" s="6" t="s">
        <v>361</v>
      </c>
      <c r="C398" s="6" t="s">
        <v>3074</v>
      </c>
      <c r="D398" s="6" t="s">
        <v>255</v>
      </c>
      <c r="E398" s="6" t="s">
        <v>3075</v>
      </c>
      <c r="F398" s="6" t="s">
        <v>3068</v>
      </c>
      <c r="G398" s="3" t="s">
        <v>11449</v>
      </c>
      <c r="H398" s="54">
        <v>0</v>
      </c>
      <c r="I398" s="16">
        <v>470000000</v>
      </c>
      <c r="J398" s="157" t="s">
        <v>229</v>
      </c>
      <c r="K398" s="5" t="s">
        <v>211</v>
      </c>
      <c r="L398" s="6" t="s">
        <v>231</v>
      </c>
      <c r="M398" s="3" t="s">
        <v>230</v>
      </c>
      <c r="N398" s="65" t="s">
        <v>524</v>
      </c>
      <c r="O398" s="6" t="s">
        <v>233</v>
      </c>
      <c r="P398" s="58">
        <v>168</v>
      </c>
      <c r="Q398" s="6" t="s">
        <v>240</v>
      </c>
      <c r="R398" s="118">
        <v>12.43</v>
      </c>
      <c r="S398" s="2">
        <v>185000</v>
      </c>
      <c r="T398" s="4">
        <v>0</v>
      </c>
      <c r="U398" s="4">
        <f t="shared" si="19"/>
        <v>0</v>
      </c>
      <c r="V398" s="3" t="s">
        <v>362</v>
      </c>
      <c r="W398" s="3">
        <v>2014</v>
      </c>
      <c r="X398" s="3">
        <v>11.12</v>
      </c>
    </row>
    <row r="399" spans="1:24" ht="89.25">
      <c r="A399" s="3" t="s">
        <v>11981</v>
      </c>
      <c r="B399" s="6" t="s">
        <v>361</v>
      </c>
      <c r="C399" s="6" t="s">
        <v>3074</v>
      </c>
      <c r="D399" s="6" t="s">
        <v>255</v>
      </c>
      <c r="E399" s="6" t="s">
        <v>3075</v>
      </c>
      <c r="F399" s="6" t="s">
        <v>3068</v>
      </c>
      <c r="G399" s="3" t="s">
        <v>11449</v>
      </c>
      <c r="H399" s="54">
        <v>0</v>
      </c>
      <c r="I399" s="16">
        <v>470000000</v>
      </c>
      <c r="J399" s="157" t="s">
        <v>229</v>
      </c>
      <c r="K399" s="5" t="s">
        <v>209</v>
      </c>
      <c r="L399" s="17" t="s">
        <v>11411</v>
      </c>
      <c r="M399" s="3" t="s">
        <v>230</v>
      </c>
      <c r="N399" s="65" t="s">
        <v>524</v>
      </c>
      <c r="O399" s="6" t="s">
        <v>233</v>
      </c>
      <c r="P399" s="58">
        <v>168</v>
      </c>
      <c r="Q399" s="6" t="s">
        <v>240</v>
      </c>
      <c r="R399" s="118">
        <v>12.43</v>
      </c>
      <c r="S399" s="2">
        <v>185000</v>
      </c>
      <c r="T399" s="4">
        <v>0</v>
      </c>
      <c r="U399" s="4">
        <f t="shared" si="19"/>
        <v>0</v>
      </c>
      <c r="V399" s="3" t="s">
        <v>362</v>
      </c>
      <c r="W399" s="3">
        <v>2014</v>
      </c>
      <c r="X399" s="3" t="s">
        <v>11811</v>
      </c>
    </row>
    <row r="400" spans="1:24" ht="89.25">
      <c r="A400" s="3" t="s">
        <v>14150</v>
      </c>
      <c r="B400" s="6" t="s">
        <v>361</v>
      </c>
      <c r="C400" s="6" t="s">
        <v>14151</v>
      </c>
      <c r="D400" s="6" t="s">
        <v>255</v>
      </c>
      <c r="E400" s="6" t="s">
        <v>14152</v>
      </c>
      <c r="F400" s="6" t="s">
        <v>3068</v>
      </c>
      <c r="G400" s="3" t="s">
        <v>11449</v>
      </c>
      <c r="H400" s="54">
        <v>0</v>
      </c>
      <c r="I400" s="16">
        <v>470000000</v>
      </c>
      <c r="J400" s="157" t="s">
        <v>229</v>
      </c>
      <c r="K400" s="5" t="s">
        <v>209</v>
      </c>
      <c r="L400" s="17" t="s">
        <v>11411</v>
      </c>
      <c r="M400" s="3" t="s">
        <v>230</v>
      </c>
      <c r="N400" s="65" t="s">
        <v>524</v>
      </c>
      <c r="O400" s="6" t="s">
        <v>233</v>
      </c>
      <c r="P400" s="58">
        <v>168</v>
      </c>
      <c r="Q400" s="6" t="s">
        <v>240</v>
      </c>
      <c r="R400" s="118">
        <v>12.43</v>
      </c>
      <c r="S400" s="2">
        <v>185000</v>
      </c>
      <c r="T400" s="4">
        <v>0</v>
      </c>
      <c r="U400" s="4">
        <f t="shared" si="19"/>
        <v>0</v>
      </c>
      <c r="V400" s="3" t="s">
        <v>362</v>
      </c>
      <c r="W400" s="3">
        <v>2014</v>
      </c>
      <c r="X400" s="3" t="s">
        <v>12051</v>
      </c>
    </row>
    <row r="401" spans="1:24" ht="89.25">
      <c r="A401" s="3" t="s">
        <v>14593</v>
      </c>
      <c r="B401" s="6" t="s">
        <v>361</v>
      </c>
      <c r="C401" s="6" t="s">
        <v>14151</v>
      </c>
      <c r="D401" s="6" t="s">
        <v>255</v>
      </c>
      <c r="E401" s="6" t="s">
        <v>14152</v>
      </c>
      <c r="F401" s="6" t="s">
        <v>3068</v>
      </c>
      <c r="G401" s="3" t="s">
        <v>11449</v>
      </c>
      <c r="H401" s="54">
        <v>0</v>
      </c>
      <c r="I401" s="16">
        <v>470000000</v>
      </c>
      <c r="J401" s="157" t="s">
        <v>229</v>
      </c>
      <c r="K401" s="5" t="s">
        <v>14594</v>
      </c>
      <c r="L401" s="17" t="s">
        <v>11411</v>
      </c>
      <c r="M401" s="3" t="s">
        <v>230</v>
      </c>
      <c r="N401" s="65" t="s">
        <v>524</v>
      </c>
      <c r="O401" s="6" t="s">
        <v>233</v>
      </c>
      <c r="P401" s="58">
        <v>168</v>
      </c>
      <c r="Q401" s="6" t="s">
        <v>240</v>
      </c>
      <c r="R401" s="244">
        <v>12.432</v>
      </c>
      <c r="S401" s="2">
        <v>222000</v>
      </c>
      <c r="T401" s="4">
        <v>0</v>
      </c>
      <c r="U401" s="4">
        <f t="shared" si="19"/>
        <v>0</v>
      </c>
      <c r="V401" s="3" t="s">
        <v>362</v>
      </c>
      <c r="W401" s="3">
        <v>2014</v>
      </c>
      <c r="X401" s="3" t="s">
        <v>14785</v>
      </c>
    </row>
    <row r="402" spans="1:24" ht="89.25">
      <c r="A402" s="3" t="s">
        <v>17417</v>
      </c>
      <c r="B402" s="6" t="s">
        <v>361</v>
      </c>
      <c r="C402" s="6" t="s">
        <v>14151</v>
      </c>
      <c r="D402" s="6" t="s">
        <v>255</v>
      </c>
      <c r="E402" s="6" t="s">
        <v>14152</v>
      </c>
      <c r="F402" s="6" t="s">
        <v>3068</v>
      </c>
      <c r="G402" s="3" t="s">
        <v>11449</v>
      </c>
      <c r="H402" s="54">
        <v>0</v>
      </c>
      <c r="I402" s="16">
        <v>470000000</v>
      </c>
      <c r="J402" s="157" t="s">
        <v>229</v>
      </c>
      <c r="K402" s="5" t="s">
        <v>18369</v>
      </c>
      <c r="L402" s="17" t="s">
        <v>11411</v>
      </c>
      <c r="M402" s="3" t="s">
        <v>230</v>
      </c>
      <c r="N402" s="65" t="s">
        <v>524</v>
      </c>
      <c r="O402" s="6" t="s">
        <v>233</v>
      </c>
      <c r="P402" s="58">
        <v>168</v>
      </c>
      <c r="Q402" s="6" t="s">
        <v>240</v>
      </c>
      <c r="R402" s="244">
        <v>12.432</v>
      </c>
      <c r="S402" s="2">
        <v>183000</v>
      </c>
      <c r="T402" s="4">
        <f>R402*S402</f>
        <v>2275056</v>
      </c>
      <c r="U402" s="4">
        <f t="shared" si="19"/>
        <v>2548062.7200000002</v>
      </c>
      <c r="V402" s="3" t="s">
        <v>362</v>
      </c>
      <c r="W402" s="3">
        <v>2014</v>
      </c>
      <c r="X402" s="3"/>
    </row>
    <row r="403" spans="1:24" ht="102">
      <c r="A403" s="3" t="s">
        <v>781</v>
      </c>
      <c r="B403" s="6" t="s">
        <v>361</v>
      </c>
      <c r="C403" s="6" t="s">
        <v>16555</v>
      </c>
      <c r="D403" s="6" t="s">
        <v>255</v>
      </c>
      <c r="E403" s="6" t="s">
        <v>16556</v>
      </c>
      <c r="F403" s="6" t="s">
        <v>3069</v>
      </c>
      <c r="G403" s="3" t="s">
        <v>11449</v>
      </c>
      <c r="H403" s="54">
        <v>0</v>
      </c>
      <c r="I403" s="16">
        <v>470000000</v>
      </c>
      <c r="J403" s="157" t="s">
        <v>229</v>
      </c>
      <c r="K403" s="5" t="s">
        <v>211</v>
      </c>
      <c r="L403" s="6" t="s">
        <v>231</v>
      </c>
      <c r="M403" s="3" t="s">
        <v>230</v>
      </c>
      <c r="N403" s="65" t="s">
        <v>524</v>
      </c>
      <c r="O403" s="6" t="s">
        <v>233</v>
      </c>
      <c r="P403" s="58">
        <v>168</v>
      </c>
      <c r="Q403" s="6" t="s">
        <v>240</v>
      </c>
      <c r="R403" s="118">
        <v>6.03</v>
      </c>
      <c r="S403" s="2">
        <v>181900</v>
      </c>
      <c r="T403" s="4">
        <v>0</v>
      </c>
      <c r="U403" s="4">
        <f t="shared" si="19"/>
        <v>0</v>
      </c>
      <c r="V403" s="3" t="s">
        <v>362</v>
      </c>
      <c r="W403" s="3">
        <v>2014</v>
      </c>
      <c r="X403" s="3">
        <v>11.12</v>
      </c>
    </row>
    <row r="404" spans="1:24" ht="89.25">
      <c r="A404" s="3" t="s">
        <v>12134</v>
      </c>
      <c r="B404" s="6" t="s">
        <v>361</v>
      </c>
      <c r="C404" s="6" t="s">
        <v>16555</v>
      </c>
      <c r="D404" s="6" t="s">
        <v>255</v>
      </c>
      <c r="E404" s="6" t="s">
        <v>16556</v>
      </c>
      <c r="F404" s="6" t="s">
        <v>3069</v>
      </c>
      <c r="G404" s="3" t="s">
        <v>11449</v>
      </c>
      <c r="H404" s="54">
        <v>0</v>
      </c>
      <c r="I404" s="16">
        <v>470000000</v>
      </c>
      <c r="J404" s="157" t="s">
        <v>229</v>
      </c>
      <c r="K404" s="5" t="s">
        <v>217</v>
      </c>
      <c r="L404" s="17" t="s">
        <v>11411</v>
      </c>
      <c r="M404" s="3" t="s">
        <v>230</v>
      </c>
      <c r="N404" s="65" t="s">
        <v>524</v>
      </c>
      <c r="O404" s="6" t="s">
        <v>233</v>
      </c>
      <c r="P404" s="58">
        <v>168</v>
      </c>
      <c r="Q404" s="6" t="s">
        <v>240</v>
      </c>
      <c r="R404" s="118">
        <v>6.03</v>
      </c>
      <c r="S404" s="2">
        <v>181900</v>
      </c>
      <c r="T404" s="4">
        <v>0</v>
      </c>
      <c r="U404" s="4">
        <f t="shared" si="19"/>
        <v>0</v>
      </c>
      <c r="V404" s="3" t="s">
        <v>362</v>
      </c>
      <c r="W404" s="3">
        <v>2014</v>
      </c>
      <c r="X404" s="3" t="s">
        <v>14132</v>
      </c>
    </row>
    <row r="405" spans="1:24" ht="89.25">
      <c r="A405" s="3" t="s">
        <v>14131</v>
      </c>
      <c r="B405" s="6" t="s">
        <v>361</v>
      </c>
      <c r="C405" s="6" t="s">
        <v>16555</v>
      </c>
      <c r="D405" s="6" t="s">
        <v>255</v>
      </c>
      <c r="E405" s="6" t="s">
        <v>16556</v>
      </c>
      <c r="F405" s="6" t="s">
        <v>3069</v>
      </c>
      <c r="G405" s="3" t="s">
        <v>11449</v>
      </c>
      <c r="H405" s="54">
        <v>0</v>
      </c>
      <c r="I405" s="16">
        <v>470000000</v>
      </c>
      <c r="J405" s="157" t="s">
        <v>229</v>
      </c>
      <c r="K405" s="5" t="s">
        <v>217</v>
      </c>
      <c r="L405" s="17" t="s">
        <v>11411</v>
      </c>
      <c r="M405" s="3" t="s">
        <v>230</v>
      </c>
      <c r="N405" s="65" t="s">
        <v>524</v>
      </c>
      <c r="O405" s="6" t="s">
        <v>233</v>
      </c>
      <c r="P405" s="58">
        <v>168</v>
      </c>
      <c r="Q405" s="6" t="s">
        <v>240</v>
      </c>
      <c r="R405" s="118">
        <v>6.8961546900000004</v>
      </c>
      <c r="S405" s="2">
        <v>182300</v>
      </c>
      <c r="T405" s="4">
        <v>0</v>
      </c>
      <c r="U405" s="4">
        <f t="shared" si="19"/>
        <v>0</v>
      </c>
      <c r="V405" s="3" t="s">
        <v>362</v>
      </c>
      <c r="W405" s="3">
        <v>2014</v>
      </c>
      <c r="X405" s="3" t="s">
        <v>12051</v>
      </c>
    </row>
    <row r="406" spans="1:24" ht="89.25">
      <c r="A406" s="3" t="s">
        <v>14595</v>
      </c>
      <c r="B406" s="6" t="s">
        <v>361</v>
      </c>
      <c r="C406" s="6" t="s">
        <v>16555</v>
      </c>
      <c r="D406" s="6" t="s">
        <v>255</v>
      </c>
      <c r="E406" s="6" t="s">
        <v>16556</v>
      </c>
      <c r="F406" s="6" t="s">
        <v>3069</v>
      </c>
      <c r="G406" s="3" t="s">
        <v>11449</v>
      </c>
      <c r="H406" s="54">
        <v>0</v>
      </c>
      <c r="I406" s="16">
        <v>470000000</v>
      </c>
      <c r="J406" s="157" t="s">
        <v>229</v>
      </c>
      <c r="K406" s="5" t="s">
        <v>14596</v>
      </c>
      <c r="L406" s="17" t="s">
        <v>11411</v>
      </c>
      <c r="M406" s="3" t="s">
        <v>230</v>
      </c>
      <c r="N406" s="65" t="s">
        <v>524</v>
      </c>
      <c r="O406" s="6" t="s">
        <v>233</v>
      </c>
      <c r="P406" s="58">
        <v>168</v>
      </c>
      <c r="Q406" s="6" t="s">
        <v>240</v>
      </c>
      <c r="R406" s="244">
        <v>5.4980000000000002</v>
      </c>
      <c r="S406" s="2">
        <v>218760</v>
      </c>
      <c r="T406" s="4">
        <v>0</v>
      </c>
      <c r="U406" s="4">
        <f t="shared" si="19"/>
        <v>0</v>
      </c>
      <c r="V406" s="3" t="s">
        <v>362</v>
      </c>
      <c r="W406" s="3">
        <v>2014</v>
      </c>
      <c r="X406" s="3" t="s">
        <v>17419</v>
      </c>
    </row>
    <row r="407" spans="1:24" ht="89.25">
      <c r="A407" s="3" t="s">
        <v>17418</v>
      </c>
      <c r="B407" s="6" t="s">
        <v>361</v>
      </c>
      <c r="C407" s="6" t="s">
        <v>16555</v>
      </c>
      <c r="D407" s="6" t="s">
        <v>255</v>
      </c>
      <c r="E407" s="6" t="s">
        <v>16556</v>
      </c>
      <c r="F407" s="6" t="s">
        <v>3069</v>
      </c>
      <c r="G407" s="3" t="s">
        <v>11450</v>
      </c>
      <c r="H407" s="54">
        <v>0</v>
      </c>
      <c r="I407" s="16">
        <v>470000000</v>
      </c>
      <c r="J407" s="157" t="s">
        <v>229</v>
      </c>
      <c r="K407" s="5" t="s">
        <v>17401</v>
      </c>
      <c r="L407" s="17" t="s">
        <v>11411</v>
      </c>
      <c r="M407" s="3" t="s">
        <v>230</v>
      </c>
      <c r="N407" s="65" t="s">
        <v>528</v>
      </c>
      <c r="O407" s="6" t="s">
        <v>233</v>
      </c>
      <c r="P407" s="58">
        <v>168</v>
      </c>
      <c r="Q407" s="6" t="s">
        <v>240</v>
      </c>
      <c r="R407" s="244">
        <v>8.2780000000000005</v>
      </c>
      <c r="S407" s="2">
        <v>218760</v>
      </c>
      <c r="T407" s="4">
        <f>R407*S407</f>
        <v>1810895.28</v>
      </c>
      <c r="U407" s="4">
        <f t="shared" si="19"/>
        <v>2028202.7136000001</v>
      </c>
      <c r="V407" s="3" t="s">
        <v>362</v>
      </c>
      <c r="W407" s="3">
        <v>2014</v>
      </c>
      <c r="X407" s="3"/>
    </row>
    <row r="408" spans="1:24" ht="102">
      <c r="A408" s="3" t="s">
        <v>782</v>
      </c>
      <c r="B408" s="6" t="s">
        <v>361</v>
      </c>
      <c r="C408" s="6" t="s">
        <v>16557</v>
      </c>
      <c r="D408" s="6" t="s">
        <v>255</v>
      </c>
      <c r="E408" s="6" t="s">
        <v>16558</v>
      </c>
      <c r="F408" s="6" t="s">
        <v>3070</v>
      </c>
      <c r="G408" s="3" t="s">
        <v>11449</v>
      </c>
      <c r="H408" s="54">
        <v>0</v>
      </c>
      <c r="I408" s="16">
        <v>470000000</v>
      </c>
      <c r="J408" s="157" t="s">
        <v>229</v>
      </c>
      <c r="K408" s="5" t="s">
        <v>215</v>
      </c>
      <c r="L408" s="6" t="s">
        <v>231</v>
      </c>
      <c r="M408" s="3" t="s">
        <v>230</v>
      </c>
      <c r="N408" s="65" t="s">
        <v>524</v>
      </c>
      <c r="O408" s="6" t="s">
        <v>233</v>
      </c>
      <c r="P408" s="58">
        <v>168</v>
      </c>
      <c r="Q408" s="6" t="s">
        <v>240</v>
      </c>
      <c r="R408" s="118">
        <v>8.31</v>
      </c>
      <c r="S408" s="2">
        <v>181900</v>
      </c>
      <c r="T408" s="4">
        <v>0</v>
      </c>
      <c r="U408" s="4">
        <f t="shared" si="19"/>
        <v>0</v>
      </c>
      <c r="V408" s="3" t="s">
        <v>362</v>
      </c>
      <c r="W408" s="3">
        <v>2014</v>
      </c>
      <c r="X408" s="3">
        <v>11.12</v>
      </c>
    </row>
    <row r="409" spans="1:24" ht="89.25">
      <c r="A409" s="3" t="s">
        <v>12135</v>
      </c>
      <c r="B409" s="6" t="s">
        <v>361</v>
      </c>
      <c r="C409" s="6" t="s">
        <v>16557</v>
      </c>
      <c r="D409" s="6" t="s">
        <v>255</v>
      </c>
      <c r="E409" s="6" t="s">
        <v>16558</v>
      </c>
      <c r="F409" s="6" t="s">
        <v>3070</v>
      </c>
      <c r="G409" s="3" t="s">
        <v>11449</v>
      </c>
      <c r="H409" s="54">
        <v>0</v>
      </c>
      <c r="I409" s="16">
        <v>470000000</v>
      </c>
      <c r="J409" s="157" t="s">
        <v>229</v>
      </c>
      <c r="K409" s="5" t="s">
        <v>211</v>
      </c>
      <c r="L409" s="17" t="s">
        <v>11411</v>
      </c>
      <c r="M409" s="3" t="s">
        <v>230</v>
      </c>
      <c r="N409" s="65" t="s">
        <v>524</v>
      </c>
      <c r="O409" s="6" t="s">
        <v>233</v>
      </c>
      <c r="P409" s="58">
        <v>168</v>
      </c>
      <c r="Q409" s="6" t="s">
        <v>240</v>
      </c>
      <c r="R409" s="118">
        <v>8.31</v>
      </c>
      <c r="S409" s="2">
        <v>181900</v>
      </c>
      <c r="T409" s="4">
        <v>0</v>
      </c>
      <c r="U409" s="4">
        <f t="shared" si="19"/>
        <v>0</v>
      </c>
      <c r="V409" s="3" t="s">
        <v>362</v>
      </c>
      <c r="W409" s="3">
        <v>2014</v>
      </c>
      <c r="X409" s="3" t="s">
        <v>12076</v>
      </c>
    </row>
    <row r="410" spans="1:24" ht="102">
      <c r="A410" s="3" t="s">
        <v>783</v>
      </c>
      <c r="B410" s="6" t="s">
        <v>361</v>
      </c>
      <c r="C410" s="6" t="s">
        <v>3195</v>
      </c>
      <c r="D410" s="6" t="s">
        <v>255</v>
      </c>
      <c r="E410" s="6" t="s">
        <v>11515</v>
      </c>
      <c r="F410" s="6" t="s">
        <v>3073</v>
      </c>
      <c r="G410" s="3" t="s">
        <v>11449</v>
      </c>
      <c r="H410" s="54">
        <v>0</v>
      </c>
      <c r="I410" s="16">
        <v>470000000</v>
      </c>
      <c r="J410" s="157" t="s">
        <v>229</v>
      </c>
      <c r="K410" s="5" t="s">
        <v>211</v>
      </c>
      <c r="L410" s="6" t="s">
        <v>231</v>
      </c>
      <c r="M410" s="3" t="s">
        <v>230</v>
      </c>
      <c r="N410" s="65" t="s">
        <v>524</v>
      </c>
      <c r="O410" s="6" t="s">
        <v>233</v>
      </c>
      <c r="P410" s="58">
        <v>168</v>
      </c>
      <c r="Q410" s="6" t="s">
        <v>240</v>
      </c>
      <c r="R410" s="118">
        <v>30.03</v>
      </c>
      <c r="S410" s="2">
        <v>189000</v>
      </c>
      <c r="T410" s="4">
        <v>0</v>
      </c>
      <c r="U410" s="4">
        <f t="shared" si="19"/>
        <v>0</v>
      </c>
      <c r="V410" s="3" t="s">
        <v>362</v>
      </c>
      <c r="W410" s="3">
        <v>2014</v>
      </c>
      <c r="X410" s="3" t="s">
        <v>11811</v>
      </c>
    </row>
    <row r="411" spans="1:24" ht="102">
      <c r="A411" s="3" t="s">
        <v>14153</v>
      </c>
      <c r="B411" s="6" t="s">
        <v>361</v>
      </c>
      <c r="C411" s="6" t="s">
        <v>14154</v>
      </c>
      <c r="D411" s="6" t="s">
        <v>255</v>
      </c>
      <c r="E411" s="6" t="s">
        <v>14155</v>
      </c>
      <c r="F411" s="6" t="s">
        <v>3073</v>
      </c>
      <c r="G411" s="3" t="s">
        <v>11449</v>
      </c>
      <c r="H411" s="54">
        <v>0</v>
      </c>
      <c r="I411" s="16">
        <v>470000000</v>
      </c>
      <c r="J411" s="157" t="s">
        <v>229</v>
      </c>
      <c r="K411" s="5" t="s">
        <v>211</v>
      </c>
      <c r="L411" s="6" t="s">
        <v>231</v>
      </c>
      <c r="M411" s="3" t="s">
        <v>230</v>
      </c>
      <c r="N411" s="65" t="s">
        <v>524</v>
      </c>
      <c r="O411" s="6" t="s">
        <v>233</v>
      </c>
      <c r="P411" s="58">
        <v>168</v>
      </c>
      <c r="Q411" s="6" t="s">
        <v>240</v>
      </c>
      <c r="R411" s="118">
        <v>30.03</v>
      </c>
      <c r="S411" s="2">
        <v>189000</v>
      </c>
      <c r="T411" s="4">
        <v>0</v>
      </c>
      <c r="U411" s="4">
        <f t="shared" si="19"/>
        <v>0</v>
      </c>
      <c r="V411" s="3" t="s">
        <v>362</v>
      </c>
      <c r="W411" s="3">
        <v>2014</v>
      </c>
      <c r="X411" s="3" t="s">
        <v>14132</v>
      </c>
    </row>
    <row r="412" spans="1:24" ht="102">
      <c r="A412" s="3" t="s">
        <v>14597</v>
      </c>
      <c r="B412" s="6" t="s">
        <v>361</v>
      </c>
      <c r="C412" s="6" t="s">
        <v>14154</v>
      </c>
      <c r="D412" s="6" t="s">
        <v>255</v>
      </c>
      <c r="E412" s="6" t="s">
        <v>14155</v>
      </c>
      <c r="F412" s="6" t="s">
        <v>3073</v>
      </c>
      <c r="G412" s="3" t="s">
        <v>11449</v>
      </c>
      <c r="H412" s="54">
        <v>0</v>
      </c>
      <c r="I412" s="16">
        <v>470000000</v>
      </c>
      <c r="J412" s="157" t="s">
        <v>229</v>
      </c>
      <c r="K412" s="5" t="s">
        <v>14662</v>
      </c>
      <c r="L412" s="6" t="s">
        <v>231</v>
      </c>
      <c r="M412" s="3" t="s">
        <v>230</v>
      </c>
      <c r="N412" s="65" t="s">
        <v>524</v>
      </c>
      <c r="O412" s="6" t="s">
        <v>233</v>
      </c>
      <c r="P412" s="58">
        <v>168</v>
      </c>
      <c r="Q412" s="6" t="s">
        <v>240</v>
      </c>
      <c r="R412" s="244">
        <v>2.8420000000000001</v>
      </c>
      <c r="S412" s="2">
        <v>226800</v>
      </c>
      <c r="T412" s="4">
        <v>0</v>
      </c>
      <c r="U412" s="4">
        <f t="shared" si="19"/>
        <v>0</v>
      </c>
      <c r="V412" s="3"/>
      <c r="W412" s="3">
        <v>2014</v>
      </c>
      <c r="X412" s="3" t="s">
        <v>17415</v>
      </c>
    </row>
    <row r="413" spans="1:24" ht="102">
      <c r="A413" s="3" t="s">
        <v>17422</v>
      </c>
      <c r="B413" s="6" t="s">
        <v>361</v>
      </c>
      <c r="C413" s="6" t="s">
        <v>14154</v>
      </c>
      <c r="D413" s="6" t="s">
        <v>255</v>
      </c>
      <c r="E413" s="6" t="s">
        <v>14155</v>
      </c>
      <c r="F413" s="6" t="s">
        <v>3073</v>
      </c>
      <c r="G413" s="3" t="s">
        <v>11450</v>
      </c>
      <c r="H413" s="54">
        <v>0</v>
      </c>
      <c r="I413" s="16">
        <v>470000000</v>
      </c>
      <c r="J413" s="157" t="s">
        <v>229</v>
      </c>
      <c r="K413" s="5" t="s">
        <v>17401</v>
      </c>
      <c r="L413" s="6" t="s">
        <v>231</v>
      </c>
      <c r="M413" s="3" t="s">
        <v>230</v>
      </c>
      <c r="N413" s="65" t="s">
        <v>528</v>
      </c>
      <c r="O413" s="6" t="s">
        <v>233</v>
      </c>
      <c r="P413" s="58">
        <v>168</v>
      </c>
      <c r="Q413" s="6" t="s">
        <v>240</v>
      </c>
      <c r="R413" s="244">
        <v>2.8420000000000023</v>
      </c>
      <c r="S413" s="2">
        <v>226800</v>
      </c>
      <c r="T413" s="4">
        <v>0</v>
      </c>
      <c r="U413" s="4">
        <f t="shared" si="19"/>
        <v>0</v>
      </c>
      <c r="V413" s="3" t="s">
        <v>362</v>
      </c>
      <c r="W413" s="3">
        <v>2014</v>
      </c>
      <c r="X413" s="3" t="s">
        <v>12076</v>
      </c>
    </row>
    <row r="414" spans="1:24" ht="102">
      <c r="A414" s="3" t="s">
        <v>784</v>
      </c>
      <c r="B414" s="6" t="s">
        <v>361</v>
      </c>
      <c r="C414" s="6" t="s">
        <v>3071</v>
      </c>
      <c r="D414" s="6" t="s">
        <v>255</v>
      </c>
      <c r="E414" s="6" t="s">
        <v>3072</v>
      </c>
      <c r="F414" s="6" t="s">
        <v>3047</v>
      </c>
      <c r="G414" s="3" t="s">
        <v>11449</v>
      </c>
      <c r="H414" s="54">
        <v>0</v>
      </c>
      <c r="I414" s="16">
        <v>470000000</v>
      </c>
      <c r="J414" s="157" t="s">
        <v>229</v>
      </c>
      <c r="K414" s="5" t="s">
        <v>215</v>
      </c>
      <c r="L414" s="6" t="s">
        <v>231</v>
      </c>
      <c r="M414" s="3" t="s">
        <v>230</v>
      </c>
      <c r="N414" s="65" t="s">
        <v>524</v>
      </c>
      <c r="O414" s="6" t="s">
        <v>233</v>
      </c>
      <c r="P414" s="58">
        <v>168</v>
      </c>
      <c r="Q414" s="6" t="s">
        <v>240</v>
      </c>
      <c r="R414" s="118">
        <v>67.8</v>
      </c>
      <c r="S414" s="2">
        <v>189000</v>
      </c>
      <c r="T414" s="4">
        <v>0</v>
      </c>
      <c r="U414" s="4">
        <f t="shared" si="19"/>
        <v>0</v>
      </c>
      <c r="V414" s="3" t="s">
        <v>362</v>
      </c>
      <c r="W414" s="3">
        <v>2014</v>
      </c>
      <c r="X414" s="3" t="s">
        <v>12051</v>
      </c>
    </row>
    <row r="415" spans="1:24" ht="102">
      <c r="A415" s="3" t="s">
        <v>14598</v>
      </c>
      <c r="B415" s="6" t="s">
        <v>361</v>
      </c>
      <c r="C415" s="6" t="s">
        <v>3071</v>
      </c>
      <c r="D415" s="6" t="s">
        <v>255</v>
      </c>
      <c r="E415" s="6" t="s">
        <v>3072</v>
      </c>
      <c r="F415" s="6" t="s">
        <v>3047</v>
      </c>
      <c r="G415" s="3" t="s">
        <v>11449</v>
      </c>
      <c r="H415" s="54">
        <v>0</v>
      </c>
      <c r="I415" s="16">
        <v>470000000</v>
      </c>
      <c r="J415" s="157" t="s">
        <v>229</v>
      </c>
      <c r="K415" s="5" t="s">
        <v>14662</v>
      </c>
      <c r="L415" s="6" t="s">
        <v>231</v>
      </c>
      <c r="M415" s="3" t="s">
        <v>230</v>
      </c>
      <c r="N415" s="65" t="s">
        <v>524</v>
      </c>
      <c r="O415" s="6" t="s">
        <v>233</v>
      </c>
      <c r="P415" s="58">
        <v>168</v>
      </c>
      <c r="Q415" s="6" t="s">
        <v>240</v>
      </c>
      <c r="R415" s="244">
        <v>123.666</v>
      </c>
      <c r="S415" s="1">
        <v>197873.6354373878</v>
      </c>
      <c r="T415" s="4">
        <v>0</v>
      </c>
      <c r="U415" s="4">
        <f t="shared" si="19"/>
        <v>0</v>
      </c>
      <c r="V415" s="3" t="s">
        <v>362</v>
      </c>
      <c r="W415" s="3">
        <v>2014</v>
      </c>
      <c r="X415" s="6" t="s">
        <v>17321</v>
      </c>
    </row>
    <row r="416" spans="1:24" ht="102">
      <c r="A416" s="3" t="s">
        <v>17428</v>
      </c>
      <c r="B416" s="6" t="s">
        <v>361</v>
      </c>
      <c r="C416" s="6" t="s">
        <v>3071</v>
      </c>
      <c r="D416" s="6" t="s">
        <v>255</v>
      </c>
      <c r="E416" s="6" t="s">
        <v>3072</v>
      </c>
      <c r="F416" s="6" t="s">
        <v>3047</v>
      </c>
      <c r="G416" s="3" t="s">
        <v>11449</v>
      </c>
      <c r="H416" s="54">
        <v>0</v>
      </c>
      <c r="I416" s="16">
        <v>470000000</v>
      </c>
      <c r="J416" s="157" t="s">
        <v>229</v>
      </c>
      <c r="K416" s="5" t="s">
        <v>9041</v>
      </c>
      <c r="L416" s="6" t="s">
        <v>231</v>
      </c>
      <c r="M416" s="3" t="s">
        <v>230</v>
      </c>
      <c r="N416" s="65" t="s">
        <v>521</v>
      </c>
      <c r="O416" s="6" t="s">
        <v>233</v>
      </c>
      <c r="P416" s="58">
        <v>168</v>
      </c>
      <c r="Q416" s="6" t="s">
        <v>240</v>
      </c>
      <c r="R416" s="244">
        <v>124.45981</v>
      </c>
      <c r="S416" s="1">
        <v>206000</v>
      </c>
      <c r="T416" s="4">
        <v>0</v>
      </c>
      <c r="U416" s="4">
        <f t="shared" si="19"/>
        <v>0</v>
      </c>
      <c r="V416" s="3" t="s">
        <v>362</v>
      </c>
      <c r="W416" s="3">
        <v>2014</v>
      </c>
      <c r="X416" s="6" t="s">
        <v>18756</v>
      </c>
    </row>
    <row r="417" spans="1:24" ht="102">
      <c r="A417" s="3" t="s">
        <v>18759</v>
      </c>
      <c r="B417" s="6" t="s">
        <v>361</v>
      </c>
      <c r="C417" s="6" t="s">
        <v>3071</v>
      </c>
      <c r="D417" s="6" t="s">
        <v>255</v>
      </c>
      <c r="E417" s="6" t="s">
        <v>3072</v>
      </c>
      <c r="F417" s="6" t="s">
        <v>3047</v>
      </c>
      <c r="G417" s="3" t="s">
        <v>11449</v>
      </c>
      <c r="H417" s="54">
        <v>0.35</v>
      </c>
      <c r="I417" s="16">
        <v>470000000</v>
      </c>
      <c r="J417" s="157" t="s">
        <v>229</v>
      </c>
      <c r="K417" s="5" t="s">
        <v>18748</v>
      </c>
      <c r="L417" s="6" t="s">
        <v>231</v>
      </c>
      <c r="M417" s="3" t="s">
        <v>230</v>
      </c>
      <c r="N417" s="65" t="s">
        <v>17921</v>
      </c>
      <c r="O417" s="6" t="s">
        <v>18749</v>
      </c>
      <c r="P417" s="58">
        <v>168</v>
      </c>
      <c r="Q417" s="6" t="s">
        <v>240</v>
      </c>
      <c r="R417" s="244">
        <v>197.79981000000001</v>
      </c>
      <c r="S417" s="1">
        <v>206000</v>
      </c>
      <c r="T417" s="4">
        <f>R417*S417</f>
        <v>40746760.859999999</v>
      </c>
      <c r="U417" s="4">
        <f t="shared" si="19"/>
        <v>45636372.163200006</v>
      </c>
      <c r="V417" s="3" t="s">
        <v>362</v>
      </c>
      <c r="W417" s="3">
        <v>2014</v>
      </c>
      <c r="X417" s="3"/>
    </row>
    <row r="418" spans="1:24" ht="102">
      <c r="A418" s="3" t="s">
        <v>785</v>
      </c>
      <c r="B418" s="6" t="s">
        <v>361</v>
      </c>
      <c r="C418" s="6" t="s">
        <v>11629</v>
      </c>
      <c r="D418" s="6" t="s">
        <v>255</v>
      </c>
      <c r="E418" s="6" t="s">
        <v>3095</v>
      </c>
      <c r="F418" s="6" t="s">
        <v>3094</v>
      </c>
      <c r="G418" s="3" t="s">
        <v>11449</v>
      </c>
      <c r="H418" s="54">
        <v>0</v>
      </c>
      <c r="I418" s="16">
        <v>470000000</v>
      </c>
      <c r="J418" s="157" t="s">
        <v>229</v>
      </c>
      <c r="K418" s="5" t="s">
        <v>215</v>
      </c>
      <c r="L418" s="6" t="s">
        <v>231</v>
      </c>
      <c r="M418" s="3" t="s">
        <v>230</v>
      </c>
      <c r="N418" s="65" t="s">
        <v>524</v>
      </c>
      <c r="O418" s="6" t="s">
        <v>233</v>
      </c>
      <c r="P418" s="58">
        <v>168</v>
      </c>
      <c r="Q418" s="6" t="s">
        <v>240</v>
      </c>
      <c r="R418" s="222">
        <v>17.649999999999999</v>
      </c>
      <c r="S418" s="2">
        <v>208650</v>
      </c>
      <c r="T418" s="4">
        <v>0</v>
      </c>
      <c r="U418" s="4">
        <f t="shared" si="19"/>
        <v>0</v>
      </c>
      <c r="V418" s="3" t="s">
        <v>362</v>
      </c>
      <c r="W418" s="3">
        <v>2014</v>
      </c>
      <c r="X418" s="3">
        <v>11.12</v>
      </c>
    </row>
    <row r="419" spans="1:24" ht="102">
      <c r="A419" s="3" t="s">
        <v>12136</v>
      </c>
      <c r="B419" s="6" t="s">
        <v>361</v>
      </c>
      <c r="C419" s="6" t="s">
        <v>11629</v>
      </c>
      <c r="D419" s="6" t="s">
        <v>255</v>
      </c>
      <c r="E419" s="6" t="s">
        <v>3095</v>
      </c>
      <c r="F419" s="6" t="s">
        <v>3094</v>
      </c>
      <c r="G419" s="3" t="s">
        <v>11449</v>
      </c>
      <c r="H419" s="54">
        <v>0</v>
      </c>
      <c r="I419" s="16">
        <v>470000000</v>
      </c>
      <c r="J419" s="157" t="s">
        <v>229</v>
      </c>
      <c r="K419" s="5" t="s">
        <v>217</v>
      </c>
      <c r="L419" s="17" t="s">
        <v>11411</v>
      </c>
      <c r="M419" s="3" t="s">
        <v>230</v>
      </c>
      <c r="N419" s="65" t="s">
        <v>524</v>
      </c>
      <c r="O419" s="6" t="s">
        <v>233</v>
      </c>
      <c r="P419" s="58">
        <v>168</v>
      </c>
      <c r="Q419" s="6" t="s">
        <v>240</v>
      </c>
      <c r="R419" s="222">
        <v>17.649999999999999</v>
      </c>
      <c r="S419" s="2">
        <v>208650</v>
      </c>
      <c r="T419" s="4">
        <v>0</v>
      </c>
      <c r="U419" s="4">
        <f t="shared" si="19"/>
        <v>0</v>
      </c>
      <c r="V419" s="3" t="s">
        <v>362</v>
      </c>
      <c r="W419" s="3">
        <v>2014</v>
      </c>
      <c r="X419" s="3" t="s">
        <v>14132</v>
      </c>
    </row>
    <row r="420" spans="1:24" ht="102">
      <c r="A420" s="3" t="s">
        <v>14600</v>
      </c>
      <c r="B420" s="6" t="s">
        <v>361</v>
      </c>
      <c r="C420" s="6" t="s">
        <v>11629</v>
      </c>
      <c r="D420" s="6" t="s">
        <v>255</v>
      </c>
      <c r="E420" s="6" t="s">
        <v>3095</v>
      </c>
      <c r="F420" s="6" t="s">
        <v>3094</v>
      </c>
      <c r="G420" s="3" t="s">
        <v>11449</v>
      </c>
      <c r="H420" s="54">
        <v>0</v>
      </c>
      <c r="I420" s="16">
        <v>470000000</v>
      </c>
      <c r="J420" s="157" t="s">
        <v>229</v>
      </c>
      <c r="K420" s="5" t="s">
        <v>14662</v>
      </c>
      <c r="L420" s="17" t="s">
        <v>11411</v>
      </c>
      <c r="M420" s="3" t="s">
        <v>230</v>
      </c>
      <c r="N420" s="65" t="s">
        <v>524</v>
      </c>
      <c r="O420" s="6" t="s">
        <v>233</v>
      </c>
      <c r="P420" s="58">
        <v>168</v>
      </c>
      <c r="Q420" s="6" t="s">
        <v>240</v>
      </c>
      <c r="R420" s="222">
        <v>3</v>
      </c>
      <c r="S420" s="2">
        <v>250380</v>
      </c>
      <c r="T420" s="4">
        <v>0</v>
      </c>
      <c r="U420" s="4">
        <f t="shared" si="19"/>
        <v>0</v>
      </c>
      <c r="V420" s="3" t="s">
        <v>362</v>
      </c>
      <c r="W420" s="3">
        <v>2014</v>
      </c>
      <c r="X420" s="3" t="s">
        <v>17399</v>
      </c>
    </row>
    <row r="421" spans="1:24" ht="102">
      <c r="A421" s="3" t="s">
        <v>17436</v>
      </c>
      <c r="B421" s="6" t="s">
        <v>361</v>
      </c>
      <c r="C421" s="6" t="s">
        <v>11629</v>
      </c>
      <c r="D421" s="6" t="s">
        <v>255</v>
      </c>
      <c r="E421" s="6" t="s">
        <v>3095</v>
      </c>
      <c r="F421" s="6" t="s">
        <v>3094</v>
      </c>
      <c r="G421" s="3" t="s">
        <v>11450</v>
      </c>
      <c r="H421" s="54">
        <v>0</v>
      </c>
      <c r="I421" s="16">
        <v>470000000</v>
      </c>
      <c r="J421" s="157" t="s">
        <v>229</v>
      </c>
      <c r="K421" s="5" t="s">
        <v>17401</v>
      </c>
      <c r="L421" s="17" t="s">
        <v>11411</v>
      </c>
      <c r="M421" s="3" t="s">
        <v>230</v>
      </c>
      <c r="N421" s="65" t="s">
        <v>528</v>
      </c>
      <c r="O421" s="6" t="s">
        <v>233</v>
      </c>
      <c r="P421" s="58">
        <v>168</v>
      </c>
      <c r="Q421" s="6" t="s">
        <v>240</v>
      </c>
      <c r="R421" s="222">
        <v>3</v>
      </c>
      <c r="S421" s="2">
        <v>250380</v>
      </c>
      <c r="T421" s="4">
        <v>0</v>
      </c>
      <c r="U421" s="4">
        <f t="shared" si="19"/>
        <v>0</v>
      </c>
      <c r="V421" s="3" t="s">
        <v>362</v>
      </c>
      <c r="W421" s="3">
        <v>2014</v>
      </c>
      <c r="X421" s="3" t="s">
        <v>12076</v>
      </c>
    </row>
    <row r="422" spans="1:24" ht="102">
      <c r="A422" s="3" t="s">
        <v>786</v>
      </c>
      <c r="B422" s="6" t="s">
        <v>361</v>
      </c>
      <c r="C422" s="6" t="s">
        <v>3096</v>
      </c>
      <c r="D422" s="6" t="s">
        <v>255</v>
      </c>
      <c r="E422" s="6" t="s">
        <v>3097</v>
      </c>
      <c r="F422" s="6" t="s">
        <v>63</v>
      </c>
      <c r="G422" s="3" t="s">
        <v>11449</v>
      </c>
      <c r="H422" s="54">
        <v>0</v>
      </c>
      <c r="I422" s="16">
        <v>470000000</v>
      </c>
      <c r="J422" s="157" t="s">
        <v>229</v>
      </c>
      <c r="K422" s="5" t="s">
        <v>214</v>
      </c>
      <c r="L422" s="6" t="s">
        <v>231</v>
      </c>
      <c r="M422" s="3" t="s">
        <v>230</v>
      </c>
      <c r="N422" s="65" t="s">
        <v>524</v>
      </c>
      <c r="O422" s="6" t="s">
        <v>233</v>
      </c>
      <c r="P422" s="58">
        <v>168</v>
      </c>
      <c r="Q422" s="6" t="s">
        <v>240</v>
      </c>
      <c r="R422" s="222">
        <v>55.87</v>
      </c>
      <c r="S422" s="2">
        <v>190460</v>
      </c>
      <c r="T422" s="4">
        <v>0</v>
      </c>
      <c r="U422" s="4">
        <f t="shared" si="19"/>
        <v>0</v>
      </c>
      <c r="V422" s="3" t="s">
        <v>362</v>
      </c>
      <c r="W422" s="3">
        <v>2014</v>
      </c>
      <c r="X422" s="3">
        <v>11.12</v>
      </c>
    </row>
    <row r="423" spans="1:24" ht="102">
      <c r="A423" s="3" t="s">
        <v>11839</v>
      </c>
      <c r="B423" s="6" t="s">
        <v>361</v>
      </c>
      <c r="C423" s="6" t="s">
        <v>3096</v>
      </c>
      <c r="D423" s="6" t="s">
        <v>255</v>
      </c>
      <c r="E423" s="6" t="s">
        <v>3097</v>
      </c>
      <c r="F423" s="6" t="s">
        <v>63</v>
      </c>
      <c r="G423" s="3" t="s">
        <v>11449</v>
      </c>
      <c r="H423" s="54">
        <v>0</v>
      </c>
      <c r="I423" s="16">
        <v>470000000</v>
      </c>
      <c r="J423" s="157" t="s">
        <v>229</v>
      </c>
      <c r="K423" s="5" t="s">
        <v>210</v>
      </c>
      <c r="L423" s="17" t="s">
        <v>11411</v>
      </c>
      <c r="M423" s="3" t="s">
        <v>230</v>
      </c>
      <c r="N423" s="65" t="s">
        <v>524</v>
      </c>
      <c r="O423" s="6" t="s">
        <v>233</v>
      </c>
      <c r="P423" s="58">
        <v>168</v>
      </c>
      <c r="Q423" s="6" t="s">
        <v>240</v>
      </c>
      <c r="R423" s="222">
        <v>55.87</v>
      </c>
      <c r="S423" s="2">
        <v>190460</v>
      </c>
      <c r="T423" s="4">
        <v>0</v>
      </c>
      <c r="U423" s="4">
        <f t="shared" si="19"/>
        <v>0</v>
      </c>
      <c r="V423" s="3" t="s">
        <v>362</v>
      </c>
      <c r="W423" s="3">
        <v>2014</v>
      </c>
      <c r="X423" s="3" t="s">
        <v>12051</v>
      </c>
    </row>
    <row r="424" spans="1:24" ht="102">
      <c r="A424" s="3" t="s">
        <v>14601</v>
      </c>
      <c r="B424" s="6" t="s">
        <v>361</v>
      </c>
      <c r="C424" s="6" t="s">
        <v>3096</v>
      </c>
      <c r="D424" s="6" t="s">
        <v>255</v>
      </c>
      <c r="E424" s="6" t="s">
        <v>3097</v>
      </c>
      <c r="F424" s="6" t="s">
        <v>63</v>
      </c>
      <c r="G424" s="3" t="s">
        <v>11449</v>
      </c>
      <c r="H424" s="54">
        <v>0</v>
      </c>
      <c r="I424" s="16">
        <v>470000000</v>
      </c>
      <c r="J424" s="157" t="s">
        <v>229</v>
      </c>
      <c r="K424" s="5" t="s">
        <v>14662</v>
      </c>
      <c r="L424" s="17" t="s">
        <v>11411</v>
      </c>
      <c r="M424" s="3" t="s">
        <v>230</v>
      </c>
      <c r="N424" s="65" t="s">
        <v>524</v>
      </c>
      <c r="O424" s="6" t="s">
        <v>233</v>
      </c>
      <c r="P424" s="58">
        <v>168</v>
      </c>
      <c r="Q424" s="6" t="s">
        <v>240</v>
      </c>
      <c r="R424" s="222">
        <v>27.73</v>
      </c>
      <c r="S424" s="2">
        <v>228552</v>
      </c>
      <c r="T424" s="4">
        <v>0</v>
      </c>
      <c r="U424" s="4">
        <f t="shared" si="19"/>
        <v>0</v>
      </c>
      <c r="V424" s="3" t="s">
        <v>362</v>
      </c>
      <c r="W424" s="3">
        <v>2014</v>
      </c>
      <c r="X424" s="3" t="s">
        <v>17399</v>
      </c>
    </row>
    <row r="425" spans="1:24" ht="102">
      <c r="A425" s="3" t="s">
        <v>17465</v>
      </c>
      <c r="B425" s="6" t="s">
        <v>361</v>
      </c>
      <c r="C425" s="6" t="s">
        <v>3096</v>
      </c>
      <c r="D425" s="6" t="s">
        <v>255</v>
      </c>
      <c r="E425" s="6" t="s">
        <v>3097</v>
      </c>
      <c r="F425" s="6" t="s">
        <v>63</v>
      </c>
      <c r="G425" s="3" t="s">
        <v>11450</v>
      </c>
      <c r="H425" s="54">
        <v>0</v>
      </c>
      <c r="I425" s="16">
        <v>470000000</v>
      </c>
      <c r="J425" s="157" t="s">
        <v>229</v>
      </c>
      <c r="K425" s="5" t="s">
        <v>17401</v>
      </c>
      <c r="L425" s="17" t="s">
        <v>11411</v>
      </c>
      <c r="M425" s="3" t="s">
        <v>230</v>
      </c>
      <c r="N425" s="65" t="s">
        <v>521</v>
      </c>
      <c r="O425" s="6" t="s">
        <v>233</v>
      </c>
      <c r="P425" s="58">
        <v>168</v>
      </c>
      <c r="Q425" s="6" t="s">
        <v>240</v>
      </c>
      <c r="R425" s="222">
        <v>27.730000000000004</v>
      </c>
      <c r="S425" s="2">
        <v>228552</v>
      </c>
      <c r="T425" s="4">
        <v>0</v>
      </c>
      <c r="U425" s="4">
        <f t="shared" si="19"/>
        <v>0</v>
      </c>
      <c r="V425" s="3" t="s">
        <v>362</v>
      </c>
      <c r="W425" s="3">
        <v>2014</v>
      </c>
      <c r="X425" s="3" t="s">
        <v>18943</v>
      </c>
    </row>
    <row r="426" spans="1:24" ht="102">
      <c r="A426" s="3" t="s">
        <v>18950</v>
      </c>
      <c r="B426" s="6" t="s">
        <v>361</v>
      </c>
      <c r="C426" s="6" t="s">
        <v>3096</v>
      </c>
      <c r="D426" s="6" t="s">
        <v>255</v>
      </c>
      <c r="E426" s="6" t="s">
        <v>3097</v>
      </c>
      <c r="F426" s="6" t="s">
        <v>63</v>
      </c>
      <c r="G426" s="3" t="s">
        <v>11450</v>
      </c>
      <c r="H426" s="54">
        <v>0.35</v>
      </c>
      <c r="I426" s="16">
        <v>470000000</v>
      </c>
      <c r="J426" s="157" t="s">
        <v>229</v>
      </c>
      <c r="K426" s="5" t="s">
        <v>9369</v>
      </c>
      <c r="L426" s="17" t="s">
        <v>11411</v>
      </c>
      <c r="M426" s="3" t="s">
        <v>230</v>
      </c>
      <c r="N426" s="65" t="s">
        <v>521</v>
      </c>
      <c r="O426" s="6" t="s">
        <v>18864</v>
      </c>
      <c r="P426" s="58">
        <v>168</v>
      </c>
      <c r="Q426" s="6" t="s">
        <v>240</v>
      </c>
      <c r="R426" s="222">
        <v>27.730000000000004</v>
      </c>
      <c r="S426" s="2">
        <v>228552</v>
      </c>
      <c r="T426" s="4">
        <f>R426*S426</f>
        <v>6337746.9600000009</v>
      </c>
      <c r="U426" s="4">
        <f t="shared" si="19"/>
        <v>7098276.5952000013</v>
      </c>
      <c r="V426" s="3" t="s">
        <v>362</v>
      </c>
      <c r="W426" s="3">
        <v>2014</v>
      </c>
      <c r="X426" s="3"/>
    </row>
    <row r="427" spans="1:24" ht="102">
      <c r="A427" s="3" t="s">
        <v>787</v>
      </c>
      <c r="B427" s="6" t="s">
        <v>361</v>
      </c>
      <c r="C427" s="6" t="s">
        <v>3098</v>
      </c>
      <c r="D427" s="6" t="s">
        <v>255</v>
      </c>
      <c r="E427" s="6" t="s">
        <v>3099</v>
      </c>
      <c r="F427" s="6" t="s">
        <v>64</v>
      </c>
      <c r="G427" s="3" t="s">
        <v>11449</v>
      </c>
      <c r="H427" s="54">
        <v>0</v>
      </c>
      <c r="I427" s="16">
        <v>470000000</v>
      </c>
      <c r="J427" s="157" t="s">
        <v>229</v>
      </c>
      <c r="K427" s="5" t="s">
        <v>214</v>
      </c>
      <c r="L427" s="6" t="s">
        <v>231</v>
      </c>
      <c r="M427" s="3" t="s">
        <v>230</v>
      </c>
      <c r="N427" s="65" t="s">
        <v>524</v>
      </c>
      <c r="O427" s="6" t="s">
        <v>233</v>
      </c>
      <c r="P427" s="58">
        <v>168</v>
      </c>
      <c r="Q427" s="6" t="s">
        <v>240</v>
      </c>
      <c r="R427" s="222">
        <v>85</v>
      </c>
      <c r="S427" s="2">
        <v>218280</v>
      </c>
      <c r="T427" s="4">
        <v>0</v>
      </c>
      <c r="U427" s="4">
        <f t="shared" si="19"/>
        <v>0</v>
      </c>
      <c r="V427" s="3" t="s">
        <v>362</v>
      </c>
      <c r="W427" s="3">
        <v>2014</v>
      </c>
      <c r="X427" s="3">
        <v>11.12</v>
      </c>
    </row>
    <row r="428" spans="1:24" ht="89.25">
      <c r="A428" s="3" t="s">
        <v>11840</v>
      </c>
      <c r="B428" s="6" t="s">
        <v>361</v>
      </c>
      <c r="C428" s="6" t="s">
        <v>3098</v>
      </c>
      <c r="D428" s="6" t="s">
        <v>255</v>
      </c>
      <c r="E428" s="6" t="s">
        <v>3099</v>
      </c>
      <c r="F428" s="6" t="s">
        <v>64</v>
      </c>
      <c r="G428" s="3" t="s">
        <v>11449</v>
      </c>
      <c r="H428" s="54">
        <v>0</v>
      </c>
      <c r="I428" s="16">
        <v>470000000</v>
      </c>
      <c r="J428" s="157" t="s">
        <v>229</v>
      </c>
      <c r="K428" s="5" t="s">
        <v>210</v>
      </c>
      <c r="L428" s="17" t="s">
        <v>11411</v>
      </c>
      <c r="M428" s="3" t="s">
        <v>230</v>
      </c>
      <c r="N428" s="65" t="s">
        <v>524</v>
      </c>
      <c r="O428" s="6" t="s">
        <v>233</v>
      </c>
      <c r="P428" s="58">
        <v>168</v>
      </c>
      <c r="Q428" s="6" t="s">
        <v>240</v>
      </c>
      <c r="R428" s="222">
        <v>85</v>
      </c>
      <c r="S428" s="2">
        <v>218280</v>
      </c>
      <c r="T428" s="4">
        <v>0</v>
      </c>
      <c r="U428" s="4">
        <f t="shared" si="19"/>
        <v>0</v>
      </c>
      <c r="V428" s="3" t="s">
        <v>362</v>
      </c>
      <c r="W428" s="3">
        <v>2014</v>
      </c>
      <c r="X428" s="3" t="s">
        <v>12051</v>
      </c>
    </row>
    <row r="429" spans="1:24" ht="89.25">
      <c r="A429" s="3" t="s">
        <v>14603</v>
      </c>
      <c r="B429" s="6" t="s">
        <v>361</v>
      </c>
      <c r="C429" s="6" t="s">
        <v>3098</v>
      </c>
      <c r="D429" s="6" t="s">
        <v>255</v>
      </c>
      <c r="E429" s="6" t="s">
        <v>3099</v>
      </c>
      <c r="F429" s="6" t="s">
        <v>64</v>
      </c>
      <c r="G429" s="3" t="s">
        <v>11449</v>
      </c>
      <c r="H429" s="54">
        <v>0</v>
      </c>
      <c r="I429" s="16">
        <v>470000000</v>
      </c>
      <c r="J429" s="157" t="s">
        <v>229</v>
      </c>
      <c r="K429" s="5" t="s">
        <v>14662</v>
      </c>
      <c r="L429" s="17" t="s">
        <v>11411</v>
      </c>
      <c r="M429" s="3" t="s">
        <v>230</v>
      </c>
      <c r="N429" s="65" t="s">
        <v>524</v>
      </c>
      <c r="O429" s="6" t="s">
        <v>233</v>
      </c>
      <c r="P429" s="58">
        <v>168</v>
      </c>
      <c r="Q429" s="6" t="s">
        <v>240</v>
      </c>
      <c r="R429" s="246">
        <v>124.63200000000001</v>
      </c>
      <c r="S429" s="2">
        <v>218280</v>
      </c>
      <c r="T429" s="4">
        <v>0</v>
      </c>
      <c r="U429" s="4">
        <f t="shared" si="19"/>
        <v>0</v>
      </c>
      <c r="V429" s="3" t="s">
        <v>362</v>
      </c>
      <c r="W429" s="3">
        <v>2014</v>
      </c>
      <c r="X429" s="6" t="s">
        <v>16521</v>
      </c>
    </row>
    <row r="430" spans="1:24" ht="89.25">
      <c r="A430" s="3" t="s">
        <v>17466</v>
      </c>
      <c r="B430" s="6" t="s">
        <v>361</v>
      </c>
      <c r="C430" s="6" t="s">
        <v>3098</v>
      </c>
      <c r="D430" s="6" t="s">
        <v>255</v>
      </c>
      <c r="E430" s="6" t="s">
        <v>3099</v>
      </c>
      <c r="F430" s="6" t="s">
        <v>64</v>
      </c>
      <c r="G430" s="3" t="s">
        <v>11449</v>
      </c>
      <c r="H430" s="54">
        <v>0</v>
      </c>
      <c r="I430" s="16">
        <v>470000000</v>
      </c>
      <c r="J430" s="157" t="s">
        <v>229</v>
      </c>
      <c r="K430" s="5" t="s">
        <v>8309</v>
      </c>
      <c r="L430" s="17" t="s">
        <v>11411</v>
      </c>
      <c r="M430" s="3" t="s">
        <v>230</v>
      </c>
      <c r="N430" s="65" t="s">
        <v>521</v>
      </c>
      <c r="O430" s="6" t="s">
        <v>233</v>
      </c>
      <c r="P430" s="58">
        <v>168</v>
      </c>
      <c r="Q430" s="6" t="s">
        <v>240</v>
      </c>
      <c r="R430" s="246">
        <v>124.63200000000001</v>
      </c>
      <c r="S430" s="2">
        <v>206000</v>
      </c>
      <c r="T430" s="4">
        <v>0</v>
      </c>
      <c r="U430" s="4">
        <f t="shared" si="19"/>
        <v>0</v>
      </c>
      <c r="V430" s="3" t="s">
        <v>362</v>
      </c>
      <c r="W430" s="3">
        <v>2014</v>
      </c>
      <c r="X430" s="3">
        <v>11.22</v>
      </c>
    </row>
    <row r="431" spans="1:24" ht="89.25">
      <c r="A431" s="3" t="s">
        <v>19068</v>
      </c>
      <c r="B431" s="6" t="s">
        <v>361</v>
      </c>
      <c r="C431" s="6" t="s">
        <v>3098</v>
      </c>
      <c r="D431" s="6" t="s">
        <v>255</v>
      </c>
      <c r="E431" s="6" t="s">
        <v>3099</v>
      </c>
      <c r="F431" s="6" t="s">
        <v>64</v>
      </c>
      <c r="G431" s="3" t="s">
        <v>11449</v>
      </c>
      <c r="H431" s="54">
        <v>0</v>
      </c>
      <c r="I431" s="16">
        <v>470000000</v>
      </c>
      <c r="J431" s="157" t="s">
        <v>229</v>
      </c>
      <c r="K431" s="5" t="s">
        <v>18748</v>
      </c>
      <c r="L431" s="17" t="s">
        <v>11411</v>
      </c>
      <c r="M431" s="3" t="s">
        <v>230</v>
      </c>
      <c r="N431" s="65" t="s">
        <v>521</v>
      </c>
      <c r="O431" s="6" t="s">
        <v>233</v>
      </c>
      <c r="P431" s="58">
        <v>168</v>
      </c>
      <c r="Q431" s="6" t="s">
        <v>240</v>
      </c>
      <c r="R431" s="246">
        <v>124.63200000000001</v>
      </c>
      <c r="S431" s="2">
        <v>206000</v>
      </c>
      <c r="T431" s="4">
        <f>R431*S431</f>
        <v>25674192</v>
      </c>
      <c r="U431" s="4">
        <f t="shared" ref="U431" si="21">T431*1.12</f>
        <v>28755095.040000003</v>
      </c>
      <c r="V431" s="3"/>
      <c r="W431" s="3">
        <v>2014</v>
      </c>
      <c r="X431" s="3"/>
    </row>
    <row r="432" spans="1:24" ht="102">
      <c r="A432" s="3" t="s">
        <v>788</v>
      </c>
      <c r="B432" s="6" t="s">
        <v>361</v>
      </c>
      <c r="C432" s="6" t="s">
        <v>3108</v>
      </c>
      <c r="D432" s="6" t="s">
        <v>255</v>
      </c>
      <c r="E432" s="6" t="s">
        <v>3109</v>
      </c>
      <c r="F432" s="6" t="s">
        <v>65</v>
      </c>
      <c r="G432" s="3" t="s">
        <v>11449</v>
      </c>
      <c r="H432" s="54">
        <v>0</v>
      </c>
      <c r="I432" s="16">
        <v>470000000</v>
      </c>
      <c r="J432" s="157" t="s">
        <v>229</v>
      </c>
      <c r="K432" s="5" t="s">
        <v>214</v>
      </c>
      <c r="L432" s="6" t="s">
        <v>231</v>
      </c>
      <c r="M432" s="3" t="s">
        <v>230</v>
      </c>
      <c r="N432" s="65" t="s">
        <v>524</v>
      </c>
      <c r="O432" s="6" t="s">
        <v>233</v>
      </c>
      <c r="P432" s="58">
        <v>168</v>
      </c>
      <c r="Q432" s="6" t="s">
        <v>240</v>
      </c>
      <c r="R432" s="222">
        <v>25</v>
      </c>
      <c r="S432" s="2">
        <v>206510</v>
      </c>
      <c r="T432" s="4">
        <v>0</v>
      </c>
      <c r="U432" s="4">
        <f t="shared" si="19"/>
        <v>0</v>
      </c>
      <c r="V432" s="3" t="s">
        <v>362</v>
      </c>
      <c r="W432" s="3">
        <v>2014</v>
      </c>
      <c r="X432" s="3">
        <v>11.12</v>
      </c>
    </row>
    <row r="433" spans="1:24" ht="89.25">
      <c r="A433" s="3" t="s">
        <v>11841</v>
      </c>
      <c r="B433" s="6" t="s">
        <v>361</v>
      </c>
      <c r="C433" s="6" t="s">
        <v>3108</v>
      </c>
      <c r="D433" s="6" t="s">
        <v>255</v>
      </c>
      <c r="E433" s="6" t="s">
        <v>3109</v>
      </c>
      <c r="F433" s="6" t="s">
        <v>65</v>
      </c>
      <c r="G433" s="3" t="s">
        <v>11449</v>
      </c>
      <c r="H433" s="54">
        <v>0</v>
      </c>
      <c r="I433" s="16">
        <v>470000000</v>
      </c>
      <c r="J433" s="157" t="s">
        <v>229</v>
      </c>
      <c r="K433" s="5" t="s">
        <v>210</v>
      </c>
      <c r="L433" s="17" t="s">
        <v>11411</v>
      </c>
      <c r="M433" s="3" t="s">
        <v>230</v>
      </c>
      <c r="N433" s="65" t="s">
        <v>524</v>
      </c>
      <c r="O433" s="6" t="s">
        <v>233</v>
      </c>
      <c r="P433" s="58">
        <v>168</v>
      </c>
      <c r="Q433" s="6" t="s">
        <v>240</v>
      </c>
      <c r="R433" s="222">
        <v>25</v>
      </c>
      <c r="S433" s="2">
        <v>206510</v>
      </c>
      <c r="T433" s="4">
        <v>0</v>
      </c>
      <c r="U433" s="4">
        <f t="shared" si="19"/>
        <v>0</v>
      </c>
      <c r="V433" s="3" t="s">
        <v>362</v>
      </c>
      <c r="W433" s="3">
        <v>2014</v>
      </c>
      <c r="X433" s="3" t="s">
        <v>11811</v>
      </c>
    </row>
    <row r="434" spans="1:24" ht="89.25">
      <c r="A434" s="3" t="s">
        <v>14156</v>
      </c>
      <c r="B434" s="6" t="s">
        <v>361</v>
      </c>
      <c r="C434" s="6" t="s">
        <v>14157</v>
      </c>
      <c r="D434" s="6" t="s">
        <v>255</v>
      </c>
      <c r="E434" s="6" t="s">
        <v>14158</v>
      </c>
      <c r="F434" s="6" t="s">
        <v>65</v>
      </c>
      <c r="G434" s="3" t="s">
        <v>11449</v>
      </c>
      <c r="H434" s="54">
        <v>0</v>
      </c>
      <c r="I434" s="16">
        <v>470000000</v>
      </c>
      <c r="J434" s="157" t="s">
        <v>229</v>
      </c>
      <c r="K434" s="5" t="s">
        <v>210</v>
      </c>
      <c r="L434" s="17" t="s">
        <v>11411</v>
      </c>
      <c r="M434" s="3" t="s">
        <v>230</v>
      </c>
      <c r="N434" s="65" t="s">
        <v>524</v>
      </c>
      <c r="O434" s="6" t="s">
        <v>233</v>
      </c>
      <c r="P434" s="58">
        <v>168</v>
      </c>
      <c r="Q434" s="6" t="s">
        <v>240</v>
      </c>
      <c r="R434" s="222">
        <v>25</v>
      </c>
      <c r="S434" s="2">
        <v>206510</v>
      </c>
      <c r="T434" s="4">
        <v>0</v>
      </c>
      <c r="U434" s="4">
        <f t="shared" si="19"/>
        <v>0</v>
      </c>
      <c r="V434" s="3" t="s">
        <v>362</v>
      </c>
      <c r="W434" s="3">
        <v>2014</v>
      </c>
      <c r="X434" s="3" t="s">
        <v>12051</v>
      </c>
    </row>
    <row r="435" spans="1:24" ht="89.25">
      <c r="A435" s="3" t="s">
        <v>16359</v>
      </c>
      <c r="B435" s="6" t="s">
        <v>361</v>
      </c>
      <c r="C435" s="6" t="s">
        <v>14157</v>
      </c>
      <c r="D435" s="6" t="s">
        <v>255</v>
      </c>
      <c r="E435" s="6" t="s">
        <v>14158</v>
      </c>
      <c r="F435" s="6" t="s">
        <v>65</v>
      </c>
      <c r="G435" s="3" t="s">
        <v>11449</v>
      </c>
      <c r="H435" s="54">
        <v>0</v>
      </c>
      <c r="I435" s="16">
        <v>470000000</v>
      </c>
      <c r="J435" s="157" t="s">
        <v>229</v>
      </c>
      <c r="K435" s="5" t="s">
        <v>14662</v>
      </c>
      <c r="L435" s="17" t="s">
        <v>11411</v>
      </c>
      <c r="M435" s="3" t="s">
        <v>230</v>
      </c>
      <c r="N435" s="65" t="s">
        <v>524</v>
      </c>
      <c r="O435" s="6" t="s">
        <v>233</v>
      </c>
      <c r="P435" s="58">
        <v>168</v>
      </c>
      <c r="Q435" s="6" t="s">
        <v>240</v>
      </c>
      <c r="R435" s="222">
        <v>60.74</v>
      </c>
      <c r="S435" s="2">
        <v>206510</v>
      </c>
      <c r="T435" s="4">
        <v>0</v>
      </c>
      <c r="U435" s="4">
        <f t="shared" si="19"/>
        <v>0</v>
      </c>
      <c r="V435" s="3" t="s">
        <v>362</v>
      </c>
      <c r="W435" s="3">
        <v>2014</v>
      </c>
      <c r="X435" s="3" t="s">
        <v>14780</v>
      </c>
    </row>
    <row r="436" spans="1:24" ht="89.25">
      <c r="A436" s="3" t="s">
        <v>17467</v>
      </c>
      <c r="B436" s="6" t="s">
        <v>361</v>
      </c>
      <c r="C436" s="6" t="s">
        <v>14157</v>
      </c>
      <c r="D436" s="6" t="s">
        <v>255</v>
      </c>
      <c r="E436" s="6" t="s">
        <v>14158</v>
      </c>
      <c r="F436" s="6" t="s">
        <v>65</v>
      </c>
      <c r="G436" s="3" t="s">
        <v>11449</v>
      </c>
      <c r="H436" s="54">
        <v>0</v>
      </c>
      <c r="I436" s="16">
        <v>470000000</v>
      </c>
      <c r="J436" s="157" t="s">
        <v>229</v>
      </c>
      <c r="K436" s="5" t="s">
        <v>17401</v>
      </c>
      <c r="L436" s="17" t="s">
        <v>11411</v>
      </c>
      <c r="M436" s="3" t="s">
        <v>230</v>
      </c>
      <c r="N436" s="65" t="s">
        <v>524</v>
      </c>
      <c r="O436" s="6" t="s">
        <v>233</v>
      </c>
      <c r="P436" s="58">
        <v>168</v>
      </c>
      <c r="Q436" s="6" t="s">
        <v>240</v>
      </c>
      <c r="R436" s="222">
        <v>61</v>
      </c>
      <c r="S436" s="2">
        <v>206510</v>
      </c>
      <c r="T436" s="4">
        <v>0</v>
      </c>
      <c r="U436" s="4">
        <f t="shared" si="19"/>
        <v>0</v>
      </c>
      <c r="V436" s="3" t="s">
        <v>362</v>
      </c>
      <c r="W436" s="3">
        <v>2014</v>
      </c>
      <c r="X436" s="3">
        <v>11.22</v>
      </c>
    </row>
    <row r="437" spans="1:24" ht="89.25">
      <c r="A437" s="3" t="s">
        <v>19075</v>
      </c>
      <c r="B437" s="6" t="s">
        <v>361</v>
      </c>
      <c r="C437" s="6" t="s">
        <v>14157</v>
      </c>
      <c r="D437" s="6" t="s">
        <v>255</v>
      </c>
      <c r="E437" s="6" t="s">
        <v>14158</v>
      </c>
      <c r="F437" s="6" t="s">
        <v>65</v>
      </c>
      <c r="G437" s="3" t="s">
        <v>11449</v>
      </c>
      <c r="H437" s="54">
        <v>0</v>
      </c>
      <c r="I437" s="16">
        <v>470000000</v>
      </c>
      <c r="J437" s="157" t="s">
        <v>229</v>
      </c>
      <c r="K437" s="5" t="s">
        <v>18748</v>
      </c>
      <c r="L437" s="17" t="s">
        <v>11411</v>
      </c>
      <c r="M437" s="3" t="s">
        <v>230</v>
      </c>
      <c r="N437" s="65" t="s">
        <v>524</v>
      </c>
      <c r="O437" s="6" t="s">
        <v>233</v>
      </c>
      <c r="P437" s="58">
        <v>168</v>
      </c>
      <c r="Q437" s="6" t="s">
        <v>240</v>
      </c>
      <c r="R437" s="222">
        <v>61</v>
      </c>
      <c r="S437" s="2">
        <v>206510</v>
      </c>
      <c r="T437" s="4">
        <f>R437*S437</f>
        <v>12597110</v>
      </c>
      <c r="U437" s="4">
        <f t="shared" ref="U437" si="22">T437*1.12</f>
        <v>14108763.200000001</v>
      </c>
      <c r="V437" s="3"/>
      <c r="W437" s="3">
        <v>2014</v>
      </c>
      <c r="X437" s="3"/>
    </row>
    <row r="438" spans="1:24" ht="102">
      <c r="A438" s="3" t="s">
        <v>789</v>
      </c>
      <c r="B438" s="6" t="s">
        <v>361</v>
      </c>
      <c r="C438" s="6" t="s">
        <v>3110</v>
      </c>
      <c r="D438" s="6" t="s">
        <v>255</v>
      </c>
      <c r="E438" s="6" t="s">
        <v>3109</v>
      </c>
      <c r="F438" s="6" t="s">
        <v>66</v>
      </c>
      <c r="G438" s="3" t="s">
        <v>11449</v>
      </c>
      <c r="H438" s="54">
        <v>0</v>
      </c>
      <c r="I438" s="16">
        <v>470000000</v>
      </c>
      <c r="J438" s="157" t="s">
        <v>229</v>
      </c>
      <c r="K438" s="5" t="s">
        <v>214</v>
      </c>
      <c r="L438" s="6" t="s">
        <v>231</v>
      </c>
      <c r="M438" s="3" t="s">
        <v>230</v>
      </c>
      <c r="N438" s="65" t="s">
        <v>524</v>
      </c>
      <c r="O438" s="6" t="s">
        <v>233</v>
      </c>
      <c r="P438" s="58">
        <v>168</v>
      </c>
      <c r="Q438" s="6" t="s">
        <v>240</v>
      </c>
      <c r="R438" s="222">
        <v>45</v>
      </c>
      <c r="S438" s="2">
        <v>184040</v>
      </c>
      <c r="T438" s="4">
        <v>0</v>
      </c>
      <c r="U438" s="4">
        <f t="shared" si="19"/>
        <v>0</v>
      </c>
      <c r="V438" s="3" t="s">
        <v>362</v>
      </c>
      <c r="W438" s="3">
        <v>2014</v>
      </c>
      <c r="X438" s="3">
        <v>11.12</v>
      </c>
    </row>
    <row r="439" spans="1:24" ht="89.25">
      <c r="A439" s="3" t="s">
        <v>11842</v>
      </c>
      <c r="B439" s="6" t="s">
        <v>361</v>
      </c>
      <c r="C439" s="6" t="s">
        <v>3110</v>
      </c>
      <c r="D439" s="6" t="s">
        <v>255</v>
      </c>
      <c r="E439" s="6" t="s">
        <v>3109</v>
      </c>
      <c r="F439" s="6" t="s">
        <v>66</v>
      </c>
      <c r="G439" s="3" t="s">
        <v>11449</v>
      </c>
      <c r="H439" s="54">
        <v>0</v>
      </c>
      <c r="I439" s="16">
        <v>470000000</v>
      </c>
      <c r="J439" s="157" t="s">
        <v>229</v>
      </c>
      <c r="K439" s="5" t="s">
        <v>210</v>
      </c>
      <c r="L439" s="17" t="s">
        <v>11411</v>
      </c>
      <c r="M439" s="3" t="s">
        <v>230</v>
      </c>
      <c r="N439" s="65" t="s">
        <v>524</v>
      </c>
      <c r="O439" s="6" t="s">
        <v>233</v>
      </c>
      <c r="P439" s="58">
        <v>168</v>
      </c>
      <c r="Q439" s="6" t="s">
        <v>240</v>
      </c>
      <c r="R439" s="222">
        <v>45</v>
      </c>
      <c r="S439" s="2">
        <v>184040</v>
      </c>
      <c r="T439" s="4">
        <v>0</v>
      </c>
      <c r="U439" s="4">
        <f t="shared" si="19"/>
        <v>0</v>
      </c>
      <c r="V439" s="3" t="s">
        <v>362</v>
      </c>
      <c r="W439" s="3">
        <v>2014</v>
      </c>
      <c r="X439" s="3" t="s">
        <v>11811</v>
      </c>
    </row>
    <row r="440" spans="1:24" ht="89.25">
      <c r="A440" s="3" t="s">
        <v>14159</v>
      </c>
      <c r="B440" s="6" t="s">
        <v>361</v>
      </c>
      <c r="C440" s="6" t="s">
        <v>14160</v>
      </c>
      <c r="D440" s="6" t="s">
        <v>255</v>
      </c>
      <c r="E440" s="6" t="s">
        <v>14161</v>
      </c>
      <c r="F440" s="6" t="s">
        <v>66</v>
      </c>
      <c r="G440" s="3" t="s">
        <v>11449</v>
      </c>
      <c r="H440" s="54">
        <v>0</v>
      </c>
      <c r="I440" s="16">
        <v>470000000</v>
      </c>
      <c r="J440" s="157" t="s">
        <v>229</v>
      </c>
      <c r="K440" s="5" t="s">
        <v>210</v>
      </c>
      <c r="L440" s="17" t="s">
        <v>11411</v>
      </c>
      <c r="M440" s="3" t="s">
        <v>230</v>
      </c>
      <c r="N440" s="65" t="s">
        <v>524</v>
      </c>
      <c r="O440" s="6" t="s">
        <v>233</v>
      </c>
      <c r="P440" s="58">
        <v>168</v>
      </c>
      <c r="Q440" s="6" t="s">
        <v>240</v>
      </c>
      <c r="R440" s="222">
        <v>45</v>
      </c>
      <c r="S440" s="2">
        <v>184040</v>
      </c>
      <c r="T440" s="4">
        <v>0</v>
      </c>
      <c r="U440" s="4">
        <f t="shared" si="19"/>
        <v>0</v>
      </c>
      <c r="V440" s="3" t="s">
        <v>362</v>
      </c>
      <c r="W440" s="3">
        <v>2014</v>
      </c>
      <c r="X440" s="3">
        <v>11</v>
      </c>
    </row>
    <row r="441" spans="1:24" ht="89.25">
      <c r="A441" s="3" t="s">
        <v>14957</v>
      </c>
      <c r="B441" s="6" t="s">
        <v>361</v>
      </c>
      <c r="C441" s="6" t="s">
        <v>14160</v>
      </c>
      <c r="D441" s="6" t="s">
        <v>255</v>
      </c>
      <c r="E441" s="6" t="s">
        <v>14161</v>
      </c>
      <c r="F441" s="6" t="s">
        <v>66</v>
      </c>
      <c r="G441" s="3" t="s">
        <v>11449</v>
      </c>
      <c r="H441" s="54">
        <v>0</v>
      </c>
      <c r="I441" s="16">
        <v>470000000</v>
      </c>
      <c r="J441" s="157" t="s">
        <v>229</v>
      </c>
      <c r="K441" s="5" t="s">
        <v>14662</v>
      </c>
      <c r="L441" s="17" t="s">
        <v>11411</v>
      </c>
      <c r="M441" s="3" t="s">
        <v>230</v>
      </c>
      <c r="N441" s="65" t="s">
        <v>524</v>
      </c>
      <c r="O441" s="6" t="s">
        <v>233</v>
      </c>
      <c r="P441" s="58">
        <v>168</v>
      </c>
      <c r="Q441" s="6" t="s">
        <v>240</v>
      </c>
      <c r="R441" s="222">
        <v>45</v>
      </c>
      <c r="S441" s="2">
        <v>184040</v>
      </c>
      <c r="T441" s="4">
        <v>0</v>
      </c>
      <c r="U441" s="4">
        <f>T441*1.12</f>
        <v>0</v>
      </c>
      <c r="V441" s="3" t="s">
        <v>362</v>
      </c>
      <c r="W441" s="3">
        <v>2014</v>
      </c>
      <c r="X441" s="6" t="s">
        <v>17321</v>
      </c>
    </row>
    <row r="442" spans="1:24" ht="89.25">
      <c r="A442" s="3" t="s">
        <v>17469</v>
      </c>
      <c r="B442" s="6" t="s">
        <v>361</v>
      </c>
      <c r="C442" s="6" t="s">
        <v>14160</v>
      </c>
      <c r="D442" s="6" t="s">
        <v>255</v>
      </c>
      <c r="E442" s="6" t="s">
        <v>14161</v>
      </c>
      <c r="F442" s="6" t="s">
        <v>66</v>
      </c>
      <c r="G442" s="3" t="s">
        <v>11449</v>
      </c>
      <c r="H442" s="54">
        <v>0</v>
      </c>
      <c r="I442" s="16">
        <v>470000000</v>
      </c>
      <c r="J442" s="157" t="s">
        <v>229</v>
      </c>
      <c r="K442" s="5" t="s">
        <v>8309</v>
      </c>
      <c r="L442" s="17" t="s">
        <v>11411</v>
      </c>
      <c r="M442" s="3" t="s">
        <v>230</v>
      </c>
      <c r="N442" s="65" t="s">
        <v>521</v>
      </c>
      <c r="O442" s="6" t="s">
        <v>233</v>
      </c>
      <c r="P442" s="58">
        <v>168</v>
      </c>
      <c r="Q442" s="6" t="s">
        <v>240</v>
      </c>
      <c r="R442" s="222">
        <v>298.13</v>
      </c>
      <c r="S442" s="2">
        <v>207900</v>
      </c>
      <c r="T442" s="4">
        <v>0</v>
      </c>
      <c r="U442" s="4">
        <f>T442*1.12</f>
        <v>0</v>
      </c>
      <c r="V442" s="3" t="s">
        <v>362</v>
      </c>
      <c r="W442" s="3">
        <v>2014</v>
      </c>
      <c r="X442" s="3">
        <v>11.22</v>
      </c>
    </row>
    <row r="443" spans="1:24" ht="89.25">
      <c r="A443" s="3" t="s">
        <v>19069</v>
      </c>
      <c r="B443" s="6" t="s">
        <v>361</v>
      </c>
      <c r="C443" s="6" t="s">
        <v>14160</v>
      </c>
      <c r="D443" s="6" t="s">
        <v>255</v>
      </c>
      <c r="E443" s="6" t="s">
        <v>14161</v>
      </c>
      <c r="F443" s="6" t="s">
        <v>66</v>
      </c>
      <c r="G443" s="3" t="s">
        <v>11449</v>
      </c>
      <c r="H443" s="54">
        <v>0</v>
      </c>
      <c r="I443" s="16">
        <v>470000000</v>
      </c>
      <c r="J443" s="157" t="s">
        <v>229</v>
      </c>
      <c r="K443" s="5" t="s">
        <v>18748</v>
      </c>
      <c r="L443" s="17" t="s">
        <v>11411</v>
      </c>
      <c r="M443" s="3" t="s">
        <v>230</v>
      </c>
      <c r="N443" s="65" t="s">
        <v>521</v>
      </c>
      <c r="O443" s="6" t="s">
        <v>233</v>
      </c>
      <c r="P443" s="58">
        <v>168</v>
      </c>
      <c r="Q443" s="6" t="s">
        <v>240</v>
      </c>
      <c r="R443" s="222">
        <v>298.13</v>
      </c>
      <c r="S443" s="2">
        <v>207900</v>
      </c>
      <c r="T443" s="4">
        <f>R443*S443</f>
        <v>61981227</v>
      </c>
      <c r="U443" s="4">
        <f>T443*1.12</f>
        <v>69418974.24000001</v>
      </c>
      <c r="V443" s="3"/>
      <c r="W443" s="3">
        <v>2014</v>
      </c>
      <c r="X443" s="3"/>
    </row>
    <row r="444" spans="1:24" ht="102">
      <c r="A444" s="3" t="s">
        <v>790</v>
      </c>
      <c r="B444" s="6" t="s">
        <v>361</v>
      </c>
      <c r="C444" s="6" t="s">
        <v>3106</v>
      </c>
      <c r="D444" s="6" t="s">
        <v>255</v>
      </c>
      <c r="E444" s="6" t="s">
        <v>3107</v>
      </c>
      <c r="F444" s="6" t="s">
        <v>67</v>
      </c>
      <c r="G444" s="3" t="s">
        <v>11449</v>
      </c>
      <c r="H444" s="54">
        <v>0</v>
      </c>
      <c r="I444" s="16">
        <v>470000000</v>
      </c>
      <c r="J444" s="157" t="s">
        <v>229</v>
      </c>
      <c r="K444" s="5" t="s">
        <v>214</v>
      </c>
      <c r="L444" s="6" t="s">
        <v>231</v>
      </c>
      <c r="M444" s="3" t="s">
        <v>230</v>
      </c>
      <c r="N444" s="65" t="s">
        <v>524</v>
      </c>
      <c r="O444" s="6" t="s">
        <v>233</v>
      </c>
      <c r="P444" s="58">
        <v>168</v>
      </c>
      <c r="Q444" s="6" t="s">
        <v>240</v>
      </c>
      <c r="R444" s="222">
        <v>166</v>
      </c>
      <c r="S444" s="2">
        <v>192600</v>
      </c>
      <c r="T444" s="4">
        <v>0</v>
      </c>
      <c r="U444" s="4">
        <f t="shared" si="19"/>
        <v>0</v>
      </c>
      <c r="V444" s="3" t="s">
        <v>362</v>
      </c>
      <c r="W444" s="3">
        <v>2014</v>
      </c>
      <c r="X444" s="3">
        <v>11.12</v>
      </c>
    </row>
    <row r="445" spans="1:24" ht="89.25">
      <c r="A445" s="3" t="s">
        <v>11843</v>
      </c>
      <c r="B445" s="6" t="s">
        <v>361</v>
      </c>
      <c r="C445" s="6" t="s">
        <v>3106</v>
      </c>
      <c r="D445" s="6" t="s">
        <v>255</v>
      </c>
      <c r="E445" s="6" t="s">
        <v>3107</v>
      </c>
      <c r="F445" s="6" t="s">
        <v>67</v>
      </c>
      <c r="G445" s="3" t="s">
        <v>11449</v>
      </c>
      <c r="H445" s="54">
        <v>0</v>
      </c>
      <c r="I445" s="16">
        <v>470000000</v>
      </c>
      <c r="J445" s="157" t="s">
        <v>229</v>
      </c>
      <c r="K445" s="5" t="s">
        <v>210</v>
      </c>
      <c r="L445" s="17" t="s">
        <v>11411</v>
      </c>
      <c r="M445" s="3" t="s">
        <v>230</v>
      </c>
      <c r="N445" s="65" t="s">
        <v>524</v>
      </c>
      <c r="O445" s="6" t="s">
        <v>233</v>
      </c>
      <c r="P445" s="58">
        <v>168</v>
      </c>
      <c r="Q445" s="6" t="s">
        <v>240</v>
      </c>
      <c r="R445" s="222">
        <v>166</v>
      </c>
      <c r="S445" s="2">
        <v>192600</v>
      </c>
      <c r="T445" s="4">
        <v>0</v>
      </c>
      <c r="U445" s="4">
        <f t="shared" si="19"/>
        <v>0</v>
      </c>
      <c r="V445" s="3" t="s">
        <v>362</v>
      </c>
      <c r="W445" s="3">
        <v>2014</v>
      </c>
      <c r="X445" s="3" t="s">
        <v>11811</v>
      </c>
    </row>
    <row r="446" spans="1:24" ht="89.25">
      <c r="A446" s="3" t="s">
        <v>14162</v>
      </c>
      <c r="B446" s="6" t="s">
        <v>361</v>
      </c>
      <c r="C446" s="6" t="s">
        <v>14163</v>
      </c>
      <c r="D446" s="6" t="s">
        <v>255</v>
      </c>
      <c r="E446" s="6" t="s">
        <v>14164</v>
      </c>
      <c r="F446" s="6" t="s">
        <v>67</v>
      </c>
      <c r="G446" s="3" t="s">
        <v>11449</v>
      </c>
      <c r="H446" s="54">
        <v>0</v>
      </c>
      <c r="I446" s="16">
        <v>470000000</v>
      </c>
      <c r="J446" s="157" t="s">
        <v>229</v>
      </c>
      <c r="K446" s="5" t="s">
        <v>210</v>
      </c>
      <c r="L446" s="17" t="s">
        <v>11411</v>
      </c>
      <c r="M446" s="3" t="s">
        <v>230</v>
      </c>
      <c r="N446" s="65" t="s">
        <v>524</v>
      </c>
      <c r="O446" s="6" t="s">
        <v>233</v>
      </c>
      <c r="P446" s="58">
        <v>168</v>
      </c>
      <c r="Q446" s="6" t="s">
        <v>240</v>
      </c>
      <c r="R446" s="222">
        <v>166</v>
      </c>
      <c r="S446" s="2">
        <v>192600</v>
      </c>
      <c r="T446" s="4">
        <v>0</v>
      </c>
      <c r="U446" s="4">
        <f t="shared" si="19"/>
        <v>0</v>
      </c>
      <c r="V446" s="3" t="s">
        <v>362</v>
      </c>
      <c r="W446" s="3">
        <v>2014</v>
      </c>
      <c r="X446" s="3" t="s">
        <v>12051</v>
      </c>
    </row>
    <row r="447" spans="1:24" ht="89.25">
      <c r="A447" s="3" t="s">
        <v>14604</v>
      </c>
      <c r="B447" s="6" t="s">
        <v>361</v>
      </c>
      <c r="C447" s="6" t="s">
        <v>14163</v>
      </c>
      <c r="D447" s="6" t="s">
        <v>255</v>
      </c>
      <c r="E447" s="6" t="s">
        <v>14164</v>
      </c>
      <c r="F447" s="6" t="s">
        <v>67</v>
      </c>
      <c r="G447" s="3" t="s">
        <v>11449</v>
      </c>
      <c r="H447" s="54">
        <v>0</v>
      </c>
      <c r="I447" s="16">
        <v>470000000</v>
      </c>
      <c r="J447" s="157" t="s">
        <v>229</v>
      </c>
      <c r="K447" s="5" t="s">
        <v>14662</v>
      </c>
      <c r="L447" s="17" t="s">
        <v>11411</v>
      </c>
      <c r="M447" s="3" t="s">
        <v>230</v>
      </c>
      <c r="N447" s="65" t="s">
        <v>524</v>
      </c>
      <c r="O447" s="6" t="s">
        <v>233</v>
      </c>
      <c r="P447" s="58">
        <v>168</v>
      </c>
      <c r="Q447" s="6" t="s">
        <v>240</v>
      </c>
      <c r="R447" s="222">
        <v>9.08</v>
      </c>
      <c r="S447" s="2">
        <v>192600</v>
      </c>
      <c r="T447" s="4">
        <v>0</v>
      </c>
      <c r="U447" s="4">
        <f t="shared" si="19"/>
        <v>0</v>
      </c>
      <c r="V447" s="3" t="s">
        <v>362</v>
      </c>
      <c r="W447" s="3">
        <v>2014</v>
      </c>
      <c r="X447" s="3" t="s">
        <v>18881</v>
      </c>
    </row>
    <row r="448" spans="1:24" ht="76.5">
      <c r="A448" s="3" t="s">
        <v>18772</v>
      </c>
      <c r="B448" s="6" t="s">
        <v>361</v>
      </c>
      <c r="C448" s="6" t="s">
        <v>14163</v>
      </c>
      <c r="D448" s="6" t="s">
        <v>255</v>
      </c>
      <c r="E448" s="6" t="s">
        <v>14164</v>
      </c>
      <c r="F448" s="6" t="s">
        <v>67</v>
      </c>
      <c r="G448" s="3" t="s">
        <v>11449</v>
      </c>
      <c r="H448" s="54">
        <v>0.2</v>
      </c>
      <c r="I448" s="16">
        <v>470000000</v>
      </c>
      <c r="J448" s="157" t="s">
        <v>229</v>
      </c>
      <c r="K448" s="5" t="s">
        <v>18437</v>
      </c>
      <c r="L448" s="17" t="s">
        <v>11411</v>
      </c>
      <c r="M448" s="3" t="s">
        <v>230</v>
      </c>
      <c r="N448" s="65" t="s">
        <v>524</v>
      </c>
      <c r="O448" s="6" t="s">
        <v>18864</v>
      </c>
      <c r="P448" s="58">
        <v>168</v>
      </c>
      <c r="Q448" s="6" t="s">
        <v>240</v>
      </c>
      <c r="R448" s="222">
        <v>21</v>
      </c>
      <c r="S448" s="2">
        <v>192600</v>
      </c>
      <c r="T448" s="4">
        <f>R448*S448</f>
        <v>4044600</v>
      </c>
      <c r="U448" s="4">
        <f t="shared" si="19"/>
        <v>4529952</v>
      </c>
      <c r="V448" s="3" t="s">
        <v>362</v>
      </c>
      <c r="W448" s="3">
        <v>2014</v>
      </c>
      <c r="X448" s="3"/>
    </row>
    <row r="449" spans="1:24" ht="102">
      <c r="A449" s="3" t="s">
        <v>791</v>
      </c>
      <c r="B449" s="6" t="s">
        <v>361</v>
      </c>
      <c r="C449" s="6" t="s">
        <v>3104</v>
      </c>
      <c r="D449" s="6" t="s">
        <v>255</v>
      </c>
      <c r="E449" s="6" t="s">
        <v>3105</v>
      </c>
      <c r="F449" s="6" t="s">
        <v>68</v>
      </c>
      <c r="G449" s="3" t="s">
        <v>11449</v>
      </c>
      <c r="H449" s="54">
        <v>0</v>
      </c>
      <c r="I449" s="16">
        <v>470000000</v>
      </c>
      <c r="J449" s="157" t="s">
        <v>229</v>
      </c>
      <c r="K449" s="5" t="s">
        <v>214</v>
      </c>
      <c r="L449" s="6" t="s">
        <v>231</v>
      </c>
      <c r="M449" s="3" t="s">
        <v>230</v>
      </c>
      <c r="N449" s="65" t="s">
        <v>524</v>
      </c>
      <c r="O449" s="6" t="s">
        <v>233</v>
      </c>
      <c r="P449" s="58">
        <v>168</v>
      </c>
      <c r="Q449" s="6" t="s">
        <v>240</v>
      </c>
      <c r="R449" s="222">
        <v>14.02</v>
      </c>
      <c r="S449" s="2">
        <v>206190</v>
      </c>
      <c r="T449" s="4">
        <v>0</v>
      </c>
      <c r="U449" s="4">
        <f t="shared" si="19"/>
        <v>0</v>
      </c>
      <c r="V449" s="3" t="s">
        <v>362</v>
      </c>
      <c r="W449" s="3">
        <v>2014</v>
      </c>
      <c r="X449" s="3">
        <v>11.12</v>
      </c>
    </row>
    <row r="450" spans="1:24" ht="89.25">
      <c r="A450" s="3" t="s">
        <v>11844</v>
      </c>
      <c r="B450" s="6" t="s">
        <v>361</v>
      </c>
      <c r="C450" s="6" t="s">
        <v>3104</v>
      </c>
      <c r="D450" s="6" t="s">
        <v>255</v>
      </c>
      <c r="E450" s="6" t="s">
        <v>3105</v>
      </c>
      <c r="F450" s="6" t="s">
        <v>68</v>
      </c>
      <c r="G450" s="3" t="s">
        <v>11449</v>
      </c>
      <c r="H450" s="54">
        <v>0</v>
      </c>
      <c r="I450" s="16">
        <v>470000000</v>
      </c>
      <c r="J450" s="157" t="s">
        <v>229</v>
      </c>
      <c r="K450" s="5" t="s">
        <v>210</v>
      </c>
      <c r="L450" s="17" t="s">
        <v>11411</v>
      </c>
      <c r="M450" s="3" t="s">
        <v>230</v>
      </c>
      <c r="N450" s="65" t="s">
        <v>524</v>
      </c>
      <c r="O450" s="6" t="s">
        <v>233</v>
      </c>
      <c r="P450" s="58">
        <v>168</v>
      </c>
      <c r="Q450" s="6" t="s">
        <v>240</v>
      </c>
      <c r="R450" s="222">
        <v>14.02</v>
      </c>
      <c r="S450" s="2">
        <v>206190</v>
      </c>
      <c r="T450" s="4">
        <v>0</v>
      </c>
      <c r="U450" s="4">
        <f t="shared" si="19"/>
        <v>0</v>
      </c>
      <c r="V450" s="3" t="s">
        <v>362</v>
      </c>
      <c r="W450" s="3">
        <v>2014</v>
      </c>
      <c r="X450" s="3" t="s">
        <v>11811</v>
      </c>
    </row>
    <row r="451" spans="1:24" ht="89.25">
      <c r="A451" s="3" t="s">
        <v>14165</v>
      </c>
      <c r="B451" s="6" t="s">
        <v>361</v>
      </c>
      <c r="C451" s="6" t="s">
        <v>14166</v>
      </c>
      <c r="D451" s="6" t="s">
        <v>255</v>
      </c>
      <c r="E451" s="6" t="s">
        <v>14167</v>
      </c>
      <c r="F451" s="6" t="s">
        <v>68</v>
      </c>
      <c r="G451" s="3" t="s">
        <v>11449</v>
      </c>
      <c r="H451" s="54">
        <v>0</v>
      </c>
      <c r="I451" s="16">
        <v>470000000</v>
      </c>
      <c r="J451" s="157" t="s">
        <v>229</v>
      </c>
      <c r="K451" s="5" t="s">
        <v>210</v>
      </c>
      <c r="L451" s="17" t="s">
        <v>11411</v>
      </c>
      <c r="M451" s="3" t="s">
        <v>230</v>
      </c>
      <c r="N451" s="65" t="s">
        <v>524</v>
      </c>
      <c r="O451" s="6" t="s">
        <v>233</v>
      </c>
      <c r="P451" s="58">
        <v>168</v>
      </c>
      <c r="Q451" s="6" t="s">
        <v>240</v>
      </c>
      <c r="R451" s="222">
        <v>14.02</v>
      </c>
      <c r="S451" s="2">
        <v>206190</v>
      </c>
      <c r="T451" s="4">
        <v>0</v>
      </c>
      <c r="U451" s="4">
        <f t="shared" si="19"/>
        <v>0</v>
      </c>
      <c r="V451" s="3" t="s">
        <v>362</v>
      </c>
      <c r="W451" s="3">
        <v>2014</v>
      </c>
      <c r="X451" s="3">
        <v>11</v>
      </c>
    </row>
    <row r="452" spans="1:24" ht="89.25">
      <c r="A452" s="3" t="s">
        <v>14956</v>
      </c>
      <c r="B452" s="6" t="s">
        <v>361</v>
      </c>
      <c r="C452" s="6" t="s">
        <v>14166</v>
      </c>
      <c r="D452" s="6" t="s">
        <v>255</v>
      </c>
      <c r="E452" s="6" t="s">
        <v>14167</v>
      </c>
      <c r="F452" s="6" t="s">
        <v>68</v>
      </c>
      <c r="G452" s="3" t="s">
        <v>11449</v>
      </c>
      <c r="H452" s="54">
        <v>0</v>
      </c>
      <c r="I452" s="16">
        <v>470000000</v>
      </c>
      <c r="J452" s="157" t="s">
        <v>229</v>
      </c>
      <c r="K452" s="5" t="s">
        <v>14662</v>
      </c>
      <c r="L452" s="17" t="s">
        <v>11411</v>
      </c>
      <c r="M452" s="3" t="s">
        <v>230</v>
      </c>
      <c r="N452" s="65" t="s">
        <v>524</v>
      </c>
      <c r="O452" s="6" t="s">
        <v>233</v>
      </c>
      <c r="P452" s="58">
        <v>168</v>
      </c>
      <c r="Q452" s="6" t="s">
        <v>240</v>
      </c>
      <c r="R452" s="222">
        <v>14.02</v>
      </c>
      <c r="S452" s="2">
        <v>206190</v>
      </c>
      <c r="T452" s="4">
        <f>R452*S452</f>
        <v>2890783.8</v>
      </c>
      <c r="U452" s="4">
        <f>T452*1.12</f>
        <v>3237677.8560000001</v>
      </c>
      <c r="V452" s="3" t="s">
        <v>362</v>
      </c>
      <c r="W452" s="3">
        <v>2014</v>
      </c>
      <c r="X452" s="3"/>
    </row>
    <row r="453" spans="1:24" ht="102">
      <c r="A453" s="3" t="s">
        <v>792</v>
      </c>
      <c r="B453" s="6" t="s">
        <v>361</v>
      </c>
      <c r="C453" s="6" t="s">
        <v>3100</v>
      </c>
      <c r="D453" s="6" t="s">
        <v>255</v>
      </c>
      <c r="E453" s="6" t="s">
        <v>3101</v>
      </c>
      <c r="F453" s="6" t="s">
        <v>69</v>
      </c>
      <c r="G453" s="3" t="s">
        <v>11449</v>
      </c>
      <c r="H453" s="54">
        <v>0</v>
      </c>
      <c r="I453" s="16">
        <v>470000000</v>
      </c>
      <c r="J453" s="157" t="s">
        <v>229</v>
      </c>
      <c r="K453" s="5" t="s">
        <v>215</v>
      </c>
      <c r="L453" s="6" t="s">
        <v>231</v>
      </c>
      <c r="M453" s="3" t="s">
        <v>230</v>
      </c>
      <c r="N453" s="65" t="s">
        <v>524</v>
      </c>
      <c r="O453" s="6" t="s">
        <v>233</v>
      </c>
      <c r="P453" s="58">
        <v>168</v>
      </c>
      <c r="Q453" s="6" t="s">
        <v>240</v>
      </c>
      <c r="R453" s="222">
        <v>15</v>
      </c>
      <c r="S453" s="2">
        <v>176500</v>
      </c>
      <c r="T453" s="4">
        <v>0</v>
      </c>
      <c r="U453" s="4">
        <f t="shared" si="19"/>
        <v>0</v>
      </c>
      <c r="V453" s="3" t="s">
        <v>362</v>
      </c>
      <c r="W453" s="3">
        <v>2014</v>
      </c>
      <c r="X453" s="3">
        <v>11.12</v>
      </c>
    </row>
    <row r="454" spans="1:24" ht="89.25">
      <c r="A454" s="3" t="s">
        <v>11845</v>
      </c>
      <c r="B454" s="6" t="s">
        <v>361</v>
      </c>
      <c r="C454" s="6" t="s">
        <v>3100</v>
      </c>
      <c r="D454" s="6" t="s">
        <v>255</v>
      </c>
      <c r="E454" s="6" t="s">
        <v>3101</v>
      </c>
      <c r="F454" s="6" t="s">
        <v>69</v>
      </c>
      <c r="G454" s="3" t="s">
        <v>11449</v>
      </c>
      <c r="H454" s="54">
        <v>0</v>
      </c>
      <c r="I454" s="16">
        <v>470000000</v>
      </c>
      <c r="J454" s="157" t="s">
        <v>229</v>
      </c>
      <c r="K454" s="5" t="s">
        <v>210</v>
      </c>
      <c r="L454" s="17" t="s">
        <v>11411</v>
      </c>
      <c r="M454" s="3" t="s">
        <v>230</v>
      </c>
      <c r="N454" s="65" t="s">
        <v>524</v>
      </c>
      <c r="O454" s="6" t="s">
        <v>233</v>
      </c>
      <c r="P454" s="58">
        <v>168</v>
      </c>
      <c r="Q454" s="6" t="s">
        <v>240</v>
      </c>
      <c r="R454" s="222">
        <v>15</v>
      </c>
      <c r="S454" s="2">
        <v>176500</v>
      </c>
      <c r="T454" s="4">
        <v>0</v>
      </c>
      <c r="U454" s="4">
        <f t="shared" si="19"/>
        <v>0</v>
      </c>
      <c r="V454" s="3" t="s">
        <v>362</v>
      </c>
      <c r="W454" s="3">
        <v>2014</v>
      </c>
      <c r="X454" s="3" t="s">
        <v>11811</v>
      </c>
    </row>
    <row r="455" spans="1:24" ht="89.25">
      <c r="A455" s="3" t="s">
        <v>14168</v>
      </c>
      <c r="B455" s="6" t="s">
        <v>361</v>
      </c>
      <c r="C455" s="6" t="s">
        <v>14169</v>
      </c>
      <c r="D455" s="6" t="s">
        <v>255</v>
      </c>
      <c r="E455" s="6" t="s">
        <v>14170</v>
      </c>
      <c r="F455" s="6" t="s">
        <v>69</v>
      </c>
      <c r="G455" s="3" t="s">
        <v>11449</v>
      </c>
      <c r="H455" s="54">
        <v>0</v>
      </c>
      <c r="I455" s="16">
        <v>470000000</v>
      </c>
      <c r="J455" s="157" t="s">
        <v>229</v>
      </c>
      <c r="K455" s="5" t="s">
        <v>210</v>
      </c>
      <c r="L455" s="17" t="s">
        <v>11411</v>
      </c>
      <c r="M455" s="3" t="s">
        <v>230</v>
      </c>
      <c r="N455" s="65" t="s">
        <v>524</v>
      </c>
      <c r="O455" s="6" t="s">
        <v>233</v>
      </c>
      <c r="P455" s="58">
        <v>168</v>
      </c>
      <c r="Q455" s="6" t="s">
        <v>240</v>
      </c>
      <c r="R455" s="222">
        <v>15</v>
      </c>
      <c r="S455" s="2">
        <v>176500</v>
      </c>
      <c r="T455" s="4">
        <v>0</v>
      </c>
      <c r="U455" s="4">
        <f t="shared" si="19"/>
        <v>0</v>
      </c>
      <c r="V455" s="3" t="s">
        <v>362</v>
      </c>
      <c r="W455" s="3">
        <v>2014</v>
      </c>
      <c r="X455" s="3" t="s">
        <v>12051</v>
      </c>
    </row>
    <row r="456" spans="1:24" ht="89.25">
      <c r="A456" s="3" t="s">
        <v>14605</v>
      </c>
      <c r="B456" s="6" t="s">
        <v>361</v>
      </c>
      <c r="C456" s="6" t="s">
        <v>14169</v>
      </c>
      <c r="D456" s="6" t="s">
        <v>255</v>
      </c>
      <c r="E456" s="6" t="s">
        <v>14170</v>
      </c>
      <c r="F456" s="6" t="s">
        <v>69</v>
      </c>
      <c r="G456" s="3" t="s">
        <v>11449</v>
      </c>
      <c r="H456" s="54">
        <v>0</v>
      </c>
      <c r="I456" s="16">
        <v>470000000</v>
      </c>
      <c r="J456" s="157" t="s">
        <v>229</v>
      </c>
      <c r="K456" s="5" t="s">
        <v>14662</v>
      </c>
      <c r="L456" s="17" t="s">
        <v>11411</v>
      </c>
      <c r="M456" s="3" t="s">
        <v>230</v>
      </c>
      <c r="N456" s="65" t="s">
        <v>524</v>
      </c>
      <c r="O456" s="6" t="s">
        <v>233</v>
      </c>
      <c r="P456" s="58">
        <v>168</v>
      </c>
      <c r="Q456" s="6" t="s">
        <v>240</v>
      </c>
      <c r="R456" s="222">
        <v>62.47</v>
      </c>
      <c r="S456" s="2">
        <v>176500</v>
      </c>
      <c r="T456" s="4">
        <v>0</v>
      </c>
      <c r="U456" s="4">
        <f t="shared" si="19"/>
        <v>0</v>
      </c>
      <c r="V456" s="3" t="s">
        <v>362</v>
      </c>
      <c r="W456" s="3">
        <v>2014</v>
      </c>
      <c r="X456" s="6" t="s">
        <v>16521</v>
      </c>
    </row>
    <row r="457" spans="1:24" ht="89.25">
      <c r="A457" s="3" t="s">
        <v>17470</v>
      </c>
      <c r="B457" s="6" t="s">
        <v>361</v>
      </c>
      <c r="C457" s="6" t="s">
        <v>14169</v>
      </c>
      <c r="D457" s="6" t="s">
        <v>255</v>
      </c>
      <c r="E457" s="6" t="s">
        <v>14170</v>
      </c>
      <c r="F457" s="6" t="s">
        <v>69</v>
      </c>
      <c r="G457" s="3" t="s">
        <v>11449</v>
      </c>
      <c r="H457" s="54">
        <v>0</v>
      </c>
      <c r="I457" s="16">
        <v>470000000</v>
      </c>
      <c r="J457" s="157" t="s">
        <v>229</v>
      </c>
      <c r="K457" s="5" t="s">
        <v>8309</v>
      </c>
      <c r="L457" s="17" t="s">
        <v>11411</v>
      </c>
      <c r="M457" s="3" t="s">
        <v>230</v>
      </c>
      <c r="N457" s="65" t="s">
        <v>521</v>
      </c>
      <c r="O457" s="6" t="s">
        <v>233</v>
      </c>
      <c r="P457" s="58">
        <v>168</v>
      </c>
      <c r="Q457" s="6" t="s">
        <v>240</v>
      </c>
      <c r="R457" s="222">
        <v>62.47</v>
      </c>
      <c r="S457" s="2">
        <v>207900</v>
      </c>
      <c r="T457" s="4">
        <v>0</v>
      </c>
      <c r="U457" s="4">
        <f t="shared" si="19"/>
        <v>0</v>
      </c>
      <c r="V457" s="3" t="s">
        <v>362</v>
      </c>
      <c r="W457" s="3">
        <v>2014</v>
      </c>
      <c r="X457" s="3">
        <v>11.22</v>
      </c>
    </row>
    <row r="458" spans="1:24" ht="89.25">
      <c r="A458" s="3" t="s">
        <v>19070</v>
      </c>
      <c r="B458" s="6" t="s">
        <v>361</v>
      </c>
      <c r="C458" s="6" t="s">
        <v>14169</v>
      </c>
      <c r="D458" s="6" t="s">
        <v>255</v>
      </c>
      <c r="E458" s="6" t="s">
        <v>14170</v>
      </c>
      <c r="F458" s="6" t="s">
        <v>69</v>
      </c>
      <c r="G458" s="3" t="s">
        <v>11449</v>
      </c>
      <c r="H458" s="54">
        <v>0</v>
      </c>
      <c r="I458" s="16">
        <v>470000000</v>
      </c>
      <c r="J458" s="157" t="s">
        <v>229</v>
      </c>
      <c r="K458" s="5" t="s">
        <v>18748</v>
      </c>
      <c r="L458" s="17" t="s">
        <v>11411</v>
      </c>
      <c r="M458" s="3" t="s">
        <v>230</v>
      </c>
      <c r="N458" s="65" t="s">
        <v>521</v>
      </c>
      <c r="O458" s="6" t="s">
        <v>233</v>
      </c>
      <c r="P458" s="58">
        <v>168</v>
      </c>
      <c r="Q458" s="6" t="s">
        <v>240</v>
      </c>
      <c r="R458" s="222">
        <v>62.47</v>
      </c>
      <c r="S458" s="2">
        <v>207900</v>
      </c>
      <c r="T458" s="4">
        <f>R458*S458</f>
        <v>12987513</v>
      </c>
      <c r="U458" s="4">
        <f t="shared" ref="U458" si="23">T458*1.12</f>
        <v>14546014.560000001</v>
      </c>
      <c r="V458" s="3"/>
      <c r="W458" s="3">
        <v>2014</v>
      </c>
      <c r="X458" s="3"/>
    </row>
    <row r="459" spans="1:24" ht="102">
      <c r="A459" s="3" t="s">
        <v>793</v>
      </c>
      <c r="B459" s="6" t="s">
        <v>361</v>
      </c>
      <c r="C459" s="6" t="s">
        <v>3100</v>
      </c>
      <c r="D459" s="6" t="s">
        <v>255</v>
      </c>
      <c r="E459" s="6" t="s">
        <v>3101</v>
      </c>
      <c r="F459" s="6" t="s">
        <v>70</v>
      </c>
      <c r="G459" s="3" t="s">
        <v>11449</v>
      </c>
      <c r="H459" s="54">
        <v>0</v>
      </c>
      <c r="I459" s="16">
        <v>470000000</v>
      </c>
      <c r="J459" s="157" t="s">
        <v>229</v>
      </c>
      <c r="K459" s="5" t="s">
        <v>210</v>
      </c>
      <c r="L459" s="6" t="s">
        <v>231</v>
      </c>
      <c r="M459" s="3" t="s">
        <v>230</v>
      </c>
      <c r="N459" s="65" t="s">
        <v>524</v>
      </c>
      <c r="O459" s="6" t="s">
        <v>233</v>
      </c>
      <c r="P459" s="58">
        <v>168</v>
      </c>
      <c r="Q459" s="6" t="s">
        <v>240</v>
      </c>
      <c r="R459" s="222">
        <v>30</v>
      </c>
      <c r="S459" s="2">
        <v>171200</v>
      </c>
      <c r="T459" s="4">
        <v>0</v>
      </c>
      <c r="U459" s="4">
        <f t="shared" si="19"/>
        <v>0</v>
      </c>
      <c r="V459" s="3" t="s">
        <v>362</v>
      </c>
      <c r="W459" s="3">
        <v>2014</v>
      </c>
      <c r="X459" s="3" t="s">
        <v>11811</v>
      </c>
    </row>
    <row r="460" spans="1:24" ht="102">
      <c r="A460" s="3" t="s">
        <v>14171</v>
      </c>
      <c r="B460" s="6" t="s">
        <v>361</v>
      </c>
      <c r="C460" s="6" t="s">
        <v>14172</v>
      </c>
      <c r="D460" s="6" t="s">
        <v>255</v>
      </c>
      <c r="E460" s="6" t="s">
        <v>14173</v>
      </c>
      <c r="F460" s="6" t="s">
        <v>70</v>
      </c>
      <c r="G460" s="3" t="s">
        <v>11449</v>
      </c>
      <c r="H460" s="54">
        <v>0</v>
      </c>
      <c r="I460" s="16">
        <v>470000000</v>
      </c>
      <c r="J460" s="157" t="s">
        <v>229</v>
      </c>
      <c r="K460" s="5" t="s">
        <v>210</v>
      </c>
      <c r="L460" s="6" t="s">
        <v>231</v>
      </c>
      <c r="M460" s="3" t="s">
        <v>230</v>
      </c>
      <c r="N460" s="65" t="s">
        <v>524</v>
      </c>
      <c r="O460" s="6" t="s">
        <v>233</v>
      </c>
      <c r="P460" s="58">
        <v>168</v>
      </c>
      <c r="Q460" s="6" t="s">
        <v>240</v>
      </c>
      <c r="R460" s="222">
        <v>30</v>
      </c>
      <c r="S460" s="2">
        <v>171200</v>
      </c>
      <c r="T460" s="4">
        <v>0</v>
      </c>
      <c r="U460" s="4">
        <f t="shared" si="19"/>
        <v>0</v>
      </c>
      <c r="V460" s="3" t="s">
        <v>362</v>
      </c>
      <c r="W460" s="3">
        <v>2014</v>
      </c>
      <c r="X460" s="3" t="s">
        <v>12051</v>
      </c>
    </row>
    <row r="461" spans="1:24" ht="102">
      <c r="A461" s="3" t="s">
        <v>14606</v>
      </c>
      <c r="B461" s="6" t="s">
        <v>361</v>
      </c>
      <c r="C461" s="6" t="s">
        <v>14172</v>
      </c>
      <c r="D461" s="6" t="s">
        <v>255</v>
      </c>
      <c r="E461" s="6" t="s">
        <v>14173</v>
      </c>
      <c r="F461" s="6" t="s">
        <v>70</v>
      </c>
      <c r="G461" s="3" t="s">
        <v>11449</v>
      </c>
      <c r="H461" s="54">
        <v>0</v>
      </c>
      <c r="I461" s="16">
        <v>470000000</v>
      </c>
      <c r="J461" s="157" t="s">
        <v>229</v>
      </c>
      <c r="K461" s="5" t="s">
        <v>14607</v>
      </c>
      <c r="L461" s="6" t="s">
        <v>231</v>
      </c>
      <c r="M461" s="3" t="s">
        <v>230</v>
      </c>
      <c r="N461" s="65" t="s">
        <v>524</v>
      </c>
      <c r="O461" s="6" t="s">
        <v>233</v>
      </c>
      <c r="P461" s="58">
        <v>168</v>
      </c>
      <c r="Q461" s="6" t="s">
        <v>240</v>
      </c>
      <c r="R461" s="246">
        <v>72.055000000000007</v>
      </c>
      <c r="S461" s="2">
        <v>171200</v>
      </c>
      <c r="T461" s="4">
        <v>0</v>
      </c>
      <c r="U461" s="4">
        <f t="shared" si="19"/>
        <v>0</v>
      </c>
      <c r="V461" s="3" t="s">
        <v>362</v>
      </c>
      <c r="W461" s="3">
        <v>2014</v>
      </c>
      <c r="X461" s="6" t="s">
        <v>17321</v>
      </c>
    </row>
    <row r="462" spans="1:24" ht="102">
      <c r="A462" s="3" t="s">
        <v>17471</v>
      </c>
      <c r="B462" s="6" t="s">
        <v>361</v>
      </c>
      <c r="C462" s="6" t="s">
        <v>14172</v>
      </c>
      <c r="D462" s="6" t="s">
        <v>255</v>
      </c>
      <c r="E462" s="6" t="s">
        <v>14173</v>
      </c>
      <c r="F462" s="6" t="s">
        <v>70</v>
      </c>
      <c r="G462" s="3" t="s">
        <v>11449</v>
      </c>
      <c r="H462" s="54">
        <v>0</v>
      </c>
      <c r="I462" s="16">
        <v>470000000</v>
      </c>
      <c r="J462" s="157" t="s">
        <v>229</v>
      </c>
      <c r="K462" s="5" t="s">
        <v>8309</v>
      </c>
      <c r="L462" s="6" t="s">
        <v>231</v>
      </c>
      <c r="M462" s="3" t="s">
        <v>230</v>
      </c>
      <c r="N462" s="65" t="s">
        <v>521</v>
      </c>
      <c r="O462" s="6" t="s">
        <v>233</v>
      </c>
      <c r="P462" s="58">
        <v>168</v>
      </c>
      <c r="Q462" s="6" t="s">
        <v>240</v>
      </c>
      <c r="R462" s="246">
        <v>72.06</v>
      </c>
      <c r="S462" s="2">
        <v>205440</v>
      </c>
      <c r="T462" s="4">
        <v>0</v>
      </c>
      <c r="U462" s="4">
        <f t="shared" si="19"/>
        <v>0</v>
      </c>
      <c r="V462" s="3" t="s">
        <v>362</v>
      </c>
      <c r="W462" s="3">
        <v>2014</v>
      </c>
      <c r="X462" s="3">
        <v>11.22</v>
      </c>
    </row>
    <row r="463" spans="1:24" ht="102">
      <c r="A463" s="3" t="s">
        <v>19071</v>
      </c>
      <c r="B463" s="6" t="s">
        <v>361</v>
      </c>
      <c r="C463" s="6" t="s">
        <v>14172</v>
      </c>
      <c r="D463" s="6" t="s">
        <v>255</v>
      </c>
      <c r="E463" s="6" t="s">
        <v>14173</v>
      </c>
      <c r="F463" s="6" t="s">
        <v>70</v>
      </c>
      <c r="G463" s="3" t="s">
        <v>11449</v>
      </c>
      <c r="H463" s="54">
        <v>0</v>
      </c>
      <c r="I463" s="16">
        <v>470000000</v>
      </c>
      <c r="J463" s="157" t="s">
        <v>229</v>
      </c>
      <c r="K463" s="5" t="s">
        <v>18748</v>
      </c>
      <c r="L463" s="6" t="s">
        <v>231</v>
      </c>
      <c r="M463" s="3" t="s">
        <v>230</v>
      </c>
      <c r="N463" s="65" t="s">
        <v>521</v>
      </c>
      <c r="O463" s="6" t="s">
        <v>233</v>
      </c>
      <c r="P463" s="58">
        <v>168</v>
      </c>
      <c r="Q463" s="6" t="s">
        <v>240</v>
      </c>
      <c r="R463" s="246">
        <v>72.06</v>
      </c>
      <c r="S463" s="2">
        <v>205440</v>
      </c>
      <c r="T463" s="4">
        <f>R463*S463</f>
        <v>14804006.4</v>
      </c>
      <c r="U463" s="4">
        <f t="shared" ref="U463" si="24">T463*1.12</f>
        <v>16580487.168000001</v>
      </c>
      <c r="V463" s="3"/>
      <c r="W463" s="3">
        <v>2014</v>
      </c>
      <c r="X463" s="3"/>
    </row>
    <row r="464" spans="1:24" ht="102">
      <c r="A464" s="3" t="s">
        <v>794</v>
      </c>
      <c r="B464" s="6" t="s">
        <v>361</v>
      </c>
      <c r="C464" s="6" t="s">
        <v>16559</v>
      </c>
      <c r="D464" s="6" t="s">
        <v>255</v>
      </c>
      <c r="E464" s="6" t="s">
        <v>14608</v>
      </c>
      <c r="F464" s="6" t="s">
        <v>14608</v>
      </c>
      <c r="G464" s="3" t="s">
        <v>11449</v>
      </c>
      <c r="H464" s="54">
        <v>0</v>
      </c>
      <c r="I464" s="16">
        <v>470000000</v>
      </c>
      <c r="J464" s="157" t="s">
        <v>229</v>
      </c>
      <c r="K464" s="5" t="s">
        <v>210</v>
      </c>
      <c r="L464" s="6" t="s">
        <v>231</v>
      </c>
      <c r="M464" s="3" t="s">
        <v>230</v>
      </c>
      <c r="N464" s="65" t="s">
        <v>524</v>
      </c>
      <c r="O464" s="6" t="s">
        <v>233</v>
      </c>
      <c r="P464" s="58">
        <v>168</v>
      </c>
      <c r="Q464" s="6" t="s">
        <v>240</v>
      </c>
      <c r="R464" s="222">
        <v>23.64</v>
      </c>
      <c r="S464" s="2">
        <v>171200</v>
      </c>
      <c r="T464" s="4">
        <v>0</v>
      </c>
      <c r="U464" s="4">
        <f t="shared" si="19"/>
        <v>0</v>
      </c>
      <c r="V464" s="3" t="s">
        <v>362</v>
      </c>
      <c r="W464" s="3">
        <v>2014</v>
      </c>
      <c r="X464" s="3" t="s">
        <v>12051</v>
      </c>
    </row>
    <row r="465" spans="1:25" ht="102">
      <c r="A465" s="3" t="s">
        <v>14609</v>
      </c>
      <c r="B465" s="6" t="s">
        <v>361</v>
      </c>
      <c r="C465" s="6" t="s">
        <v>16559</v>
      </c>
      <c r="D465" s="6" t="s">
        <v>255</v>
      </c>
      <c r="E465" s="6" t="s">
        <v>14608</v>
      </c>
      <c r="F465" s="6" t="s">
        <v>14608</v>
      </c>
      <c r="G465" s="3" t="s">
        <v>11449</v>
      </c>
      <c r="H465" s="54">
        <v>0</v>
      </c>
      <c r="I465" s="16">
        <v>470000000</v>
      </c>
      <c r="J465" s="157" t="s">
        <v>229</v>
      </c>
      <c r="K465" s="5" t="s">
        <v>14607</v>
      </c>
      <c r="L465" s="6" t="s">
        <v>231</v>
      </c>
      <c r="M465" s="3" t="s">
        <v>230</v>
      </c>
      <c r="N465" s="65" t="s">
        <v>524</v>
      </c>
      <c r="O465" s="6" t="s">
        <v>233</v>
      </c>
      <c r="P465" s="58">
        <v>168</v>
      </c>
      <c r="Q465" s="6" t="s">
        <v>240</v>
      </c>
      <c r="R465" s="222">
        <v>29.952500000000001</v>
      </c>
      <c r="S465" s="2">
        <v>171200</v>
      </c>
      <c r="T465" s="4">
        <v>0</v>
      </c>
      <c r="U465" s="4">
        <f t="shared" si="19"/>
        <v>0</v>
      </c>
      <c r="V465" s="3"/>
      <c r="W465" s="3">
        <v>2014</v>
      </c>
      <c r="X465" s="3">
        <v>11.14</v>
      </c>
    </row>
    <row r="466" spans="1:25" ht="102">
      <c r="A466" s="3" t="s">
        <v>17472</v>
      </c>
      <c r="B466" s="6" t="s">
        <v>361</v>
      </c>
      <c r="C466" s="6" t="s">
        <v>16559</v>
      </c>
      <c r="D466" s="6" t="s">
        <v>255</v>
      </c>
      <c r="E466" s="6" t="s">
        <v>14608</v>
      </c>
      <c r="F466" s="6" t="s">
        <v>14608</v>
      </c>
      <c r="G466" s="3" t="s">
        <v>11449</v>
      </c>
      <c r="H466" s="54">
        <v>0</v>
      </c>
      <c r="I466" s="16">
        <v>470000000</v>
      </c>
      <c r="J466" s="157" t="s">
        <v>229</v>
      </c>
      <c r="K466" s="5" t="s">
        <v>17401</v>
      </c>
      <c r="L466" s="6" t="s">
        <v>231</v>
      </c>
      <c r="M466" s="3" t="s">
        <v>230</v>
      </c>
      <c r="N466" s="65" t="s">
        <v>528</v>
      </c>
      <c r="O466" s="6" t="s">
        <v>233</v>
      </c>
      <c r="P466" s="58">
        <v>168</v>
      </c>
      <c r="Q466" s="6" t="s">
        <v>240</v>
      </c>
      <c r="R466" s="222">
        <v>29.95</v>
      </c>
      <c r="S466" s="2">
        <v>171200</v>
      </c>
      <c r="T466" s="4">
        <f>R466*S466</f>
        <v>5127440</v>
      </c>
      <c r="U466" s="4">
        <f t="shared" si="19"/>
        <v>5742732.8000000007</v>
      </c>
      <c r="V466" s="3"/>
      <c r="W466" s="3">
        <v>2014</v>
      </c>
      <c r="X466" s="3"/>
    </row>
    <row r="467" spans="1:25" ht="102">
      <c r="A467" s="3" t="s">
        <v>795</v>
      </c>
      <c r="B467" s="6" t="s">
        <v>361</v>
      </c>
      <c r="C467" s="6" t="s">
        <v>3102</v>
      </c>
      <c r="D467" s="6" t="s">
        <v>255</v>
      </c>
      <c r="E467" s="6" t="s">
        <v>3103</v>
      </c>
      <c r="F467" s="6" t="s">
        <v>71</v>
      </c>
      <c r="G467" s="3" t="s">
        <v>11449</v>
      </c>
      <c r="H467" s="54">
        <v>0</v>
      </c>
      <c r="I467" s="16">
        <v>470000000</v>
      </c>
      <c r="J467" s="157" t="s">
        <v>229</v>
      </c>
      <c r="K467" s="5" t="s">
        <v>210</v>
      </c>
      <c r="L467" s="6" t="s">
        <v>231</v>
      </c>
      <c r="M467" s="3" t="s">
        <v>230</v>
      </c>
      <c r="N467" s="65" t="s">
        <v>524</v>
      </c>
      <c r="O467" s="6" t="s">
        <v>233</v>
      </c>
      <c r="P467" s="58">
        <v>168</v>
      </c>
      <c r="Q467" s="6" t="s">
        <v>240</v>
      </c>
      <c r="R467" s="222">
        <v>29.2</v>
      </c>
      <c r="S467" s="2">
        <v>157300</v>
      </c>
      <c r="T467" s="4">
        <v>0</v>
      </c>
      <c r="U467" s="4">
        <f t="shared" si="19"/>
        <v>0</v>
      </c>
      <c r="V467" s="3" t="s">
        <v>362</v>
      </c>
      <c r="W467" s="3">
        <v>2014</v>
      </c>
      <c r="X467" s="3">
        <v>11.12</v>
      </c>
    </row>
    <row r="468" spans="1:25" ht="89.25">
      <c r="A468" s="3" t="s">
        <v>12137</v>
      </c>
      <c r="B468" s="6" t="s">
        <v>361</v>
      </c>
      <c r="C468" s="6" t="s">
        <v>3102</v>
      </c>
      <c r="D468" s="6" t="s">
        <v>255</v>
      </c>
      <c r="E468" s="6" t="s">
        <v>3103</v>
      </c>
      <c r="F468" s="6" t="s">
        <v>71</v>
      </c>
      <c r="G468" s="3" t="s">
        <v>11449</v>
      </c>
      <c r="H468" s="54">
        <v>0</v>
      </c>
      <c r="I468" s="16">
        <v>470000000</v>
      </c>
      <c r="J468" s="157" t="s">
        <v>229</v>
      </c>
      <c r="K468" s="5" t="s">
        <v>12128</v>
      </c>
      <c r="L468" s="17" t="s">
        <v>11411</v>
      </c>
      <c r="M468" s="3" t="s">
        <v>230</v>
      </c>
      <c r="N468" s="65" t="s">
        <v>524</v>
      </c>
      <c r="O468" s="6" t="s">
        <v>233</v>
      </c>
      <c r="P468" s="58">
        <v>168</v>
      </c>
      <c r="Q468" s="6" t="s">
        <v>240</v>
      </c>
      <c r="R468" s="222">
        <v>29.2</v>
      </c>
      <c r="S468" s="2">
        <v>157300</v>
      </c>
      <c r="T468" s="4">
        <v>0</v>
      </c>
      <c r="U468" s="4">
        <f t="shared" si="19"/>
        <v>0</v>
      </c>
      <c r="V468" s="3" t="s">
        <v>362</v>
      </c>
      <c r="W468" s="3">
        <v>2014</v>
      </c>
      <c r="X468" s="3" t="s">
        <v>11811</v>
      </c>
    </row>
    <row r="469" spans="1:25" ht="89.25">
      <c r="A469" s="3" t="s">
        <v>14174</v>
      </c>
      <c r="B469" s="6" t="s">
        <v>361</v>
      </c>
      <c r="C469" s="6" t="s">
        <v>14175</v>
      </c>
      <c r="D469" s="6" t="s">
        <v>255</v>
      </c>
      <c r="E469" s="6" t="s">
        <v>14176</v>
      </c>
      <c r="F469" s="6" t="s">
        <v>71</v>
      </c>
      <c r="G469" s="3" t="s">
        <v>11449</v>
      </c>
      <c r="H469" s="54">
        <v>0</v>
      </c>
      <c r="I469" s="16">
        <v>470000000</v>
      </c>
      <c r="J469" s="157" t="s">
        <v>229</v>
      </c>
      <c r="K469" s="5" t="s">
        <v>12128</v>
      </c>
      <c r="L469" s="17" t="s">
        <v>11411</v>
      </c>
      <c r="M469" s="3" t="s">
        <v>230</v>
      </c>
      <c r="N469" s="65" t="s">
        <v>524</v>
      </c>
      <c r="O469" s="6" t="s">
        <v>233</v>
      </c>
      <c r="P469" s="58">
        <v>168</v>
      </c>
      <c r="Q469" s="6" t="s">
        <v>240</v>
      </c>
      <c r="R469" s="222">
        <v>29.2</v>
      </c>
      <c r="S469" s="2">
        <v>157300</v>
      </c>
      <c r="T469" s="4">
        <v>0</v>
      </c>
      <c r="U469" s="4">
        <f t="shared" si="19"/>
        <v>0</v>
      </c>
      <c r="V469" s="3" t="s">
        <v>362</v>
      </c>
      <c r="W469" s="3">
        <v>2014</v>
      </c>
      <c r="X469" s="3" t="s">
        <v>12051</v>
      </c>
    </row>
    <row r="470" spans="1:25" ht="89.25">
      <c r="A470" s="3" t="s">
        <v>14610</v>
      </c>
      <c r="B470" s="6" t="s">
        <v>361</v>
      </c>
      <c r="C470" s="6" t="s">
        <v>14175</v>
      </c>
      <c r="D470" s="6" t="s">
        <v>255</v>
      </c>
      <c r="E470" s="6" t="s">
        <v>14176</v>
      </c>
      <c r="F470" s="6" t="s">
        <v>71</v>
      </c>
      <c r="G470" s="3" t="s">
        <v>11449</v>
      </c>
      <c r="H470" s="54">
        <v>0</v>
      </c>
      <c r="I470" s="16">
        <v>470000000</v>
      </c>
      <c r="J470" s="157" t="s">
        <v>229</v>
      </c>
      <c r="K470" s="5" t="s">
        <v>14611</v>
      </c>
      <c r="L470" s="17" t="s">
        <v>11411</v>
      </c>
      <c r="M470" s="3" t="s">
        <v>230</v>
      </c>
      <c r="N470" s="65" t="s">
        <v>524</v>
      </c>
      <c r="O470" s="6" t="s">
        <v>233</v>
      </c>
      <c r="P470" s="58">
        <v>168</v>
      </c>
      <c r="Q470" s="6" t="s">
        <v>240</v>
      </c>
      <c r="R470" s="222">
        <v>98.116222219999997</v>
      </c>
      <c r="S470" s="2">
        <v>157300</v>
      </c>
      <c r="T470" s="4">
        <v>0</v>
      </c>
      <c r="U470" s="4">
        <f t="shared" si="19"/>
        <v>0</v>
      </c>
      <c r="V470" s="3" t="s">
        <v>362</v>
      </c>
      <c r="W470" s="3">
        <v>2014</v>
      </c>
      <c r="X470" s="3" t="s">
        <v>16521</v>
      </c>
    </row>
    <row r="471" spans="1:25" ht="89.25">
      <c r="A471" s="3" t="s">
        <v>17473</v>
      </c>
      <c r="B471" s="6" t="s">
        <v>361</v>
      </c>
      <c r="C471" s="6" t="s">
        <v>14175</v>
      </c>
      <c r="D471" s="6" t="s">
        <v>255</v>
      </c>
      <c r="E471" s="6" t="s">
        <v>14176</v>
      </c>
      <c r="F471" s="6" t="s">
        <v>71</v>
      </c>
      <c r="G471" s="3" t="s">
        <v>11449</v>
      </c>
      <c r="H471" s="54">
        <v>0</v>
      </c>
      <c r="I471" s="16">
        <v>470000000</v>
      </c>
      <c r="J471" s="157" t="s">
        <v>229</v>
      </c>
      <c r="K471" s="5" t="s">
        <v>17401</v>
      </c>
      <c r="L471" s="17" t="s">
        <v>11411</v>
      </c>
      <c r="M471" s="3" t="s">
        <v>230</v>
      </c>
      <c r="N471" s="65" t="s">
        <v>521</v>
      </c>
      <c r="O471" s="6" t="s">
        <v>233</v>
      </c>
      <c r="P471" s="58">
        <v>168</v>
      </c>
      <c r="Q471" s="6" t="s">
        <v>240</v>
      </c>
      <c r="R471" s="222">
        <v>98.116222219999997</v>
      </c>
      <c r="S471" s="2">
        <v>171000</v>
      </c>
      <c r="T471" s="4">
        <v>0</v>
      </c>
      <c r="U471" s="4">
        <f t="shared" si="19"/>
        <v>0</v>
      </c>
      <c r="V471" s="3" t="s">
        <v>362</v>
      </c>
      <c r="W471" s="3">
        <v>2014</v>
      </c>
      <c r="X471" s="3">
        <v>11.22</v>
      </c>
    </row>
    <row r="472" spans="1:25" ht="89.25">
      <c r="A472" s="3" t="s">
        <v>19047</v>
      </c>
      <c r="B472" s="6" t="s">
        <v>361</v>
      </c>
      <c r="C472" s="6" t="s">
        <v>14175</v>
      </c>
      <c r="D472" s="6" t="s">
        <v>255</v>
      </c>
      <c r="E472" s="6" t="s">
        <v>14176</v>
      </c>
      <c r="F472" s="6" t="s">
        <v>71</v>
      </c>
      <c r="G472" s="3" t="s">
        <v>11449</v>
      </c>
      <c r="H472" s="54">
        <v>0</v>
      </c>
      <c r="I472" s="16">
        <v>470000000</v>
      </c>
      <c r="J472" s="157" t="s">
        <v>229</v>
      </c>
      <c r="K472" s="5" t="s">
        <v>18748</v>
      </c>
      <c r="L472" s="17" t="s">
        <v>11411</v>
      </c>
      <c r="M472" s="3" t="s">
        <v>230</v>
      </c>
      <c r="N472" s="65" t="s">
        <v>521</v>
      </c>
      <c r="O472" s="6" t="s">
        <v>233</v>
      </c>
      <c r="P472" s="58">
        <v>168</v>
      </c>
      <c r="Q472" s="6" t="s">
        <v>240</v>
      </c>
      <c r="R472" s="222">
        <v>98.116222219999997</v>
      </c>
      <c r="S472" s="2">
        <v>171000</v>
      </c>
      <c r="T472" s="4">
        <f>R472*S472</f>
        <v>16777873.999619998</v>
      </c>
      <c r="U472" s="4">
        <f t="shared" si="19"/>
        <v>18791218.879574399</v>
      </c>
      <c r="V472" s="3"/>
      <c r="W472" s="3">
        <v>2014</v>
      </c>
      <c r="X472" s="3"/>
    </row>
    <row r="473" spans="1:25" ht="102">
      <c r="A473" s="3" t="s">
        <v>796</v>
      </c>
      <c r="B473" s="6" t="s">
        <v>361</v>
      </c>
      <c r="C473" s="6" t="s">
        <v>3098</v>
      </c>
      <c r="D473" s="6" t="s">
        <v>255</v>
      </c>
      <c r="E473" s="6" t="s">
        <v>3099</v>
      </c>
      <c r="F473" s="6" t="s">
        <v>11516</v>
      </c>
      <c r="G473" s="3" t="s">
        <v>11449</v>
      </c>
      <c r="H473" s="54">
        <v>0</v>
      </c>
      <c r="I473" s="16">
        <v>470000000</v>
      </c>
      <c r="J473" s="157" t="s">
        <v>229</v>
      </c>
      <c r="K473" s="5" t="s">
        <v>210</v>
      </c>
      <c r="L473" s="6" t="s">
        <v>231</v>
      </c>
      <c r="M473" s="3" t="s">
        <v>230</v>
      </c>
      <c r="N473" s="65" t="s">
        <v>524</v>
      </c>
      <c r="O473" s="6" t="s">
        <v>233</v>
      </c>
      <c r="P473" s="58">
        <v>168</v>
      </c>
      <c r="Q473" s="6" t="s">
        <v>240</v>
      </c>
      <c r="R473" s="118">
        <v>23.1</v>
      </c>
      <c r="S473" s="2">
        <v>141240</v>
      </c>
      <c r="T473" s="4">
        <v>0</v>
      </c>
      <c r="U473" s="4">
        <f t="shared" si="19"/>
        <v>0</v>
      </c>
      <c r="V473" s="3" t="s">
        <v>362</v>
      </c>
      <c r="W473" s="3">
        <v>2014</v>
      </c>
      <c r="X473" s="3">
        <v>22</v>
      </c>
    </row>
    <row r="474" spans="1:25" ht="102">
      <c r="A474" s="3" t="s">
        <v>11982</v>
      </c>
      <c r="B474" s="6" t="s">
        <v>361</v>
      </c>
      <c r="C474" s="6" t="s">
        <v>3098</v>
      </c>
      <c r="D474" s="6" t="s">
        <v>255</v>
      </c>
      <c r="E474" s="6" t="s">
        <v>3099</v>
      </c>
      <c r="F474" s="6" t="s">
        <v>11516</v>
      </c>
      <c r="G474" s="3" t="s">
        <v>11449</v>
      </c>
      <c r="H474" s="54">
        <v>0</v>
      </c>
      <c r="I474" s="16">
        <v>470000000</v>
      </c>
      <c r="J474" s="157" t="s">
        <v>229</v>
      </c>
      <c r="K474" s="5" t="s">
        <v>210</v>
      </c>
      <c r="L474" s="6" t="s">
        <v>231</v>
      </c>
      <c r="M474" s="3" t="s">
        <v>230</v>
      </c>
      <c r="N474" s="65" t="s">
        <v>524</v>
      </c>
      <c r="O474" s="6" t="s">
        <v>233</v>
      </c>
      <c r="P474" s="58">
        <v>168</v>
      </c>
      <c r="Q474" s="6" t="s">
        <v>240</v>
      </c>
      <c r="R474" s="118">
        <v>23.1</v>
      </c>
      <c r="S474" s="2">
        <v>141240</v>
      </c>
      <c r="T474" s="4">
        <v>0</v>
      </c>
      <c r="U474" s="4">
        <f t="shared" si="19"/>
        <v>0</v>
      </c>
      <c r="V474" s="3"/>
      <c r="W474" s="3">
        <v>2014</v>
      </c>
      <c r="X474" s="3" t="s">
        <v>14588</v>
      </c>
    </row>
    <row r="475" spans="1:25" ht="102">
      <c r="A475" s="3" t="s">
        <v>14612</v>
      </c>
      <c r="B475" s="6" t="s">
        <v>361</v>
      </c>
      <c r="C475" s="6" t="s">
        <v>3098</v>
      </c>
      <c r="D475" s="6" t="s">
        <v>255</v>
      </c>
      <c r="E475" s="6" t="s">
        <v>3099</v>
      </c>
      <c r="F475" s="6" t="s">
        <v>11516</v>
      </c>
      <c r="G475" s="3" t="s">
        <v>11449</v>
      </c>
      <c r="H475" s="54">
        <v>0</v>
      </c>
      <c r="I475" s="16">
        <v>470000000</v>
      </c>
      <c r="J475" s="157" t="s">
        <v>229</v>
      </c>
      <c r="K475" s="5" t="s">
        <v>14662</v>
      </c>
      <c r="L475" s="6" t="s">
        <v>231</v>
      </c>
      <c r="M475" s="3" t="s">
        <v>230</v>
      </c>
      <c r="N475" s="65" t="s">
        <v>524</v>
      </c>
      <c r="O475" s="6" t="s">
        <v>233</v>
      </c>
      <c r="P475" s="58">
        <v>168</v>
      </c>
      <c r="Q475" s="6" t="s">
        <v>240</v>
      </c>
      <c r="R475" s="118">
        <v>14.2</v>
      </c>
      <c r="S475" s="2">
        <v>169488</v>
      </c>
      <c r="T475" s="4">
        <v>0</v>
      </c>
      <c r="U475" s="4">
        <f t="shared" si="19"/>
        <v>0</v>
      </c>
      <c r="V475" s="3"/>
      <c r="W475" s="3">
        <v>2014</v>
      </c>
      <c r="X475" s="3" t="s">
        <v>17399</v>
      </c>
      <c r="Y475" s="270"/>
    </row>
    <row r="476" spans="1:25" ht="102">
      <c r="A476" s="3" t="s">
        <v>17474</v>
      </c>
      <c r="B476" s="6" t="s">
        <v>361</v>
      </c>
      <c r="C476" s="6" t="s">
        <v>3098</v>
      </c>
      <c r="D476" s="6" t="s">
        <v>255</v>
      </c>
      <c r="E476" s="6" t="s">
        <v>3099</v>
      </c>
      <c r="F476" s="6" t="s">
        <v>11516</v>
      </c>
      <c r="G476" s="3" t="s">
        <v>11450</v>
      </c>
      <c r="H476" s="54">
        <v>0</v>
      </c>
      <c r="I476" s="16">
        <v>470000000</v>
      </c>
      <c r="J476" s="157" t="s">
        <v>229</v>
      </c>
      <c r="K476" s="5" t="s">
        <v>17401</v>
      </c>
      <c r="L476" s="6" t="s">
        <v>231</v>
      </c>
      <c r="M476" s="3" t="s">
        <v>230</v>
      </c>
      <c r="N476" s="65" t="s">
        <v>8914</v>
      </c>
      <c r="O476" s="6" t="s">
        <v>233</v>
      </c>
      <c r="P476" s="58">
        <v>168</v>
      </c>
      <c r="Q476" s="6" t="s">
        <v>240</v>
      </c>
      <c r="R476" s="118">
        <v>14.2</v>
      </c>
      <c r="S476" s="2">
        <v>169488</v>
      </c>
      <c r="T476" s="4">
        <v>0</v>
      </c>
      <c r="U476" s="4">
        <f t="shared" si="19"/>
        <v>0</v>
      </c>
      <c r="V476" s="3"/>
      <c r="W476" s="3">
        <v>2014</v>
      </c>
      <c r="X476" s="3" t="s">
        <v>12076</v>
      </c>
      <c r="Y476" s="270"/>
    </row>
    <row r="477" spans="1:25" ht="102">
      <c r="A477" s="3" t="s">
        <v>797</v>
      </c>
      <c r="B477" s="6" t="s">
        <v>361</v>
      </c>
      <c r="C477" s="6" t="s">
        <v>3098</v>
      </c>
      <c r="D477" s="6" t="s">
        <v>255</v>
      </c>
      <c r="E477" s="6" t="s">
        <v>3099</v>
      </c>
      <c r="F477" s="6" t="s">
        <v>7647</v>
      </c>
      <c r="G477" s="3" t="s">
        <v>11449</v>
      </c>
      <c r="H477" s="54">
        <v>0</v>
      </c>
      <c r="I477" s="16">
        <v>470000000</v>
      </c>
      <c r="J477" s="157" t="s">
        <v>229</v>
      </c>
      <c r="K477" s="5" t="s">
        <v>215</v>
      </c>
      <c r="L477" s="6" t="s">
        <v>231</v>
      </c>
      <c r="M477" s="3" t="s">
        <v>230</v>
      </c>
      <c r="N477" s="65" t="s">
        <v>524</v>
      </c>
      <c r="O477" s="6" t="s">
        <v>233</v>
      </c>
      <c r="P477" s="58">
        <v>168</v>
      </c>
      <c r="Q477" s="6" t="s">
        <v>240</v>
      </c>
      <c r="R477" s="118">
        <v>56</v>
      </c>
      <c r="S477" s="2">
        <v>141240</v>
      </c>
      <c r="T477" s="4">
        <v>0</v>
      </c>
      <c r="U477" s="4">
        <f t="shared" si="19"/>
        <v>0</v>
      </c>
      <c r="V477" s="3" t="s">
        <v>362</v>
      </c>
      <c r="W477" s="3">
        <v>2014</v>
      </c>
      <c r="X477" s="3">
        <v>11.12</v>
      </c>
    </row>
    <row r="478" spans="1:25" ht="89.25">
      <c r="A478" s="3" t="s">
        <v>11846</v>
      </c>
      <c r="B478" s="6" t="s">
        <v>361</v>
      </c>
      <c r="C478" s="6" t="s">
        <v>3098</v>
      </c>
      <c r="D478" s="6" t="s">
        <v>255</v>
      </c>
      <c r="E478" s="6" t="s">
        <v>3099</v>
      </c>
      <c r="F478" s="6" t="s">
        <v>7647</v>
      </c>
      <c r="G478" s="3" t="s">
        <v>11449</v>
      </c>
      <c r="H478" s="54">
        <v>0</v>
      </c>
      <c r="I478" s="16">
        <v>470000000</v>
      </c>
      <c r="J478" s="157" t="s">
        <v>229</v>
      </c>
      <c r="K478" s="5" t="s">
        <v>210</v>
      </c>
      <c r="L478" s="17" t="s">
        <v>11411</v>
      </c>
      <c r="M478" s="3" t="s">
        <v>230</v>
      </c>
      <c r="N478" s="65" t="s">
        <v>524</v>
      </c>
      <c r="O478" s="6" t="s">
        <v>233</v>
      </c>
      <c r="P478" s="58">
        <v>168</v>
      </c>
      <c r="Q478" s="6" t="s">
        <v>240</v>
      </c>
      <c r="R478" s="118">
        <v>56</v>
      </c>
      <c r="S478" s="2">
        <v>141240</v>
      </c>
      <c r="T478" s="4">
        <v>0</v>
      </c>
      <c r="U478" s="4">
        <f t="shared" si="19"/>
        <v>0</v>
      </c>
      <c r="V478" s="3" t="s">
        <v>362</v>
      </c>
      <c r="W478" s="3">
        <v>2014</v>
      </c>
      <c r="X478" s="3">
        <v>22</v>
      </c>
    </row>
    <row r="479" spans="1:25" ht="89.25">
      <c r="A479" s="3" t="s">
        <v>12059</v>
      </c>
      <c r="B479" s="6" t="s">
        <v>361</v>
      </c>
      <c r="C479" s="6" t="s">
        <v>3098</v>
      </c>
      <c r="D479" s="6" t="s">
        <v>255</v>
      </c>
      <c r="E479" s="6" t="s">
        <v>3099</v>
      </c>
      <c r="F479" s="6" t="s">
        <v>7647</v>
      </c>
      <c r="G479" s="3" t="s">
        <v>11449</v>
      </c>
      <c r="H479" s="54">
        <v>0</v>
      </c>
      <c r="I479" s="16">
        <v>470000000</v>
      </c>
      <c r="J479" s="157" t="s">
        <v>229</v>
      </c>
      <c r="K479" s="5" t="s">
        <v>210</v>
      </c>
      <c r="L479" s="17" t="s">
        <v>11411</v>
      </c>
      <c r="M479" s="3" t="s">
        <v>230</v>
      </c>
      <c r="N479" s="65" t="s">
        <v>524</v>
      </c>
      <c r="O479" s="6" t="s">
        <v>233</v>
      </c>
      <c r="P479" s="58">
        <v>168</v>
      </c>
      <c r="Q479" s="6" t="s">
        <v>240</v>
      </c>
      <c r="R479" s="118">
        <v>56</v>
      </c>
      <c r="S479" s="2">
        <v>141240</v>
      </c>
      <c r="T479" s="4">
        <v>0</v>
      </c>
      <c r="U479" s="4">
        <f t="shared" si="19"/>
        <v>0</v>
      </c>
      <c r="V479" s="3"/>
      <c r="W479" s="3">
        <v>2014</v>
      </c>
      <c r="X479" s="3" t="s">
        <v>12076</v>
      </c>
    </row>
    <row r="480" spans="1:25" ht="102">
      <c r="A480" s="3" t="s">
        <v>798</v>
      </c>
      <c r="B480" s="6" t="s">
        <v>361</v>
      </c>
      <c r="C480" s="6" t="s">
        <v>7650</v>
      </c>
      <c r="D480" s="6" t="s">
        <v>255</v>
      </c>
      <c r="E480" s="6" t="s">
        <v>7651</v>
      </c>
      <c r="F480" s="6" t="s">
        <v>7648</v>
      </c>
      <c r="G480" s="3" t="s">
        <v>11449</v>
      </c>
      <c r="H480" s="54">
        <v>0</v>
      </c>
      <c r="I480" s="16">
        <v>470000000</v>
      </c>
      <c r="J480" s="157" t="s">
        <v>229</v>
      </c>
      <c r="K480" s="5" t="s">
        <v>217</v>
      </c>
      <c r="L480" s="6" t="s">
        <v>231</v>
      </c>
      <c r="M480" s="3" t="s">
        <v>230</v>
      </c>
      <c r="N480" s="65" t="s">
        <v>524</v>
      </c>
      <c r="O480" s="6" t="s">
        <v>233</v>
      </c>
      <c r="P480" s="58">
        <v>168</v>
      </c>
      <c r="Q480" s="6" t="s">
        <v>240</v>
      </c>
      <c r="R480" s="118">
        <v>22</v>
      </c>
      <c r="S480" s="2">
        <v>141240</v>
      </c>
      <c r="T480" s="4">
        <v>0</v>
      </c>
      <c r="U480" s="4">
        <f t="shared" si="19"/>
        <v>0</v>
      </c>
      <c r="V480" s="3" t="s">
        <v>362</v>
      </c>
      <c r="W480" s="3">
        <v>2014</v>
      </c>
      <c r="X480" s="3">
        <v>11.12</v>
      </c>
    </row>
    <row r="481" spans="1:24" ht="89.25">
      <c r="A481" s="3" t="s">
        <v>11847</v>
      </c>
      <c r="B481" s="6" t="s">
        <v>361</v>
      </c>
      <c r="C481" s="6" t="s">
        <v>7650</v>
      </c>
      <c r="D481" s="6" t="s">
        <v>255</v>
      </c>
      <c r="E481" s="6" t="s">
        <v>7651</v>
      </c>
      <c r="F481" s="6" t="s">
        <v>7648</v>
      </c>
      <c r="G481" s="3" t="s">
        <v>11449</v>
      </c>
      <c r="H481" s="54">
        <v>0</v>
      </c>
      <c r="I481" s="16">
        <v>470000000</v>
      </c>
      <c r="J481" s="157" t="s">
        <v>229</v>
      </c>
      <c r="K481" s="5" t="s">
        <v>210</v>
      </c>
      <c r="L481" s="17" t="s">
        <v>11411</v>
      </c>
      <c r="M481" s="3" t="s">
        <v>230</v>
      </c>
      <c r="N481" s="65" t="s">
        <v>524</v>
      </c>
      <c r="O481" s="6" t="s">
        <v>233</v>
      </c>
      <c r="P481" s="58">
        <v>168</v>
      </c>
      <c r="Q481" s="6" t="s">
        <v>240</v>
      </c>
      <c r="R481" s="118">
        <v>22</v>
      </c>
      <c r="S481" s="2">
        <v>141240</v>
      </c>
      <c r="T481" s="4">
        <v>0</v>
      </c>
      <c r="U481" s="4">
        <f t="shared" si="19"/>
        <v>0</v>
      </c>
      <c r="V481" s="3" t="s">
        <v>362</v>
      </c>
      <c r="W481" s="3">
        <v>2014</v>
      </c>
      <c r="X481" s="3">
        <v>22</v>
      </c>
    </row>
    <row r="482" spans="1:24" ht="89.25">
      <c r="A482" s="3" t="s">
        <v>11983</v>
      </c>
      <c r="B482" s="6" t="s">
        <v>361</v>
      </c>
      <c r="C482" s="6" t="s">
        <v>7650</v>
      </c>
      <c r="D482" s="6" t="s">
        <v>255</v>
      </c>
      <c r="E482" s="6" t="s">
        <v>7651</v>
      </c>
      <c r="F482" s="6" t="s">
        <v>7648</v>
      </c>
      <c r="G482" s="3" t="s">
        <v>11449</v>
      </c>
      <c r="H482" s="54">
        <v>0</v>
      </c>
      <c r="I482" s="16">
        <v>470000000</v>
      </c>
      <c r="J482" s="157" t="s">
        <v>229</v>
      </c>
      <c r="K482" s="5" t="s">
        <v>210</v>
      </c>
      <c r="L482" s="17" t="s">
        <v>11411</v>
      </c>
      <c r="M482" s="3" t="s">
        <v>230</v>
      </c>
      <c r="N482" s="65" t="s">
        <v>524</v>
      </c>
      <c r="O482" s="6" t="s">
        <v>233</v>
      </c>
      <c r="P482" s="58">
        <v>168</v>
      </c>
      <c r="Q482" s="6" t="s">
        <v>240</v>
      </c>
      <c r="R482" s="118">
        <v>22</v>
      </c>
      <c r="S482" s="2">
        <v>141240</v>
      </c>
      <c r="T482" s="4">
        <v>0</v>
      </c>
      <c r="U482" s="4">
        <f t="shared" si="19"/>
        <v>0</v>
      </c>
      <c r="V482" s="3"/>
      <c r="W482" s="3">
        <v>2014</v>
      </c>
      <c r="X482" s="3" t="s">
        <v>12076</v>
      </c>
    </row>
    <row r="483" spans="1:24" ht="102">
      <c r="A483" s="3" t="s">
        <v>799</v>
      </c>
      <c r="B483" s="6" t="s">
        <v>361</v>
      </c>
      <c r="C483" s="6" t="s">
        <v>3108</v>
      </c>
      <c r="D483" s="6" t="s">
        <v>255</v>
      </c>
      <c r="E483" s="6" t="s">
        <v>3109</v>
      </c>
      <c r="F483" s="6" t="s">
        <v>7649</v>
      </c>
      <c r="G483" s="3" t="s">
        <v>11449</v>
      </c>
      <c r="H483" s="54">
        <v>0</v>
      </c>
      <c r="I483" s="16">
        <v>470000000</v>
      </c>
      <c r="J483" s="157" t="s">
        <v>229</v>
      </c>
      <c r="K483" s="5" t="s">
        <v>214</v>
      </c>
      <c r="L483" s="6" t="s">
        <v>231</v>
      </c>
      <c r="M483" s="3" t="s">
        <v>230</v>
      </c>
      <c r="N483" s="65" t="s">
        <v>524</v>
      </c>
      <c r="O483" s="6" t="s">
        <v>233</v>
      </c>
      <c r="P483" s="58">
        <v>168</v>
      </c>
      <c r="Q483" s="6" t="s">
        <v>240</v>
      </c>
      <c r="R483" s="118">
        <v>250</v>
      </c>
      <c r="S483" s="2">
        <v>141240</v>
      </c>
      <c r="T483" s="4">
        <v>0</v>
      </c>
      <c r="U483" s="4">
        <f t="shared" si="19"/>
        <v>0</v>
      </c>
      <c r="V483" s="3" t="s">
        <v>362</v>
      </c>
      <c r="W483" s="3">
        <v>2014</v>
      </c>
      <c r="X483" s="3">
        <v>11.12</v>
      </c>
    </row>
    <row r="484" spans="1:24" ht="89.25">
      <c r="A484" s="3" t="s">
        <v>11848</v>
      </c>
      <c r="B484" s="6" t="s">
        <v>361</v>
      </c>
      <c r="C484" s="6" t="s">
        <v>3108</v>
      </c>
      <c r="D484" s="6" t="s">
        <v>255</v>
      </c>
      <c r="E484" s="6" t="s">
        <v>3109</v>
      </c>
      <c r="F484" s="6" t="s">
        <v>7649</v>
      </c>
      <c r="G484" s="3" t="s">
        <v>11449</v>
      </c>
      <c r="H484" s="54">
        <v>0</v>
      </c>
      <c r="I484" s="16">
        <v>470000000</v>
      </c>
      <c r="J484" s="157" t="s">
        <v>229</v>
      </c>
      <c r="K484" s="5" t="s">
        <v>210</v>
      </c>
      <c r="L484" s="17" t="s">
        <v>11411</v>
      </c>
      <c r="M484" s="3" t="s">
        <v>230</v>
      </c>
      <c r="N484" s="65" t="s">
        <v>524</v>
      </c>
      <c r="O484" s="6" t="s">
        <v>233</v>
      </c>
      <c r="P484" s="58">
        <v>168</v>
      </c>
      <c r="Q484" s="6" t="s">
        <v>240</v>
      </c>
      <c r="R484" s="118">
        <v>250</v>
      </c>
      <c r="S484" s="2">
        <v>141240</v>
      </c>
      <c r="T484" s="4">
        <v>0</v>
      </c>
      <c r="U484" s="4">
        <f t="shared" si="19"/>
        <v>0</v>
      </c>
      <c r="V484" s="3" t="s">
        <v>362</v>
      </c>
      <c r="W484" s="3">
        <v>2014</v>
      </c>
      <c r="X484" s="3">
        <v>22</v>
      </c>
    </row>
    <row r="485" spans="1:24" ht="89.25">
      <c r="A485" s="3" t="s">
        <v>11984</v>
      </c>
      <c r="B485" s="6" t="s">
        <v>361</v>
      </c>
      <c r="C485" s="6" t="s">
        <v>3108</v>
      </c>
      <c r="D485" s="6" t="s">
        <v>255</v>
      </c>
      <c r="E485" s="6" t="s">
        <v>3109</v>
      </c>
      <c r="F485" s="6" t="s">
        <v>7649</v>
      </c>
      <c r="G485" s="3" t="s">
        <v>11449</v>
      </c>
      <c r="H485" s="54">
        <v>0</v>
      </c>
      <c r="I485" s="16">
        <v>470000000</v>
      </c>
      <c r="J485" s="157" t="s">
        <v>229</v>
      </c>
      <c r="K485" s="5" t="s">
        <v>210</v>
      </c>
      <c r="L485" s="17" t="s">
        <v>11411</v>
      </c>
      <c r="M485" s="3" t="s">
        <v>230</v>
      </c>
      <c r="N485" s="65" t="s">
        <v>524</v>
      </c>
      <c r="O485" s="6" t="s">
        <v>233</v>
      </c>
      <c r="P485" s="58">
        <v>168</v>
      </c>
      <c r="Q485" s="6" t="s">
        <v>240</v>
      </c>
      <c r="R485" s="118">
        <v>250</v>
      </c>
      <c r="S485" s="2">
        <v>141240</v>
      </c>
      <c r="T485" s="4">
        <v>0</v>
      </c>
      <c r="U485" s="4">
        <f t="shared" ref="U485:U532" si="25">T485*1.12</f>
        <v>0</v>
      </c>
      <c r="V485" s="3"/>
      <c r="W485" s="3">
        <v>2014</v>
      </c>
      <c r="X485" s="3" t="s">
        <v>12076</v>
      </c>
    </row>
    <row r="486" spans="1:24" ht="102">
      <c r="A486" s="3" t="s">
        <v>800</v>
      </c>
      <c r="B486" s="6" t="s">
        <v>361</v>
      </c>
      <c r="C486" s="6" t="s">
        <v>3100</v>
      </c>
      <c r="D486" s="6" t="s">
        <v>255</v>
      </c>
      <c r="E486" s="6" t="s">
        <v>3101</v>
      </c>
      <c r="F486" s="6" t="s">
        <v>14613</v>
      </c>
      <c r="G486" s="3" t="s">
        <v>11449</v>
      </c>
      <c r="H486" s="54">
        <v>0</v>
      </c>
      <c r="I486" s="16">
        <v>470000000</v>
      </c>
      <c r="J486" s="157" t="s">
        <v>229</v>
      </c>
      <c r="K486" s="5" t="s">
        <v>215</v>
      </c>
      <c r="L486" s="6" t="s">
        <v>231</v>
      </c>
      <c r="M486" s="3" t="s">
        <v>230</v>
      </c>
      <c r="N486" s="65" t="s">
        <v>524</v>
      </c>
      <c r="O486" s="6" t="s">
        <v>233</v>
      </c>
      <c r="P486" s="58">
        <v>168</v>
      </c>
      <c r="Q486" s="6" t="s">
        <v>240</v>
      </c>
      <c r="R486" s="118">
        <v>45</v>
      </c>
      <c r="S486" s="2">
        <v>141240</v>
      </c>
      <c r="T486" s="4">
        <v>0</v>
      </c>
      <c r="U486" s="4">
        <f t="shared" si="25"/>
        <v>0</v>
      </c>
      <c r="V486" s="3" t="s">
        <v>362</v>
      </c>
      <c r="W486" s="3">
        <v>2014</v>
      </c>
      <c r="X486" s="3">
        <v>11.12</v>
      </c>
    </row>
    <row r="487" spans="1:24" ht="89.25">
      <c r="A487" s="3" t="s">
        <v>11850</v>
      </c>
      <c r="B487" s="6" t="s">
        <v>361</v>
      </c>
      <c r="C487" s="6" t="s">
        <v>3100</v>
      </c>
      <c r="D487" s="6" t="s">
        <v>255</v>
      </c>
      <c r="E487" s="6" t="s">
        <v>3101</v>
      </c>
      <c r="F487" s="6" t="s">
        <v>14613</v>
      </c>
      <c r="G487" s="3" t="s">
        <v>11449</v>
      </c>
      <c r="H487" s="54">
        <v>0</v>
      </c>
      <c r="I487" s="16">
        <v>470000000</v>
      </c>
      <c r="J487" s="157" t="s">
        <v>229</v>
      </c>
      <c r="K487" s="5" t="s">
        <v>210</v>
      </c>
      <c r="L487" s="17" t="s">
        <v>11411</v>
      </c>
      <c r="M487" s="3" t="s">
        <v>230</v>
      </c>
      <c r="N487" s="65" t="s">
        <v>524</v>
      </c>
      <c r="O487" s="6" t="s">
        <v>233</v>
      </c>
      <c r="P487" s="58">
        <v>168</v>
      </c>
      <c r="Q487" s="6" t="s">
        <v>240</v>
      </c>
      <c r="R487" s="118">
        <v>45</v>
      </c>
      <c r="S487" s="2">
        <v>141240</v>
      </c>
      <c r="T487" s="4">
        <v>0</v>
      </c>
      <c r="U487" s="4">
        <f t="shared" si="25"/>
        <v>0</v>
      </c>
      <c r="V487" s="3" t="s">
        <v>362</v>
      </c>
      <c r="W487" s="3">
        <v>2014</v>
      </c>
      <c r="X487" s="3">
        <v>22</v>
      </c>
    </row>
    <row r="488" spans="1:24" ht="89.25">
      <c r="A488" s="3" t="s">
        <v>11985</v>
      </c>
      <c r="B488" s="6" t="s">
        <v>361</v>
      </c>
      <c r="C488" s="6" t="s">
        <v>3100</v>
      </c>
      <c r="D488" s="6" t="s">
        <v>255</v>
      </c>
      <c r="E488" s="6" t="s">
        <v>3101</v>
      </c>
      <c r="F488" s="6" t="s">
        <v>14613</v>
      </c>
      <c r="G488" s="3" t="s">
        <v>11449</v>
      </c>
      <c r="H488" s="54">
        <v>0</v>
      </c>
      <c r="I488" s="16">
        <v>470000000</v>
      </c>
      <c r="J488" s="157" t="s">
        <v>229</v>
      </c>
      <c r="K488" s="5" t="s">
        <v>210</v>
      </c>
      <c r="L488" s="17" t="s">
        <v>11411</v>
      </c>
      <c r="M488" s="3" t="s">
        <v>230</v>
      </c>
      <c r="N488" s="65" t="s">
        <v>524</v>
      </c>
      <c r="O488" s="6" t="s">
        <v>233</v>
      </c>
      <c r="P488" s="58">
        <v>168</v>
      </c>
      <c r="Q488" s="6" t="s">
        <v>240</v>
      </c>
      <c r="R488" s="118">
        <v>45</v>
      </c>
      <c r="S488" s="2">
        <v>141240</v>
      </c>
      <c r="T488" s="4">
        <v>0</v>
      </c>
      <c r="U488" s="4">
        <f t="shared" si="25"/>
        <v>0</v>
      </c>
      <c r="V488" s="3"/>
      <c r="W488" s="3">
        <v>2014</v>
      </c>
      <c r="X488" s="3" t="s">
        <v>12076</v>
      </c>
    </row>
    <row r="489" spans="1:24" ht="102">
      <c r="A489" s="3" t="s">
        <v>801</v>
      </c>
      <c r="B489" s="6" t="s">
        <v>361</v>
      </c>
      <c r="C489" s="6" t="s">
        <v>3139</v>
      </c>
      <c r="D489" s="6" t="s">
        <v>255</v>
      </c>
      <c r="E489" s="6" t="s">
        <v>3140</v>
      </c>
      <c r="F489" s="6" t="s">
        <v>3127</v>
      </c>
      <c r="G489" s="3" t="s">
        <v>11450</v>
      </c>
      <c r="H489" s="54">
        <v>0</v>
      </c>
      <c r="I489" s="16">
        <v>470000000</v>
      </c>
      <c r="J489" s="157" t="s">
        <v>229</v>
      </c>
      <c r="K489" s="5" t="s">
        <v>217</v>
      </c>
      <c r="L489" s="6" t="s">
        <v>231</v>
      </c>
      <c r="M489" s="3" t="s">
        <v>230</v>
      </c>
      <c r="N489" s="65" t="s">
        <v>524</v>
      </c>
      <c r="O489" s="6" t="s">
        <v>233</v>
      </c>
      <c r="P489" s="58">
        <v>168</v>
      </c>
      <c r="Q489" s="6" t="s">
        <v>240</v>
      </c>
      <c r="R489" s="118">
        <v>2.5</v>
      </c>
      <c r="S489" s="2">
        <v>188320</v>
      </c>
      <c r="T489" s="4">
        <v>0</v>
      </c>
      <c r="U489" s="4">
        <f t="shared" si="25"/>
        <v>0</v>
      </c>
      <c r="V489" s="3" t="s">
        <v>362</v>
      </c>
      <c r="W489" s="3">
        <v>2014</v>
      </c>
      <c r="X489" s="3" t="s">
        <v>12076</v>
      </c>
    </row>
    <row r="490" spans="1:24" ht="102">
      <c r="A490" s="3" t="s">
        <v>802</v>
      </c>
      <c r="B490" s="6" t="s">
        <v>361</v>
      </c>
      <c r="C490" s="6" t="s">
        <v>3129</v>
      </c>
      <c r="D490" s="6" t="s">
        <v>255</v>
      </c>
      <c r="E490" s="6" t="s">
        <v>3130</v>
      </c>
      <c r="F490" s="6" t="s">
        <v>3128</v>
      </c>
      <c r="G490" s="3" t="s">
        <v>11450</v>
      </c>
      <c r="H490" s="54">
        <v>0</v>
      </c>
      <c r="I490" s="16">
        <v>470000000</v>
      </c>
      <c r="J490" s="157" t="s">
        <v>229</v>
      </c>
      <c r="K490" s="5" t="s">
        <v>211</v>
      </c>
      <c r="L490" s="6" t="s">
        <v>231</v>
      </c>
      <c r="M490" s="3" t="s">
        <v>230</v>
      </c>
      <c r="N490" s="65" t="s">
        <v>524</v>
      </c>
      <c r="O490" s="6" t="s">
        <v>233</v>
      </c>
      <c r="P490" s="58">
        <v>168</v>
      </c>
      <c r="Q490" s="6" t="s">
        <v>240</v>
      </c>
      <c r="R490" s="118">
        <v>3.7</v>
      </c>
      <c r="S490" s="2">
        <v>188320</v>
      </c>
      <c r="T490" s="4">
        <v>0</v>
      </c>
      <c r="U490" s="4">
        <f t="shared" si="25"/>
        <v>0</v>
      </c>
      <c r="V490" s="3" t="s">
        <v>362</v>
      </c>
      <c r="W490" s="3">
        <v>2014</v>
      </c>
      <c r="X490" s="3" t="s">
        <v>12076</v>
      </c>
    </row>
    <row r="491" spans="1:24" ht="102">
      <c r="A491" s="3" t="s">
        <v>803</v>
      </c>
      <c r="B491" s="6" t="s">
        <v>361</v>
      </c>
      <c r="C491" s="6" t="s">
        <v>3131</v>
      </c>
      <c r="D491" s="6" t="s">
        <v>255</v>
      </c>
      <c r="E491" s="6" t="s">
        <v>3132</v>
      </c>
      <c r="F491" s="6" t="s">
        <v>72</v>
      </c>
      <c r="G491" s="3" t="s">
        <v>11450</v>
      </c>
      <c r="H491" s="54">
        <v>0</v>
      </c>
      <c r="I491" s="16">
        <v>470000000</v>
      </c>
      <c r="J491" s="157" t="s">
        <v>229</v>
      </c>
      <c r="K491" s="5" t="s">
        <v>211</v>
      </c>
      <c r="L491" s="6" t="s">
        <v>231</v>
      </c>
      <c r="M491" s="3" t="s">
        <v>230</v>
      </c>
      <c r="N491" s="65" t="s">
        <v>524</v>
      </c>
      <c r="O491" s="6" t="s">
        <v>233</v>
      </c>
      <c r="P491" s="58">
        <v>168</v>
      </c>
      <c r="Q491" s="6" t="s">
        <v>240</v>
      </c>
      <c r="R491" s="118">
        <v>2.5</v>
      </c>
      <c r="S491" s="2">
        <v>188320</v>
      </c>
      <c r="T491" s="4">
        <v>0</v>
      </c>
      <c r="U491" s="4">
        <f t="shared" si="25"/>
        <v>0</v>
      </c>
      <c r="V491" s="3" t="s">
        <v>362</v>
      </c>
      <c r="W491" s="3">
        <v>2014</v>
      </c>
      <c r="X491" s="3" t="s">
        <v>12076</v>
      </c>
    </row>
    <row r="492" spans="1:24" ht="102">
      <c r="A492" s="3" t="s">
        <v>804</v>
      </c>
      <c r="B492" s="6" t="s">
        <v>361</v>
      </c>
      <c r="C492" s="6" t="s">
        <v>3133</v>
      </c>
      <c r="D492" s="6" t="s">
        <v>255</v>
      </c>
      <c r="E492" s="6" t="s">
        <v>3134</v>
      </c>
      <c r="F492" s="6" t="s">
        <v>73</v>
      </c>
      <c r="G492" s="3" t="s">
        <v>11450</v>
      </c>
      <c r="H492" s="54">
        <v>0</v>
      </c>
      <c r="I492" s="16">
        <v>470000000</v>
      </c>
      <c r="J492" s="157" t="s">
        <v>229</v>
      </c>
      <c r="K492" s="5" t="s">
        <v>211</v>
      </c>
      <c r="L492" s="6" t="s">
        <v>231</v>
      </c>
      <c r="M492" s="3" t="s">
        <v>230</v>
      </c>
      <c r="N492" s="65" t="s">
        <v>524</v>
      </c>
      <c r="O492" s="6" t="s">
        <v>233</v>
      </c>
      <c r="P492" s="58">
        <v>168</v>
      </c>
      <c r="Q492" s="6" t="s">
        <v>240</v>
      </c>
      <c r="R492" s="118">
        <v>6</v>
      </c>
      <c r="S492" s="2">
        <v>188320</v>
      </c>
      <c r="T492" s="4">
        <v>0</v>
      </c>
      <c r="U492" s="4">
        <f t="shared" si="25"/>
        <v>0</v>
      </c>
      <c r="V492" s="3" t="s">
        <v>362</v>
      </c>
      <c r="W492" s="3">
        <v>2014</v>
      </c>
      <c r="X492" s="3" t="s">
        <v>12076</v>
      </c>
    </row>
    <row r="493" spans="1:24" ht="102">
      <c r="A493" s="3" t="s">
        <v>805</v>
      </c>
      <c r="B493" s="6" t="s">
        <v>361</v>
      </c>
      <c r="C493" s="6" t="s">
        <v>3135</v>
      </c>
      <c r="D493" s="6" t="s">
        <v>255</v>
      </c>
      <c r="E493" s="6" t="s">
        <v>3136</v>
      </c>
      <c r="F493" s="6" t="s">
        <v>74</v>
      </c>
      <c r="G493" s="3" t="s">
        <v>11450</v>
      </c>
      <c r="H493" s="54">
        <v>0</v>
      </c>
      <c r="I493" s="16">
        <v>470000000</v>
      </c>
      <c r="J493" s="157" t="s">
        <v>229</v>
      </c>
      <c r="K493" s="5" t="s">
        <v>211</v>
      </c>
      <c r="L493" s="6" t="s">
        <v>231</v>
      </c>
      <c r="M493" s="3" t="s">
        <v>230</v>
      </c>
      <c r="N493" s="65" t="s">
        <v>524</v>
      </c>
      <c r="O493" s="6" t="s">
        <v>233</v>
      </c>
      <c r="P493" s="58">
        <v>168</v>
      </c>
      <c r="Q493" s="6" t="s">
        <v>240</v>
      </c>
      <c r="R493" s="118">
        <v>2</v>
      </c>
      <c r="S493" s="2">
        <v>188320</v>
      </c>
      <c r="T493" s="4">
        <v>0</v>
      </c>
      <c r="U493" s="4">
        <f t="shared" si="25"/>
        <v>0</v>
      </c>
      <c r="V493" s="3" t="s">
        <v>362</v>
      </c>
      <c r="W493" s="3">
        <v>2014</v>
      </c>
      <c r="X493" s="3" t="s">
        <v>12076</v>
      </c>
    </row>
    <row r="494" spans="1:24" ht="102">
      <c r="A494" s="3" t="s">
        <v>806</v>
      </c>
      <c r="B494" s="6" t="s">
        <v>361</v>
      </c>
      <c r="C494" s="6" t="s">
        <v>3137</v>
      </c>
      <c r="D494" s="6" t="s">
        <v>255</v>
      </c>
      <c r="E494" s="6" t="s">
        <v>3138</v>
      </c>
      <c r="F494" s="6" t="s">
        <v>75</v>
      </c>
      <c r="G494" s="3" t="s">
        <v>11450</v>
      </c>
      <c r="H494" s="54">
        <v>0</v>
      </c>
      <c r="I494" s="16">
        <v>470000000</v>
      </c>
      <c r="J494" s="157" t="s">
        <v>229</v>
      </c>
      <c r="K494" s="5" t="s">
        <v>211</v>
      </c>
      <c r="L494" s="6" t="s">
        <v>231</v>
      </c>
      <c r="M494" s="3" t="s">
        <v>230</v>
      </c>
      <c r="N494" s="65" t="s">
        <v>524</v>
      </c>
      <c r="O494" s="6" t="s">
        <v>233</v>
      </c>
      <c r="P494" s="58">
        <v>168</v>
      </c>
      <c r="Q494" s="6" t="s">
        <v>240</v>
      </c>
      <c r="R494" s="118">
        <v>1.5</v>
      </c>
      <c r="S494" s="2">
        <v>188320</v>
      </c>
      <c r="T494" s="4">
        <v>0</v>
      </c>
      <c r="U494" s="4">
        <f t="shared" si="25"/>
        <v>0</v>
      </c>
      <c r="V494" s="3" t="s">
        <v>362</v>
      </c>
      <c r="W494" s="3">
        <v>2014</v>
      </c>
      <c r="X494" s="3" t="s">
        <v>12076</v>
      </c>
    </row>
    <row r="495" spans="1:24" ht="102">
      <c r="A495" s="3" t="s">
        <v>807</v>
      </c>
      <c r="B495" s="6" t="s">
        <v>361</v>
      </c>
      <c r="C495" s="6" t="s">
        <v>3175</v>
      </c>
      <c r="D495" s="6" t="s">
        <v>3014</v>
      </c>
      <c r="E495" s="6" t="s">
        <v>3176</v>
      </c>
      <c r="F495" s="6" t="s">
        <v>3141</v>
      </c>
      <c r="G495" s="3" t="s">
        <v>11449</v>
      </c>
      <c r="H495" s="54">
        <v>0</v>
      </c>
      <c r="I495" s="16">
        <v>470000000</v>
      </c>
      <c r="J495" s="157" t="s">
        <v>229</v>
      </c>
      <c r="K495" s="5" t="s">
        <v>214</v>
      </c>
      <c r="L495" s="6" t="s">
        <v>231</v>
      </c>
      <c r="M495" s="3" t="s">
        <v>230</v>
      </c>
      <c r="N495" s="6" t="s">
        <v>524</v>
      </c>
      <c r="O495" s="6" t="s">
        <v>233</v>
      </c>
      <c r="P495" s="58">
        <v>796</v>
      </c>
      <c r="Q495" s="6" t="s">
        <v>234</v>
      </c>
      <c r="R495" s="21">
        <v>20</v>
      </c>
      <c r="S495" s="2">
        <v>59570</v>
      </c>
      <c r="T495" s="4">
        <v>0</v>
      </c>
      <c r="U495" s="4">
        <f t="shared" si="25"/>
        <v>0</v>
      </c>
      <c r="V495" s="3" t="s">
        <v>362</v>
      </c>
      <c r="W495" s="3">
        <v>2014</v>
      </c>
      <c r="X495" s="3" t="s">
        <v>11817</v>
      </c>
    </row>
    <row r="496" spans="1:24" ht="89.25">
      <c r="A496" s="3" t="s">
        <v>11851</v>
      </c>
      <c r="B496" s="6" t="s">
        <v>361</v>
      </c>
      <c r="C496" s="6" t="s">
        <v>3175</v>
      </c>
      <c r="D496" s="6" t="s">
        <v>3014</v>
      </c>
      <c r="E496" s="6" t="s">
        <v>3176</v>
      </c>
      <c r="F496" s="6" t="s">
        <v>3141</v>
      </c>
      <c r="G496" s="3" t="s">
        <v>11450</v>
      </c>
      <c r="H496" s="54">
        <v>0</v>
      </c>
      <c r="I496" s="16">
        <v>470000000</v>
      </c>
      <c r="J496" s="157" t="s">
        <v>229</v>
      </c>
      <c r="K496" s="5" t="s">
        <v>210</v>
      </c>
      <c r="L496" s="17" t="s">
        <v>11411</v>
      </c>
      <c r="M496" s="3" t="s">
        <v>230</v>
      </c>
      <c r="N496" s="6" t="s">
        <v>524</v>
      </c>
      <c r="O496" s="6" t="s">
        <v>233</v>
      </c>
      <c r="P496" s="58">
        <v>796</v>
      </c>
      <c r="Q496" s="6" t="s">
        <v>234</v>
      </c>
      <c r="R496" s="21">
        <v>20</v>
      </c>
      <c r="S496" s="2">
        <v>59570</v>
      </c>
      <c r="T496" s="4">
        <v>0</v>
      </c>
      <c r="U496" s="4">
        <f t="shared" si="25"/>
        <v>0</v>
      </c>
      <c r="V496" s="3" t="s">
        <v>362</v>
      </c>
      <c r="W496" s="3">
        <v>2014</v>
      </c>
      <c r="X496" s="3">
        <v>14</v>
      </c>
    </row>
    <row r="497" spans="1:24" ht="89.25">
      <c r="A497" s="3" t="s">
        <v>12067</v>
      </c>
      <c r="B497" s="6" t="s">
        <v>361</v>
      </c>
      <c r="C497" s="6" t="s">
        <v>3175</v>
      </c>
      <c r="D497" s="6" t="s">
        <v>3014</v>
      </c>
      <c r="E497" s="6" t="s">
        <v>3176</v>
      </c>
      <c r="F497" s="6" t="s">
        <v>3141</v>
      </c>
      <c r="G497" s="3" t="s">
        <v>11450</v>
      </c>
      <c r="H497" s="54">
        <v>0</v>
      </c>
      <c r="I497" s="16">
        <v>470000000</v>
      </c>
      <c r="J497" s="157" t="s">
        <v>229</v>
      </c>
      <c r="K497" s="5" t="s">
        <v>210</v>
      </c>
      <c r="L497" s="17" t="s">
        <v>11411</v>
      </c>
      <c r="M497" s="3" t="s">
        <v>230</v>
      </c>
      <c r="N497" s="6" t="s">
        <v>8914</v>
      </c>
      <c r="O497" s="6" t="s">
        <v>233</v>
      </c>
      <c r="P497" s="58">
        <v>796</v>
      </c>
      <c r="Q497" s="6" t="s">
        <v>234</v>
      </c>
      <c r="R497" s="21">
        <v>20</v>
      </c>
      <c r="S497" s="2">
        <v>59570</v>
      </c>
      <c r="T497" s="4">
        <v>0</v>
      </c>
      <c r="U497" s="4">
        <f>T497*1.12</f>
        <v>0</v>
      </c>
      <c r="V497" s="3" t="s">
        <v>362</v>
      </c>
      <c r="W497" s="3">
        <v>2014</v>
      </c>
      <c r="X497" s="3" t="s">
        <v>14785</v>
      </c>
    </row>
    <row r="498" spans="1:24" ht="89.25">
      <c r="A498" s="3" t="s">
        <v>14958</v>
      </c>
      <c r="B498" s="6" t="s">
        <v>361</v>
      </c>
      <c r="C498" s="6" t="s">
        <v>3175</v>
      </c>
      <c r="D498" s="6" t="s">
        <v>3014</v>
      </c>
      <c r="E498" s="6" t="s">
        <v>3176</v>
      </c>
      <c r="F498" s="6" t="s">
        <v>3141</v>
      </c>
      <c r="G498" s="3" t="s">
        <v>11450</v>
      </c>
      <c r="H498" s="54">
        <v>0</v>
      </c>
      <c r="I498" s="16">
        <v>470000000</v>
      </c>
      <c r="J498" s="157" t="s">
        <v>229</v>
      </c>
      <c r="K498" s="5" t="s">
        <v>14662</v>
      </c>
      <c r="L498" s="17" t="s">
        <v>11411</v>
      </c>
      <c r="M498" s="3" t="s">
        <v>230</v>
      </c>
      <c r="N498" s="6" t="s">
        <v>8914</v>
      </c>
      <c r="O498" s="6" t="s">
        <v>233</v>
      </c>
      <c r="P498" s="58">
        <v>796</v>
      </c>
      <c r="Q498" s="6" t="s">
        <v>234</v>
      </c>
      <c r="R498" s="21">
        <v>20</v>
      </c>
      <c r="S498" s="2">
        <v>56700</v>
      </c>
      <c r="T498" s="4">
        <f>R498*S498</f>
        <v>1134000</v>
      </c>
      <c r="U498" s="4">
        <f>T498*1.12</f>
        <v>1270080.0000000002</v>
      </c>
      <c r="V498" s="3" t="s">
        <v>362</v>
      </c>
      <c r="W498" s="3">
        <v>2014</v>
      </c>
      <c r="X498" s="3"/>
    </row>
    <row r="499" spans="1:24" ht="102">
      <c r="A499" s="3" t="s">
        <v>808</v>
      </c>
      <c r="B499" s="6" t="s">
        <v>361</v>
      </c>
      <c r="C499" s="6" t="s">
        <v>3162</v>
      </c>
      <c r="D499" s="6" t="s">
        <v>3014</v>
      </c>
      <c r="E499" s="6" t="s">
        <v>3163</v>
      </c>
      <c r="F499" s="6" t="s">
        <v>3142</v>
      </c>
      <c r="G499" s="3" t="s">
        <v>11449</v>
      </c>
      <c r="H499" s="54">
        <v>0</v>
      </c>
      <c r="I499" s="16">
        <v>470000000</v>
      </c>
      <c r="J499" s="157" t="s">
        <v>229</v>
      </c>
      <c r="K499" s="5" t="s">
        <v>210</v>
      </c>
      <c r="L499" s="6" t="s">
        <v>231</v>
      </c>
      <c r="M499" s="3" t="s">
        <v>230</v>
      </c>
      <c r="N499" s="6" t="s">
        <v>524</v>
      </c>
      <c r="O499" s="6" t="s">
        <v>233</v>
      </c>
      <c r="P499" s="58">
        <v>796</v>
      </c>
      <c r="Q499" s="6" t="s">
        <v>234</v>
      </c>
      <c r="R499" s="21">
        <v>10</v>
      </c>
      <c r="S499" s="2">
        <v>49280</v>
      </c>
      <c r="T499" s="4">
        <v>0</v>
      </c>
      <c r="U499" s="4">
        <f t="shared" si="25"/>
        <v>0</v>
      </c>
      <c r="V499" s="3" t="s">
        <v>362</v>
      </c>
      <c r="W499" s="3">
        <v>2014</v>
      </c>
      <c r="X499" s="3">
        <v>7.12</v>
      </c>
    </row>
    <row r="500" spans="1:24" ht="89.25">
      <c r="A500" s="3" t="s">
        <v>11852</v>
      </c>
      <c r="B500" s="6" t="s">
        <v>361</v>
      </c>
      <c r="C500" s="6" t="s">
        <v>3162</v>
      </c>
      <c r="D500" s="6" t="s">
        <v>3014</v>
      </c>
      <c r="E500" s="6" t="s">
        <v>3163</v>
      </c>
      <c r="F500" s="6" t="s">
        <v>3142</v>
      </c>
      <c r="G500" s="3" t="s">
        <v>11450</v>
      </c>
      <c r="H500" s="54">
        <v>0</v>
      </c>
      <c r="I500" s="16">
        <v>470000000</v>
      </c>
      <c r="J500" s="157" t="s">
        <v>229</v>
      </c>
      <c r="K500" s="5" t="s">
        <v>210</v>
      </c>
      <c r="L500" s="17" t="s">
        <v>11411</v>
      </c>
      <c r="M500" s="3" t="s">
        <v>230</v>
      </c>
      <c r="N500" s="6" t="s">
        <v>524</v>
      </c>
      <c r="O500" s="6" t="s">
        <v>233</v>
      </c>
      <c r="P500" s="58">
        <v>796</v>
      </c>
      <c r="Q500" s="6" t="s">
        <v>234</v>
      </c>
      <c r="R500" s="21">
        <v>10</v>
      </c>
      <c r="S500" s="2">
        <v>49280</v>
      </c>
      <c r="T500" s="4">
        <v>0</v>
      </c>
      <c r="U500" s="4">
        <f t="shared" si="25"/>
        <v>0</v>
      </c>
      <c r="V500" s="3" t="s">
        <v>362</v>
      </c>
      <c r="W500" s="3">
        <v>2014</v>
      </c>
      <c r="X500" s="3" t="s">
        <v>12051</v>
      </c>
    </row>
    <row r="501" spans="1:24" ht="89.25">
      <c r="A501" s="3" t="s">
        <v>14959</v>
      </c>
      <c r="B501" s="6" t="s">
        <v>361</v>
      </c>
      <c r="C501" s="6" t="s">
        <v>3162</v>
      </c>
      <c r="D501" s="6" t="s">
        <v>3014</v>
      </c>
      <c r="E501" s="6" t="s">
        <v>3163</v>
      </c>
      <c r="F501" s="6" t="s">
        <v>3142</v>
      </c>
      <c r="G501" s="3" t="s">
        <v>11450</v>
      </c>
      <c r="H501" s="54">
        <v>0</v>
      </c>
      <c r="I501" s="16">
        <v>470000000</v>
      </c>
      <c r="J501" s="157" t="s">
        <v>229</v>
      </c>
      <c r="K501" s="5" t="s">
        <v>14662</v>
      </c>
      <c r="L501" s="17" t="s">
        <v>11411</v>
      </c>
      <c r="M501" s="3" t="s">
        <v>230</v>
      </c>
      <c r="N501" s="6" t="s">
        <v>524</v>
      </c>
      <c r="O501" s="6" t="s">
        <v>233</v>
      </c>
      <c r="P501" s="58">
        <v>796</v>
      </c>
      <c r="Q501" s="6" t="s">
        <v>234</v>
      </c>
      <c r="R501" s="21">
        <v>6</v>
      </c>
      <c r="S501" s="2">
        <v>59136</v>
      </c>
      <c r="T501" s="4">
        <f>R501*S501</f>
        <v>354816</v>
      </c>
      <c r="U501" s="4">
        <f t="shared" si="25"/>
        <v>397393.92000000004</v>
      </c>
      <c r="V501" s="3" t="s">
        <v>362</v>
      </c>
      <c r="W501" s="3">
        <v>2014</v>
      </c>
      <c r="X501" s="3"/>
    </row>
    <row r="502" spans="1:24" ht="102">
      <c r="A502" s="3" t="s">
        <v>809</v>
      </c>
      <c r="B502" s="6" t="s">
        <v>361</v>
      </c>
      <c r="C502" s="6" t="s">
        <v>3162</v>
      </c>
      <c r="D502" s="6" t="s">
        <v>3014</v>
      </c>
      <c r="E502" s="6" t="s">
        <v>3163</v>
      </c>
      <c r="F502" s="6" t="s">
        <v>3153</v>
      </c>
      <c r="G502" s="3" t="s">
        <v>11449</v>
      </c>
      <c r="H502" s="54">
        <v>0</v>
      </c>
      <c r="I502" s="16">
        <v>470000000</v>
      </c>
      <c r="J502" s="157" t="s">
        <v>229</v>
      </c>
      <c r="K502" s="5" t="s">
        <v>210</v>
      </c>
      <c r="L502" s="6" t="s">
        <v>231</v>
      </c>
      <c r="M502" s="3" t="s">
        <v>230</v>
      </c>
      <c r="N502" s="6" t="s">
        <v>524</v>
      </c>
      <c r="O502" s="6" t="s">
        <v>233</v>
      </c>
      <c r="P502" s="58">
        <v>796</v>
      </c>
      <c r="Q502" s="6" t="s">
        <v>234</v>
      </c>
      <c r="R502" s="21">
        <v>25</v>
      </c>
      <c r="S502" s="2">
        <v>40770</v>
      </c>
      <c r="T502" s="4">
        <v>0</v>
      </c>
      <c r="U502" s="4">
        <f t="shared" si="25"/>
        <v>0</v>
      </c>
      <c r="V502" s="3" t="s">
        <v>362</v>
      </c>
      <c r="W502" s="3">
        <v>2014</v>
      </c>
      <c r="X502" s="3">
        <v>7.12</v>
      </c>
    </row>
    <row r="503" spans="1:24" ht="89.25">
      <c r="A503" s="3" t="s">
        <v>11853</v>
      </c>
      <c r="B503" s="6" t="s">
        <v>361</v>
      </c>
      <c r="C503" s="6" t="s">
        <v>3162</v>
      </c>
      <c r="D503" s="6" t="s">
        <v>3014</v>
      </c>
      <c r="E503" s="6" t="s">
        <v>3163</v>
      </c>
      <c r="F503" s="6" t="s">
        <v>3153</v>
      </c>
      <c r="G503" s="3" t="s">
        <v>11450</v>
      </c>
      <c r="H503" s="54">
        <v>0</v>
      </c>
      <c r="I503" s="16">
        <v>470000000</v>
      </c>
      <c r="J503" s="157" t="s">
        <v>229</v>
      </c>
      <c r="K503" s="5" t="s">
        <v>210</v>
      </c>
      <c r="L503" s="17" t="s">
        <v>11411</v>
      </c>
      <c r="M503" s="3" t="s">
        <v>230</v>
      </c>
      <c r="N503" s="6" t="s">
        <v>524</v>
      </c>
      <c r="O503" s="6" t="s">
        <v>233</v>
      </c>
      <c r="P503" s="58">
        <v>796</v>
      </c>
      <c r="Q503" s="6" t="s">
        <v>234</v>
      </c>
      <c r="R503" s="21">
        <v>25</v>
      </c>
      <c r="S503" s="2">
        <v>40770</v>
      </c>
      <c r="T503" s="4">
        <v>0</v>
      </c>
      <c r="U503" s="4">
        <f t="shared" si="25"/>
        <v>0</v>
      </c>
      <c r="V503" s="3" t="s">
        <v>362</v>
      </c>
      <c r="W503" s="3">
        <v>2014</v>
      </c>
      <c r="X503" s="3" t="s">
        <v>12051</v>
      </c>
    </row>
    <row r="504" spans="1:24" ht="89.25">
      <c r="A504" s="3" t="s">
        <v>14961</v>
      </c>
      <c r="B504" s="6" t="s">
        <v>361</v>
      </c>
      <c r="C504" s="6" t="s">
        <v>3162</v>
      </c>
      <c r="D504" s="6" t="s">
        <v>3014</v>
      </c>
      <c r="E504" s="6" t="s">
        <v>3163</v>
      </c>
      <c r="F504" s="6" t="s">
        <v>3153</v>
      </c>
      <c r="G504" s="3" t="s">
        <v>11450</v>
      </c>
      <c r="H504" s="54">
        <v>0</v>
      </c>
      <c r="I504" s="16">
        <v>470000000</v>
      </c>
      <c r="J504" s="157" t="s">
        <v>229</v>
      </c>
      <c r="K504" s="5" t="s">
        <v>14662</v>
      </c>
      <c r="L504" s="17" t="s">
        <v>11411</v>
      </c>
      <c r="M504" s="3" t="s">
        <v>230</v>
      </c>
      <c r="N504" s="6" t="s">
        <v>524</v>
      </c>
      <c r="O504" s="6" t="s">
        <v>233</v>
      </c>
      <c r="P504" s="58">
        <v>796</v>
      </c>
      <c r="Q504" s="6" t="s">
        <v>234</v>
      </c>
      <c r="R504" s="21">
        <v>9</v>
      </c>
      <c r="S504" s="2">
        <v>48924</v>
      </c>
      <c r="T504" s="4">
        <f>R504*S504</f>
        <v>440316</v>
      </c>
      <c r="U504" s="4">
        <f>T504*1.12</f>
        <v>493153.92000000004</v>
      </c>
      <c r="V504" s="3" t="s">
        <v>362</v>
      </c>
      <c r="W504" s="3">
        <v>2014</v>
      </c>
      <c r="X504" s="3"/>
    </row>
    <row r="505" spans="1:24" ht="102">
      <c r="A505" s="3" t="s">
        <v>810</v>
      </c>
      <c r="B505" s="6" t="s">
        <v>361</v>
      </c>
      <c r="C505" s="6" t="s">
        <v>3164</v>
      </c>
      <c r="D505" s="6" t="s">
        <v>3014</v>
      </c>
      <c r="E505" s="6" t="s">
        <v>3165</v>
      </c>
      <c r="F505" s="6" t="s">
        <v>3154</v>
      </c>
      <c r="G505" s="3" t="s">
        <v>11449</v>
      </c>
      <c r="H505" s="54">
        <v>0</v>
      </c>
      <c r="I505" s="16">
        <v>470000000</v>
      </c>
      <c r="J505" s="157" t="s">
        <v>229</v>
      </c>
      <c r="K505" s="5" t="s">
        <v>210</v>
      </c>
      <c r="L505" s="6" t="s">
        <v>231</v>
      </c>
      <c r="M505" s="3" t="s">
        <v>230</v>
      </c>
      <c r="N505" s="6" t="s">
        <v>524</v>
      </c>
      <c r="O505" s="6" t="s">
        <v>233</v>
      </c>
      <c r="P505" s="58">
        <v>796</v>
      </c>
      <c r="Q505" s="6" t="s">
        <v>234</v>
      </c>
      <c r="R505" s="21">
        <v>140</v>
      </c>
      <c r="S505" s="2">
        <v>25150</v>
      </c>
      <c r="T505" s="4">
        <v>0</v>
      </c>
      <c r="U505" s="4">
        <f t="shared" si="25"/>
        <v>0</v>
      </c>
      <c r="V505" s="3" t="s">
        <v>362</v>
      </c>
      <c r="W505" s="3">
        <v>2014</v>
      </c>
      <c r="X505" s="3">
        <v>7.12</v>
      </c>
    </row>
    <row r="506" spans="1:24" ht="89.25">
      <c r="A506" s="3" t="s">
        <v>11854</v>
      </c>
      <c r="B506" s="6" t="s">
        <v>361</v>
      </c>
      <c r="C506" s="6" t="s">
        <v>3164</v>
      </c>
      <c r="D506" s="6" t="s">
        <v>3014</v>
      </c>
      <c r="E506" s="6" t="s">
        <v>3165</v>
      </c>
      <c r="F506" s="6" t="s">
        <v>3154</v>
      </c>
      <c r="G506" s="3" t="s">
        <v>11450</v>
      </c>
      <c r="H506" s="54">
        <v>0</v>
      </c>
      <c r="I506" s="16">
        <v>470000000</v>
      </c>
      <c r="J506" s="157" t="s">
        <v>229</v>
      </c>
      <c r="K506" s="5" t="s">
        <v>210</v>
      </c>
      <c r="L506" s="17" t="s">
        <v>11411</v>
      </c>
      <c r="M506" s="3" t="s">
        <v>230</v>
      </c>
      <c r="N506" s="6" t="s">
        <v>524</v>
      </c>
      <c r="O506" s="6" t="s">
        <v>233</v>
      </c>
      <c r="P506" s="58">
        <v>796</v>
      </c>
      <c r="Q506" s="6" t="s">
        <v>234</v>
      </c>
      <c r="R506" s="21">
        <v>140</v>
      </c>
      <c r="S506" s="2">
        <v>25150</v>
      </c>
      <c r="T506" s="4">
        <v>0</v>
      </c>
      <c r="U506" s="4">
        <f t="shared" si="25"/>
        <v>0</v>
      </c>
      <c r="V506" s="3" t="s">
        <v>362</v>
      </c>
      <c r="W506" s="3">
        <v>2014</v>
      </c>
      <c r="X506" s="3" t="s">
        <v>14780</v>
      </c>
    </row>
    <row r="507" spans="1:24" ht="89.25">
      <c r="A507" s="3" t="s">
        <v>14960</v>
      </c>
      <c r="B507" s="6" t="s">
        <v>361</v>
      </c>
      <c r="C507" s="6" t="s">
        <v>3164</v>
      </c>
      <c r="D507" s="6" t="s">
        <v>3014</v>
      </c>
      <c r="E507" s="6" t="s">
        <v>3165</v>
      </c>
      <c r="F507" s="6" t="s">
        <v>3154</v>
      </c>
      <c r="G507" s="3" t="s">
        <v>11450</v>
      </c>
      <c r="H507" s="54">
        <v>0</v>
      </c>
      <c r="I507" s="16">
        <v>470000000</v>
      </c>
      <c r="J507" s="157" t="s">
        <v>229</v>
      </c>
      <c r="K507" s="5" t="s">
        <v>14662</v>
      </c>
      <c r="L507" s="17" t="s">
        <v>11411</v>
      </c>
      <c r="M507" s="3" t="s">
        <v>230</v>
      </c>
      <c r="N507" s="6" t="s">
        <v>524</v>
      </c>
      <c r="O507" s="6" t="s">
        <v>233</v>
      </c>
      <c r="P507" s="58">
        <v>796</v>
      </c>
      <c r="Q507" s="6" t="s">
        <v>234</v>
      </c>
      <c r="R507" s="21">
        <v>288</v>
      </c>
      <c r="S507" s="2">
        <v>25150</v>
      </c>
      <c r="T507" s="4">
        <v>0</v>
      </c>
      <c r="U507" s="4">
        <f>T507*1.12</f>
        <v>0</v>
      </c>
      <c r="V507" s="3" t="s">
        <v>362</v>
      </c>
      <c r="W507" s="3">
        <v>2014</v>
      </c>
      <c r="X507" s="3" t="s">
        <v>16520</v>
      </c>
    </row>
    <row r="508" spans="1:24" ht="89.25">
      <c r="A508" s="3" t="s">
        <v>17487</v>
      </c>
      <c r="B508" s="6" t="s">
        <v>361</v>
      </c>
      <c r="C508" s="6" t="s">
        <v>3164</v>
      </c>
      <c r="D508" s="6" t="s">
        <v>3014</v>
      </c>
      <c r="E508" s="6" t="s">
        <v>3165</v>
      </c>
      <c r="F508" s="6" t="s">
        <v>3154</v>
      </c>
      <c r="G508" s="3" t="s">
        <v>11449</v>
      </c>
      <c r="H508" s="54">
        <v>0</v>
      </c>
      <c r="I508" s="16">
        <v>470000000</v>
      </c>
      <c r="J508" s="157" t="s">
        <v>229</v>
      </c>
      <c r="K508" s="5" t="s">
        <v>17401</v>
      </c>
      <c r="L508" s="17" t="s">
        <v>11411</v>
      </c>
      <c r="M508" s="3" t="s">
        <v>230</v>
      </c>
      <c r="N508" s="6" t="s">
        <v>8914</v>
      </c>
      <c r="O508" s="6" t="s">
        <v>233</v>
      </c>
      <c r="P508" s="58">
        <v>796</v>
      </c>
      <c r="Q508" s="6" t="s">
        <v>234</v>
      </c>
      <c r="R508" s="21">
        <v>288</v>
      </c>
      <c r="S508" s="2">
        <v>30180</v>
      </c>
      <c r="T508" s="4">
        <f>R508*S508</f>
        <v>8691840</v>
      </c>
      <c r="U508" s="4">
        <f>T508*1.12</f>
        <v>9734860.8000000007</v>
      </c>
      <c r="V508" s="3" t="s">
        <v>362</v>
      </c>
      <c r="W508" s="3">
        <v>2014</v>
      </c>
      <c r="X508" s="3"/>
    </row>
    <row r="509" spans="1:24" ht="102">
      <c r="A509" s="3" t="s">
        <v>811</v>
      </c>
      <c r="B509" s="6" t="s">
        <v>361</v>
      </c>
      <c r="C509" s="6" t="s">
        <v>3166</v>
      </c>
      <c r="D509" s="6" t="s">
        <v>3014</v>
      </c>
      <c r="E509" s="6" t="s">
        <v>3167</v>
      </c>
      <c r="F509" s="6" t="s">
        <v>3155</v>
      </c>
      <c r="G509" s="3" t="s">
        <v>11449</v>
      </c>
      <c r="H509" s="54">
        <v>0</v>
      </c>
      <c r="I509" s="16">
        <v>470000000</v>
      </c>
      <c r="J509" s="157" t="s">
        <v>229</v>
      </c>
      <c r="K509" s="5" t="s">
        <v>210</v>
      </c>
      <c r="L509" s="6" t="s">
        <v>231</v>
      </c>
      <c r="M509" s="3" t="s">
        <v>230</v>
      </c>
      <c r="N509" s="6" t="s">
        <v>524</v>
      </c>
      <c r="O509" s="6" t="s">
        <v>233</v>
      </c>
      <c r="P509" s="58">
        <v>796</v>
      </c>
      <c r="Q509" s="6" t="s">
        <v>234</v>
      </c>
      <c r="R509" s="21">
        <v>42</v>
      </c>
      <c r="S509" s="2">
        <v>22631</v>
      </c>
      <c r="T509" s="4">
        <v>0</v>
      </c>
      <c r="U509" s="4">
        <f t="shared" si="25"/>
        <v>0</v>
      </c>
      <c r="V509" s="3" t="s">
        <v>362</v>
      </c>
      <c r="W509" s="3">
        <v>2014</v>
      </c>
      <c r="X509" s="3">
        <v>7.12</v>
      </c>
    </row>
    <row r="510" spans="1:24" ht="89.25">
      <c r="A510" s="3" t="s">
        <v>11855</v>
      </c>
      <c r="B510" s="6" t="s">
        <v>361</v>
      </c>
      <c r="C510" s="6" t="s">
        <v>3166</v>
      </c>
      <c r="D510" s="6" t="s">
        <v>3014</v>
      </c>
      <c r="E510" s="6" t="s">
        <v>3167</v>
      </c>
      <c r="F510" s="6" t="s">
        <v>3155</v>
      </c>
      <c r="G510" s="3" t="s">
        <v>11450</v>
      </c>
      <c r="H510" s="54">
        <v>0</v>
      </c>
      <c r="I510" s="16">
        <v>470000000</v>
      </c>
      <c r="J510" s="157" t="s">
        <v>229</v>
      </c>
      <c r="K510" s="5" t="s">
        <v>210</v>
      </c>
      <c r="L510" s="17" t="s">
        <v>11411</v>
      </c>
      <c r="M510" s="3" t="s">
        <v>230</v>
      </c>
      <c r="N510" s="6" t="s">
        <v>524</v>
      </c>
      <c r="O510" s="6" t="s">
        <v>233</v>
      </c>
      <c r="P510" s="58">
        <v>796</v>
      </c>
      <c r="Q510" s="6" t="s">
        <v>234</v>
      </c>
      <c r="R510" s="21">
        <v>42</v>
      </c>
      <c r="S510" s="2">
        <v>22631</v>
      </c>
      <c r="T510" s="4">
        <v>0</v>
      </c>
      <c r="U510" s="4">
        <f t="shared" si="25"/>
        <v>0</v>
      </c>
      <c r="V510" s="3" t="s">
        <v>362</v>
      </c>
      <c r="W510" s="3">
        <v>2014</v>
      </c>
      <c r="X510" s="3" t="s">
        <v>12051</v>
      </c>
    </row>
    <row r="511" spans="1:24" ht="89.25">
      <c r="A511" s="3" t="s">
        <v>14962</v>
      </c>
      <c r="B511" s="6" t="s">
        <v>361</v>
      </c>
      <c r="C511" s="6" t="s">
        <v>3166</v>
      </c>
      <c r="D511" s="6" t="s">
        <v>3014</v>
      </c>
      <c r="E511" s="6" t="s">
        <v>3167</v>
      </c>
      <c r="F511" s="6" t="s">
        <v>3155</v>
      </c>
      <c r="G511" s="3" t="s">
        <v>11450</v>
      </c>
      <c r="H511" s="54">
        <v>0</v>
      </c>
      <c r="I511" s="16">
        <v>470000000</v>
      </c>
      <c r="J511" s="157" t="s">
        <v>229</v>
      </c>
      <c r="K511" s="5" t="s">
        <v>14662</v>
      </c>
      <c r="L511" s="17" t="s">
        <v>11411</v>
      </c>
      <c r="M511" s="3" t="s">
        <v>230</v>
      </c>
      <c r="N511" s="6" t="s">
        <v>524</v>
      </c>
      <c r="O511" s="6" t="s">
        <v>233</v>
      </c>
      <c r="P511" s="58">
        <v>796</v>
      </c>
      <c r="Q511" s="6" t="s">
        <v>234</v>
      </c>
      <c r="R511" s="21">
        <v>65</v>
      </c>
      <c r="S511" s="2">
        <v>22630</v>
      </c>
      <c r="T511" s="4">
        <f>R511*S511</f>
        <v>1470950</v>
      </c>
      <c r="U511" s="4">
        <f>T511*1.12</f>
        <v>1647464.0000000002</v>
      </c>
      <c r="V511" s="3" t="s">
        <v>362</v>
      </c>
      <c r="W511" s="3">
        <v>2014</v>
      </c>
      <c r="X511" s="3"/>
    </row>
    <row r="512" spans="1:24" ht="102">
      <c r="A512" s="3" t="s">
        <v>812</v>
      </c>
      <c r="B512" s="6" t="s">
        <v>361</v>
      </c>
      <c r="C512" s="6" t="s">
        <v>3164</v>
      </c>
      <c r="D512" s="6" t="s">
        <v>3014</v>
      </c>
      <c r="E512" s="6" t="s">
        <v>3165</v>
      </c>
      <c r="F512" s="6" t="s">
        <v>3156</v>
      </c>
      <c r="G512" s="3" t="s">
        <v>11449</v>
      </c>
      <c r="H512" s="54">
        <v>0</v>
      </c>
      <c r="I512" s="16">
        <v>470000000</v>
      </c>
      <c r="J512" s="157" t="s">
        <v>229</v>
      </c>
      <c r="K512" s="5" t="s">
        <v>214</v>
      </c>
      <c r="L512" s="6" t="s">
        <v>231</v>
      </c>
      <c r="M512" s="3" t="s">
        <v>230</v>
      </c>
      <c r="N512" s="6" t="s">
        <v>524</v>
      </c>
      <c r="O512" s="6" t="s">
        <v>233</v>
      </c>
      <c r="P512" s="58">
        <v>796</v>
      </c>
      <c r="Q512" s="6" t="s">
        <v>234</v>
      </c>
      <c r="R512" s="21">
        <v>34</v>
      </c>
      <c r="S512" s="2">
        <v>20812</v>
      </c>
      <c r="T512" s="4">
        <v>0</v>
      </c>
      <c r="U512" s="4">
        <f t="shared" si="25"/>
        <v>0</v>
      </c>
      <c r="V512" s="3" t="s">
        <v>362</v>
      </c>
      <c r="W512" s="3">
        <v>2014</v>
      </c>
      <c r="X512" s="3" t="s">
        <v>11817</v>
      </c>
    </row>
    <row r="513" spans="1:24" ht="89.25">
      <c r="A513" s="3" t="s">
        <v>11856</v>
      </c>
      <c r="B513" s="6" t="s">
        <v>361</v>
      </c>
      <c r="C513" s="6" t="s">
        <v>3164</v>
      </c>
      <c r="D513" s="6" t="s">
        <v>3014</v>
      </c>
      <c r="E513" s="6" t="s">
        <v>3165</v>
      </c>
      <c r="F513" s="6" t="s">
        <v>3156</v>
      </c>
      <c r="G513" s="3" t="s">
        <v>11450</v>
      </c>
      <c r="H513" s="54">
        <v>0</v>
      </c>
      <c r="I513" s="16">
        <v>470000000</v>
      </c>
      <c r="J513" s="157" t="s">
        <v>229</v>
      </c>
      <c r="K513" s="5" t="s">
        <v>210</v>
      </c>
      <c r="L513" s="17" t="s">
        <v>11411</v>
      </c>
      <c r="M513" s="3" t="s">
        <v>230</v>
      </c>
      <c r="N513" s="6" t="s">
        <v>524</v>
      </c>
      <c r="O513" s="6" t="s">
        <v>233</v>
      </c>
      <c r="P513" s="58">
        <v>796</v>
      </c>
      <c r="Q513" s="6" t="s">
        <v>234</v>
      </c>
      <c r="R513" s="21">
        <v>34</v>
      </c>
      <c r="S513" s="2">
        <v>20812</v>
      </c>
      <c r="T513" s="4">
        <v>0</v>
      </c>
      <c r="U513" s="4">
        <f t="shared" si="25"/>
        <v>0</v>
      </c>
      <c r="V513" s="3" t="s">
        <v>362</v>
      </c>
      <c r="W513" s="3">
        <v>2014</v>
      </c>
      <c r="X513" s="3">
        <v>14</v>
      </c>
    </row>
    <row r="514" spans="1:24" ht="89.25">
      <c r="A514" s="3" t="s">
        <v>13948</v>
      </c>
      <c r="B514" s="6" t="s">
        <v>361</v>
      </c>
      <c r="C514" s="6" t="s">
        <v>3164</v>
      </c>
      <c r="D514" s="6" t="s">
        <v>3014</v>
      </c>
      <c r="E514" s="6" t="s">
        <v>3165</v>
      </c>
      <c r="F514" s="6" t="s">
        <v>3156</v>
      </c>
      <c r="G514" s="3" t="s">
        <v>11450</v>
      </c>
      <c r="H514" s="54">
        <v>0</v>
      </c>
      <c r="I514" s="16">
        <v>470000000</v>
      </c>
      <c r="J514" s="157" t="s">
        <v>229</v>
      </c>
      <c r="K514" s="5" t="s">
        <v>210</v>
      </c>
      <c r="L514" s="17" t="s">
        <v>11411</v>
      </c>
      <c r="M514" s="3" t="s">
        <v>230</v>
      </c>
      <c r="N514" s="6" t="s">
        <v>8914</v>
      </c>
      <c r="O514" s="6" t="s">
        <v>233</v>
      </c>
      <c r="P514" s="58">
        <v>796</v>
      </c>
      <c r="Q514" s="6" t="s">
        <v>234</v>
      </c>
      <c r="R514" s="21">
        <v>34</v>
      </c>
      <c r="S514" s="2">
        <v>20812</v>
      </c>
      <c r="T514" s="4">
        <v>0</v>
      </c>
      <c r="U514" s="4">
        <f>T514*1.12</f>
        <v>0</v>
      </c>
      <c r="V514" s="3" t="s">
        <v>362</v>
      </c>
      <c r="W514" s="3">
        <v>2014</v>
      </c>
      <c r="X514" s="3" t="s">
        <v>12051</v>
      </c>
    </row>
    <row r="515" spans="1:24" ht="89.25">
      <c r="A515" s="3" t="s">
        <v>14963</v>
      </c>
      <c r="B515" s="6" t="s">
        <v>361</v>
      </c>
      <c r="C515" s="6" t="s">
        <v>3164</v>
      </c>
      <c r="D515" s="6" t="s">
        <v>3014</v>
      </c>
      <c r="E515" s="6" t="s">
        <v>3165</v>
      </c>
      <c r="F515" s="6" t="s">
        <v>3156</v>
      </c>
      <c r="G515" s="3" t="s">
        <v>11450</v>
      </c>
      <c r="H515" s="54">
        <v>0</v>
      </c>
      <c r="I515" s="16">
        <v>470000000</v>
      </c>
      <c r="J515" s="157" t="s">
        <v>229</v>
      </c>
      <c r="K515" s="5" t="s">
        <v>14662</v>
      </c>
      <c r="L515" s="17" t="s">
        <v>11411</v>
      </c>
      <c r="M515" s="3" t="s">
        <v>230</v>
      </c>
      <c r="N515" s="6" t="s">
        <v>8914</v>
      </c>
      <c r="O515" s="6" t="s">
        <v>233</v>
      </c>
      <c r="P515" s="58">
        <v>796</v>
      </c>
      <c r="Q515" s="6" t="s">
        <v>234</v>
      </c>
      <c r="R515" s="21">
        <v>44</v>
      </c>
      <c r="S515" s="2">
        <v>18700</v>
      </c>
      <c r="T515" s="4">
        <v>0</v>
      </c>
      <c r="U515" s="4">
        <f>T515*1.12</f>
        <v>0</v>
      </c>
      <c r="V515" s="3" t="s">
        <v>362</v>
      </c>
      <c r="W515" s="3">
        <v>2014</v>
      </c>
      <c r="X515" s="3" t="s">
        <v>17468</v>
      </c>
    </row>
    <row r="516" spans="1:24" ht="89.25">
      <c r="A516" s="3" t="s">
        <v>17488</v>
      </c>
      <c r="B516" s="6" t="s">
        <v>361</v>
      </c>
      <c r="C516" s="6" t="s">
        <v>3164</v>
      </c>
      <c r="D516" s="6" t="s">
        <v>3014</v>
      </c>
      <c r="E516" s="6" t="s">
        <v>3165</v>
      </c>
      <c r="F516" s="6" t="s">
        <v>3156</v>
      </c>
      <c r="G516" s="3" t="s">
        <v>11449</v>
      </c>
      <c r="H516" s="54">
        <v>0</v>
      </c>
      <c r="I516" s="16">
        <v>470000000</v>
      </c>
      <c r="J516" s="157" t="s">
        <v>229</v>
      </c>
      <c r="K516" s="5" t="s">
        <v>17401</v>
      </c>
      <c r="L516" s="17" t="s">
        <v>11411</v>
      </c>
      <c r="M516" s="3" t="s">
        <v>230</v>
      </c>
      <c r="N516" s="6" t="s">
        <v>8914</v>
      </c>
      <c r="O516" s="6" t="s">
        <v>233</v>
      </c>
      <c r="P516" s="58">
        <v>796</v>
      </c>
      <c r="Q516" s="6" t="s">
        <v>234</v>
      </c>
      <c r="R516" s="21">
        <v>534</v>
      </c>
      <c r="S516" s="2">
        <v>18700</v>
      </c>
      <c r="T516" s="4">
        <f>R516*S516</f>
        <v>9985800</v>
      </c>
      <c r="U516" s="4">
        <f>T516*1.12</f>
        <v>11184096.000000002</v>
      </c>
      <c r="V516" s="3" t="s">
        <v>362</v>
      </c>
      <c r="W516" s="3">
        <v>2014</v>
      </c>
      <c r="X516" s="3"/>
    </row>
    <row r="517" spans="1:24" ht="102">
      <c r="A517" s="3" t="s">
        <v>813</v>
      </c>
      <c r="B517" s="6" t="s">
        <v>361</v>
      </c>
      <c r="C517" s="6" t="s">
        <v>3168</v>
      </c>
      <c r="D517" s="6" t="s">
        <v>3014</v>
      </c>
      <c r="E517" s="6" t="s">
        <v>3169</v>
      </c>
      <c r="F517" s="6" t="s">
        <v>3157</v>
      </c>
      <c r="G517" s="3" t="s">
        <v>11449</v>
      </c>
      <c r="H517" s="54">
        <v>0</v>
      </c>
      <c r="I517" s="16">
        <v>470000000</v>
      </c>
      <c r="J517" s="157" t="s">
        <v>229</v>
      </c>
      <c r="K517" s="5" t="s">
        <v>210</v>
      </c>
      <c r="L517" s="6" t="s">
        <v>231</v>
      </c>
      <c r="M517" s="3" t="s">
        <v>230</v>
      </c>
      <c r="N517" s="6" t="s">
        <v>524</v>
      </c>
      <c r="O517" s="6" t="s">
        <v>233</v>
      </c>
      <c r="P517" s="58">
        <v>796</v>
      </c>
      <c r="Q517" s="6" t="s">
        <v>234</v>
      </c>
      <c r="R517" s="21">
        <v>80</v>
      </c>
      <c r="S517" s="2">
        <v>23301</v>
      </c>
      <c r="T517" s="4">
        <v>0</v>
      </c>
      <c r="U517" s="4">
        <f t="shared" si="25"/>
        <v>0</v>
      </c>
      <c r="V517" s="3" t="s">
        <v>362</v>
      </c>
      <c r="W517" s="3">
        <v>2014</v>
      </c>
      <c r="X517" s="3">
        <v>7.12</v>
      </c>
    </row>
    <row r="518" spans="1:24" ht="89.25">
      <c r="A518" s="3" t="s">
        <v>11857</v>
      </c>
      <c r="B518" s="6" t="s">
        <v>361</v>
      </c>
      <c r="C518" s="6" t="s">
        <v>3168</v>
      </c>
      <c r="D518" s="6" t="s">
        <v>3014</v>
      </c>
      <c r="E518" s="6" t="s">
        <v>3169</v>
      </c>
      <c r="F518" s="6" t="s">
        <v>3157</v>
      </c>
      <c r="G518" s="3" t="s">
        <v>11450</v>
      </c>
      <c r="H518" s="54">
        <v>0</v>
      </c>
      <c r="I518" s="16">
        <v>470000000</v>
      </c>
      <c r="J518" s="157" t="s">
        <v>229</v>
      </c>
      <c r="K518" s="5" t="s">
        <v>210</v>
      </c>
      <c r="L518" s="17" t="s">
        <v>11411</v>
      </c>
      <c r="M518" s="3" t="s">
        <v>230</v>
      </c>
      <c r="N518" s="6" t="s">
        <v>524</v>
      </c>
      <c r="O518" s="6" t="s">
        <v>233</v>
      </c>
      <c r="P518" s="58">
        <v>796</v>
      </c>
      <c r="Q518" s="6" t="s">
        <v>234</v>
      </c>
      <c r="R518" s="21">
        <v>80</v>
      </c>
      <c r="S518" s="2">
        <v>23301</v>
      </c>
      <c r="T518" s="4">
        <v>0</v>
      </c>
      <c r="U518" s="4">
        <f t="shared" si="25"/>
        <v>0</v>
      </c>
      <c r="V518" s="3" t="s">
        <v>362</v>
      </c>
      <c r="W518" s="3">
        <v>2014</v>
      </c>
      <c r="X518" s="3" t="s">
        <v>14780</v>
      </c>
    </row>
    <row r="519" spans="1:24" ht="89.25">
      <c r="A519" s="3" t="s">
        <v>14964</v>
      </c>
      <c r="B519" s="6" t="s">
        <v>361</v>
      </c>
      <c r="C519" s="6" t="s">
        <v>3168</v>
      </c>
      <c r="D519" s="6" t="s">
        <v>3014</v>
      </c>
      <c r="E519" s="6" t="s">
        <v>3169</v>
      </c>
      <c r="F519" s="6" t="s">
        <v>3157</v>
      </c>
      <c r="G519" s="3" t="s">
        <v>11450</v>
      </c>
      <c r="H519" s="54">
        <v>0</v>
      </c>
      <c r="I519" s="16">
        <v>470000000</v>
      </c>
      <c r="J519" s="157" t="s">
        <v>229</v>
      </c>
      <c r="K519" s="5" t="s">
        <v>14662</v>
      </c>
      <c r="L519" s="17" t="s">
        <v>11411</v>
      </c>
      <c r="M519" s="3" t="s">
        <v>230</v>
      </c>
      <c r="N519" s="6" t="s">
        <v>524</v>
      </c>
      <c r="O519" s="6" t="s">
        <v>233</v>
      </c>
      <c r="P519" s="58">
        <v>796</v>
      </c>
      <c r="Q519" s="6" t="s">
        <v>234</v>
      </c>
      <c r="R519" s="21">
        <v>138</v>
      </c>
      <c r="S519" s="2">
        <v>23301</v>
      </c>
      <c r="T519" s="4">
        <v>0</v>
      </c>
      <c r="U519" s="4">
        <f>T519*1.12</f>
        <v>0</v>
      </c>
      <c r="V519" s="3" t="s">
        <v>362</v>
      </c>
      <c r="W519" s="3">
        <v>2014</v>
      </c>
      <c r="X519" s="3" t="s">
        <v>16521</v>
      </c>
    </row>
    <row r="520" spans="1:24" ht="89.25">
      <c r="A520" s="3" t="s">
        <v>17489</v>
      </c>
      <c r="B520" s="6" t="s">
        <v>361</v>
      </c>
      <c r="C520" s="6" t="s">
        <v>3168</v>
      </c>
      <c r="D520" s="6" t="s">
        <v>3014</v>
      </c>
      <c r="E520" s="6" t="s">
        <v>3169</v>
      </c>
      <c r="F520" s="6" t="s">
        <v>3157</v>
      </c>
      <c r="G520" s="3" t="s">
        <v>11450</v>
      </c>
      <c r="H520" s="54">
        <v>0</v>
      </c>
      <c r="I520" s="16">
        <v>470000000</v>
      </c>
      <c r="J520" s="157" t="s">
        <v>229</v>
      </c>
      <c r="K520" s="5" t="s">
        <v>17401</v>
      </c>
      <c r="L520" s="17" t="s">
        <v>11411</v>
      </c>
      <c r="M520" s="3" t="s">
        <v>230</v>
      </c>
      <c r="N520" s="6" t="s">
        <v>528</v>
      </c>
      <c r="O520" s="6" t="s">
        <v>233</v>
      </c>
      <c r="P520" s="58">
        <v>796</v>
      </c>
      <c r="Q520" s="6" t="s">
        <v>234</v>
      </c>
      <c r="R520" s="21">
        <v>138</v>
      </c>
      <c r="S520" s="2">
        <v>27961.200000000001</v>
      </c>
      <c r="T520" s="4">
        <f>R520*S520</f>
        <v>3858645.6</v>
      </c>
      <c r="U520" s="4">
        <f>T520*1.12</f>
        <v>4321683.0720000006</v>
      </c>
      <c r="V520" s="3" t="s">
        <v>362</v>
      </c>
      <c r="W520" s="3">
        <v>2014</v>
      </c>
      <c r="X520" s="3"/>
    </row>
    <row r="521" spans="1:24" ht="102">
      <c r="A521" s="3" t="s">
        <v>814</v>
      </c>
      <c r="B521" s="6" t="s">
        <v>361</v>
      </c>
      <c r="C521" s="6" t="s">
        <v>3170</v>
      </c>
      <c r="D521" s="6" t="s">
        <v>3014</v>
      </c>
      <c r="E521" s="6" t="s">
        <v>3171</v>
      </c>
      <c r="F521" s="6" t="s">
        <v>3172</v>
      </c>
      <c r="G521" s="3" t="s">
        <v>11449</v>
      </c>
      <c r="H521" s="54">
        <v>0</v>
      </c>
      <c r="I521" s="16">
        <v>470000000</v>
      </c>
      <c r="J521" s="157" t="s">
        <v>229</v>
      </c>
      <c r="K521" s="5" t="s">
        <v>210</v>
      </c>
      <c r="L521" s="6" t="s">
        <v>231</v>
      </c>
      <c r="M521" s="3" t="s">
        <v>230</v>
      </c>
      <c r="N521" s="6" t="s">
        <v>524</v>
      </c>
      <c r="O521" s="6" t="s">
        <v>233</v>
      </c>
      <c r="P521" s="58">
        <v>796</v>
      </c>
      <c r="Q521" s="6" t="s">
        <v>234</v>
      </c>
      <c r="R521" s="21">
        <v>8</v>
      </c>
      <c r="S521" s="2">
        <v>16452</v>
      </c>
      <c r="T521" s="4">
        <v>0</v>
      </c>
      <c r="U521" s="4">
        <f t="shared" si="25"/>
        <v>0</v>
      </c>
      <c r="V521" s="3" t="s">
        <v>362</v>
      </c>
      <c r="W521" s="3">
        <v>2014</v>
      </c>
      <c r="X521" s="3">
        <v>7.12</v>
      </c>
    </row>
    <row r="522" spans="1:24" ht="89.25">
      <c r="A522" s="3" t="s">
        <v>11858</v>
      </c>
      <c r="B522" s="6" t="s">
        <v>361</v>
      </c>
      <c r="C522" s="6" t="s">
        <v>3170</v>
      </c>
      <c r="D522" s="6" t="s">
        <v>3014</v>
      </c>
      <c r="E522" s="6" t="s">
        <v>3171</v>
      </c>
      <c r="F522" s="6" t="s">
        <v>3172</v>
      </c>
      <c r="G522" s="3" t="s">
        <v>11450</v>
      </c>
      <c r="H522" s="54">
        <v>0</v>
      </c>
      <c r="I522" s="16">
        <v>470000000</v>
      </c>
      <c r="J522" s="157" t="s">
        <v>229</v>
      </c>
      <c r="K522" s="5" t="s">
        <v>210</v>
      </c>
      <c r="L522" s="17" t="s">
        <v>11411</v>
      </c>
      <c r="M522" s="3" t="s">
        <v>230</v>
      </c>
      <c r="N522" s="6" t="s">
        <v>524</v>
      </c>
      <c r="O522" s="6" t="s">
        <v>233</v>
      </c>
      <c r="P522" s="58">
        <v>796</v>
      </c>
      <c r="Q522" s="6" t="s">
        <v>234</v>
      </c>
      <c r="R522" s="21">
        <v>8</v>
      </c>
      <c r="S522" s="2">
        <v>16452</v>
      </c>
      <c r="T522" s="4">
        <v>0</v>
      </c>
      <c r="U522" s="4">
        <f t="shared" si="25"/>
        <v>0</v>
      </c>
      <c r="V522" s="3" t="s">
        <v>362</v>
      </c>
      <c r="W522" s="3">
        <v>2014</v>
      </c>
      <c r="X522" s="3" t="s">
        <v>12076</v>
      </c>
    </row>
    <row r="523" spans="1:24" ht="102">
      <c r="A523" s="3" t="s">
        <v>815</v>
      </c>
      <c r="B523" s="6" t="s">
        <v>361</v>
      </c>
      <c r="C523" s="6" t="s">
        <v>3173</v>
      </c>
      <c r="D523" s="6" t="s">
        <v>3014</v>
      </c>
      <c r="E523" s="6" t="s">
        <v>3174</v>
      </c>
      <c r="F523" s="6" t="s">
        <v>3158</v>
      </c>
      <c r="G523" s="3" t="s">
        <v>11449</v>
      </c>
      <c r="H523" s="54">
        <v>0</v>
      </c>
      <c r="I523" s="16">
        <v>470000000</v>
      </c>
      <c r="J523" s="157" t="s">
        <v>229</v>
      </c>
      <c r="K523" s="5" t="s">
        <v>210</v>
      </c>
      <c r="L523" s="6" t="s">
        <v>231</v>
      </c>
      <c r="M523" s="3" t="s">
        <v>230</v>
      </c>
      <c r="N523" s="6" t="s">
        <v>524</v>
      </c>
      <c r="O523" s="6" t="s">
        <v>233</v>
      </c>
      <c r="P523" s="58">
        <v>796</v>
      </c>
      <c r="Q523" s="6" t="s">
        <v>234</v>
      </c>
      <c r="R523" s="21">
        <v>8</v>
      </c>
      <c r="S523" s="2">
        <v>16452</v>
      </c>
      <c r="T523" s="4">
        <v>0</v>
      </c>
      <c r="U523" s="4">
        <f t="shared" si="25"/>
        <v>0</v>
      </c>
      <c r="V523" s="3" t="s">
        <v>362</v>
      </c>
      <c r="W523" s="3">
        <v>2014</v>
      </c>
      <c r="X523" s="3">
        <v>7.12</v>
      </c>
    </row>
    <row r="524" spans="1:24" ht="89.25">
      <c r="A524" s="3" t="s">
        <v>11859</v>
      </c>
      <c r="B524" s="6" t="s">
        <v>361</v>
      </c>
      <c r="C524" s="6" t="s">
        <v>3173</v>
      </c>
      <c r="D524" s="6" t="s">
        <v>3014</v>
      </c>
      <c r="E524" s="6" t="s">
        <v>3174</v>
      </c>
      <c r="F524" s="6" t="s">
        <v>3158</v>
      </c>
      <c r="G524" s="3" t="s">
        <v>11450</v>
      </c>
      <c r="H524" s="54">
        <v>0</v>
      </c>
      <c r="I524" s="16">
        <v>470000000</v>
      </c>
      <c r="J524" s="157" t="s">
        <v>229</v>
      </c>
      <c r="K524" s="5" t="s">
        <v>210</v>
      </c>
      <c r="L524" s="17" t="s">
        <v>11411</v>
      </c>
      <c r="M524" s="3" t="s">
        <v>230</v>
      </c>
      <c r="N524" s="6" t="s">
        <v>524</v>
      </c>
      <c r="O524" s="6" t="s">
        <v>233</v>
      </c>
      <c r="P524" s="58">
        <v>796</v>
      </c>
      <c r="Q524" s="6" t="s">
        <v>234</v>
      </c>
      <c r="R524" s="21">
        <v>8</v>
      </c>
      <c r="S524" s="2">
        <v>16452</v>
      </c>
      <c r="T524" s="4">
        <v>0</v>
      </c>
      <c r="U524" s="4">
        <f t="shared" si="25"/>
        <v>0</v>
      </c>
      <c r="V524" s="3" t="s">
        <v>362</v>
      </c>
      <c r="W524" s="3">
        <v>2014</v>
      </c>
      <c r="X524" s="3" t="s">
        <v>14785</v>
      </c>
    </row>
    <row r="525" spans="1:24" ht="89.25">
      <c r="A525" s="3" t="s">
        <v>14965</v>
      </c>
      <c r="B525" s="6" t="s">
        <v>361</v>
      </c>
      <c r="C525" s="6" t="s">
        <v>3173</v>
      </c>
      <c r="D525" s="6" t="s">
        <v>3014</v>
      </c>
      <c r="E525" s="6" t="s">
        <v>3174</v>
      </c>
      <c r="F525" s="6" t="s">
        <v>3158</v>
      </c>
      <c r="G525" s="3" t="s">
        <v>11450</v>
      </c>
      <c r="H525" s="54">
        <v>0</v>
      </c>
      <c r="I525" s="16">
        <v>470000000</v>
      </c>
      <c r="J525" s="157" t="s">
        <v>229</v>
      </c>
      <c r="K525" s="5" t="s">
        <v>14662</v>
      </c>
      <c r="L525" s="17" t="s">
        <v>11411</v>
      </c>
      <c r="M525" s="3" t="s">
        <v>230</v>
      </c>
      <c r="N525" s="6" t="s">
        <v>524</v>
      </c>
      <c r="O525" s="6" t="s">
        <v>233</v>
      </c>
      <c r="P525" s="58">
        <v>796</v>
      </c>
      <c r="Q525" s="6" t="s">
        <v>234</v>
      </c>
      <c r="R525" s="21">
        <v>8</v>
      </c>
      <c r="S525" s="2">
        <v>19742</v>
      </c>
      <c r="T525" s="4">
        <v>0</v>
      </c>
      <c r="U525" s="4">
        <f>T525*1.12</f>
        <v>0</v>
      </c>
      <c r="V525" s="3" t="s">
        <v>362</v>
      </c>
      <c r="W525" s="3">
        <v>2014</v>
      </c>
      <c r="X525" s="3">
        <v>11.14</v>
      </c>
    </row>
    <row r="526" spans="1:24" ht="89.25">
      <c r="A526" s="3" t="s">
        <v>17819</v>
      </c>
      <c r="B526" s="6" t="s">
        <v>361</v>
      </c>
      <c r="C526" s="6" t="s">
        <v>3173</v>
      </c>
      <c r="D526" s="6" t="s">
        <v>3014</v>
      </c>
      <c r="E526" s="6" t="s">
        <v>3174</v>
      </c>
      <c r="F526" s="6" t="s">
        <v>3158</v>
      </c>
      <c r="G526" s="3" t="s">
        <v>11450</v>
      </c>
      <c r="H526" s="54">
        <v>0</v>
      </c>
      <c r="I526" s="16">
        <v>470000000</v>
      </c>
      <c r="J526" s="157" t="s">
        <v>229</v>
      </c>
      <c r="K526" s="5" t="s">
        <v>17401</v>
      </c>
      <c r="L526" s="17" t="s">
        <v>11411</v>
      </c>
      <c r="M526" s="3" t="s">
        <v>230</v>
      </c>
      <c r="N526" s="6" t="s">
        <v>528</v>
      </c>
      <c r="O526" s="6" t="s">
        <v>233</v>
      </c>
      <c r="P526" s="58">
        <v>796</v>
      </c>
      <c r="Q526" s="6" t="s">
        <v>234</v>
      </c>
      <c r="R526" s="21">
        <v>8</v>
      </c>
      <c r="S526" s="2">
        <v>19742.399999999998</v>
      </c>
      <c r="T526" s="4">
        <f>R526*S526</f>
        <v>157939.19999999998</v>
      </c>
      <c r="U526" s="4">
        <f>T526*1.12</f>
        <v>176891.90400000001</v>
      </c>
      <c r="V526" s="3" t="s">
        <v>362</v>
      </c>
      <c r="W526" s="3">
        <v>2014</v>
      </c>
      <c r="X526" s="3"/>
    </row>
    <row r="527" spans="1:24" ht="102">
      <c r="A527" s="3" t="s">
        <v>816</v>
      </c>
      <c r="B527" s="6" t="s">
        <v>361</v>
      </c>
      <c r="C527" s="6" t="s">
        <v>3177</v>
      </c>
      <c r="D527" s="6" t="s">
        <v>3014</v>
      </c>
      <c r="E527" s="6" t="s">
        <v>3178</v>
      </c>
      <c r="F527" s="6" t="s">
        <v>3159</v>
      </c>
      <c r="G527" s="3" t="s">
        <v>11449</v>
      </c>
      <c r="H527" s="54">
        <v>0</v>
      </c>
      <c r="I527" s="16">
        <v>470000000</v>
      </c>
      <c r="J527" s="157" t="s">
        <v>229</v>
      </c>
      <c r="K527" s="5" t="s">
        <v>215</v>
      </c>
      <c r="L527" s="6" t="s">
        <v>231</v>
      </c>
      <c r="M527" s="3" t="s">
        <v>230</v>
      </c>
      <c r="N527" s="6" t="s">
        <v>524</v>
      </c>
      <c r="O527" s="6" t="s">
        <v>233</v>
      </c>
      <c r="P527" s="58">
        <v>796</v>
      </c>
      <c r="Q527" s="6" t="s">
        <v>234</v>
      </c>
      <c r="R527" s="21">
        <v>90</v>
      </c>
      <c r="S527" s="2">
        <v>11235</v>
      </c>
      <c r="T527" s="4">
        <v>0</v>
      </c>
      <c r="U527" s="4">
        <f t="shared" si="25"/>
        <v>0</v>
      </c>
      <c r="V527" s="3" t="s">
        <v>362</v>
      </c>
      <c r="W527" s="3">
        <v>2014</v>
      </c>
      <c r="X527" s="3" t="s">
        <v>11817</v>
      </c>
    </row>
    <row r="528" spans="1:24" ht="89.25">
      <c r="A528" s="3" t="s">
        <v>11860</v>
      </c>
      <c r="B528" s="6" t="s">
        <v>361</v>
      </c>
      <c r="C528" s="6" t="s">
        <v>3177</v>
      </c>
      <c r="D528" s="6" t="s">
        <v>3014</v>
      </c>
      <c r="E528" s="6" t="s">
        <v>3178</v>
      </c>
      <c r="F528" s="6" t="s">
        <v>3159</v>
      </c>
      <c r="G528" s="3" t="s">
        <v>11450</v>
      </c>
      <c r="H528" s="54">
        <v>0</v>
      </c>
      <c r="I528" s="16">
        <v>470000000</v>
      </c>
      <c r="J528" s="157" t="s">
        <v>229</v>
      </c>
      <c r="K528" s="5" t="s">
        <v>210</v>
      </c>
      <c r="L528" s="17" t="s">
        <v>11411</v>
      </c>
      <c r="M528" s="3" t="s">
        <v>230</v>
      </c>
      <c r="N528" s="6" t="s">
        <v>524</v>
      </c>
      <c r="O528" s="6" t="s">
        <v>233</v>
      </c>
      <c r="P528" s="58">
        <v>796</v>
      </c>
      <c r="Q528" s="6" t="s">
        <v>234</v>
      </c>
      <c r="R528" s="21">
        <v>90</v>
      </c>
      <c r="S528" s="2">
        <v>11235</v>
      </c>
      <c r="T528" s="4">
        <v>0</v>
      </c>
      <c r="U528" s="4">
        <f t="shared" si="25"/>
        <v>0</v>
      </c>
      <c r="V528" s="3" t="s">
        <v>362</v>
      </c>
      <c r="W528" s="3">
        <v>2014</v>
      </c>
      <c r="X528" s="3" t="s">
        <v>14780</v>
      </c>
    </row>
    <row r="529" spans="1:24" ht="89.25">
      <c r="A529" s="3" t="s">
        <v>14966</v>
      </c>
      <c r="B529" s="6" t="s">
        <v>361</v>
      </c>
      <c r="C529" s="6" t="s">
        <v>3177</v>
      </c>
      <c r="D529" s="6" t="s">
        <v>3014</v>
      </c>
      <c r="E529" s="6" t="s">
        <v>3178</v>
      </c>
      <c r="F529" s="6" t="s">
        <v>3159</v>
      </c>
      <c r="G529" s="3" t="s">
        <v>11450</v>
      </c>
      <c r="H529" s="54">
        <v>0</v>
      </c>
      <c r="I529" s="16">
        <v>470000000</v>
      </c>
      <c r="J529" s="157" t="s">
        <v>229</v>
      </c>
      <c r="K529" s="5" t="s">
        <v>14662</v>
      </c>
      <c r="L529" s="17" t="s">
        <v>11411</v>
      </c>
      <c r="M529" s="3" t="s">
        <v>230</v>
      </c>
      <c r="N529" s="6" t="s">
        <v>524</v>
      </c>
      <c r="O529" s="6" t="s">
        <v>233</v>
      </c>
      <c r="P529" s="58">
        <v>796</v>
      </c>
      <c r="Q529" s="6" t="s">
        <v>234</v>
      </c>
      <c r="R529" s="21">
        <v>143</v>
      </c>
      <c r="S529" s="2">
        <v>11235</v>
      </c>
      <c r="T529" s="4">
        <v>0</v>
      </c>
      <c r="U529" s="4">
        <f>T529*1.12</f>
        <v>0</v>
      </c>
      <c r="V529" s="3" t="s">
        <v>362</v>
      </c>
      <c r="W529" s="3">
        <v>2014</v>
      </c>
      <c r="X529" s="3" t="s">
        <v>16521</v>
      </c>
    </row>
    <row r="530" spans="1:24" ht="89.25">
      <c r="A530" s="3" t="s">
        <v>17820</v>
      </c>
      <c r="B530" s="6" t="s">
        <v>361</v>
      </c>
      <c r="C530" s="6" t="s">
        <v>3177</v>
      </c>
      <c r="D530" s="6" t="s">
        <v>3014</v>
      </c>
      <c r="E530" s="6" t="s">
        <v>3178</v>
      </c>
      <c r="F530" s="6" t="s">
        <v>3159</v>
      </c>
      <c r="G530" s="3" t="s">
        <v>11450</v>
      </c>
      <c r="H530" s="54">
        <v>0</v>
      </c>
      <c r="I530" s="16">
        <v>470000000</v>
      </c>
      <c r="J530" s="157" t="s">
        <v>229</v>
      </c>
      <c r="K530" s="5" t="s">
        <v>17401</v>
      </c>
      <c r="L530" s="17" t="s">
        <v>11411</v>
      </c>
      <c r="M530" s="3" t="s">
        <v>230</v>
      </c>
      <c r="N530" s="6" t="s">
        <v>528</v>
      </c>
      <c r="O530" s="6" t="s">
        <v>233</v>
      </c>
      <c r="P530" s="58">
        <v>796</v>
      </c>
      <c r="Q530" s="6" t="s">
        <v>234</v>
      </c>
      <c r="R530" s="21">
        <v>143</v>
      </c>
      <c r="S530" s="2">
        <v>13482</v>
      </c>
      <c r="T530" s="4">
        <f>R530*S530</f>
        <v>1927926</v>
      </c>
      <c r="U530" s="4">
        <f>T530*1.12</f>
        <v>2159277.12</v>
      </c>
      <c r="V530" s="3" t="s">
        <v>362</v>
      </c>
      <c r="W530" s="3">
        <v>2014</v>
      </c>
      <c r="X530" s="3"/>
    </row>
    <row r="531" spans="1:24" ht="102">
      <c r="A531" s="3" t="s">
        <v>817</v>
      </c>
      <c r="B531" s="6" t="s">
        <v>361</v>
      </c>
      <c r="C531" s="6" t="s">
        <v>3179</v>
      </c>
      <c r="D531" s="6" t="s">
        <v>3014</v>
      </c>
      <c r="E531" s="6" t="s">
        <v>3180</v>
      </c>
      <c r="F531" s="6" t="s">
        <v>3160</v>
      </c>
      <c r="G531" s="3" t="s">
        <v>11449</v>
      </c>
      <c r="H531" s="54">
        <v>0</v>
      </c>
      <c r="I531" s="16">
        <v>470000000</v>
      </c>
      <c r="J531" s="157" t="s">
        <v>229</v>
      </c>
      <c r="K531" s="5" t="s">
        <v>215</v>
      </c>
      <c r="L531" s="6" t="s">
        <v>231</v>
      </c>
      <c r="M531" s="3" t="s">
        <v>230</v>
      </c>
      <c r="N531" s="6" t="s">
        <v>524</v>
      </c>
      <c r="O531" s="6" t="s">
        <v>233</v>
      </c>
      <c r="P531" s="58">
        <v>796</v>
      </c>
      <c r="Q531" s="6" t="s">
        <v>234</v>
      </c>
      <c r="R531" s="21">
        <v>70</v>
      </c>
      <c r="S531" s="2">
        <v>9309</v>
      </c>
      <c r="T531" s="4">
        <v>0</v>
      </c>
      <c r="U531" s="4">
        <f t="shared" si="25"/>
        <v>0</v>
      </c>
      <c r="V531" s="3" t="s">
        <v>362</v>
      </c>
      <c r="W531" s="3">
        <v>2014</v>
      </c>
      <c r="X531" s="3" t="s">
        <v>11817</v>
      </c>
    </row>
    <row r="532" spans="1:24" ht="89.25">
      <c r="A532" s="3" t="s">
        <v>11861</v>
      </c>
      <c r="B532" s="6" t="s">
        <v>361</v>
      </c>
      <c r="C532" s="6" t="s">
        <v>3179</v>
      </c>
      <c r="D532" s="6" t="s">
        <v>3014</v>
      </c>
      <c r="E532" s="6" t="s">
        <v>3180</v>
      </c>
      <c r="F532" s="6" t="s">
        <v>3160</v>
      </c>
      <c r="G532" s="3" t="s">
        <v>11450</v>
      </c>
      <c r="H532" s="54">
        <v>0</v>
      </c>
      <c r="I532" s="16">
        <v>470000000</v>
      </c>
      <c r="J532" s="157" t="s">
        <v>229</v>
      </c>
      <c r="K532" s="5" t="s">
        <v>210</v>
      </c>
      <c r="L532" s="17" t="s">
        <v>11411</v>
      </c>
      <c r="M532" s="3" t="s">
        <v>230</v>
      </c>
      <c r="N532" s="6" t="s">
        <v>524</v>
      </c>
      <c r="O532" s="6" t="s">
        <v>233</v>
      </c>
      <c r="P532" s="58">
        <v>796</v>
      </c>
      <c r="Q532" s="6" t="s">
        <v>234</v>
      </c>
      <c r="R532" s="21">
        <v>70</v>
      </c>
      <c r="S532" s="2">
        <v>9309</v>
      </c>
      <c r="T532" s="4">
        <v>0</v>
      </c>
      <c r="U532" s="4">
        <f t="shared" si="25"/>
        <v>0</v>
      </c>
      <c r="V532" s="3" t="s">
        <v>362</v>
      </c>
      <c r="W532" s="3">
        <v>2014</v>
      </c>
      <c r="X532" s="3" t="s">
        <v>12051</v>
      </c>
    </row>
    <row r="533" spans="1:24" ht="89.25">
      <c r="A533" s="3" t="s">
        <v>14967</v>
      </c>
      <c r="B533" s="6" t="s">
        <v>361</v>
      </c>
      <c r="C533" s="6" t="s">
        <v>3179</v>
      </c>
      <c r="D533" s="6" t="s">
        <v>3014</v>
      </c>
      <c r="E533" s="6" t="s">
        <v>3180</v>
      </c>
      <c r="F533" s="6" t="s">
        <v>3160</v>
      </c>
      <c r="G533" s="3" t="s">
        <v>11450</v>
      </c>
      <c r="H533" s="54">
        <v>0</v>
      </c>
      <c r="I533" s="16">
        <v>470000000</v>
      </c>
      <c r="J533" s="157" t="s">
        <v>229</v>
      </c>
      <c r="K533" s="5" t="s">
        <v>14662</v>
      </c>
      <c r="L533" s="17" t="s">
        <v>11411</v>
      </c>
      <c r="M533" s="3" t="s">
        <v>230</v>
      </c>
      <c r="N533" s="6" t="s">
        <v>524</v>
      </c>
      <c r="O533" s="6" t="s">
        <v>233</v>
      </c>
      <c r="P533" s="58">
        <v>796</v>
      </c>
      <c r="Q533" s="6" t="s">
        <v>234</v>
      </c>
      <c r="R533" s="21">
        <v>140</v>
      </c>
      <c r="S533" s="2">
        <v>9306</v>
      </c>
      <c r="T533" s="4">
        <v>0</v>
      </c>
      <c r="U533" s="4">
        <f>T533*1.12</f>
        <v>0</v>
      </c>
      <c r="V533" s="3" t="s">
        <v>362</v>
      </c>
      <c r="W533" s="3">
        <v>2014</v>
      </c>
      <c r="X533" s="3" t="s">
        <v>16521</v>
      </c>
    </row>
    <row r="534" spans="1:24" ht="89.25">
      <c r="A534" s="3" t="s">
        <v>17824</v>
      </c>
      <c r="B534" s="6" t="s">
        <v>361</v>
      </c>
      <c r="C534" s="6" t="s">
        <v>3179</v>
      </c>
      <c r="D534" s="6" t="s">
        <v>3014</v>
      </c>
      <c r="E534" s="6" t="s">
        <v>3180</v>
      </c>
      <c r="F534" s="6" t="s">
        <v>3160</v>
      </c>
      <c r="G534" s="3" t="s">
        <v>11450</v>
      </c>
      <c r="H534" s="54">
        <v>0</v>
      </c>
      <c r="I534" s="16">
        <v>470000000</v>
      </c>
      <c r="J534" s="157" t="s">
        <v>229</v>
      </c>
      <c r="K534" s="5" t="s">
        <v>17401</v>
      </c>
      <c r="L534" s="17" t="s">
        <v>11411</v>
      </c>
      <c r="M534" s="3" t="s">
        <v>230</v>
      </c>
      <c r="N534" s="6" t="s">
        <v>528</v>
      </c>
      <c r="O534" s="6" t="s">
        <v>233</v>
      </c>
      <c r="P534" s="58">
        <v>796</v>
      </c>
      <c r="Q534" s="6" t="s">
        <v>234</v>
      </c>
      <c r="R534" s="21">
        <v>140</v>
      </c>
      <c r="S534" s="2">
        <v>11170.8</v>
      </c>
      <c r="T534" s="4">
        <f>R534*S534</f>
        <v>1563912</v>
      </c>
      <c r="U534" s="4">
        <f>T534*1.12</f>
        <v>1751581.4400000002</v>
      </c>
      <c r="V534" s="3" t="s">
        <v>362</v>
      </c>
      <c r="W534" s="3">
        <v>2014</v>
      </c>
      <c r="X534" s="3"/>
    </row>
    <row r="535" spans="1:24" ht="102">
      <c r="A535" s="3" t="s">
        <v>818</v>
      </c>
      <c r="B535" s="6" t="s">
        <v>361</v>
      </c>
      <c r="C535" s="6" t="s">
        <v>3181</v>
      </c>
      <c r="D535" s="6" t="s">
        <v>3014</v>
      </c>
      <c r="E535" s="6" t="s">
        <v>3182</v>
      </c>
      <c r="F535" s="6" t="s">
        <v>3161</v>
      </c>
      <c r="G535" s="3" t="s">
        <v>11449</v>
      </c>
      <c r="H535" s="54">
        <v>0</v>
      </c>
      <c r="I535" s="16">
        <v>470000000</v>
      </c>
      <c r="J535" s="157" t="s">
        <v>229</v>
      </c>
      <c r="K535" s="5" t="s">
        <v>214</v>
      </c>
      <c r="L535" s="6" t="s">
        <v>231</v>
      </c>
      <c r="M535" s="3" t="s">
        <v>230</v>
      </c>
      <c r="N535" s="6" t="s">
        <v>524</v>
      </c>
      <c r="O535" s="6" t="s">
        <v>233</v>
      </c>
      <c r="P535" s="58">
        <v>796</v>
      </c>
      <c r="Q535" s="6" t="s">
        <v>234</v>
      </c>
      <c r="R535" s="21">
        <v>100</v>
      </c>
      <c r="S535" s="2">
        <v>9524</v>
      </c>
      <c r="T535" s="4">
        <v>0</v>
      </c>
      <c r="U535" s="4">
        <f t="shared" ref="U535:U582" si="26">T535*1.12</f>
        <v>0</v>
      </c>
      <c r="V535" s="3" t="s">
        <v>362</v>
      </c>
      <c r="W535" s="3">
        <v>2014</v>
      </c>
      <c r="X535" s="3" t="s">
        <v>11817</v>
      </c>
    </row>
    <row r="536" spans="1:24" ht="89.25">
      <c r="A536" s="3" t="s">
        <v>11862</v>
      </c>
      <c r="B536" s="6" t="s">
        <v>361</v>
      </c>
      <c r="C536" s="6" t="s">
        <v>3181</v>
      </c>
      <c r="D536" s="6" t="s">
        <v>3014</v>
      </c>
      <c r="E536" s="6" t="s">
        <v>3182</v>
      </c>
      <c r="F536" s="6" t="s">
        <v>3161</v>
      </c>
      <c r="G536" s="3" t="s">
        <v>11450</v>
      </c>
      <c r="H536" s="54">
        <v>0</v>
      </c>
      <c r="I536" s="16">
        <v>470000000</v>
      </c>
      <c r="J536" s="157" t="s">
        <v>229</v>
      </c>
      <c r="K536" s="5" t="s">
        <v>210</v>
      </c>
      <c r="L536" s="17" t="s">
        <v>11411</v>
      </c>
      <c r="M536" s="3" t="s">
        <v>230</v>
      </c>
      <c r="N536" s="6" t="s">
        <v>524</v>
      </c>
      <c r="O536" s="6" t="s">
        <v>233</v>
      </c>
      <c r="P536" s="58">
        <v>796</v>
      </c>
      <c r="Q536" s="6" t="s">
        <v>234</v>
      </c>
      <c r="R536" s="21">
        <v>100</v>
      </c>
      <c r="S536" s="2">
        <v>9524</v>
      </c>
      <c r="T536" s="4">
        <v>0</v>
      </c>
      <c r="U536" s="4">
        <f t="shared" si="26"/>
        <v>0</v>
      </c>
      <c r="V536" s="3" t="s">
        <v>362</v>
      </c>
      <c r="W536" s="3">
        <v>2014</v>
      </c>
      <c r="X536" s="3">
        <v>14</v>
      </c>
    </row>
    <row r="537" spans="1:24" ht="89.25">
      <c r="A537" s="3" t="s">
        <v>12068</v>
      </c>
      <c r="B537" s="6" t="s">
        <v>361</v>
      </c>
      <c r="C537" s="6" t="s">
        <v>3181</v>
      </c>
      <c r="D537" s="6" t="s">
        <v>3014</v>
      </c>
      <c r="E537" s="6" t="s">
        <v>3182</v>
      </c>
      <c r="F537" s="6" t="s">
        <v>3161</v>
      </c>
      <c r="G537" s="3" t="s">
        <v>11450</v>
      </c>
      <c r="H537" s="54">
        <v>0</v>
      </c>
      <c r="I537" s="16">
        <v>470000000</v>
      </c>
      <c r="J537" s="157" t="s">
        <v>229</v>
      </c>
      <c r="K537" s="5" t="s">
        <v>210</v>
      </c>
      <c r="L537" s="17" t="s">
        <v>11411</v>
      </c>
      <c r="M537" s="3" t="s">
        <v>230</v>
      </c>
      <c r="N537" s="6" t="s">
        <v>8914</v>
      </c>
      <c r="O537" s="6" t="s">
        <v>233</v>
      </c>
      <c r="P537" s="58">
        <v>796</v>
      </c>
      <c r="Q537" s="6" t="s">
        <v>234</v>
      </c>
      <c r="R537" s="21">
        <v>100</v>
      </c>
      <c r="S537" s="2">
        <v>9524</v>
      </c>
      <c r="T537" s="4">
        <v>0</v>
      </c>
      <c r="U537" s="4">
        <f>T537*1.12</f>
        <v>0</v>
      </c>
      <c r="V537" s="3" t="s">
        <v>362</v>
      </c>
      <c r="W537" s="3">
        <v>2014</v>
      </c>
      <c r="X537" s="3" t="s">
        <v>12051</v>
      </c>
    </row>
    <row r="538" spans="1:24" ht="89.25">
      <c r="A538" s="3" t="s">
        <v>14968</v>
      </c>
      <c r="B538" s="6" t="s">
        <v>361</v>
      </c>
      <c r="C538" s="6" t="s">
        <v>3181</v>
      </c>
      <c r="D538" s="6" t="s">
        <v>3014</v>
      </c>
      <c r="E538" s="6" t="s">
        <v>3182</v>
      </c>
      <c r="F538" s="6" t="s">
        <v>3161</v>
      </c>
      <c r="G538" s="3" t="s">
        <v>11450</v>
      </c>
      <c r="H538" s="54">
        <v>0</v>
      </c>
      <c r="I538" s="16">
        <v>470000000</v>
      </c>
      <c r="J538" s="157" t="s">
        <v>229</v>
      </c>
      <c r="K538" s="5" t="s">
        <v>14662</v>
      </c>
      <c r="L538" s="17" t="s">
        <v>11411</v>
      </c>
      <c r="M538" s="3" t="s">
        <v>230</v>
      </c>
      <c r="N538" s="6" t="s">
        <v>8914</v>
      </c>
      <c r="O538" s="6" t="s">
        <v>233</v>
      </c>
      <c r="P538" s="58">
        <v>796</v>
      </c>
      <c r="Q538" s="6" t="s">
        <v>234</v>
      </c>
      <c r="R538" s="21">
        <v>227</v>
      </c>
      <c r="S538" s="2">
        <v>9521</v>
      </c>
      <c r="T538" s="4">
        <v>0</v>
      </c>
      <c r="U538" s="4">
        <f>T538*1.12</f>
        <v>0</v>
      </c>
      <c r="V538" s="3" t="s">
        <v>362</v>
      </c>
      <c r="W538" s="3">
        <v>2014</v>
      </c>
      <c r="X538" s="3" t="s">
        <v>16521</v>
      </c>
    </row>
    <row r="539" spans="1:24" ht="89.25">
      <c r="A539" s="3" t="s">
        <v>17825</v>
      </c>
      <c r="B539" s="6" t="s">
        <v>361</v>
      </c>
      <c r="C539" s="6" t="s">
        <v>3181</v>
      </c>
      <c r="D539" s="6" t="s">
        <v>3014</v>
      </c>
      <c r="E539" s="6" t="s">
        <v>3182</v>
      </c>
      <c r="F539" s="6" t="s">
        <v>3161</v>
      </c>
      <c r="G539" s="3" t="s">
        <v>11450</v>
      </c>
      <c r="H539" s="54">
        <v>0</v>
      </c>
      <c r="I539" s="16">
        <v>470000000</v>
      </c>
      <c r="J539" s="157" t="s">
        <v>229</v>
      </c>
      <c r="K539" s="5" t="s">
        <v>17401</v>
      </c>
      <c r="L539" s="17" t="s">
        <v>11411</v>
      </c>
      <c r="M539" s="3" t="s">
        <v>230</v>
      </c>
      <c r="N539" s="6" t="s">
        <v>528</v>
      </c>
      <c r="O539" s="6" t="s">
        <v>233</v>
      </c>
      <c r="P539" s="58">
        <v>796</v>
      </c>
      <c r="Q539" s="6" t="s">
        <v>234</v>
      </c>
      <c r="R539" s="21">
        <v>227</v>
      </c>
      <c r="S539" s="2">
        <v>11428.8</v>
      </c>
      <c r="T539" s="4">
        <f>R539*S539</f>
        <v>2594337.5999999996</v>
      </c>
      <c r="U539" s="4">
        <f>T539*1.12</f>
        <v>2905658.1119999997</v>
      </c>
      <c r="V539" s="3" t="s">
        <v>362</v>
      </c>
      <c r="W539" s="3">
        <v>2014</v>
      </c>
      <c r="X539" s="3"/>
    </row>
    <row r="540" spans="1:24" ht="102">
      <c r="A540" s="3" t="s">
        <v>819</v>
      </c>
      <c r="B540" s="6" t="s">
        <v>361</v>
      </c>
      <c r="C540" s="6" t="s">
        <v>3186</v>
      </c>
      <c r="D540" s="6" t="s">
        <v>3014</v>
      </c>
      <c r="E540" s="6" t="s">
        <v>3183</v>
      </c>
      <c r="F540" s="6" t="s">
        <v>3143</v>
      </c>
      <c r="G540" s="3" t="s">
        <v>11449</v>
      </c>
      <c r="H540" s="54">
        <v>0</v>
      </c>
      <c r="I540" s="16">
        <v>470000000</v>
      </c>
      <c r="J540" s="157" t="s">
        <v>229</v>
      </c>
      <c r="K540" s="5" t="s">
        <v>215</v>
      </c>
      <c r="L540" s="6" t="s">
        <v>231</v>
      </c>
      <c r="M540" s="3" t="s">
        <v>230</v>
      </c>
      <c r="N540" s="6" t="s">
        <v>524</v>
      </c>
      <c r="O540" s="6" t="s">
        <v>233</v>
      </c>
      <c r="P540" s="58">
        <v>796</v>
      </c>
      <c r="Q540" s="6" t="s">
        <v>234</v>
      </c>
      <c r="R540" s="21">
        <v>100</v>
      </c>
      <c r="S540" s="2">
        <v>8304</v>
      </c>
      <c r="T540" s="4">
        <v>0</v>
      </c>
      <c r="U540" s="4">
        <f t="shared" si="26"/>
        <v>0</v>
      </c>
      <c r="V540" s="3" t="s">
        <v>362</v>
      </c>
      <c r="W540" s="3">
        <v>2014</v>
      </c>
      <c r="X540" s="3" t="s">
        <v>11817</v>
      </c>
    </row>
    <row r="541" spans="1:24" ht="89.25">
      <c r="A541" s="3" t="s">
        <v>11863</v>
      </c>
      <c r="B541" s="6" t="s">
        <v>361</v>
      </c>
      <c r="C541" s="6" t="s">
        <v>3186</v>
      </c>
      <c r="D541" s="6" t="s">
        <v>3014</v>
      </c>
      <c r="E541" s="6" t="s">
        <v>3183</v>
      </c>
      <c r="F541" s="6" t="s">
        <v>3143</v>
      </c>
      <c r="G541" s="3" t="s">
        <v>11450</v>
      </c>
      <c r="H541" s="54">
        <v>0</v>
      </c>
      <c r="I541" s="16">
        <v>470000000</v>
      </c>
      <c r="J541" s="157" t="s">
        <v>229</v>
      </c>
      <c r="K541" s="5" t="s">
        <v>210</v>
      </c>
      <c r="L541" s="17" t="s">
        <v>11411</v>
      </c>
      <c r="M541" s="3" t="s">
        <v>230</v>
      </c>
      <c r="N541" s="6" t="s">
        <v>524</v>
      </c>
      <c r="O541" s="6" t="s">
        <v>233</v>
      </c>
      <c r="P541" s="58">
        <v>796</v>
      </c>
      <c r="Q541" s="6" t="s">
        <v>234</v>
      </c>
      <c r="R541" s="21">
        <v>100</v>
      </c>
      <c r="S541" s="2">
        <v>8304</v>
      </c>
      <c r="T541" s="4">
        <v>0</v>
      </c>
      <c r="U541" s="4">
        <f t="shared" si="26"/>
        <v>0</v>
      </c>
      <c r="V541" s="3" t="s">
        <v>362</v>
      </c>
      <c r="W541" s="3">
        <v>2014</v>
      </c>
      <c r="X541" s="3" t="s">
        <v>12051</v>
      </c>
    </row>
    <row r="542" spans="1:24" ht="89.25">
      <c r="A542" s="3" t="s">
        <v>14969</v>
      </c>
      <c r="B542" s="6" t="s">
        <v>361</v>
      </c>
      <c r="C542" s="6" t="s">
        <v>3186</v>
      </c>
      <c r="D542" s="6" t="s">
        <v>3014</v>
      </c>
      <c r="E542" s="6" t="s">
        <v>3183</v>
      </c>
      <c r="F542" s="6" t="s">
        <v>3143</v>
      </c>
      <c r="G542" s="3" t="s">
        <v>11450</v>
      </c>
      <c r="H542" s="54">
        <v>0</v>
      </c>
      <c r="I542" s="16">
        <v>470000000</v>
      </c>
      <c r="J542" s="157" t="s">
        <v>229</v>
      </c>
      <c r="K542" s="5" t="s">
        <v>14662</v>
      </c>
      <c r="L542" s="17" t="s">
        <v>11411</v>
      </c>
      <c r="M542" s="3" t="s">
        <v>230</v>
      </c>
      <c r="N542" s="6" t="s">
        <v>524</v>
      </c>
      <c r="O542" s="6" t="s">
        <v>233</v>
      </c>
      <c r="P542" s="58">
        <v>796</v>
      </c>
      <c r="Q542" s="6" t="s">
        <v>234</v>
      </c>
      <c r="R542" s="21">
        <v>79</v>
      </c>
      <c r="S542" s="2">
        <v>9965</v>
      </c>
      <c r="T542" s="4">
        <v>0</v>
      </c>
      <c r="U542" s="4">
        <f>T542*1.12</f>
        <v>0</v>
      </c>
      <c r="V542" s="3" t="s">
        <v>362</v>
      </c>
      <c r="W542" s="3">
        <v>2014</v>
      </c>
      <c r="X542" s="3" t="s">
        <v>16521</v>
      </c>
    </row>
    <row r="543" spans="1:24" ht="89.25">
      <c r="A543" s="3" t="s">
        <v>17826</v>
      </c>
      <c r="B543" s="6" t="s">
        <v>361</v>
      </c>
      <c r="C543" s="6" t="s">
        <v>3186</v>
      </c>
      <c r="D543" s="6" t="s">
        <v>3014</v>
      </c>
      <c r="E543" s="6" t="s">
        <v>3183</v>
      </c>
      <c r="F543" s="6" t="s">
        <v>3143</v>
      </c>
      <c r="G543" s="3" t="s">
        <v>11450</v>
      </c>
      <c r="H543" s="54">
        <v>0</v>
      </c>
      <c r="I543" s="16">
        <v>470000000</v>
      </c>
      <c r="J543" s="157" t="s">
        <v>229</v>
      </c>
      <c r="K543" s="5" t="s">
        <v>17401</v>
      </c>
      <c r="L543" s="17" t="s">
        <v>11411</v>
      </c>
      <c r="M543" s="3" t="s">
        <v>230</v>
      </c>
      <c r="N543" s="6" t="s">
        <v>528</v>
      </c>
      <c r="O543" s="6" t="s">
        <v>233</v>
      </c>
      <c r="P543" s="58">
        <v>796</v>
      </c>
      <c r="Q543" s="6" t="s">
        <v>234</v>
      </c>
      <c r="R543" s="21">
        <v>79</v>
      </c>
      <c r="S543" s="2">
        <v>9964.7999999999993</v>
      </c>
      <c r="T543" s="4">
        <f>R543*S543</f>
        <v>787219.2</v>
      </c>
      <c r="U543" s="4">
        <f>T543*1.12</f>
        <v>881685.50400000007</v>
      </c>
      <c r="V543" s="3" t="s">
        <v>362</v>
      </c>
      <c r="W543" s="3">
        <v>2014</v>
      </c>
      <c r="X543" s="3"/>
    </row>
    <row r="544" spans="1:24" ht="102">
      <c r="A544" s="3" t="s">
        <v>820</v>
      </c>
      <c r="B544" s="6" t="s">
        <v>361</v>
      </c>
      <c r="C544" s="6" t="s">
        <v>3184</v>
      </c>
      <c r="D544" s="6" t="s">
        <v>3014</v>
      </c>
      <c r="E544" s="6" t="s">
        <v>3185</v>
      </c>
      <c r="F544" s="6" t="s">
        <v>3144</v>
      </c>
      <c r="G544" s="3" t="s">
        <v>11449</v>
      </c>
      <c r="H544" s="54">
        <v>0</v>
      </c>
      <c r="I544" s="16">
        <v>470000000</v>
      </c>
      <c r="J544" s="157" t="s">
        <v>229</v>
      </c>
      <c r="K544" s="5" t="s">
        <v>210</v>
      </c>
      <c r="L544" s="6" t="s">
        <v>231</v>
      </c>
      <c r="M544" s="3" t="s">
        <v>230</v>
      </c>
      <c r="N544" s="6" t="s">
        <v>524</v>
      </c>
      <c r="O544" s="6" t="s">
        <v>233</v>
      </c>
      <c r="P544" s="58">
        <v>796</v>
      </c>
      <c r="Q544" s="6" t="s">
        <v>234</v>
      </c>
      <c r="R544" s="21">
        <v>24</v>
      </c>
      <c r="S544" s="2">
        <v>6875</v>
      </c>
      <c r="T544" s="4">
        <v>0</v>
      </c>
      <c r="U544" s="4">
        <f t="shared" si="26"/>
        <v>0</v>
      </c>
      <c r="V544" s="3" t="s">
        <v>362</v>
      </c>
      <c r="W544" s="3">
        <v>2014</v>
      </c>
      <c r="X544" s="3">
        <v>7.12</v>
      </c>
    </row>
    <row r="545" spans="1:24" ht="89.25">
      <c r="A545" s="3" t="s">
        <v>11864</v>
      </c>
      <c r="B545" s="6" t="s">
        <v>361</v>
      </c>
      <c r="C545" s="6" t="s">
        <v>3184</v>
      </c>
      <c r="D545" s="6" t="s">
        <v>3014</v>
      </c>
      <c r="E545" s="6" t="s">
        <v>3185</v>
      </c>
      <c r="F545" s="6" t="s">
        <v>3144</v>
      </c>
      <c r="G545" s="3" t="s">
        <v>11450</v>
      </c>
      <c r="H545" s="54">
        <v>0</v>
      </c>
      <c r="I545" s="16">
        <v>470000000</v>
      </c>
      <c r="J545" s="157" t="s">
        <v>229</v>
      </c>
      <c r="K545" s="5" t="s">
        <v>210</v>
      </c>
      <c r="L545" s="17" t="s">
        <v>11411</v>
      </c>
      <c r="M545" s="3" t="s">
        <v>230</v>
      </c>
      <c r="N545" s="6" t="s">
        <v>524</v>
      </c>
      <c r="O545" s="6" t="s">
        <v>233</v>
      </c>
      <c r="P545" s="58">
        <v>796</v>
      </c>
      <c r="Q545" s="6" t="s">
        <v>234</v>
      </c>
      <c r="R545" s="21">
        <v>24</v>
      </c>
      <c r="S545" s="2">
        <v>6875</v>
      </c>
      <c r="T545" s="4">
        <v>0</v>
      </c>
      <c r="U545" s="4">
        <f t="shared" si="26"/>
        <v>0</v>
      </c>
      <c r="V545" s="3" t="s">
        <v>362</v>
      </c>
      <c r="W545" s="3">
        <v>2014</v>
      </c>
      <c r="X545" s="3" t="s">
        <v>12076</v>
      </c>
    </row>
    <row r="546" spans="1:24" ht="102">
      <c r="A546" s="3" t="s">
        <v>821</v>
      </c>
      <c r="B546" s="6" t="s">
        <v>361</v>
      </c>
      <c r="C546" s="6" t="s">
        <v>3186</v>
      </c>
      <c r="D546" s="6" t="s">
        <v>3014</v>
      </c>
      <c r="E546" s="6" t="s">
        <v>3183</v>
      </c>
      <c r="F546" s="6" t="s">
        <v>3145</v>
      </c>
      <c r="G546" s="3" t="s">
        <v>11449</v>
      </c>
      <c r="H546" s="54">
        <v>0</v>
      </c>
      <c r="I546" s="16">
        <v>470000000</v>
      </c>
      <c r="J546" s="157" t="s">
        <v>229</v>
      </c>
      <c r="K546" s="5" t="s">
        <v>214</v>
      </c>
      <c r="L546" s="6" t="s">
        <v>231</v>
      </c>
      <c r="M546" s="3" t="s">
        <v>230</v>
      </c>
      <c r="N546" s="6" t="s">
        <v>524</v>
      </c>
      <c r="O546" s="6" t="s">
        <v>233</v>
      </c>
      <c r="P546" s="58">
        <v>796</v>
      </c>
      <c r="Q546" s="6" t="s">
        <v>234</v>
      </c>
      <c r="R546" s="21">
        <v>30</v>
      </c>
      <c r="S546" s="2">
        <v>4977</v>
      </c>
      <c r="T546" s="4">
        <v>0</v>
      </c>
      <c r="U546" s="4">
        <f t="shared" si="26"/>
        <v>0</v>
      </c>
      <c r="V546" s="3" t="s">
        <v>362</v>
      </c>
      <c r="W546" s="3">
        <v>2014</v>
      </c>
      <c r="X546" s="3" t="s">
        <v>11817</v>
      </c>
    </row>
    <row r="547" spans="1:24" ht="89.25">
      <c r="A547" s="3" t="s">
        <v>11865</v>
      </c>
      <c r="B547" s="6" t="s">
        <v>361</v>
      </c>
      <c r="C547" s="6" t="s">
        <v>3186</v>
      </c>
      <c r="D547" s="6" t="s">
        <v>3014</v>
      </c>
      <c r="E547" s="6" t="s">
        <v>3183</v>
      </c>
      <c r="F547" s="6" t="s">
        <v>3145</v>
      </c>
      <c r="G547" s="3" t="s">
        <v>11450</v>
      </c>
      <c r="H547" s="54">
        <v>0</v>
      </c>
      <c r="I547" s="16">
        <v>470000000</v>
      </c>
      <c r="J547" s="157" t="s">
        <v>229</v>
      </c>
      <c r="K547" s="5" t="s">
        <v>210</v>
      </c>
      <c r="L547" s="17" t="s">
        <v>11411</v>
      </c>
      <c r="M547" s="3" t="s">
        <v>230</v>
      </c>
      <c r="N547" s="6" t="s">
        <v>524</v>
      </c>
      <c r="O547" s="6" t="s">
        <v>233</v>
      </c>
      <c r="P547" s="58">
        <v>796</v>
      </c>
      <c r="Q547" s="6" t="s">
        <v>234</v>
      </c>
      <c r="R547" s="21">
        <v>30</v>
      </c>
      <c r="S547" s="2">
        <v>4977</v>
      </c>
      <c r="T547" s="4">
        <v>0</v>
      </c>
      <c r="U547" s="4">
        <f t="shared" si="26"/>
        <v>0</v>
      </c>
      <c r="V547" s="3" t="s">
        <v>362</v>
      </c>
      <c r="W547" s="3">
        <v>2014</v>
      </c>
      <c r="X547" s="3" t="s">
        <v>12076</v>
      </c>
    </row>
    <row r="548" spans="1:24" ht="102">
      <c r="A548" s="3" t="s">
        <v>822</v>
      </c>
      <c r="B548" s="6" t="s">
        <v>361</v>
      </c>
      <c r="C548" s="6" t="s">
        <v>3189</v>
      </c>
      <c r="D548" s="6" t="s">
        <v>3014</v>
      </c>
      <c r="E548" s="6" t="s">
        <v>3190</v>
      </c>
      <c r="F548" s="6" t="s">
        <v>3146</v>
      </c>
      <c r="G548" s="3" t="s">
        <v>11449</v>
      </c>
      <c r="H548" s="54">
        <v>0</v>
      </c>
      <c r="I548" s="16">
        <v>470000000</v>
      </c>
      <c r="J548" s="157" t="s">
        <v>229</v>
      </c>
      <c r="K548" s="5" t="s">
        <v>214</v>
      </c>
      <c r="L548" s="6" t="s">
        <v>231</v>
      </c>
      <c r="M548" s="3" t="s">
        <v>230</v>
      </c>
      <c r="N548" s="6" t="s">
        <v>524</v>
      </c>
      <c r="O548" s="6" t="s">
        <v>233</v>
      </c>
      <c r="P548" s="58">
        <v>796</v>
      </c>
      <c r="Q548" s="6" t="s">
        <v>234</v>
      </c>
      <c r="R548" s="21">
        <v>400</v>
      </c>
      <c r="S548" s="2">
        <v>5729</v>
      </c>
      <c r="T548" s="4">
        <v>0</v>
      </c>
      <c r="U548" s="4">
        <f t="shared" si="26"/>
        <v>0</v>
      </c>
      <c r="V548" s="3" t="s">
        <v>362</v>
      </c>
      <c r="W548" s="3">
        <v>2014</v>
      </c>
      <c r="X548" s="3" t="s">
        <v>11817</v>
      </c>
    </row>
    <row r="549" spans="1:24" ht="89.25">
      <c r="A549" s="3" t="s">
        <v>11866</v>
      </c>
      <c r="B549" s="6" t="s">
        <v>361</v>
      </c>
      <c r="C549" s="6" t="s">
        <v>3189</v>
      </c>
      <c r="D549" s="6" t="s">
        <v>3014</v>
      </c>
      <c r="E549" s="6" t="s">
        <v>3190</v>
      </c>
      <c r="F549" s="6" t="s">
        <v>3146</v>
      </c>
      <c r="G549" s="3" t="s">
        <v>11450</v>
      </c>
      <c r="H549" s="54">
        <v>0</v>
      </c>
      <c r="I549" s="16">
        <v>470000000</v>
      </c>
      <c r="J549" s="157" t="s">
        <v>229</v>
      </c>
      <c r="K549" s="5" t="s">
        <v>210</v>
      </c>
      <c r="L549" s="17" t="s">
        <v>11411</v>
      </c>
      <c r="M549" s="3" t="s">
        <v>230</v>
      </c>
      <c r="N549" s="6" t="s">
        <v>524</v>
      </c>
      <c r="O549" s="6" t="s">
        <v>233</v>
      </c>
      <c r="P549" s="58">
        <v>796</v>
      </c>
      <c r="Q549" s="6" t="s">
        <v>234</v>
      </c>
      <c r="R549" s="21">
        <v>400</v>
      </c>
      <c r="S549" s="2">
        <v>5729</v>
      </c>
      <c r="T549" s="4">
        <v>0</v>
      </c>
      <c r="U549" s="4">
        <f t="shared" si="26"/>
        <v>0</v>
      </c>
      <c r="V549" s="3" t="s">
        <v>362</v>
      </c>
      <c r="W549" s="3">
        <v>2014</v>
      </c>
      <c r="X549" s="3" t="s">
        <v>12051</v>
      </c>
    </row>
    <row r="550" spans="1:24" ht="89.25">
      <c r="A550" s="3" t="s">
        <v>14970</v>
      </c>
      <c r="B550" s="6" t="s">
        <v>361</v>
      </c>
      <c r="C550" s="6" t="s">
        <v>3189</v>
      </c>
      <c r="D550" s="6" t="s">
        <v>3014</v>
      </c>
      <c r="E550" s="6" t="s">
        <v>3190</v>
      </c>
      <c r="F550" s="6" t="s">
        <v>3146</v>
      </c>
      <c r="G550" s="3" t="s">
        <v>11450</v>
      </c>
      <c r="H550" s="54">
        <v>0</v>
      </c>
      <c r="I550" s="16">
        <v>470000000</v>
      </c>
      <c r="J550" s="157" t="s">
        <v>229</v>
      </c>
      <c r="K550" s="5" t="s">
        <v>14662</v>
      </c>
      <c r="L550" s="17" t="s">
        <v>11411</v>
      </c>
      <c r="M550" s="3" t="s">
        <v>230</v>
      </c>
      <c r="N550" s="6" t="s">
        <v>524</v>
      </c>
      <c r="O550" s="6" t="s">
        <v>233</v>
      </c>
      <c r="P550" s="58">
        <v>796</v>
      </c>
      <c r="Q550" s="6" t="s">
        <v>234</v>
      </c>
      <c r="R550" s="21">
        <v>1017</v>
      </c>
      <c r="S550" s="2">
        <v>4546</v>
      </c>
      <c r="T550" s="4">
        <v>0</v>
      </c>
      <c r="U550" s="4">
        <f>T550*1.12</f>
        <v>0</v>
      </c>
      <c r="V550" s="3" t="s">
        <v>362</v>
      </c>
      <c r="W550" s="3">
        <v>2014</v>
      </c>
      <c r="X550" s="3" t="s">
        <v>17321</v>
      </c>
    </row>
    <row r="551" spans="1:24" ht="89.25">
      <c r="A551" s="3" t="s">
        <v>17830</v>
      </c>
      <c r="B551" s="6" t="s">
        <v>361</v>
      </c>
      <c r="C551" s="6" t="s">
        <v>3189</v>
      </c>
      <c r="D551" s="6" t="s">
        <v>3014</v>
      </c>
      <c r="E551" s="6" t="s">
        <v>3190</v>
      </c>
      <c r="F551" s="6" t="s">
        <v>3146</v>
      </c>
      <c r="G551" s="3" t="s">
        <v>11450</v>
      </c>
      <c r="H551" s="54">
        <v>0</v>
      </c>
      <c r="I551" s="16">
        <v>470000000</v>
      </c>
      <c r="J551" s="157" t="s">
        <v>229</v>
      </c>
      <c r="K551" s="5" t="s">
        <v>17401</v>
      </c>
      <c r="L551" s="17" t="s">
        <v>11411</v>
      </c>
      <c r="M551" s="3" t="s">
        <v>230</v>
      </c>
      <c r="N551" s="6" t="s">
        <v>528</v>
      </c>
      <c r="O551" s="6" t="s">
        <v>233</v>
      </c>
      <c r="P551" s="58">
        <v>796</v>
      </c>
      <c r="Q551" s="6" t="s">
        <v>234</v>
      </c>
      <c r="R551" s="21">
        <v>1000</v>
      </c>
      <c r="S551" s="2">
        <v>4545.96</v>
      </c>
      <c r="T551" s="4">
        <f>R551*S551</f>
        <v>4545960</v>
      </c>
      <c r="U551" s="4">
        <f>T551*1.12</f>
        <v>5091475.2</v>
      </c>
      <c r="V551" s="3" t="s">
        <v>362</v>
      </c>
      <c r="W551" s="3">
        <v>2014</v>
      </c>
      <c r="X551" s="3"/>
    </row>
    <row r="552" spans="1:24" ht="102">
      <c r="A552" s="3" t="s">
        <v>823</v>
      </c>
      <c r="B552" s="6" t="s">
        <v>361</v>
      </c>
      <c r="C552" s="6" t="s">
        <v>3189</v>
      </c>
      <c r="D552" s="6" t="s">
        <v>3014</v>
      </c>
      <c r="E552" s="6" t="s">
        <v>3190</v>
      </c>
      <c r="F552" s="6" t="s">
        <v>3147</v>
      </c>
      <c r="G552" s="3" t="s">
        <v>11449</v>
      </c>
      <c r="H552" s="54">
        <v>0</v>
      </c>
      <c r="I552" s="16">
        <v>470000000</v>
      </c>
      <c r="J552" s="157" t="s">
        <v>229</v>
      </c>
      <c r="K552" s="5" t="s">
        <v>210</v>
      </c>
      <c r="L552" s="6" t="s">
        <v>231</v>
      </c>
      <c r="M552" s="3" t="s">
        <v>230</v>
      </c>
      <c r="N552" s="6" t="s">
        <v>524</v>
      </c>
      <c r="O552" s="6" t="s">
        <v>233</v>
      </c>
      <c r="P552" s="58">
        <v>796</v>
      </c>
      <c r="Q552" s="6" t="s">
        <v>234</v>
      </c>
      <c r="R552" s="21">
        <v>500</v>
      </c>
      <c r="S552" s="2">
        <v>2622</v>
      </c>
      <c r="T552" s="4">
        <v>0</v>
      </c>
      <c r="U552" s="4">
        <f t="shared" si="26"/>
        <v>0</v>
      </c>
      <c r="V552" s="3" t="s">
        <v>362</v>
      </c>
      <c r="W552" s="3">
        <v>2014</v>
      </c>
      <c r="X552" s="3">
        <v>7.12</v>
      </c>
    </row>
    <row r="553" spans="1:24" ht="89.25">
      <c r="A553" s="3" t="s">
        <v>11867</v>
      </c>
      <c r="B553" s="6" t="s">
        <v>361</v>
      </c>
      <c r="C553" s="6" t="s">
        <v>3189</v>
      </c>
      <c r="D553" s="6" t="s">
        <v>3014</v>
      </c>
      <c r="E553" s="6" t="s">
        <v>3190</v>
      </c>
      <c r="F553" s="6" t="s">
        <v>3147</v>
      </c>
      <c r="G553" s="3" t="s">
        <v>11450</v>
      </c>
      <c r="H553" s="54">
        <v>0</v>
      </c>
      <c r="I553" s="16">
        <v>470000000</v>
      </c>
      <c r="J553" s="157" t="s">
        <v>229</v>
      </c>
      <c r="K553" s="5" t="s">
        <v>210</v>
      </c>
      <c r="L553" s="17" t="s">
        <v>11411</v>
      </c>
      <c r="M553" s="3" t="s">
        <v>230</v>
      </c>
      <c r="N553" s="6" t="s">
        <v>524</v>
      </c>
      <c r="O553" s="6" t="s">
        <v>233</v>
      </c>
      <c r="P553" s="58">
        <v>796</v>
      </c>
      <c r="Q553" s="6" t="s">
        <v>234</v>
      </c>
      <c r="R553" s="21">
        <v>500</v>
      </c>
      <c r="S553" s="2">
        <v>2622</v>
      </c>
      <c r="T553" s="4">
        <v>0</v>
      </c>
      <c r="U553" s="4">
        <f t="shared" si="26"/>
        <v>0</v>
      </c>
      <c r="V553" s="3" t="s">
        <v>362</v>
      </c>
      <c r="W553" s="3">
        <v>2014</v>
      </c>
      <c r="X553" s="3" t="s">
        <v>14780</v>
      </c>
    </row>
    <row r="554" spans="1:24" ht="89.25">
      <c r="A554" s="3" t="s">
        <v>14971</v>
      </c>
      <c r="B554" s="6" t="s">
        <v>361</v>
      </c>
      <c r="C554" s="6" t="s">
        <v>3189</v>
      </c>
      <c r="D554" s="6" t="s">
        <v>3014</v>
      </c>
      <c r="E554" s="6" t="s">
        <v>3190</v>
      </c>
      <c r="F554" s="6" t="s">
        <v>3147</v>
      </c>
      <c r="G554" s="3" t="s">
        <v>11450</v>
      </c>
      <c r="H554" s="54">
        <v>0</v>
      </c>
      <c r="I554" s="16">
        <v>470000000</v>
      </c>
      <c r="J554" s="157" t="s">
        <v>229</v>
      </c>
      <c r="K554" s="5" t="s">
        <v>14662</v>
      </c>
      <c r="L554" s="17" t="s">
        <v>11411</v>
      </c>
      <c r="M554" s="3" t="s">
        <v>230</v>
      </c>
      <c r="N554" s="6" t="s">
        <v>524</v>
      </c>
      <c r="O554" s="6" t="s">
        <v>233</v>
      </c>
      <c r="P554" s="58">
        <v>796</v>
      </c>
      <c r="Q554" s="6" t="s">
        <v>234</v>
      </c>
      <c r="R554" s="21">
        <v>1332</v>
      </c>
      <c r="S554" s="2">
        <v>2622</v>
      </c>
      <c r="T554" s="4">
        <v>0</v>
      </c>
      <c r="U554" s="4">
        <f>T554*1.12</f>
        <v>0</v>
      </c>
      <c r="V554" s="3" t="s">
        <v>362</v>
      </c>
      <c r="W554" s="3">
        <v>2014</v>
      </c>
      <c r="X554" s="3" t="s">
        <v>16521</v>
      </c>
    </row>
    <row r="555" spans="1:24" ht="89.25">
      <c r="A555" s="3" t="s">
        <v>17832</v>
      </c>
      <c r="B555" s="6" t="s">
        <v>361</v>
      </c>
      <c r="C555" s="6" t="s">
        <v>3189</v>
      </c>
      <c r="D555" s="6" t="s">
        <v>3014</v>
      </c>
      <c r="E555" s="6" t="s">
        <v>3190</v>
      </c>
      <c r="F555" s="6" t="s">
        <v>3147</v>
      </c>
      <c r="G555" s="3" t="s">
        <v>11450</v>
      </c>
      <c r="H555" s="54">
        <v>0</v>
      </c>
      <c r="I555" s="16">
        <v>470000000</v>
      </c>
      <c r="J555" s="157" t="s">
        <v>229</v>
      </c>
      <c r="K555" s="5" t="s">
        <v>17401</v>
      </c>
      <c r="L555" s="17" t="s">
        <v>11411</v>
      </c>
      <c r="M555" s="3" t="s">
        <v>230</v>
      </c>
      <c r="N555" s="6" t="s">
        <v>521</v>
      </c>
      <c r="O555" s="6" t="s">
        <v>233</v>
      </c>
      <c r="P555" s="58">
        <v>796</v>
      </c>
      <c r="Q555" s="6" t="s">
        <v>234</v>
      </c>
      <c r="R555" s="21">
        <v>1332</v>
      </c>
      <c r="S555" s="2">
        <v>3146.4</v>
      </c>
      <c r="T555" s="4">
        <f>R555*S555</f>
        <v>4191004.8000000003</v>
      </c>
      <c r="U555" s="4">
        <f>T555*1.12</f>
        <v>4693925.3760000011</v>
      </c>
      <c r="V555" s="3" t="s">
        <v>362</v>
      </c>
      <c r="W555" s="3">
        <v>2014</v>
      </c>
      <c r="X555" s="3"/>
    </row>
    <row r="556" spans="1:24" ht="102">
      <c r="A556" s="3" t="s">
        <v>824</v>
      </c>
      <c r="B556" s="6" t="s">
        <v>361</v>
      </c>
      <c r="C556" s="6" t="s">
        <v>3187</v>
      </c>
      <c r="D556" s="6" t="s">
        <v>3014</v>
      </c>
      <c r="E556" s="6" t="s">
        <v>3188</v>
      </c>
      <c r="F556" s="6" t="s">
        <v>3148</v>
      </c>
      <c r="G556" s="3" t="s">
        <v>11449</v>
      </c>
      <c r="H556" s="54">
        <v>0</v>
      </c>
      <c r="I556" s="16">
        <v>470000000</v>
      </c>
      <c r="J556" s="157" t="s">
        <v>229</v>
      </c>
      <c r="K556" s="5" t="s">
        <v>214</v>
      </c>
      <c r="L556" s="6" t="s">
        <v>231</v>
      </c>
      <c r="M556" s="3" t="s">
        <v>230</v>
      </c>
      <c r="N556" s="6" t="s">
        <v>524</v>
      </c>
      <c r="O556" s="6" t="s">
        <v>233</v>
      </c>
      <c r="P556" s="58">
        <v>796</v>
      </c>
      <c r="Q556" s="6" t="s">
        <v>234</v>
      </c>
      <c r="R556" s="21">
        <v>300</v>
      </c>
      <c r="S556" s="2">
        <v>2414</v>
      </c>
      <c r="T556" s="4">
        <v>0</v>
      </c>
      <c r="U556" s="4">
        <f t="shared" si="26"/>
        <v>0</v>
      </c>
      <c r="V556" s="3" t="s">
        <v>362</v>
      </c>
      <c r="W556" s="3">
        <v>2014</v>
      </c>
      <c r="X556" s="3" t="s">
        <v>11817</v>
      </c>
    </row>
    <row r="557" spans="1:24" ht="89.25">
      <c r="A557" s="3" t="s">
        <v>11805</v>
      </c>
      <c r="B557" s="6" t="s">
        <v>361</v>
      </c>
      <c r="C557" s="6" t="s">
        <v>3187</v>
      </c>
      <c r="D557" s="6" t="s">
        <v>3014</v>
      </c>
      <c r="E557" s="6" t="s">
        <v>3188</v>
      </c>
      <c r="F557" s="6" t="s">
        <v>3148</v>
      </c>
      <c r="G557" s="3" t="s">
        <v>11450</v>
      </c>
      <c r="H557" s="54">
        <v>0</v>
      </c>
      <c r="I557" s="16">
        <v>470000000</v>
      </c>
      <c r="J557" s="157" t="s">
        <v>229</v>
      </c>
      <c r="K557" s="5" t="s">
        <v>210</v>
      </c>
      <c r="L557" s="17" t="s">
        <v>11411</v>
      </c>
      <c r="M557" s="3" t="s">
        <v>230</v>
      </c>
      <c r="N557" s="6" t="s">
        <v>524</v>
      </c>
      <c r="O557" s="6" t="s">
        <v>233</v>
      </c>
      <c r="P557" s="58">
        <v>796</v>
      </c>
      <c r="Q557" s="6" t="s">
        <v>234</v>
      </c>
      <c r="R557" s="21">
        <v>300</v>
      </c>
      <c r="S557" s="2">
        <v>2414</v>
      </c>
      <c r="T557" s="4">
        <v>0</v>
      </c>
      <c r="U557" s="4">
        <f t="shared" si="26"/>
        <v>0</v>
      </c>
      <c r="V557" s="3" t="s">
        <v>362</v>
      </c>
      <c r="W557" s="3">
        <v>2014</v>
      </c>
      <c r="X557" s="3" t="s">
        <v>14780</v>
      </c>
    </row>
    <row r="558" spans="1:24" ht="89.25">
      <c r="A558" s="3" t="s">
        <v>14972</v>
      </c>
      <c r="B558" s="6" t="s">
        <v>361</v>
      </c>
      <c r="C558" s="6" t="s">
        <v>3187</v>
      </c>
      <c r="D558" s="6" t="s">
        <v>3014</v>
      </c>
      <c r="E558" s="6" t="s">
        <v>3188</v>
      </c>
      <c r="F558" s="6" t="s">
        <v>3148</v>
      </c>
      <c r="G558" s="3" t="s">
        <v>11450</v>
      </c>
      <c r="H558" s="54">
        <v>0</v>
      </c>
      <c r="I558" s="16">
        <v>470000000</v>
      </c>
      <c r="J558" s="157" t="s">
        <v>229</v>
      </c>
      <c r="K558" s="5" t="s">
        <v>210</v>
      </c>
      <c r="L558" s="17" t="s">
        <v>11411</v>
      </c>
      <c r="M558" s="3" t="s">
        <v>230</v>
      </c>
      <c r="N558" s="6" t="s">
        <v>524</v>
      </c>
      <c r="O558" s="6" t="s">
        <v>233</v>
      </c>
      <c r="P558" s="58">
        <v>796</v>
      </c>
      <c r="Q558" s="6" t="s">
        <v>234</v>
      </c>
      <c r="R558" s="21">
        <v>1228</v>
      </c>
      <c r="S558" s="2">
        <v>2414</v>
      </c>
      <c r="T558" s="4">
        <v>0</v>
      </c>
      <c r="U558" s="4">
        <f>T558*1.12</f>
        <v>0</v>
      </c>
      <c r="V558" s="3" t="s">
        <v>362</v>
      </c>
      <c r="W558" s="3">
        <v>2014</v>
      </c>
      <c r="X558" s="3" t="s">
        <v>17321</v>
      </c>
    </row>
    <row r="559" spans="1:24" ht="89.25">
      <c r="A559" s="3" t="s">
        <v>17833</v>
      </c>
      <c r="B559" s="6" t="s">
        <v>361</v>
      </c>
      <c r="C559" s="6" t="s">
        <v>3187</v>
      </c>
      <c r="D559" s="6" t="s">
        <v>3014</v>
      </c>
      <c r="E559" s="6" t="s">
        <v>3188</v>
      </c>
      <c r="F559" s="6" t="s">
        <v>3148</v>
      </c>
      <c r="G559" s="3" t="s">
        <v>11450</v>
      </c>
      <c r="H559" s="54">
        <v>0</v>
      </c>
      <c r="I559" s="16">
        <v>470000000</v>
      </c>
      <c r="J559" s="157" t="s">
        <v>229</v>
      </c>
      <c r="K559" s="5" t="s">
        <v>17401</v>
      </c>
      <c r="L559" s="17" t="s">
        <v>11411</v>
      </c>
      <c r="M559" s="3" t="s">
        <v>230</v>
      </c>
      <c r="N559" s="6" t="s">
        <v>521</v>
      </c>
      <c r="O559" s="6" t="s">
        <v>233</v>
      </c>
      <c r="P559" s="58">
        <v>796</v>
      </c>
      <c r="Q559" s="6" t="s">
        <v>234</v>
      </c>
      <c r="R559" s="21">
        <v>1266</v>
      </c>
      <c r="S559" s="2">
        <v>2896.8</v>
      </c>
      <c r="T559" s="4">
        <v>0</v>
      </c>
      <c r="U559" s="4">
        <f>T559*1.12</f>
        <v>0</v>
      </c>
      <c r="V559" s="3" t="s">
        <v>362</v>
      </c>
      <c r="W559" s="3">
        <v>2014</v>
      </c>
      <c r="X559" s="3" t="s">
        <v>18881</v>
      </c>
    </row>
    <row r="560" spans="1:24" ht="63.75">
      <c r="A560" s="3" t="s">
        <v>18880</v>
      </c>
      <c r="B560" s="6" t="s">
        <v>361</v>
      </c>
      <c r="C560" s="6" t="s">
        <v>3187</v>
      </c>
      <c r="D560" s="6" t="s">
        <v>3014</v>
      </c>
      <c r="E560" s="6" t="s">
        <v>3188</v>
      </c>
      <c r="F560" s="6" t="s">
        <v>3148</v>
      </c>
      <c r="G560" s="3" t="s">
        <v>11450</v>
      </c>
      <c r="H560" s="54">
        <v>0.35</v>
      </c>
      <c r="I560" s="16">
        <v>470000000</v>
      </c>
      <c r="J560" s="157" t="s">
        <v>229</v>
      </c>
      <c r="K560" s="5" t="s">
        <v>18437</v>
      </c>
      <c r="L560" s="17" t="s">
        <v>11411</v>
      </c>
      <c r="M560" s="3" t="s">
        <v>230</v>
      </c>
      <c r="N560" s="6" t="s">
        <v>521</v>
      </c>
      <c r="O560" s="6" t="s">
        <v>18749</v>
      </c>
      <c r="P560" s="58">
        <v>796</v>
      </c>
      <c r="Q560" s="6" t="s">
        <v>234</v>
      </c>
      <c r="R560" s="21">
        <v>1356</v>
      </c>
      <c r="S560" s="2">
        <v>2896.8</v>
      </c>
      <c r="T560" s="4">
        <f>R560*S560</f>
        <v>3928060.8000000003</v>
      </c>
      <c r="U560" s="4">
        <f>T560*1.12</f>
        <v>4399428.0960000008</v>
      </c>
      <c r="V560" s="3" t="s">
        <v>362</v>
      </c>
      <c r="W560" s="3">
        <v>2014</v>
      </c>
      <c r="X560" s="3"/>
    </row>
    <row r="561" spans="1:24" ht="102">
      <c r="A561" s="3" t="s">
        <v>825</v>
      </c>
      <c r="B561" s="6" t="s">
        <v>361</v>
      </c>
      <c r="C561" s="6" t="s">
        <v>3189</v>
      </c>
      <c r="D561" s="6" t="s">
        <v>3014</v>
      </c>
      <c r="E561" s="6" t="s">
        <v>3190</v>
      </c>
      <c r="F561" s="6" t="s">
        <v>3149</v>
      </c>
      <c r="G561" s="3" t="s">
        <v>11449</v>
      </c>
      <c r="H561" s="54">
        <v>0</v>
      </c>
      <c r="I561" s="16">
        <v>470000000</v>
      </c>
      <c r="J561" s="157" t="s">
        <v>229</v>
      </c>
      <c r="K561" s="5" t="s">
        <v>210</v>
      </c>
      <c r="L561" s="6" t="s">
        <v>231</v>
      </c>
      <c r="M561" s="3" t="s">
        <v>230</v>
      </c>
      <c r="N561" s="6" t="s">
        <v>524</v>
      </c>
      <c r="O561" s="6" t="s">
        <v>233</v>
      </c>
      <c r="P561" s="58">
        <v>796</v>
      </c>
      <c r="Q561" s="6" t="s">
        <v>234</v>
      </c>
      <c r="R561" s="21">
        <v>80</v>
      </c>
      <c r="S561" s="2">
        <v>1338</v>
      </c>
      <c r="T561" s="4">
        <v>0</v>
      </c>
      <c r="U561" s="4">
        <f t="shared" si="26"/>
        <v>0</v>
      </c>
      <c r="V561" s="3" t="s">
        <v>362</v>
      </c>
      <c r="W561" s="3">
        <v>2014</v>
      </c>
      <c r="X561" s="3">
        <v>7.12</v>
      </c>
    </row>
    <row r="562" spans="1:24" ht="89.25">
      <c r="A562" s="3" t="s">
        <v>11868</v>
      </c>
      <c r="B562" s="6" t="s">
        <v>361</v>
      </c>
      <c r="C562" s="6" t="s">
        <v>3189</v>
      </c>
      <c r="D562" s="6" t="s">
        <v>3014</v>
      </c>
      <c r="E562" s="6" t="s">
        <v>3190</v>
      </c>
      <c r="F562" s="6" t="s">
        <v>3149</v>
      </c>
      <c r="G562" s="3" t="s">
        <v>11450</v>
      </c>
      <c r="H562" s="54">
        <v>0</v>
      </c>
      <c r="I562" s="16">
        <v>470000000</v>
      </c>
      <c r="J562" s="157" t="s">
        <v>229</v>
      </c>
      <c r="K562" s="5" t="s">
        <v>210</v>
      </c>
      <c r="L562" s="17" t="s">
        <v>11411</v>
      </c>
      <c r="M562" s="3" t="s">
        <v>230</v>
      </c>
      <c r="N562" s="6" t="s">
        <v>524</v>
      </c>
      <c r="O562" s="6" t="s">
        <v>233</v>
      </c>
      <c r="P562" s="58">
        <v>796</v>
      </c>
      <c r="Q562" s="6" t="s">
        <v>234</v>
      </c>
      <c r="R562" s="21">
        <v>80</v>
      </c>
      <c r="S562" s="2">
        <v>1338</v>
      </c>
      <c r="T562" s="4">
        <v>0</v>
      </c>
      <c r="U562" s="4">
        <f t="shared" si="26"/>
        <v>0</v>
      </c>
      <c r="V562" s="3" t="s">
        <v>362</v>
      </c>
      <c r="W562" s="3">
        <v>2014</v>
      </c>
      <c r="X562" s="3" t="s">
        <v>12076</v>
      </c>
    </row>
    <row r="563" spans="1:24" ht="102">
      <c r="A563" s="3" t="s">
        <v>826</v>
      </c>
      <c r="B563" s="6" t="s">
        <v>361</v>
      </c>
      <c r="C563" s="6" t="s">
        <v>3189</v>
      </c>
      <c r="D563" s="6" t="s">
        <v>3014</v>
      </c>
      <c r="E563" s="6" t="s">
        <v>3190</v>
      </c>
      <c r="F563" s="6" t="s">
        <v>3150</v>
      </c>
      <c r="G563" s="3" t="s">
        <v>11449</v>
      </c>
      <c r="H563" s="54">
        <v>0</v>
      </c>
      <c r="I563" s="16">
        <v>470000000</v>
      </c>
      <c r="J563" s="157" t="s">
        <v>229</v>
      </c>
      <c r="K563" s="5" t="s">
        <v>210</v>
      </c>
      <c r="L563" s="6" t="s">
        <v>231</v>
      </c>
      <c r="M563" s="3" t="s">
        <v>230</v>
      </c>
      <c r="N563" s="6" t="s">
        <v>524</v>
      </c>
      <c r="O563" s="6" t="s">
        <v>233</v>
      </c>
      <c r="P563" s="58">
        <v>796</v>
      </c>
      <c r="Q563" s="6" t="s">
        <v>234</v>
      </c>
      <c r="R563" s="21">
        <v>30</v>
      </c>
      <c r="S563" s="2">
        <v>477</v>
      </c>
      <c r="T563" s="4">
        <v>0</v>
      </c>
      <c r="U563" s="4">
        <f t="shared" si="26"/>
        <v>0</v>
      </c>
      <c r="V563" s="3" t="s">
        <v>362</v>
      </c>
      <c r="W563" s="3">
        <v>2014</v>
      </c>
      <c r="X563" s="3">
        <v>7.12</v>
      </c>
    </row>
    <row r="564" spans="1:24" ht="89.25">
      <c r="A564" s="3" t="s">
        <v>11803</v>
      </c>
      <c r="B564" s="6" t="s">
        <v>361</v>
      </c>
      <c r="C564" s="6" t="s">
        <v>3189</v>
      </c>
      <c r="D564" s="6" t="s">
        <v>3014</v>
      </c>
      <c r="E564" s="6" t="s">
        <v>3190</v>
      </c>
      <c r="F564" s="6" t="s">
        <v>3150</v>
      </c>
      <c r="G564" s="3" t="s">
        <v>11450</v>
      </c>
      <c r="H564" s="54">
        <v>0</v>
      </c>
      <c r="I564" s="16">
        <v>470000000</v>
      </c>
      <c r="J564" s="157" t="s">
        <v>229</v>
      </c>
      <c r="K564" s="5" t="s">
        <v>210</v>
      </c>
      <c r="L564" s="17" t="s">
        <v>11411</v>
      </c>
      <c r="M564" s="3" t="s">
        <v>230</v>
      </c>
      <c r="N564" s="6" t="s">
        <v>524</v>
      </c>
      <c r="O564" s="6" t="s">
        <v>233</v>
      </c>
      <c r="P564" s="58">
        <v>796</v>
      </c>
      <c r="Q564" s="6" t="s">
        <v>234</v>
      </c>
      <c r="R564" s="21">
        <v>30</v>
      </c>
      <c r="S564" s="2">
        <v>477</v>
      </c>
      <c r="T564" s="4">
        <v>0</v>
      </c>
      <c r="U564" s="4">
        <f t="shared" si="26"/>
        <v>0</v>
      </c>
      <c r="V564" s="3" t="s">
        <v>362</v>
      </c>
      <c r="W564" s="3">
        <v>2014</v>
      </c>
      <c r="X564" s="3">
        <v>7</v>
      </c>
    </row>
    <row r="565" spans="1:24" ht="89.25">
      <c r="A565" s="3" t="s">
        <v>12060</v>
      </c>
      <c r="B565" s="6" t="s">
        <v>361</v>
      </c>
      <c r="C565" s="6" t="s">
        <v>3189</v>
      </c>
      <c r="D565" s="6" t="s">
        <v>3014</v>
      </c>
      <c r="E565" s="6" t="s">
        <v>3190</v>
      </c>
      <c r="F565" s="6" t="s">
        <v>3150</v>
      </c>
      <c r="G565" s="3" t="s">
        <v>605</v>
      </c>
      <c r="H565" s="54">
        <v>0</v>
      </c>
      <c r="I565" s="16">
        <v>470000000</v>
      </c>
      <c r="J565" s="157" t="s">
        <v>229</v>
      </c>
      <c r="K565" s="5" t="s">
        <v>210</v>
      </c>
      <c r="L565" s="17" t="s">
        <v>11411</v>
      </c>
      <c r="M565" s="3" t="s">
        <v>230</v>
      </c>
      <c r="N565" s="6" t="s">
        <v>524</v>
      </c>
      <c r="O565" s="6" t="s">
        <v>233</v>
      </c>
      <c r="P565" s="58">
        <v>796</v>
      </c>
      <c r="Q565" s="6" t="s">
        <v>234</v>
      </c>
      <c r="R565" s="21">
        <v>30</v>
      </c>
      <c r="S565" s="2">
        <v>477</v>
      </c>
      <c r="T565" s="4">
        <v>0</v>
      </c>
      <c r="U565" s="4">
        <f>T565*1.12</f>
        <v>0</v>
      </c>
      <c r="V565" s="3" t="s">
        <v>362</v>
      </c>
      <c r="W565" s="3">
        <v>2014</v>
      </c>
      <c r="X565" s="3" t="s">
        <v>12051</v>
      </c>
    </row>
    <row r="566" spans="1:24" ht="89.25">
      <c r="A566" s="3" t="s">
        <v>14973</v>
      </c>
      <c r="B566" s="6" t="s">
        <v>361</v>
      </c>
      <c r="C566" s="6" t="s">
        <v>3189</v>
      </c>
      <c r="D566" s="6" t="s">
        <v>3014</v>
      </c>
      <c r="E566" s="6" t="s">
        <v>3190</v>
      </c>
      <c r="F566" s="6" t="s">
        <v>3150</v>
      </c>
      <c r="G566" s="3" t="s">
        <v>605</v>
      </c>
      <c r="H566" s="54">
        <v>0</v>
      </c>
      <c r="I566" s="16">
        <v>470000000</v>
      </c>
      <c r="J566" s="157" t="s">
        <v>229</v>
      </c>
      <c r="K566" s="5" t="s">
        <v>14662</v>
      </c>
      <c r="L566" s="17" t="s">
        <v>11411</v>
      </c>
      <c r="M566" s="3" t="s">
        <v>230</v>
      </c>
      <c r="N566" s="6" t="s">
        <v>524</v>
      </c>
      <c r="O566" s="6" t="s">
        <v>233</v>
      </c>
      <c r="P566" s="58">
        <v>796</v>
      </c>
      <c r="Q566" s="6" t="s">
        <v>234</v>
      </c>
      <c r="R566" s="21">
        <v>201</v>
      </c>
      <c r="S566" s="2">
        <v>475</v>
      </c>
      <c r="T566" s="4">
        <v>0</v>
      </c>
      <c r="U566" s="4">
        <f>T566*1.12</f>
        <v>0</v>
      </c>
      <c r="V566" s="3" t="s">
        <v>362</v>
      </c>
      <c r="W566" s="3">
        <v>2014</v>
      </c>
      <c r="X566" s="3" t="s">
        <v>16520</v>
      </c>
    </row>
    <row r="567" spans="1:24" ht="89.25">
      <c r="A567" s="3" t="s">
        <v>17853</v>
      </c>
      <c r="B567" s="6" t="s">
        <v>361</v>
      </c>
      <c r="C567" s="6" t="s">
        <v>3189</v>
      </c>
      <c r="D567" s="6" t="s">
        <v>3014</v>
      </c>
      <c r="E567" s="6" t="s">
        <v>3190</v>
      </c>
      <c r="F567" s="6" t="s">
        <v>3150</v>
      </c>
      <c r="G567" s="3" t="s">
        <v>11450</v>
      </c>
      <c r="H567" s="54">
        <v>0</v>
      </c>
      <c r="I567" s="16">
        <v>470000000</v>
      </c>
      <c r="J567" s="157" t="s">
        <v>229</v>
      </c>
      <c r="K567" s="5" t="s">
        <v>17401</v>
      </c>
      <c r="L567" s="17" t="s">
        <v>11411</v>
      </c>
      <c r="M567" s="3" t="s">
        <v>230</v>
      </c>
      <c r="N567" s="6" t="s">
        <v>521</v>
      </c>
      <c r="O567" s="6" t="s">
        <v>233</v>
      </c>
      <c r="P567" s="58">
        <v>796</v>
      </c>
      <c r="Q567" s="6" t="s">
        <v>234</v>
      </c>
      <c r="R567" s="21">
        <v>201</v>
      </c>
      <c r="S567" s="2">
        <v>572.4</v>
      </c>
      <c r="T567" s="4">
        <f>R567*S567</f>
        <v>115052.4</v>
      </c>
      <c r="U567" s="4">
        <f>T567*1.12</f>
        <v>128858.68800000001</v>
      </c>
      <c r="V567" s="3" t="s">
        <v>362</v>
      </c>
      <c r="W567" s="3">
        <v>2014</v>
      </c>
      <c r="X567" s="3"/>
    </row>
    <row r="568" spans="1:24" ht="102">
      <c r="A568" s="3" t="s">
        <v>827</v>
      </c>
      <c r="B568" s="6" t="s">
        <v>361</v>
      </c>
      <c r="C568" s="6" t="s">
        <v>3191</v>
      </c>
      <c r="D568" s="6" t="s">
        <v>3014</v>
      </c>
      <c r="E568" s="6" t="s">
        <v>3192</v>
      </c>
      <c r="F568" s="6" t="s">
        <v>3151</v>
      </c>
      <c r="G568" s="3" t="s">
        <v>11449</v>
      </c>
      <c r="H568" s="54">
        <v>0</v>
      </c>
      <c r="I568" s="16">
        <v>470000000</v>
      </c>
      <c r="J568" s="157" t="s">
        <v>229</v>
      </c>
      <c r="K568" s="5" t="s">
        <v>210</v>
      </c>
      <c r="L568" s="6" t="s">
        <v>231</v>
      </c>
      <c r="M568" s="3" t="s">
        <v>230</v>
      </c>
      <c r="N568" s="6" t="s">
        <v>524</v>
      </c>
      <c r="O568" s="6" t="s">
        <v>233</v>
      </c>
      <c r="P568" s="58">
        <v>796</v>
      </c>
      <c r="Q568" s="6" t="s">
        <v>234</v>
      </c>
      <c r="R568" s="21">
        <v>50</v>
      </c>
      <c r="S568" s="2">
        <v>477</v>
      </c>
      <c r="T568" s="4">
        <v>0</v>
      </c>
      <c r="U568" s="4">
        <f t="shared" si="26"/>
        <v>0</v>
      </c>
      <c r="V568" s="3" t="s">
        <v>362</v>
      </c>
      <c r="W568" s="3">
        <v>2014</v>
      </c>
      <c r="X568" s="3">
        <v>7.12</v>
      </c>
    </row>
    <row r="569" spans="1:24" ht="89.25">
      <c r="A569" s="3" t="s">
        <v>11804</v>
      </c>
      <c r="B569" s="6" t="s">
        <v>361</v>
      </c>
      <c r="C569" s="6" t="s">
        <v>3191</v>
      </c>
      <c r="D569" s="6" t="s">
        <v>3014</v>
      </c>
      <c r="E569" s="6" t="s">
        <v>3192</v>
      </c>
      <c r="F569" s="6" t="s">
        <v>3151</v>
      </c>
      <c r="G569" s="3" t="s">
        <v>605</v>
      </c>
      <c r="H569" s="54">
        <v>0</v>
      </c>
      <c r="I569" s="16">
        <v>470000000</v>
      </c>
      <c r="J569" s="157" t="s">
        <v>229</v>
      </c>
      <c r="K569" s="5" t="s">
        <v>210</v>
      </c>
      <c r="L569" s="17" t="s">
        <v>11411</v>
      </c>
      <c r="M569" s="3" t="s">
        <v>230</v>
      </c>
      <c r="N569" s="6" t="s">
        <v>524</v>
      </c>
      <c r="O569" s="6" t="s">
        <v>233</v>
      </c>
      <c r="P569" s="58">
        <v>796</v>
      </c>
      <c r="Q569" s="6" t="s">
        <v>234</v>
      </c>
      <c r="R569" s="21">
        <v>50</v>
      </c>
      <c r="S569" s="2">
        <v>477</v>
      </c>
      <c r="T569" s="4">
        <v>0</v>
      </c>
      <c r="U569" s="4">
        <f t="shared" si="26"/>
        <v>0</v>
      </c>
      <c r="V569" s="3" t="s">
        <v>362</v>
      </c>
      <c r="W569" s="3">
        <v>2014</v>
      </c>
      <c r="X569" s="3" t="s">
        <v>12051</v>
      </c>
    </row>
    <row r="570" spans="1:24" ht="89.25">
      <c r="A570" s="3" t="s">
        <v>14974</v>
      </c>
      <c r="B570" s="6" t="s">
        <v>361</v>
      </c>
      <c r="C570" s="6" t="s">
        <v>3191</v>
      </c>
      <c r="D570" s="6" t="s">
        <v>3014</v>
      </c>
      <c r="E570" s="6" t="s">
        <v>3192</v>
      </c>
      <c r="F570" s="6" t="s">
        <v>3151</v>
      </c>
      <c r="G570" s="3" t="s">
        <v>605</v>
      </c>
      <c r="H570" s="54">
        <v>0</v>
      </c>
      <c r="I570" s="16">
        <v>470000000</v>
      </c>
      <c r="J570" s="157" t="s">
        <v>229</v>
      </c>
      <c r="K570" s="5" t="s">
        <v>14662</v>
      </c>
      <c r="L570" s="17" t="s">
        <v>11411</v>
      </c>
      <c r="M570" s="3" t="s">
        <v>230</v>
      </c>
      <c r="N570" s="6" t="s">
        <v>524</v>
      </c>
      <c r="O570" s="6" t="s">
        <v>233</v>
      </c>
      <c r="P570" s="58">
        <v>796</v>
      </c>
      <c r="Q570" s="6" t="s">
        <v>234</v>
      </c>
      <c r="R570" s="21">
        <v>101</v>
      </c>
      <c r="S570" s="2">
        <v>475</v>
      </c>
      <c r="T570" s="4">
        <v>0</v>
      </c>
      <c r="U570" s="4">
        <f>T570*1.12</f>
        <v>0</v>
      </c>
      <c r="V570" s="3" t="s">
        <v>362</v>
      </c>
      <c r="W570" s="3">
        <v>2014</v>
      </c>
      <c r="X570" s="3" t="s">
        <v>16520</v>
      </c>
    </row>
    <row r="571" spans="1:24" ht="89.25">
      <c r="A571" s="3" t="s">
        <v>17854</v>
      </c>
      <c r="B571" s="6" t="s">
        <v>361</v>
      </c>
      <c r="C571" s="6" t="s">
        <v>3191</v>
      </c>
      <c r="D571" s="6" t="s">
        <v>3014</v>
      </c>
      <c r="E571" s="6" t="s">
        <v>3192</v>
      </c>
      <c r="F571" s="6" t="s">
        <v>3151</v>
      </c>
      <c r="G571" s="3" t="s">
        <v>11450</v>
      </c>
      <c r="H571" s="54">
        <v>0</v>
      </c>
      <c r="I571" s="16">
        <v>470000000</v>
      </c>
      <c r="J571" s="157" t="s">
        <v>229</v>
      </c>
      <c r="K571" s="5" t="s">
        <v>17401</v>
      </c>
      <c r="L571" s="17" t="s">
        <v>11411</v>
      </c>
      <c r="M571" s="3" t="s">
        <v>230</v>
      </c>
      <c r="N571" s="6" t="s">
        <v>521</v>
      </c>
      <c r="O571" s="6" t="s">
        <v>233</v>
      </c>
      <c r="P571" s="58">
        <v>796</v>
      </c>
      <c r="Q571" s="6" t="s">
        <v>234</v>
      </c>
      <c r="R571" s="21">
        <v>101</v>
      </c>
      <c r="S571" s="2">
        <v>572.4</v>
      </c>
      <c r="T571" s="4">
        <f>R571*S571</f>
        <v>57812.399999999994</v>
      </c>
      <c r="U571" s="4">
        <f>T571*1.12</f>
        <v>64749.887999999999</v>
      </c>
      <c r="V571" s="3" t="s">
        <v>362</v>
      </c>
      <c r="W571" s="3">
        <v>2014</v>
      </c>
      <c r="X571" s="3"/>
    </row>
    <row r="572" spans="1:24" ht="102">
      <c r="A572" s="3" t="s">
        <v>828</v>
      </c>
      <c r="B572" s="6" t="s">
        <v>361</v>
      </c>
      <c r="C572" s="6" t="s">
        <v>3193</v>
      </c>
      <c r="D572" s="6" t="s">
        <v>3014</v>
      </c>
      <c r="E572" s="6" t="s">
        <v>3194</v>
      </c>
      <c r="F572" s="6" t="s">
        <v>3152</v>
      </c>
      <c r="G572" s="3" t="s">
        <v>11449</v>
      </c>
      <c r="H572" s="54">
        <v>0</v>
      </c>
      <c r="I572" s="16">
        <v>470000000</v>
      </c>
      <c r="J572" s="157" t="s">
        <v>229</v>
      </c>
      <c r="K572" s="5" t="s">
        <v>210</v>
      </c>
      <c r="L572" s="6" t="s">
        <v>231</v>
      </c>
      <c r="M572" s="3" t="s">
        <v>230</v>
      </c>
      <c r="N572" s="6" t="s">
        <v>524</v>
      </c>
      <c r="O572" s="6" t="s">
        <v>233</v>
      </c>
      <c r="P572" s="58">
        <v>796</v>
      </c>
      <c r="Q572" s="6" t="s">
        <v>234</v>
      </c>
      <c r="R572" s="21">
        <v>400</v>
      </c>
      <c r="S572" s="2">
        <v>460</v>
      </c>
      <c r="T572" s="4">
        <v>0</v>
      </c>
      <c r="U572" s="4">
        <f t="shared" si="26"/>
        <v>0</v>
      </c>
      <c r="V572" s="3" t="s">
        <v>362</v>
      </c>
      <c r="W572" s="3">
        <v>2014</v>
      </c>
      <c r="X572" s="3">
        <v>7.12</v>
      </c>
    </row>
    <row r="573" spans="1:24" ht="89.25">
      <c r="A573" s="3" t="s">
        <v>11802</v>
      </c>
      <c r="B573" s="6" t="s">
        <v>361</v>
      </c>
      <c r="C573" s="6" t="s">
        <v>3193</v>
      </c>
      <c r="D573" s="6" t="s">
        <v>3014</v>
      </c>
      <c r="E573" s="6" t="s">
        <v>3194</v>
      </c>
      <c r="F573" s="6" t="s">
        <v>3152</v>
      </c>
      <c r="G573" s="3" t="s">
        <v>11450</v>
      </c>
      <c r="H573" s="54">
        <v>0</v>
      </c>
      <c r="I573" s="16">
        <v>470000000</v>
      </c>
      <c r="J573" s="157" t="s">
        <v>229</v>
      </c>
      <c r="K573" s="5" t="s">
        <v>210</v>
      </c>
      <c r="L573" s="17" t="s">
        <v>11411</v>
      </c>
      <c r="M573" s="3" t="s">
        <v>230</v>
      </c>
      <c r="N573" s="6" t="s">
        <v>524</v>
      </c>
      <c r="O573" s="6" t="s">
        <v>233</v>
      </c>
      <c r="P573" s="58">
        <v>796</v>
      </c>
      <c r="Q573" s="6" t="s">
        <v>234</v>
      </c>
      <c r="R573" s="21">
        <v>400</v>
      </c>
      <c r="S573" s="2">
        <v>460</v>
      </c>
      <c r="T573" s="4">
        <v>0</v>
      </c>
      <c r="U573" s="4">
        <f t="shared" si="26"/>
        <v>0</v>
      </c>
      <c r="V573" s="3" t="s">
        <v>362</v>
      </c>
      <c r="W573" s="3">
        <v>2014</v>
      </c>
      <c r="X573" s="3" t="s">
        <v>14780</v>
      </c>
    </row>
    <row r="574" spans="1:24" ht="89.25">
      <c r="A574" s="3" t="s">
        <v>14975</v>
      </c>
      <c r="B574" s="6" t="s">
        <v>361</v>
      </c>
      <c r="C574" s="6" t="s">
        <v>3193</v>
      </c>
      <c r="D574" s="6" t="s">
        <v>3014</v>
      </c>
      <c r="E574" s="6" t="s">
        <v>3194</v>
      </c>
      <c r="F574" s="6" t="s">
        <v>3152</v>
      </c>
      <c r="G574" s="3" t="s">
        <v>11450</v>
      </c>
      <c r="H574" s="54">
        <v>0</v>
      </c>
      <c r="I574" s="16">
        <v>470000000</v>
      </c>
      <c r="J574" s="157" t="s">
        <v>229</v>
      </c>
      <c r="K574" s="5" t="s">
        <v>14662</v>
      </c>
      <c r="L574" s="17" t="s">
        <v>11411</v>
      </c>
      <c r="M574" s="3" t="s">
        <v>230</v>
      </c>
      <c r="N574" s="6" t="s">
        <v>524</v>
      </c>
      <c r="O574" s="6" t="s">
        <v>233</v>
      </c>
      <c r="P574" s="58">
        <v>796</v>
      </c>
      <c r="Q574" s="6" t="s">
        <v>234</v>
      </c>
      <c r="R574" s="21">
        <v>804</v>
      </c>
      <c r="S574" s="2">
        <v>460</v>
      </c>
      <c r="T574" s="4">
        <v>0</v>
      </c>
      <c r="U574" s="4">
        <f>T574*1.12</f>
        <v>0</v>
      </c>
      <c r="V574" s="3" t="s">
        <v>362</v>
      </c>
      <c r="W574" s="3">
        <v>2014</v>
      </c>
      <c r="X574" s="3" t="s">
        <v>17321</v>
      </c>
    </row>
    <row r="575" spans="1:24" ht="89.25">
      <c r="A575" s="3" t="s">
        <v>17855</v>
      </c>
      <c r="B575" s="6" t="s">
        <v>361</v>
      </c>
      <c r="C575" s="6" t="s">
        <v>3193</v>
      </c>
      <c r="D575" s="6" t="s">
        <v>3014</v>
      </c>
      <c r="E575" s="6" t="s">
        <v>3194</v>
      </c>
      <c r="F575" s="6" t="s">
        <v>3152</v>
      </c>
      <c r="G575" s="3" t="s">
        <v>11450</v>
      </c>
      <c r="H575" s="54">
        <v>0</v>
      </c>
      <c r="I575" s="16">
        <v>470000000</v>
      </c>
      <c r="J575" s="157" t="s">
        <v>229</v>
      </c>
      <c r="K575" s="5" t="s">
        <v>17401</v>
      </c>
      <c r="L575" s="17" t="s">
        <v>11411</v>
      </c>
      <c r="M575" s="3" t="s">
        <v>230</v>
      </c>
      <c r="N575" s="6" t="s">
        <v>521</v>
      </c>
      <c r="O575" s="6" t="s">
        <v>233</v>
      </c>
      <c r="P575" s="58">
        <v>796</v>
      </c>
      <c r="Q575" s="6" t="s">
        <v>234</v>
      </c>
      <c r="R575" s="21">
        <v>1200</v>
      </c>
      <c r="S575" s="2">
        <v>552</v>
      </c>
      <c r="T575" s="4">
        <f>R575*S575</f>
        <v>662400</v>
      </c>
      <c r="U575" s="4">
        <f>T575*1.12</f>
        <v>741888.00000000012</v>
      </c>
      <c r="V575" s="3" t="s">
        <v>362</v>
      </c>
      <c r="W575" s="3">
        <v>2014</v>
      </c>
      <c r="X575" s="3"/>
    </row>
    <row r="576" spans="1:24" ht="102">
      <c r="A576" s="3" t="s">
        <v>829</v>
      </c>
      <c r="B576" s="6" t="s">
        <v>361</v>
      </c>
      <c r="C576" s="6" t="s">
        <v>3211</v>
      </c>
      <c r="D576" s="6" t="s">
        <v>467</v>
      </c>
      <c r="E576" s="6" t="s">
        <v>3212</v>
      </c>
      <c r="F576" s="6" t="s">
        <v>3196</v>
      </c>
      <c r="G576" s="3" t="s">
        <v>11449</v>
      </c>
      <c r="H576" s="54">
        <v>0</v>
      </c>
      <c r="I576" s="16">
        <v>470000000</v>
      </c>
      <c r="J576" s="157" t="s">
        <v>229</v>
      </c>
      <c r="K576" s="5" t="s">
        <v>214</v>
      </c>
      <c r="L576" s="6" t="s">
        <v>231</v>
      </c>
      <c r="M576" s="3" t="s">
        <v>230</v>
      </c>
      <c r="N576" s="6" t="s">
        <v>524</v>
      </c>
      <c r="O576" s="6" t="s">
        <v>233</v>
      </c>
      <c r="P576" s="58">
        <v>796</v>
      </c>
      <c r="Q576" s="6" t="s">
        <v>234</v>
      </c>
      <c r="R576" s="21">
        <v>46</v>
      </c>
      <c r="S576" s="2">
        <v>17886</v>
      </c>
      <c r="T576" s="4">
        <v>0</v>
      </c>
      <c r="U576" s="4">
        <f t="shared" si="26"/>
        <v>0</v>
      </c>
      <c r="V576" s="3" t="s">
        <v>362</v>
      </c>
      <c r="W576" s="3">
        <v>2014</v>
      </c>
      <c r="X576" s="3">
        <v>11.12</v>
      </c>
    </row>
    <row r="577" spans="1:24" ht="89.25">
      <c r="A577" s="3" t="s">
        <v>11869</v>
      </c>
      <c r="B577" s="6" t="s">
        <v>361</v>
      </c>
      <c r="C577" s="6" t="s">
        <v>3211</v>
      </c>
      <c r="D577" s="6" t="s">
        <v>467</v>
      </c>
      <c r="E577" s="6" t="s">
        <v>3212</v>
      </c>
      <c r="F577" s="6" t="s">
        <v>3196</v>
      </c>
      <c r="G577" s="3" t="s">
        <v>11449</v>
      </c>
      <c r="H577" s="54">
        <v>0</v>
      </c>
      <c r="I577" s="16">
        <v>470000000</v>
      </c>
      <c r="J577" s="157" t="s">
        <v>229</v>
      </c>
      <c r="K577" s="5" t="s">
        <v>210</v>
      </c>
      <c r="L577" s="17" t="s">
        <v>11411</v>
      </c>
      <c r="M577" s="3" t="s">
        <v>230</v>
      </c>
      <c r="N577" s="6" t="s">
        <v>524</v>
      </c>
      <c r="O577" s="6" t="s">
        <v>233</v>
      </c>
      <c r="P577" s="58">
        <v>796</v>
      </c>
      <c r="Q577" s="6" t="s">
        <v>234</v>
      </c>
      <c r="R577" s="21">
        <v>46</v>
      </c>
      <c r="S577" s="2">
        <v>17886</v>
      </c>
      <c r="T577" s="4">
        <v>0</v>
      </c>
      <c r="U577" s="4">
        <f t="shared" si="26"/>
        <v>0</v>
      </c>
      <c r="V577" s="3" t="s">
        <v>362</v>
      </c>
      <c r="W577" s="3">
        <v>2014</v>
      </c>
      <c r="X577" s="3" t="s">
        <v>14230</v>
      </c>
    </row>
    <row r="578" spans="1:24" ht="89.25">
      <c r="A578" s="3" t="s">
        <v>14421</v>
      </c>
      <c r="B578" s="6" t="s">
        <v>361</v>
      </c>
      <c r="C578" s="6" t="s">
        <v>3211</v>
      </c>
      <c r="D578" s="6" t="s">
        <v>467</v>
      </c>
      <c r="E578" s="6" t="s">
        <v>3212</v>
      </c>
      <c r="F578" s="6" t="s">
        <v>3196</v>
      </c>
      <c r="G578" s="3" t="s">
        <v>11449</v>
      </c>
      <c r="H578" s="54">
        <v>0</v>
      </c>
      <c r="I578" s="16">
        <v>470000000</v>
      </c>
      <c r="J578" s="157" t="s">
        <v>229</v>
      </c>
      <c r="K578" s="5" t="s">
        <v>210</v>
      </c>
      <c r="L578" s="17" t="s">
        <v>11411</v>
      </c>
      <c r="M578" s="3" t="s">
        <v>230</v>
      </c>
      <c r="N578" s="6" t="s">
        <v>524</v>
      </c>
      <c r="O578" s="6" t="s">
        <v>233</v>
      </c>
      <c r="P578" s="58">
        <v>796</v>
      </c>
      <c r="Q578" s="6" t="s">
        <v>234</v>
      </c>
      <c r="R578" s="21">
        <v>46</v>
      </c>
      <c r="S578" s="2">
        <v>101498.4</v>
      </c>
      <c r="T578" s="4">
        <v>0</v>
      </c>
      <c r="U578" s="4">
        <f>T578*1.12</f>
        <v>0</v>
      </c>
      <c r="V578" s="3" t="s">
        <v>362</v>
      </c>
      <c r="W578" s="3">
        <v>2014</v>
      </c>
      <c r="X578" s="3">
        <v>11.14</v>
      </c>
    </row>
    <row r="579" spans="1:24" ht="89.25">
      <c r="A579" s="3" t="s">
        <v>18319</v>
      </c>
      <c r="B579" s="6" t="s">
        <v>361</v>
      </c>
      <c r="C579" s="6" t="s">
        <v>3211</v>
      </c>
      <c r="D579" s="6" t="s">
        <v>467</v>
      </c>
      <c r="E579" s="6" t="s">
        <v>3212</v>
      </c>
      <c r="F579" s="6" t="s">
        <v>3196</v>
      </c>
      <c r="G579" s="3" t="s">
        <v>11449</v>
      </c>
      <c r="H579" s="54">
        <v>0</v>
      </c>
      <c r="I579" s="16">
        <v>470000000</v>
      </c>
      <c r="J579" s="157" t="s">
        <v>229</v>
      </c>
      <c r="K579" s="5" t="s">
        <v>8950</v>
      </c>
      <c r="L579" s="17" t="s">
        <v>11411</v>
      </c>
      <c r="M579" s="3" t="s">
        <v>230</v>
      </c>
      <c r="N579" s="6" t="s">
        <v>521</v>
      </c>
      <c r="O579" s="6" t="s">
        <v>233</v>
      </c>
      <c r="P579" s="58">
        <v>796</v>
      </c>
      <c r="Q579" s="6" t="s">
        <v>234</v>
      </c>
      <c r="R579" s="21">
        <v>46</v>
      </c>
      <c r="S579" s="2">
        <v>101498.4</v>
      </c>
      <c r="T579" s="4">
        <f>R579*S579</f>
        <v>4668926.3999999994</v>
      </c>
      <c r="U579" s="4">
        <f>T579*1.12</f>
        <v>5229197.568</v>
      </c>
      <c r="V579" s="3" t="s">
        <v>362</v>
      </c>
      <c r="W579" s="3">
        <v>2014</v>
      </c>
      <c r="X579" s="3"/>
    </row>
    <row r="580" spans="1:24" ht="102">
      <c r="A580" s="3" t="s">
        <v>830</v>
      </c>
      <c r="B580" s="6" t="s">
        <v>361</v>
      </c>
      <c r="C580" s="6" t="s">
        <v>3211</v>
      </c>
      <c r="D580" s="6" t="s">
        <v>467</v>
      </c>
      <c r="E580" s="6" t="s">
        <v>3212</v>
      </c>
      <c r="F580" s="6" t="s">
        <v>3197</v>
      </c>
      <c r="G580" s="3" t="s">
        <v>11449</v>
      </c>
      <c r="H580" s="54">
        <v>0</v>
      </c>
      <c r="I580" s="16">
        <v>470000000</v>
      </c>
      <c r="J580" s="157" t="s">
        <v>229</v>
      </c>
      <c r="K580" s="5" t="s">
        <v>210</v>
      </c>
      <c r="L580" s="6" t="s">
        <v>231</v>
      </c>
      <c r="M580" s="3" t="s">
        <v>230</v>
      </c>
      <c r="N580" s="6" t="s">
        <v>524</v>
      </c>
      <c r="O580" s="6" t="s">
        <v>233</v>
      </c>
      <c r="P580" s="58">
        <v>796</v>
      </c>
      <c r="Q580" s="6" t="s">
        <v>234</v>
      </c>
      <c r="R580" s="21">
        <v>20</v>
      </c>
      <c r="S580" s="2">
        <v>56388</v>
      </c>
      <c r="T580" s="4">
        <v>0</v>
      </c>
      <c r="U580" s="4">
        <f t="shared" si="26"/>
        <v>0</v>
      </c>
      <c r="V580" s="3" t="s">
        <v>362</v>
      </c>
      <c r="W580" s="3">
        <v>2014</v>
      </c>
      <c r="X580" s="3" t="s">
        <v>12051</v>
      </c>
    </row>
    <row r="581" spans="1:24" ht="102">
      <c r="A581" s="3" t="s">
        <v>14413</v>
      </c>
      <c r="B581" s="6" t="s">
        <v>361</v>
      </c>
      <c r="C581" s="6" t="s">
        <v>3211</v>
      </c>
      <c r="D581" s="6" t="s">
        <v>467</v>
      </c>
      <c r="E581" s="6" t="s">
        <v>3212</v>
      </c>
      <c r="F581" s="6" t="s">
        <v>3197</v>
      </c>
      <c r="G581" s="3" t="s">
        <v>11449</v>
      </c>
      <c r="H581" s="54">
        <v>0</v>
      </c>
      <c r="I581" s="16">
        <v>470000000</v>
      </c>
      <c r="J581" s="157" t="s">
        <v>229</v>
      </c>
      <c r="K581" s="5" t="s">
        <v>220</v>
      </c>
      <c r="L581" s="6" t="s">
        <v>231</v>
      </c>
      <c r="M581" s="3" t="s">
        <v>230</v>
      </c>
      <c r="N581" s="6" t="s">
        <v>524</v>
      </c>
      <c r="O581" s="6" t="s">
        <v>233</v>
      </c>
      <c r="P581" s="58">
        <v>796</v>
      </c>
      <c r="Q581" s="6" t="s">
        <v>234</v>
      </c>
      <c r="R581" s="21">
        <v>6</v>
      </c>
      <c r="S581" s="2">
        <v>67666</v>
      </c>
      <c r="T581" s="4">
        <f>R581*S581</f>
        <v>405996</v>
      </c>
      <c r="U581" s="4">
        <f>T581*1.12</f>
        <v>454715.52</v>
      </c>
      <c r="V581" s="3" t="s">
        <v>362</v>
      </c>
      <c r="W581" s="3">
        <v>2014</v>
      </c>
      <c r="X581" s="3"/>
    </row>
    <row r="582" spans="1:24" ht="102">
      <c r="A582" s="3" t="s">
        <v>831</v>
      </c>
      <c r="B582" s="6" t="s">
        <v>361</v>
      </c>
      <c r="C582" s="6" t="s">
        <v>3211</v>
      </c>
      <c r="D582" s="6" t="s">
        <v>467</v>
      </c>
      <c r="E582" s="6" t="s">
        <v>3212</v>
      </c>
      <c r="F582" s="6" t="s">
        <v>3198</v>
      </c>
      <c r="G582" s="3" t="s">
        <v>11449</v>
      </c>
      <c r="H582" s="54">
        <v>0</v>
      </c>
      <c r="I582" s="16">
        <v>470000000</v>
      </c>
      <c r="J582" s="157" t="s">
        <v>229</v>
      </c>
      <c r="K582" s="5" t="s">
        <v>210</v>
      </c>
      <c r="L582" s="6" t="s">
        <v>231</v>
      </c>
      <c r="M582" s="3" t="s">
        <v>230</v>
      </c>
      <c r="N582" s="6" t="s">
        <v>524</v>
      </c>
      <c r="O582" s="6" t="s">
        <v>233</v>
      </c>
      <c r="P582" s="58">
        <v>796</v>
      </c>
      <c r="Q582" s="6" t="s">
        <v>234</v>
      </c>
      <c r="R582" s="21">
        <v>58</v>
      </c>
      <c r="S582" s="2">
        <v>21082</v>
      </c>
      <c r="T582" s="4">
        <v>0</v>
      </c>
      <c r="U582" s="4">
        <f t="shared" si="26"/>
        <v>0</v>
      </c>
      <c r="V582" s="3" t="s">
        <v>362</v>
      </c>
      <c r="W582" s="3">
        <v>2014</v>
      </c>
      <c r="X582" s="3" t="s">
        <v>14230</v>
      </c>
    </row>
    <row r="583" spans="1:24" ht="102">
      <c r="A583" s="3" t="s">
        <v>14415</v>
      </c>
      <c r="B583" s="6" t="s">
        <v>361</v>
      </c>
      <c r="C583" s="6" t="s">
        <v>3211</v>
      </c>
      <c r="D583" s="6" t="s">
        <v>467</v>
      </c>
      <c r="E583" s="6" t="s">
        <v>3212</v>
      </c>
      <c r="F583" s="6" t="s">
        <v>3198</v>
      </c>
      <c r="G583" s="3" t="s">
        <v>11449</v>
      </c>
      <c r="H583" s="54">
        <v>0</v>
      </c>
      <c r="I583" s="16">
        <v>470000000</v>
      </c>
      <c r="J583" s="157" t="s">
        <v>229</v>
      </c>
      <c r="K583" s="5" t="s">
        <v>210</v>
      </c>
      <c r="L583" s="6" t="s">
        <v>231</v>
      </c>
      <c r="M583" s="3" t="s">
        <v>230</v>
      </c>
      <c r="N583" s="6" t="s">
        <v>524</v>
      </c>
      <c r="O583" s="6" t="s">
        <v>233</v>
      </c>
      <c r="P583" s="58">
        <v>796</v>
      </c>
      <c r="Q583" s="6" t="s">
        <v>234</v>
      </c>
      <c r="R583" s="21">
        <v>58</v>
      </c>
      <c r="S583" s="2">
        <v>25298.400000000001</v>
      </c>
      <c r="T583" s="4">
        <v>0</v>
      </c>
      <c r="U583" s="4">
        <f>T583*1.12</f>
        <v>0</v>
      </c>
      <c r="V583" s="3" t="s">
        <v>362</v>
      </c>
      <c r="W583" s="3">
        <v>2014</v>
      </c>
      <c r="X583" s="3" t="s">
        <v>17317</v>
      </c>
    </row>
    <row r="584" spans="1:24" ht="102">
      <c r="A584" s="3" t="s">
        <v>18068</v>
      </c>
      <c r="B584" s="6" t="s">
        <v>361</v>
      </c>
      <c r="C584" s="6" t="s">
        <v>3211</v>
      </c>
      <c r="D584" s="6" t="s">
        <v>467</v>
      </c>
      <c r="E584" s="6" t="s">
        <v>3212</v>
      </c>
      <c r="F584" s="6" t="s">
        <v>3198</v>
      </c>
      <c r="G584" s="3" t="s">
        <v>11449</v>
      </c>
      <c r="H584" s="54">
        <v>0</v>
      </c>
      <c r="I584" s="16">
        <v>470000000</v>
      </c>
      <c r="J584" s="157" t="s">
        <v>229</v>
      </c>
      <c r="K584" s="5" t="s">
        <v>17401</v>
      </c>
      <c r="L584" s="6" t="s">
        <v>231</v>
      </c>
      <c r="M584" s="3" t="s">
        <v>230</v>
      </c>
      <c r="N584" s="6" t="s">
        <v>521</v>
      </c>
      <c r="O584" s="6" t="s">
        <v>233</v>
      </c>
      <c r="P584" s="58">
        <v>796</v>
      </c>
      <c r="Q584" s="6" t="s">
        <v>234</v>
      </c>
      <c r="R584" s="21">
        <v>82</v>
      </c>
      <c r="S584" s="2">
        <v>25298.400000000001</v>
      </c>
      <c r="T584" s="4">
        <f>R584*S584</f>
        <v>2074468.8</v>
      </c>
      <c r="U584" s="4">
        <f>T584*1.12</f>
        <v>2323405.0560000003</v>
      </c>
      <c r="V584" s="3" t="s">
        <v>362</v>
      </c>
      <c r="W584" s="3">
        <v>2014</v>
      </c>
      <c r="X584" s="3"/>
    </row>
    <row r="585" spans="1:24" ht="102">
      <c r="A585" s="3" t="s">
        <v>832</v>
      </c>
      <c r="B585" s="6" t="s">
        <v>361</v>
      </c>
      <c r="C585" s="6" t="s">
        <v>3211</v>
      </c>
      <c r="D585" s="6" t="s">
        <v>467</v>
      </c>
      <c r="E585" s="6" t="s">
        <v>3212</v>
      </c>
      <c r="F585" s="6" t="s">
        <v>3199</v>
      </c>
      <c r="G585" s="3" t="s">
        <v>11449</v>
      </c>
      <c r="H585" s="54">
        <v>0</v>
      </c>
      <c r="I585" s="16">
        <v>470000000</v>
      </c>
      <c r="J585" s="157" t="s">
        <v>229</v>
      </c>
      <c r="K585" s="5" t="s">
        <v>210</v>
      </c>
      <c r="L585" s="6" t="s">
        <v>231</v>
      </c>
      <c r="M585" s="3" t="s">
        <v>230</v>
      </c>
      <c r="N585" s="6" t="s">
        <v>524</v>
      </c>
      <c r="O585" s="6" t="s">
        <v>233</v>
      </c>
      <c r="P585" s="58">
        <v>796</v>
      </c>
      <c r="Q585" s="6" t="s">
        <v>234</v>
      </c>
      <c r="R585" s="21">
        <v>20</v>
      </c>
      <c r="S585" s="2">
        <v>17886</v>
      </c>
      <c r="T585" s="4">
        <v>0</v>
      </c>
      <c r="U585" s="4">
        <f t="shared" ref="U585:U664" si="27">T585*1.12</f>
        <v>0</v>
      </c>
      <c r="V585" s="3" t="s">
        <v>362</v>
      </c>
      <c r="W585" s="3">
        <v>2014</v>
      </c>
      <c r="X585" s="3" t="s">
        <v>12051</v>
      </c>
    </row>
    <row r="586" spans="1:24" ht="102">
      <c r="A586" s="3" t="s">
        <v>14419</v>
      </c>
      <c r="B586" s="6" t="s">
        <v>361</v>
      </c>
      <c r="C586" s="6" t="s">
        <v>3211</v>
      </c>
      <c r="D586" s="6" t="s">
        <v>467</v>
      </c>
      <c r="E586" s="6" t="s">
        <v>3212</v>
      </c>
      <c r="F586" s="6" t="s">
        <v>3199</v>
      </c>
      <c r="G586" s="3" t="s">
        <v>11449</v>
      </c>
      <c r="H586" s="54">
        <v>0</v>
      </c>
      <c r="I586" s="16">
        <v>470000000</v>
      </c>
      <c r="J586" s="157" t="s">
        <v>229</v>
      </c>
      <c r="K586" s="5" t="s">
        <v>220</v>
      </c>
      <c r="L586" s="6" t="s">
        <v>231</v>
      </c>
      <c r="M586" s="3" t="s">
        <v>230</v>
      </c>
      <c r="N586" s="6" t="s">
        <v>524</v>
      </c>
      <c r="O586" s="6" t="s">
        <v>233</v>
      </c>
      <c r="P586" s="58">
        <v>796</v>
      </c>
      <c r="Q586" s="6" t="s">
        <v>234</v>
      </c>
      <c r="R586" s="21">
        <v>33</v>
      </c>
      <c r="S586" s="2">
        <v>21463</v>
      </c>
      <c r="T586" s="4">
        <v>0</v>
      </c>
      <c r="U586" s="4">
        <f>T586*1.12</f>
        <v>0</v>
      </c>
      <c r="V586" s="3" t="s">
        <v>362</v>
      </c>
      <c r="W586" s="3">
        <v>2014</v>
      </c>
      <c r="X586" s="3" t="s">
        <v>17321</v>
      </c>
    </row>
    <row r="587" spans="1:24" ht="102">
      <c r="A587" s="3" t="s">
        <v>18069</v>
      </c>
      <c r="B587" s="6" t="s">
        <v>361</v>
      </c>
      <c r="C587" s="6" t="s">
        <v>3211</v>
      </c>
      <c r="D587" s="6" t="s">
        <v>467</v>
      </c>
      <c r="E587" s="6" t="s">
        <v>3212</v>
      </c>
      <c r="F587" s="6" t="s">
        <v>3199</v>
      </c>
      <c r="G587" s="3" t="s">
        <v>11449</v>
      </c>
      <c r="H587" s="54">
        <v>0</v>
      </c>
      <c r="I587" s="16">
        <v>470000000</v>
      </c>
      <c r="J587" s="157" t="s">
        <v>229</v>
      </c>
      <c r="K587" s="5" t="s">
        <v>17401</v>
      </c>
      <c r="L587" s="6" t="s">
        <v>231</v>
      </c>
      <c r="M587" s="3" t="s">
        <v>230</v>
      </c>
      <c r="N587" s="6" t="s">
        <v>521</v>
      </c>
      <c r="O587" s="6" t="s">
        <v>233</v>
      </c>
      <c r="P587" s="58">
        <v>796</v>
      </c>
      <c r="Q587" s="6" t="s">
        <v>234</v>
      </c>
      <c r="R587" s="21">
        <v>35</v>
      </c>
      <c r="S587" s="2">
        <v>21463.200000000001</v>
      </c>
      <c r="T587" s="4">
        <v>0</v>
      </c>
      <c r="U587" s="4">
        <f>T587*1.12</f>
        <v>0</v>
      </c>
      <c r="V587" s="3" t="s">
        <v>362</v>
      </c>
      <c r="W587" s="3">
        <v>2014</v>
      </c>
      <c r="X587" s="3" t="s">
        <v>12076</v>
      </c>
    </row>
    <row r="588" spans="1:24" ht="102">
      <c r="A588" s="3" t="s">
        <v>833</v>
      </c>
      <c r="B588" s="6" t="s">
        <v>361</v>
      </c>
      <c r="C588" s="6" t="s">
        <v>3211</v>
      </c>
      <c r="D588" s="6" t="s">
        <v>467</v>
      </c>
      <c r="E588" s="6" t="s">
        <v>3212</v>
      </c>
      <c r="F588" s="6" t="s">
        <v>3200</v>
      </c>
      <c r="G588" s="3" t="s">
        <v>11449</v>
      </c>
      <c r="H588" s="54">
        <v>0</v>
      </c>
      <c r="I588" s="16">
        <v>470000000</v>
      </c>
      <c r="J588" s="157" t="s">
        <v>229</v>
      </c>
      <c r="K588" s="5" t="s">
        <v>211</v>
      </c>
      <c r="L588" s="6" t="s">
        <v>231</v>
      </c>
      <c r="M588" s="3" t="s">
        <v>230</v>
      </c>
      <c r="N588" s="6" t="s">
        <v>524</v>
      </c>
      <c r="O588" s="6" t="s">
        <v>233</v>
      </c>
      <c r="P588" s="58">
        <v>796</v>
      </c>
      <c r="Q588" s="6" t="s">
        <v>234</v>
      </c>
      <c r="R588" s="21">
        <v>38</v>
      </c>
      <c r="S588" s="2">
        <v>12421</v>
      </c>
      <c r="T588" s="4">
        <v>0</v>
      </c>
      <c r="U588" s="4">
        <f t="shared" si="27"/>
        <v>0</v>
      </c>
      <c r="V588" s="3" t="s">
        <v>362</v>
      </c>
      <c r="W588" s="3">
        <v>2014</v>
      </c>
      <c r="X588" s="3" t="s">
        <v>14132</v>
      </c>
    </row>
    <row r="589" spans="1:24" ht="102">
      <c r="A589" s="3" t="s">
        <v>14420</v>
      </c>
      <c r="B589" s="6" t="s">
        <v>361</v>
      </c>
      <c r="C589" s="6" t="s">
        <v>3211</v>
      </c>
      <c r="D589" s="6" t="s">
        <v>467</v>
      </c>
      <c r="E589" s="6" t="s">
        <v>3212</v>
      </c>
      <c r="F589" s="6" t="s">
        <v>3200</v>
      </c>
      <c r="G589" s="3" t="s">
        <v>11449</v>
      </c>
      <c r="H589" s="54">
        <v>0</v>
      </c>
      <c r="I589" s="16">
        <v>470000000</v>
      </c>
      <c r="J589" s="157" t="s">
        <v>229</v>
      </c>
      <c r="K589" s="5" t="s">
        <v>211</v>
      </c>
      <c r="L589" s="6" t="s">
        <v>231</v>
      </c>
      <c r="M589" s="3" t="s">
        <v>230</v>
      </c>
      <c r="N589" s="6" t="s">
        <v>524</v>
      </c>
      <c r="O589" s="6" t="s">
        <v>233</v>
      </c>
      <c r="P589" s="58">
        <v>796</v>
      </c>
      <c r="Q589" s="6" t="s">
        <v>234</v>
      </c>
      <c r="R589" s="21">
        <v>18</v>
      </c>
      <c r="S589" s="2">
        <v>14905.2</v>
      </c>
      <c r="T589" s="4">
        <v>0</v>
      </c>
      <c r="U589" s="4">
        <f>T589*1.12</f>
        <v>0</v>
      </c>
      <c r="V589" s="3" t="s">
        <v>362</v>
      </c>
      <c r="W589" s="3">
        <v>2014</v>
      </c>
      <c r="X589" s="3">
        <v>11.14</v>
      </c>
    </row>
    <row r="590" spans="1:24" ht="102">
      <c r="A590" s="3" t="s">
        <v>18070</v>
      </c>
      <c r="B590" s="6" t="s">
        <v>361</v>
      </c>
      <c r="C590" s="6" t="s">
        <v>3211</v>
      </c>
      <c r="D590" s="6" t="s">
        <v>467</v>
      </c>
      <c r="E590" s="6" t="s">
        <v>3212</v>
      </c>
      <c r="F590" s="6" t="s">
        <v>3200</v>
      </c>
      <c r="G590" s="3" t="s">
        <v>11449</v>
      </c>
      <c r="H590" s="54">
        <v>0</v>
      </c>
      <c r="I590" s="16">
        <v>470000000</v>
      </c>
      <c r="J590" s="157" t="s">
        <v>229</v>
      </c>
      <c r="K590" s="5" t="s">
        <v>17401</v>
      </c>
      <c r="L590" s="6" t="s">
        <v>231</v>
      </c>
      <c r="M590" s="3" t="s">
        <v>230</v>
      </c>
      <c r="N590" s="6" t="s">
        <v>521</v>
      </c>
      <c r="O590" s="6" t="s">
        <v>233</v>
      </c>
      <c r="P590" s="58">
        <v>796</v>
      </c>
      <c r="Q590" s="6" t="s">
        <v>234</v>
      </c>
      <c r="R590" s="21">
        <v>18</v>
      </c>
      <c r="S590" s="2">
        <v>14905.2</v>
      </c>
      <c r="T590" s="4">
        <f>R590*S590</f>
        <v>268293.60000000003</v>
      </c>
      <c r="U590" s="4">
        <f>T590*1.12</f>
        <v>300488.83200000005</v>
      </c>
      <c r="V590" s="3" t="s">
        <v>362</v>
      </c>
      <c r="W590" s="3">
        <v>2014</v>
      </c>
      <c r="X590" s="3"/>
    </row>
    <row r="591" spans="1:24" ht="102">
      <c r="A591" s="3" t="s">
        <v>834</v>
      </c>
      <c r="B591" s="6" t="s">
        <v>361</v>
      </c>
      <c r="C591" s="6" t="s">
        <v>3211</v>
      </c>
      <c r="D591" s="6" t="s">
        <v>467</v>
      </c>
      <c r="E591" s="6" t="s">
        <v>3212</v>
      </c>
      <c r="F591" s="6" t="s">
        <v>3201</v>
      </c>
      <c r="G591" s="3" t="s">
        <v>11449</v>
      </c>
      <c r="H591" s="54">
        <v>0</v>
      </c>
      <c r="I591" s="16">
        <v>470000000</v>
      </c>
      <c r="J591" s="157" t="s">
        <v>229</v>
      </c>
      <c r="K591" s="5" t="s">
        <v>211</v>
      </c>
      <c r="L591" s="6" t="s">
        <v>231</v>
      </c>
      <c r="M591" s="3" t="s">
        <v>230</v>
      </c>
      <c r="N591" s="6" t="s">
        <v>524</v>
      </c>
      <c r="O591" s="6" t="s">
        <v>233</v>
      </c>
      <c r="P591" s="58">
        <v>796</v>
      </c>
      <c r="Q591" s="6" t="s">
        <v>234</v>
      </c>
      <c r="R591" s="21">
        <v>24</v>
      </c>
      <c r="S591" s="2">
        <v>18782</v>
      </c>
      <c r="T591" s="4">
        <v>0</v>
      </c>
      <c r="U591" s="4">
        <f t="shared" si="27"/>
        <v>0</v>
      </c>
      <c r="V591" s="3" t="s">
        <v>362</v>
      </c>
      <c r="W591" s="3">
        <v>2014</v>
      </c>
      <c r="X591" s="3" t="s">
        <v>14132</v>
      </c>
    </row>
    <row r="592" spans="1:24" ht="102">
      <c r="A592" s="3" t="s">
        <v>14424</v>
      </c>
      <c r="B592" s="6" t="s">
        <v>361</v>
      </c>
      <c r="C592" s="6" t="s">
        <v>3211</v>
      </c>
      <c r="D592" s="6" t="s">
        <v>467</v>
      </c>
      <c r="E592" s="6" t="s">
        <v>3212</v>
      </c>
      <c r="F592" s="6" t="s">
        <v>3201</v>
      </c>
      <c r="G592" s="3" t="s">
        <v>11449</v>
      </c>
      <c r="H592" s="54">
        <v>0</v>
      </c>
      <c r="I592" s="16">
        <v>470000000</v>
      </c>
      <c r="J592" s="157" t="s">
        <v>229</v>
      </c>
      <c r="K592" s="5" t="s">
        <v>211</v>
      </c>
      <c r="L592" s="6" t="s">
        <v>231</v>
      </c>
      <c r="M592" s="3" t="s">
        <v>230</v>
      </c>
      <c r="N592" s="6" t="s">
        <v>524</v>
      </c>
      <c r="O592" s="6" t="s">
        <v>233</v>
      </c>
      <c r="P592" s="58">
        <v>796</v>
      </c>
      <c r="Q592" s="6" t="s">
        <v>234</v>
      </c>
      <c r="R592" s="21">
        <v>164</v>
      </c>
      <c r="S592" s="2">
        <v>22538.400000000001</v>
      </c>
      <c r="T592" s="4">
        <v>0</v>
      </c>
      <c r="U592" s="4">
        <f>T592*1.12</f>
        <v>0</v>
      </c>
      <c r="V592" s="3" t="s">
        <v>362</v>
      </c>
      <c r="W592" s="3">
        <v>2014</v>
      </c>
      <c r="X592" s="3">
        <v>11</v>
      </c>
    </row>
    <row r="593" spans="1:24" ht="102">
      <c r="A593" s="3" t="s">
        <v>18071</v>
      </c>
      <c r="B593" s="6" t="s">
        <v>361</v>
      </c>
      <c r="C593" s="6" t="s">
        <v>3211</v>
      </c>
      <c r="D593" s="6" t="s">
        <v>467</v>
      </c>
      <c r="E593" s="6" t="s">
        <v>3212</v>
      </c>
      <c r="F593" s="6" t="s">
        <v>3201</v>
      </c>
      <c r="G593" s="3" t="s">
        <v>11449</v>
      </c>
      <c r="H593" s="54">
        <v>0</v>
      </c>
      <c r="I593" s="16">
        <v>470000000</v>
      </c>
      <c r="J593" s="157" t="s">
        <v>229</v>
      </c>
      <c r="K593" s="5" t="s">
        <v>17401</v>
      </c>
      <c r="L593" s="6" t="s">
        <v>231</v>
      </c>
      <c r="M593" s="3" t="s">
        <v>230</v>
      </c>
      <c r="N593" s="6" t="s">
        <v>524</v>
      </c>
      <c r="O593" s="6" t="s">
        <v>233</v>
      </c>
      <c r="P593" s="58">
        <v>796</v>
      </c>
      <c r="Q593" s="6" t="s">
        <v>234</v>
      </c>
      <c r="R593" s="21">
        <v>164</v>
      </c>
      <c r="S593" s="2">
        <v>22538.400000000001</v>
      </c>
      <c r="T593" s="4">
        <f>R593*S593</f>
        <v>3696297.6</v>
      </c>
      <c r="U593" s="4">
        <f>T593*1.12</f>
        <v>4139853.3120000004</v>
      </c>
      <c r="V593" s="3" t="s">
        <v>362</v>
      </c>
      <c r="W593" s="3">
        <v>2014</v>
      </c>
      <c r="X593" s="3"/>
    </row>
    <row r="594" spans="1:24" ht="102">
      <c r="A594" s="3" t="s">
        <v>835</v>
      </c>
      <c r="B594" s="6" t="s">
        <v>361</v>
      </c>
      <c r="C594" s="6" t="s">
        <v>3211</v>
      </c>
      <c r="D594" s="6" t="s">
        <v>467</v>
      </c>
      <c r="E594" s="6" t="s">
        <v>3212</v>
      </c>
      <c r="F594" s="6" t="s">
        <v>3202</v>
      </c>
      <c r="G594" s="3" t="s">
        <v>11449</v>
      </c>
      <c r="H594" s="54">
        <v>0</v>
      </c>
      <c r="I594" s="16">
        <v>470000000</v>
      </c>
      <c r="J594" s="157" t="s">
        <v>229</v>
      </c>
      <c r="K594" s="5" t="s">
        <v>215</v>
      </c>
      <c r="L594" s="6" t="s">
        <v>231</v>
      </c>
      <c r="M594" s="3" t="s">
        <v>230</v>
      </c>
      <c r="N594" s="6" t="s">
        <v>524</v>
      </c>
      <c r="O594" s="6" t="s">
        <v>233</v>
      </c>
      <c r="P594" s="58">
        <v>796</v>
      </c>
      <c r="Q594" s="6" t="s">
        <v>234</v>
      </c>
      <c r="R594" s="21">
        <v>400</v>
      </c>
      <c r="S594" s="2">
        <v>18111</v>
      </c>
      <c r="T594" s="4">
        <v>0</v>
      </c>
      <c r="U594" s="4">
        <f t="shared" si="27"/>
        <v>0</v>
      </c>
      <c r="V594" s="3" t="s">
        <v>362</v>
      </c>
      <c r="W594" s="3">
        <v>2014</v>
      </c>
      <c r="X594" s="3" t="s">
        <v>12037</v>
      </c>
    </row>
    <row r="595" spans="1:24" ht="89.25">
      <c r="A595" s="3" t="s">
        <v>12033</v>
      </c>
      <c r="B595" s="6" t="s">
        <v>361</v>
      </c>
      <c r="C595" s="6" t="s">
        <v>3211</v>
      </c>
      <c r="D595" s="6" t="s">
        <v>467</v>
      </c>
      <c r="E595" s="6" t="s">
        <v>3212</v>
      </c>
      <c r="F595" s="6" t="s">
        <v>3202</v>
      </c>
      <c r="G595" s="3" t="s">
        <v>11449</v>
      </c>
      <c r="H595" s="54">
        <v>0</v>
      </c>
      <c r="I595" s="16">
        <v>470000000</v>
      </c>
      <c r="J595" s="157" t="s">
        <v>229</v>
      </c>
      <c r="K595" s="57" t="s">
        <v>11919</v>
      </c>
      <c r="L595" s="17" t="s">
        <v>11920</v>
      </c>
      <c r="M595" s="3" t="s">
        <v>230</v>
      </c>
      <c r="N595" s="6" t="s">
        <v>524</v>
      </c>
      <c r="O595" s="6" t="s">
        <v>233</v>
      </c>
      <c r="P595" s="58">
        <v>796</v>
      </c>
      <c r="Q595" s="6" t="s">
        <v>234</v>
      </c>
      <c r="R595" s="21">
        <v>400</v>
      </c>
      <c r="S595" s="2">
        <v>18111</v>
      </c>
      <c r="T595" s="4">
        <v>0</v>
      </c>
      <c r="U595" s="4">
        <f>T595*1.12</f>
        <v>0</v>
      </c>
      <c r="V595" s="3"/>
      <c r="W595" s="3">
        <v>2014</v>
      </c>
      <c r="X595" s="3" t="s">
        <v>12051</v>
      </c>
    </row>
    <row r="596" spans="1:24" ht="89.25">
      <c r="A596" s="3" t="s">
        <v>14425</v>
      </c>
      <c r="B596" s="6" t="s">
        <v>361</v>
      </c>
      <c r="C596" s="6" t="s">
        <v>3211</v>
      </c>
      <c r="D596" s="6" t="s">
        <v>467</v>
      </c>
      <c r="E596" s="6" t="s">
        <v>3212</v>
      </c>
      <c r="F596" s="6" t="s">
        <v>3202</v>
      </c>
      <c r="G596" s="3" t="s">
        <v>11449</v>
      </c>
      <c r="H596" s="54">
        <v>0</v>
      </c>
      <c r="I596" s="16">
        <v>470000000</v>
      </c>
      <c r="J596" s="157" t="s">
        <v>229</v>
      </c>
      <c r="K596" s="57" t="s">
        <v>220</v>
      </c>
      <c r="L596" s="17" t="s">
        <v>11920</v>
      </c>
      <c r="M596" s="3" t="s">
        <v>230</v>
      </c>
      <c r="N596" s="6" t="s">
        <v>524</v>
      </c>
      <c r="O596" s="6" t="s">
        <v>233</v>
      </c>
      <c r="P596" s="58">
        <v>796</v>
      </c>
      <c r="Q596" s="6" t="s">
        <v>234</v>
      </c>
      <c r="R596" s="21">
        <v>152</v>
      </c>
      <c r="S596" s="2">
        <v>21733.200000000001</v>
      </c>
      <c r="T596" s="4">
        <v>0</v>
      </c>
      <c r="U596" s="4">
        <f>T596*1.12</f>
        <v>0</v>
      </c>
      <c r="V596" s="3"/>
      <c r="W596" s="3">
        <v>2014</v>
      </c>
      <c r="X596" s="3" t="s">
        <v>12076</v>
      </c>
    </row>
    <row r="597" spans="1:24" ht="102">
      <c r="A597" s="3" t="s">
        <v>836</v>
      </c>
      <c r="B597" s="6" t="s">
        <v>361</v>
      </c>
      <c r="C597" s="6" t="s">
        <v>3211</v>
      </c>
      <c r="D597" s="6" t="s">
        <v>467</v>
      </c>
      <c r="E597" s="6" t="s">
        <v>3212</v>
      </c>
      <c r="F597" s="6" t="s">
        <v>3203</v>
      </c>
      <c r="G597" s="3" t="s">
        <v>11449</v>
      </c>
      <c r="H597" s="54">
        <v>0</v>
      </c>
      <c r="I597" s="16">
        <v>470000000</v>
      </c>
      <c r="J597" s="157" t="s">
        <v>229</v>
      </c>
      <c r="K597" s="5" t="s">
        <v>214</v>
      </c>
      <c r="L597" s="6" t="s">
        <v>231</v>
      </c>
      <c r="M597" s="3" t="s">
        <v>230</v>
      </c>
      <c r="N597" s="6" t="s">
        <v>524</v>
      </c>
      <c r="O597" s="6" t="s">
        <v>233</v>
      </c>
      <c r="P597" s="58">
        <v>796</v>
      </c>
      <c r="Q597" s="6" t="s">
        <v>234</v>
      </c>
      <c r="R597" s="21">
        <v>1000</v>
      </c>
      <c r="S597" s="2">
        <v>16465</v>
      </c>
      <c r="T597" s="4">
        <v>0</v>
      </c>
      <c r="U597" s="4">
        <f t="shared" si="27"/>
        <v>0</v>
      </c>
      <c r="V597" s="3" t="s">
        <v>362</v>
      </c>
      <c r="W597" s="3">
        <v>2014</v>
      </c>
      <c r="X597" s="3" t="s">
        <v>12037</v>
      </c>
    </row>
    <row r="598" spans="1:24" ht="89.25">
      <c r="A598" s="3" t="s">
        <v>12034</v>
      </c>
      <c r="B598" s="6" t="s">
        <v>361</v>
      </c>
      <c r="C598" s="6" t="s">
        <v>3211</v>
      </c>
      <c r="D598" s="6" t="s">
        <v>467</v>
      </c>
      <c r="E598" s="6" t="s">
        <v>3212</v>
      </c>
      <c r="F598" s="6" t="s">
        <v>3203</v>
      </c>
      <c r="G598" s="3" t="s">
        <v>11449</v>
      </c>
      <c r="H598" s="54">
        <v>0</v>
      </c>
      <c r="I598" s="16">
        <v>470000000</v>
      </c>
      <c r="J598" s="157" t="s">
        <v>229</v>
      </c>
      <c r="K598" s="57" t="s">
        <v>11919</v>
      </c>
      <c r="L598" s="17" t="s">
        <v>11920</v>
      </c>
      <c r="M598" s="3" t="s">
        <v>230</v>
      </c>
      <c r="N598" s="6" t="s">
        <v>524</v>
      </c>
      <c r="O598" s="6" t="s">
        <v>233</v>
      </c>
      <c r="P598" s="58">
        <v>796</v>
      </c>
      <c r="Q598" s="6" t="s">
        <v>234</v>
      </c>
      <c r="R598" s="21">
        <v>1000</v>
      </c>
      <c r="S598" s="2">
        <v>16465</v>
      </c>
      <c r="T598" s="4">
        <v>0</v>
      </c>
      <c r="U598" s="4">
        <f>T598*1.12</f>
        <v>0</v>
      </c>
      <c r="V598" s="3"/>
      <c r="W598" s="3">
        <v>2014</v>
      </c>
      <c r="X598" s="3" t="s">
        <v>12051</v>
      </c>
    </row>
    <row r="599" spans="1:24" ht="89.25">
      <c r="A599" s="3" t="s">
        <v>14426</v>
      </c>
      <c r="B599" s="6" t="s">
        <v>361</v>
      </c>
      <c r="C599" s="6" t="s">
        <v>3211</v>
      </c>
      <c r="D599" s="6" t="s">
        <v>467</v>
      </c>
      <c r="E599" s="6" t="s">
        <v>3212</v>
      </c>
      <c r="F599" s="6" t="s">
        <v>3203</v>
      </c>
      <c r="G599" s="3" t="s">
        <v>11449</v>
      </c>
      <c r="H599" s="54">
        <v>0</v>
      </c>
      <c r="I599" s="16">
        <v>470000000</v>
      </c>
      <c r="J599" s="157" t="s">
        <v>229</v>
      </c>
      <c r="K599" s="57" t="s">
        <v>220</v>
      </c>
      <c r="L599" s="17" t="s">
        <v>11920</v>
      </c>
      <c r="M599" s="3" t="s">
        <v>230</v>
      </c>
      <c r="N599" s="6" t="s">
        <v>524</v>
      </c>
      <c r="O599" s="6" t="s">
        <v>233</v>
      </c>
      <c r="P599" s="58">
        <v>796</v>
      </c>
      <c r="Q599" s="6" t="s">
        <v>234</v>
      </c>
      <c r="R599" s="21">
        <v>987</v>
      </c>
      <c r="S599" s="2">
        <v>19758</v>
      </c>
      <c r="T599" s="4">
        <v>0</v>
      </c>
      <c r="U599" s="4">
        <f>T599*1.12</f>
        <v>0</v>
      </c>
      <c r="V599" s="3"/>
      <c r="W599" s="3">
        <v>2014</v>
      </c>
      <c r="X599" s="3">
        <v>11.18</v>
      </c>
    </row>
    <row r="600" spans="1:24" ht="89.25">
      <c r="A600" s="3" t="s">
        <v>18072</v>
      </c>
      <c r="B600" s="6" t="s">
        <v>361</v>
      </c>
      <c r="C600" s="6" t="s">
        <v>3211</v>
      </c>
      <c r="D600" s="6" t="s">
        <v>467</v>
      </c>
      <c r="E600" s="6" t="s">
        <v>3212</v>
      </c>
      <c r="F600" s="6" t="s">
        <v>3203</v>
      </c>
      <c r="G600" s="3" t="s">
        <v>11449</v>
      </c>
      <c r="H600" s="54">
        <v>0</v>
      </c>
      <c r="I600" s="16">
        <v>470000000</v>
      </c>
      <c r="J600" s="157" t="s">
        <v>229</v>
      </c>
      <c r="K600" s="57" t="s">
        <v>17401</v>
      </c>
      <c r="L600" s="17" t="s">
        <v>11920</v>
      </c>
      <c r="M600" s="3" t="s">
        <v>230</v>
      </c>
      <c r="N600" s="6" t="s">
        <v>524</v>
      </c>
      <c r="O600" s="6" t="s">
        <v>233</v>
      </c>
      <c r="P600" s="58">
        <v>796</v>
      </c>
      <c r="Q600" s="6" t="s">
        <v>234</v>
      </c>
      <c r="R600" s="21">
        <v>989</v>
      </c>
      <c r="S600" s="2">
        <v>19758</v>
      </c>
      <c r="T600" s="4">
        <v>0</v>
      </c>
      <c r="U600" s="4">
        <f>T600*1.12</f>
        <v>0</v>
      </c>
      <c r="V600" s="3"/>
      <c r="W600" s="3">
        <v>2014</v>
      </c>
      <c r="X600" s="3" t="s">
        <v>14780</v>
      </c>
    </row>
    <row r="601" spans="1:24" ht="89.25">
      <c r="A601" s="3" t="s">
        <v>18890</v>
      </c>
      <c r="B601" s="6" t="s">
        <v>361</v>
      </c>
      <c r="C601" s="6" t="s">
        <v>3211</v>
      </c>
      <c r="D601" s="6" t="s">
        <v>467</v>
      </c>
      <c r="E601" s="6" t="s">
        <v>3212</v>
      </c>
      <c r="F601" s="6" t="s">
        <v>3203</v>
      </c>
      <c r="G601" s="3" t="s">
        <v>11449</v>
      </c>
      <c r="H601" s="54">
        <v>0</v>
      </c>
      <c r="I601" s="16">
        <v>470000000</v>
      </c>
      <c r="J601" s="157" t="s">
        <v>229</v>
      </c>
      <c r="K601" s="57" t="s">
        <v>18437</v>
      </c>
      <c r="L601" s="17" t="s">
        <v>11920</v>
      </c>
      <c r="M601" s="3" t="s">
        <v>230</v>
      </c>
      <c r="N601" s="6" t="s">
        <v>524</v>
      </c>
      <c r="O601" s="6" t="s">
        <v>233</v>
      </c>
      <c r="P601" s="58">
        <v>796</v>
      </c>
      <c r="Q601" s="6" t="s">
        <v>234</v>
      </c>
      <c r="R601" s="21">
        <v>1200</v>
      </c>
      <c r="S601" s="2">
        <v>19758</v>
      </c>
      <c r="T601" s="4">
        <f>R601*S601</f>
        <v>23709600</v>
      </c>
      <c r="U601" s="4">
        <f>T601*1.12</f>
        <v>26554752.000000004</v>
      </c>
      <c r="V601" s="3"/>
      <c r="W601" s="3">
        <v>2014</v>
      </c>
      <c r="X601" s="3"/>
    </row>
    <row r="602" spans="1:24" ht="102">
      <c r="A602" s="3" t="s">
        <v>837</v>
      </c>
      <c r="B602" s="6" t="s">
        <v>361</v>
      </c>
      <c r="C602" s="6" t="s">
        <v>3211</v>
      </c>
      <c r="D602" s="6" t="s">
        <v>467</v>
      </c>
      <c r="E602" s="6" t="s">
        <v>3212</v>
      </c>
      <c r="F602" s="6" t="s">
        <v>3204</v>
      </c>
      <c r="G602" s="3" t="s">
        <v>11449</v>
      </c>
      <c r="H602" s="54">
        <v>0</v>
      </c>
      <c r="I602" s="16">
        <v>470000000</v>
      </c>
      <c r="J602" s="157" t="s">
        <v>229</v>
      </c>
      <c r="K602" s="5" t="s">
        <v>211</v>
      </c>
      <c r="L602" s="6" t="s">
        <v>231</v>
      </c>
      <c r="M602" s="3" t="s">
        <v>230</v>
      </c>
      <c r="N602" s="6" t="s">
        <v>524</v>
      </c>
      <c r="O602" s="6" t="s">
        <v>233</v>
      </c>
      <c r="P602" s="58">
        <v>796</v>
      </c>
      <c r="Q602" s="6" t="s">
        <v>234</v>
      </c>
      <c r="R602" s="21">
        <v>32</v>
      </c>
      <c r="S602" s="2">
        <v>9104</v>
      </c>
      <c r="T602" s="4">
        <v>0</v>
      </c>
      <c r="U602" s="4">
        <f t="shared" si="27"/>
        <v>0</v>
      </c>
      <c r="V602" s="3" t="s">
        <v>362</v>
      </c>
      <c r="W602" s="3">
        <v>2014</v>
      </c>
      <c r="X602" s="3" t="s">
        <v>14132</v>
      </c>
    </row>
    <row r="603" spans="1:24" ht="102">
      <c r="A603" s="3" t="s">
        <v>14428</v>
      </c>
      <c r="B603" s="6" t="s">
        <v>361</v>
      </c>
      <c r="C603" s="6" t="s">
        <v>3211</v>
      </c>
      <c r="D603" s="6" t="s">
        <v>467</v>
      </c>
      <c r="E603" s="6" t="s">
        <v>3212</v>
      </c>
      <c r="F603" s="6" t="s">
        <v>3204</v>
      </c>
      <c r="G603" s="3" t="s">
        <v>11449</v>
      </c>
      <c r="H603" s="54">
        <v>0</v>
      </c>
      <c r="I603" s="16">
        <v>470000000</v>
      </c>
      <c r="J603" s="157" t="s">
        <v>229</v>
      </c>
      <c r="K603" s="5" t="s">
        <v>211</v>
      </c>
      <c r="L603" s="6" t="s">
        <v>231</v>
      </c>
      <c r="M603" s="3" t="s">
        <v>230</v>
      </c>
      <c r="N603" s="6" t="s">
        <v>524</v>
      </c>
      <c r="O603" s="6" t="s">
        <v>233</v>
      </c>
      <c r="P603" s="58">
        <v>796</v>
      </c>
      <c r="Q603" s="6" t="s">
        <v>234</v>
      </c>
      <c r="R603" s="21">
        <v>250</v>
      </c>
      <c r="S603" s="2">
        <v>10924.8</v>
      </c>
      <c r="T603" s="4">
        <v>0</v>
      </c>
      <c r="U603" s="4">
        <f>T603*1.12</f>
        <v>0</v>
      </c>
      <c r="V603" s="3" t="s">
        <v>362</v>
      </c>
      <c r="W603" s="3">
        <v>2014</v>
      </c>
      <c r="X603" s="3">
        <v>11</v>
      </c>
    </row>
    <row r="604" spans="1:24" ht="102">
      <c r="A604" s="3" t="s">
        <v>18073</v>
      </c>
      <c r="B604" s="6" t="s">
        <v>361</v>
      </c>
      <c r="C604" s="6" t="s">
        <v>3211</v>
      </c>
      <c r="D604" s="6" t="s">
        <v>467</v>
      </c>
      <c r="E604" s="6" t="s">
        <v>3212</v>
      </c>
      <c r="F604" s="6" t="s">
        <v>3204</v>
      </c>
      <c r="G604" s="3" t="s">
        <v>11449</v>
      </c>
      <c r="H604" s="54">
        <v>0</v>
      </c>
      <c r="I604" s="16">
        <v>470000000</v>
      </c>
      <c r="J604" s="157" t="s">
        <v>229</v>
      </c>
      <c r="K604" s="57" t="s">
        <v>17401</v>
      </c>
      <c r="L604" s="6" t="s">
        <v>231</v>
      </c>
      <c r="M604" s="3" t="s">
        <v>230</v>
      </c>
      <c r="N604" s="6" t="s">
        <v>524</v>
      </c>
      <c r="O604" s="6" t="s">
        <v>233</v>
      </c>
      <c r="P604" s="58">
        <v>796</v>
      </c>
      <c r="Q604" s="6" t="s">
        <v>234</v>
      </c>
      <c r="R604" s="21">
        <v>250</v>
      </c>
      <c r="S604" s="2">
        <v>10924.8</v>
      </c>
      <c r="T604" s="4">
        <f>R604*S604</f>
        <v>2731200</v>
      </c>
      <c r="U604" s="4">
        <f>T604*1.12</f>
        <v>3058944.0000000005</v>
      </c>
      <c r="V604" s="3" t="s">
        <v>362</v>
      </c>
      <c r="W604" s="3">
        <v>2014</v>
      </c>
      <c r="X604" s="3"/>
    </row>
    <row r="605" spans="1:24" ht="102">
      <c r="A605" s="3" t="s">
        <v>838</v>
      </c>
      <c r="B605" s="6" t="s">
        <v>361</v>
      </c>
      <c r="C605" s="6" t="s">
        <v>3211</v>
      </c>
      <c r="D605" s="6" t="s">
        <v>467</v>
      </c>
      <c r="E605" s="6" t="s">
        <v>3212</v>
      </c>
      <c r="F605" s="6" t="s">
        <v>3205</v>
      </c>
      <c r="G605" s="3" t="s">
        <v>11449</v>
      </c>
      <c r="H605" s="54">
        <v>0</v>
      </c>
      <c r="I605" s="16">
        <v>470000000</v>
      </c>
      <c r="J605" s="157" t="s">
        <v>229</v>
      </c>
      <c r="K605" s="5" t="s">
        <v>210</v>
      </c>
      <c r="L605" s="6" t="s">
        <v>231</v>
      </c>
      <c r="M605" s="3" t="s">
        <v>230</v>
      </c>
      <c r="N605" s="6" t="s">
        <v>524</v>
      </c>
      <c r="O605" s="6" t="s">
        <v>233</v>
      </c>
      <c r="P605" s="58">
        <v>796</v>
      </c>
      <c r="Q605" s="6" t="s">
        <v>234</v>
      </c>
      <c r="R605" s="21">
        <v>276</v>
      </c>
      <c r="S605" s="2">
        <v>7283</v>
      </c>
      <c r="T605" s="4">
        <v>0</v>
      </c>
      <c r="U605" s="4">
        <f t="shared" si="27"/>
        <v>0</v>
      </c>
      <c r="V605" s="3" t="s">
        <v>362</v>
      </c>
      <c r="W605" s="3">
        <v>2014</v>
      </c>
      <c r="X605" s="3" t="s">
        <v>14780</v>
      </c>
    </row>
    <row r="606" spans="1:24" ht="102">
      <c r="A606" s="3" t="s">
        <v>14429</v>
      </c>
      <c r="B606" s="6" t="s">
        <v>361</v>
      </c>
      <c r="C606" s="6" t="s">
        <v>3211</v>
      </c>
      <c r="D606" s="6" t="s">
        <v>467</v>
      </c>
      <c r="E606" s="6" t="s">
        <v>3212</v>
      </c>
      <c r="F606" s="6" t="s">
        <v>3205</v>
      </c>
      <c r="G606" s="3" t="s">
        <v>11449</v>
      </c>
      <c r="H606" s="54">
        <v>0</v>
      </c>
      <c r="I606" s="16">
        <v>470000000</v>
      </c>
      <c r="J606" s="157" t="s">
        <v>229</v>
      </c>
      <c r="K606" s="5" t="s">
        <v>220</v>
      </c>
      <c r="L606" s="6" t="s">
        <v>231</v>
      </c>
      <c r="M606" s="3" t="s">
        <v>230</v>
      </c>
      <c r="N606" s="6" t="s">
        <v>524</v>
      </c>
      <c r="O606" s="6" t="s">
        <v>233</v>
      </c>
      <c r="P606" s="58">
        <v>796</v>
      </c>
      <c r="Q606" s="6" t="s">
        <v>234</v>
      </c>
      <c r="R606" s="21">
        <v>301</v>
      </c>
      <c r="S606" s="2">
        <v>7283</v>
      </c>
      <c r="T606" s="4">
        <f>R606*S606</f>
        <v>2192183</v>
      </c>
      <c r="U606" s="4">
        <f>T606*1.12</f>
        <v>2455244.9600000004</v>
      </c>
      <c r="V606" s="3" t="s">
        <v>362</v>
      </c>
      <c r="W606" s="3">
        <v>2014</v>
      </c>
      <c r="X606" s="3"/>
    </row>
    <row r="607" spans="1:24" ht="102">
      <c r="A607" s="3" t="s">
        <v>839</v>
      </c>
      <c r="B607" s="6" t="s">
        <v>361</v>
      </c>
      <c r="C607" s="6" t="s">
        <v>3211</v>
      </c>
      <c r="D607" s="6" t="s">
        <v>467</v>
      </c>
      <c r="E607" s="6" t="s">
        <v>3212</v>
      </c>
      <c r="F607" s="6" t="s">
        <v>3206</v>
      </c>
      <c r="G607" s="3" t="s">
        <v>11449</v>
      </c>
      <c r="H607" s="54">
        <v>0</v>
      </c>
      <c r="I607" s="16">
        <v>470000000</v>
      </c>
      <c r="J607" s="157" t="s">
        <v>229</v>
      </c>
      <c r="K607" s="5" t="s">
        <v>215</v>
      </c>
      <c r="L607" s="6" t="s">
        <v>231</v>
      </c>
      <c r="M607" s="3" t="s">
        <v>230</v>
      </c>
      <c r="N607" s="6" t="s">
        <v>524</v>
      </c>
      <c r="O607" s="6" t="s">
        <v>233</v>
      </c>
      <c r="P607" s="58">
        <v>796</v>
      </c>
      <c r="Q607" s="6" t="s">
        <v>234</v>
      </c>
      <c r="R607" s="21">
        <v>626</v>
      </c>
      <c r="S607" s="2">
        <v>2838</v>
      </c>
      <c r="T607" s="4">
        <v>0</v>
      </c>
      <c r="U607" s="4">
        <f t="shared" si="27"/>
        <v>0</v>
      </c>
      <c r="V607" s="3" t="s">
        <v>362</v>
      </c>
      <c r="W607" s="3">
        <v>2014</v>
      </c>
      <c r="X607" s="3">
        <v>11.12</v>
      </c>
    </row>
    <row r="608" spans="1:24" ht="89.25">
      <c r="A608" s="3" t="s">
        <v>12138</v>
      </c>
      <c r="B608" s="6" t="s">
        <v>361</v>
      </c>
      <c r="C608" s="6" t="s">
        <v>3211</v>
      </c>
      <c r="D608" s="6" t="s">
        <v>467</v>
      </c>
      <c r="E608" s="6" t="s">
        <v>3212</v>
      </c>
      <c r="F608" s="6" t="s">
        <v>3206</v>
      </c>
      <c r="G608" s="3" t="s">
        <v>11449</v>
      </c>
      <c r="H608" s="54">
        <v>0</v>
      </c>
      <c r="I608" s="16">
        <v>470000000</v>
      </c>
      <c r="J608" s="157" t="s">
        <v>229</v>
      </c>
      <c r="K608" s="5" t="s">
        <v>12128</v>
      </c>
      <c r="L608" s="17" t="s">
        <v>11411</v>
      </c>
      <c r="M608" s="3" t="s">
        <v>230</v>
      </c>
      <c r="N608" s="6" t="s">
        <v>524</v>
      </c>
      <c r="O608" s="6" t="s">
        <v>233</v>
      </c>
      <c r="P608" s="58">
        <v>796</v>
      </c>
      <c r="Q608" s="6" t="s">
        <v>234</v>
      </c>
      <c r="R608" s="21">
        <v>626</v>
      </c>
      <c r="S608" s="2">
        <v>2838</v>
      </c>
      <c r="T608" s="4">
        <v>0</v>
      </c>
      <c r="U608" s="4">
        <f>T608*1.12</f>
        <v>0</v>
      </c>
      <c r="V608" s="3" t="s">
        <v>362</v>
      </c>
      <c r="W608" s="3">
        <v>2014</v>
      </c>
      <c r="X608" s="3" t="s">
        <v>12051</v>
      </c>
    </row>
    <row r="609" spans="1:24" ht="89.25">
      <c r="A609" s="3" t="s">
        <v>16394</v>
      </c>
      <c r="B609" s="6" t="s">
        <v>361</v>
      </c>
      <c r="C609" s="6" t="s">
        <v>3211</v>
      </c>
      <c r="D609" s="6" t="s">
        <v>467</v>
      </c>
      <c r="E609" s="6" t="s">
        <v>3212</v>
      </c>
      <c r="F609" s="6" t="s">
        <v>3206</v>
      </c>
      <c r="G609" s="3" t="s">
        <v>11449</v>
      </c>
      <c r="H609" s="54">
        <v>0</v>
      </c>
      <c r="I609" s="16">
        <v>470000000</v>
      </c>
      <c r="J609" s="157" t="s">
        <v>229</v>
      </c>
      <c r="K609" s="5" t="s">
        <v>220</v>
      </c>
      <c r="L609" s="17" t="s">
        <v>11411</v>
      </c>
      <c r="M609" s="3" t="s">
        <v>230</v>
      </c>
      <c r="N609" s="6" t="s">
        <v>524</v>
      </c>
      <c r="O609" s="6" t="s">
        <v>233</v>
      </c>
      <c r="P609" s="58">
        <v>796</v>
      </c>
      <c r="Q609" s="6" t="s">
        <v>234</v>
      </c>
      <c r="R609" s="21">
        <v>320</v>
      </c>
      <c r="S609" s="2">
        <v>3405.6</v>
      </c>
      <c r="T609" s="4">
        <v>0</v>
      </c>
      <c r="U609" s="4">
        <f t="shared" ref="U609:U610" si="28">T609*1.12</f>
        <v>0</v>
      </c>
      <c r="V609" s="3" t="s">
        <v>362</v>
      </c>
      <c r="W609" s="3">
        <v>2014</v>
      </c>
      <c r="X609" s="3" t="s">
        <v>18881</v>
      </c>
    </row>
    <row r="610" spans="1:24" ht="63.75">
      <c r="A610" s="3" t="s">
        <v>18891</v>
      </c>
      <c r="B610" s="6" t="s">
        <v>361</v>
      </c>
      <c r="C610" s="6" t="s">
        <v>3211</v>
      </c>
      <c r="D610" s="6" t="s">
        <v>467</v>
      </c>
      <c r="E610" s="6" t="s">
        <v>3212</v>
      </c>
      <c r="F610" s="6" t="s">
        <v>3206</v>
      </c>
      <c r="G610" s="3" t="s">
        <v>11449</v>
      </c>
      <c r="H610" s="54">
        <v>0.35</v>
      </c>
      <c r="I610" s="16">
        <v>470000000</v>
      </c>
      <c r="J610" s="157" t="s">
        <v>229</v>
      </c>
      <c r="K610" s="5" t="s">
        <v>18437</v>
      </c>
      <c r="L610" s="17" t="s">
        <v>11411</v>
      </c>
      <c r="M610" s="3" t="s">
        <v>230</v>
      </c>
      <c r="N610" s="6" t="s">
        <v>524</v>
      </c>
      <c r="O610" s="6" t="s">
        <v>18864</v>
      </c>
      <c r="P610" s="58">
        <v>796</v>
      </c>
      <c r="Q610" s="6" t="s">
        <v>234</v>
      </c>
      <c r="R610" s="21">
        <v>626</v>
      </c>
      <c r="S610" s="2">
        <v>3405.6</v>
      </c>
      <c r="T610" s="4">
        <v>0</v>
      </c>
      <c r="U610" s="4">
        <f t="shared" si="28"/>
        <v>0</v>
      </c>
      <c r="V610" s="3" t="s">
        <v>362</v>
      </c>
      <c r="W610" s="3">
        <v>2014</v>
      </c>
      <c r="X610" s="3" t="s">
        <v>12076</v>
      </c>
    </row>
    <row r="611" spans="1:24" ht="102">
      <c r="A611" s="3" t="s">
        <v>840</v>
      </c>
      <c r="B611" s="6" t="s">
        <v>361</v>
      </c>
      <c r="C611" s="6" t="s">
        <v>3211</v>
      </c>
      <c r="D611" s="6" t="s">
        <v>467</v>
      </c>
      <c r="E611" s="6" t="s">
        <v>3212</v>
      </c>
      <c r="F611" s="6" t="s">
        <v>3207</v>
      </c>
      <c r="G611" s="3" t="s">
        <v>11449</v>
      </c>
      <c r="H611" s="54">
        <v>0</v>
      </c>
      <c r="I611" s="16">
        <v>470000000</v>
      </c>
      <c r="J611" s="157" t="s">
        <v>229</v>
      </c>
      <c r="K611" s="5" t="s">
        <v>214</v>
      </c>
      <c r="L611" s="6" t="s">
        <v>231</v>
      </c>
      <c r="M611" s="3" t="s">
        <v>230</v>
      </c>
      <c r="N611" s="6" t="s">
        <v>524</v>
      </c>
      <c r="O611" s="6" t="s">
        <v>233</v>
      </c>
      <c r="P611" s="58">
        <v>796</v>
      </c>
      <c r="Q611" s="6" t="s">
        <v>234</v>
      </c>
      <c r="R611" s="21">
        <v>176</v>
      </c>
      <c r="S611" s="2">
        <v>7607</v>
      </c>
      <c r="T611" s="4">
        <v>0</v>
      </c>
      <c r="U611" s="4">
        <f t="shared" si="27"/>
        <v>0</v>
      </c>
      <c r="V611" s="3" t="s">
        <v>362</v>
      </c>
      <c r="W611" s="3">
        <v>2014</v>
      </c>
      <c r="X611" s="3" t="s">
        <v>11817</v>
      </c>
    </row>
    <row r="612" spans="1:24" ht="89.25">
      <c r="A612" s="3" t="s">
        <v>11818</v>
      </c>
      <c r="B612" s="6" t="s">
        <v>361</v>
      </c>
      <c r="C612" s="6" t="s">
        <v>3211</v>
      </c>
      <c r="D612" s="6" t="s">
        <v>467</v>
      </c>
      <c r="E612" s="6" t="s">
        <v>3212</v>
      </c>
      <c r="F612" s="6" t="s">
        <v>3207</v>
      </c>
      <c r="G612" s="3" t="s">
        <v>11450</v>
      </c>
      <c r="H612" s="54">
        <v>0</v>
      </c>
      <c r="I612" s="16">
        <v>470000000</v>
      </c>
      <c r="J612" s="157" t="s">
        <v>229</v>
      </c>
      <c r="K612" s="5" t="s">
        <v>212</v>
      </c>
      <c r="L612" s="17" t="s">
        <v>11411</v>
      </c>
      <c r="M612" s="3" t="s">
        <v>230</v>
      </c>
      <c r="N612" s="6" t="s">
        <v>524</v>
      </c>
      <c r="O612" s="6" t="s">
        <v>233</v>
      </c>
      <c r="P612" s="58">
        <v>796</v>
      </c>
      <c r="Q612" s="6" t="s">
        <v>234</v>
      </c>
      <c r="R612" s="21">
        <v>176</v>
      </c>
      <c r="S612" s="2">
        <v>7607</v>
      </c>
      <c r="T612" s="4">
        <v>0</v>
      </c>
      <c r="U612" s="4">
        <f t="shared" si="27"/>
        <v>0</v>
      </c>
      <c r="V612" s="3" t="s">
        <v>362</v>
      </c>
      <c r="W612" s="3">
        <v>2014</v>
      </c>
      <c r="X612" s="3" t="s">
        <v>11811</v>
      </c>
    </row>
    <row r="613" spans="1:24" ht="89.25">
      <c r="A613" s="3" t="s">
        <v>14188</v>
      </c>
      <c r="B613" s="6" t="s">
        <v>361</v>
      </c>
      <c r="C613" s="6" t="s">
        <v>14189</v>
      </c>
      <c r="D613" s="6" t="s">
        <v>14190</v>
      </c>
      <c r="E613" s="6" t="s">
        <v>14191</v>
      </c>
      <c r="F613" s="6" t="s">
        <v>3207</v>
      </c>
      <c r="G613" s="3" t="s">
        <v>11450</v>
      </c>
      <c r="H613" s="54">
        <v>0</v>
      </c>
      <c r="I613" s="16">
        <v>470000000</v>
      </c>
      <c r="J613" s="157" t="s">
        <v>229</v>
      </c>
      <c r="K613" s="5" t="s">
        <v>212</v>
      </c>
      <c r="L613" s="17" t="s">
        <v>11411</v>
      </c>
      <c r="M613" s="3" t="s">
        <v>230</v>
      </c>
      <c r="N613" s="6" t="s">
        <v>524</v>
      </c>
      <c r="O613" s="6" t="s">
        <v>233</v>
      </c>
      <c r="P613" s="58">
        <v>796</v>
      </c>
      <c r="Q613" s="6" t="s">
        <v>234</v>
      </c>
      <c r="R613" s="21">
        <v>176</v>
      </c>
      <c r="S613" s="2">
        <v>7607</v>
      </c>
      <c r="T613" s="4">
        <f>R613*S613</f>
        <v>1338832</v>
      </c>
      <c r="U613" s="4">
        <f t="shared" si="27"/>
        <v>1499491.84</v>
      </c>
      <c r="V613" s="3" t="s">
        <v>362</v>
      </c>
      <c r="W613" s="3">
        <v>2014</v>
      </c>
      <c r="X613" s="3"/>
    </row>
    <row r="614" spans="1:24" ht="102">
      <c r="A614" s="3" t="s">
        <v>841</v>
      </c>
      <c r="B614" s="6" t="s">
        <v>361</v>
      </c>
      <c r="C614" s="6" t="s">
        <v>3211</v>
      </c>
      <c r="D614" s="6" t="s">
        <v>467</v>
      </c>
      <c r="E614" s="6" t="s">
        <v>3212</v>
      </c>
      <c r="F614" s="6" t="s">
        <v>3208</v>
      </c>
      <c r="G614" s="3" t="s">
        <v>11449</v>
      </c>
      <c r="H614" s="54">
        <v>0</v>
      </c>
      <c r="I614" s="16">
        <v>470000000</v>
      </c>
      <c r="J614" s="157" t="s">
        <v>229</v>
      </c>
      <c r="K614" s="5" t="s">
        <v>211</v>
      </c>
      <c r="L614" s="6" t="s">
        <v>231</v>
      </c>
      <c r="M614" s="3" t="s">
        <v>230</v>
      </c>
      <c r="N614" s="6" t="s">
        <v>524</v>
      </c>
      <c r="O614" s="6" t="s">
        <v>233</v>
      </c>
      <c r="P614" s="58">
        <v>796</v>
      </c>
      <c r="Q614" s="6" t="s">
        <v>234</v>
      </c>
      <c r="R614" s="21">
        <v>6</v>
      </c>
      <c r="S614" s="2">
        <v>25420</v>
      </c>
      <c r="T614" s="4">
        <v>0</v>
      </c>
      <c r="U614" s="4">
        <f t="shared" si="27"/>
        <v>0</v>
      </c>
      <c r="V614" s="3" t="s">
        <v>362</v>
      </c>
      <c r="W614" s="3">
        <v>2014</v>
      </c>
      <c r="X614" s="3" t="s">
        <v>14230</v>
      </c>
    </row>
    <row r="615" spans="1:24" ht="102">
      <c r="A615" s="3" t="s">
        <v>14452</v>
      </c>
      <c r="B615" s="6" t="s">
        <v>361</v>
      </c>
      <c r="C615" s="6" t="s">
        <v>3211</v>
      </c>
      <c r="D615" s="6" t="s">
        <v>467</v>
      </c>
      <c r="E615" s="6" t="s">
        <v>3212</v>
      </c>
      <c r="F615" s="6" t="s">
        <v>3208</v>
      </c>
      <c r="G615" s="3" t="s">
        <v>11449</v>
      </c>
      <c r="H615" s="54">
        <v>0</v>
      </c>
      <c r="I615" s="16">
        <v>470000000</v>
      </c>
      <c r="J615" s="157" t="s">
        <v>229</v>
      </c>
      <c r="K615" s="5" t="s">
        <v>211</v>
      </c>
      <c r="L615" s="6" t="s">
        <v>231</v>
      </c>
      <c r="M615" s="3" t="s">
        <v>230</v>
      </c>
      <c r="N615" s="6" t="s">
        <v>524</v>
      </c>
      <c r="O615" s="6" t="s">
        <v>233</v>
      </c>
      <c r="P615" s="58">
        <v>796</v>
      </c>
      <c r="Q615" s="6" t="s">
        <v>234</v>
      </c>
      <c r="R615" s="21">
        <v>6</v>
      </c>
      <c r="S615" s="2">
        <v>30504</v>
      </c>
      <c r="T615" s="4">
        <v>0</v>
      </c>
      <c r="U615" s="4">
        <f t="shared" si="27"/>
        <v>0</v>
      </c>
      <c r="V615" s="3" t="s">
        <v>362</v>
      </c>
      <c r="W615" s="3">
        <v>2014</v>
      </c>
      <c r="X615" s="3">
        <v>11.14</v>
      </c>
    </row>
    <row r="616" spans="1:24" ht="102">
      <c r="A616" s="3" t="s">
        <v>18074</v>
      </c>
      <c r="B616" s="6" t="s">
        <v>361</v>
      </c>
      <c r="C616" s="6" t="s">
        <v>3211</v>
      </c>
      <c r="D616" s="6" t="s">
        <v>467</v>
      </c>
      <c r="E616" s="6" t="s">
        <v>3212</v>
      </c>
      <c r="F616" s="6" t="s">
        <v>3208</v>
      </c>
      <c r="G616" s="3" t="s">
        <v>11449</v>
      </c>
      <c r="H616" s="54">
        <v>0</v>
      </c>
      <c r="I616" s="16">
        <v>470000000</v>
      </c>
      <c r="J616" s="157" t="s">
        <v>229</v>
      </c>
      <c r="K616" s="5" t="s">
        <v>17401</v>
      </c>
      <c r="L616" s="6" t="s">
        <v>231</v>
      </c>
      <c r="M616" s="3" t="s">
        <v>230</v>
      </c>
      <c r="N616" s="6" t="s">
        <v>521</v>
      </c>
      <c r="O616" s="6" t="s">
        <v>233</v>
      </c>
      <c r="P616" s="58">
        <v>796</v>
      </c>
      <c r="Q616" s="6" t="s">
        <v>234</v>
      </c>
      <c r="R616" s="21">
        <v>6</v>
      </c>
      <c r="S616" s="2">
        <v>30504</v>
      </c>
      <c r="T616" s="4">
        <f>R616*S616</f>
        <v>183024</v>
      </c>
      <c r="U616" s="4">
        <f t="shared" si="27"/>
        <v>204986.88000000003</v>
      </c>
      <c r="V616" s="3" t="s">
        <v>362</v>
      </c>
      <c r="W616" s="3">
        <v>2014</v>
      </c>
      <c r="X616" s="158"/>
    </row>
    <row r="617" spans="1:24" ht="102">
      <c r="A617" s="3" t="s">
        <v>842</v>
      </c>
      <c r="B617" s="6" t="s">
        <v>361</v>
      </c>
      <c r="C617" s="6" t="s">
        <v>3211</v>
      </c>
      <c r="D617" s="6" t="s">
        <v>467</v>
      </c>
      <c r="E617" s="6" t="s">
        <v>3212</v>
      </c>
      <c r="F617" s="6" t="s">
        <v>3209</v>
      </c>
      <c r="G617" s="3" t="s">
        <v>11449</v>
      </c>
      <c r="H617" s="54">
        <v>0</v>
      </c>
      <c r="I617" s="16">
        <v>470000000</v>
      </c>
      <c r="J617" s="157" t="s">
        <v>229</v>
      </c>
      <c r="K617" s="5" t="s">
        <v>211</v>
      </c>
      <c r="L617" s="6" t="s">
        <v>231</v>
      </c>
      <c r="M617" s="3" t="s">
        <v>230</v>
      </c>
      <c r="N617" s="6" t="s">
        <v>524</v>
      </c>
      <c r="O617" s="6" t="s">
        <v>233</v>
      </c>
      <c r="P617" s="58">
        <v>796</v>
      </c>
      <c r="Q617" s="6" t="s">
        <v>234</v>
      </c>
      <c r="R617" s="21">
        <v>6</v>
      </c>
      <c r="S617" s="2">
        <v>21082</v>
      </c>
      <c r="T617" s="4">
        <v>0</v>
      </c>
      <c r="U617" s="4">
        <f t="shared" si="27"/>
        <v>0</v>
      </c>
      <c r="V617" s="3" t="s">
        <v>362</v>
      </c>
      <c r="W617" s="3">
        <v>2014</v>
      </c>
      <c r="X617" s="3" t="s">
        <v>14230</v>
      </c>
    </row>
    <row r="618" spans="1:24" ht="102">
      <c r="A618" s="3" t="s">
        <v>14453</v>
      </c>
      <c r="B618" s="6" t="s">
        <v>361</v>
      </c>
      <c r="C618" s="6" t="s">
        <v>3211</v>
      </c>
      <c r="D618" s="6" t="s">
        <v>467</v>
      </c>
      <c r="E618" s="6" t="s">
        <v>3212</v>
      </c>
      <c r="F618" s="6" t="s">
        <v>3209</v>
      </c>
      <c r="G618" s="3" t="s">
        <v>11449</v>
      </c>
      <c r="H618" s="54">
        <v>0</v>
      </c>
      <c r="I618" s="16">
        <v>470000000</v>
      </c>
      <c r="J618" s="157" t="s">
        <v>229</v>
      </c>
      <c r="K618" s="5" t="s">
        <v>211</v>
      </c>
      <c r="L618" s="6" t="s">
        <v>231</v>
      </c>
      <c r="M618" s="3" t="s">
        <v>230</v>
      </c>
      <c r="N618" s="6" t="s">
        <v>524</v>
      </c>
      <c r="O618" s="6" t="s">
        <v>233</v>
      </c>
      <c r="P618" s="58">
        <v>796</v>
      </c>
      <c r="Q618" s="6" t="s">
        <v>234</v>
      </c>
      <c r="R618" s="21">
        <v>6</v>
      </c>
      <c r="S618" s="2">
        <v>25298.400000000001</v>
      </c>
      <c r="T618" s="4">
        <v>0</v>
      </c>
      <c r="U618" s="4">
        <f t="shared" si="27"/>
        <v>0</v>
      </c>
      <c r="V618" s="3" t="s">
        <v>362</v>
      </c>
      <c r="W618" s="3">
        <v>2014</v>
      </c>
      <c r="X618" s="3">
        <v>11.14</v>
      </c>
    </row>
    <row r="619" spans="1:24" ht="102">
      <c r="A619" s="3" t="s">
        <v>18075</v>
      </c>
      <c r="B619" s="6" t="s">
        <v>361</v>
      </c>
      <c r="C619" s="6" t="s">
        <v>3211</v>
      </c>
      <c r="D619" s="6" t="s">
        <v>467</v>
      </c>
      <c r="E619" s="6" t="s">
        <v>3212</v>
      </c>
      <c r="F619" s="6" t="s">
        <v>3209</v>
      </c>
      <c r="G619" s="3" t="s">
        <v>11449</v>
      </c>
      <c r="H619" s="54">
        <v>0</v>
      </c>
      <c r="I619" s="16">
        <v>470000000</v>
      </c>
      <c r="J619" s="157" t="s">
        <v>229</v>
      </c>
      <c r="K619" s="5" t="s">
        <v>17401</v>
      </c>
      <c r="L619" s="6" t="s">
        <v>231</v>
      </c>
      <c r="M619" s="3" t="s">
        <v>230</v>
      </c>
      <c r="N619" s="6" t="s">
        <v>521</v>
      </c>
      <c r="O619" s="6" t="s">
        <v>233</v>
      </c>
      <c r="P619" s="58">
        <v>796</v>
      </c>
      <c r="Q619" s="6" t="s">
        <v>234</v>
      </c>
      <c r="R619" s="21">
        <v>6</v>
      </c>
      <c r="S619" s="2">
        <v>25298.400000000001</v>
      </c>
      <c r="T619" s="4">
        <f>R619*S619</f>
        <v>151790.40000000002</v>
      </c>
      <c r="U619" s="4">
        <f t="shared" si="27"/>
        <v>170005.24800000005</v>
      </c>
      <c r="V619" s="3" t="s">
        <v>362</v>
      </c>
      <c r="W619" s="3">
        <v>2014</v>
      </c>
      <c r="X619" s="3"/>
    </row>
    <row r="620" spans="1:24" ht="102">
      <c r="A620" s="3" t="s">
        <v>843</v>
      </c>
      <c r="B620" s="6" t="s">
        <v>361</v>
      </c>
      <c r="C620" s="6" t="s">
        <v>3213</v>
      </c>
      <c r="D620" s="6" t="s">
        <v>3214</v>
      </c>
      <c r="E620" s="6" t="s">
        <v>3215</v>
      </c>
      <c r="F620" s="6" t="s">
        <v>76</v>
      </c>
      <c r="G620" s="3" t="s">
        <v>11450</v>
      </c>
      <c r="H620" s="54">
        <v>0</v>
      </c>
      <c r="I620" s="16">
        <v>470000000</v>
      </c>
      <c r="J620" s="157" t="s">
        <v>229</v>
      </c>
      <c r="K620" s="5" t="s">
        <v>211</v>
      </c>
      <c r="L620" s="6" t="s">
        <v>231</v>
      </c>
      <c r="M620" s="3" t="s">
        <v>230</v>
      </c>
      <c r="N620" s="6" t="s">
        <v>524</v>
      </c>
      <c r="O620" s="6" t="s">
        <v>233</v>
      </c>
      <c r="P620" s="58">
        <v>796</v>
      </c>
      <c r="Q620" s="6" t="s">
        <v>234</v>
      </c>
      <c r="R620" s="20">
        <v>2</v>
      </c>
      <c r="S620" s="2">
        <v>10230</v>
      </c>
      <c r="T620" s="4">
        <v>0</v>
      </c>
      <c r="U620" s="4">
        <f t="shared" si="27"/>
        <v>0</v>
      </c>
      <c r="V620" s="3" t="s">
        <v>362</v>
      </c>
      <c r="W620" s="3">
        <v>2014</v>
      </c>
      <c r="X620" s="3" t="s">
        <v>14132</v>
      </c>
    </row>
    <row r="621" spans="1:24" ht="102">
      <c r="A621" s="3" t="s">
        <v>14479</v>
      </c>
      <c r="B621" s="6" t="s">
        <v>361</v>
      </c>
      <c r="C621" s="6" t="s">
        <v>3213</v>
      </c>
      <c r="D621" s="6" t="s">
        <v>3214</v>
      </c>
      <c r="E621" s="6" t="s">
        <v>3215</v>
      </c>
      <c r="F621" s="6" t="s">
        <v>76</v>
      </c>
      <c r="G621" s="3" t="s">
        <v>11450</v>
      </c>
      <c r="H621" s="54">
        <v>0</v>
      </c>
      <c r="I621" s="16">
        <v>470000000</v>
      </c>
      <c r="J621" s="157" t="s">
        <v>229</v>
      </c>
      <c r="K621" s="5" t="s">
        <v>211</v>
      </c>
      <c r="L621" s="6" t="s">
        <v>231</v>
      </c>
      <c r="M621" s="3" t="s">
        <v>230</v>
      </c>
      <c r="N621" s="6" t="s">
        <v>524</v>
      </c>
      <c r="O621" s="6" t="s">
        <v>233</v>
      </c>
      <c r="P621" s="58">
        <v>796</v>
      </c>
      <c r="Q621" s="6" t="s">
        <v>234</v>
      </c>
      <c r="R621" s="20">
        <v>8</v>
      </c>
      <c r="S621" s="2">
        <v>13069.2</v>
      </c>
      <c r="T621" s="4">
        <v>0</v>
      </c>
      <c r="U621" s="4">
        <f>T621*1.12</f>
        <v>0</v>
      </c>
      <c r="V621" s="3" t="s">
        <v>362</v>
      </c>
      <c r="W621" s="3">
        <v>2014</v>
      </c>
      <c r="X621" s="3">
        <v>11</v>
      </c>
    </row>
    <row r="622" spans="1:24" ht="102">
      <c r="A622" s="3" t="s">
        <v>18076</v>
      </c>
      <c r="B622" s="6" t="s">
        <v>361</v>
      </c>
      <c r="C622" s="6" t="s">
        <v>3213</v>
      </c>
      <c r="D622" s="6" t="s">
        <v>3214</v>
      </c>
      <c r="E622" s="6" t="s">
        <v>3215</v>
      </c>
      <c r="F622" s="6" t="s">
        <v>76</v>
      </c>
      <c r="G622" s="3" t="s">
        <v>11450</v>
      </c>
      <c r="H622" s="54">
        <v>0</v>
      </c>
      <c r="I622" s="16">
        <v>470000000</v>
      </c>
      <c r="J622" s="157" t="s">
        <v>229</v>
      </c>
      <c r="K622" s="5" t="s">
        <v>17401</v>
      </c>
      <c r="L622" s="6" t="s">
        <v>231</v>
      </c>
      <c r="M622" s="3" t="s">
        <v>230</v>
      </c>
      <c r="N622" s="6" t="s">
        <v>524</v>
      </c>
      <c r="O622" s="6" t="s">
        <v>233</v>
      </c>
      <c r="P622" s="58">
        <v>796</v>
      </c>
      <c r="Q622" s="6" t="s">
        <v>234</v>
      </c>
      <c r="R622" s="20">
        <v>8</v>
      </c>
      <c r="S622" s="2">
        <v>13069.2</v>
      </c>
      <c r="T622" s="4">
        <f>R622*S622</f>
        <v>104553.60000000001</v>
      </c>
      <c r="U622" s="4">
        <f>T622*1.12</f>
        <v>117100.03200000002</v>
      </c>
      <c r="V622" s="3" t="s">
        <v>362</v>
      </c>
      <c r="W622" s="3">
        <v>2014</v>
      </c>
      <c r="X622" s="3"/>
    </row>
    <row r="623" spans="1:24" ht="102">
      <c r="A623" s="3" t="s">
        <v>844</v>
      </c>
      <c r="B623" s="6" t="s">
        <v>361</v>
      </c>
      <c r="C623" s="6" t="s">
        <v>3213</v>
      </c>
      <c r="D623" s="6" t="s">
        <v>3214</v>
      </c>
      <c r="E623" s="6" t="s">
        <v>3215</v>
      </c>
      <c r="F623" s="6" t="s">
        <v>3210</v>
      </c>
      <c r="G623" s="3" t="s">
        <v>11450</v>
      </c>
      <c r="H623" s="54">
        <v>0</v>
      </c>
      <c r="I623" s="16">
        <v>470000000</v>
      </c>
      <c r="J623" s="157" t="s">
        <v>229</v>
      </c>
      <c r="K623" s="5" t="s">
        <v>210</v>
      </c>
      <c r="L623" s="6" t="s">
        <v>231</v>
      </c>
      <c r="M623" s="3" t="s">
        <v>230</v>
      </c>
      <c r="N623" s="6" t="s">
        <v>524</v>
      </c>
      <c r="O623" s="6" t="s">
        <v>233</v>
      </c>
      <c r="P623" s="58">
        <v>796</v>
      </c>
      <c r="Q623" s="6" t="s">
        <v>234</v>
      </c>
      <c r="R623" s="20">
        <v>14</v>
      </c>
      <c r="S623" s="2">
        <v>8600</v>
      </c>
      <c r="T623" s="4">
        <v>0</v>
      </c>
      <c r="U623" s="4">
        <f t="shared" si="27"/>
        <v>0</v>
      </c>
      <c r="V623" s="3" t="s">
        <v>362</v>
      </c>
      <c r="W623" s="3">
        <v>2014</v>
      </c>
      <c r="X623" s="3" t="s">
        <v>12051</v>
      </c>
    </row>
    <row r="624" spans="1:24" ht="102">
      <c r="A624" s="3" t="s">
        <v>14488</v>
      </c>
      <c r="B624" s="6" t="s">
        <v>361</v>
      </c>
      <c r="C624" s="6" t="s">
        <v>3213</v>
      </c>
      <c r="D624" s="6" t="s">
        <v>3214</v>
      </c>
      <c r="E624" s="6" t="s">
        <v>3215</v>
      </c>
      <c r="F624" s="6" t="s">
        <v>3210</v>
      </c>
      <c r="G624" s="3" t="s">
        <v>11450</v>
      </c>
      <c r="H624" s="54">
        <v>0</v>
      </c>
      <c r="I624" s="16">
        <v>470000000</v>
      </c>
      <c r="J624" s="157" t="s">
        <v>229</v>
      </c>
      <c r="K624" s="5" t="s">
        <v>220</v>
      </c>
      <c r="L624" s="6" t="s">
        <v>231</v>
      </c>
      <c r="M624" s="3" t="s">
        <v>230</v>
      </c>
      <c r="N624" s="6" t="s">
        <v>524</v>
      </c>
      <c r="O624" s="6" t="s">
        <v>233</v>
      </c>
      <c r="P624" s="58">
        <v>796</v>
      </c>
      <c r="Q624" s="6" t="s">
        <v>234</v>
      </c>
      <c r="R624" s="20">
        <v>3</v>
      </c>
      <c r="S624" s="2">
        <v>10320</v>
      </c>
      <c r="T624" s="4">
        <f>R624*S624</f>
        <v>30960</v>
      </c>
      <c r="U624" s="4">
        <f>T624*1.12</f>
        <v>34675.200000000004</v>
      </c>
      <c r="V624" s="3" t="s">
        <v>362</v>
      </c>
      <c r="W624" s="3">
        <v>2014</v>
      </c>
      <c r="X624" s="3"/>
    </row>
    <row r="625" spans="1:24" ht="102">
      <c r="A625" s="3" t="s">
        <v>845</v>
      </c>
      <c r="B625" s="6" t="s">
        <v>361</v>
      </c>
      <c r="C625" s="6" t="s">
        <v>3213</v>
      </c>
      <c r="D625" s="6" t="s">
        <v>3214</v>
      </c>
      <c r="E625" s="6" t="s">
        <v>3215</v>
      </c>
      <c r="F625" s="6" t="s">
        <v>77</v>
      </c>
      <c r="G625" s="3" t="s">
        <v>11450</v>
      </c>
      <c r="H625" s="54">
        <v>0</v>
      </c>
      <c r="I625" s="16">
        <v>470000000</v>
      </c>
      <c r="J625" s="157" t="s">
        <v>229</v>
      </c>
      <c r="K625" s="5" t="s">
        <v>210</v>
      </c>
      <c r="L625" s="6" t="s">
        <v>231</v>
      </c>
      <c r="M625" s="3" t="s">
        <v>230</v>
      </c>
      <c r="N625" s="6" t="s">
        <v>524</v>
      </c>
      <c r="O625" s="6" t="s">
        <v>233</v>
      </c>
      <c r="P625" s="58">
        <v>796</v>
      </c>
      <c r="Q625" s="6" t="s">
        <v>234</v>
      </c>
      <c r="R625" s="20">
        <v>28</v>
      </c>
      <c r="S625" s="2">
        <v>11280</v>
      </c>
      <c r="T625" s="4">
        <v>0</v>
      </c>
      <c r="U625" s="4">
        <f t="shared" si="27"/>
        <v>0</v>
      </c>
      <c r="V625" s="3" t="s">
        <v>362</v>
      </c>
      <c r="W625" s="3">
        <v>2014</v>
      </c>
      <c r="X625" s="3" t="s">
        <v>12076</v>
      </c>
    </row>
    <row r="626" spans="1:24" ht="102">
      <c r="A626" s="3" t="s">
        <v>18077</v>
      </c>
      <c r="B626" s="6" t="s">
        <v>361</v>
      </c>
      <c r="C626" s="6" t="s">
        <v>3213</v>
      </c>
      <c r="D626" s="6" t="s">
        <v>3214</v>
      </c>
      <c r="E626" s="6" t="s">
        <v>3215</v>
      </c>
      <c r="F626" s="6" t="s">
        <v>77</v>
      </c>
      <c r="G626" s="3" t="s">
        <v>11450</v>
      </c>
      <c r="H626" s="54">
        <v>0</v>
      </c>
      <c r="I626" s="16">
        <v>470000000</v>
      </c>
      <c r="J626" s="157" t="s">
        <v>229</v>
      </c>
      <c r="K626" s="5" t="s">
        <v>210</v>
      </c>
      <c r="L626" s="6" t="s">
        <v>231</v>
      </c>
      <c r="M626" s="3" t="s">
        <v>230</v>
      </c>
      <c r="N626" s="6" t="s">
        <v>524</v>
      </c>
      <c r="O626" s="6" t="s">
        <v>233</v>
      </c>
      <c r="P626" s="58">
        <v>796</v>
      </c>
      <c r="Q626" s="6" t="s">
        <v>234</v>
      </c>
      <c r="R626" s="20">
        <v>28</v>
      </c>
      <c r="S626" s="2">
        <v>11280</v>
      </c>
      <c r="T626" s="4">
        <v>0</v>
      </c>
      <c r="U626" s="4">
        <f t="shared" si="27"/>
        <v>0</v>
      </c>
      <c r="V626" s="3" t="s">
        <v>362</v>
      </c>
      <c r="W626" s="3">
        <v>2014</v>
      </c>
      <c r="X626" s="3" t="s">
        <v>12076</v>
      </c>
    </row>
    <row r="627" spans="1:24" ht="102">
      <c r="A627" s="3" t="s">
        <v>846</v>
      </c>
      <c r="B627" s="6" t="s">
        <v>361</v>
      </c>
      <c r="C627" s="6" t="s">
        <v>3213</v>
      </c>
      <c r="D627" s="6" t="s">
        <v>3214</v>
      </c>
      <c r="E627" s="6" t="s">
        <v>3215</v>
      </c>
      <c r="F627" s="6" t="s">
        <v>78</v>
      </c>
      <c r="G627" s="3" t="s">
        <v>11450</v>
      </c>
      <c r="H627" s="54">
        <v>0</v>
      </c>
      <c r="I627" s="16">
        <v>470000000</v>
      </c>
      <c r="J627" s="157" t="s">
        <v>229</v>
      </c>
      <c r="K627" s="5" t="s">
        <v>211</v>
      </c>
      <c r="L627" s="6" t="s">
        <v>231</v>
      </c>
      <c r="M627" s="3" t="s">
        <v>230</v>
      </c>
      <c r="N627" s="6" t="s">
        <v>524</v>
      </c>
      <c r="O627" s="6" t="s">
        <v>233</v>
      </c>
      <c r="P627" s="58">
        <v>796</v>
      </c>
      <c r="Q627" s="6" t="s">
        <v>234</v>
      </c>
      <c r="R627" s="20">
        <v>9</v>
      </c>
      <c r="S627" s="2">
        <v>16800</v>
      </c>
      <c r="T627" s="4">
        <v>0</v>
      </c>
      <c r="U627" s="4">
        <f t="shared" si="27"/>
        <v>0</v>
      </c>
      <c r="V627" s="3" t="s">
        <v>362</v>
      </c>
      <c r="W627" s="3">
        <v>2014</v>
      </c>
      <c r="X627" s="3" t="s">
        <v>14132</v>
      </c>
    </row>
    <row r="628" spans="1:24" ht="102">
      <c r="A628" s="3" t="s">
        <v>14466</v>
      </c>
      <c r="B628" s="6" t="s">
        <v>361</v>
      </c>
      <c r="C628" s="6" t="s">
        <v>3213</v>
      </c>
      <c r="D628" s="6" t="s">
        <v>3214</v>
      </c>
      <c r="E628" s="6" t="s">
        <v>3215</v>
      </c>
      <c r="F628" s="6" t="s">
        <v>78</v>
      </c>
      <c r="G628" s="3" t="s">
        <v>11450</v>
      </c>
      <c r="H628" s="54">
        <v>0</v>
      </c>
      <c r="I628" s="16">
        <v>470000000</v>
      </c>
      <c r="J628" s="157" t="s">
        <v>229</v>
      </c>
      <c r="K628" s="5" t="s">
        <v>211</v>
      </c>
      <c r="L628" s="6" t="s">
        <v>231</v>
      </c>
      <c r="M628" s="3" t="s">
        <v>230</v>
      </c>
      <c r="N628" s="6" t="s">
        <v>524</v>
      </c>
      <c r="O628" s="6" t="s">
        <v>233</v>
      </c>
      <c r="P628" s="58">
        <v>796</v>
      </c>
      <c r="Q628" s="6" t="s">
        <v>234</v>
      </c>
      <c r="R628" s="20">
        <v>15</v>
      </c>
      <c r="S628" s="2">
        <v>20160</v>
      </c>
      <c r="T628" s="4">
        <f>R628*S628</f>
        <v>302400</v>
      </c>
      <c r="U628" s="4">
        <f>T628*1.12</f>
        <v>338688.00000000006</v>
      </c>
      <c r="V628" s="3" t="s">
        <v>362</v>
      </c>
      <c r="W628" s="3">
        <v>2014</v>
      </c>
      <c r="X628" s="3"/>
    </row>
    <row r="629" spans="1:24" ht="102">
      <c r="A629" s="3" t="s">
        <v>847</v>
      </c>
      <c r="B629" s="6" t="s">
        <v>361</v>
      </c>
      <c r="C629" s="6" t="s">
        <v>3213</v>
      </c>
      <c r="D629" s="6" t="s">
        <v>3214</v>
      </c>
      <c r="E629" s="6" t="s">
        <v>3215</v>
      </c>
      <c r="F629" s="6" t="s">
        <v>79</v>
      </c>
      <c r="G629" s="3" t="s">
        <v>11450</v>
      </c>
      <c r="H629" s="54">
        <v>0</v>
      </c>
      <c r="I629" s="16">
        <v>470000000</v>
      </c>
      <c r="J629" s="157" t="s">
        <v>229</v>
      </c>
      <c r="K629" s="5" t="s">
        <v>219</v>
      </c>
      <c r="L629" s="6" t="s">
        <v>231</v>
      </c>
      <c r="M629" s="3" t="s">
        <v>230</v>
      </c>
      <c r="N629" s="6" t="s">
        <v>524</v>
      </c>
      <c r="O629" s="6" t="s">
        <v>233</v>
      </c>
      <c r="P629" s="58">
        <v>796</v>
      </c>
      <c r="Q629" s="6" t="s">
        <v>234</v>
      </c>
      <c r="R629" s="20">
        <v>0</v>
      </c>
      <c r="S629" s="2">
        <v>18244</v>
      </c>
      <c r="T629" s="4">
        <f>R629*S629</f>
        <v>0</v>
      </c>
      <c r="U629" s="4">
        <f t="shared" si="27"/>
        <v>0</v>
      </c>
      <c r="V629" s="3" t="s">
        <v>362</v>
      </c>
      <c r="W629" s="3">
        <v>2014</v>
      </c>
      <c r="X629" s="3" t="s">
        <v>12076</v>
      </c>
    </row>
    <row r="630" spans="1:24" ht="102">
      <c r="A630" s="3" t="s">
        <v>848</v>
      </c>
      <c r="B630" s="6" t="s">
        <v>361</v>
      </c>
      <c r="C630" s="6" t="s">
        <v>3213</v>
      </c>
      <c r="D630" s="6" t="s">
        <v>3214</v>
      </c>
      <c r="E630" s="6" t="s">
        <v>3215</v>
      </c>
      <c r="F630" s="6" t="s">
        <v>80</v>
      </c>
      <c r="G630" s="3" t="s">
        <v>11450</v>
      </c>
      <c r="H630" s="54">
        <v>0</v>
      </c>
      <c r="I630" s="16">
        <v>470000000</v>
      </c>
      <c r="J630" s="157" t="s">
        <v>229</v>
      </c>
      <c r="K630" s="5" t="s">
        <v>210</v>
      </c>
      <c r="L630" s="6" t="s">
        <v>231</v>
      </c>
      <c r="M630" s="3" t="s">
        <v>230</v>
      </c>
      <c r="N630" s="6" t="s">
        <v>524</v>
      </c>
      <c r="O630" s="6" t="s">
        <v>233</v>
      </c>
      <c r="P630" s="58">
        <v>796</v>
      </c>
      <c r="Q630" s="6" t="s">
        <v>234</v>
      </c>
      <c r="R630" s="20">
        <v>4</v>
      </c>
      <c r="S630" s="2">
        <v>12950</v>
      </c>
      <c r="T630" s="4">
        <v>0</v>
      </c>
      <c r="U630" s="4">
        <f t="shared" si="27"/>
        <v>0</v>
      </c>
      <c r="V630" s="3" t="s">
        <v>362</v>
      </c>
      <c r="W630" s="3">
        <v>2014</v>
      </c>
      <c r="X630" s="3" t="s">
        <v>14230</v>
      </c>
    </row>
    <row r="631" spans="1:24" ht="102">
      <c r="A631" s="3" t="s">
        <v>14474</v>
      </c>
      <c r="B631" s="6" t="s">
        <v>361</v>
      </c>
      <c r="C631" s="6" t="s">
        <v>3213</v>
      </c>
      <c r="D631" s="6" t="s">
        <v>3214</v>
      </c>
      <c r="E631" s="6" t="s">
        <v>3215</v>
      </c>
      <c r="F631" s="6" t="s">
        <v>80</v>
      </c>
      <c r="G631" s="3" t="s">
        <v>11450</v>
      </c>
      <c r="H631" s="54">
        <v>0</v>
      </c>
      <c r="I631" s="16">
        <v>470000000</v>
      </c>
      <c r="J631" s="157" t="s">
        <v>229</v>
      </c>
      <c r="K631" s="5" t="s">
        <v>210</v>
      </c>
      <c r="L631" s="6" t="s">
        <v>231</v>
      </c>
      <c r="M631" s="3" t="s">
        <v>230</v>
      </c>
      <c r="N631" s="6" t="s">
        <v>524</v>
      </c>
      <c r="O631" s="6" t="s">
        <v>233</v>
      </c>
      <c r="P631" s="58">
        <v>796</v>
      </c>
      <c r="Q631" s="6" t="s">
        <v>234</v>
      </c>
      <c r="R631" s="20">
        <v>4</v>
      </c>
      <c r="S631" s="2">
        <v>15540</v>
      </c>
      <c r="T631" s="4">
        <v>0</v>
      </c>
      <c r="U631" s="4">
        <f>T631*1.12</f>
        <v>0</v>
      </c>
      <c r="V631" s="3" t="s">
        <v>362</v>
      </c>
      <c r="W631" s="3">
        <v>2014</v>
      </c>
      <c r="X631" s="3">
        <v>11</v>
      </c>
    </row>
    <row r="632" spans="1:24" ht="102">
      <c r="A632" s="3" t="s">
        <v>18225</v>
      </c>
      <c r="B632" s="6" t="s">
        <v>361</v>
      </c>
      <c r="C632" s="6" t="s">
        <v>3213</v>
      </c>
      <c r="D632" s="6" t="s">
        <v>3214</v>
      </c>
      <c r="E632" s="6" t="s">
        <v>3215</v>
      </c>
      <c r="F632" s="6" t="s">
        <v>80</v>
      </c>
      <c r="G632" s="3" t="s">
        <v>11450</v>
      </c>
      <c r="H632" s="54">
        <v>0</v>
      </c>
      <c r="I632" s="16">
        <v>470000000</v>
      </c>
      <c r="J632" s="157" t="s">
        <v>229</v>
      </c>
      <c r="K632" s="5" t="s">
        <v>17401</v>
      </c>
      <c r="L632" s="6" t="s">
        <v>231</v>
      </c>
      <c r="M632" s="3" t="s">
        <v>230</v>
      </c>
      <c r="N632" s="6" t="s">
        <v>524</v>
      </c>
      <c r="O632" s="6" t="s">
        <v>233</v>
      </c>
      <c r="P632" s="58">
        <v>796</v>
      </c>
      <c r="Q632" s="6" t="s">
        <v>234</v>
      </c>
      <c r="R632" s="20">
        <v>4</v>
      </c>
      <c r="S632" s="2">
        <v>15540</v>
      </c>
      <c r="T632" s="4">
        <f>R632*S632</f>
        <v>62160</v>
      </c>
      <c r="U632" s="4">
        <f>T632*1.12</f>
        <v>69619.200000000012</v>
      </c>
      <c r="V632" s="3" t="s">
        <v>362</v>
      </c>
      <c r="W632" s="3">
        <v>2014</v>
      </c>
      <c r="X632" s="3"/>
    </row>
    <row r="633" spans="1:24" ht="102">
      <c r="A633" s="3" t="s">
        <v>849</v>
      </c>
      <c r="B633" s="6" t="s">
        <v>361</v>
      </c>
      <c r="C633" s="6" t="s">
        <v>3213</v>
      </c>
      <c r="D633" s="6" t="s">
        <v>3214</v>
      </c>
      <c r="E633" s="6" t="s">
        <v>3215</v>
      </c>
      <c r="F633" s="6" t="s">
        <v>81</v>
      </c>
      <c r="G633" s="3" t="s">
        <v>11450</v>
      </c>
      <c r="H633" s="54">
        <v>0</v>
      </c>
      <c r="I633" s="16">
        <v>470000000</v>
      </c>
      <c r="J633" s="157" t="s">
        <v>229</v>
      </c>
      <c r="K633" s="5" t="s">
        <v>210</v>
      </c>
      <c r="L633" s="6" t="s">
        <v>231</v>
      </c>
      <c r="M633" s="3" t="s">
        <v>230</v>
      </c>
      <c r="N633" s="6" t="s">
        <v>524</v>
      </c>
      <c r="O633" s="6" t="s">
        <v>233</v>
      </c>
      <c r="P633" s="58">
        <v>796</v>
      </c>
      <c r="Q633" s="6" t="s">
        <v>234</v>
      </c>
      <c r="R633" s="20">
        <v>10</v>
      </c>
      <c r="S633" s="2">
        <v>12656</v>
      </c>
      <c r="T633" s="4">
        <v>0</v>
      </c>
      <c r="U633" s="4">
        <f t="shared" si="27"/>
        <v>0</v>
      </c>
      <c r="V633" s="3" t="s">
        <v>362</v>
      </c>
      <c r="W633" s="3">
        <v>2014</v>
      </c>
      <c r="X633" s="3" t="s">
        <v>14132</v>
      </c>
    </row>
    <row r="634" spans="1:24" ht="102">
      <c r="A634" s="3" t="s">
        <v>14476</v>
      </c>
      <c r="B634" s="6" t="s">
        <v>361</v>
      </c>
      <c r="C634" s="6" t="s">
        <v>3213</v>
      </c>
      <c r="D634" s="6" t="s">
        <v>3214</v>
      </c>
      <c r="E634" s="6" t="s">
        <v>3215</v>
      </c>
      <c r="F634" s="6" t="s">
        <v>81</v>
      </c>
      <c r="G634" s="3" t="s">
        <v>11450</v>
      </c>
      <c r="H634" s="54">
        <v>0</v>
      </c>
      <c r="I634" s="16">
        <v>470000000</v>
      </c>
      <c r="J634" s="157" t="s">
        <v>229</v>
      </c>
      <c r="K634" s="5" t="s">
        <v>210</v>
      </c>
      <c r="L634" s="6" t="s">
        <v>231</v>
      </c>
      <c r="M634" s="3" t="s">
        <v>230</v>
      </c>
      <c r="N634" s="6" t="s">
        <v>524</v>
      </c>
      <c r="O634" s="6" t="s">
        <v>233</v>
      </c>
      <c r="P634" s="58">
        <v>796</v>
      </c>
      <c r="Q634" s="6" t="s">
        <v>234</v>
      </c>
      <c r="R634" s="20">
        <v>9</v>
      </c>
      <c r="S634" s="2">
        <v>15187</v>
      </c>
      <c r="T634" s="4">
        <f>R634*S634</f>
        <v>136683</v>
      </c>
      <c r="U634" s="4">
        <f>T634*1.12</f>
        <v>153084.96000000002</v>
      </c>
      <c r="V634" s="3" t="s">
        <v>362</v>
      </c>
      <c r="W634" s="3">
        <v>2014</v>
      </c>
      <c r="X634" s="3"/>
    </row>
    <row r="635" spans="1:24" ht="102">
      <c r="A635" s="3" t="s">
        <v>850</v>
      </c>
      <c r="B635" s="6" t="s">
        <v>361</v>
      </c>
      <c r="C635" s="6" t="s">
        <v>3213</v>
      </c>
      <c r="D635" s="6" t="s">
        <v>3214</v>
      </c>
      <c r="E635" s="6" t="s">
        <v>3215</v>
      </c>
      <c r="F635" s="6" t="s">
        <v>82</v>
      </c>
      <c r="G635" s="3" t="s">
        <v>11450</v>
      </c>
      <c r="H635" s="54">
        <v>0</v>
      </c>
      <c r="I635" s="16">
        <v>470000000</v>
      </c>
      <c r="J635" s="157" t="s">
        <v>229</v>
      </c>
      <c r="K635" s="5" t="s">
        <v>219</v>
      </c>
      <c r="L635" s="6" t="s">
        <v>231</v>
      </c>
      <c r="M635" s="3" t="s">
        <v>230</v>
      </c>
      <c r="N635" s="6" t="s">
        <v>524</v>
      </c>
      <c r="O635" s="6" t="s">
        <v>233</v>
      </c>
      <c r="P635" s="58">
        <v>796</v>
      </c>
      <c r="Q635" s="6" t="s">
        <v>234</v>
      </c>
      <c r="R635" s="20">
        <v>0</v>
      </c>
      <c r="S635" s="2">
        <v>12985</v>
      </c>
      <c r="T635" s="4">
        <f>R635*S635</f>
        <v>0</v>
      </c>
      <c r="U635" s="4">
        <f t="shared" si="27"/>
        <v>0</v>
      </c>
      <c r="V635" s="3" t="s">
        <v>362</v>
      </c>
      <c r="W635" s="3">
        <v>2014</v>
      </c>
      <c r="X635" s="3" t="s">
        <v>12076</v>
      </c>
    </row>
    <row r="636" spans="1:24" ht="102">
      <c r="A636" s="3" t="s">
        <v>851</v>
      </c>
      <c r="B636" s="6" t="s">
        <v>361</v>
      </c>
      <c r="C636" s="6" t="s">
        <v>3213</v>
      </c>
      <c r="D636" s="6" t="s">
        <v>3214</v>
      </c>
      <c r="E636" s="6" t="s">
        <v>3215</v>
      </c>
      <c r="F636" s="6" t="s">
        <v>83</v>
      </c>
      <c r="G636" s="3" t="s">
        <v>11450</v>
      </c>
      <c r="H636" s="54">
        <v>0</v>
      </c>
      <c r="I636" s="16">
        <v>470000000</v>
      </c>
      <c r="J636" s="157" t="s">
        <v>229</v>
      </c>
      <c r="K636" s="5" t="s">
        <v>219</v>
      </c>
      <c r="L636" s="6" t="s">
        <v>231</v>
      </c>
      <c r="M636" s="3" t="s">
        <v>230</v>
      </c>
      <c r="N636" s="6" t="s">
        <v>524</v>
      </c>
      <c r="O636" s="6" t="s">
        <v>233</v>
      </c>
      <c r="P636" s="58">
        <v>796</v>
      </c>
      <c r="Q636" s="6" t="s">
        <v>234</v>
      </c>
      <c r="R636" s="20">
        <v>2</v>
      </c>
      <c r="S636" s="2">
        <v>10365</v>
      </c>
      <c r="T636" s="4">
        <v>0</v>
      </c>
      <c r="U636" s="4">
        <f t="shared" si="27"/>
        <v>0</v>
      </c>
      <c r="V636" s="3" t="s">
        <v>362</v>
      </c>
      <c r="W636" s="3">
        <v>2014</v>
      </c>
      <c r="X636" s="3" t="s">
        <v>14785</v>
      </c>
    </row>
    <row r="637" spans="1:24" ht="102">
      <c r="A637" s="3" t="s">
        <v>14478</v>
      </c>
      <c r="B637" s="6" t="s">
        <v>361</v>
      </c>
      <c r="C637" s="6" t="s">
        <v>3213</v>
      </c>
      <c r="D637" s="6" t="s">
        <v>3214</v>
      </c>
      <c r="E637" s="6" t="s">
        <v>3215</v>
      </c>
      <c r="F637" s="6" t="s">
        <v>83</v>
      </c>
      <c r="G637" s="3" t="s">
        <v>11450</v>
      </c>
      <c r="H637" s="54">
        <v>0</v>
      </c>
      <c r="I637" s="16">
        <v>470000000</v>
      </c>
      <c r="J637" s="157" t="s">
        <v>229</v>
      </c>
      <c r="K637" s="5" t="s">
        <v>220</v>
      </c>
      <c r="L637" s="6" t="s">
        <v>231</v>
      </c>
      <c r="M637" s="3" t="s">
        <v>230</v>
      </c>
      <c r="N637" s="6" t="s">
        <v>524</v>
      </c>
      <c r="O637" s="6" t="s">
        <v>233</v>
      </c>
      <c r="P637" s="58">
        <v>796</v>
      </c>
      <c r="Q637" s="6" t="s">
        <v>234</v>
      </c>
      <c r="R637" s="20">
        <v>2</v>
      </c>
      <c r="S637" s="2">
        <v>12438</v>
      </c>
      <c r="T637" s="4">
        <f>R637*S637</f>
        <v>24876</v>
      </c>
      <c r="U637" s="4">
        <f>T637*1.12</f>
        <v>27861.120000000003</v>
      </c>
      <c r="V637" s="3" t="s">
        <v>362</v>
      </c>
      <c r="W637" s="3">
        <v>2014</v>
      </c>
      <c r="X637" s="3"/>
    </row>
    <row r="638" spans="1:24" ht="102">
      <c r="A638" s="3" t="s">
        <v>852</v>
      </c>
      <c r="B638" s="6" t="s">
        <v>361</v>
      </c>
      <c r="C638" s="6" t="s">
        <v>3213</v>
      </c>
      <c r="D638" s="6" t="s">
        <v>3214</v>
      </c>
      <c r="E638" s="6" t="s">
        <v>3215</v>
      </c>
      <c r="F638" s="6" t="s">
        <v>84</v>
      </c>
      <c r="G638" s="3" t="s">
        <v>11450</v>
      </c>
      <c r="H638" s="54">
        <v>0</v>
      </c>
      <c r="I638" s="16">
        <v>470000000</v>
      </c>
      <c r="J638" s="157" t="s">
        <v>229</v>
      </c>
      <c r="K638" s="5" t="s">
        <v>219</v>
      </c>
      <c r="L638" s="6" t="s">
        <v>231</v>
      </c>
      <c r="M638" s="3" t="s">
        <v>230</v>
      </c>
      <c r="N638" s="6" t="s">
        <v>524</v>
      </c>
      <c r="O638" s="6" t="s">
        <v>233</v>
      </c>
      <c r="P638" s="58">
        <v>796</v>
      </c>
      <c r="Q638" s="6" t="s">
        <v>234</v>
      </c>
      <c r="R638" s="20">
        <v>0</v>
      </c>
      <c r="S638" s="2">
        <v>11846</v>
      </c>
      <c r="T638" s="4">
        <f>R638*S638</f>
        <v>0</v>
      </c>
      <c r="U638" s="4">
        <f t="shared" si="27"/>
        <v>0</v>
      </c>
      <c r="V638" s="3" t="s">
        <v>362</v>
      </c>
      <c r="W638" s="3">
        <v>2014</v>
      </c>
      <c r="X638" s="3" t="s">
        <v>12076</v>
      </c>
    </row>
    <row r="639" spans="1:24" ht="102">
      <c r="A639" s="3" t="s">
        <v>853</v>
      </c>
      <c r="B639" s="6" t="s">
        <v>361</v>
      </c>
      <c r="C639" s="6" t="s">
        <v>3213</v>
      </c>
      <c r="D639" s="6" t="s">
        <v>3214</v>
      </c>
      <c r="E639" s="6" t="s">
        <v>3215</v>
      </c>
      <c r="F639" s="6" t="s">
        <v>85</v>
      </c>
      <c r="G639" s="3" t="s">
        <v>11450</v>
      </c>
      <c r="H639" s="54">
        <v>0</v>
      </c>
      <c r="I639" s="16">
        <v>470000000</v>
      </c>
      <c r="J639" s="157" t="s">
        <v>229</v>
      </c>
      <c r="K639" s="5" t="s">
        <v>211</v>
      </c>
      <c r="L639" s="6" t="s">
        <v>231</v>
      </c>
      <c r="M639" s="3" t="s">
        <v>230</v>
      </c>
      <c r="N639" s="6" t="s">
        <v>524</v>
      </c>
      <c r="O639" s="6" t="s">
        <v>233</v>
      </c>
      <c r="P639" s="58">
        <v>796</v>
      </c>
      <c r="Q639" s="6" t="s">
        <v>234</v>
      </c>
      <c r="R639" s="20">
        <v>4</v>
      </c>
      <c r="S639" s="2">
        <v>9620</v>
      </c>
      <c r="T639" s="4">
        <v>0</v>
      </c>
      <c r="U639" s="4">
        <f t="shared" si="27"/>
        <v>0</v>
      </c>
      <c r="V639" s="3" t="s">
        <v>362</v>
      </c>
      <c r="W639" s="3">
        <v>2014</v>
      </c>
      <c r="X639" s="3" t="s">
        <v>14132</v>
      </c>
    </row>
    <row r="640" spans="1:24" ht="102">
      <c r="A640" s="3" t="s">
        <v>14480</v>
      </c>
      <c r="B640" s="6" t="s">
        <v>361</v>
      </c>
      <c r="C640" s="6" t="s">
        <v>3213</v>
      </c>
      <c r="D640" s="6" t="s">
        <v>3214</v>
      </c>
      <c r="E640" s="6" t="s">
        <v>3215</v>
      </c>
      <c r="F640" s="6" t="s">
        <v>85</v>
      </c>
      <c r="G640" s="3" t="s">
        <v>11450</v>
      </c>
      <c r="H640" s="54">
        <v>0</v>
      </c>
      <c r="I640" s="16">
        <v>470000000</v>
      </c>
      <c r="J640" s="157" t="s">
        <v>229</v>
      </c>
      <c r="K640" s="5" t="s">
        <v>211</v>
      </c>
      <c r="L640" s="6" t="s">
        <v>231</v>
      </c>
      <c r="M640" s="3" t="s">
        <v>230</v>
      </c>
      <c r="N640" s="6" t="s">
        <v>524</v>
      </c>
      <c r="O640" s="6" t="s">
        <v>233</v>
      </c>
      <c r="P640" s="58">
        <v>796</v>
      </c>
      <c r="Q640" s="6" t="s">
        <v>234</v>
      </c>
      <c r="R640" s="20">
        <v>2</v>
      </c>
      <c r="S640" s="2">
        <v>11544</v>
      </c>
      <c r="T640" s="4">
        <v>0</v>
      </c>
      <c r="U640" s="4">
        <f>T640*1.12</f>
        <v>0</v>
      </c>
      <c r="V640" s="3" t="s">
        <v>362</v>
      </c>
      <c r="W640" s="3">
        <v>2014</v>
      </c>
      <c r="X640" s="3">
        <v>11</v>
      </c>
    </row>
    <row r="641" spans="1:24" ht="102">
      <c r="A641" s="3" t="s">
        <v>18078</v>
      </c>
      <c r="B641" s="6" t="s">
        <v>361</v>
      </c>
      <c r="C641" s="6" t="s">
        <v>3213</v>
      </c>
      <c r="D641" s="6" t="s">
        <v>3214</v>
      </c>
      <c r="E641" s="6" t="s">
        <v>3215</v>
      </c>
      <c r="F641" s="6" t="s">
        <v>85</v>
      </c>
      <c r="G641" s="3" t="s">
        <v>11450</v>
      </c>
      <c r="H641" s="54">
        <v>0</v>
      </c>
      <c r="I641" s="16">
        <v>470000000</v>
      </c>
      <c r="J641" s="157" t="s">
        <v>229</v>
      </c>
      <c r="K641" s="5" t="s">
        <v>17401</v>
      </c>
      <c r="L641" s="6" t="s">
        <v>231</v>
      </c>
      <c r="M641" s="3" t="s">
        <v>230</v>
      </c>
      <c r="N641" s="6" t="s">
        <v>524</v>
      </c>
      <c r="O641" s="6" t="s">
        <v>233</v>
      </c>
      <c r="P641" s="58">
        <v>796</v>
      </c>
      <c r="Q641" s="6" t="s">
        <v>234</v>
      </c>
      <c r="R641" s="20">
        <v>2</v>
      </c>
      <c r="S641" s="2">
        <v>11544</v>
      </c>
      <c r="T641" s="4">
        <f>R641*S641</f>
        <v>23088</v>
      </c>
      <c r="U641" s="4">
        <f>T641*1.12</f>
        <v>25858.560000000001</v>
      </c>
      <c r="V641" s="3" t="s">
        <v>362</v>
      </c>
      <c r="W641" s="3">
        <v>2014</v>
      </c>
      <c r="X641" s="3"/>
    </row>
    <row r="642" spans="1:24" ht="102">
      <c r="A642" s="3" t="s">
        <v>854</v>
      </c>
      <c r="B642" s="6" t="s">
        <v>361</v>
      </c>
      <c r="C642" s="6" t="s">
        <v>3213</v>
      </c>
      <c r="D642" s="6" t="s">
        <v>3214</v>
      </c>
      <c r="E642" s="6" t="s">
        <v>3215</v>
      </c>
      <c r="F642" s="6" t="s">
        <v>86</v>
      </c>
      <c r="G642" s="3" t="s">
        <v>11450</v>
      </c>
      <c r="H642" s="54">
        <v>0</v>
      </c>
      <c r="I642" s="16">
        <v>470000000</v>
      </c>
      <c r="J642" s="157" t="s">
        <v>229</v>
      </c>
      <c r="K642" s="5" t="s">
        <v>210</v>
      </c>
      <c r="L642" s="6" t="s">
        <v>231</v>
      </c>
      <c r="M642" s="3" t="s">
        <v>230</v>
      </c>
      <c r="N642" s="6" t="s">
        <v>524</v>
      </c>
      <c r="O642" s="6" t="s">
        <v>233</v>
      </c>
      <c r="P642" s="58">
        <v>796</v>
      </c>
      <c r="Q642" s="6" t="s">
        <v>234</v>
      </c>
      <c r="R642" s="20">
        <v>13</v>
      </c>
      <c r="S642" s="2">
        <v>9530</v>
      </c>
      <c r="T642" s="4">
        <v>0</v>
      </c>
      <c r="U642" s="4">
        <f t="shared" si="27"/>
        <v>0</v>
      </c>
      <c r="V642" s="3" t="s">
        <v>362</v>
      </c>
      <c r="W642" s="3">
        <v>2014</v>
      </c>
      <c r="X642" s="3" t="s">
        <v>12051</v>
      </c>
    </row>
    <row r="643" spans="1:24" ht="102">
      <c r="A643" s="3" t="s">
        <v>14482</v>
      </c>
      <c r="B643" s="6" t="s">
        <v>361</v>
      </c>
      <c r="C643" s="6" t="s">
        <v>3213</v>
      </c>
      <c r="D643" s="6" t="s">
        <v>3214</v>
      </c>
      <c r="E643" s="6" t="s">
        <v>3215</v>
      </c>
      <c r="F643" s="6" t="s">
        <v>86</v>
      </c>
      <c r="G643" s="3" t="s">
        <v>11450</v>
      </c>
      <c r="H643" s="54">
        <v>0</v>
      </c>
      <c r="I643" s="16">
        <v>470000000</v>
      </c>
      <c r="J643" s="157" t="s">
        <v>229</v>
      </c>
      <c r="K643" s="5" t="s">
        <v>220</v>
      </c>
      <c r="L643" s="6" t="s">
        <v>231</v>
      </c>
      <c r="M643" s="3" t="s">
        <v>230</v>
      </c>
      <c r="N643" s="6" t="s">
        <v>524</v>
      </c>
      <c r="O643" s="6" t="s">
        <v>233</v>
      </c>
      <c r="P643" s="58">
        <v>796</v>
      </c>
      <c r="Q643" s="6" t="s">
        <v>234</v>
      </c>
      <c r="R643" s="20">
        <v>15</v>
      </c>
      <c r="S643" s="2">
        <v>11436</v>
      </c>
      <c r="T643" s="4">
        <f>R643*S643</f>
        <v>171540</v>
      </c>
      <c r="U643" s="4">
        <f>T643*1.12</f>
        <v>192124.80000000002</v>
      </c>
      <c r="V643" s="3" t="s">
        <v>362</v>
      </c>
      <c r="W643" s="3">
        <v>2014</v>
      </c>
      <c r="X643" s="3"/>
    </row>
    <row r="644" spans="1:24" ht="102">
      <c r="A644" s="3" t="s">
        <v>855</v>
      </c>
      <c r="B644" s="6" t="s">
        <v>361</v>
      </c>
      <c r="C644" s="6" t="s">
        <v>3213</v>
      </c>
      <c r="D644" s="6" t="s">
        <v>3214</v>
      </c>
      <c r="E644" s="6" t="s">
        <v>3215</v>
      </c>
      <c r="F644" s="6" t="s">
        <v>87</v>
      </c>
      <c r="G644" s="3" t="s">
        <v>11450</v>
      </c>
      <c r="H644" s="54">
        <v>0</v>
      </c>
      <c r="I644" s="16">
        <v>470000000</v>
      </c>
      <c r="J644" s="157" t="s">
        <v>229</v>
      </c>
      <c r="K644" s="5" t="s">
        <v>210</v>
      </c>
      <c r="L644" s="6" t="s">
        <v>231</v>
      </c>
      <c r="M644" s="3" t="s">
        <v>230</v>
      </c>
      <c r="N644" s="6" t="s">
        <v>524</v>
      </c>
      <c r="O644" s="6" t="s">
        <v>233</v>
      </c>
      <c r="P644" s="58">
        <v>796</v>
      </c>
      <c r="Q644" s="6" t="s">
        <v>234</v>
      </c>
      <c r="R644" s="20">
        <v>13</v>
      </c>
      <c r="S644" s="2">
        <v>9100</v>
      </c>
      <c r="T644" s="4">
        <v>0</v>
      </c>
      <c r="U644" s="4">
        <f t="shared" si="27"/>
        <v>0</v>
      </c>
      <c r="V644" s="3" t="s">
        <v>362</v>
      </c>
      <c r="W644" s="3">
        <v>2014</v>
      </c>
      <c r="X644" s="3" t="s">
        <v>12051</v>
      </c>
    </row>
    <row r="645" spans="1:24" ht="102">
      <c r="A645" s="3" t="s">
        <v>14483</v>
      </c>
      <c r="B645" s="6" t="s">
        <v>361</v>
      </c>
      <c r="C645" s="6" t="s">
        <v>3213</v>
      </c>
      <c r="D645" s="6" t="s">
        <v>3214</v>
      </c>
      <c r="E645" s="6" t="s">
        <v>3215</v>
      </c>
      <c r="F645" s="6" t="s">
        <v>87</v>
      </c>
      <c r="G645" s="3" t="s">
        <v>11450</v>
      </c>
      <c r="H645" s="54">
        <v>0</v>
      </c>
      <c r="I645" s="16">
        <v>470000000</v>
      </c>
      <c r="J645" s="157" t="s">
        <v>229</v>
      </c>
      <c r="K645" s="5" t="s">
        <v>220</v>
      </c>
      <c r="L645" s="6" t="s">
        <v>231</v>
      </c>
      <c r="M645" s="3" t="s">
        <v>230</v>
      </c>
      <c r="N645" s="6" t="s">
        <v>524</v>
      </c>
      <c r="O645" s="6" t="s">
        <v>233</v>
      </c>
      <c r="P645" s="58">
        <v>796</v>
      </c>
      <c r="Q645" s="6" t="s">
        <v>234</v>
      </c>
      <c r="R645" s="20">
        <v>5</v>
      </c>
      <c r="S645" s="2">
        <v>10920</v>
      </c>
      <c r="T645" s="4">
        <f>R645*S645</f>
        <v>54600</v>
      </c>
      <c r="U645" s="4">
        <f>T645*1.12</f>
        <v>61152.000000000007</v>
      </c>
      <c r="V645" s="3" t="s">
        <v>362</v>
      </c>
      <c r="W645" s="3">
        <v>2014</v>
      </c>
      <c r="X645" s="3"/>
    </row>
    <row r="646" spans="1:24" ht="102">
      <c r="A646" s="3" t="s">
        <v>856</v>
      </c>
      <c r="B646" s="6" t="s">
        <v>361</v>
      </c>
      <c r="C646" s="6" t="s">
        <v>3213</v>
      </c>
      <c r="D646" s="6" t="s">
        <v>3214</v>
      </c>
      <c r="E646" s="6" t="s">
        <v>3215</v>
      </c>
      <c r="F646" s="6" t="s">
        <v>88</v>
      </c>
      <c r="G646" s="3" t="s">
        <v>11450</v>
      </c>
      <c r="H646" s="54">
        <v>0</v>
      </c>
      <c r="I646" s="16">
        <v>470000000</v>
      </c>
      <c r="J646" s="157" t="s">
        <v>229</v>
      </c>
      <c r="K646" s="5" t="s">
        <v>211</v>
      </c>
      <c r="L646" s="6" t="s">
        <v>231</v>
      </c>
      <c r="M646" s="3" t="s">
        <v>230</v>
      </c>
      <c r="N646" s="6" t="s">
        <v>524</v>
      </c>
      <c r="O646" s="6" t="s">
        <v>233</v>
      </c>
      <c r="P646" s="58">
        <v>796</v>
      </c>
      <c r="Q646" s="6" t="s">
        <v>234</v>
      </c>
      <c r="R646" s="20">
        <v>3</v>
      </c>
      <c r="S646" s="2">
        <v>8920</v>
      </c>
      <c r="T646" s="4">
        <v>0</v>
      </c>
      <c r="U646" s="4">
        <f t="shared" si="27"/>
        <v>0</v>
      </c>
      <c r="V646" s="3" t="s">
        <v>362</v>
      </c>
      <c r="W646" s="3">
        <v>2014</v>
      </c>
      <c r="X646" s="3" t="s">
        <v>14132</v>
      </c>
    </row>
    <row r="647" spans="1:24" ht="102">
      <c r="A647" s="3" t="s">
        <v>14481</v>
      </c>
      <c r="B647" s="6" t="s">
        <v>361</v>
      </c>
      <c r="C647" s="6" t="s">
        <v>3213</v>
      </c>
      <c r="D647" s="6" t="s">
        <v>3214</v>
      </c>
      <c r="E647" s="6" t="s">
        <v>3215</v>
      </c>
      <c r="F647" s="6" t="s">
        <v>88</v>
      </c>
      <c r="G647" s="3" t="s">
        <v>11450</v>
      </c>
      <c r="H647" s="54">
        <v>0</v>
      </c>
      <c r="I647" s="16">
        <v>470000000</v>
      </c>
      <c r="J647" s="157" t="s">
        <v>229</v>
      </c>
      <c r="K647" s="5" t="s">
        <v>211</v>
      </c>
      <c r="L647" s="6" t="s">
        <v>231</v>
      </c>
      <c r="M647" s="3" t="s">
        <v>230</v>
      </c>
      <c r="N647" s="6" t="s">
        <v>524</v>
      </c>
      <c r="O647" s="6" t="s">
        <v>233</v>
      </c>
      <c r="P647" s="58">
        <v>796</v>
      </c>
      <c r="Q647" s="6" t="s">
        <v>234</v>
      </c>
      <c r="R647" s="20">
        <v>11</v>
      </c>
      <c r="S647" s="2">
        <v>10704</v>
      </c>
      <c r="T647" s="4">
        <v>0</v>
      </c>
      <c r="U647" s="4">
        <f>T647*1.12</f>
        <v>0</v>
      </c>
      <c r="V647" s="3" t="s">
        <v>362</v>
      </c>
      <c r="W647" s="3">
        <v>2014</v>
      </c>
      <c r="X647" s="3">
        <v>11</v>
      </c>
    </row>
    <row r="648" spans="1:24" ht="102">
      <c r="A648" s="3" t="s">
        <v>18079</v>
      </c>
      <c r="B648" s="6" t="s">
        <v>361</v>
      </c>
      <c r="C648" s="6" t="s">
        <v>3213</v>
      </c>
      <c r="D648" s="6" t="s">
        <v>3214</v>
      </c>
      <c r="E648" s="6" t="s">
        <v>3215</v>
      </c>
      <c r="F648" s="6" t="s">
        <v>88</v>
      </c>
      <c r="G648" s="3" t="s">
        <v>11450</v>
      </c>
      <c r="H648" s="54">
        <v>0</v>
      </c>
      <c r="I648" s="16">
        <v>470000000</v>
      </c>
      <c r="J648" s="157" t="s">
        <v>229</v>
      </c>
      <c r="K648" s="5" t="s">
        <v>17401</v>
      </c>
      <c r="L648" s="6" t="s">
        <v>231</v>
      </c>
      <c r="M648" s="3" t="s">
        <v>230</v>
      </c>
      <c r="N648" s="6" t="s">
        <v>524</v>
      </c>
      <c r="O648" s="6" t="s">
        <v>233</v>
      </c>
      <c r="P648" s="58">
        <v>796</v>
      </c>
      <c r="Q648" s="6" t="s">
        <v>234</v>
      </c>
      <c r="R648" s="20">
        <v>11</v>
      </c>
      <c r="S648" s="2">
        <v>10704</v>
      </c>
      <c r="T648" s="4">
        <f>R648*S648</f>
        <v>117744</v>
      </c>
      <c r="U648" s="4">
        <f>T648*1.12</f>
        <v>131873.28</v>
      </c>
      <c r="V648" s="3" t="s">
        <v>362</v>
      </c>
      <c r="W648" s="3">
        <v>2014</v>
      </c>
      <c r="X648" s="3"/>
    </row>
    <row r="649" spans="1:24" ht="102">
      <c r="A649" s="3" t="s">
        <v>857</v>
      </c>
      <c r="B649" s="6" t="s">
        <v>361</v>
      </c>
      <c r="C649" s="6" t="s">
        <v>3213</v>
      </c>
      <c r="D649" s="6" t="s">
        <v>3214</v>
      </c>
      <c r="E649" s="6" t="s">
        <v>3215</v>
      </c>
      <c r="F649" s="6" t="s">
        <v>89</v>
      </c>
      <c r="G649" s="3" t="s">
        <v>11450</v>
      </c>
      <c r="H649" s="54">
        <v>0</v>
      </c>
      <c r="I649" s="16">
        <v>470000000</v>
      </c>
      <c r="J649" s="157" t="s">
        <v>229</v>
      </c>
      <c r="K649" s="5" t="s">
        <v>211</v>
      </c>
      <c r="L649" s="6" t="s">
        <v>231</v>
      </c>
      <c r="M649" s="3" t="s">
        <v>230</v>
      </c>
      <c r="N649" s="6" t="s">
        <v>524</v>
      </c>
      <c r="O649" s="6" t="s">
        <v>233</v>
      </c>
      <c r="P649" s="58">
        <v>796</v>
      </c>
      <c r="Q649" s="6" t="s">
        <v>234</v>
      </c>
      <c r="R649" s="20">
        <v>4</v>
      </c>
      <c r="S649" s="2">
        <v>9756</v>
      </c>
      <c r="T649" s="4">
        <v>0</v>
      </c>
      <c r="U649" s="4">
        <f t="shared" si="27"/>
        <v>0</v>
      </c>
      <c r="V649" s="3" t="s">
        <v>362</v>
      </c>
      <c r="W649" s="3">
        <v>2014</v>
      </c>
      <c r="X649" s="3" t="s">
        <v>12076</v>
      </c>
    </row>
    <row r="650" spans="1:24" ht="102">
      <c r="A650" s="3" t="s">
        <v>858</v>
      </c>
      <c r="B650" s="6" t="s">
        <v>361</v>
      </c>
      <c r="C650" s="6" t="s">
        <v>3213</v>
      </c>
      <c r="D650" s="6" t="s">
        <v>3214</v>
      </c>
      <c r="E650" s="6" t="s">
        <v>3215</v>
      </c>
      <c r="F650" s="6" t="s">
        <v>90</v>
      </c>
      <c r="G650" s="3" t="s">
        <v>11450</v>
      </c>
      <c r="H650" s="54">
        <v>0</v>
      </c>
      <c r="I650" s="16">
        <v>470000000</v>
      </c>
      <c r="J650" s="157" t="s">
        <v>229</v>
      </c>
      <c r="K650" s="5" t="s">
        <v>211</v>
      </c>
      <c r="L650" s="6" t="s">
        <v>231</v>
      </c>
      <c r="M650" s="3" t="s">
        <v>230</v>
      </c>
      <c r="N650" s="6" t="s">
        <v>524</v>
      </c>
      <c r="O650" s="6" t="s">
        <v>233</v>
      </c>
      <c r="P650" s="58">
        <v>796</v>
      </c>
      <c r="Q650" s="6" t="s">
        <v>234</v>
      </c>
      <c r="R650" s="20">
        <v>7</v>
      </c>
      <c r="S650" s="2">
        <v>7845</v>
      </c>
      <c r="T650" s="4">
        <v>0</v>
      </c>
      <c r="U650" s="4">
        <f t="shared" si="27"/>
        <v>0</v>
      </c>
      <c r="V650" s="3" t="s">
        <v>362</v>
      </c>
      <c r="W650" s="3">
        <v>2014</v>
      </c>
      <c r="X650" s="3" t="s">
        <v>14132</v>
      </c>
    </row>
    <row r="651" spans="1:24" ht="102">
      <c r="A651" s="3" t="s">
        <v>14486</v>
      </c>
      <c r="B651" s="6" t="s">
        <v>361</v>
      </c>
      <c r="C651" s="6" t="s">
        <v>3213</v>
      </c>
      <c r="D651" s="6" t="s">
        <v>3214</v>
      </c>
      <c r="E651" s="6" t="s">
        <v>3215</v>
      </c>
      <c r="F651" s="6" t="s">
        <v>90</v>
      </c>
      <c r="G651" s="3" t="s">
        <v>11450</v>
      </c>
      <c r="H651" s="54">
        <v>0</v>
      </c>
      <c r="I651" s="16">
        <v>470000000</v>
      </c>
      <c r="J651" s="157" t="s">
        <v>229</v>
      </c>
      <c r="K651" s="5" t="s">
        <v>211</v>
      </c>
      <c r="L651" s="6" t="s">
        <v>231</v>
      </c>
      <c r="M651" s="3" t="s">
        <v>230</v>
      </c>
      <c r="N651" s="6" t="s">
        <v>524</v>
      </c>
      <c r="O651" s="6" t="s">
        <v>233</v>
      </c>
      <c r="P651" s="58">
        <v>796</v>
      </c>
      <c r="Q651" s="6" t="s">
        <v>234</v>
      </c>
      <c r="R651" s="20">
        <v>2</v>
      </c>
      <c r="S651" s="2">
        <v>9414</v>
      </c>
      <c r="T651" s="4">
        <v>0</v>
      </c>
      <c r="U651" s="4">
        <f>T651*1.12</f>
        <v>0</v>
      </c>
      <c r="V651" s="3" t="s">
        <v>362</v>
      </c>
      <c r="W651" s="3">
        <v>2014</v>
      </c>
      <c r="X651" s="3">
        <v>11</v>
      </c>
    </row>
    <row r="652" spans="1:24" ht="102">
      <c r="A652" s="3" t="s">
        <v>18080</v>
      </c>
      <c r="B652" s="6" t="s">
        <v>361</v>
      </c>
      <c r="C652" s="6" t="s">
        <v>3213</v>
      </c>
      <c r="D652" s="6" t="s">
        <v>3214</v>
      </c>
      <c r="E652" s="6" t="s">
        <v>3215</v>
      </c>
      <c r="F652" s="6" t="s">
        <v>90</v>
      </c>
      <c r="G652" s="3" t="s">
        <v>11450</v>
      </c>
      <c r="H652" s="54">
        <v>0</v>
      </c>
      <c r="I652" s="16">
        <v>470000000</v>
      </c>
      <c r="J652" s="157" t="s">
        <v>229</v>
      </c>
      <c r="K652" s="5" t="s">
        <v>8950</v>
      </c>
      <c r="L652" s="6" t="s">
        <v>231</v>
      </c>
      <c r="M652" s="3" t="s">
        <v>230</v>
      </c>
      <c r="N652" s="6" t="s">
        <v>524</v>
      </c>
      <c r="O652" s="6" t="s">
        <v>233</v>
      </c>
      <c r="P652" s="58">
        <v>796</v>
      </c>
      <c r="Q652" s="6" t="s">
        <v>234</v>
      </c>
      <c r="R652" s="20">
        <v>2</v>
      </c>
      <c r="S652" s="2">
        <v>9414</v>
      </c>
      <c r="T652" s="4">
        <f>R652*S652</f>
        <v>18828</v>
      </c>
      <c r="U652" s="4">
        <f>T652*1.12</f>
        <v>21087.360000000001</v>
      </c>
      <c r="V652" s="3" t="s">
        <v>362</v>
      </c>
      <c r="W652" s="3">
        <v>2014</v>
      </c>
      <c r="X652" s="3"/>
    </row>
    <row r="653" spans="1:24" ht="102">
      <c r="A653" s="3" t="s">
        <v>859</v>
      </c>
      <c r="B653" s="6" t="s">
        <v>361</v>
      </c>
      <c r="C653" s="6" t="s">
        <v>3213</v>
      </c>
      <c r="D653" s="6" t="s">
        <v>3214</v>
      </c>
      <c r="E653" s="6" t="s">
        <v>3215</v>
      </c>
      <c r="F653" s="6" t="s">
        <v>91</v>
      </c>
      <c r="G653" s="3" t="s">
        <v>11450</v>
      </c>
      <c r="H653" s="54">
        <v>0</v>
      </c>
      <c r="I653" s="16">
        <v>470000000</v>
      </c>
      <c r="J653" s="157" t="s">
        <v>229</v>
      </c>
      <c r="K653" s="5" t="s">
        <v>214</v>
      </c>
      <c r="L653" s="6" t="s">
        <v>231</v>
      </c>
      <c r="M653" s="3" t="s">
        <v>230</v>
      </c>
      <c r="N653" s="6" t="s">
        <v>524</v>
      </c>
      <c r="O653" s="6" t="s">
        <v>233</v>
      </c>
      <c r="P653" s="58">
        <v>796</v>
      </c>
      <c r="Q653" s="6" t="s">
        <v>234</v>
      </c>
      <c r="R653" s="20">
        <v>551</v>
      </c>
      <c r="S653" s="2">
        <v>5870</v>
      </c>
      <c r="T653" s="4">
        <v>0</v>
      </c>
      <c r="U653" s="4">
        <f t="shared" si="27"/>
        <v>0</v>
      </c>
      <c r="V653" s="3" t="s">
        <v>362</v>
      </c>
      <c r="W653" s="3">
        <v>2014</v>
      </c>
      <c r="X653" s="3">
        <v>11.12</v>
      </c>
    </row>
    <row r="654" spans="1:24" ht="89.25">
      <c r="A654" s="3" t="s">
        <v>12139</v>
      </c>
      <c r="B654" s="6" t="s">
        <v>361</v>
      </c>
      <c r="C654" s="6" t="s">
        <v>3213</v>
      </c>
      <c r="D654" s="6" t="s">
        <v>3214</v>
      </c>
      <c r="E654" s="6" t="s">
        <v>3215</v>
      </c>
      <c r="F654" s="6" t="s">
        <v>91</v>
      </c>
      <c r="G654" s="3" t="s">
        <v>11450</v>
      </c>
      <c r="H654" s="54">
        <v>0</v>
      </c>
      <c r="I654" s="16">
        <v>470000000</v>
      </c>
      <c r="J654" s="157" t="s">
        <v>229</v>
      </c>
      <c r="K654" s="5" t="s">
        <v>12128</v>
      </c>
      <c r="L654" s="17" t="s">
        <v>11411</v>
      </c>
      <c r="M654" s="3" t="s">
        <v>230</v>
      </c>
      <c r="N654" s="6" t="s">
        <v>524</v>
      </c>
      <c r="O654" s="6" t="s">
        <v>233</v>
      </c>
      <c r="P654" s="58">
        <v>796</v>
      </c>
      <c r="Q654" s="6" t="s">
        <v>234</v>
      </c>
      <c r="R654" s="20">
        <v>551</v>
      </c>
      <c r="S654" s="2">
        <v>7044</v>
      </c>
      <c r="T654" s="4">
        <v>0</v>
      </c>
      <c r="U654" s="4">
        <f>T654*1.12</f>
        <v>0</v>
      </c>
      <c r="V654" s="3" t="s">
        <v>362</v>
      </c>
      <c r="W654" s="3">
        <v>2014</v>
      </c>
      <c r="X654" s="3" t="s">
        <v>12076</v>
      </c>
    </row>
    <row r="655" spans="1:24" ht="102">
      <c r="A655" s="3" t="s">
        <v>860</v>
      </c>
      <c r="B655" s="6" t="s">
        <v>361</v>
      </c>
      <c r="C655" s="6" t="s">
        <v>3213</v>
      </c>
      <c r="D655" s="6" t="s">
        <v>3214</v>
      </c>
      <c r="E655" s="6" t="s">
        <v>3215</v>
      </c>
      <c r="F655" s="6" t="s">
        <v>92</v>
      </c>
      <c r="G655" s="3" t="s">
        <v>11450</v>
      </c>
      <c r="H655" s="54">
        <v>0</v>
      </c>
      <c r="I655" s="16">
        <v>470000000</v>
      </c>
      <c r="J655" s="157" t="s">
        <v>229</v>
      </c>
      <c r="K655" s="5" t="s">
        <v>210</v>
      </c>
      <c r="L655" s="6" t="s">
        <v>231</v>
      </c>
      <c r="M655" s="3" t="s">
        <v>230</v>
      </c>
      <c r="N655" s="6" t="s">
        <v>524</v>
      </c>
      <c r="O655" s="6" t="s">
        <v>233</v>
      </c>
      <c r="P655" s="58">
        <v>796</v>
      </c>
      <c r="Q655" s="6" t="s">
        <v>234</v>
      </c>
      <c r="R655" s="20">
        <v>26</v>
      </c>
      <c r="S655" s="2">
        <v>4800</v>
      </c>
      <c r="T655" s="4">
        <v>0</v>
      </c>
      <c r="U655" s="4">
        <f t="shared" si="27"/>
        <v>0</v>
      </c>
      <c r="V655" s="3" t="s">
        <v>362</v>
      </c>
      <c r="W655" s="3">
        <v>2014</v>
      </c>
      <c r="X655" s="3" t="s">
        <v>12051</v>
      </c>
    </row>
    <row r="656" spans="1:24" ht="102">
      <c r="A656" s="3" t="s">
        <v>14505</v>
      </c>
      <c r="B656" s="6" t="s">
        <v>361</v>
      </c>
      <c r="C656" s="6" t="s">
        <v>3213</v>
      </c>
      <c r="D656" s="6" t="s">
        <v>3214</v>
      </c>
      <c r="E656" s="6" t="s">
        <v>3215</v>
      </c>
      <c r="F656" s="6" t="s">
        <v>92</v>
      </c>
      <c r="G656" s="3" t="s">
        <v>11450</v>
      </c>
      <c r="H656" s="54">
        <v>0</v>
      </c>
      <c r="I656" s="16">
        <v>470000000</v>
      </c>
      <c r="J656" s="157" t="s">
        <v>229</v>
      </c>
      <c r="K656" s="5" t="s">
        <v>220</v>
      </c>
      <c r="L656" s="6" t="s">
        <v>231</v>
      </c>
      <c r="M656" s="3" t="s">
        <v>230</v>
      </c>
      <c r="N656" s="6" t="s">
        <v>524</v>
      </c>
      <c r="O656" s="6" t="s">
        <v>233</v>
      </c>
      <c r="P656" s="58">
        <v>796</v>
      </c>
      <c r="Q656" s="6" t="s">
        <v>234</v>
      </c>
      <c r="R656" s="20">
        <v>9</v>
      </c>
      <c r="S656" s="2">
        <v>5760</v>
      </c>
      <c r="T656" s="4">
        <f>R656*S656</f>
        <v>51840</v>
      </c>
      <c r="U656" s="4">
        <f>T656*1.12</f>
        <v>58060.800000000003</v>
      </c>
      <c r="V656" s="3" t="s">
        <v>362</v>
      </c>
      <c r="W656" s="3">
        <v>2014</v>
      </c>
      <c r="X656" s="3"/>
    </row>
    <row r="657" spans="1:24" ht="102">
      <c r="A657" s="3" t="s">
        <v>861</v>
      </c>
      <c r="B657" s="6" t="s">
        <v>361</v>
      </c>
      <c r="C657" s="6" t="s">
        <v>3213</v>
      </c>
      <c r="D657" s="6" t="s">
        <v>3214</v>
      </c>
      <c r="E657" s="6" t="s">
        <v>3215</v>
      </c>
      <c r="F657" s="6" t="s">
        <v>93</v>
      </c>
      <c r="G657" s="3" t="s">
        <v>11450</v>
      </c>
      <c r="H657" s="54">
        <v>0</v>
      </c>
      <c r="I657" s="16">
        <v>470000000</v>
      </c>
      <c r="J657" s="157" t="s">
        <v>229</v>
      </c>
      <c r="K657" s="5" t="s">
        <v>211</v>
      </c>
      <c r="L657" s="6" t="s">
        <v>231</v>
      </c>
      <c r="M657" s="3" t="s">
        <v>230</v>
      </c>
      <c r="N657" s="6" t="s">
        <v>524</v>
      </c>
      <c r="O657" s="6" t="s">
        <v>233</v>
      </c>
      <c r="P657" s="58">
        <v>796</v>
      </c>
      <c r="Q657" s="6" t="s">
        <v>234</v>
      </c>
      <c r="R657" s="20">
        <v>10</v>
      </c>
      <c r="S657" s="2">
        <v>11544</v>
      </c>
      <c r="T657" s="4">
        <v>0</v>
      </c>
      <c r="U657" s="4">
        <f t="shared" si="27"/>
        <v>0</v>
      </c>
      <c r="V657" s="3" t="s">
        <v>362</v>
      </c>
      <c r="W657" s="3">
        <v>2014</v>
      </c>
      <c r="X657" s="3" t="s">
        <v>12076</v>
      </c>
    </row>
    <row r="658" spans="1:24" ht="102">
      <c r="A658" s="3" t="s">
        <v>862</v>
      </c>
      <c r="B658" s="6" t="s">
        <v>361</v>
      </c>
      <c r="C658" s="6" t="s">
        <v>3213</v>
      </c>
      <c r="D658" s="6" t="s">
        <v>3214</v>
      </c>
      <c r="E658" s="6" t="s">
        <v>3215</v>
      </c>
      <c r="F658" s="6" t="s">
        <v>94</v>
      </c>
      <c r="G658" s="3" t="s">
        <v>11450</v>
      </c>
      <c r="H658" s="54">
        <v>0</v>
      </c>
      <c r="I658" s="16">
        <v>470000000</v>
      </c>
      <c r="J658" s="157" t="s">
        <v>229</v>
      </c>
      <c r="K658" s="5" t="s">
        <v>211</v>
      </c>
      <c r="L658" s="6" t="s">
        <v>231</v>
      </c>
      <c r="M658" s="3" t="s">
        <v>230</v>
      </c>
      <c r="N658" s="6" t="s">
        <v>524</v>
      </c>
      <c r="O658" s="6" t="s">
        <v>233</v>
      </c>
      <c r="P658" s="58">
        <v>796</v>
      </c>
      <c r="Q658" s="6" t="s">
        <v>234</v>
      </c>
      <c r="R658" s="20">
        <v>9</v>
      </c>
      <c r="S658" s="2">
        <v>9130</v>
      </c>
      <c r="T658" s="4">
        <v>0</v>
      </c>
      <c r="U658" s="4">
        <f t="shared" si="27"/>
        <v>0</v>
      </c>
      <c r="V658" s="3" t="s">
        <v>362</v>
      </c>
      <c r="W658" s="3">
        <v>2014</v>
      </c>
      <c r="X658" s="3" t="s">
        <v>14132</v>
      </c>
    </row>
    <row r="659" spans="1:24" ht="102">
      <c r="A659" s="3" t="s">
        <v>14484</v>
      </c>
      <c r="B659" s="6" t="s">
        <v>361</v>
      </c>
      <c r="C659" s="6" t="s">
        <v>3213</v>
      </c>
      <c r="D659" s="6" t="s">
        <v>3214</v>
      </c>
      <c r="E659" s="6" t="s">
        <v>3215</v>
      </c>
      <c r="F659" s="6" t="s">
        <v>94</v>
      </c>
      <c r="G659" s="3" t="s">
        <v>11450</v>
      </c>
      <c r="H659" s="54">
        <v>0</v>
      </c>
      <c r="I659" s="16">
        <v>470000000</v>
      </c>
      <c r="J659" s="157" t="s">
        <v>229</v>
      </c>
      <c r="K659" s="5" t="s">
        <v>211</v>
      </c>
      <c r="L659" s="6" t="s">
        <v>231</v>
      </c>
      <c r="M659" s="3" t="s">
        <v>230</v>
      </c>
      <c r="N659" s="6" t="s">
        <v>524</v>
      </c>
      <c r="O659" s="6" t="s">
        <v>233</v>
      </c>
      <c r="P659" s="58">
        <v>796</v>
      </c>
      <c r="Q659" s="6" t="s">
        <v>234</v>
      </c>
      <c r="R659" s="20">
        <v>2</v>
      </c>
      <c r="S659" s="2">
        <v>10956</v>
      </c>
      <c r="T659" s="4">
        <v>0</v>
      </c>
      <c r="U659" s="4">
        <f>T659*1.12</f>
        <v>0</v>
      </c>
      <c r="V659" s="3" t="s">
        <v>362</v>
      </c>
      <c r="W659" s="3">
        <v>2014</v>
      </c>
      <c r="X659" s="3">
        <v>11</v>
      </c>
    </row>
    <row r="660" spans="1:24" ht="102">
      <c r="A660" s="3" t="s">
        <v>18081</v>
      </c>
      <c r="B660" s="6" t="s">
        <v>361</v>
      </c>
      <c r="C660" s="6" t="s">
        <v>3213</v>
      </c>
      <c r="D660" s="6" t="s">
        <v>3214</v>
      </c>
      <c r="E660" s="6" t="s">
        <v>3215</v>
      </c>
      <c r="F660" s="6" t="s">
        <v>94</v>
      </c>
      <c r="G660" s="3" t="s">
        <v>11450</v>
      </c>
      <c r="H660" s="54">
        <v>0</v>
      </c>
      <c r="I660" s="16">
        <v>470000000</v>
      </c>
      <c r="J660" s="157" t="s">
        <v>229</v>
      </c>
      <c r="K660" s="5" t="s">
        <v>17401</v>
      </c>
      <c r="L660" s="6" t="s">
        <v>231</v>
      </c>
      <c r="M660" s="3" t="s">
        <v>230</v>
      </c>
      <c r="N660" s="6" t="s">
        <v>524</v>
      </c>
      <c r="O660" s="6" t="s">
        <v>233</v>
      </c>
      <c r="P660" s="58">
        <v>796</v>
      </c>
      <c r="Q660" s="6" t="s">
        <v>234</v>
      </c>
      <c r="R660" s="20">
        <v>2</v>
      </c>
      <c r="S660" s="2">
        <v>10956</v>
      </c>
      <c r="T660" s="4">
        <f>R660*S660</f>
        <v>21912</v>
      </c>
      <c r="U660" s="4">
        <f>T660*1.12</f>
        <v>24541.440000000002</v>
      </c>
      <c r="V660" s="3" t="s">
        <v>362</v>
      </c>
      <c r="W660" s="3">
        <v>2014</v>
      </c>
      <c r="X660" s="3"/>
    </row>
    <row r="661" spans="1:24" ht="102">
      <c r="A661" s="3" t="s">
        <v>863</v>
      </c>
      <c r="B661" s="6" t="s">
        <v>361</v>
      </c>
      <c r="C661" s="6" t="s">
        <v>3216</v>
      </c>
      <c r="D661" s="6" t="s">
        <v>3217</v>
      </c>
      <c r="E661" s="6" t="s">
        <v>3218</v>
      </c>
      <c r="F661" s="6" t="s">
        <v>95</v>
      </c>
      <c r="G661" s="3" t="s">
        <v>11450</v>
      </c>
      <c r="H661" s="54">
        <v>0</v>
      </c>
      <c r="I661" s="16">
        <v>470000000</v>
      </c>
      <c r="J661" s="157" t="s">
        <v>229</v>
      </c>
      <c r="K661" s="5" t="s">
        <v>218</v>
      </c>
      <c r="L661" s="6" t="s">
        <v>231</v>
      </c>
      <c r="M661" s="3" t="s">
        <v>230</v>
      </c>
      <c r="N661" s="6" t="s">
        <v>524</v>
      </c>
      <c r="O661" s="6" t="s">
        <v>233</v>
      </c>
      <c r="P661" s="58">
        <v>796</v>
      </c>
      <c r="Q661" s="6" t="s">
        <v>234</v>
      </c>
      <c r="R661" s="20">
        <v>2</v>
      </c>
      <c r="S661" s="2">
        <v>2800</v>
      </c>
      <c r="T661" s="4">
        <v>0</v>
      </c>
      <c r="U661" s="4">
        <f t="shared" si="27"/>
        <v>0</v>
      </c>
      <c r="V661" s="3" t="s">
        <v>362</v>
      </c>
      <c r="W661" s="3">
        <v>2014</v>
      </c>
      <c r="X661" s="3" t="s">
        <v>14785</v>
      </c>
    </row>
    <row r="662" spans="1:24" ht="102">
      <c r="A662" s="3" t="s">
        <v>14517</v>
      </c>
      <c r="B662" s="6" t="s">
        <v>361</v>
      </c>
      <c r="C662" s="6" t="s">
        <v>3216</v>
      </c>
      <c r="D662" s="6" t="s">
        <v>3217</v>
      </c>
      <c r="E662" s="6" t="s">
        <v>3218</v>
      </c>
      <c r="F662" s="6" t="s">
        <v>95</v>
      </c>
      <c r="G662" s="3" t="s">
        <v>11450</v>
      </c>
      <c r="H662" s="54">
        <v>0</v>
      </c>
      <c r="I662" s="16">
        <v>470000000</v>
      </c>
      <c r="J662" s="157" t="s">
        <v>229</v>
      </c>
      <c r="K662" s="5" t="s">
        <v>220</v>
      </c>
      <c r="L662" s="6" t="s">
        <v>231</v>
      </c>
      <c r="M662" s="3" t="s">
        <v>230</v>
      </c>
      <c r="N662" s="6" t="s">
        <v>524</v>
      </c>
      <c r="O662" s="6" t="s">
        <v>233</v>
      </c>
      <c r="P662" s="58">
        <v>796</v>
      </c>
      <c r="Q662" s="6" t="s">
        <v>234</v>
      </c>
      <c r="R662" s="20">
        <v>2</v>
      </c>
      <c r="S662" s="2">
        <v>3360</v>
      </c>
      <c r="T662" s="4">
        <f>R662*S662</f>
        <v>6720</v>
      </c>
      <c r="U662" s="4">
        <f>T662*1.12</f>
        <v>7526.4000000000005</v>
      </c>
      <c r="V662" s="3" t="s">
        <v>362</v>
      </c>
      <c r="W662" s="3">
        <v>2014</v>
      </c>
      <c r="X662" s="3"/>
    </row>
    <row r="663" spans="1:24" ht="102">
      <c r="A663" s="3" t="s">
        <v>864</v>
      </c>
      <c r="B663" s="6" t="s">
        <v>361</v>
      </c>
      <c r="C663" s="6" t="s">
        <v>3216</v>
      </c>
      <c r="D663" s="6" t="s">
        <v>3217</v>
      </c>
      <c r="E663" s="6" t="s">
        <v>3218</v>
      </c>
      <c r="F663" s="6" t="s">
        <v>96</v>
      </c>
      <c r="G663" s="3" t="s">
        <v>11450</v>
      </c>
      <c r="H663" s="54">
        <v>0</v>
      </c>
      <c r="I663" s="16">
        <v>470000000</v>
      </c>
      <c r="J663" s="157" t="s">
        <v>229</v>
      </c>
      <c r="K663" s="5" t="s">
        <v>211</v>
      </c>
      <c r="L663" s="6" t="s">
        <v>231</v>
      </c>
      <c r="M663" s="3" t="s">
        <v>230</v>
      </c>
      <c r="N663" s="6" t="s">
        <v>524</v>
      </c>
      <c r="O663" s="6" t="s">
        <v>233</v>
      </c>
      <c r="P663" s="58">
        <v>796</v>
      </c>
      <c r="Q663" s="6" t="s">
        <v>234</v>
      </c>
      <c r="R663" s="20">
        <v>14</v>
      </c>
      <c r="S663" s="2">
        <v>3613</v>
      </c>
      <c r="T663" s="4">
        <v>0</v>
      </c>
      <c r="U663" s="4">
        <f t="shared" si="27"/>
        <v>0</v>
      </c>
      <c r="V663" s="3" t="s">
        <v>362</v>
      </c>
      <c r="W663" s="3">
        <v>2014</v>
      </c>
      <c r="X663" s="3" t="s">
        <v>12076</v>
      </c>
    </row>
    <row r="664" spans="1:24" ht="102">
      <c r="A664" s="3" t="s">
        <v>865</v>
      </c>
      <c r="B664" s="6" t="s">
        <v>361</v>
      </c>
      <c r="C664" s="6" t="s">
        <v>3216</v>
      </c>
      <c r="D664" s="6" t="s">
        <v>3217</v>
      </c>
      <c r="E664" s="6" t="s">
        <v>3218</v>
      </c>
      <c r="F664" s="6" t="s">
        <v>97</v>
      </c>
      <c r="G664" s="3" t="s">
        <v>11450</v>
      </c>
      <c r="H664" s="54">
        <v>0</v>
      </c>
      <c r="I664" s="16">
        <v>470000000</v>
      </c>
      <c r="J664" s="157" t="s">
        <v>229</v>
      </c>
      <c r="K664" s="5" t="s">
        <v>215</v>
      </c>
      <c r="L664" s="6" t="s">
        <v>231</v>
      </c>
      <c r="M664" s="3" t="s">
        <v>230</v>
      </c>
      <c r="N664" s="6" t="s">
        <v>524</v>
      </c>
      <c r="O664" s="6" t="s">
        <v>233</v>
      </c>
      <c r="P664" s="58">
        <v>796</v>
      </c>
      <c r="Q664" s="6" t="s">
        <v>234</v>
      </c>
      <c r="R664" s="20">
        <v>120</v>
      </c>
      <c r="S664" s="2">
        <v>3011</v>
      </c>
      <c r="T664" s="4">
        <v>0</v>
      </c>
      <c r="U664" s="4">
        <f t="shared" si="27"/>
        <v>0</v>
      </c>
      <c r="V664" s="3" t="s">
        <v>362</v>
      </c>
      <c r="W664" s="3">
        <v>2014</v>
      </c>
      <c r="X664" s="3">
        <v>11.12</v>
      </c>
    </row>
    <row r="665" spans="1:24" ht="89.25">
      <c r="A665" s="3" t="s">
        <v>12140</v>
      </c>
      <c r="B665" s="6" t="s">
        <v>361</v>
      </c>
      <c r="C665" s="6" t="s">
        <v>3216</v>
      </c>
      <c r="D665" s="6" t="s">
        <v>3217</v>
      </c>
      <c r="E665" s="6" t="s">
        <v>3218</v>
      </c>
      <c r="F665" s="6" t="s">
        <v>97</v>
      </c>
      <c r="G665" s="3" t="s">
        <v>11450</v>
      </c>
      <c r="H665" s="54">
        <v>0</v>
      </c>
      <c r="I665" s="16">
        <v>470000000</v>
      </c>
      <c r="J665" s="157" t="s">
        <v>229</v>
      </c>
      <c r="K665" s="5" t="s">
        <v>217</v>
      </c>
      <c r="L665" s="17" t="s">
        <v>11411</v>
      </c>
      <c r="M665" s="3" t="s">
        <v>230</v>
      </c>
      <c r="N665" s="6" t="s">
        <v>524</v>
      </c>
      <c r="O665" s="6" t="s">
        <v>233</v>
      </c>
      <c r="P665" s="58">
        <v>796</v>
      </c>
      <c r="Q665" s="6" t="s">
        <v>234</v>
      </c>
      <c r="R665" s="20">
        <v>120</v>
      </c>
      <c r="S665" s="2">
        <v>3613</v>
      </c>
      <c r="T665" s="4">
        <v>0</v>
      </c>
      <c r="U665" s="4">
        <f>T665*1.12</f>
        <v>0</v>
      </c>
      <c r="V665" s="3" t="s">
        <v>362</v>
      </c>
      <c r="W665" s="3">
        <v>2014</v>
      </c>
      <c r="X665" s="3" t="s">
        <v>12076</v>
      </c>
    </row>
    <row r="666" spans="1:24" ht="102">
      <c r="A666" s="3" t="s">
        <v>866</v>
      </c>
      <c r="B666" s="6" t="s">
        <v>361</v>
      </c>
      <c r="C666" s="6" t="s">
        <v>3219</v>
      </c>
      <c r="D666" s="6" t="s">
        <v>3220</v>
      </c>
      <c r="E666" s="6" t="s">
        <v>3221</v>
      </c>
      <c r="F666" s="6" t="s">
        <v>98</v>
      </c>
      <c r="G666" s="3" t="s">
        <v>11450</v>
      </c>
      <c r="H666" s="54">
        <v>0</v>
      </c>
      <c r="I666" s="16">
        <v>470000000</v>
      </c>
      <c r="J666" s="157" t="s">
        <v>229</v>
      </c>
      <c r="K666" s="5" t="s">
        <v>210</v>
      </c>
      <c r="L666" s="6" t="s">
        <v>231</v>
      </c>
      <c r="M666" s="3" t="s">
        <v>230</v>
      </c>
      <c r="N666" s="6" t="s">
        <v>224</v>
      </c>
      <c r="O666" s="6" t="s">
        <v>233</v>
      </c>
      <c r="P666" s="58">
        <v>796</v>
      </c>
      <c r="Q666" s="6" t="s">
        <v>234</v>
      </c>
      <c r="R666" s="118">
        <v>8</v>
      </c>
      <c r="S666" s="2">
        <v>32500</v>
      </c>
      <c r="T666" s="4">
        <v>0</v>
      </c>
      <c r="U666" s="4">
        <f t="shared" ref="U666:U671" si="29">T666*1.12</f>
        <v>0</v>
      </c>
      <c r="V666" s="3" t="s">
        <v>362</v>
      </c>
      <c r="W666" s="3">
        <v>2014</v>
      </c>
      <c r="X666" s="3" t="s">
        <v>14588</v>
      </c>
    </row>
    <row r="667" spans="1:24" ht="102">
      <c r="A667" s="3" t="s">
        <v>14614</v>
      </c>
      <c r="B667" s="6" t="s">
        <v>361</v>
      </c>
      <c r="C667" s="6" t="s">
        <v>3219</v>
      </c>
      <c r="D667" s="6" t="s">
        <v>3220</v>
      </c>
      <c r="E667" s="6" t="s">
        <v>3221</v>
      </c>
      <c r="F667" s="6" t="s">
        <v>98</v>
      </c>
      <c r="G667" s="3" t="s">
        <v>11450</v>
      </c>
      <c r="H667" s="54">
        <v>0</v>
      </c>
      <c r="I667" s="16">
        <v>470000000</v>
      </c>
      <c r="J667" s="157" t="s">
        <v>229</v>
      </c>
      <c r="K667" s="5" t="s">
        <v>14602</v>
      </c>
      <c r="L667" s="6" t="s">
        <v>231</v>
      </c>
      <c r="M667" s="3" t="s">
        <v>230</v>
      </c>
      <c r="N667" s="6" t="s">
        <v>224</v>
      </c>
      <c r="O667" s="6" t="s">
        <v>233</v>
      </c>
      <c r="P667" s="58">
        <v>796</v>
      </c>
      <c r="Q667" s="6" t="s">
        <v>234</v>
      </c>
      <c r="R667" s="118">
        <v>9</v>
      </c>
      <c r="S667" s="2">
        <v>39000</v>
      </c>
      <c r="T667" s="4">
        <f>R667*S667</f>
        <v>351000</v>
      </c>
      <c r="U667" s="4">
        <f t="shared" si="29"/>
        <v>393120.00000000006</v>
      </c>
      <c r="V667" s="3" t="s">
        <v>362</v>
      </c>
      <c r="W667" s="3">
        <v>2014</v>
      </c>
      <c r="X667" s="3"/>
    </row>
    <row r="668" spans="1:24" ht="102">
      <c r="A668" s="3" t="s">
        <v>867</v>
      </c>
      <c r="B668" s="6" t="s">
        <v>361</v>
      </c>
      <c r="C668" s="6" t="s">
        <v>3219</v>
      </c>
      <c r="D668" s="6" t="s">
        <v>3220</v>
      </c>
      <c r="E668" s="6" t="s">
        <v>3221</v>
      </c>
      <c r="F668" s="6" t="s">
        <v>99</v>
      </c>
      <c r="G668" s="3" t="s">
        <v>11450</v>
      </c>
      <c r="H668" s="54">
        <v>0</v>
      </c>
      <c r="I668" s="16">
        <v>470000000</v>
      </c>
      <c r="J668" s="157" t="s">
        <v>229</v>
      </c>
      <c r="K668" s="5" t="s">
        <v>211</v>
      </c>
      <c r="L668" s="6" t="s">
        <v>231</v>
      </c>
      <c r="M668" s="3" t="s">
        <v>230</v>
      </c>
      <c r="N668" s="6" t="s">
        <v>225</v>
      </c>
      <c r="O668" s="6" t="s">
        <v>233</v>
      </c>
      <c r="P668" s="58">
        <v>796</v>
      </c>
      <c r="Q668" s="6" t="s">
        <v>234</v>
      </c>
      <c r="R668" s="118">
        <v>6</v>
      </c>
      <c r="S668" s="2">
        <v>30410</v>
      </c>
      <c r="T668" s="4">
        <v>0</v>
      </c>
      <c r="U668" s="4">
        <f t="shared" si="29"/>
        <v>0</v>
      </c>
      <c r="V668" s="3" t="s">
        <v>362</v>
      </c>
      <c r="W668" s="3">
        <v>2014</v>
      </c>
      <c r="X668" s="3" t="s">
        <v>14230</v>
      </c>
    </row>
    <row r="669" spans="1:24" ht="102">
      <c r="A669" s="3" t="s">
        <v>14615</v>
      </c>
      <c r="B669" s="6" t="s">
        <v>361</v>
      </c>
      <c r="C669" s="6" t="s">
        <v>3219</v>
      </c>
      <c r="D669" s="6" t="s">
        <v>3220</v>
      </c>
      <c r="E669" s="6" t="s">
        <v>3221</v>
      </c>
      <c r="F669" s="6" t="s">
        <v>99</v>
      </c>
      <c r="G669" s="3" t="s">
        <v>11450</v>
      </c>
      <c r="H669" s="54">
        <v>0</v>
      </c>
      <c r="I669" s="16">
        <v>470000000</v>
      </c>
      <c r="J669" s="157" t="s">
        <v>229</v>
      </c>
      <c r="K669" s="5" t="s">
        <v>211</v>
      </c>
      <c r="L669" s="6" t="s">
        <v>231</v>
      </c>
      <c r="M669" s="3" t="s">
        <v>230</v>
      </c>
      <c r="N669" s="6" t="s">
        <v>225</v>
      </c>
      <c r="O669" s="6" t="s">
        <v>233</v>
      </c>
      <c r="P669" s="58">
        <v>796</v>
      </c>
      <c r="Q669" s="6" t="s">
        <v>234</v>
      </c>
      <c r="R669" s="118">
        <v>6</v>
      </c>
      <c r="S669" s="2">
        <v>36492</v>
      </c>
      <c r="T669" s="4">
        <f>R669*S669</f>
        <v>218952</v>
      </c>
      <c r="U669" s="4">
        <f t="shared" si="29"/>
        <v>245226.24000000002</v>
      </c>
      <c r="V669" s="3" t="s">
        <v>362</v>
      </c>
      <c r="W669" s="3">
        <v>2014</v>
      </c>
      <c r="X669" s="3"/>
    </row>
    <row r="670" spans="1:24" ht="102">
      <c r="A670" s="3" t="s">
        <v>868</v>
      </c>
      <c r="B670" s="6" t="s">
        <v>361</v>
      </c>
      <c r="C670" s="6" t="s">
        <v>3219</v>
      </c>
      <c r="D670" s="6" t="s">
        <v>3220</v>
      </c>
      <c r="E670" s="6" t="s">
        <v>3221</v>
      </c>
      <c r="F670" s="6" t="s">
        <v>100</v>
      </c>
      <c r="G670" s="3" t="s">
        <v>11450</v>
      </c>
      <c r="H670" s="54">
        <v>0</v>
      </c>
      <c r="I670" s="16">
        <v>470000000</v>
      </c>
      <c r="J670" s="157" t="s">
        <v>229</v>
      </c>
      <c r="K670" s="5" t="s">
        <v>211</v>
      </c>
      <c r="L670" s="6" t="s">
        <v>231</v>
      </c>
      <c r="M670" s="3" t="s">
        <v>230</v>
      </c>
      <c r="N670" s="6" t="s">
        <v>225</v>
      </c>
      <c r="O670" s="6" t="s">
        <v>233</v>
      </c>
      <c r="P670" s="58">
        <v>796</v>
      </c>
      <c r="Q670" s="6" t="s">
        <v>234</v>
      </c>
      <c r="R670" s="118">
        <v>3</v>
      </c>
      <c r="S670" s="2">
        <v>18540</v>
      </c>
      <c r="T670" s="4">
        <v>0</v>
      </c>
      <c r="U670" s="4">
        <f t="shared" si="29"/>
        <v>0</v>
      </c>
      <c r="V670" s="3" t="s">
        <v>362</v>
      </c>
      <c r="W670" s="3">
        <v>2014</v>
      </c>
      <c r="X670" s="3" t="s">
        <v>12076</v>
      </c>
    </row>
    <row r="671" spans="1:24" ht="102">
      <c r="A671" s="3" t="s">
        <v>869</v>
      </c>
      <c r="B671" s="6" t="s">
        <v>361</v>
      </c>
      <c r="C671" s="6" t="s">
        <v>3219</v>
      </c>
      <c r="D671" s="6" t="s">
        <v>3220</v>
      </c>
      <c r="E671" s="6" t="s">
        <v>3221</v>
      </c>
      <c r="F671" s="6" t="s">
        <v>101</v>
      </c>
      <c r="G671" s="3" t="s">
        <v>11450</v>
      </c>
      <c r="H671" s="54">
        <v>0</v>
      </c>
      <c r="I671" s="16">
        <v>470000000</v>
      </c>
      <c r="J671" s="157" t="s">
        <v>229</v>
      </c>
      <c r="K671" s="5" t="s">
        <v>214</v>
      </c>
      <c r="L671" s="6" t="s">
        <v>231</v>
      </c>
      <c r="M671" s="3" t="s">
        <v>230</v>
      </c>
      <c r="N671" s="6" t="s">
        <v>226</v>
      </c>
      <c r="O671" s="6" t="s">
        <v>233</v>
      </c>
      <c r="P671" s="58">
        <v>796</v>
      </c>
      <c r="Q671" s="6" t="s">
        <v>234</v>
      </c>
      <c r="R671" s="118">
        <v>130</v>
      </c>
      <c r="S671" s="2">
        <v>16820</v>
      </c>
      <c r="T671" s="4">
        <v>0</v>
      </c>
      <c r="U671" s="4">
        <f t="shared" si="29"/>
        <v>0</v>
      </c>
      <c r="V671" s="3" t="s">
        <v>362</v>
      </c>
      <c r="W671" s="3">
        <v>2014</v>
      </c>
      <c r="X671" s="3" t="s">
        <v>12142</v>
      </c>
    </row>
    <row r="672" spans="1:24" ht="89.25">
      <c r="A672" s="3" t="s">
        <v>12141</v>
      </c>
      <c r="B672" s="6" t="s">
        <v>361</v>
      </c>
      <c r="C672" s="6" t="s">
        <v>3219</v>
      </c>
      <c r="D672" s="6" t="s">
        <v>3220</v>
      </c>
      <c r="E672" s="6" t="s">
        <v>3221</v>
      </c>
      <c r="F672" s="6" t="s">
        <v>101</v>
      </c>
      <c r="G672" s="3" t="s">
        <v>11450</v>
      </c>
      <c r="H672" s="54">
        <v>0</v>
      </c>
      <c r="I672" s="16">
        <v>470000000</v>
      </c>
      <c r="J672" s="157" t="s">
        <v>229</v>
      </c>
      <c r="K672" s="5" t="s">
        <v>217</v>
      </c>
      <c r="L672" s="17" t="s">
        <v>11411</v>
      </c>
      <c r="M672" s="3" t="s">
        <v>230</v>
      </c>
      <c r="N672" s="6" t="s">
        <v>524</v>
      </c>
      <c r="O672" s="6" t="s">
        <v>233</v>
      </c>
      <c r="P672" s="58">
        <v>796</v>
      </c>
      <c r="Q672" s="6" t="s">
        <v>234</v>
      </c>
      <c r="R672" s="118">
        <v>130</v>
      </c>
      <c r="S672" s="2">
        <v>16820</v>
      </c>
      <c r="T672" s="4">
        <v>0</v>
      </c>
      <c r="U672" s="4">
        <v>0</v>
      </c>
      <c r="V672" s="3" t="s">
        <v>362</v>
      </c>
      <c r="W672" s="3">
        <v>2014</v>
      </c>
      <c r="X672" s="3" t="s">
        <v>12051</v>
      </c>
    </row>
    <row r="673" spans="1:24" ht="89.25">
      <c r="A673" s="3" t="s">
        <v>14616</v>
      </c>
      <c r="B673" s="6" t="s">
        <v>361</v>
      </c>
      <c r="C673" s="6" t="s">
        <v>3219</v>
      </c>
      <c r="D673" s="6" t="s">
        <v>3220</v>
      </c>
      <c r="E673" s="6" t="s">
        <v>3221</v>
      </c>
      <c r="F673" s="6" t="s">
        <v>101</v>
      </c>
      <c r="G673" s="3" t="s">
        <v>11450</v>
      </c>
      <c r="H673" s="54">
        <v>0</v>
      </c>
      <c r="I673" s="16">
        <v>470000000</v>
      </c>
      <c r="J673" s="157" t="s">
        <v>229</v>
      </c>
      <c r="K673" s="5" t="s">
        <v>14596</v>
      </c>
      <c r="L673" s="17" t="s">
        <v>11411</v>
      </c>
      <c r="M673" s="3" t="s">
        <v>230</v>
      </c>
      <c r="N673" s="6" t="s">
        <v>524</v>
      </c>
      <c r="O673" s="6" t="s">
        <v>233</v>
      </c>
      <c r="P673" s="58">
        <v>796</v>
      </c>
      <c r="Q673" s="6" t="s">
        <v>234</v>
      </c>
      <c r="R673" s="118">
        <v>70</v>
      </c>
      <c r="S673" s="2">
        <v>20184</v>
      </c>
      <c r="T673" s="4">
        <v>0</v>
      </c>
      <c r="U673" s="4">
        <f t="shared" ref="U673:U753" si="30">T673*1.12</f>
        <v>0</v>
      </c>
      <c r="V673" s="3" t="s">
        <v>362</v>
      </c>
      <c r="W673" s="3">
        <v>2014</v>
      </c>
      <c r="X673" s="3">
        <v>11</v>
      </c>
    </row>
    <row r="674" spans="1:24" ht="89.25">
      <c r="A674" s="3" t="s">
        <v>18317</v>
      </c>
      <c r="B674" s="6" t="s">
        <v>361</v>
      </c>
      <c r="C674" s="6" t="s">
        <v>3219</v>
      </c>
      <c r="D674" s="6" t="s">
        <v>3220</v>
      </c>
      <c r="E674" s="6" t="s">
        <v>3221</v>
      </c>
      <c r="F674" s="6" t="s">
        <v>101</v>
      </c>
      <c r="G674" s="3" t="s">
        <v>11450</v>
      </c>
      <c r="H674" s="54">
        <v>0</v>
      </c>
      <c r="I674" s="16">
        <v>470000000</v>
      </c>
      <c r="J674" s="157" t="s">
        <v>229</v>
      </c>
      <c r="K674" s="5" t="s">
        <v>17401</v>
      </c>
      <c r="L674" s="17" t="s">
        <v>11411</v>
      </c>
      <c r="M674" s="3" t="s">
        <v>230</v>
      </c>
      <c r="N674" s="6" t="s">
        <v>524</v>
      </c>
      <c r="O674" s="6" t="s">
        <v>233</v>
      </c>
      <c r="P674" s="58">
        <v>796</v>
      </c>
      <c r="Q674" s="6" t="s">
        <v>234</v>
      </c>
      <c r="R674" s="118">
        <v>70</v>
      </c>
      <c r="S674" s="2">
        <v>20184</v>
      </c>
      <c r="T674" s="4">
        <f>R674*S674</f>
        <v>1412880</v>
      </c>
      <c r="U674" s="4">
        <f t="shared" si="30"/>
        <v>1582425.6</v>
      </c>
      <c r="V674" s="3" t="s">
        <v>362</v>
      </c>
      <c r="W674" s="3">
        <v>2014</v>
      </c>
      <c r="X674" s="3"/>
    </row>
    <row r="675" spans="1:24" ht="102">
      <c r="A675" s="3" t="s">
        <v>870</v>
      </c>
      <c r="B675" s="6" t="s">
        <v>361</v>
      </c>
      <c r="C675" s="6" t="s">
        <v>3219</v>
      </c>
      <c r="D675" s="6" t="s">
        <v>3220</v>
      </c>
      <c r="E675" s="6" t="s">
        <v>3221</v>
      </c>
      <c r="F675" s="6" t="s">
        <v>102</v>
      </c>
      <c r="G675" s="3" t="s">
        <v>11450</v>
      </c>
      <c r="H675" s="54">
        <v>0</v>
      </c>
      <c r="I675" s="16">
        <v>470000000</v>
      </c>
      <c r="J675" s="157" t="s">
        <v>229</v>
      </c>
      <c r="K675" s="5" t="s">
        <v>211</v>
      </c>
      <c r="L675" s="6" t="s">
        <v>231</v>
      </c>
      <c r="M675" s="3" t="s">
        <v>230</v>
      </c>
      <c r="N675" s="6" t="s">
        <v>524</v>
      </c>
      <c r="O675" s="6" t="s">
        <v>233</v>
      </c>
      <c r="P675" s="58">
        <v>796</v>
      </c>
      <c r="Q675" s="6" t="s">
        <v>234</v>
      </c>
      <c r="R675" s="118">
        <v>8</v>
      </c>
      <c r="S675" s="2">
        <v>13760</v>
      </c>
      <c r="T675" s="4">
        <v>0</v>
      </c>
      <c r="U675" s="4">
        <f t="shared" si="30"/>
        <v>0</v>
      </c>
      <c r="V675" s="3" t="s">
        <v>362</v>
      </c>
      <c r="W675" s="3">
        <v>2014</v>
      </c>
      <c r="X675" s="3" t="s">
        <v>16407</v>
      </c>
    </row>
    <row r="676" spans="1:24" ht="102">
      <c r="A676" s="3" t="s">
        <v>14617</v>
      </c>
      <c r="B676" s="6" t="s">
        <v>361</v>
      </c>
      <c r="C676" s="6" t="s">
        <v>3219</v>
      </c>
      <c r="D676" s="6" t="s">
        <v>3220</v>
      </c>
      <c r="E676" s="6" t="s">
        <v>3221</v>
      </c>
      <c r="F676" s="6" t="s">
        <v>102</v>
      </c>
      <c r="G676" s="3" t="s">
        <v>11450</v>
      </c>
      <c r="H676" s="54">
        <v>0</v>
      </c>
      <c r="I676" s="16">
        <v>470000000</v>
      </c>
      <c r="J676" s="157" t="s">
        <v>229</v>
      </c>
      <c r="K676" s="5" t="s">
        <v>211</v>
      </c>
      <c r="L676" s="6" t="s">
        <v>231</v>
      </c>
      <c r="M676" s="3" t="s">
        <v>230</v>
      </c>
      <c r="N676" s="6" t="s">
        <v>524</v>
      </c>
      <c r="O676" s="6" t="s">
        <v>233</v>
      </c>
      <c r="P676" s="58">
        <v>796</v>
      </c>
      <c r="Q676" s="6" t="s">
        <v>234</v>
      </c>
      <c r="R676" s="118">
        <v>8</v>
      </c>
      <c r="S676" s="2">
        <v>16512</v>
      </c>
      <c r="T676" s="4">
        <v>0</v>
      </c>
      <c r="U676" s="4">
        <f t="shared" si="30"/>
        <v>0</v>
      </c>
      <c r="V676" s="3" t="s">
        <v>362</v>
      </c>
      <c r="W676" s="3">
        <v>2014</v>
      </c>
      <c r="X676" s="3">
        <v>11.14</v>
      </c>
    </row>
    <row r="677" spans="1:24" ht="102">
      <c r="A677" s="3" t="s">
        <v>18082</v>
      </c>
      <c r="B677" s="6" t="s">
        <v>361</v>
      </c>
      <c r="C677" s="6" t="s">
        <v>3219</v>
      </c>
      <c r="D677" s="6" t="s">
        <v>3220</v>
      </c>
      <c r="E677" s="6" t="s">
        <v>3221</v>
      </c>
      <c r="F677" s="6" t="s">
        <v>102</v>
      </c>
      <c r="G677" s="3" t="s">
        <v>11450</v>
      </c>
      <c r="H677" s="54">
        <v>0</v>
      </c>
      <c r="I677" s="16">
        <v>470000000</v>
      </c>
      <c r="J677" s="157" t="s">
        <v>229</v>
      </c>
      <c r="K677" s="5" t="s">
        <v>17401</v>
      </c>
      <c r="L677" s="6" t="s">
        <v>231</v>
      </c>
      <c r="M677" s="3" t="s">
        <v>230</v>
      </c>
      <c r="N677" s="6" t="s">
        <v>528</v>
      </c>
      <c r="O677" s="6" t="s">
        <v>233</v>
      </c>
      <c r="P677" s="58">
        <v>796</v>
      </c>
      <c r="Q677" s="6" t="s">
        <v>234</v>
      </c>
      <c r="R677" s="118">
        <v>8</v>
      </c>
      <c r="S677" s="2">
        <v>16512</v>
      </c>
      <c r="T677" s="4">
        <f>R677*S677</f>
        <v>132096</v>
      </c>
      <c r="U677" s="4">
        <f t="shared" si="30"/>
        <v>147947.52000000002</v>
      </c>
      <c r="V677" s="3" t="s">
        <v>362</v>
      </c>
      <c r="W677" s="3">
        <v>2014</v>
      </c>
      <c r="X677" s="3"/>
    </row>
    <row r="678" spans="1:24" ht="114.75">
      <c r="A678" s="3" t="s">
        <v>871</v>
      </c>
      <c r="B678" s="6" t="s">
        <v>361</v>
      </c>
      <c r="C678" s="6" t="s">
        <v>3236</v>
      </c>
      <c r="D678" s="6" t="s">
        <v>3237</v>
      </c>
      <c r="E678" s="6" t="s">
        <v>3238</v>
      </c>
      <c r="F678" s="6" t="s">
        <v>3222</v>
      </c>
      <c r="G678" s="3" t="s">
        <v>11449</v>
      </c>
      <c r="H678" s="54">
        <v>0</v>
      </c>
      <c r="I678" s="16">
        <v>470000000</v>
      </c>
      <c r="J678" s="157" t="s">
        <v>229</v>
      </c>
      <c r="K678" s="5" t="s">
        <v>215</v>
      </c>
      <c r="L678" s="6" t="s">
        <v>231</v>
      </c>
      <c r="M678" s="3" t="s">
        <v>230</v>
      </c>
      <c r="N678" s="6" t="s">
        <v>524</v>
      </c>
      <c r="O678" s="6" t="s">
        <v>233</v>
      </c>
      <c r="P678" s="58" t="s">
        <v>241</v>
      </c>
      <c r="Q678" s="6" t="s">
        <v>234</v>
      </c>
      <c r="R678" s="1">
        <v>8</v>
      </c>
      <c r="S678" s="2">
        <v>226000</v>
      </c>
      <c r="T678" s="4">
        <v>0</v>
      </c>
      <c r="U678" s="4">
        <f t="shared" si="30"/>
        <v>0</v>
      </c>
      <c r="V678" s="3" t="s">
        <v>362</v>
      </c>
      <c r="W678" s="3">
        <v>2014</v>
      </c>
      <c r="X678" s="3">
        <v>11.12</v>
      </c>
    </row>
    <row r="679" spans="1:24" ht="114.75">
      <c r="A679" s="3" t="s">
        <v>12143</v>
      </c>
      <c r="B679" s="6" t="s">
        <v>361</v>
      </c>
      <c r="C679" s="6" t="s">
        <v>3236</v>
      </c>
      <c r="D679" s="6" t="s">
        <v>3237</v>
      </c>
      <c r="E679" s="6" t="s">
        <v>3238</v>
      </c>
      <c r="F679" s="6" t="s">
        <v>3222</v>
      </c>
      <c r="G679" s="3" t="s">
        <v>11449</v>
      </c>
      <c r="H679" s="54">
        <v>0</v>
      </c>
      <c r="I679" s="16">
        <v>470000000</v>
      </c>
      <c r="J679" s="157" t="s">
        <v>229</v>
      </c>
      <c r="K679" s="5" t="s">
        <v>217</v>
      </c>
      <c r="L679" s="17" t="s">
        <v>11411</v>
      </c>
      <c r="M679" s="3" t="s">
        <v>230</v>
      </c>
      <c r="N679" s="6" t="s">
        <v>524</v>
      </c>
      <c r="O679" s="6" t="s">
        <v>233</v>
      </c>
      <c r="P679" s="58" t="s">
        <v>241</v>
      </c>
      <c r="Q679" s="6" t="s">
        <v>234</v>
      </c>
      <c r="R679" s="1">
        <v>8</v>
      </c>
      <c r="S679" s="2">
        <v>226000</v>
      </c>
      <c r="T679" s="4">
        <v>0</v>
      </c>
      <c r="U679" s="4">
        <f t="shared" si="30"/>
        <v>0</v>
      </c>
      <c r="V679" s="3" t="s">
        <v>362</v>
      </c>
      <c r="W679" s="3">
        <v>2014</v>
      </c>
      <c r="X679" s="3" t="s">
        <v>12051</v>
      </c>
    </row>
    <row r="680" spans="1:24" ht="114.75">
      <c r="A680" s="3" t="s">
        <v>14618</v>
      </c>
      <c r="B680" s="6" t="s">
        <v>361</v>
      </c>
      <c r="C680" s="6" t="s">
        <v>3236</v>
      </c>
      <c r="D680" s="6" t="s">
        <v>3237</v>
      </c>
      <c r="E680" s="6" t="s">
        <v>3238</v>
      </c>
      <c r="F680" s="6" t="s">
        <v>3222</v>
      </c>
      <c r="G680" s="3" t="s">
        <v>11449</v>
      </c>
      <c r="H680" s="54">
        <v>0</v>
      </c>
      <c r="I680" s="16">
        <v>470000000</v>
      </c>
      <c r="J680" s="157" t="s">
        <v>229</v>
      </c>
      <c r="K680" s="5" t="s">
        <v>14596</v>
      </c>
      <c r="L680" s="17" t="s">
        <v>11411</v>
      </c>
      <c r="M680" s="3" t="s">
        <v>230</v>
      </c>
      <c r="N680" s="6" t="s">
        <v>524</v>
      </c>
      <c r="O680" s="6" t="s">
        <v>233</v>
      </c>
      <c r="P680" s="58" t="s">
        <v>241</v>
      </c>
      <c r="Q680" s="6" t="s">
        <v>234</v>
      </c>
      <c r="R680" s="1">
        <v>5</v>
      </c>
      <c r="S680" s="2">
        <v>271200</v>
      </c>
      <c r="T680" s="4">
        <v>0</v>
      </c>
      <c r="U680" s="4">
        <f t="shared" si="30"/>
        <v>0</v>
      </c>
      <c r="V680" s="3" t="s">
        <v>362</v>
      </c>
      <c r="W680" s="3">
        <v>2014</v>
      </c>
      <c r="X680" s="3">
        <v>11</v>
      </c>
    </row>
    <row r="681" spans="1:24" ht="114.75">
      <c r="A681" s="3" t="s">
        <v>18083</v>
      </c>
      <c r="B681" s="6" t="s">
        <v>361</v>
      </c>
      <c r="C681" s="6" t="s">
        <v>3236</v>
      </c>
      <c r="D681" s="6" t="s">
        <v>3237</v>
      </c>
      <c r="E681" s="6" t="s">
        <v>3238</v>
      </c>
      <c r="F681" s="6" t="s">
        <v>3222</v>
      </c>
      <c r="G681" s="3" t="s">
        <v>11449</v>
      </c>
      <c r="H681" s="54">
        <v>0</v>
      </c>
      <c r="I681" s="16">
        <v>470000000</v>
      </c>
      <c r="J681" s="157" t="s">
        <v>229</v>
      </c>
      <c r="K681" s="5" t="s">
        <v>18084</v>
      </c>
      <c r="L681" s="17" t="s">
        <v>11411</v>
      </c>
      <c r="M681" s="3" t="s">
        <v>230</v>
      </c>
      <c r="N681" s="6" t="s">
        <v>524</v>
      </c>
      <c r="O681" s="6" t="s">
        <v>233</v>
      </c>
      <c r="P681" s="58" t="s">
        <v>241</v>
      </c>
      <c r="Q681" s="6" t="s">
        <v>234</v>
      </c>
      <c r="R681" s="1">
        <v>5</v>
      </c>
      <c r="S681" s="2">
        <v>271200</v>
      </c>
      <c r="T681" s="4">
        <f>R681*S681</f>
        <v>1356000</v>
      </c>
      <c r="U681" s="4">
        <f t="shared" si="30"/>
        <v>1518720.0000000002</v>
      </c>
      <c r="V681" s="3" t="s">
        <v>362</v>
      </c>
      <c r="W681" s="3">
        <v>2014</v>
      </c>
      <c r="X681" s="3"/>
    </row>
    <row r="682" spans="1:24" ht="114.75">
      <c r="A682" s="3" t="s">
        <v>872</v>
      </c>
      <c r="B682" s="6" t="s">
        <v>361</v>
      </c>
      <c r="C682" s="6" t="s">
        <v>3236</v>
      </c>
      <c r="D682" s="6" t="s">
        <v>3237</v>
      </c>
      <c r="E682" s="6" t="s">
        <v>3238</v>
      </c>
      <c r="F682" s="6" t="s">
        <v>3223</v>
      </c>
      <c r="G682" s="3" t="s">
        <v>11449</v>
      </c>
      <c r="H682" s="54">
        <v>0</v>
      </c>
      <c r="I682" s="16">
        <v>470000000</v>
      </c>
      <c r="J682" s="157" t="s">
        <v>229</v>
      </c>
      <c r="K682" s="5" t="s">
        <v>211</v>
      </c>
      <c r="L682" s="6" t="s">
        <v>231</v>
      </c>
      <c r="M682" s="3" t="s">
        <v>230</v>
      </c>
      <c r="N682" s="6" t="s">
        <v>524</v>
      </c>
      <c r="O682" s="6" t="s">
        <v>233</v>
      </c>
      <c r="P682" s="58" t="s">
        <v>241</v>
      </c>
      <c r="Q682" s="6" t="s">
        <v>234</v>
      </c>
      <c r="R682" s="1">
        <v>2</v>
      </c>
      <c r="S682" s="2">
        <v>213000</v>
      </c>
      <c r="T682" s="4">
        <v>0</v>
      </c>
      <c r="U682" s="4">
        <f t="shared" si="30"/>
        <v>0</v>
      </c>
      <c r="V682" s="3" t="s">
        <v>362</v>
      </c>
      <c r="W682" s="3">
        <v>2014</v>
      </c>
      <c r="X682" s="3">
        <v>11.12</v>
      </c>
    </row>
    <row r="683" spans="1:24" ht="114.75">
      <c r="A683" s="3" t="s">
        <v>11969</v>
      </c>
      <c r="B683" s="6" t="s">
        <v>361</v>
      </c>
      <c r="C683" s="6" t="s">
        <v>3236</v>
      </c>
      <c r="D683" s="6" t="s">
        <v>3237</v>
      </c>
      <c r="E683" s="6" t="s">
        <v>3238</v>
      </c>
      <c r="F683" s="6" t="s">
        <v>3223</v>
      </c>
      <c r="G683" s="3" t="s">
        <v>11449</v>
      </c>
      <c r="H683" s="54">
        <v>0</v>
      </c>
      <c r="I683" s="16">
        <v>470000000</v>
      </c>
      <c r="J683" s="157" t="s">
        <v>229</v>
      </c>
      <c r="K683" s="5" t="s">
        <v>209</v>
      </c>
      <c r="L683" s="17" t="s">
        <v>11411</v>
      </c>
      <c r="M683" s="3" t="s">
        <v>230</v>
      </c>
      <c r="N683" s="6" t="s">
        <v>524</v>
      </c>
      <c r="O683" s="6" t="s">
        <v>233</v>
      </c>
      <c r="P683" s="58" t="s">
        <v>241</v>
      </c>
      <c r="Q683" s="6" t="s">
        <v>234</v>
      </c>
      <c r="R683" s="1">
        <v>2</v>
      </c>
      <c r="S683" s="2">
        <v>213000</v>
      </c>
      <c r="T683" s="4">
        <v>0</v>
      </c>
      <c r="U683" s="4">
        <f t="shared" si="30"/>
        <v>0</v>
      </c>
      <c r="V683" s="3" t="s">
        <v>362</v>
      </c>
      <c r="W683" s="3">
        <v>2014</v>
      </c>
      <c r="X683" s="3" t="s">
        <v>12051</v>
      </c>
    </row>
    <row r="684" spans="1:24" ht="114.75">
      <c r="A684" s="3" t="s">
        <v>14619</v>
      </c>
      <c r="B684" s="6" t="s">
        <v>361</v>
      </c>
      <c r="C684" s="6" t="s">
        <v>3236</v>
      </c>
      <c r="D684" s="6" t="s">
        <v>3237</v>
      </c>
      <c r="E684" s="6" t="s">
        <v>3238</v>
      </c>
      <c r="F684" s="6" t="s">
        <v>3223</v>
      </c>
      <c r="G684" s="3" t="s">
        <v>11449</v>
      </c>
      <c r="H684" s="54">
        <v>0</v>
      </c>
      <c r="I684" s="16">
        <v>470000000</v>
      </c>
      <c r="J684" s="157" t="s">
        <v>229</v>
      </c>
      <c r="K684" s="5" t="s">
        <v>14620</v>
      </c>
      <c r="L684" s="17" t="s">
        <v>11411</v>
      </c>
      <c r="M684" s="3" t="s">
        <v>230</v>
      </c>
      <c r="N684" s="6" t="s">
        <v>524</v>
      </c>
      <c r="O684" s="6" t="s">
        <v>233</v>
      </c>
      <c r="P684" s="58" t="s">
        <v>241</v>
      </c>
      <c r="Q684" s="6" t="s">
        <v>234</v>
      </c>
      <c r="R684" s="1">
        <v>70</v>
      </c>
      <c r="S684" s="2">
        <v>255600</v>
      </c>
      <c r="T684" s="4">
        <v>0</v>
      </c>
      <c r="U684" s="4">
        <f t="shared" si="30"/>
        <v>0</v>
      </c>
      <c r="V684" s="3" t="s">
        <v>362</v>
      </c>
      <c r="W684" s="3">
        <v>2014</v>
      </c>
      <c r="X684" s="3" t="s">
        <v>14780</v>
      </c>
    </row>
    <row r="685" spans="1:24" ht="114.75">
      <c r="A685" s="3" t="s">
        <v>18085</v>
      </c>
      <c r="B685" s="6" t="s">
        <v>361</v>
      </c>
      <c r="C685" s="6" t="s">
        <v>3236</v>
      </c>
      <c r="D685" s="6" t="s">
        <v>3237</v>
      </c>
      <c r="E685" s="6" t="s">
        <v>3238</v>
      </c>
      <c r="F685" s="6" t="s">
        <v>3223</v>
      </c>
      <c r="G685" s="3" t="s">
        <v>11449</v>
      </c>
      <c r="H685" s="54">
        <v>0</v>
      </c>
      <c r="I685" s="16">
        <v>470000000</v>
      </c>
      <c r="J685" s="157" t="s">
        <v>229</v>
      </c>
      <c r="K685" s="5" t="s">
        <v>18086</v>
      </c>
      <c r="L685" s="17" t="s">
        <v>11411</v>
      </c>
      <c r="M685" s="3" t="s">
        <v>230</v>
      </c>
      <c r="N685" s="6" t="s">
        <v>524</v>
      </c>
      <c r="O685" s="6" t="s">
        <v>233</v>
      </c>
      <c r="P685" s="58" t="s">
        <v>241</v>
      </c>
      <c r="Q685" s="6" t="s">
        <v>234</v>
      </c>
      <c r="R685" s="1">
        <v>109</v>
      </c>
      <c r="S685" s="2">
        <v>255600</v>
      </c>
      <c r="T685" s="4">
        <f>R685*S685</f>
        <v>27860400</v>
      </c>
      <c r="U685" s="4">
        <f t="shared" si="30"/>
        <v>31203648.000000004</v>
      </c>
      <c r="V685" s="3" t="s">
        <v>362</v>
      </c>
      <c r="W685" s="3">
        <v>2014</v>
      </c>
      <c r="X685" s="3"/>
    </row>
    <row r="686" spans="1:24" ht="114.75">
      <c r="A686" s="3" t="s">
        <v>873</v>
      </c>
      <c r="B686" s="6" t="s">
        <v>361</v>
      </c>
      <c r="C686" s="6" t="s">
        <v>3236</v>
      </c>
      <c r="D686" s="6" t="s">
        <v>3237</v>
      </c>
      <c r="E686" s="6" t="s">
        <v>3238</v>
      </c>
      <c r="F686" s="6" t="s">
        <v>3224</v>
      </c>
      <c r="G686" s="3" t="s">
        <v>11449</v>
      </c>
      <c r="H686" s="54">
        <v>0</v>
      </c>
      <c r="I686" s="16">
        <v>470000000</v>
      </c>
      <c r="J686" s="157" t="s">
        <v>229</v>
      </c>
      <c r="K686" s="5" t="s">
        <v>211</v>
      </c>
      <c r="L686" s="6" t="s">
        <v>231</v>
      </c>
      <c r="M686" s="3" t="s">
        <v>230</v>
      </c>
      <c r="N686" s="6" t="s">
        <v>524</v>
      </c>
      <c r="O686" s="6" t="s">
        <v>233</v>
      </c>
      <c r="P686" s="58" t="s">
        <v>241</v>
      </c>
      <c r="Q686" s="6" t="s">
        <v>234</v>
      </c>
      <c r="R686" s="1">
        <v>4</v>
      </c>
      <c r="S686" s="2">
        <v>146000</v>
      </c>
      <c r="T686" s="4">
        <v>0</v>
      </c>
      <c r="U686" s="4">
        <f t="shared" si="30"/>
        <v>0</v>
      </c>
      <c r="V686" s="3" t="s">
        <v>362</v>
      </c>
      <c r="W686" s="3">
        <v>2014</v>
      </c>
      <c r="X686" s="3" t="s">
        <v>16409</v>
      </c>
    </row>
    <row r="687" spans="1:24" ht="114.75">
      <c r="A687" s="3" t="s">
        <v>14621</v>
      </c>
      <c r="B687" s="6" t="s">
        <v>361</v>
      </c>
      <c r="C687" s="6" t="s">
        <v>3236</v>
      </c>
      <c r="D687" s="6" t="s">
        <v>3237</v>
      </c>
      <c r="E687" s="6" t="s">
        <v>3238</v>
      </c>
      <c r="F687" s="6" t="s">
        <v>3224</v>
      </c>
      <c r="G687" s="3" t="s">
        <v>11449</v>
      </c>
      <c r="H687" s="54">
        <v>0</v>
      </c>
      <c r="I687" s="16">
        <v>470000000</v>
      </c>
      <c r="J687" s="157" t="s">
        <v>229</v>
      </c>
      <c r="K687" s="5" t="s">
        <v>211</v>
      </c>
      <c r="L687" s="6" t="s">
        <v>231</v>
      </c>
      <c r="M687" s="3" t="s">
        <v>230</v>
      </c>
      <c r="N687" s="6" t="s">
        <v>524</v>
      </c>
      <c r="O687" s="6" t="s">
        <v>233</v>
      </c>
      <c r="P687" s="58" t="s">
        <v>241</v>
      </c>
      <c r="Q687" s="6" t="s">
        <v>234</v>
      </c>
      <c r="R687" s="1">
        <v>10</v>
      </c>
      <c r="S687" s="2">
        <v>175200</v>
      </c>
      <c r="T687" s="4">
        <v>0</v>
      </c>
      <c r="U687" s="4">
        <f t="shared" si="30"/>
        <v>0</v>
      </c>
      <c r="V687" s="3" t="s">
        <v>362</v>
      </c>
      <c r="W687" s="3">
        <v>2014</v>
      </c>
      <c r="X687" s="3" t="s">
        <v>14780</v>
      </c>
    </row>
    <row r="688" spans="1:24" ht="114.75">
      <c r="A688" s="3" t="s">
        <v>18087</v>
      </c>
      <c r="B688" s="6" t="s">
        <v>361</v>
      </c>
      <c r="C688" s="6" t="s">
        <v>3236</v>
      </c>
      <c r="D688" s="6" t="s">
        <v>3237</v>
      </c>
      <c r="E688" s="6" t="s">
        <v>3238</v>
      </c>
      <c r="F688" s="6" t="s">
        <v>3224</v>
      </c>
      <c r="G688" s="3" t="s">
        <v>11449</v>
      </c>
      <c r="H688" s="54">
        <v>0</v>
      </c>
      <c r="I688" s="16">
        <v>470000000</v>
      </c>
      <c r="J688" s="157" t="s">
        <v>229</v>
      </c>
      <c r="K688" s="5" t="s">
        <v>18086</v>
      </c>
      <c r="L688" s="6" t="s">
        <v>231</v>
      </c>
      <c r="M688" s="3" t="s">
        <v>230</v>
      </c>
      <c r="N688" s="6" t="s">
        <v>524</v>
      </c>
      <c r="O688" s="6" t="s">
        <v>233</v>
      </c>
      <c r="P688" s="58" t="s">
        <v>241</v>
      </c>
      <c r="Q688" s="6" t="s">
        <v>234</v>
      </c>
      <c r="R688" s="1">
        <v>32</v>
      </c>
      <c r="S688" s="2">
        <v>175200</v>
      </c>
      <c r="T688" s="4">
        <f>R688*S688</f>
        <v>5606400</v>
      </c>
      <c r="U688" s="4">
        <f t="shared" si="30"/>
        <v>6279168.0000000009</v>
      </c>
      <c r="V688" s="3" t="s">
        <v>362</v>
      </c>
      <c r="W688" s="3">
        <v>2014</v>
      </c>
      <c r="X688" s="3"/>
    </row>
    <row r="689" spans="1:24" ht="114.75">
      <c r="A689" s="3" t="s">
        <v>874</v>
      </c>
      <c r="B689" s="6" t="s">
        <v>361</v>
      </c>
      <c r="C689" s="6" t="s">
        <v>3236</v>
      </c>
      <c r="D689" s="6" t="s">
        <v>3237</v>
      </c>
      <c r="E689" s="6" t="s">
        <v>3238</v>
      </c>
      <c r="F689" s="6" t="s">
        <v>3225</v>
      </c>
      <c r="G689" s="3" t="s">
        <v>11449</v>
      </c>
      <c r="H689" s="54">
        <v>0</v>
      </c>
      <c r="I689" s="16">
        <v>470000000</v>
      </c>
      <c r="J689" s="157" t="s">
        <v>229</v>
      </c>
      <c r="K689" s="5" t="s">
        <v>218</v>
      </c>
      <c r="L689" s="6" t="s">
        <v>231</v>
      </c>
      <c r="M689" s="3" t="s">
        <v>230</v>
      </c>
      <c r="N689" s="6" t="s">
        <v>524</v>
      </c>
      <c r="O689" s="6" t="s">
        <v>233</v>
      </c>
      <c r="P689" s="58" t="s">
        <v>241</v>
      </c>
      <c r="Q689" s="6" t="s">
        <v>234</v>
      </c>
      <c r="R689" s="1">
        <v>29</v>
      </c>
      <c r="S689" s="2">
        <v>119000</v>
      </c>
      <c r="T689" s="4">
        <v>0</v>
      </c>
      <c r="U689" s="4">
        <f t="shared" si="30"/>
        <v>0</v>
      </c>
      <c r="V689" s="3" t="s">
        <v>362</v>
      </c>
      <c r="W689" s="3">
        <v>2014</v>
      </c>
      <c r="X689" s="3" t="s">
        <v>16408</v>
      </c>
    </row>
    <row r="690" spans="1:24" ht="114.75">
      <c r="A690" s="3" t="s">
        <v>14622</v>
      </c>
      <c r="B690" s="6" t="s">
        <v>361</v>
      </c>
      <c r="C690" s="6" t="s">
        <v>3236</v>
      </c>
      <c r="D690" s="6" t="s">
        <v>3237</v>
      </c>
      <c r="E690" s="6" t="s">
        <v>3238</v>
      </c>
      <c r="F690" s="6" t="s">
        <v>3225</v>
      </c>
      <c r="G690" s="3" t="s">
        <v>11449</v>
      </c>
      <c r="H690" s="54">
        <v>0</v>
      </c>
      <c r="I690" s="16">
        <v>470000000</v>
      </c>
      <c r="J690" s="157" t="s">
        <v>229</v>
      </c>
      <c r="K690" s="5" t="s">
        <v>14623</v>
      </c>
      <c r="L690" s="6" t="s">
        <v>231</v>
      </c>
      <c r="M690" s="3" t="s">
        <v>230</v>
      </c>
      <c r="N690" s="6" t="s">
        <v>524</v>
      </c>
      <c r="O690" s="6" t="s">
        <v>233</v>
      </c>
      <c r="P690" s="58" t="s">
        <v>241</v>
      </c>
      <c r="Q690" s="6" t="s">
        <v>234</v>
      </c>
      <c r="R690" s="1">
        <v>20</v>
      </c>
      <c r="S690" s="2">
        <v>142800</v>
      </c>
      <c r="T690" s="4">
        <f>R690*S690</f>
        <v>2856000</v>
      </c>
      <c r="U690" s="4">
        <f t="shared" si="30"/>
        <v>3198720.0000000005</v>
      </c>
      <c r="V690" s="3" t="s">
        <v>362</v>
      </c>
      <c r="W690" s="3">
        <v>2014</v>
      </c>
      <c r="X690" s="3"/>
    </row>
    <row r="691" spans="1:24" ht="114.75">
      <c r="A691" s="3" t="s">
        <v>875</v>
      </c>
      <c r="B691" s="6" t="s">
        <v>361</v>
      </c>
      <c r="C691" s="6" t="s">
        <v>3236</v>
      </c>
      <c r="D691" s="6" t="s">
        <v>3237</v>
      </c>
      <c r="E691" s="6" t="s">
        <v>3238</v>
      </c>
      <c r="F691" s="6" t="s">
        <v>3234</v>
      </c>
      <c r="G691" s="3" t="s">
        <v>11449</v>
      </c>
      <c r="H691" s="54">
        <v>0</v>
      </c>
      <c r="I691" s="16">
        <v>470000000</v>
      </c>
      <c r="J691" s="157" t="s">
        <v>229</v>
      </c>
      <c r="K691" s="5" t="s">
        <v>214</v>
      </c>
      <c r="L691" s="6" t="s">
        <v>231</v>
      </c>
      <c r="M691" s="3" t="s">
        <v>230</v>
      </c>
      <c r="N691" s="6" t="s">
        <v>524</v>
      </c>
      <c r="O691" s="6" t="s">
        <v>233</v>
      </c>
      <c r="P691" s="58" t="s">
        <v>241</v>
      </c>
      <c r="Q691" s="6" t="s">
        <v>234</v>
      </c>
      <c r="R691" s="1">
        <v>249</v>
      </c>
      <c r="S691" s="2">
        <v>112000</v>
      </c>
      <c r="T691" s="4">
        <v>0</v>
      </c>
      <c r="U691" s="4">
        <f t="shared" si="30"/>
        <v>0</v>
      </c>
      <c r="V691" s="3" t="s">
        <v>362</v>
      </c>
      <c r="W691" s="3">
        <v>2014</v>
      </c>
      <c r="X691" s="3">
        <v>11.12</v>
      </c>
    </row>
    <row r="692" spans="1:24" ht="114.75">
      <c r="A692" s="3" t="s">
        <v>12144</v>
      </c>
      <c r="B692" s="6" t="s">
        <v>361</v>
      </c>
      <c r="C692" s="6" t="s">
        <v>3236</v>
      </c>
      <c r="D692" s="6" t="s">
        <v>3237</v>
      </c>
      <c r="E692" s="6" t="s">
        <v>3238</v>
      </c>
      <c r="F692" s="6" t="s">
        <v>3234</v>
      </c>
      <c r="G692" s="3" t="s">
        <v>11449</v>
      </c>
      <c r="H692" s="54">
        <v>0</v>
      </c>
      <c r="I692" s="16">
        <v>470000000</v>
      </c>
      <c r="J692" s="157" t="s">
        <v>229</v>
      </c>
      <c r="K692" s="5" t="s">
        <v>217</v>
      </c>
      <c r="L692" s="17" t="s">
        <v>11411</v>
      </c>
      <c r="M692" s="3" t="s">
        <v>230</v>
      </c>
      <c r="N692" s="6" t="s">
        <v>524</v>
      </c>
      <c r="O692" s="6" t="s">
        <v>233</v>
      </c>
      <c r="P692" s="58" t="s">
        <v>241</v>
      </c>
      <c r="Q692" s="6" t="s">
        <v>234</v>
      </c>
      <c r="R692" s="1">
        <v>249</v>
      </c>
      <c r="S692" s="2">
        <v>112000</v>
      </c>
      <c r="T692" s="4">
        <v>0</v>
      </c>
      <c r="U692" s="4">
        <f t="shared" si="30"/>
        <v>0</v>
      </c>
      <c r="V692" s="3" t="s">
        <v>362</v>
      </c>
      <c r="W692" s="3">
        <v>2014</v>
      </c>
      <c r="X692" s="3" t="s">
        <v>16408</v>
      </c>
    </row>
    <row r="693" spans="1:24" ht="114.75">
      <c r="A693" s="3" t="s">
        <v>14624</v>
      </c>
      <c r="B693" s="6" t="s">
        <v>361</v>
      </c>
      <c r="C693" s="6" t="s">
        <v>3236</v>
      </c>
      <c r="D693" s="6" t="s">
        <v>3237</v>
      </c>
      <c r="E693" s="6" t="s">
        <v>3238</v>
      </c>
      <c r="F693" s="6" t="s">
        <v>3234</v>
      </c>
      <c r="G693" s="3" t="s">
        <v>11449</v>
      </c>
      <c r="H693" s="54">
        <v>0</v>
      </c>
      <c r="I693" s="16">
        <v>470000000</v>
      </c>
      <c r="J693" s="157" t="s">
        <v>229</v>
      </c>
      <c r="K693" s="5" t="s">
        <v>14596</v>
      </c>
      <c r="L693" s="17" t="s">
        <v>11411</v>
      </c>
      <c r="M693" s="3" t="s">
        <v>230</v>
      </c>
      <c r="N693" s="6" t="s">
        <v>524</v>
      </c>
      <c r="O693" s="6" t="s">
        <v>233</v>
      </c>
      <c r="P693" s="58" t="s">
        <v>241</v>
      </c>
      <c r="Q693" s="6" t="s">
        <v>234</v>
      </c>
      <c r="R693" s="1">
        <v>56</v>
      </c>
      <c r="S693" s="2">
        <v>134400</v>
      </c>
      <c r="T693" s="4">
        <f>R693*S693</f>
        <v>7526400</v>
      </c>
      <c r="U693" s="4">
        <f t="shared" si="30"/>
        <v>8429568</v>
      </c>
      <c r="V693" s="3" t="s">
        <v>362</v>
      </c>
      <c r="W693" s="3">
        <v>2014</v>
      </c>
      <c r="X693" s="3"/>
    </row>
    <row r="694" spans="1:24" ht="114.75">
      <c r="A694" s="3" t="s">
        <v>876</v>
      </c>
      <c r="B694" s="6" t="s">
        <v>361</v>
      </c>
      <c r="C694" s="6" t="s">
        <v>3236</v>
      </c>
      <c r="D694" s="6" t="s">
        <v>3237</v>
      </c>
      <c r="E694" s="6" t="s">
        <v>3238</v>
      </c>
      <c r="F694" s="6" t="s">
        <v>3235</v>
      </c>
      <c r="G694" s="3" t="s">
        <v>11449</v>
      </c>
      <c r="H694" s="54">
        <v>0</v>
      </c>
      <c r="I694" s="16">
        <v>470000000</v>
      </c>
      <c r="J694" s="157" t="s">
        <v>229</v>
      </c>
      <c r="K694" s="5" t="s">
        <v>214</v>
      </c>
      <c r="L694" s="6" t="s">
        <v>231</v>
      </c>
      <c r="M694" s="3" t="s">
        <v>230</v>
      </c>
      <c r="N694" s="6" t="s">
        <v>524</v>
      </c>
      <c r="O694" s="6" t="s">
        <v>233</v>
      </c>
      <c r="P694" s="58" t="s">
        <v>241</v>
      </c>
      <c r="Q694" s="6" t="s">
        <v>234</v>
      </c>
      <c r="R694" s="1">
        <v>16</v>
      </c>
      <c r="S694" s="2">
        <v>109000</v>
      </c>
      <c r="T694" s="4">
        <v>0</v>
      </c>
      <c r="U694" s="4">
        <f t="shared" si="30"/>
        <v>0</v>
      </c>
      <c r="V694" s="3" t="s">
        <v>362</v>
      </c>
      <c r="W694" s="3">
        <v>2014</v>
      </c>
      <c r="X694" s="3">
        <v>11.12</v>
      </c>
    </row>
    <row r="695" spans="1:24" ht="114.75">
      <c r="A695" s="3" t="s">
        <v>12145</v>
      </c>
      <c r="B695" s="6" t="s">
        <v>361</v>
      </c>
      <c r="C695" s="6" t="s">
        <v>3236</v>
      </c>
      <c r="D695" s="6" t="s">
        <v>3237</v>
      </c>
      <c r="E695" s="6" t="s">
        <v>3238</v>
      </c>
      <c r="F695" s="6" t="s">
        <v>3235</v>
      </c>
      <c r="G695" s="3" t="s">
        <v>11449</v>
      </c>
      <c r="H695" s="54">
        <v>0</v>
      </c>
      <c r="I695" s="16">
        <v>470000000</v>
      </c>
      <c r="J695" s="157" t="s">
        <v>229</v>
      </c>
      <c r="K695" s="5" t="s">
        <v>217</v>
      </c>
      <c r="L695" s="17" t="s">
        <v>11411</v>
      </c>
      <c r="M695" s="3" t="s">
        <v>230</v>
      </c>
      <c r="N695" s="6" t="s">
        <v>524</v>
      </c>
      <c r="O695" s="6" t="s">
        <v>233</v>
      </c>
      <c r="P695" s="58" t="s">
        <v>241</v>
      </c>
      <c r="Q695" s="6" t="s">
        <v>234</v>
      </c>
      <c r="R695" s="1">
        <v>16</v>
      </c>
      <c r="S695" s="2">
        <v>109000</v>
      </c>
      <c r="T695" s="4">
        <v>0</v>
      </c>
      <c r="U695" s="4">
        <f t="shared" si="30"/>
        <v>0</v>
      </c>
      <c r="V695" s="3" t="s">
        <v>362</v>
      </c>
      <c r="W695" s="3">
        <v>2014</v>
      </c>
      <c r="X695" s="3" t="s">
        <v>16408</v>
      </c>
    </row>
    <row r="696" spans="1:24" ht="114.75">
      <c r="A696" s="3" t="s">
        <v>14625</v>
      </c>
      <c r="B696" s="6" t="s">
        <v>361</v>
      </c>
      <c r="C696" s="6" t="s">
        <v>3236</v>
      </c>
      <c r="D696" s="6" t="s">
        <v>3237</v>
      </c>
      <c r="E696" s="6" t="s">
        <v>3238</v>
      </c>
      <c r="F696" s="6" t="s">
        <v>3235</v>
      </c>
      <c r="G696" s="3" t="s">
        <v>11449</v>
      </c>
      <c r="H696" s="54">
        <v>0</v>
      </c>
      <c r="I696" s="16">
        <v>470000000</v>
      </c>
      <c r="J696" s="157" t="s">
        <v>229</v>
      </c>
      <c r="K696" s="5" t="s">
        <v>14596</v>
      </c>
      <c r="L696" s="17" t="s">
        <v>11411</v>
      </c>
      <c r="M696" s="3" t="s">
        <v>230</v>
      </c>
      <c r="N696" s="6" t="s">
        <v>524</v>
      </c>
      <c r="O696" s="6" t="s">
        <v>233</v>
      </c>
      <c r="P696" s="58" t="s">
        <v>241</v>
      </c>
      <c r="Q696" s="6" t="s">
        <v>234</v>
      </c>
      <c r="R696" s="1">
        <v>235</v>
      </c>
      <c r="S696" s="2">
        <v>130800</v>
      </c>
      <c r="T696" s="4">
        <v>0</v>
      </c>
      <c r="U696" s="4">
        <f t="shared" si="30"/>
        <v>0</v>
      </c>
      <c r="V696" s="3" t="s">
        <v>362</v>
      </c>
      <c r="W696" s="3">
        <v>2014</v>
      </c>
      <c r="X696" s="3" t="s">
        <v>14780</v>
      </c>
    </row>
    <row r="697" spans="1:24" ht="114.75">
      <c r="A697" s="3" t="s">
        <v>18088</v>
      </c>
      <c r="B697" s="6" t="s">
        <v>361</v>
      </c>
      <c r="C697" s="6" t="s">
        <v>3236</v>
      </c>
      <c r="D697" s="6" t="s">
        <v>3237</v>
      </c>
      <c r="E697" s="6" t="s">
        <v>3238</v>
      </c>
      <c r="F697" s="6" t="s">
        <v>3235</v>
      </c>
      <c r="G697" s="3" t="s">
        <v>11449</v>
      </c>
      <c r="H697" s="54">
        <v>0</v>
      </c>
      <c r="I697" s="16">
        <v>470000000</v>
      </c>
      <c r="J697" s="157" t="s">
        <v>229</v>
      </c>
      <c r="K697" s="5" t="s">
        <v>18089</v>
      </c>
      <c r="L697" s="17" t="s">
        <v>11411</v>
      </c>
      <c r="M697" s="3" t="s">
        <v>230</v>
      </c>
      <c r="N697" s="6" t="s">
        <v>524</v>
      </c>
      <c r="O697" s="6" t="s">
        <v>233</v>
      </c>
      <c r="P697" s="58" t="s">
        <v>241</v>
      </c>
      <c r="Q697" s="6" t="s">
        <v>234</v>
      </c>
      <c r="R697" s="1">
        <v>274</v>
      </c>
      <c r="S697" s="2">
        <v>130800</v>
      </c>
      <c r="T697" s="4">
        <f>R697*S697</f>
        <v>35839200</v>
      </c>
      <c r="U697" s="4">
        <f t="shared" si="30"/>
        <v>40139904.000000007</v>
      </c>
      <c r="V697" s="3" t="s">
        <v>362</v>
      </c>
      <c r="W697" s="3">
        <v>2014</v>
      </c>
      <c r="X697" s="3"/>
    </row>
    <row r="698" spans="1:24" ht="127.5">
      <c r="A698" s="3" t="s">
        <v>877</v>
      </c>
      <c r="B698" s="6" t="s">
        <v>361</v>
      </c>
      <c r="C698" s="6" t="s">
        <v>3236</v>
      </c>
      <c r="D698" s="6" t="s">
        <v>3237</v>
      </c>
      <c r="E698" s="6" t="s">
        <v>3238</v>
      </c>
      <c r="F698" s="6" t="s">
        <v>3226</v>
      </c>
      <c r="G698" s="3" t="s">
        <v>11449</v>
      </c>
      <c r="H698" s="54">
        <v>0</v>
      </c>
      <c r="I698" s="16">
        <v>470000000</v>
      </c>
      <c r="J698" s="157" t="s">
        <v>229</v>
      </c>
      <c r="K698" s="5" t="s">
        <v>214</v>
      </c>
      <c r="L698" s="6" t="s">
        <v>231</v>
      </c>
      <c r="M698" s="3" t="s">
        <v>230</v>
      </c>
      <c r="N698" s="6" t="s">
        <v>524</v>
      </c>
      <c r="O698" s="6" t="s">
        <v>233</v>
      </c>
      <c r="P698" s="58" t="s">
        <v>241</v>
      </c>
      <c r="Q698" s="6" t="s">
        <v>234</v>
      </c>
      <c r="R698" s="1">
        <v>28</v>
      </c>
      <c r="S698" s="2">
        <v>365000</v>
      </c>
      <c r="T698" s="4">
        <v>0</v>
      </c>
      <c r="U698" s="4">
        <f t="shared" si="30"/>
        <v>0</v>
      </c>
      <c r="V698" s="3" t="s">
        <v>362</v>
      </c>
      <c r="W698" s="3">
        <v>2014</v>
      </c>
      <c r="X698" s="3">
        <v>11.12</v>
      </c>
    </row>
    <row r="699" spans="1:24" ht="127.5">
      <c r="A699" s="3" t="s">
        <v>12146</v>
      </c>
      <c r="B699" s="6" t="s">
        <v>361</v>
      </c>
      <c r="C699" s="6" t="s">
        <v>3236</v>
      </c>
      <c r="D699" s="6" t="s">
        <v>3237</v>
      </c>
      <c r="E699" s="6" t="s">
        <v>3238</v>
      </c>
      <c r="F699" s="6" t="s">
        <v>3226</v>
      </c>
      <c r="G699" s="3" t="s">
        <v>11449</v>
      </c>
      <c r="H699" s="54">
        <v>0</v>
      </c>
      <c r="I699" s="16">
        <v>470000000</v>
      </c>
      <c r="J699" s="157" t="s">
        <v>229</v>
      </c>
      <c r="K699" s="5" t="s">
        <v>217</v>
      </c>
      <c r="L699" s="17" t="s">
        <v>11411</v>
      </c>
      <c r="M699" s="3" t="s">
        <v>230</v>
      </c>
      <c r="N699" s="6" t="s">
        <v>524</v>
      </c>
      <c r="O699" s="6" t="s">
        <v>233</v>
      </c>
      <c r="P699" s="58" t="s">
        <v>241</v>
      </c>
      <c r="Q699" s="6" t="s">
        <v>234</v>
      </c>
      <c r="R699" s="1">
        <v>28</v>
      </c>
      <c r="S699" s="2">
        <v>365000</v>
      </c>
      <c r="T699" s="4">
        <v>0</v>
      </c>
      <c r="U699" s="4">
        <f t="shared" si="30"/>
        <v>0</v>
      </c>
      <c r="V699" s="3" t="s">
        <v>362</v>
      </c>
      <c r="W699" s="3">
        <v>2014</v>
      </c>
      <c r="X699" s="3" t="s">
        <v>16408</v>
      </c>
    </row>
    <row r="700" spans="1:24" ht="127.5">
      <c r="A700" s="3" t="s">
        <v>14626</v>
      </c>
      <c r="B700" s="6" t="s">
        <v>361</v>
      </c>
      <c r="C700" s="6" t="s">
        <v>3236</v>
      </c>
      <c r="D700" s="6" t="s">
        <v>3237</v>
      </c>
      <c r="E700" s="6" t="s">
        <v>3238</v>
      </c>
      <c r="F700" s="6" t="s">
        <v>3226</v>
      </c>
      <c r="G700" s="3" t="s">
        <v>11449</v>
      </c>
      <c r="H700" s="54">
        <v>0</v>
      </c>
      <c r="I700" s="16">
        <v>470000000</v>
      </c>
      <c r="J700" s="157" t="s">
        <v>229</v>
      </c>
      <c r="K700" s="5" t="s">
        <v>14596</v>
      </c>
      <c r="L700" s="17" t="s">
        <v>11411</v>
      </c>
      <c r="M700" s="3" t="s">
        <v>230</v>
      </c>
      <c r="N700" s="6" t="s">
        <v>524</v>
      </c>
      <c r="O700" s="6" t="s">
        <v>233</v>
      </c>
      <c r="P700" s="58" t="s">
        <v>241</v>
      </c>
      <c r="Q700" s="6" t="s">
        <v>234</v>
      </c>
      <c r="R700" s="1">
        <v>21</v>
      </c>
      <c r="S700" s="2">
        <v>438000</v>
      </c>
      <c r="T700" s="4">
        <f>R700*S700</f>
        <v>9198000</v>
      </c>
      <c r="U700" s="4">
        <f t="shared" si="30"/>
        <v>10301760.000000002</v>
      </c>
      <c r="V700" s="3" t="s">
        <v>362</v>
      </c>
      <c r="W700" s="3">
        <v>2014</v>
      </c>
      <c r="X700" s="3"/>
    </row>
    <row r="701" spans="1:24" ht="102">
      <c r="A701" s="3" t="s">
        <v>878</v>
      </c>
      <c r="B701" s="6" t="s">
        <v>361</v>
      </c>
      <c r="C701" s="6" t="s">
        <v>3236</v>
      </c>
      <c r="D701" s="6" t="s">
        <v>3237</v>
      </c>
      <c r="E701" s="6" t="s">
        <v>3238</v>
      </c>
      <c r="F701" s="6" t="s">
        <v>3227</v>
      </c>
      <c r="G701" s="3" t="s">
        <v>11449</v>
      </c>
      <c r="H701" s="54">
        <v>0</v>
      </c>
      <c r="I701" s="16">
        <v>470000000</v>
      </c>
      <c r="J701" s="157" t="s">
        <v>229</v>
      </c>
      <c r="K701" s="5" t="s">
        <v>210</v>
      </c>
      <c r="L701" s="6" t="s">
        <v>231</v>
      </c>
      <c r="M701" s="3" t="s">
        <v>230</v>
      </c>
      <c r="N701" s="6" t="s">
        <v>524</v>
      </c>
      <c r="O701" s="6" t="s">
        <v>233</v>
      </c>
      <c r="P701" s="58" t="s">
        <v>241</v>
      </c>
      <c r="Q701" s="6" t="s">
        <v>234</v>
      </c>
      <c r="R701" s="1">
        <v>36</v>
      </c>
      <c r="S701" s="2">
        <v>45000</v>
      </c>
      <c r="T701" s="4">
        <v>0</v>
      </c>
      <c r="U701" s="4">
        <f t="shared" si="30"/>
        <v>0</v>
      </c>
      <c r="V701" s="3" t="s">
        <v>362</v>
      </c>
      <c r="W701" s="3">
        <v>2014</v>
      </c>
      <c r="X701" s="3" t="s">
        <v>16408</v>
      </c>
    </row>
    <row r="702" spans="1:24" ht="102">
      <c r="A702" s="3" t="s">
        <v>14627</v>
      </c>
      <c r="B702" s="6" t="s">
        <v>361</v>
      </c>
      <c r="C702" s="6" t="s">
        <v>3236</v>
      </c>
      <c r="D702" s="6" t="s">
        <v>3237</v>
      </c>
      <c r="E702" s="6" t="s">
        <v>3238</v>
      </c>
      <c r="F702" s="6" t="s">
        <v>3227</v>
      </c>
      <c r="G702" s="3" t="s">
        <v>11449</v>
      </c>
      <c r="H702" s="54">
        <v>0</v>
      </c>
      <c r="I702" s="16">
        <v>470000000</v>
      </c>
      <c r="J702" s="157" t="s">
        <v>229</v>
      </c>
      <c r="K702" s="5" t="s">
        <v>14602</v>
      </c>
      <c r="L702" s="6" t="s">
        <v>231</v>
      </c>
      <c r="M702" s="3" t="s">
        <v>230</v>
      </c>
      <c r="N702" s="6" t="s">
        <v>524</v>
      </c>
      <c r="O702" s="6" t="s">
        <v>233</v>
      </c>
      <c r="P702" s="58" t="s">
        <v>241</v>
      </c>
      <c r="Q702" s="6" t="s">
        <v>234</v>
      </c>
      <c r="R702" s="1">
        <v>69</v>
      </c>
      <c r="S702" s="2">
        <v>54000</v>
      </c>
      <c r="T702" s="4">
        <f>R702*S702</f>
        <v>3726000</v>
      </c>
      <c r="U702" s="4">
        <f t="shared" si="30"/>
        <v>4173120.0000000005</v>
      </c>
      <c r="V702" s="3" t="s">
        <v>362</v>
      </c>
      <c r="W702" s="3">
        <v>2014</v>
      </c>
      <c r="X702" s="3"/>
    </row>
    <row r="703" spans="1:24" ht="114.75">
      <c r="A703" s="3" t="s">
        <v>879</v>
      </c>
      <c r="B703" s="6" t="s">
        <v>361</v>
      </c>
      <c r="C703" s="6" t="s">
        <v>3236</v>
      </c>
      <c r="D703" s="6" t="s">
        <v>3237</v>
      </c>
      <c r="E703" s="6" t="s">
        <v>3238</v>
      </c>
      <c r="F703" s="6" t="s">
        <v>3228</v>
      </c>
      <c r="G703" s="3" t="s">
        <v>11449</v>
      </c>
      <c r="H703" s="54">
        <v>0</v>
      </c>
      <c r="I703" s="16">
        <v>470000000</v>
      </c>
      <c r="J703" s="157" t="s">
        <v>229</v>
      </c>
      <c r="K703" s="5" t="s">
        <v>214</v>
      </c>
      <c r="L703" s="6" t="s">
        <v>231</v>
      </c>
      <c r="M703" s="3" t="s">
        <v>230</v>
      </c>
      <c r="N703" s="6" t="s">
        <v>524</v>
      </c>
      <c r="O703" s="6" t="s">
        <v>233</v>
      </c>
      <c r="P703" s="58" t="s">
        <v>241</v>
      </c>
      <c r="Q703" s="6" t="s">
        <v>234</v>
      </c>
      <c r="R703" s="1">
        <v>136</v>
      </c>
      <c r="S703" s="2">
        <v>92000</v>
      </c>
      <c r="T703" s="4">
        <v>0</v>
      </c>
      <c r="U703" s="4">
        <f t="shared" si="30"/>
        <v>0</v>
      </c>
      <c r="V703" s="3" t="s">
        <v>362</v>
      </c>
      <c r="W703" s="3">
        <v>2014</v>
      </c>
      <c r="X703" s="3">
        <v>11.12</v>
      </c>
    </row>
    <row r="704" spans="1:24" ht="114.75">
      <c r="A704" s="3" t="s">
        <v>12147</v>
      </c>
      <c r="B704" s="6" t="s">
        <v>361</v>
      </c>
      <c r="C704" s="6" t="s">
        <v>3236</v>
      </c>
      <c r="D704" s="6" t="s">
        <v>3237</v>
      </c>
      <c r="E704" s="6" t="s">
        <v>3238</v>
      </c>
      <c r="F704" s="6" t="s">
        <v>3228</v>
      </c>
      <c r="G704" s="3" t="s">
        <v>11449</v>
      </c>
      <c r="H704" s="54">
        <v>0</v>
      </c>
      <c r="I704" s="16">
        <v>470000000</v>
      </c>
      <c r="J704" s="157" t="s">
        <v>229</v>
      </c>
      <c r="K704" s="5" t="s">
        <v>217</v>
      </c>
      <c r="L704" s="17" t="s">
        <v>11411</v>
      </c>
      <c r="M704" s="3" t="s">
        <v>230</v>
      </c>
      <c r="N704" s="6" t="s">
        <v>524</v>
      </c>
      <c r="O704" s="6" t="s">
        <v>233</v>
      </c>
      <c r="P704" s="58" t="s">
        <v>241</v>
      </c>
      <c r="Q704" s="6" t="s">
        <v>234</v>
      </c>
      <c r="R704" s="1">
        <v>136</v>
      </c>
      <c r="S704" s="2">
        <v>92000</v>
      </c>
      <c r="T704" s="4">
        <v>0</v>
      </c>
      <c r="U704" s="4">
        <f t="shared" si="30"/>
        <v>0</v>
      </c>
      <c r="V704" s="3" t="s">
        <v>362</v>
      </c>
      <c r="W704" s="3">
        <v>2014</v>
      </c>
      <c r="X704" s="3" t="s">
        <v>12076</v>
      </c>
    </row>
    <row r="705" spans="1:24" ht="114.75">
      <c r="A705" s="3" t="s">
        <v>880</v>
      </c>
      <c r="B705" s="6" t="s">
        <v>361</v>
      </c>
      <c r="C705" s="6" t="s">
        <v>3236</v>
      </c>
      <c r="D705" s="6" t="s">
        <v>3237</v>
      </c>
      <c r="E705" s="6" t="s">
        <v>3238</v>
      </c>
      <c r="F705" s="6" t="s">
        <v>3229</v>
      </c>
      <c r="G705" s="3" t="s">
        <v>11449</v>
      </c>
      <c r="H705" s="54">
        <v>0</v>
      </c>
      <c r="I705" s="16">
        <v>470000000</v>
      </c>
      <c r="J705" s="157" t="s">
        <v>229</v>
      </c>
      <c r="K705" s="5" t="s">
        <v>211</v>
      </c>
      <c r="L705" s="6" t="s">
        <v>231</v>
      </c>
      <c r="M705" s="3" t="s">
        <v>230</v>
      </c>
      <c r="N705" s="6" t="s">
        <v>524</v>
      </c>
      <c r="O705" s="6" t="s">
        <v>233</v>
      </c>
      <c r="P705" s="58" t="s">
        <v>241</v>
      </c>
      <c r="Q705" s="6" t="s">
        <v>234</v>
      </c>
      <c r="R705" s="1">
        <v>2</v>
      </c>
      <c r="S705" s="2">
        <v>35000</v>
      </c>
      <c r="T705" s="4">
        <v>0</v>
      </c>
      <c r="U705" s="4">
        <f t="shared" si="30"/>
        <v>0</v>
      </c>
      <c r="V705" s="3" t="s">
        <v>362</v>
      </c>
      <c r="W705" s="3">
        <v>2014</v>
      </c>
      <c r="X705" s="3" t="s">
        <v>12076</v>
      </c>
    </row>
    <row r="706" spans="1:24" ht="102">
      <c r="A706" s="3" t="s">
        <v>881</v>
      </c>
      <c r="B706" s="6" t="s">
        <v>361</v>
      </c>
      <c r="C706" s="6" t="s">
        <v>3236</v>
      </c>
      <c r="D706" s="6" t="s">
        <v>3237</v>
      </c>
      <c r="E706" s="6" t="s">
        <v>3238</v>
      </c>
      <c r="F706" s="6" t="s">
        <v>16410</v>
      </c>
      <c r="G706" s="3" t="s">
        <v>11449</v>
      </c>
      <c r="H706" s="54">
        <v>0</v>
      </c>
      <c r="I706" s="16">
        <v>470000000</v>
      </c>
      <c r="J706" s="157" t="s">
        <v>229</v>
      </c>
      <c r="K706" s="5" t="s">
        <v>211</v>
      </c>
      <c r="L706" s="6" t="s">
        <v>231</v>
      </c>
      <c r="M706" s="3" t="s">
        <v>230</v>
      </c>
      <c r="N706" s="6" t="s">
        <v>524</v>
      </c>
      <c r="O706" s="6" t="s">
        <v>233</v>
      </c>
      <c r="P706" s="58" t="s">
        <v>241</v>
      </c>
      <c r="Q706" s="6" t="s">
        <v>234</v>
      </c>
      <c r="R706" s="1">
        <v>4</v>
      </c>
      <c r="S706" s="2">
        <v>265000</v>
      </c>
      <c r="T706" s="4">
        <v>0</v>
      </c>
      <c r="U706" s="4">
        <f t="shared" si="30"/>
        <v>0</v>
      </c>
      <c r="V706" s="3" t="s">
        <v>362</v>
      </c>
      <c r="W706" s="3">
        <v>2014</v>
      </c>
      <c r="X706" s="3" t="s">
        <v>12076</v>
      </c>
    </row>
    <row r="707" spans="1:24" ht="102">
      <c r="A707" s="3" t="s">
        <v>882</v>
      </c>
      <c r="B707" s="6" t="s">
        <v>361</v>
      </c>
      <c r="C707" s="6" t="s">
        <v>3236</v>
      </c>
      <c r="D707" s="6" t="s">
        <v>3237</v>
      </c>
      <c r="E707" s="6" t="s">
        <v>3238</v>
      </c>
      <c r="F707" s="6" t="s">
        <v>3230</v>
      </c>
      <c r="G707" s="3" t="s">
        <v>11449</v>
      </c>
      <c r="H707" s="54">
        <v>0</v>
      </c>
      <c r="I707" s="16">
        <v>470000000</v>
      </c>
      <c r="J707" s="157" t="s">
        <v>229</v>
      </c>
      <c r="K707" s="5" t="s">
        <v>211</v>
      </c>
      <c r="L707" s="6" t="s">
        <v>231</v>
      </c>
      <c r="M707" s="3" t="s">
        <v>230</v>
      </c>
      <c r="N707" s="6" t="s">
        <v>524</v>
      </c>
      <c r="O707" s="6" t="s">
        <v>233</v>
      </c>
      <c r="P707" s="58" t="s">
        <v>241</v>
      </c>
      <c r="Q707" s="6" t="s">
        <v>234</v>
      </c>
      <c r="R707" s="1">
        <v>10</v>
      </c>
      <c r="S707" s="2">
        <v>56000</v>
      </c>
      <c r="T707" s="4">
        <v>0</v>
      </c>
      <c r="U707" s="4">
        <f t="shared" si="30"/>
        <v>0</v>
      </c>
      <c r="V707" s="3" t="s">
        <v>362</v>
      </c>
      <c r="W707" s="3">
        <v>2014</v>
      </c>
      <c r="X707" s="3">
        <v>11.12</v>
      </c>
    </row>
    <row r="708" spans="1:24" ht="102">
      <c r="A708" s="3" t="s">
        <v>11980</v>
      </c>
      <c r="B708" s="6" t="s">
        <v>361</v>
      </c>
      <c r="C708" s="6" t="s">
        <v>3236</v>
      </c>
      <c r="D708" s="6" t="s">
        <v>3237</v>
      </c>
      <c r="E708" s="6" t="s">
        <v>3238</v>
      </c>
      <c r="F708" s="6" t="s">
        <v>3230</v>
      </c>
      <c r="G708" s="3" t="s">
        <v>11449</v>
      </c>
      <c r="H708" s="54">
        <v>0</v>
      </c>
      <c r="I708" s="16">
        <v>470000000</v>
      </c>
      <c r="J708" s="157" t="s">
        <v>229</v>
      </c>
      <c r="K708" s="5" t="s">
        <v>209</v>
      </c>
      <c r="L708" s="17" t="s">
        <v>11411</v>
      </c>
      <c r="M708" s="3" t="s">
        <v>230</v>
      </c>
      <c r="N708" s="6" t="s">
        <v>524</v>
      </c>
      <c r="O708" s="6" t="s">
        <v>233</v>
      </c>
      <c r="P708" s="58" t="s">
        <v>241</v>
      </c>
      <c r="Q708" s="6" t="s">
        <v>234</v>
      </c>
      <c r="R708" s="1">
        <v>10</v>
      </c>
      <c r="S708" s="2">
        <v>56000</v>
      </c>
      <c r="T708" s="4">
        <v>0</v>
      </c>
      <c r="U708" s="4">
        <f t="shared" si="30"/>
        <v>0</v>
      </c>
      <c r="V708" s="3" t="s">
        <v>362</v>
      </c>
      <c r="W708" s="3">
        <v>2014</v>
      </c>
      <c r="X708" s="3" t="s">
        <v>14588</v>
      </c>
    </row>
    <row r="709" spans="1:24" ht="102">
      <c r="A709" s="3" t="s">
        <v>14628</v>
      </c>
      <c r="B709" s="6" t="s">
        <v>361</v>
      </c>
      <c r="C709" s="6" t="s">
        <v>3236</v>
      </c>
      <c r="D709" s="6" t="s">
        <v>3237</v>
      </c>
      <c r="E709" s="6" t="s">
        <v>3238</v>
      </c>
      <c r="F709" s="6" t="s">
        <v>3230</v>
      </c>
      <c r="G709" s="3" t="s">
        <v>11449</v>
      </c>
      <c r="H709" s="54">
        <v>0</v>
      </c>
      <c r="I709" s="16">
        <v>470000000</v>
      </c>
      <c r="J709" s="157" t="s">
        <v>229</v>
      </c>
      <c r="K709" s="5" t="s">
        <v>14620</v>
      </c>
      <c r="L709" s="17" t="s">
        <v>11411</v>
      </c>
      <c r="M709" s="3" t="s">
        <v>230</v>
      </c>
      <c r="N709" s="6" t="s">
        <v>524</v>
      </c>
      <c r="O709" s="6" t="s">
        <v>233</v>
      </c>
      <c r="P709" s="58" t="s">
        <v>241</v>
      </c>
      <c r="Q709" s="6" t="s">
        <v>234</v>
      </c>
      <c r="R709" s="1">
        <v>29</v>
      </c>
      <c r="S709" s="2">
        <v>67200</v>
      </c>
      <c r="T709" s="4">
        <v>0</v>
      </c>
      <c r="U709" s="4">
        <f t="shared" si="30"/>
        <v>0</v>
      </c>
      <c r="V709" s="3" t="s">
        <v>362</v>
      </c>
      <c r="W709" s="3">
        <v>2014</v>
      </c>
      <c r="X709" s="3">
        <v>11</v>
      </c>
    </row>
    <row r="710" spans="1:24" ht="102">
      <c r="A710" s="3" t="s">
        <v>18318</v>
      </c>
      <c r="B710" s="6" t="s">
        <v>361</v>
      </c>
      <c r="C710" s="6" t="s">
        <v>3236</v>
      </c>
      <c r="D710" s="6" t="s">
        <v>3237</v>
      </c>
      <c r="E710" s="6" t="s">
        <v>3238</v>
      </c>
      <c r="F710" s="6" t="s">
        <v>3230</v>
      </c>
      <c r="G710" s="3" t="s">
        <v>11449</v>
      </c>
      <c r="H710" s="54">
        <v>0</v>
      </c>
      <c r="I710" s="16">
        <v>470000000</v>
      </c>
      <c r="J710" s="157" t="s">
        <v>229</v>
      </c>
      <c r="K710" s="5" t="s">
        <v>8950</v>
      </c>
      <c r="L710" s="17" t="s">
        <v>11411</v>
      </c>
      <c r="M710" s="3" t="s">
        <v>230</v>
      </c>
      <c r="N710" s="6" t="s">
        <v>524</v>
      </c>
      <c r="O710" s="6" t="s">
        <v>233</v>
      </c>
      <c r="P710" s="58" t="s">
        <v>241</v>
      </c>
      <c r="Q710" s="6" t="s">
        <v>234</v>
      </c>
      <c r="R710" s="1">
        <v>29</v>
      </c>
      <c r="S710" s="2">
        <v>67200</v>
      </c>
      <c r="T710" s="4">
        <f>R710*S710</f>
        <v>1948800</v>
      </c>
      <c r="U710" s="4">
        <f t="shared" si="30"/>
        <v>2182656</v>
      </c>
      <c r="V710" s="3" t="s">
        <v>362</v>
      </c>
      <c r="W710" s="3">
        <v>2014</v>
      </c>
      <c r="X710" s="3"/>
    </row>
    <row r="711" spans="1:24" ht="102">
      <c r="A711" s="3" t="s">
        <v>883</v>
      </c>
      <c r="B711" s="6" t="s">
        <v>361</v>
      </c>
      <c r="C711" s="6" t="s">
        <v>3236</v>
      </c>
      <c r="D711" s="6" t="s">
        <v>3237</v>
      </c>
      <c r="E711" s="6" t="s">
        <v>3238</v>
      </c>
      <c r="F711" s="6" t="s">
        <v>3231</v>
      </c>
      <c r="G711" s="3" t="s">
        <v>11449</v>
      </c>
      <c r="H711" s="54">
        <v>0</v>
      </c>
      <c r="I711" s="16">
        <v>470000000</v>
      </c>
      <c r="J711" s="157" t="s">
        <v>229</v>
      </c>
      <c r="K711" s="5" t="s">
        <v>215</v>
      </c>
      <c r="L711" s="6" t="s">
        <v>231</v>
      </c>
      <c r="M711" s="3" t="s">
        <v>230</v>
      </c>
      <c r="N711" s="6" t="s">
        <v>524</v>
      </c>
      <c r="O711" s="6" t="s">
        <v>233</v>
      </c>
      <c r="P711" s="58" t="s">
        <v>241</v>
      </c>
      <c r="Q711" s="6" t="s">
        <v>234</v>
      </c>
      <c r="R711" s="1">
        <v>275</v>
      </c>
      <c r="S711" s="2">
        <v>28000</v>
      </c>
      <c r="T711" s="4">
        <v>0</v>
      </c>
      <c r="U711" s="4">
        <f t="shared" si="30"/>
        <v>0</v>
      </c>
      <c r="V711" s="3" t="s">
        <v>362</v>
      </c>
      <c r="W711" s="3">
        <v>2014</v>
      </c>
      <c r="X711" s="3">
        <v>11.12</v>
      </c>
    </row>
    <row r="712" spans="1:24" ht="102">
      <c r="A712" s="3" t="s">
        <v>12148</v>
      </c>
      <c r="B712" s="6" t="s">
        <v>361</v>
      </c>
      <c r="C712" s="6" t="s">
        <v>3236</v>
      </c>
      <c r="D712" s="6" t="s">
        <v>3237</v>
      </c>
      <c r="E712" s="6" t="s">
        <v>3238</v>
      </c>
      <c r="F712" s="6" t="s">
        <v>3231</v>
      </c>
      <c r="G712" s="3" t="s">
        <v>11449</v>
      </c>
      <c r="H712" s="54">
        <v>0</v>
      </c>
      <c r="I712" s="16">
        <v>470000000</v>
      </c>
      <c r="J712" s="157" t="s">
        <v>229</v>
      </c>
      <c r="K712" s="5" t="s">
        <v>217</v>
      </c>
      <c r="L712" s="17" t="s">
        <v>11411</v>
      </c>
      <c r="M712" s="3" t="s">
        <v>230</v>
      </c>
      <c r="N712" s="6" t="s">
        <v>524</v>
      </c>
      <c r="O712" s="6" t="s">
        <v>233</v>
      </c>
      <c r="P712" s="58" t="s">
        <v>241</v>
      </c>
      <c r="Q712" s="6" t="s">
        <v>234</v>
      </c>
      <c r="R712" s="1">
        <v>275</v>
      </c>
      <c r="S712" s="2">
        <v>28000</v>
      </c>
      <c r="T712" s="4">
        <v>0</v>
      </c>
      <c r="U712" s="4">
        <f t="shared" si="30"/>
        <v>0</v>
      </c>
      <c r="V712" s="3" t="s">
        <v>362</v>
      </c>
      <c r="W712" s="3">
        <v>2014</v>
      </c>
      <c r="X712" s="3" t="s">
        <v>14588</v>
      </c>
    </row>
    <row r="713" spans="1:24" ht="102">
      <c r="A713" s="3" t="s">
        <v>14629</v>
      </c>
      <c r="B713" s="6" t="s">
        <v>361</v>
      </c>
      <c r="C713" s="6" t="s">
        <v>3236</v>
      </c>
      <c r="D713" s="6" t="s">
        <v>3237</v>
      </c>
      <c r="E713" s="6" t="s">
        <v>3238</v>
      </c>
      <c r="F713" s="6" t="s">
        <v>3231</v>
      </c>
      <c r="G713" s="3" t="s">
        <v>11449</v>
      </c>
      <c r="H713" s="54">
        <v>0</v>
      </c>
      <c r="I713" s="16">
        <v>470000000</v>
      </c>
      <c r="J713" s="157" t="s">
        <v>229</v>
      </c>
      <c r="K713" s="5" t="s">
        <v>14596</v>
      </c>
      <c r="L713" s="17" t="s">
        <v>11411</v>
      </c>
      <c r="M713" s="3" t="s">
        <v>230</v>
      </c>
      <c r="N713" s="6" t="s">
        <v>524</v>
      </c>
      <c r="O713" s="6" t="s">
        <v>233</v>
      </c>
      <c r="P713" s="58" t="s">
        <v>241</v>
      </c>
      <c r="Q713" s="6" t="s">
        <v>234</v>
      </c>
      <c r="R713" s="1">
        <v>165</v>
      </c>
      <c r="S713" s="2">
        <v>33600</v>
      </c>
      <c r="T713" s="4">
        <f>R713*S713</f>
        <v>5544000</v>
      </c>
      <c r="U713" s="4">
        <f t="shared" si="30"/>
        <v>6209280.0000000009</v>
      </c>
      <c r="V713" s="3" t="s">
        <v>362</v>
      </c>
      <c r="W713" s="3">
        <v>2014</v>
      </c>
      <c r="X713" s="3"/>
    </row>
    <row r="714" spans="1:24" ht="102">
      <c r="A714" s="3" t="s">
        <v>884</v>
      </c>
      <c r="B714" s="6" t="s">
        <v>361</v>
      </c>
      <c r="C714" s="6" t="s">
        <v>3236</v>
      </c>
      <c r="D714" s="6" t="s">
        <v>3237</v>
      </c>
      <c r="E714" s="6" t="s">
        <v>3238</v>
      </c>
      <c r="F714" s="6" t="s">
        <v>3232</v>
      </c>
      <c r="G714" s="3" t="s">
        <v>11449</v>
      </c>
      <c r="H714" s="54">
        <v>0</v>
      </c>
      <c r="I714" s="16">
        <v>470000000</v>
      </c>
      <c r="J714" s="157" t="s">
        <v>229</v>
      </c>
      <c r="K714" s="5" t="s">
        <v>214</v>
      </c>
      <c r="L714" s="6" t="s">
        <v>231</v>
      </c>
      <c r="M714" s="3" t="s">
        <v>230</v>
      </c>
      <c r="N714" s="6" t="s">
        <v>524</v>
      </c>
      <c r="O714" s="6" t="s">
        <v>233</v>
      </c>
      <c r="P714" s="58" t="s">
        <v>241</v>
      </c>
      <c r="Q714" s="6" t="s">
        <v>234</v>
      </c>
      <c r="R714" s="1">
        <v>160</v>
      </c>
      <c r="S714" s="2">
        <v>180000</v>
      </c>
      <c r="T714" s="4">
        <v>0</v>
      </c>
      <c r="U714" s="4">
        <f t="shared" si="30"/>
        <v>0</v>
      </c>
      <c r="V714" s="3" t="s">
        <v>362</v>
      </c>
      <c r="W714" s="3">
        <v>2014</v>
      </c>
      <c r="X714" s="3">
        <v>11.12</v>
      </c>
    </row>
    <row r="715" spans="1:24" ht="89.25">
      <c r="A715" s="3" t="s">
        <v>12149</v>
      </c>
      <c r="B715" s="6" t="s">
        <v>361</v>
      </c>
      <c r="C715" s="6" t="s">
        <v>3236</v>
      </c>
      <c r="D715" s="6" t="s">
        <v>3237</v>
      </c>
      <c r="E715" s="6" t="s">
        <v>3238</v>
      </c>
      <c r="F715" s="6" t="s">
        <v>3232</v>
      </c>
      <c r="G715" s="3" t="s">
        <v>11449</v>
      </c>
      <c r="H715" s="54">
        <v>0</v>
      </c>
      <c r="I715" s="16">
        <v>470000000</v>
      </c>
      <c r="J715" s="157" t="s">
        <v>229</v>
      </c>
      <c r="K715" s="5" t="s">
        <v>217</v>
      </c>
      <c r="L715" s="17" t="s">
        <v>11411</v>
      </c>
      <c r="M715" s="3" t="s">
        <v>230</v>
      </c>
      <c r="N715" s="6" t="s">
        <v>524</v>
      </c>
      <c r="O715" s="6" t="s">
        <v>233</v>
      </c>
      <c r="P715" s="58" t="s">
        <v>241</v>
      </c>
      <c r="Q715" s="6" t="s">
        <v>234</v>
      </c>
      <c r="R715" s="1">
        <v>160</v>
      </c>
      <c r="S715" s="2">
        <v>180000</v>
      </c>
      <c r="T715" s="4">
        <v>0</v>
      </c>
      <c r="U715" s="4">
        <f t="shared" si="30"/>
        <v>0</v>
      </c>
      <c r="V715" s="3" t="s">
        <v>362</v>
      </c>
      <c r="W715" s="3">
        <v>2014</v>
      </c>
      <c r="X715" s="3" t="s">
        <v>12076</v>
      </c>
    </row>
    <row r="716" spans="1:24" ht="102">
      <c r="A716" s="3" t="s">
        <v>885</v>
      </c>
      <c r="B716" s="6" t="s">
        <v>361</v>
      </c>
      <c r="C716" s="6" t="s">
        <v>3239</v>
      </c>
      <c r="D716" s="6" t="s">
        <v>3240</v>
      </c>
      <c r="E716" s="6" t="s">
        <v>3241</v>
      </c>
      <c r="F716" s="6" t="s">
        <v>3233</v>
      </c>
      <c r="G716" s="3" t="s">
        <v>11449</v>
      </c>
      <c r="H716" s="54">
        <v>0</v>
      </c>
      <c r="I716" s="16">
        <v>470000000</v>
      </c>
      <c r="J716" s="157" t="s">
        <v>229</v>
      </c>
      <c r="K716" s="5" t="s">
        <v>214</v>
      </c>
      <c r="L716" s="6" t="s">
        <v>231</v>
      </c>
      <c r="M716" s="3" t="s">
        <v>230</v>
      </c>
      <c r="N716" s="6" t="s">
        <v>524</v>
      </c>
      <c r="O716" s="6" t="s">
        <v>233</v>
      </c>
      <c r="P716" s="58">
        <v>839</v>
      </c>
      <c r="Q716" s="6" t="s">
        <v>239</v>
      </c>
      <c r="R716" s="1">
        <v>56</v>
      </c>
      <c r="S716" s="2">
        <v>265000</v>
      </c>
      <c r="T716" s="4">
        <v>0</v>
      </c>
      <c r="U716" s="4">
        <f t="shared" si="30"/>
        <v>0</v>
      </c>
      <c r="V716" s="3" t="s">
        <v>362</v>
      </c>
      <c r="W716" s="3">
        <v>2014</v>
      </c>
      <c r="X716" s="3">
        <v>11.12</v>
      </c>
    </row>
    <row r="717" spans="1:24" ht="89.25">
      <c r="A717" s="3" t="s">
        <v>12150</v>
      </c>
      <c r="B717" s="6" t="s">
        <v>361</v>
      </c>
      <c r="C717" s="6" t="s">
        <v>3239</v>
      </c>
      <c r="D717" s="6" t="s">
        <v>3240</v>
      </c>
      <c r="E717" s="6" t="s">
        <v>3241</v>
      </c>
      <c r="F717" s="6" t="s">
        <v>3233</v>
      </c>
      <c r="G717" s="3" t="s">
        <v>11449</v>
      </c>
      <c r="H717" s="54">
        <v>0</v>
      </c>
      <c r="I717" s="16">
        <v>470000000</v>
      </c>
      <c r="J717" s="157" t="s">
        <v>229</v>
      </c>
      <c r="K717" s="5" t="s">
        <v>217</v>
      </c>
      <c r="L717" s="17" t="s">
        <v>11411</v>
      </c>
      <c r="M717" s="3" t="s">
        <v>230</v>
      </c>
      <c r="N717" s="6" t="s">
        <v>524</v>
      </c>
      <c r="O717" s="6" t="s">
        <v>233</v>
      </c>
      <c r="P717" s="58" t="s">
        <v>241</v>
      </c>
      <c r="Q717" s="6" t="s">
        <v>234</v>
      </c>
      <c r="R717" s="1">
        <v>56</v>
      </c>
      <c r="S717" s="2">
        <v>265000</v>
      </c>
      <c r="T717" s="4">
        <v>0</v>
      </c>
      <c r="U717" s="4">
        <f t="shared" si="30"/>
        <v>0</v>
      </c>
      <c r="V717" s="3" t="s">
        <v>362</v>
      </c>
      <c r="W717" s="3">
        <v>2014</v>
      </c>
      <c r="X717" s="3" t="s">
        <v>14630</v>
      </c>
    </row>
    <row r="718" spans="1:24" ht="102">
      <c r="A718" s="3" t="s">
        <v>886</v>
      </c>
      <c r="B718" s="6" t="s">
        <v>361</v>
      </c>
      <c r="C718" s="6" t="s">
        <v>3247</v>
      </c>
      <c r="D718" s="6" t="s">
        <v>255</v>
      </c>
      <c r="E718" s="6" t="s">
        <v>3248</v>
      </c>
      <c r="F718" s="6" t="s">
        <v>3246</v>
      </c>
      <c r="G718" s="3" t="s">
        <v>11450</v>
      </c>
      <c r="H718" s="54">
        <v>0</v>
      </c>
      <c r="I718" s="16">
        <v>470000000</v>
      </c>
      <c r="J718" s="157" t="s">
        <v>229</v>
      </c>
      <c r="K718" s="5" t="s">
        <v>211</v>
      </c>
      <c r="L718" s="6" t="s">
        <v>231</v>
      </c>
      <c r="M718" s="3" t="s">
        <v>230</v>
      </c>
      <c r="N718" s="6" t="s">
        <v>524</v>
      </c>
      <c r="O718" s="6" t="s">
        <v>233</v>
      </c>
      <c r="P718" s="58">
        <v>169</v>
      </c>
      <c r="Q718" s="6" t="s">
        <v>240</v>
      </c>
      <c r="R718" s="118">
        <v>16.8</v>
      </c>
      <c r="S718" s="2">
        <v>147321</v>
      </c>
      <c r="T718" s="4">
        <v>0</v>
      </c>
      <c r="U718" s="4">
        <f t="shared" si="30"/>
        <v>0</v>
      </c>
      <c r="V718" s="3" t="s">
        <v>362</v>
      </c>
      <c r="W718" s="3">
        <v>2014</v>
      </c>
      <c r="X718" s="3" t="s">
        <v>12076</v>
      </c>
    </row>
    <row r="719" spans="1:24" ht="102">
      <c r="A719" s="3" t="s">
        <v>887</v>
      </c>
      <c r="B719" s="6" t="s">
        <v>361</v>
      </c>
      <c r="C719" s="6" t="s">
        <v>3243</v>
      </c>
      <c r="D719" s="6" t="s">
        <v>3244</v>
      </c>
      <c r="E719" s="6" t="s">
        <v>3245</v>
      </c>
      <c r="F719" s="6" t="s">
        <v>3242</v>
      </c>
      <c r="G719" s="3" t="s">
        <v>11449</v>
      </c>
      <c r="H719" s="54">
        <v>0</v>
      </c>
      <c r="I719" s="16">
        <v>470000000</v>
      </c>
      <c r="J719" s="157" t="s">
        <v>229</v>
      </c>
      <c r="K719" s="5" t="s">
        <v>210</v>
      </c>
      <c r="L719" s="6" t="s">
        <v>231</v>
      </c>
      <c r="M719" s="3" t="s">
        <v>230</v>
      </c>
      <c r="N719" s="6" t="s">
        <v>524</v>
      </c>
      <c r="O719" s="6" t="s">
        <v>233</v>
      </c>
      <c r="P719" s="58">
        <v>796</v>
      </c>
      <c r="Q719" s="6" t="s">
        <v>234</v>
      </c>
      <c r="R719" s="222">
        <v>41</v>
      </c>
      <c r="S719" s="2">
        <v>285000</v>
      </c>
      <c r="T719" s="4">
        <v>0</v>
      </c>
      <c r="U719" s="4">
        <f t="shared" si="30"/>
        <v>0</v>
      </c>
      <c r="V719" s="3" t="s">
        <v>362</v>
      </c>
      <c r="W719" s="3">
        <v>2014</v>
      </c>
      <c r="X719" s="3" t="s">
        <v>14588</v>
      </c>
    </row>
    <row r="720" spans="1:24" ht="102">
      <c r="A720" s="3" t="s">
        <v>14631</v>
      </c>
      <c r="B720" s="6" t="s">
        <v>361</v>
      </c>
      <c r="C720" s="6" t="s">
        <v>3243</v>
      </c>
      <c r="D720" s="6" t="s">
        <v>3244</v>
      </c>
      <c r="E720" s="6" t="s">
        <v>3245</v>
      </c>
      <c r="F720" s="6" t="s">
        <v>3242</v>
      </c>
      <c r="G720" s="3" t="s">
        <v>11449</v>
      </c>
      <c r="H720" s="54">
        <v>0</v>
      </c>
      <c r="I720" s="16">
        <v>470000000</v>
      </c>
      <c r="J720" s="157" t="s">
        <v>229</v>
      </c>
      <c r="K720" s="5" t="s">
        <v>14602</v>
      </c>
      <c r="L720" s="6" t="s">
        <v>231</v>
      </c>
      <c r="M720" s="3" t="s">
        <v>230</v>
      </c>
      <c r="N720" s="6" t="s">
        <v>524</v>
      </c>
      <c r="O720" s="6" t="s">
        <v>233</v>
      </c>
      <c r="P720" s="58">
        <v>796</v>
      </c>
      <c r="Q720" s="6" t="s">
        <v>234</v>
      </c>
      <c r="R720" s="222">
        <v>47</v>
      </c>
      <c r="S720" s="2">
        <v>254548.212</v>
      </c>
      <c r="T720" s="4">
        <v>0</v>
      </c>
      <c r="U720" s="4">
        <f t="shared" si="30"/>
        <v>0</v>
      </c>
      <c r="V720" s="3" t="s">
        <v>362</v>
      </c>
      <c r="W720" s="3">
        <v>2014</v>
      </c>
      <c r="X720" s="3" t="s">
        <v>19081</v>
      </c>
    </row>
    <row r="721" spans="1:24" ht="89.25">
      <c r="A721" s="3" t="s">
        <v>19079</v>
      </c>
      <c r="B721" s="6" t="s">
        <v>361</v>
      </c>
      <c r="C721" s="6" t="s">
        <v>3243</v>
      </c>
      <c r="D721" s="6" t="s">
        <v>3244</v>
      </c>
      <c r="E721" s="6" t="s">
        <v>3245</v>
      </c>
      <c r="F721" s="6" t="s">
        <v>3242</v>
      </c>
      <c r="G721" s="3" t="s">
        <v>11449</v>
      </c>
      <c r="H721" s="54">
        <v>0.2</v>
      </c>
      <c r="I721" s="16">
        <v>470000000</v>
      </c>
      <c r="J721" s="157" t="s">
        <v>229</v>
      </c>
      <c r="K721" s="5" t="s">
        <v>19080</v>
      </c>
      <c r="L721" s="17" t="s">
        <v>11411</v>
      </c>
      <c r="M721" s="3" t="s">
        <v>230</v>
      </c>
      <c r="N721" s="6" t="s">
        <v>528</v>
      </c>
      <c r="O721" s="6" t="s">
        <v>18749</v>
      </c>
      <c r="P721" s="58">
        <v>796</v>
      </c>
      <c r="Q721" s="6" t="s">
        <v>234</v>
      </c>
      <c r="R721" s="222">
        <v>47</v>
      </c>
      <c r="S721" s="2">
        <v>300000</v>
      </c>
      <c r="T721" s="4">
        <f>R721*S721</f>
        <v>14100000</v>
      </c>
      <c r="U721" s="4">
        <f t="shared" ref="U721" si="31">T721*1.12</f>
        <v>15792000.000000002</v>
      </c>
      <c r="V721" s="3" t="s">
        <v>362</v>
      </c>
      <c r="W721" s="3">
        <v>2014</v>
      </c>
      <c r="X721" s="3"/>
    </row>
    <row r="722" spans="1:24" ht="102">
      <c r="A722" s="3" t="s">
        <v>888</v>
      </c>
      <c r="B722" s="6" t="s">
        <v>361</v>
      </c>
      <c r="C722" s="6" t="s">
        <v>3243</v>
      </c>
      <c r="D722" s="6" t="s">
        <v>3244</v>
      </c>
      <c r="E722" s="6" t="s">
        <v>3245</v>
      </c>
      <c r="F722" s="6" t="s">
        <v>3249</v>
      </c>
      <c r="G722" s="3" t="s">
        <v>11449</v>
      </c>
      <c r="H722" s="54">
        <v>0</v>
      </c>
      <c r="I722" s="16">
        <v>470000000</v>
      </c>
      <c r="J722" s="157" t="s">
        <v>229</v>
      </c>
      <c r="K722" s="5" t="s">
        <v>210</v>
      </c>
      <c r="L722" s="6" t="s">
        <v>231</v>
      </c>
      <c r="M722" s="3" t="s">
        <v>230</v>
      </c>
      <c r="N722" s="6" t="s">
        <v>524</v>
      </c>
      <c r="O722" s="6" t="s">
        <v>233</v>
      </c>
      <c r="P722" s="58">
        <v>839</v>
      </c>
      <c r="Q722" s="6" t="s">
        <v>239</v>
      </c>
      <c r="R722" s="222">
        <v>3</v>
      </c>
      <c r="S722" s="2">
        <v>55000</v>
      </c>
      <c r="T722" s="4">
        <v>0</v>
      </c>
      <c r="U722" s="4">
        <f t="shared" si="30"/>
        <v>0</v>
      </c>
      <c r="V722" s="3" t="s">
        <v>362</v>
      </c>
      <c r="W722" s="3">
        <v>2014</v>
      </c>
      <c r="X722" s="3" t="s">
        <v>14588</v>
      </c>
    </row>
    <row r="723" spans="1:24" ht="102">
      <c r="A723" s="3" t="s">
        <v>14632</v>
      </c>
      <c r="B723" s="6" t="s">
        <v>361</v>
      </c>
      <c r="C723" s="6" t="s">
        <v>3243</v>
      </c>
      <c r="D723" s="6" t="s">
        <v>3244</v>
      </c>
      <c r="E723" s="6" t="s">
        <v>3245</v>
      </c>
      <c r="F723" s="6" t="s">
        <v>3249</v>
      </c>
      <c r="G723" s="3" t="s">
        <v>11449</v>
      </c>
      <c r="H723" s="54">
        <v>0</v>
      </c>
      <c r="I723" s="16">
        <v>470000000</v>
      </c>
      <c r="J723" s="157" t="s">
        <v>229</v>
      </c>
      <c r="K723" s="5" t="s">
        <v>14602</v>
      </c>
      <c r="L723" s="6" t="s">
        <v>231</v>
      </c>
      <c r="M723" s="3" t="s">
        <v>230</v>
      </c>
      <c r="N723" s="6" t="s">
        <v>524</v>
      </c>
      <c r="O723" s="6" t="s">
        <v>233</v>
      </c>
      <c r="P723" s="58">
        <v>839</v>
      </c>
      <c r="Q723" s="6" t="s">
        <v>239</v>
      </c>
      <c r="R723" s="222">
        <v>3</v>
      </c>
      <c r="S723" s="2">
        <v>66000</v>
      </c>
      <c r="T723" s="4">
        <v>0</v>
      </c>
      <c r="U723" s="4">
        <f t="shared" si="30"/>
        <v>0</v>
      </c>
      <c r="V723" s="3" t="s">
        <v>362</v>
      </c>
      <c r="W723" s="3">
        <v>2014</v>
      </c>
      <c r="X723" s="3" t="s">
        <v>19083</v>
      </c>
    </row>
    <row r="724" spans="1:24" ht="89.25">
      <c r="A724" s="3" t="s">
        <v>19082</v>
      </c>
      <c r="B724" s="6" t="s">
        <v>361</v>
      </c>
      <c r="C724" s="6" t="s">
        <v>3243</v>
      </c>
      <c r="D724" s="6" t="s">
        <v>3244</v>
      </c>
      <c r="E724" s="6" t="s">
        <v>3245</v>
      </c>
      <c r="F724" s="6" t="s">
        <v>3249</v>
      </c>
      <c r="G724" s="3" t="s">
        <v>11449</v>
      </c>
      <c r="H724" s="54">
        <v>0.2</v>
      </c>
      <c r="I724" s="16">
        <v>470000000</v>
      </c>
      <c r="J724" s="157" t="s">
        <v>229</v>
      </c>
      <c r="K724" s="5" t="s">
        <v>9369</v>
      </c>
      <c r="L724" s="17" t="s">
        <v>11411</v>
      </c>
      <c r="M724" s="3" t="s">
        <v>230</v>
      </c>
      <c r="N724" s="6" t="s">
        <v>528</v>
      </c>
      <c r="O724" s="6" t="s">
        <v>18749</v>
      </c>
      <c r="P724" s="58" t="s">
        <v>241</v>
      </c>
      <c r="Q724" s="6" t="s">
        <v>234</v>
      </c>
      <c r="R724" s="222">
        <v>3</v>
      </c>
      <c r="S724" s="2">
        <v>66000</v>
      </c>
      <c r="T724" s="4">
        <f>R724*S724</f>
        <v>198000</v>
      </c>
      <c r="U724" s="4">
        <f t="shared" ref="U724" si="32">T724*1.12</f>
        <v>221760.00000000003</v>
      </c>
      <c r="V724" s="3" t="s">
        <v>362</v>
      </c>
      <c r="W724" s="3">
        <v>2014</v>
      </c>
      <c r="X724" s="3"/>
    </row>
    <row r="725" spans="1:24" ht="102">
      <c r="A725" s="3" t="s">
        <v>889</v>
      </c>
      <c r="B725" s="6" t="s">
        <v>361</v>
      </c>
      <c r="C725" s="6" t="s">
        <v>3243</v>
      </c>
      <c r="D725" s="6" t="s">
        <v>3244</v>
      </c>
      <c r="E725" s="6" t="s">
        <v>3245</v>
      </c>
      <c r="F725" s="5" t="s">
        <v>3250</v>
      </c>
      <c r="G725" s="3" t="s">
        <v>11449</v>
      </c>
      <c r="H725" s="54">
        <v>0</v>
      </c>
      <c r="I725" s="16">
        <v>470000000</v>
      </c>
      <c r="J725" s="157" t="s">
        <v>229</v>
      </c>
      <c r="K725" s="5" t="s">
        <v>210</v>
      </c>
      <c r="L725" s="6" t="s">
        <v>231</v>
      </c>
      <c r="M725" s="3" t="s">
        <v>230</v>
      </c>
      <c r="N725" s="6" t="s">
        <v>524</v>
      </c>
      <c r="O725" s="6" t="s">
        <v>233</v>
      </c>
      <c r="P725" s="58">
        <v>796</v>
      </c>
      <c r="Q725" s="6" t="s">
        <v>234</v>
      </c>
      <c r="R725" s="222">
        <v>2</v>
      </c>
      <c r="S725" s="2">
        <v>45000</v>
      </c>
      <c r="T725" s="4">
        <v>0</v>
      </c>
      <c r="U725" s="4">
        <f t="shared" si="30"/>
        <v>0</v>
      </c>
      <c r="V725" s="3" t="s">
        <v>362</v>
      </c>
      <c r="W725" s="3">
        <v>2014</v>
      </c>
      <c r="X725" s="3" t="s">
        <v>14588</v>
      </c>
    </row>
    <row r="726" spans="1:24" ht="102">
      <c r="A726" s="3" t="s">
        <v>14633</v>
      </c>
      <c r="B726" s="6" t="s">
        <v>361</v>
      </c>
      <c r="C726" s="6" t="s">
        <v>3243</v>
      </c>
      <c r="D726" s="6" t="s">
        <v>3244</v>
      </c>
      <c r="E726" s="6" t="s">
        <v>3245</v>
      </c>
      <c r="F726" s="5" t="s">
        <v>3250</v>
      </c>
      <c r="G726" s="3" t="s">
        <v>11449</v>
      </c>
      <c r="H726" s="54">
        <v>0</v>
      </c>
      <c r="I726" s="16">
        <v>470000000</v>
      </c>
      <c r="J726" s="157" t="s">
        <v>229</v>
      </c>
      <c r="K726" s="5" t="s">
        <v>14634</v>
      </c>
      <c r="L726" s="6" t="s">
        <v>231</v>
      </c>
      <c r="M726" s="3" t="s">
        <v>230</v>
      </c>
      <c r="N726" s="6" t="s">
        <v>524</v>
      </c>
      <c r="O726" s="6" t="s">
        <v>233</v>
      </c>
      <c r="P726" s="58">
        <v>796</v>
      </c>
      <c r="Q726" s="6" t="s">
        <v>234</v>
      </c>
      <c r="R726" s="222">
        <v>93</v>
      </c>
      <c r="S726" s="2">
        <v>54000</v>
      </c>
      <c r="T726" s="4">
        <v>0</v>
      </c>
      <c r="U726" s="4">
        <f t="shared" si="30"/>
        <v>0</v>
      </c>
      <c r="V726" s="3" t="s">
        <v>362</v>
      </c>
      <c r="W726" s="3">
        <v>2014</v>
      </c>
      <c r="X726" s="3">
        <v>11.14</v>
      </c>
    </row>
    <row r="727" spans="1:24" ht="102">
      <c r="A727" s="3" t="s">
        <v>18354</v>
      </c>
      <c r="B727" s="6" t="s">
        <v>361</v>
      </c>
      <c r="C727" s="6" t="s">
        <v>3243</v>
      </c>
      <c r="D727" s="6" t="s">
        <v>3244</v>
      </c>
      <c r="E727" s="6" t="s">
        <v>3245</v>
      </c>
      <c r="F727" s="5" t="s">
        <v>3250</v>
      </c>
      <c r="G727" s="3" t="s">
        <v>11449</v>
      </c>
      <c r="H727" s="54">
        <v>0</v>
      </c>
      <c r="I727" s="16">
        <v>470000000</v>
      </c>
      <c r="J727" s="157" t="s">
        <v>229</v>
      </c>
      <c r="K727" s="5" t="s">
        <v>8950</v>
      </c>
      <c r="L727" s="6" t="s">
        <v>231</v>
      </c>
      <c r="M727" s="3" t="s">
        <v>230</v>
      </c>
      <c r="N727" s="6" t="s">
        <v>528</v>
      </c>
      <c r="O727" s="6" t="s">
        <v>233</v>
      </c>
      <c r="P727" s="58">
        <v>796</v>
      </c>
      <c r="Q727" s="6" t="s">
        <v>234</v>
      </c>
      <c r="R727" s="222">
        <v>93</v>
      </c>
      <c r="S727" s="2">
        <v>54000</v>
      </c>
      <c r="T727" s="4">
        <f>R727*S727</f>
        <v>5022000</v>
      </c>
      <c r="U727" s="4">
        <f t="shared" si="30"/>
        <v>5624640.0000000009</v>
      </c>
      <c r="V727" s="3" t="s">
        <v>362</v>
      </c>
      <c r="W727" s="3">
        <v>2014</v>
      </c>
      <c r="X727" s="3"/>
    </row>
    <row r="728" spans="1:24" ht="102">
      <c r="A728" s="3" t="s">
        <v>890</v>
      </c>
      <c r="B728" s="6" t="s">
        <v>361</v>
      </c>
      <c r="C728" s="6" t="s">
        <v>3255</v>
      </c>
      <c r="D728" s="6" t="s">
        <v>3256</v>
      </c>
      <c r="E728" s="6" t="s">
        <v>3257</v>
      </c>
      <c r="F728" s="6" t="s">
        <v>3251</v>
      </c>
      <c r="G728" s="3" t="s">
        <v>11449</v>
      </c>
      <c r="H728" s="54">
        <v>0</v>
      </c>
      <c r="I728" s="16">
        <v>470000000</v>
      </c>
      <c r="J728" s="157" t="s">
        <v>229</v>
      </c>
      <c r="K728" s="5" t="s">
        <v>210</v>
      </c>
      <c r="L728" s="6" t="s">
        <v>231</v>
      </c>
      <c r="M728" s="3" t="s">
        <v>230</v>
      </c>
      <c r="N728" s="6" t="s">
        <v>524</v>
      </c>
      <c r="O728" s="6" t="s">
        <v>233</v>
      </c>
      <c r="P728" s="58" t="s">
        <v>241</v>
      </c>
      <c r="Q728" s="6" t="s">
        <v>234</v>
      </c>
      <c r="R728" s="222">
        <v>2</v>
      </c>
      <c r="S728" s="2">
        <v>238000</v>
      </c>
      <c r="T728" s="4">
        <v>0</v>
      </c>
      <c r="U728" s="4">
        <f t="shared" si="30"/>
        <v>0</v>
      </c>
      <c r="V728" s="3" t="s">
        <v>362</v>
      </c>
      <c r="W728" s="3">
        <v>2014</v>
      </c>
      <c r="X728" s="3" t="s">
        <v>14635</v>
      </c>
    </row>
    <row r="729" spans="1:24" ht="102">
      <c r="A729" s="3" t="s">
        <v>14636</v>
      </c>
      <c r="B729" s="6" t="s">
        <v>361</v>
      </c>
      <c r="C729" s="6" t="s">
        <v>3255</v>
      </c>
      <c r="D729" s="6" t="s">
        <v>3256</v>
      </c>
      <c r="E729" s="6" t="s">
        <v>3257</v>
      </c>
      <c r="F729" s="6" t="s">
        <v>3251</v>
      </c>
      <c r="G729" s="3" t="s">
        <v>11449</v>
      </c>
      <c r="H729" s="54">
        <v>0</v>
      </c>
      <c r="I729" s="16">
        <v>470000000</v>
      </c>
      <c r="J729" s="157" t="s">
        <v>229</v>
      </c>
      <c r="K729" s="5" t="s">
        <v>14602</v>
      </c>
      <c r="L729" s="6" t="s">
        <v>231</v>
      </c>
      <c r="M729" s="3" t="s">
        <v>230</v>
      </c>
      <c r="N729" s="6" t="s">
        <v>524</v>
      </c>
      <c r="O729" s="6" t="s">
        <v>233</v>
      </c>
      <c r="P729" s="58" t="s">
        <v>241</v>
      </c>
      <c r="Q729" s="6" t="s">
        <v>234</v>
      </c>
      <c r="R729" s="222">
        <v>2</v>
      </c>
      <c r="S729" s="2">
        <v>285600</v>
      </c>
      <c r="T729" s="4">
        <f>R729*S729</f>
        <v>571200</v>
      </c>
      <c r="U729" s="4">
        <f t="shared" si="30"/>
        <v>639744.00000000012</v>
      </c>
      <c r="V729" s="3" t="s">
        <v>362</v>
      </c>
      <c r="W729" s="3">
        <v>2014</v>
      </c>
      <c r="X729" s="3"/>
    </row>
    <row r="730" spans="1:24" ht="102">
      <c r="A730" s="3" t="s">
        <v>891</v>
      </c>
      <c r="B730" s="6" t="s">
        <v>361</v>
      </c>
      <c r="C730" s="6" t="s">
        <v>3258</v>
      </c>
      <c r="D730" s="6" t="s">
        <v>3259</v>
      </c>
      <c r="E730" s="6" t="s">
        <v>3260</v>
      </c>
      <c r="F730" s="6" t="s">
        <v>3252</v>
      </c>
      <c r="G730" s="3" t="s">
        <v>11449</v>
      </c>
      <c r="H730" s="54">
        <v>0</v>
      </c>
      <c r="I730" s="16">
        <v>470000000</v>
      </c>
      <c r="J730" s="157" t="s">
        <v>229</v>
      </c>
      <c r="K730" s="5" t="s">
        <v>211</v>
      </c>
      <c r="L730" s="6" t="s">
        <v>231</v>
      </c>
      <c r="M730" s="3" t="s">
        <v>230</v>
      </c>
      <c r="N730" s="6" t="s">
        <v>524</v>
      </c>
      <c r="O730" s="6" t="s">
        <v>233</v>
      </c>
      <c r="P730" s="58">
        <v>839</v>
      </c>
      <c r="Q730" s="6" t="s">
        <v>239</v>
      </c>
      <c r="R730" s="222">
        <v>4</v>
      </c>
      <c r="S730" s="2">
        <v>25500</v>
      </c>
      <c r="T730" s="4">
        <v>0</v>
      </c>
      <c r="U730" s="4">
        <f t="shared" si="30"/>
        <v>0</v>
      </c>
      <c r="V730" s="3" t="s">
        <v>362</v>
      </c>
      <c r="W730" s="3">
        <v>2014</v>
      </c>
      <c r="X730" s="3">
        <v>11.12</v>
      </c>
    </row>
    <row r="731" spans="1:24" ht="89.25">
      <c r="A731" s="3" t="s">
        <v>11967</v>
      </c>
      <c r="B731" s="6" t="s">
        <v>361</v>
      </c>
      <c r="C731" s="6" t="s">
        <v>3258</v>
      </c>
      <c r="D731" s="6" t="s">
        <v>3259</v>
      </c>
      <c r="E731" s="6" t="s">
        <v>3260</v>
      </c>
      <c r="F731" s="6" t="s">
        <v>3252</v>
      </c>
      <c r="G731" s="3" t="s">
        <v>11449</v>
      </c>
      <c r="H731" s="54">
        <v>0</v>
      </c>
      <c r="I731" s="16">
        <v>470000000</v>
      </c>
      <c r="J731" s="157" t="s">
        <v>229</v>
      </c>
      <c r="K731" s="5" t="s">
        <v>209</v>
      </c>
      <c r="L731" s="17" t="s">
        <v>11411</v>
      </c>
      <c r="M731" s="3" t="s">
        <v>230</v>
      </c>
      <c r="N731" s="6" t="s">
        <v>524</v>
      </c>
      <c r="O731" s="6" t="s">
        <v>233</v>
      </c>
      <c r="P731" s="58">
        <v>839</v>
      </c>
      <c r="Q731" s="6" t="s">
        <v>239</v>
      </c>
      <c r="R731" s="222">
        <v>4</v>
      </c>
      <c r="S731" s="2">
        <v>25500</v>
      </c>
      <c r="T731" s="4">
        <v>0</v>
      </c>
      <c r="U731" s="4">
        <f t="shared" si="30"/>
        <v>0</v>
      </c>
      <c r="V731" s="3" t="s">
        <v>362</v>
      </c>
      <c r="W731" s="3">
        <v>2014</v>
      </c>
      <c r="X731" s="3" t="s">
        <v>14588</v>
      </c>
    </row>
    <row r="732" spans="1:24" ht="89.25">
      <c r="A732" s="3" t="s">
        <v>14637</v>
      </c>
      <c r="B732" s="6" t="s">
        <v>361</v>
      </c>
      <c r="C732" s="6" t="s">
        <v>3258</v>
      </c>
      <c r="D732" s="6" t="s">
        <v>3259</v>
      </c>
      <c r="E732" s="6" t="s">
        <v>3260</v>
      </c>
      <c r="F732" s="6" t="s">
        <v>3252</v>
      </c>
      <c r="G732" s="3" t="s">
        <v>11449</v>
      </c>
      <c r="H732" s="54">
        <v>0</v>
      </c>
      <c r="I732" s="16">
        <v>470000000</v>
      </c>
      <c r="J732" s="157" t="s">
        <v>229</v>
      </c>
      <c r="K732" s="5" t="s">
        <v>14620</v>
      </c>
      <c r="L732" s="17" t="s">
        <v>11411</v>
      </c>
      <c r="M732" s="3" t="s">
        <v>230</v>
      </c>
      <c r="N732" s="6" t="s">
        <v>524</v>
      </c>
      <c r="O732" s="6" t="s">
        <v>233</v>
      </c>
      <c r="P732" s="58">
        <v>839</v>
      </c>
      <c r="Q732" s="6" t="s">
        <v>239</v>
      </c>
      <c r="R732" s="222">
        <v>1</v>
      </c>
      <c r="S732" s="2">
        <v>30600</v>
      </c>
      <c r="T732" s="4">
        <v>0</v>
      </c>
      <c r="U732" s="4">
        <f t="shared" si="30"/>
        <v>0</v>
      </c>
      <c r="V732" s="3" t="s">
        <v>362</v>
      </c>
      <c r="W732" s="3">
        <v>2014</v>
      </c>
      <c r="X732" s="3" t="s">
        <v>17399</v>
      </c>
    </row>
    <row r="733" spans="1:24" ht="89.25">
      <c r="A733" s="3" t="s">
        <v>16385</v>
      </c>
      <c r="B733" s="6" t="s">
        <v>361</v>
      </c>
      <c r="C733" s="6" t="s">
        <v>3258</v>
      </c>
      <c r="D733" s="6" t="s">
        <v>3259</v>
      </c>
      <c r="E733" s="6" t="s">
        <v>3260</v>
      </c>
      <c r="F733" s="6" t="s">
        <v>3252</v>
      </c>
      <c r="G733" s="3" t="s">
        <v>11450</v>
      </c>
      <c r="H733" s="54">
        <v>0</v>
      </c>
      <c r="I733" s="16">
        <v>470000000</v>
      </c>
      <c r="J733" s="157" t="s">
        <v>229</v>
      </c>
      <c r="K733" s="5" t="s">
        <v>16386</v>
      </c>
      <c r="L733" s="17" t="s">
        <v>11411</v>
      </c>
      <c r="M733" s="3" t="s">
        <v>230</v>
      </c>
      <c r="N733" s="6" t="s">
        <v>8914</v>
      </c>
      <c r="O733" s="6" t="s">
        <v>233</v>
      </c>
      <c r="P733" s="58">
        <v>839</v>
      </c>
      <c r="Q733" s="6" t="s">
        <v>239</v>
      </c>
      <c r="R733" s="222">
        <v>1</v>
      </c>
      <c r="S733" s="2">
        <v>30600</v>
      </c>
      <c r="T733" s="4">
        <v>0</v>
      </c>
      <c r="U733" s="4">
        <f>T733*1.12</f>
        <v>0</v>
      </c>
      <c r="V733" s="3" t="s">
        <v>362</v>
      </c>
      <c r="W733" s="3">
        <v>2014</v>
      </c>
      <c r="X733" s="3" t="s">
        <v>19377</v>
      </c>
    </row>
    <row r="734" spans="1:24" ht="76.5">
      <c r="A734" s="3" t="s">
        <v>19276</v>
      </c>
      <c r="B734" s="6" t="s">
        <v>361</v>
      </c>
      <c r="C734" s="6" t="s">
        <v>3258</v>
      </c>
      <c r="D734" s="6" t="s">
        <v>3259</v>
      </c>
      <c r="E734" s="6" t="s">
        <v>3260</v>
      </c>
      <c r="F734" s="6" t="s">
        <v>3252</v>
      </c>
      <c r="G734" s="3" t="s">
        <v>11450</v>
      </c>
      <c r="H734" s="54">
        <v>0</v>
      </c>
      <c r="I734" s="16">
        <v>470000000</v>
      </c>
      <c r="J734" s="157" t="s">
        <v>229</v>
      </c>
      <c r="K734" s="5" t="s">
        <v>18437</v>
      </c>
      <c r="L734" s="17" t="s">
        <v>11411</v>
      </c>
      <c r="M734" s="3" t="s">
        <v>230</v>
      </c>
      <c r="N734" s="6" t="s">
        <v>8914</v>
      </c>
      <c r="O734" s="6" t="s">
        <v>19407</v>
      </c>
      <c r="P734" s="58">
        <v>839</v>
      </c>
      <c r="Q734" s="6" t="s">
        <v>239</v>
      </c>
      <c r="R734" s="222">
        <v>1</v>
      </c>
      <c r="S734" s="2">
        <v>30600</v>
      </c>
      <c r="T734" s="4">
        <v>0</v>
      </c>
      <c r="U734" s="4">
        <f>T734*1.12</f>
        <v>0</v>
      </c>
      <c r="V734" s="3"/>
      <c r="W734" s="3">
        <v>2014</v>
      </c>
      <c r="X734" s="3">
        <v>11.14</v>
      </c>
    </row>
    <row r="735" spans="1:24" ht="76.5">
      <c r="A735" s="3" t="s">
        <v>19603</v>
      </c>
      <c r="B735" s="6" t="s">
        <v>361</v>
      </c>
      <c r="C735" s="6" t="s">
        <v>3258</v>
      </c>
      <c r="D735" s="6" t="s">
        <v>3259</v>
      </c>
      <c r="E735" s="6" t="s">
        <v>3260</v>
      </c>
      <c r="F735" s="6" t="s">
        <v>3252</v>
      </c>
      <c r="G735" s="3" t="s">
        <v>11450</v>
      </c>
      <c r="H735" s="54">
        <v>0</v>
      </c>
      <c r="I735" s="16">
        <v>470000000</v>
      </c>
      <c r="J735" s="157" t="s">
        <v>229</v>
      </c>
      <c r="K735" s="5" t="s">
        <v>9956</v>
      </c>
      <c r="L735" s="17" t="s">
        <v>11411</v>
      </c>
      <c r="M735" s="3" t="s">
        <v>230</v>
      </c>
      <c r="N735" s="6" t="s">
        <v>528</v>
      </c>
      <c r="O735" s="6" t="s">
        <v>19407</v>
      </c>
      <c r="P735" s="58">
        <v>839</v>
      </c>
      <c r="Q735" s="6" t="s">
        <v>239</v>
      </c>
      <c r="R735" s="222">
        <v>1</v>
      </c>
      <c r="S735" s="2">
        <v>30600</v>
      </c>
      <c r="T735" s="4">
        <f>R735*S735</f>
        <v>30600</v>
      </c>
      <c r="U735" s="4">
        <f>T735*1.12</f>
        <v>34272</v>
      </c>
      <c r="V735" s="3"/>
      <c r="W735" s="3">
        <v>2014</v>
      </c>
      <c r="X735" s="3"/>
    </row>
    <row r="736" spans="1:24" ht="102">
      <c r="A736" s="3" t="s">
        <v>892</v>
      </c>
      <c r="B736" s="6" t="s">
        <v>361</v>
      </c>
      <c r="C736" s="6" t="s">
        <v>3258</v>
      </c>
      <c r="D736" s="6" t="s">
        <v>3259</v>
      </c>
      <c r="E736" s="6" t="s">
        <v>3260</v>
      </c>
      <c r="F736" s="6" t="s">
        <v>103</v>
      </c>
      <c r="G736" s="3" t="s">
        <v>11449</v>
      </c>
      <c r="H736" s="54">
        <v>0</v>
      </c>
      <c r="I736" s="16">
        <v>470000000</v>
      </c>
      <c r="J736" s="157" t="s">
        <v>229</v>
      </c>
      <c r="K736" s="5" t="s">
        <v>211</v>
      </c>
      <c r="L736" s="6" t="s">
        <v>231</v>
      </c>
      <c r="M736" s="3" t="s">
        <v>230</v>
      </c>
      <c r="N736" s="6" t="s">
        <v>524</v>
      </c>
      <c r="O736" s="6" t="s">
        <v>233</v>
      </c>
      <c r="P736" s="58">
        <v>839</v>
      </c>
      <c r="Q736" s="6" t="s">
        <v>239</v>
      </c>
      <c r="R736" s="222">
        <v>0</v>
      </c>
      <c r="S736" s="2">
        <v>27000</v>
      </c>
      <c r="T736" s="4">
        <v>0</v>
      </c>
      <c r="U736" s="4">
        <f t="shared" si="30"/>
        <v>0</v>
      </c>
      <c r="V736" s="3" t="s">
        <v>362</v>
      </c>
      <c r="W736" s="3">
        <v>2014</v>
      </c>
      <c r="X736" s="3" t="s">
        <v>12076</v>
      </c>
    </row>
    <row r="737" spans="1:24" ht="102">
      <c r="A737" s="3" t="s">
        <v>893</v>
      </c>
      <c r="B737" s="6" t="s">
        <v>361</v>
      </c>
      <c r="C737" s="6" t="s">
        <v>3261</v>
      </c>
      <c r="D737" s="6" t="s">
        <v>424</v>
      </c>
      <c r="E737" s="6" t="s">
        <v>3262</v>
      </c>
      <c r="F737" s="6" t="s">
        <v>3253</v>
      </c>
      <c r="G737" s="3" t="s">
        <v>11449</v>
      </c>
      <c r="H737" s="54">
        <v>0</v>
      </c>
      <c r="I737" s="16">
        <v>470000000</v>
      </c>
      <c r="J737" s="157" t="s">
        <v>229</v>
      </c>
      <c r="K737" s="5" t="s">
        <v>211</v>
      </c>
      <c r="L737" s="6" t="s">
        <v>231</v>
      </c>
      <c r="M737" s="3" t="s">
        <v>230</v>
      </c>
      <c r="N737" s="6" t="s">
        <v>524</v>
      </c>
      <c r="O737" s="6" t="s">
        <v>233</v>
      </c>
      <c r="P737" s="58">
        <v>796</v>
      </c>
      <c r="Q737" s="6" t="s">
        <v>234</v>
      </c>
      <c r="R737" s="222">
        <v>0</v>
      </c>
      <c r="S737" s="2">
        <v>67000</v>
      </c>
      <c r="T737" s="4">
        <v>0</v>
      </c>
      <c r="U737" s="4">
        <f t="shared" si="30"/>
        <v>0</v>
      </c>
      <c r="V737" s="3" t="s">
        <v>362</v>
      </c>
      <c r="W737" s="3">
        <v>2014</v>
      </c>
      <c r="X737" s="3" t="s">
        <v>12076</v>
      </c>
    </row>
    <row r="738" spans="1:24" ht="102">
      <c r="A738" s="3" t="s">
        <v>894</v>
      </c>
      <c r="B738" s="6" t="s">
        <v>361</v>
      </c>
      <c r="C738" s="6" t="s">
        <v>3267</v>
      </c>
      <c r="D738" s="6" t="s">
        <v>3268</v>
      </c>
      <c r="E738" s="6" t="s">
        <v>3269</v>
      </c>
      <c r="F738" s="6" t="s">
        <v>3254</v>
      </c>
      <c r="G738" s="3" t="s">
        <v>11449</v>
      </c>
      <c r="H738" s="54">
        <v>0</v>
      </c>
      <c r="I738" s="16">
        <v>470000000</v>
      </c>
      <c r="J738" s="157" t="s">
        <v>229</v>
      </c>
      <c r="K738" s="5" t="s">
        <v>211</v>
      </c>
      <c r="L738" s="6" t="s">
        <v>231</v>
      </c>
      <c r="M738" s="3" t="s">
        <v>230</v>
      </c>
      <c r="N738" s="6" t="s">
        <v>524</v>
      </c>
      <c r="O738" s="6" t="s">
        <v>233</v>
      </c>
      <c r="P738" s="58">
        <v>796</v>
      </c>
      <c r="Q738" s="6" t="s">
        <v>234</v>
      </c>
      <c r="R738" s="222">
        <v>0</v>
      </c>
      <c r="S738" s="2">
        <v>70085</v>
      </c>
      <c r="T738" s="4">
        <f>R738*S738</f>
        <v>0</v>
      </c>
      <c r="U738" s="4">
        <f t="shared" si="30"/>
        <v>0</v>
      </c>
      <c r="V738" s="3" t="s">
        <v>362</v>
      </c>
      <c r="W738" s="3">
        <v>2014</v>
      </c>
      <c r="X738" s="3" t="s">
        <v>12076</v>
      </c>
    </row>
    <row r="739" spans="1:24" ht="102">
      <c r="A739" s="3" t="s">
        <v>895</v>
      </c>
      <c r="B739" s="6" t="s">
        <v>361</v>
      </c>
      <c r="C739" s="6" t="s">
        <v>3270</v>
      </c>
      <c r="D739" s="6" t="s">
        <v>3271</v>
      </c>
      <c r="E739" s="6" t="s">
        <v>3272</v>
      </c>
      <c r="F739" s="6" t="s">
        <v>3263</v>
      </c>
      <c r="G739" s="3" t="s">
        <v>11449</v>
      </c>
      <c r="H739" s="54">
        <v>0</v>
      </c>
      <c r="I739" s="16">
        <v>470000000</v>
      </c>
      <c r="J739" s="157" t="s">
        <v>229</v>
      </c>
      <c r="K739" s="5" t="s">
        <v>210</v>
      </c>
      <c r="L739" s="6" t="s">
        <v>231</v>
      </c>
      <c r="M739" s="3" t="s">
        <v>230</v>
      </c>
      <c r="N739" s="6" t="s">
        <v>524</v>
      </c>
      <c r="O739" s="6" t="s">
        <v>233</v>
      </c>
      <c r="P739" s="58">
        <v>796</v>
      </c>
      <c r="Q739" s="6" t="s">
        <v>234</v>
      </c>
      <c r="R739" s="222">
        <v>0</v>
      </c>
      <c r="S739" s="2">
        <v>55000</v>
      </c>
      <c r="T739" s="4">
        <f>R739*S739</f>
        <v>0</v>
      </c>
      <c r="U739" s="4">
        <f t="shared" si="30"/>
        <v>0</v>
      </c>
      <c r="V739" s="3" t="s">
        <v>362</v>
      </c>
      <c r="W739" s="3">
        <v>2014</v>
      </c>
      <c r="X739" s="3" t="s">
        <v>12076</v>
      </c>
    </row>
    <row r="740" spans="1:24" ht="102">
      <c r="A740" s="3" t="s">
        <v>896</v>
      </c>
      <c r="B740" s="6" t="s">
        <v>361</v>
      </c>
      <c r="C740" s="6" t="s">
        <v>3273</v>
      </c>
      <c r="D740" s="6" t="s">
        <v>3274</v>
      </c>
      <c r="E740" s="6" t="s">
        <v>3275</v>
      </c>
      <c r="F740" s="6" t="s">
        <v>104</v>
      </c>
      <c r="G740" s="3" t="s">
        <v>11449</v>
      </c>
      <c r="H740" s="54">
        <v>0</v>
      </c>
      <c r="I740" s="16">
        <v>470000000</v>
      </c>
      <c r="J740" s="157" t="s">
        <v>229</v>
      </c>
      <c r="K740" s="5" t="s">
        <v>214</v>
      </c>
      <c r="L740" s="6" t="s">
        <v>231</v>
      </c>
      <c r="M740" s="3" t="s">
        <v>230</v>
      </c>
      <c r="N740" s="6" t="s">
        <v>524</v>
      </c>
      <c r="O740" s="6" t="s">
        <v>233</v>
      </c>
      <c r="P740" s="58">
        <v>796</v>
      </c>
      <c r="Q740" s="6" t="s">
        <v>234</v>
      </c>
      <c r="R740" s="222">
        <v>173</v>
      </c>
      <c r="S740" s="2">
        <v>45000</v>
      </c>
      <c r="T740" s="4">
        <v>0</v>
      </c>
      <c r="U740" s="4">
        <f t="shared" si="30"/>
        <v>0</v>
      </c>
      <c r="V740" s="3" t="s">
        <v>362</v>
      </c>
      <c r="W740" s="3">
        <v>2014</v>
      </c>
      <c r="X740" s="3">
        <v>11.12</v>
      </c>
    </row>
    <row r="741" spans="1:24" ht="89.25">
      <c r="A741" s="3" t="s">
        <v>12151</v>
      </c>
      <c r="B741" s="6" t="s">
        <v>361</v>
      </c>
      <c r="C741" s="6" t="s">
        <v>3273</v>
      </c>
      <c r="D741" s="6" t="s">
        <v>3274</v>
      </c>
      <c r="E741" s="6" t="s">
        <v>3275</v>
      </c>
      <c r="F741" s="6" t="s">
        <v>104</v>
      </c>
      <c r="G741" s="3" t="s">
        <v>11449</v>
      </c>
      <c r="H741" s="54">
        <v>0</v>
      </c>
      <c r="I741" s="16">
        <v>470000000</v>
      </c>
      <c r="J741" s="157" t="s">
        <v>229</v>
      </c>
      <c r="K741" s="5" t="s">
        <v>217</v>
      </c>
      <c r="L741" s="17" t="s">
        <v>11411</v>
      </c>
      <c r="M741" s="3" t="s">
        <v>230</v>
      </c>
      <c r="N741" s="6" t="s">
        <v>524</v>
      </c>
      <c r="O741" s="6" t="s">
        <v>233</v>
      </c>
      <c r="P741" s="58">
        <v>796</v>
      </c>
      <c r="Q741" s="6" t="s">
        <v>234</v>
      </c>
      <c r="R741" s="222">
        <v>173</v>
      </c>
      <c r="S741" s="2">
        <v>45000</v>
      </c>
      <c r="T741" s="4">
        <v>0</v>
      </c>
      <c r="U741" s="4">
        <f t="shared" si="30"/>
        <v>0</v>
      </c>
      <c r="V741" s="3" t="s">
        <v>362</v>
      </c>
      <c r="W741" s="3">
        <v>2014</v>
      </c>
      <c r="X741" s="3" t="s">
        <v>12076</v>
      </c>
    </row>
    <row r="742" spans="1:24" ht="102">
      <c r="A742" s="3" t="s">
        <v>897</v>
      </c>
      <c r="B742" s="6" t="s">
        <v>361</v>
      </c>
      <c r="C742" s="6" t="s">
        <v>3273</v>
      </c>
      <c r="D742" s="6" t="s">
        <v>3274</v>
      </c>
      <c r="E742" s="6" t="s">
        <v>3275</v>
      </c>
      <c r="F742" s="6" t="s">
        <v>3276</v>
      </c>
      <c r="G742" s="3" t="s">
        <v>11449</v>
      </c>
      <c r="H742" s="54">
        <v>0</v>
      </c>
      <c r="I742" s="16">
        <v>470000000</v>
      </c>
      <c r="J742" s="157" t="s">
        <v>229</v>
      </c>
      <c r="K742" s="5" t="s">
        <v>211</v>
      </c>
      <c r="L742" s="6" t="s">
        <v>231</v>
      </c>
      <c r="M742" s="3" t="s">
        <v>230</v>
      </c>
      <c r="N742" s="6" t="s">
        <v>524</v>
      </c>
      <c r="O742" s="6" t="s">
        <v>233</v>
      </c>
      <c r="P742" s="58">
        <v>796</v>
      </c>
      <c r="Q742" s="6" t="s">
        <v>234</v>
      </c>
      <c r="R742" s="222">
        <v>2</v>
      </c>
      <c r="S742" s="2">
        <v>167562</v>
      </c>
      <c r="T742" s="4">
        <v>0</v>
      </c>
      <c r="U742" s="4">
        <f t="shared" si="30"/>
        <v>0</v>
      </c>
      <c r="V742" s="3" t="s">
        <v>362</v>
      </c>
      <c r="W742" s="3">
        <v>2014</v>
      </c>
      <c r="X742" s="3">
        <v>11.12</v>
      </c>
    </row>
    <row r="743" spans="1:24" ht="89.25">
      <c r="A743" s="3" t="s">
        <v>11968</v>
      </c>
      <c r="B743" s="6" t="s">
        <v>361</v>
      </c>
      <c r="C743" s="6" t="s">
        <v>3273</v>
      </c>
      <c r="D743" s="6" t="s">
        <v>3274</v>
      </c>
      <c r="E743" s="6" t="s">
        <v>3275</v>
      </c>
      <c r="F743" s="6" t="s">
        <v>3276</v>
      </c>
      <c r="G743" s="3" t="s">
        <v>11449</v>
      </c>
      <c r="H743" s="54">
        <v>0</v>
      </c>
      <c r="I743" s="16">
        <v>470000000</v>
      </c>
      <c r="J743" s="157" t="s">
        <v>229</v>
      </c>
      <c r="K743" s="5" t="s">
        <v>209</v>
      </c>
      <c r="L743" s="17" t="s">
        <v>11411</v>
      </c>
      <c r="M743" s="3" t="s">
        <v>230</v>
      </c>
      <c r="N743" s="6" t="s">
        <v>524</v>
      </c>
      <c r="O743" s="6" t="s">
        <v>233</v>
      </c>
      <c r="P743" s="58">
        <v>796</v>
      </c>
      <c r="Q743" s="6" t="s">
        <v>234</v>
      </c>
      <c r="R743" s="222">
        <v>2</v>
      </c>
      <c r="S743" s="2">
        <v>167562</v>
      </c>
      <c r="T743" s="4">
        <v>0</v>
      </c>
      <c r="U743" s="4">
        <f t="shared" si="30"/>
        <v>0</v>
      </c>
      <c r="V743" s="3" t="s">
        <v>362</v>
      </c>
      <c r="W743" s="3">
        <v>2014</v>
      </c>
      <c r="X743" s="3" t="s">
        <v>14635</v>
      </c>
    </row>
    <row r="744" spans="1:24" ht="89.25">
      <c r="A744" s="3" t="s">
        <v>14638</v>
      </c>
      <c r="B744" s="6" t="s">
        <v>361</v>
      </c>
      <c r="C744" s="6" t="s">
        <v>3273</v>
      </c>
      <c r="D744" s="6" t="s">
        <v>3274</v>
      </c>
      <c r="E744" s="6" t="s">
        <v>3275</v>
      </c>
      <c r="F744" s="6" t="s">
        <v>3276</v>
      </c>
      <c r="G744" s="3" t="s">
        <v>11449</v>
      </c>
      <c r="H744" s="54">
        <v>0</v>
      </c>
      <c r="I744" s="16">
        <v>470000000</v>
      </c>
      <c r="J744" s="157" t="s">
        <v>229</v>
      </c>
      <c r="K744" s="5" t="s">
        <v>14639</v>
      </c>
      <c r="L744" s="17" t="s">
        <v>11411</v>
      </c>
      <c r="M744" s="3" t="s">
        <v>230</v>
      </c>
      <c r="N744" s="6" t="s">
        <v>524</v>
      </c>
      <c r="O744" s="6" t="s">
        <v>233</v>
      </c>
      <c r="P744" s="58">
        <v>796</v>
      </c>
      <c r="Q744" s="6" t="s">
        <v>234</v>
      </c>
      <c r="R744" s="222">
        <v>2</v>
      </c>
      <c r="S744" s="2">
        <v>201074</v>
      </c>
      <c r="T744" s="4">
        <v>0</v>
      </c>
      <c r="U744" s="4">
        <f t="shared" si="30"/>
        <v>0</v>
      </c>
      <c r="V744" s="3" t="s">
        <v>362</v>
      </c>
      <c r="W744" s="3">
        <v>2014</v>
      </c>
      <c r="X744" s="3" t="s">
        <v>17399</v>
      </c>
    </row>
    <row r="745" spans="1:24" ht="89.25">
      <c r="A745" s="3" t="s">
        <v>16387</v>
      </c>
      <c r="B745" s="6" t="s">
        <v>361</v>
      </c>
      <c r="C745" s="6" t="s">
        <v>3273</v>
      </c>
      <c r="D745" s="6" t="s">
        <v>3274</v>
      </c>
      <c r="E745" s="6" t="s">
        <v>3275</v>
      </c>
      <c r="F745" s="6" t="s">
        <v>3276</v>
      </c>
      <c r="G745" s="3" t="s">
        <v>11450</v>
      </c>
      <c r="H745" s="54">
        <v>0</v>
      </c>
      <c r="I745" s="16">
        <v>470000000</v>
      </c>
      <c r="J745" s="157" t="s">
        <v>229</v>
      </c>
      <c r="K745" s="5" t="s">
        <v>16386</v>
      </c>
      <c r="L745" s="17" t="s">
        <v>11411</v>
      </c>
      <c r="M745" s="3" t="s">
        <v>230</v>
      </c>
      <c r="N745" s="6" t="s">
        <v>8914</v>
      </c>
      <c r="O745" s="6" t="s">
        <v>233</v>
      </c>
      <c r="P745" s="58">
        <v>796</v>
      </c>
      <c r="Q745" s="6" t="s">
        <v>234</v>
      </c>
      <c r="R745" s="222">
        <v>2</v>
      </c>
      <c r="S745" s="2">
        <v>201074</v>
      </c>
      <c r="T745" s="4">
        <v>0</v>
      </c>
      <c r="U745" s="4">
        <f>T745*1.12</f>
        <v>0</v>
      </c>
      <c r="V745" s="3" t="s">
        <v>362</v>
      </c>
      <c r="W745" s="3">
        <v>2014</v>
      </c>
      <c r="X745" s="3" t="s">
        <v>19377</v>
      </c>
    </row>
    <row r="746" spans="1:24" ht="76.5">
      <c r="A746" s="3" t="s">
        <v>19278</v>
      </c>
      <c r="B746" s="6" t="s">
        <v>361</v>
      </c>
      <c r="C746" s="6" t="s">
        <v>3273</v>
      </c>
      <c r="D746" s="6" t="s">
        <v>3274</v>
      </c>
      <c r="E746" s="6" t="s">
        <v>3275</v>
      </c>
      <c r="F746" s="6" t="s">
        <v>3276</v>
      </c>
      <c r="G746" s="3" t="s">
        <v>11450</v>
      </c>
      <c r="H746" s="54">
        <v>0</v>
      </c>
      <c r="I746" s="16">
        <v>470000000</v>
      </c>
      <c r="J746" s="157" t="s">
        <v>229</v>
      </c>
      <c r="K746" s="5" t="s">
        <v>18437</v>
      </c>
      <c r="L746" s="17" t="s">
        <v>11411</v>
      </c>
      <c r="M746" s="3" t="s">
        <v>230</v>
      </c>
      <c r="N746" s="6" t="s">
        <v>8914</v>
      </c>
      <c r="O746" s="6" t="s">
        <v>19407</v>
      </c>
      <c r="P746" s="58">
        <v>796</v>
      </c>
      <c r="Q746" s="6" t="s">
        <v>234</v>
      </c>
      <c r="R746" s="222">
        <v>2</v>
      </c>
      <c r="S746" s="2">
        <v>201074</v>
      </c>
      <c r="T746" s="4">
        <v>0</v>
      </c>
      <c r="U746" s="4">
        <f>T746*1.12</f>
        <v>0</v>
      </c>
      <c r="V746" s="3"/>
      <c r="W746" s="3">
        <v>2014</v>
      </c>
      <c r="X746" s="3">
        <v>11.14</v>
      </c>
    </row>
    <row r="747" spans="1:24" ht="76.5">
      <c r="A747" s="3" t="s">
        <v>19604</v>
      </c>
      <c r="B747" s="6" t="s">
        <v>361</v>
      </c>
      <c r="C747" s="6" t="s">
        <v>3273</v>
      </c>
      <c r="D747" s="6" t="s">
        <v>3274</v>
      </c>
      <c r="E747" s="6" t="s">
        <v>3275</v>
      </c>
      <c r="F747" s="6" t="s">
        <v>3276</v>
      </c>
      <c r="G747" s="3" t="s">
        <v>11450</v>
      </c>
      <c r="H747" s="54">
        <v>0</v>
      </c>
      <c r="I747" s="16">
        <v>470000000</v>
      </c>
      <c r="J747" s="157" t="s">
        <v>229</v>
      </c>
      <c r="K747" s="5" t="s">
        <v>9956</v>
      </c>
      <c r="L747" s="17" t="s">
        <v>11411</v>
      </c>
      <c r="M747" s="3" t="s">
        <v>230</v>
      </c>
      <c r="N747" s="6" t="s">
        <v>528</v>
      </c>
      <c r="O747" s="6" t="s">
        <v>19407</v>
      </c>
      <c r="P747" s="58">
        <v>796</v>
      </c>
      <c r="Q747" s="6" t="s">
        <v>234</v>
      </c>
      <c r="R747" s="222">
        <v>2</v>
      </c>
      <c r="S747" s="2">
        <v>201074</v>
      </c>
      <c r="T747" s="4">
        <f>R747*S747</f>
        <v>402148</v>
      </c>
      <c r="U747" s="4">
        <f>T747*1.12</f>
        <v>450405.76000000007</v>
      </c>
      <c r="V747" s="3"/>
      <c r="W747" s="3">
        <v>2014</v>
      </c>
      <c r="X747" s="3"/>
    </row>
    <row r="748" spans="1:24" ht="102">
      <c r="A748" s="3" t="s">
        <v>898</v>
      </c>
      <c r="B748" s="6" t="s">
        <v>361</v>
      </c>
      <c r="C748" s="6" t="s">
        <v>3243</v>
      </c>
      <c r="D748" s="6" t="s">
        <v>3244</v>
      </c>
      <c r="E748" s="6" t="s">
        <v>3245</v>
      </c>
      <c r="F748" s="6" t="s">
        <v>3264</v>
      </c>
      <c r="G748" s="3" t="s">
        <v>11449</v>
      </c>
      <c r="H748" s="54">
        <v>0</v>
      </c>
      <c r="I748" s="16">
        <v>470000000</v>
      </c>
      <c r="J748" s="157" t="s">
        <v>229</v>
      </c>
      <c r="K748" s="5" t="s">
        <v>211</v>
      </c>
      <c r="L748" s="6" t="s">
        <v>231</v>
      </c>
      <c r="M748" s="3" t="s">
        <v>230</v>
      </c>
      <c r="N748" s="6" t="s">
        <v>524</v>
      </c>
      <c r="O748" s="6" t="s">
        <v>233</v>
      </c>
      <c r="P748" s="58">
        <v>796</v>
      </c>
      <c r="Q748" s="6" t="s">
        <v>234</v>
      </c>
      <c r="R748" s="222">
        <v>6</v>
      </c>
      <c r="S748" s="2">
        <v>260000</v>
      </c>
      <c r="T748" s="4">
        <v>0</v>
      </c>
      <c r="U748" s="4">
        <f t="shared" si="30"/>
        <v>0</v>
      </c>
      <c r="V748" s="3" t="s">
        <v>362</v>
      </c>
      <c r="W748" s="3">
        <v>2014</v>
      </c>
      <c r="X748" s="3">
        <v>11.12</v>
      </c>
    </row>
    <row r="749" spans="1:24" ht="89.25">
      <c r="A749" s="3" t="s">
        <v>11965</v>
      </c>
      <c r="B749" s="6" t="s">
        <v>361</v>
      </c>
      <c r="C749" s="6" t="s">
        <v>3243</v>
      </c>
      <c r="D749" s="6" t="s">
        <v>3244</v>
      </c>
      <c r="E749" s="6" t="s">
        <v>3245</v>
      </c>
      <c r="F749" s="6" t="s">
        <v>3264</v>
      </c>
      <c r="G749" s="3" t="s">
        <v>11449</v>
      </c>
      <c r="H749" s="54">
        <v>0</v>
      </c>
      <c r="I749" s="16">
        <v>470000000</v>
      </c>
      <c r="J749" s="157" t="s">
        <v>229</v>
      </c>
      <c r="K749" s="5" t="s">
        <v>209</v>
      </c>
      <c r="L749" s="17" t="s">
        <v>11411</v>
      </c>
      <c r="M749" s="3" t="s">
        <v>230</v>
      </c>
      <c r="N749" s="6" t="s">
        <v>524</v>
      </c>
      <c r="O749" s="6" t="s">
        <v>233</v>
      </c>
      <c r="P749" s="58">
        <v>796</v>
      </c>
      <c r="Q749" s="6" t="s">
        <v>234</v>
      </c>
      <c r="R749" s="222">
        <v>6</v>
      </c>
      <c r="S749" s="2">
        <v>260000</v>
      </c>
      <c r="T749" s="4">
        <v>0</v>
      </c>
      <c r="U749" s="4">
        <f t="shared" si="30"/>
        <v>0</v>
      </c>
      <c r="V749" s="3" t="s">
        <v>362</v>
      </c>
      <c r="W749" s="3">
        <v>2014</v>
      </c>
      <c r="X749" s="3" t="s">
        <v>14640</v>
      </c>
    </row>
    <row r="750" spans="1:24" ht="89.25">
      <c r="A750" s="3" t="s">
        <v>14641</v>
      </c>
      <c r="B750" s="6" t="s">
        <v>361</v>
      </c>
      <c r="C750" s="6" t="s">
        <v>3243</v>
      </c>
      <c r="D750" s="6" t="s">
        <v>3244</v>
      </c>
      <c r="E750" s="6" t="s">
        <v>3245</v>
      </c>
      <c r="F750" s="6" t="s">
        <v>3264</v>
      </c>
      <c r="G750" s="3" t="s">
        <v>11449</v>
      </c>
      <c r="H750" s="54">
        <v>0</v>
      </c>
      <c r="I750" s="16">
        <v>470000000</v>
      </c>
      <c r="J750" s="157" t="s">
        <v>229</v>
      </c>
      <c r="K750" s="5" t="s">
        <v>14620</v>
      </c>
      <c r="L750" s="17" t="s">
        <v>11411</v>
      </c>
      <c r="M750" s="3" t="s">
        <v>230</v>
      </c>
      <c r="N750" s="6" t="s">
        <v>524</v>
      </c>
      <c r="O750" s="6" t="s">
        <v>233</v>
      </c>
      <c r="P750" s="58">
        <v>796</v>
      </c>
      <c r="Q750" s="6" t="s">
        <v>234</v>
      </c>
      <c r="R750" s="222">
        <v>3</v>
      </c>
      <c r="S750" s="2">
        <v>312000</v>
      </c>
      <c r="T750" s="4">
        <v>0</v>
      </c>
      <c r="U750" s="4">
        <f t="shared" si="30"/>
        <v>0</v>
      </c>
      <c r="V750" s="3" t="s">
        <v>362</v>
      </c>
      <c r="W750" s="3">
        <v>2014</v>
      </c>
      <c r="X750" s="3">
        <v>11</v>
      </c>
    </row>
    <row r="751" spans="1:24" ht="89.25">
      <c r="A751" s="3" t="s">
        <v>16388</v>
      </c>
      <c r="B751" s="6" t="s">
        <v>361</v>
      </c>
      <c r="C751" s="6" t="s">
        <v>3243</v>
      </c>
      <c r="D751" s="6" t="s">
        <v>3244</v>
      </c>
      <c r="E751" s="6" t="s">
        <v>3245</v>
      </c>
      <c r="F751" s="6" t="s">
        <v>3264</v>
      </c>
      <c r="G751" s="3" t="s">
        <v>11449</v>
      </c>
      <c r="H751" s="54">
        <v>0</v>
      </c>
      <c r="I751" s="16">
        <v>470000000</v>
      </c>
      <c r="J751" s="157" t="s">
        <v>229</v>
      </c>
      <c r="K751" s="5" t="s">
        <v>16386</v>
      </c>
      <c r="L751" s="17" t="s">
        <v>11411</v>
      </c>
      <c r="M751" s="3" t="s">
        <v>230</v>
      </c>
      <c r="N751" s="6" t="s">
        <v>524</v>
      </c>
      <c r="O751" s="6" t="s">
        <v>233</v>
      </c>
      <c r="P751" s="58">
        <v>796</v>
      </c>
      <c r="Q751" s="6" t="s">
        <v>234</v>
      </c>
      <c r="R751" s="222">
        <v>3</v>
      </c>
      <c r="S751" s="2">
        <v>312000</v>
      </c>
      <c r="T751" s="4">
        <f>R751*S751</f>
        <v>936000</v>
      </c>
      <c r="U751" s="4">
        <f>T751*1.12</f>
        <v>1048320.0000000001</v>
      </c>
      <c r="V751" s="3" t="s">
        <v>362</v>
      </c>
      <c r="W751" s="3">
        <v>2014</v>
      </c>
      <c r="X751" s="3"/>
    </row>
    <row r="752" spans="1:24" ht="102">
      <c r="A752" s="3" t="s">
        <v>899</v>
      </c>
      <c r="B752" s="6" t="s">
        <v>361</v>
      </c>
      <c r="C752" s="6" t="s">
        <v>3243</v>
      </c>
      <c r="D752" s="6" t="s">
        <v>3244</v>
      </c>
      <c r="E752" s="6" t="s">
        <v>3245</v>
      </c>
      <c r="F752" s="6" t="s">
        <v>3265</v>
      </c>
      <c r="G752" s="3" t="s">
        <v>11449</v>
      </c>
      <c r="H752" s="54">
        <v>0</v>
      </c>
      <c r="I752" s="16">
        <v>470000000</v>
      </c>
      <c r="J752" s="157" t="s">
        <v>229</v>
      </c>
      <c r="K752" s="5" t="s">
        <v>211</v>
      </c>
      <c r="L752" s="6" t="s">
        <v>231</v>
      </c>
      <c r="M752" s="3" t="s">
        <v>230</v>
      </c>
      <c r="N752" s="6" t="s">
        <v>524</v>
      </c>
      <c r="O752" s="6" t="s">
        <v>233</v>
      </c>
      <c r="P752" s="58">
        <v>796</v>
      </c>
      <c r="Q752" s="6" t="s">
        <v>234</v>
      </c>
      <c r="R752" s="222">
        <v>6</v>
      </c>
      <c r="S752" s="2">
        <v>55000</v>
      </c>
      <c r="T752" s="4">
        <v>0</v>
      </c>
      <c r="U752" s="4">
        <f t="shared" si="30"/>
        <v>0</v>
      </c>
      <c r="V752" s="3" t="s">
        <v>362</v>
      </c>
      <c r="W752" s="3">
        <v>2014</v>
      </c>
      <c r="X752" s="3">
        <v>11.12</v>
      </c>
    </row>
    <row r="753" spans="1:24" ht="89.25">
      <c r="A753" s="3" t="s">
        <v>11966</v>
      </c>
      <c r="B753" s="6" t="s">
        <v>361</v>
      </c>
      <c r="C753" s="6" t="s">
        <v>3243</v>
      </c>
      <c r="D753" s="6" t="s">
        <v>3244</v>
      </c>
      <c r="E753" s="6" t="s">
        <v>3245</v>
      </c>
      <c r="F753" s="6" t="s">
        <v>3265</v>
      </c>
      <c r="G753" s="3" t="s">
        <v>11449</v>
      </c>
      <c r="H753" s="54">
        <v>0</v>
      </c>
      <c r="I753" s="16">
        <v>470000000</v>
      </c>
      <c r="J753" s="157" t="s">
        <v>229</v>
      </c>
      <c r="K753" s="5" t="s">
        <v>209</v>
      </c>
      <c r="L753" s="17" t="s">
        <v>11411</v>
      </c>
      <c r="M753" s="3" t="s">
        <v>230</v>
      </c>
      <c r="N753" s="6" t="s">
        <v>524</v>
      </c>
      <c r="O753" s="6" t="s">
        <v>233</v>
      </c>
      <c r="P753" s="58">
        <v>796</v>
      </c>
      <c r="Q753" s="6" t="s">
        <v>234</v>
      </c>
      <c r="R753" s="222">
        <v>6</v>
      </c>
      <c r="S753" s="2">
        <v>55000</v>
      </c>
      <c r="T753" s="4">
        <v>0</v>
      </c>
      <c r="U753" s="4">
        <f t="shared" si="30"/>
        <v>0</v>
      </c>
      <c r="V753" s="3" t="s">
        <v>362</v>
      </c>
      <c r="W753" s="3">
        <v>2014</v>
      </c>
      <c r="X753" s="3" t="s">
        <v>14588</v>
      </c>
    </row>
    <row r="754" spans="1:24" ht="89.25">
      <c r="A754" s="3" t="s">
        <v>14642</v>
      </c>
      <c r="B754" s="6" t="s">
        <v>361</v>
      </c>
      <c r="C754" s="6" t="s">
        <v>3243</v>
      </c>
      <c r="D754" s="6" t="s">
        <v>3244</v>
      </c>
      <c r="E754" s="6" t="s">
        <v>3245</v>
      </c>
      <c r="F754" s="6" t="s">
        <v>3265</v>
      </c>
      <c r="G754" s="3" t="s">
        <v>11449</v>
      </c>
      <c r="H754" s="54">
        <v>0</v>
      </c>
      <c r="I754" s="16">
        <v>470000000</v>
      </c>
      <c r="J754" s="157" t="s">
        <v>229</v>
      </c>
      <c r="K754" s="5" t="s">
        <v>14620</v>
      </c>
      <c r="L754" s="17" t="s">
        <v>11411</v>
      </c>
      <c r="M754" s="3" t="s">
        <v>230</v>
      </c>
      <c r="N754" s="6" t="s">
        <v>524</v>
      </c>
      <c r="O754" s="6" t="s">
        <v>233</v>
      </c>
      <c r="P754" s="58">
        <v>796</v>
      </c>
      <c r="Q754" s="6" t="s">
        <v>234</v>
      </c>
      <c r="R754" s="222">
        <v>6</v>
      </c>
      <c r="S754" s="2">
        <v>66000</v>
      </c>
      <c r="T754" s="4">
        <v>0</v>
      </c>
      <c r="U754" s="4">
        <f t="shared" ref="U754:U824" si="33">T754*1.12</f>
        <v>0</v>
      </c>
      <c r="V754" s="3" t="s">
        <v>362</v>
      </c>
      <c r="W754" s="3">
        <v>2014</v>
      </c>
      <c r="X754" s="3">
        <v>11</v>
      </c>
    </row>
    <row r="755" spans="1:24" ht="89.25">
      <c r="A755" s="3" t="s">
        <v>16389</v>
      </c>
      <c r="B755" s="6" t="s">
        <v>361</v>
      </c>
      <c r="C755" s="6" t="s">
        <v>3243</v>
      </c>
      <c r="D755" s="6" t="s">
        <v>3244</v>
      </c>
      <c r="E755" s="6" t="s">
        <v>3245</v>
      </c>
      <c r="F755" s="6" t="s">
        <v>3265</v>
      </c>
      <c r="G755" s="3" t="s">
        <v>11449</v>
      </c>
      <c r="H755" s="54">
        <v>0</v>
      </c>
      <c r="I755" s="16">
        <v>470000000</v>
      </c>
      <c r="J755" s="157" t="s">
        <v>229</v>
      </c>
      <c r="K755" s="5" t="s">
        <v>16386</v>
      </c>
      <c r="L755" s="17" t="s">
        <v>11411</v>
      </c>
      <c r="M755" s="3" t="s">
        <v>230</v>
      </c>
      <c r="N755" s="6" t="s">
        <v>524</v>
      </c>
      <c r="O755" s="6" t="s">
        <v>233</v>
      </c>
      <c r="P755" s="58">
        <v>796</v>
      </c>
      <c r="Q755" s="6" t="s">
        <v>234</v>
      </c>
      <c r="R755" s="222">
        <v>6</v>
      </c>
      <c r="S755" s="2">
        <v>66000</v>
      </c>
      <c r="T755" s="4">
        <f>R755*S755</f>
        <v>396000</v>
      </c>
      <c r="U755" s="4">
        <f>T755*1.12</f>
        <v>443520.00000000006</v>
      </c>
      <c r="V755" s="3" t="s">
        <v>362</v>
      </c>
      <c r="W755" s="3">
        <v>2014</v>
      </c>
      <c r="X755" s="3"/>
    </row>
    <row r="756" spans="1:24" ht="102">
      <c r="A756" s="3" t="s">
        <v>900</v>
      </c>
      <c r="B756" s="6" t="s">
        <v>361</v>
      </c>
      <c r="C756" s="6" t="s">
        <v>3243</v>
      </c>
      <c r="D756" s="6" t="s">
        <v>3244</v>
      </c>
      <c r="E756" s="6" t="s">
        <v>3245</v>
      </c>
      <c r="F756" s="6" t="s">
        <v>3266</v>
      </c>
      <c r="G756" s="3" t="s">
        <v>11449</v>
      </c>
      <c r="H756" s="54">
        <v>0</v>
      </c>
      <c r="I756" s="16">
        <v>470000000</v>
      </c>
      <c r="J756" s="157" t="s">
        <v>229</v>
      </c>
      <c r="K756" s="5" t="s">
        <v>215</v>
      </c>
      <c r="L756" s="6" t="s">
        <v>231</v>
      </c>
      <c r="M756" s="3" t="s">
        <v>230</v>
      </c>
      <c r="N756" s="6" t="s">
        <v>524</v>
      </c>
      <c r="O756" s="6" t="s">
        <v>233</v>
      </c>
      <c r="P756" s="58">
        <v>796</v>
      </c>
      <c r="Q756" s="6" t="s">
        <v>234</v>
      </c>
      <c r="R756" s="222">
        <v>70</v>
      </c>
      <c r="S756" s="2">
        <v>95000</v>
      </c>
      <c r="T756" s="4">
        <v>0</v>
      </c>
      <c r="U756" s="4">
        <f t="shared" si="33"/>
        <v>0</v>
      </c>
      <c r="V756" s="3" t="s">
        <v>362</v>
      </c>
      <c r="W756" s="3">
        <v>2014</v>
      </c>
      <c r="X756" s="3">
        <v>11.12</v>
      </c>
    </row>
    <row r="757" spans="1:24" ht="89.25">
      <c r="A757" s="3" t="s">
        <v>12152</v>
      </c>
      <c r="B757" s="6" t="s">
        <v>361</v>
      </c>
      <c r="C757" s="6" t="s">
        <v>3243</v>
      </c>
      <c r="D757" s="6" t="s">
        <v>3244</v>
      </c>
      <c r="E757" s="6" t="s">
        <v>3245</v>
      </c>
      <c r="F757" s="6" t="s">
        <v>3266</v>
      </c>
      <c r="G757" s="3" t="s">
        <v>11449</v>
      </c>
      <c r="H757" s="54">
        <v>0</v>
      </c>
      <c r="I757" s="16">
        <v>470000000</v>
      </c>
      <c r="J757" s="157" t="s">
        <v>229</v>
      </c>
      <c r="K757" s="5" t="s">
        <v>217</v>
      </c>
      <c r="L757" s="17" t="s">
        <v>11411</v>
      </c>
      <c r="M757" s="3" t="s">
        <v>230</v>
      </c>
      <c r="N757" s="6" t="s">
        <v>524</v>
      </c>
      <c r="O757" s="6" t="s">
        <v>233</v>
      </c>
      <c r="P757" s="58">
        <v>796</v>
      </c>
      <c r="Q757" s="6" t="s">
        <v>234</v>
      </c>
      <c r="R757" s="222">
        <v>70</v>
      </c>
      <c r="S757" s="2">
        <v>95000</v>
      </c>
      <c r="T757" s="4">
        <v>0</v>
      </c>
      <c r="U757" s="4">
        <f t="shared" si="33"/>
        <v>0</v>
      </c>
      <c r="V757" s="3" t="s">
        <v>362</v>
      </c>
      <c r="W757" s="3">
        <v>2014</v>
      </c>
      <c r="X757" s="3" t="s">
        <v>12076</v>
      </c>
    </row>
    <row r="758" spans="1:24" ht="102">
      <c r="A758" s="3" t="s">
        <v>901</v>
      </c>
      <c r="B758" s="6" t="s">
        <v>361</v>
      </c>
      <c r="C758" s="6" t="s">
        <v>11630</v>
      </c>
      <c r="D758" s="6" t="s">
        <v>3281</v>
      </c>
      <c r="E758" s="6" t="s">
        <v>3282</v>
      </c>
      <c r="F758" s="6" t="s">
        <v>3278</v>
      </c>
      <c r="G758" s="3" t="s">
        <v>11449</v>
      </c>
      <c r="H758" s="54">
        <v>0</v>
      </c>
      <c r="I758" s="16">
        <v>470000000</v>
      </c>
      <c r="J758" s="157" t="s">
        <v>229</v>
      </c>
      <c r="K758" s="5" t="s">
        <v>211</v>
      </c>
      <c r="L758" s="6" t="s">
        <v>231</v>
      </c>
      <c r="M758" s="3" t="s">
        <v>230</v>
      </c>
      <c r="N758" s="6" t="s">
        <v>524</v>
      </c>
      <c r="O758" s="6" t="s">
        <v>233</v>
      </c>
      <c r="P758" s="58">
        <v>796</v>
      </c>
      <c r="Q758" s="6" t="s">
        <v>234</v>
      </c>
      <c r="R758" s="222">
        <v>6</v>
      </c>
      <c r="S758" s="2">
        <v>120000</v>
      </c>
      <c r="T758" s="4">
        <v>0</v>
      </c>
      <c r="U758" s="4">
        <f t="shared" si="33"/>
        <v>0</v>
      </c>
      <c r="V758" s="3" t="s">
        <v>362</v>
      </c>
      <c r="W758" s="3">
        <v>2014</v>
      </c>
      <c r="X758" s="3" t="s">
        <v>12076</v>
      </c>
    </row>
    <row r="759" spans="1:24" ht="102">
      <c r="A759" s="3" t="s">
        <v>902</v>
      </c>
      <c r="B759" s="6" t="s">
        <v>361</v>
      </c>
      <c r="C759" s="6" t="s">
        <v>3283</v>
      </c>
      <c r="D759" s="6" t="s">
        <v>3244</v>
      </c>
      <c r="E759" s="6" t="s">
        <v>3284</v>
      </c>
      <c r="F759" s="6" t="s">
        <v>3279</v>
      </c>
      <c r="G759" s="3" t="s">
        <v>11449</v>
      </c>
      <c r="H759" s="54">
        <v>0</v>
      </c>
      <c r="I759" s="16">
        <v>470000000</v>
      </c>
      <c r="J759" s="157" t="s">
        <v>229</v>
      </c>
      <c r="K759" s="5" t="s">
        <v>211</v>
      </c>
      <c r="L759" s="6" t="s">
        <v>231</v>
      </c>
      <c r="M759" s="3" t="s">
        <v>230</v>
      </c>
      <c r="N759" s="6" t="s">
        <v>524</v>
      </c>
      <c r="O759" s="6" t="s">
        <v>233</v>
      </c>
      <c r="P759" s="58">
        <v>796</v>
      </c>
      <c r="Q759" s="6" t="s">
        <v>234</v>
      </c>
      <c r="R759" s="222">
        <v>4</v>
      </c>
      <c r="S759" s="2">
        <v>12000</v>
      </c>
      <c r="T759" s="4">
        <v>0</v>
      </c>
      <c r="U759" s="4">
        <f t="shared" si="33"/>
        <v>0</v>
      </c>
      <c r="V759" s="3" t="s">
        <v>362</v>
      </c>
      <c r="W759" s="3">
        <v>2014</v>
      </c>
      <c r="X759" s="58" t="s">
        <v>14230</v>
      </c>
    </row>
    <row r="760" spans="1:24" ht="102">
      <c r="A760" s="3" t="s">
        <v>14643</v>
      </c>
      <c r="B760" s="6" t="s">
        <v>361</v>
      </c>
      <c r="C760" s="6" t="s">
        <v>3283</v>
      </c>
      <c r="D760" s="6" t="s">
        <v>3244</v>
      </c>
      <c r="E760" s="6" t="s">
        <v>3284</v>
      </c>
      <c r="F760" s="6" t="s">
        <v>3279</v>
      </c>
      <c r="G760" s="3" t="s">
        <v>11449</v>
      </c>
      <c r="H760" s="54">
        <v>0</v>
      </c>
      <c r="I760" s="16">
        <v>470000000</v>
      </c>
      <c r="J760" s="157" t="s">
        <v>229</v>
      </c>
      <c r="K760" s="5" t="s">
        <v>211</v>
      </c>
      <c r="L760" s="6" t="s">
        <v>231</v>
      </c>
      <c r="M760" s="3" t="s">
        <v>230</v>
      </c>
      <c r="N760" s="6" t="s">
        <v>524</v>
      </c>
      <c r="O760" s="6" t="s">
        <v>233</v>
      </c>
      <c r="P760" s="58">
        <v>796</v>
      </c>
      <c r="Q760" s="6" t="s">
        <v>234</v>
      </c>
      <c r="R760" s="222">
        <v>4</v>
      </c>
      <c r="S760" s="2">
        <v>14400</v>
      </c>
      <c r="T760" s="4">
        <v>0</v>
      </c>
      <c r="U760" s="4">
        <f t="shared" si="33"/>
        <v>0</v>
      </c>
      <c r="V760" s="3" t="s">
        <v>362</v>
      </c>
      <c r="W760" s="3">
        <v>2014</v>
      </c>
      <c r="X760" s="3">
        <v>11</v>
      </c>
    </row>
    <row r="761" spans="1:24" ht="102">
      <c r="A761" s="3" t="s">
        <v>18179</v>
      </c>
      <c r="B761" s="6" t="s">
        <v>361</v>
      </c>
      <c r="C761" s="6" t="s">
        <v>3283</v>
      </c>
      <c r="D761" s="6" t="s">
        <v>3244</v>
      </c>
      <c r="E761" s="6" t="s">
        <v>3284</v>
      </c>
      <c r="F761" s="6" t="s">
        <v>3279</v>
      </c>
      <c r="G761" s="3" t="s">
        <v>11449</v>
      </c>
      <c r="H761" s="54">
        <v>0</v>
      </c>
      <c r="I761" s="16">
        <v>470000000</v>
      </c>
      <c r="J761" s="157" t="s">
        <v>229</v>
      </c>
      <c r="K761" s="5" t="s">
        <v>8950</v>
      </c>
      <c r="L761" s="6" t="s">
        <v>231</v>
      </c>
      <c r="M761" s="3" t="s">
        <v>230</v>
      </c>
      <c r="N761" s="6" t="s">
        <v>524</v>
      </c>
      <c r="O761" s="6" t="s">
        <v>233</v>
      </c>
      <c r="P761" s="58">
        <v>796</v>
      </c>
      <c r="Q761" s="6" t="s">
        <v>234</v>
      </c>
      <c r="R761" s="222">
        <v>4</v>
      </c>
      <c r="S761" s="2">
        <v>14400</v>
      </c>
      <c r="T761" s="4">
        <v>0</v>
      </c>
      <c r="U761" s="4">
        <f t="shared" si="33"/>
        <v>0</v>
      </c>
      <c r="V761" s="3" t="s">
        <v>362</v>
      </c>
      <c r="W761" s="3">
        <v>2014</v>
      </c>
      <c r="X761" s="3" t="s">
        <v>19389</v>
      </c>
    </row>
    <row r="762" spans="1:24" ht="89.25">
      <c r="A762" s="3" t="s">
        <v>19263</v>
      </c>
      <c r="B762" s="6" t="s">
        <v>361</v>
      </c>
      <c r="C762" s="6" t="s">
        <v>3283</v>
      </c>
      <c r="D762" s="6" t="s">
        <v>3244</v>
      </c>
      <c r="E762" s="6" t="s">
        <v>3284</v>
      </c>
      <c r="F762" s="6" t="s">
        <v>3279</v>
      </c>
      <c r="G762" s="3" t="s">
        <v>11450</v>
      </c>
      <c r="H762" s="54">
        <v>0</v>
      </c>
      <c r="I762" s="16">
        <v>470000000</v>
      </c>
      <c r="J762" s="157" t="s">
        <v>229</v>
      </c>
      <c r="K762" s="5" t="s">
        <v>18437</v>
      </c>
      <c r="L762" s="17" t="s">
        <v>11411</v>
      </c>
      <c r="M762" s="3" t="s">
        <v>230</v>
      </c>
      <c r="N762" s="6" t="s">
        <v>8914</v>
      </c>
      <c r="O762" s="6" t="s">
        <v>19407</v>
      </c>
      <c r="P762" s="58">
        <v>796</v>
      </c>
      <c r="Q762" s="6" t="s">
        <v>234</v>
      </c>
      <c r="R762" s="222">
        <v>4</v>
      </c>
      <c r="S762" s="2">
        <v>14400</v>
      </c>
      <c r="T762" s="4">
        <v>0</v>
      </c>
      <c r="U762" s="4">
        <f t="shared" si="33"/>
        <v>0</v>
      </c>
      <c r="V762" s="3"/>
      <c r="W762" s="3">
        <v>2014</v>
      </c>
      <c r="X762" s="3">
        <v>11.14</v>
      </c>
    </row>
    <row r="763" spans="1:24" ht="89.25">
      <c r="A763" s="3" t="s">
        <v>19600</v>
      </c>
      <c r="B763" s="6" t="s">
        <v>361</v>
      </c>
      <c r="C763" s="6" t="s">
        <v>3283</v>
      </c>
      <c r="D763" s="6" t="s">
        <v>3244</v>
      </c>
      <c r="E763" s="6" t="s">
        <v>3284</v>
      </c>
      <c r="F763" s="6" t="s">
        <v>3279</v>
      </c>
      <c r="G763" s="3" t="s">
        <v>11450</v>
      </c>
      <c r="H763" s="54">
        <v>0</v>
      </c>
      <c r="I763" s="16">
        <v>470000000</v>
      </c>
      <c r="J763" s="157" t="s">
        <v>229</v>
      </c>
      <c r="K763" s="5" t="s">
        <v>9956</v>
      </c>
      <c r="L763" s="17" t="s">
        <v>11411</v>
      </c>
      <c r="M763" s="3" t="s">
        <v>230</v>
      </c>
      <c r="N763" s="6" t="s">
        <v>528</v>
      </c>
      <c r="O763" s="6" t="s">
        <v>19407</v>
      </c>
      <c r="P763" s="58">
        <v>796</v>
      </c>
      <c r="Q763" s="6" t="s">
        <v>234</v>
      </c>
      <c r="R763" s="222">
        <v>4</v>
      </c>
      <c r="S763" s="2">
        <v>14400</v>
      </c>
      <c r="T763" s="4">
        <f>R763*S763</f>
        <v>57600</v>
      </c>
      <c r="U763" s="4">
        <f t="shared" si="33"/>
        <v>64512.000000000007</v>
      </c>
      <c r="V763" s="3"/>
      <c r="W763" s="3">
        <v>2014</v>
      </c>
      <c r="X763" s="3"/>
    </row>
    <row r="764" spans="1:24" ht="102">
      <c r="A764" s="3" t="s">
        <v>903</v>
      </c>
      <c r="B764" s="6" t="s">
        <v>361</v>
      </c>
      <c r="C764" s="6" t="s">
        <v>3283</v>
      </c>
      <c r="D764" s="6" t="s">
        <v>3244</v>
      </c>
      <c r="E764" s="6" t="s">
        <v>3284</v>
      </c>
      <c r="F764" s="6" t="s">
        <v>3280</v>
      </c>
      <c r="G764" s="3" t="s">
        <v>11449</v>
      </c>
      <c r="H764" s="54">
        <v>0</v>
      </c>
      <c r="I764" s="16">
        <v>470000000</v>
      </c>
      <c r="J764" s="157" t="s">
        <v>229</v>
      </c>
      <c r="K764" s="5" t="s">
        <v>211</v>
      </c>
      <c r="L764" s="6" t="s">
        <v>231</v>
      </c>
      <c r="M764" s="3" t="s">
        <v>230</v>
      </c>
      <c r="N764" s="6" t="s">
        <v>524</v>
      </c>
      <c r="O764" s="6" t="s">
        <v>233</v>
      </c>
      <c r="P764" s="58">
        <v>796</v>
      </c>
      <c r="Q764" s="6" t="s">
        <v>234</v>
      </c>
      <c r="R764" s="222">
        <v>2</v>
      </c>
      <c r="S764" s="2">
        <v>12000</v>
      </c>
      <c r="T764" s="4">
        <v>0</v>
      </c>
      <c r="U764" s="4">
        <f t="shared" si="33"/>
        <v>0</v>
      </c>
      <c r="V764" s="3"/>
      <c r="W764" s="3">
        <v>2014</v>
      </c>
      <c r="X764" s="58" t="s">
        <v>14230</v>
      </c>
    </row>
    <row r="765" spans="1:24" ht="102">
      <c r="A765" s="3" t="s">
        <v>14644</v>
      </c>
      <c r="B765" s="6" t="s">
        <v>361</v>
      </c>
      <c r="C765" s="6" t="s">
        <v>3283</v>
      </c>
      <c r="D765" s="6" t="s">
        <v>3244</v>
      </c>
      <c r="E765" s="6" t="s">
        <v>3284</v>
      </c>
      <c r="F765" s="6" t="s">
        <v>3280</v>
      </c>
      <c r="G765" s="3" t="s">
        <v>11449</v>
      </c>
      <c r="H765" s="54">
        <v>0</v>
      </c>
      <c r="I765" s="16">
        <v>470000000</v>
      </c>
      <c r="J765" s="157" t="s">
        <v>229</v>
      </c>
      <c r="K765" s="5" t="s">
        <v>211</v>
      </c>
      <c r="L765" s="6" t="s">
        <v>231</v>
      </c>
      <c r="M765" s="3" t="s">
        <v>230</v>
      </c>
      <c r="N765" s="6" t="s">
        <v>524</v>
      </c>
      <c r="O765" s="6" t="s">
        <v>233</v>
      </c>
      <c r="P765" s="58">
        <v>796</v>
      </c>
      <c r="Q765" s="6" t="s">
        <v>234</v>
      </c>
      <c r="R765" s="222">
        <v>2</v>
      </c>
      <c r="S765" s="2">
        <v>14400</v>
      </c>
      <c r="T765" s="4">
        <v>0</v>
      </c>
      <c r="U765" s="4">
        <f t="shared" si="33"/>
        <v>0</v>
      </c>
      <c r="V765" s="3"/>
      <c r="W765" s="3">
        <v>2014</v>
      </c>
      <c r="X765" s="3">
        <v>11</v>
      </c>
    </row>
    <row r="766" spans="1:24" ht="102">
      <c r="A766" s="3" t="s">
        <v>18180</v>
      </c>
      <c r="B766" s="6" t="s">
        <v>361</v>
      </c>
      <c r="C766" s="6" t="s">
        <v>3283</v>
      </c>
      <c r="D766" s="6" t="s">
        <v>3244</v>
      </c>
      <c r="E766" s="6" t="s">
        <v>3284</v>
      </c>
      <c r="F766" s="6" t="s">
        <v>3280</v>
      </c>
      <c r="G766" s="3" t="s">
        <v>11449</v>
      </c>
      <c r="H766" s="54">
        <v>0</v>
      </c>
      <c r="I766" s="16">
        <v>470000000</v>
      </c>
      <c r="J766" s="157" t="s">
        <v>229</v>
      </c>
      <c r="K766" s="5" t="s">
        <v>8950</v>
      </c>
      <c r="L766" s="6" t="s">
        <v>231</v>
      </c>
      <c r="M766" s="3" t="s">
        <v>230</v>
      </c>
      <c r="N766" s="6" t="s">
        <v>524</v>
      </c>
      <c r="O766" s="6" t="s">
        <v>233</v>
      </c>
      <c r="P766" s="58">
        <v>796</v>
      </c>
      <c r="Q766" s="6" t="s">
        <v>234</v>
      </c>
      <c r="R766" s="222">
        <v>2</v>
      </c>
      <c r="S766" s="2">
        <v>14400</v>
      </c>
      <c r="T766" s="4">
        <v>0</v>
      </c>
      <c r="U766" s="4">
        <f t="shared" si="33"/>
        <v>0</v>
      </c>
      <c r="V766" s="3"/>
      <c r="W766" s="3">
        <v>2014</v>
      </c>
      <c r="X766" s="3" t="s">
        <v>19390</v>
      </c>
    </row>
    <row r="767" spans="1:24" ht="89.25">
      <c r="A767" s="3" t="s">
        <v>19275</v>
      </c>
      <c r="B767" s="6" t="s">
        <v>361</v>
      </c>
      <c r="C767" s="6" t="s">
        <v>3283</v>
      </c>
      <c r="D767" s="6" t="s">
        <v>3244</v>
      </c>
      <c r="E767" s="6" t="s">
        <v>3284</v>
      </c>
      <c r="F767" s="6" t="s">
        <v>3280</v>
      </c>
      <c r="G767" s="3" t="s">
        <v>11450</v>
      </c>
      <c r="H767" s="54">
        <v>0</v>
      </c>
      <c r="I767" s="16">
        <v>470000000</v>
      </c>
      <c r="J767" s="157" t="s">
        <v>229</v>
      </c>
      <c r="K767" s="5" t="s">
        <v>18437</v>
      </c>
      <c r="L767" s="17" t="s">
        <v>11411</v>
      </c>
      <c r="M767" s="3" t="s">
        <v>230</v>
      </c>
      <c r="N767" s="6" t="s">
        <v>8914</v>
      </c>
      <c r="O767" s="6" t="s">
        <v>19407</v>
      </c>
      <c r="P767" s="58">
        <v>796</v>
      </c>
      <c r="Q767" s="6" t="s">
        <v>234</v>
      </c>
      <c r="R767" s="222">
        <v>2</v>
      </c>
      <c r="S767" s="2">
        <v>14400</v>
      </c>
      <c r="T767" s="4">
        <v>0</v>
      </c>
      <c r="U767" s="4">
        <f t="shared" si="33"/>
        <v>0</v>
      </c>
      <c r="V767" s="3"/>
      <c r="W767" s="3">
        <v>2014</v>
      </c>
      <c r="X767" s="3">
        <v>11.14</v>
      </c>
    </row>
    <row r="768" spans="1:24" ht="89.25">
      <c r="A768" s="3" t="s">
        <v>19601</v>
      </c>
      <c r="B768" s="6" t="s">
        <v>361</v>
      </c>
      <c r="C768" s="6" t="s">
        <v>3283</v>
      </c>
      <c r="D768" s="6" t="s">
        <v>3244</v>
      </c>
      <c r="E768" s="6" t="s">
        <v>3284</v>
      </c>
      <c r="F768" s="6" t="s">
        <v>3280</v>
      </c>
      <c r="G768" s="3" t="s">
        <v>11450</v>
      </c>
      <c r="H768" s="54">
        <v>0</v>
      </c>
      <c r="I768" s="16">
        <v>470000000</v>
      </c>
      <c r="J768" s="157" t="s">
        <v>229</v>
      </c>
      <c r="K768" s="5" t="s">
        <v>9956</v>
      </c>
      <c r="L768" s="17" t="s">
        <v>11411</v>
      </c>
      <c r="M768" s="3" t="s">
        <v>230</v>
      </c>
      <c r="N768" s="6" t="s">
        <v>528</v>
      </c>
      <c r="O768" s="6" t="s">
        <v>19407</v>
      </c>
      <c r="P768" s="58">
        <v>796</v>
      </c>
      <c r="Q768" s="6" t="s">
        <v>234</v>
      </c>
      <c r="R768" s="222">
        <v>2</v>
      </c>
      <c r="S768" s="2">
        <v>14400</v>
      </c>
      <c r="T768" s="4">
        <f>R768*S768</f>
        <v>28800</v>
      </c>
      <c r="U768" s="4">
        <f t="shared" si="33"/>
        <v>32256.000000000004</v>
      </c>
      <c r="V768" s="3"/>
      <c r="W768" s="3">
        <v>2014</v>
      </c>
      <c r="X768" s="3"/>
    </row>
    <row r="769" spans="1:24" ht="102">
      <c r="A769" s="3" t="s">
        <v>904</v>
      </c>
      <c r="B769" s="6" t="s">
        <v>361</v>
      </c>
      <c r="C769" s="6" t="s">
        <v>3285</v>
      </c>
      <c r="D769" s="6" t="s">
        <v>3286</v>
      </c>
      <c r="E769" s="6" t="s">
        <v>11518</v>
      </c>
      <c r="F769" s="6" t="s">
        <v>11517</v>
      </c>
      <c r="G769" s="3" t="s">
        <v>11449</v>
      </c>
      <c r="H769" s="54">
        <v>0</v>
      </c>
      <c r="I769" s="16">
        <v>470000000</v>
      </c>
      <c r="J769" s="157" t="s">
        <v>229</v>
      </c>
      <c r="K769" s="5" t="s">
        <v>211</v>
      </c>
      <c r="L769" s="6" t="s">
        <v>231</v>
      </c>
      <c r="M769" s="3" t="s">
        <v>230</v>
      </c>
      <c r="N769" s="6" t="s">
        <v>524</v>
      </c>
      <c r="O769" s="6" t="s">
        <v>233</v>
      </c>
      <c r="P769" s="58">
        <v>796</v>
      </c>
      <c r="Q769" s="6" t="s">
        <v>234</v>
      </c>
      <c r="R769" s="222">
        <v>1</v>
      </c>
      <c r="S769" s="2">
        <v>26500</v>
      </c>
      <c r="T769" s="4">
        <v>0</v>
      </c>
      <c r="U769" s="4">
        <f t="shared" si="33"/>
        <v>0</v>
      </c>
      <c r="V769" s="3"/>
      <c r="W769" s="3">
        <v>2014</v>
      </c>
      <c r="X769" s="58" t="s">
        <v>14230</v>
      </c>
    </row>
    <row r="770" spans="1:24" ht="102">
      <c r="A770" s="3" t="s">
        <v>14645</v>
      </c>
      <c r="B770" s="6" t="s">
        <v>361</v>
      </c>
      <c r="C770" s="6" t="s">
        <v>3285</v>
      </c>
      <c r="D770" s="6" t="s">
        <v>3286</v>
      </c>
      <c r="E770" s="6" t="s">
        <v>11518</v>
      </c>
      <c r="F770" s="6" t="s">
        <v>11517</v>
      </c>
      <c r="G770" s="3" t="s">
        <v>11449</v>
      </c>
      <c r="H770" s="54">
        <v>0</v>
      </c>
      <c r="I770" s="16">
        <v>470000000</v>
      </c>
      <c r="J770" s="157" t="s">
        <v>229</v>
      </c>
      <c r="K770" s="5" t="s">
        <v>211</v>
      </c>
      <c r="L770" s="6" t="s">
        <v>231</v>
      </c>
      <c r="M770" s="3" t="s">
        <v>230</v>
      </c>
      <c r="N770" s="6" t="s">
        <v>524</v>
      </c>
      <c r="O770" s="6" t="s">
        <v>233</v>
      </c>
      <c r="P770" s="58">
        <v>796</v>
      </c>
      <c r="Q770" s="6" t="s">
        <v>234</v>
      </c>
      <c r="R770" s="222">
        <v>1</v>
      </c>
      <c r="S770" s="2">
        <v>31800</v>
      </c>
      <c r="T770" s="4">
        <v>0</v>
      </c>
      <c r="U770" s="4">
        <f t="shared" si="33"/>
        <v>0</v>
      </c>
      <c r="V770" s="3"/>
      <c r="W770" s="3">
        <v>2014</v>
      </c>
      <c r="X770" s="3" t="s">
        <v>19390</v>
      </c>
    </row>
    <row r="771" spans="1:24" ht="76.5">
      <c r="A771" s="3" t="s">
        <v>19277</v>
      </c>
      <c r="B771" s="6" t="s">
        <v>361</v>
      </c>
      <c r="C771" s="6" t="s">
        <v>3285</v>
      </c>
      <c r="D771" s="6" t="s">
        <v>3286</v>
      </c>
      <c r="E771" s="6" t="s">
        <v>11518</v>
      </c>
      <c r="F771" s="6" t="s">
        <v>11517</v>
      </c>
      <c r="G771" s="3" t="s">
        <v>11450</v>
      </c>
      <c r="H771" s="54">
        <v>0</v>
      </c>
      <c r="I771" s="16">
        <v>470000000</v>
      </c>
      <c r="J771" s="157" t="s">
        <v>229</v>
      </c>
      <c r="K771" s="5" t="s">
        <v>18437</v>
      </c>
      <c r="L771" s="17" t="s">
        <v>11411</v>
      </c>
      <c r="M771" s="3" t="s">
        <v>230</v>
      </c>
      <c r="N771" s="6" t="s">
        <v>8914</v>
      </c>
      <c r="O771" s="6" t="s">
        <v>19407</v>
      </c>
      <c r="P771" s="58">
        <v>796</v>
      </c>
      <c r="Q771" s="6" t="s">
        <v>234</v>
      </c>
      <c r="R771" s="222">
        <v>1</v>
      </c>
      <c r="S771" s="2">
        <v>31800</v>
      </c>
      <c r="T771" s="4">
        <v>0</v>
      </c>
      <c r="U771" s="4">
        <f t="shared" si="33"/>
        <v>0</v>
      </c>
      <c r="V771" s="3"/>
      <c r="W771" s="3">
        <v>2014</v>
      </c>
      <c r="X771" s="3">
        <v>11.14</v>
      </c>
    </row>
    <row r="772" spans="1:24" ht="76.5">
      <c r="A772" s="3" t="s">
        <v>19602</v>
      </c>
      <c r="B772" s="6" t="s">
        <v>361</v>
      </c>
      <c r="C772" s="6" t="s">
        <v>3285</v>
      </c>
      <c r="D772" s="6" t="s">
        <v>3286</v>
      </c>
      <c r="E772" s="6" t="s">
        <v>11518</v>
      </c>
      <c r="F772" s="6" t="s">
        <v>11517</v>
      </c>
      <c r="G772" s="3" t="s">
        <v>11450</v>
      </c>
      <c r="H772" s="54">
        <v>0</v>
      </c>
      <c r="I772" s="16">
        <v>470000000</v>
      </c>
      <c r="J772" s="157" t="s">
        <v>229</v>
      </c>
      <c r="K772" s="5" t="s">
        <v>9956</v>
      </c>
      <c r="L772" s="17" t="s">
        <v>11411</v>
      </c>
      <c r="M772" s="3" t="s">
        <v>230</v>
      </c>
      <c r="N772" s="6" t="s">
        <v>528</v>
      </c>
      <c r="O772" s="6" t="s">
        <v>19407</v>
      </c>
      <c r="P772" s="58">
        <v>796</v>
      </c>
      <c r="Q772" s="6" t="s">
        <v>234</v>
      </c>
      <c r="R772" s="222">
        <v>1</v>
      </c>
      <c r="S772" s="2">
        <v>31800</v>
      </c>
      <c r="T772" s="4">
        <f>R772*S772</f>
        <v>31800</v>
      </c>
      <c r="U772" s="4">
        <f t="shared" si="33"/>
        <v>35616</v>
      </c>
      <c r="V772" s="3"/>
      <c r="W772" s="3">
        <v>2014</v>
      </c>
      <c r="X772" s="3"/>
    </row>
    <row r="773" spans="1:24" ht="102">
      <c r="A773" s="3" t="s">
        <v>905</v>
      </c>
      <c r="B773" s="6" t="s">
        <v>361</v>
      </c>
      <c r="C773" s="6" t="s">
        <v>3293</v>
      </c>
      <c r="D773" s="6" t="s">
        <v>3294</v>
      </c>
      <c r="E773" s="6" t="s">
        <v>3295</v>
      </c>
      <c r="F773" s="6" t="s">
        <v>3287</v>
      </c>
      <c r="G773" s="3" t="s">
        <v>11450</v>
      </c>
      <c r="H773" s="54">
        <v>0</v>
      </c>
      <c r="I773" s="16">
        <v>470000000</v>
      </c>
      <c r="J773" s="157" t="s">
        <v>229</v>
      </c>
      <c r="K773" s="5" t="s">
        <v>210</v>
      </c>
      <c r="L773" s="6" t="s">
        <v>231</v>
      </c>
      <c r="M773" s="3" t="s">
        <v>230</v>
      </c>
      <c r="N773" s="6" t="s">
        <v>524</v>
      </c>
      <c r="O773" s="6" t="s">
        <v>233</v>
      </c>
      <c r="P773" s="58">
        <v>796</v>
      </c>
      <c r="Q773" s="6" t="s">
        <v>234</v>
      </c>
      <c r="R773" s="118">
        <v>14</v>
      </c>
      <c r="S773" s="2">
        <v>6230</v>
      </c>
      <c r="T773" s="4">
        <v>0</v>
      </c>
      <c r="U773" s="4">
        <f t="shared" si="33"/>
        <v>0</v>
      </c>
      <c r="V773" s="3" t="s">
        <v>362</v>
      </c>
      <c r="W773" s="3">
        <v>2014</v>
      </c>
      <c r="X773" s="3" t="s">
        <v>12051</v>
      </c>
    </row>
    <row r="774" spans="1:24" ht="102">
      <c r="A774" s="3" t="s">
        <v>14646</v>
      </c>
      <c r="B774" s="6" t="s">
        <v>361</v>
      </c>
      <c r="C774" s="6" t="s">
        <v>3293</v>
      </c>
      <c r="D774" s="6" t="s">
        <v>3294</v>
      </c>
      <c r="E774" s="6" t="s">
        <v>3295</v>
      </c>
      <c r="F774" s="6" t="s">
        <v>3287</v>
      </c>
      <c r="G774" s="3" t="s">
        <v>11450</v>
      </c>
      <c r="H774" s="54">
        <v>0</v>
      </c>
      <c r="I774" s="16">
        <v>470000000</v>
      </c>
      <c r="J774" s="157" t="s">
        <v>229</v>
      </c>
      <c r="K774" s="5" t="s">
        <v>14590</v>
      </c>
      <c r="L774" s="6" t="s">
        <v>231</v>
      </c>
      <c r="M774" s="3" t="s">
        <v>230</v>
      </c>
      <c r="N774" s="6" t="s">
        <v>524</v>
      </c>
      <c r="O774" s="6" t="s">
        <v>233</v>
      </c>
      <c r="P774" s="58">
        <v>796</v>
      </c>
      <c r="Q774" s="6" t="s">
        <v>234</v>
      </c>
      <c r="R774" s="118">
        <v>19</v>
      </c>
      <c r="S774" s="2">
        <v>7476</v>
      </c>
      <c r="T774" s="4">
        <f>R774*S774</f>
        <v>142044</v>
      </c>
      <c r="U774" s="4">
        <f t="shared" si="33"/>
        <v>159089.28000000003</v>
      </c>
      <c r="V774" s="3" t="s">
        <v>362</v>
      </c>
      <c r="W774" s="3">
        <v>2014</v>
      </c>
      <c r="X774" s="3"/>
    </row>
    <row r="775" spans="1:24" ht="102">
      <c r="A775" s="3" t="s">
        <v>906</v>
      </c>
      <c r="B775" s="6" t="s">
        <v>361</v>
      </c>
      <c r="C775" s="6" t="s">
        <v>3293</v>
      </c>
      <c r="D775" s="6" t="s">
        <v>3294</v>
      </c>
      <c r="E775" s="6" t="s">
        <v>3295</v>
      </c>
      <c r="F775" s="6" t="s">
        <v>3288</v>
      </c>
      <c r="G775" s="3" t="s">
        <v>11450</v>
      </c>
      <c r="H775" s="54">
        <v>0</v>
      </c>
      <c r="I775" s="16">
        <v>470000000</v>
      </c>
      <c r="J775" s="157" t="s">
        <v>229</v>
      </c>
      <c r="K775" s="5" t="s">
        <v>215</v>
      </c>
      <c r="L775" s="6" t="s">
        <v>231</v>
      </c>
      <c r="M775" s="3" t="s">
        <v>230</v>
      </c>
      <c r="N775" s="6" t="s">
        <v>524</v>
      </c>
      <c r="O775" s="6" t="s">
        <v>233</v>
      </c>
      <c r="P775" s="58">
        <v>796</v>
      </c>
      <c r="Q775" s="6" t="s">
        <v>234</v>
      </c>
      <c r="R775" s="118">
        <v>60</v>
      </c>
      <c r="S775" s="2">
        <v>5873</v>
      </c>
      <c r="T775" s="4">
        <v>0</v>
      </c>
      <c r="U775" s="4">
        <f t="shared" si="33"/>
        <v>0</v>
      </c>
      <c r="V775" s="3" t="s">
        <v>362</v>
      </c>
      <c r="W775" s="3">
        <v>2014</v>
      </c>
      <c r="X775" s="3">
        <v>11.12</v>
      </c>
    </row>
    <row r="776" spans="1:24" ht="89.25">
      <c r="A776" s="3" t="s">
        <v>12153</v>
      </c>
      <c r="B776" s="6" t="s">
        <v>361</v>
      </c>
      <c r="C776" s="6" t="s">
        <v>3293</v>
      </c>
      <c r="D776" s="6" t="s">
        <v>3294</v>
      </c>
      <c r="E776" s="6" t="s">
        <v>3295</v>
      </c>
      <c r="F776" s="6" t="s">
        <v>3288</v>
      </c>
      <c r="G776" s="3" t="s">
        <v>11450</v>
      </c>
      <c r="H776" s="54">
        <v>0</v>
      </c>
      <c r="I776" s="16">
        <v>470000000</v>
      </c>
      <c r="J776" s="157" t="s">
        <v>229</v>
      </c>
      <c r="K776" s="5" t="s">
        <v>217</v>
      </c>
      <c r="L776" s="17" t="s">
        <v>11411</v>
      </c>
      <c r="M776" s="3" t="s">
        <v>230</v>
      </c>
      <c r="N776" s="6" t="s">
        <v>524</v>
      </c>
      <c r="O776" s="6" t="s">
        <v>233</v>
      </c>
      <c r="P776" s="58">
        <v>796</v>
      </c>
      <c r="Q776" s="6" t="s">
        <v>234</v>
      </c>
      <c r="R776" s="118">
        <v>60</v>
      </c>
      <c r="S776" s="2">
        <v>5873</v>
      </c>
      <c r="T776" s="4">
        <v>0</v>
      </c>
      <c r="U776" s="4">
        <f t="shared" si="33"/>
        <v>0</v>
      </c>
      <c r="V776" s="3" t="s">
        <v>362</v>
      </c>
      <c r="W776" s="3">
        <v>2014</v>
      </c>
      <c r="X776" s="3" t="s">
        <v>12051</v>
      </c>
    </row>
    <row r="777" spans="1:24" ht="89.25">
      <c r="A777" s="3" t="s">
        <v>14647</v>
      </c>
      <c r="B777" s="6" t="s">
        <v>361</v>
      </c>
      <c r="C777" s="6" t="s">
        <v>3293</v>
      </c>
      <c r="D777" s="6" t="s">
        <v>3294</v>
      </c>
      <c r="E777" s="6" t="s">
        <v>3295</v>
      </c>
      <c r="F777" s="6" t="s">
        <v>3288</v>
      </c>
      <c r="G777" s="3" t="s">
        <v>11450</v>
      </c>
      <c r="H777" s="54">
        <v>0</v>
      </c>
      <c r="I777" s="16">
        <v>470000000</v>
      </c>
      <c r="J777" s="157" t="s">
        <v>229</v>
      </c>
      <c r="K777" s="5" t="s">
        <v>14590</v>
      </c>
      <c r="L777" s="17" t="s">
        <v>11411</v>
      </c>
      <c r="M777" s="3" t="s">
        <v>230</v>
      </c>
      <c r="N777" s="6" t="s">
        <v>524</v>
      </c>
      <c r="O777" s="6" t="s">
        <v>233</v>
      </c>
      <c r="P777" s="58">
        <v>796</v>
      </c>
      <c r="Q777" s="6" t="s">
        <v>234</v>
      </c>
      <c r="R777" s="118">
        <v>63</v>
      </c>
      <c r="S777" s="2">
        <v>7048</v>
      </c>
      <c r="T777" s="4">
        <f>R777*S777</f>
        <v>444024</v>
      </c>
      <c r="U777" s="4">
        <f t="shared" si="33"/>
        <v>497306.88000000006</v>
      </c>
      <c r="V777" s="3" t="s">
        <v>362</v>
      </c>
      <c r="W777" s="3">
        <v>2014</v>
      </c>
      <c r="X777" s="3"/>
    </row>
    <row r="778" spans="1:24" ht="102">
      <c r="A778" s="3" t="s">
        <v>907</v>
      </c>
      <c r="B778" s="6" t="s">
        <v>361</v>
      </c>
      <c r="C778" s="6" t="s">
        <v>3296</v>
      </c>
      <c r="D778" s="6" t="s">
        <v>3297</v>
      </c>
      <c r="E778" s="6" t="s">
        <v>3298</v>
      </c>
      <c r="F778" s="6" t="s">
        <v>105</v>
      </c>
      <c r="G778" s="3" t="s">
        <v>11450</v>
      </c>
      <c r="H778" s="54">
        <v>0</v>
      </c>
      <c r="I778" s="16">
        <v>470000000</v>
      </c>
      <c r="J778" s="157" t="s">
        <v>229</v>
      </c>
      <c r="K778" s="5" t="s">
        <v>211</v>
      </c>
      <c r="L778" s="6" t="s">
        <v>231</v>
      </c>
      <c r="M778" s="3" t="s">
        <v>230</v>
      </c>
      <c r="N778" s="6" t="s">
        <v>524</v>
      </c>
      <c r="O778" s="6" t="s">
        <v>233</v>
      </c>
      <c r="P778" s="58">
        <v>796</v>
      </c>
      <c r="Q778" s="6" t="s">
        <v>234</v>
      </c>
      <c r="R778" s="118">
        <v>20</v>
      </c>
      <c r="S778" s="2">
        <v>4609</v>
      </c>
      <c r="T778" s="4">
        <v>0</v>
      </c>
      <c r="U778" s="4">
        <f t="shared" si="33"/>
        <v>0</v>
      </c>
      <c r="V778" s="3"/>
      <c r="W778" s="3">
        <v>2014</v>
      </c>
      <c r="X778" s="3" t="s">
        <v>12076</v>
      </c>
    </row>
    <row r="779" spans="1:24" ht="102">
      <c r="A779" s="3" t="s">
        <v>908</v>
      </c>
      <c r="B779" s="6" t="s">
        <v>361</v>
      </c>
      <c r="C779" s="6" t="s">
        <v>3296</v>
      </c>
      <c r="D779" s="6" t="s">
        <v>3297</v>
      </c>
      <c r="E779" s="6" t="s">
        <v>3298</v>
      </c>
      <c r="F779" s="6" t="s">
        <v>106</v>
      </c>
      <c r="G779" s="3" t="s">
        <v>11450</v>
      </c>
      <c r="H779" s="54">
        <v>0</v>
      </c>
      <c r="I779" s="16">
        <v>470000000</v>
      </c>
      <c r="J779" s="157" t="s">
        <v>229</v>
      </c>
      <c r="K779" s="5" t="s">
        <v>211</v>
      </c>
      <c r="L779" s="6" t="s">
        <v>231</v>
      </c>
      <c r="M779" s="3" t="s">
        <v>230</v>
      </c>
      <c r="N779" s="6" t="s">
        <v>524</v>
      </c>
      <c r="O779" s="6" t="s">
        <v>233</v>
      </c>
      <c r="P779" s="58">
        <v>796</v>
      </c>
      <c r="Q779" s="6" t="s">
        <v>234</v>
      </c>
      <c r="R779" s="118">
        <v>3</v>
      </c>
      <c r="S779" s="2">
        <v>3956</v>
      </c>
      <c r="T779" s="4">
        <v>0</v>
      </c>
      <c r="U779" s="4">
        <f t="shared" si="33"/>
        <v>0</v>
      </c>
      <c r="V779" s="3" t="s">
        <v>362</v>
      </c>
      <c r="W779" s="3">
        <v>2014</v>
      </c>
      <c r="X779" s="3" t="s">
        <v>12076</v>
      </c>
    </row>
    <row r="780" spans="1:24" ht="102">
      <c r="A780" s="3" t="s">
        <v>909</v>
      </c>
      <c r="B780" s="6" t="s">
        <v>361</v>
      </c>
      <c r="C780" s="6" t="s">
        <v>3296</v>
      </c>
      <c r="D780" s="6" t="s">
        <v>3297</v>
      </c>
      <c r="E780" s="6" t="s">
        <v>3298</v>
      </c>
      <c r="F780" s="6" t="s">
        <v>107</v>
      </c>
      <c r="G780" s="3" t="s">
        <v>11450</v>
      </c>
      <c r="H780" s="54">
        <v>0</v>
      </c>
      <c r="I780" s="16">
        <v>470000000</v>
      </c>
      <c r="J780" s="157" t="s">
        <v>229</v>
      </c>
      <c r="K780" s="5" t="s">
        <v>211</v>
      </c>
      <c r="L780" s="6" t="s">
        <v>231</v>
      </c>
      <c r="M780" s="3" t="s">
        <v>230</v>
      </c>
      <c r="N780" s="6" t="s">
        <v>524</v>
      </c>
      <c r="O780" s="6" t="s">
        <v>233</v>
      </c>
      <c r="P780" s="58">
        <v>796</v>
      </c>
      <c r="Q780" s="6" t="s">
        <v>234</v>
      </c>
      <c r="R780" s="118">
        <v>32</v>
      </c>
      <c r="S780" s="2">
        <v>2817</v>
      </c>
      <c r="T780" s="4">
        <v>0</v>
      </c>
      <c r="U780" s="4">
        <f t="shared" si="33"/>
        <v>0</v>
      </c>
      <c r="V780" s="3" t="s">
        <v>362</v>
      </c>
      <c r="W780" s="3">
        <v>2014</v>
      </c>
      <c r="X780" s="3" t="s">
        <v>12076</v>
      </c>
    </row>
    <row r="781" spans="1:24" ht="102">
      <c r="A781" s="3" t="s">
        <v>910</v>
      </c>
      <c r="B781" s="6" t="s">
        <v>361</v>
      </c>
      <c r="C781" s="6" t="s">
        <v>3296</v>
      </c>
      <c r="D781" s="6" t="s">
        <v>3297</v>
      </c>
      <c r="E781" s="6" t="s">
        <v>3298</v>
      </c>
      <c r="F781" s="6" t="s">
        <v>108</v>
      </c>
      <c r="G781" s="3" t="s">
        <v>11450</v>
      </c>
      <c r="H781" s="54">
        <v>0</v>
      </c>
      <c r="I781" s="16">
        <v>470000000</v>
      </c>
      <c r="J781" s="157" t="s">
        <v>229</v>
      </c>
      <c r="K781" s="5" t="s">
        <v>215</v>
      </c>
      <c r="L781" s="6" t="s">
        <v>231</v>
      </c>
      <c r="M781" s="3" t="s">
        <v>230</v>
      </c>
      <c r="N781" s="6" t="s">
        <v>524</v>
      </c>
      <c r="O781" s="6" t="s">
        <v>233</v>
      </c>
      <c r="P781" s="58">
        <v>796</v>
      </c>
      <c r="Q781" s="6" t="s">
        <v>234</v>
      </c>
      <c r="R781" s="118">
        <v>115</v>
      </c>
      <c r="S781" s="2">
        <v>1380</v>
      </c>
      <c r="T781" s="4">
        <v>0</v>
      </c>
      <c r="U781" s="4">
        <f t="shared" si="33"/>
        <v>0</v>
      </c>
      <c r="V781" s="3" t="s">
        <v>362</v>
      </c>
      <c r="W781" s="3">
        <v>2014</v>
      </c>
      <c r="X781" s="3"/>
    </row>
    <row r="782" spans="1:24" ht="89.25">
      <c r="A782" s="3" t="s">
        <v>11979</v>
      </c>
      <c r="B782" s="6" t="s">
        <v>361</v>
      </c>
      <c r="C782" s="6" t="s">
        <v>3296</v>
      </c>
      <c r="D782" s="6" t="s">
        <v>3297</v>
      </c>
      <c r="E782" s="6" t="s">
        <v>3298</v>
      </c>
      <c r="F782" s="6" t="s">
        <v>108</v>
      </c>
      <c r="G782" s="3" t="s">
        <v>11450</v>
      </c>
      <c r="H782" s="54">
        <v>0</v>
      </c>
      <c r="I782" s="16">
        <v>470000000</v>
      </c>
      <c r="J782" s="157" t="s">
        <v>229</v>
      </c>
      <c r="K782" s="5" t="s">
        <v>209</v>
      </c>
      <c r="L782" s="17" t="s">
        <v>11411</v>
      </c>
      <c r="M782" s="3" t="s">
        <v>230</v>
      </c>
      <c r="N782" s="6" t="s">
        <v>524</v>
      </c>
      <c r="O782" s="6" t="s">
        <v>233</v>
      </c>
      <c r="P782" s="58">
        <v>796</v>
      </c>
      <c r="Q782" s="6" t="s">
        <v>234</v>
      </c>
      <c r="R782" s="118">
        <v>115</v>
      </c>
      <c r="S782" s="2">
        <v>1380</v>
      </c>
      <c r="T782" s="4">
        <v>0</v>
      </c>
      <c r="U782" s="4">
        <f t="shared" si="33"/>
        <v>0</v>
      </c>
      <c r="V782" s="3" t="s">
        <v>362</v>
      </c>
      <c r="W782" s="3">
        <v>2014</v>
      </c>
      <c r="X782" s="3">
        <v>11</v>
      </c>
    </row>
    <row r="783" spans="1:24" ht="89.25">
      <c r="A783" s="3" t="s">
        <v>12154</v>
      </c>
      <c r="B783" s="6" t="s">
        <v>361</v>
      </c>
      <c r="C783" s="6" t="s">
        <v>3296</v>
      </c>
      <c r="D783" s="6" t="s">
        <v>3297</v>
      </c>
      <c r="E783" s="6" t="s">
        <v>3298</v>
      </c>
      <c r="F783" s="6" t="s">
        <v>108</v>
      </c>
      <c r="G783" s="3" t="s">
        <v>11450</v>
      </c>
      <c r="H783" s="54">
        <v>0</v>
      </c>
      <c r="I783" s="16">
        <v>470000000</v>
      </c>
      <c r="J783" s="157" t="s">
        <v>229</v>
      </c>
      <c r="K783" s="5" t="s">
        <v>12155</v>
      </c>
      <c r="L783" s="17" t="s">
        <v>11411</v>
      </c>
      <c r="M783" s="3" t="s">
        <v>230</v>
      </c>
      <c r="N783" s="6" t="s">
        <v>524</v>
      </c>
      <c r="O783" s="6" t="s">
        <v>233</v>
      </c>
      <c r="P783" s="58">
        <v>796</v>
      </c>
      <c r="Q783" s="6" t="s">
        <v>234</v>
      </c>
      <c r="R783" s="118">
        <v>115</v>
      </c>
      <c r="S783" s="2">
        <v>1380</v>
      </c>
      <c r="T783" s="4">
        <v>0</v>
      </c>
      <c r="U783" s="4">
        <v>0</v>
      </c>
      <c r="V783" s="3" t="s">
        <v>362</v>
      </c>
      <c r="W783" s="3">
        <v>2014</v>
      </c>
      <c r="X783" s="3" t="s">
        <v>12076</v>
      </c>
    </row>
    <row r="784" spans="1:24" ht="102">
      <c r="A784" s="3" t="s">
        <v>911</v>
      </c>
      <c r="B784" s="6" t="s">
        <v>361</v>
      </c>
      <c r="C784" s="6" t="s">
        <v>3296</v>
      </c>
      <c r="D784" s="6" t="s">
        <v>3297</v>
      </c>
      <c r="E784" s="6" t="s">
        <v>3298</v>
      </c>
      <c r="F784" s="6" t="s">
        <v>109</v>
      </c>
      <c r="G784" s="3" t="s">
        <v>11450</v>
      </c>
      <c r="H784" s="54">
        <v>0</v>
      </c>
      <c r="I784" s="16">
        <v>470000000</v>
      </c>
      <c r="J784" s="157" t="s">
        <v>229</v>
      </c>
      <c r="K784" s="5" t="s">
        <v>215</v>
      </c>
      <c r="L784" s="6" t="s">
        <v>231</v>
      </c>
      <c r="M784" s="3" t="s">
        <v>230</v>
      </c>
      <c r="N784" s="6" t="s">
        <v>524</v>
      </c>
      <c r="O784" s="6" t="s">
        <v>233</v>
      </c>
      <c r="P784" s="58">
        <v>796</v>
      </c>
      <c r="Q784" s="6" t="s">
        <v>234</v>
      </c>
      <c r="R784" s="118">
        <v>193</v>
      </c>
      <c r="S784" s="2">
        <v>920</v>
      </c>
      <c r="T784" s="4">
        <v>0</v>
      </c>
      <c r="U784" s="4">
        <f t="shared" si="33"/>
        <v>0</v>
      </c>
      <c r="V784" s="3" t="s">
        <v>362</v>
      </c>
      <c r="W784" s="3">
        <v>2014</v>
      </c>
      <c r="X784" s="3">
        <v>11.12</v>
      </c>
    </row>
    <row r="785" spans="1:24" ht="89.25">
      <c r="A785" s="3" t="s">
        <v>11978</v>
      </c>
      <c r="B785" s="6" t="s">
        <v>361</v>
      </c>
      <c r="C785" s="6" t="s">
        <v>3296</v>
      </c>
      <c r="D785" s="6" t="s">
        <v>3297</v>
      </c>
      <c r="E785" s="6" t="s">
        <v>3298</v>
      </c>
      <c r="F785" s="6" t="s">
        <v>109</v>
      </c>
      <c r="G785" s="3" t="s">
        <v>11450</v>
      </c>
      <c r="H785" s="54">
        <v>0</v>
      </c>
      <c r="I785" s="16">
        <v>470000000</v>
      </c>
      <c r="J785" s="157" t="s">
        <v>229</v>
      </c>
      <c r="K785" s="5" t="s">
        <v>209</v>
      </c>
      <c r="L785" s="17" t="s">
        <v>11411</v>
      </c>
      <c r="M785" s="3" t="s">
        <v>230</v>
      </c>
      <c r="N785" s="6" t="s">
        <v>524</v>
      </c>
      <c r="O785" s="6" t="s">
        <v>233</v>
      </c>
      <c r="P785" s="58">
        <v>796</v>
      </c>
      <c r="Q785" s="6" t="s">
        <v>234</v>
      </c>
      <c r="R785" s="118">
        <v>193</v>
      </c>
      <c r="S785" s="2">
        <v>920</v>
      </c>
      <c r="T785" s="4">
        <v>0</v>
      </c>
      <c r="U785" s="4">
        <f t="shared" si="33"/>
        <v>0</v>
      </c>
      <c r="V785" s="3" t="s">
        <v>362</v>
      </c>
      <c r="W785" s="3">
        <v>2014</v>
      </c>
      <c r="X785" s="3">
        <v>11</v>
      </c>
    </row>
    <row r="786" spans="1:24" ht="89.25">
      <c r="A786" s="3" t="s">
        <v>12156</v>
      </c>
      <c r="B786" s="6" t="s">
        <v>361</v>
      </c>
      <c r="C786" s="6" t="s">
        <v>3296</v>
      </c>
      <c r="D786" s="6" t="s">
        <v>3297</v>
      </c>
      <c r="E786" s="6" t="s">
        <v>3298</v>
      </c>
      <c r="F786" s="6" t="s">
        <v>109</v>
      </c>
      <c r="G786" s="3" t="s">
        <v>11450</v>
      </c>
      <c r="H786" s="54">
        <v>0</v>
      </c>
      <c r="I786" s="16">
        <v>470000000</v>
      </c>
      <c r="J786" s="157" t="s">
        <v>229</v>
      </c>
      <c r="K786" s="5" t="s">
        <v>12155</v>
      </c>
      <c r="L786" s="17" t="s">
        <v>11411</v>
      </c>
      <c r="M786" s="3" t="s">
        <v>230</v>
      </c>
      <c r="N786" s="6" t="s">
        <v>524</v>
      </c>
      <c r="O786" s="6" t="s">
        <v>233</v>
      </c>
      <c r="P786" s="58">
        <v>796</v>
      </c>
      <c r="Q786" s="6" t="s">
        <v>234</v>
      </c>
      <c r="R786" s="118">
        <v>193</v>
      </c>
      <c r="S786" s="2">
        <v>920</v>
      </c>
      <c r="T786" s="4">
        <v>0</v>
      </c>
      <c r="U786" s="4">
        <f t="shared" si="33"/>
        <v>0</v>
      </c>
      <c r="V786" s="3" t="s">
        <v>362</v>
      </c>
      <c r="W786" s="3">
        <v>2014</v>
      </c>
      <c r="X786" s="3" t="s">
        <v>12051</v>
      </c>
    </row>
    <row r="787" spans="1:24" ht="89.25">
      <c r="A787" s="3" t="s">
        <v>14648</v>
      </c>
      <c r="B787" s="6" t="s">
        <v>361</v>
      </c>
      <c r="C787" s="6" t="s">
        <v>3296</v>
      </c>
      <c r="D787" s="6" t="s">
        <v>3297</v>
      </c>
      <c r="E787" s="6" t="s">
        <v>3298</v>
      </c>
      <c r="F787" s="6" t="s">
        <v>109</v>
      </c>
      <c r="G787" s="3" t="s">
        <v>11450</v>
      </c>
      <c r="H787" s="54">
        <v>0</v>
      </c>
      <c r="I787" s="16">
        <v>470000000</v>
      </c>
      <c r="J787" s="157" t="s">
        <v>229</v>
      </c>
      <c r="K787" s="5" t="s">
        <v>14649</v>
      </c>
      <c r="L787" s="17" t="s">
        <v>11411</v>
      </c>
      <c r="M787" s="3" t="s">
        <v>230</v>
      </c>
      <c r="N787" s="6" t="s">
        <v>524</v>
      </c>
      <c r="O787" s="6" t="s">
        <v>233</v>
      </c>
      <c r="P787" s="58">
        <v>796</v>
      </c>
      <c r="Q787" s="6" t="s">
        <v>234</v>
      </c>
      <c r="R787" s="118">
        <v>56</v>
      </c>
      <c r="S787" s="2">
        <v>920</v>
      </c>
      <c r="T787" s="4">
        <f>R787*S787</f>
        <v>51520</v>
      </c>
      <c r="U787" s="4">
        <f t="shared" si="33"/>
        <v>57702.400000000009</v>
      </c>
      <c r="V787" s="3" t="s">
        <v>362</v>
      </c>
      <c r="W787" s="3">
        <v>2014</v>
      </c>
      <c r="X787" s="3"/>
    </row>
    <row r="788" spans="1:24" ht="102">
      <c r="A788" s="3" t="s">
        <v>912</v>
      </c>
      <c r="B788" s="6" t="s">
        <v>361</v>
      </c>
      <c r="C788" s="6" t="s">
        <v>3296</v>
      </c>
      <c r="D788" s="6" t="s">
        <v>3297</v>
      </c>
      <c r="E788" s="6" t="s">
        <v>3298</v>
      </c>
      <c r="F788" s="6" t="s">
        <v>110</v>
      </c>
      <c r="G788" s="3" t="s">
        <v>11450</v>
      </c>
      <c r="H788" s="54">
        <v>0</v>
      </c>
      <c r="I788" s="16">
        <v>470000000</v>
      </c>
      <c r="J788" s="157" t="s">
        <v>229</v>
      </c>
      <c r="K788" s="5" t="s">
        <v>214</v>
      </c>
      <c r="L788" s="6" t="s">
        <v>231</v>
      </c>
      <c r="M788" s="3" t="s">
        <v>230</v>
      </c>
      <c r="N788" s="6" t="s">
        <v>524</v>
      </c>
      <c r="O788" s="6" t="s">
        <v>233</v>
      </c>
      <c r="P788" s="58">
        <v>796</v>
      </c>
      <c r="Q788" s="6" t="s">
        <v>234</v>
      </c>
      <c r="R788" s="118">
        <v>183</v>
      </c>
      <c r="S788" s="2">
        <v>780</v>
      </c>
      <c r="T788" s="4">
        <v>0</v>
      </c>
      <c r="U788" s="4">
        <f t="shared" si="33"/>
        <v>0</v>
      </c>
      <c r="V788" s="3" t="s">
        <v>362</v>
      </c>
      <c r="W788" s="3">
        <v>2014</v>
      </c>
      <c r="X788" s="3">
        <v>11.12</v>
      </c>
    </row>
    <row r="789" spans="1:24" ht="89.25">
      <c r="A789" s="3" t="s">
        <v>12157</v>
      </c>
      <c r="B789" s="6" t="s">
        <v>361</v>
      </c>
      <c r="C789" s="6" t="s">
        <v>3296</v>
      </c>
      <c r="D789" s="6" t="s">
        <v>3297</v>
      </c>
      <c r="E789" s="6" t="s">
        <v>3298</v>
      </c>
      <c r="F789" s="6" t="s">
        <v>110</v>
      </c>
      <c r="G789" s="3" t="s">
        <v>11450</v>
      </c>
      <c r="H789" s="54">
        <v>0</v>
      </c>
      <c r="I789" s="16">
        <v>470000000</v>
      </c>
      <c r="J789" s="157" t="s">
        <v>229</v>
      </c>
      <c r="K789" s="5" t="s">
        <v>12155</v>
      </c>
      <c r="L789" s="17" t="s">
        <v>11411</v>
      </c>
      <c r="M789" s="3" t="s">
        <v>230</v>
      </c>
      <c r="N789" s="6" t="s">
        <v>524</v>
      </c>
      <c r="O789" s="6" t="s">
        <v>233</v>
      </c>
      <c r="P789" s="58">
        <v>796</v>
      </c>
      <c r="Q789" s="6" t="s">
        <v>234</v>
      </c>
      <c r="R789" s="118">
        <v>183</v>
      </c>
      <c r="S789" s="2">
        <v>780</v>
      </c>
      <c r="T789" s="4">
        <v>0</v>
      </c>
      <c r="U789" s="4">
        <f t="shared" si="33"/>
        <v>0</v>
      </c>
      <c r="V789" s="3" t="s">
        <v>362</v>
      </c>
      <c r="W789" s="3">
        <v>2014</v>
      </c>
      <c r="X789" s="3" t="s">
        <v>12076</v>
      </c>
    </row>
    <row r="790" spans="1:24" ht="102">
      <c r="A790" s="3" t="s">
        <v>913</v>
      </c>
      <c r="B790" s="6" t="s">
        <v>361</v>
      </c>
      <c r="C790" s="6" t="s">
        <v>3320</v>
      </c>
      <c r="D790" s="6" t="s">
        <v>3321</v>
      </c>
      <c r="E790" s="6" t="s">
        <v>3322</v>
      </c>
      <c r="F790" s="6" t="s">
        <v>3289</v>
      </c>
      <c r="G790" s="3" t="s">
        <v>11450</v>
      </c>
      <c r="H790" s="54">
        <v>0</v>
      </c>
      <c r="I790" s="16">
        <v>470000000</v>
      </c>
      <c r="J790" s="157" t="s">
        <v>229</v>
      </c>
      <c r="K790" s="5" t="s">
        <v>215</v>
      </c>
      <c r="L790" s="6" t="s">
        <v>231</v>
      </c>
      <c r="M790" s="3" t="s">
        <v>230</v>
      </c>
      <c r="N790" s="6" t="s">
        <v>524</v>
      </c>
      <c r="O790" s="6" t="s">
        <v>233</v>
      </c>
      <c r="P790" s="58">
        <v>796</v>
      </c>
      <c r="Q790" s="6" t="s">
        <v>234</v>
      </c>
      <c r="R790" s="118">
        <v>104</v>
      </c>
      <c r="S790" s="2">
        <v>520</v>
      </c>
      <c r="T790" s="4">
        <v>0</v>
      </c>
      <c r="U790" s="4">
        <f t="shared" si="33"/>
        <v>0</v>
      </c>
      <c r="V790" s="3" t="s">
        <v>362</v>
      </c>
      <c r="W790" s="3">
        <v>2014</v>
      </c>
      <c r="X790" s="3">
        <v>11.12</v>
      </c>
    </row>
    <row r="791" spans="1:24" ht="89.25">
      <c r="A791" s="3" t="s">
        <v>12158</v>
      </c>
      <c r="B791" s="6" t="s">
        <v>361</v>
      </c>
      <c r="C791" s="6" t="s">
        <v>3320</v>
      </c>
      <c r="D791" s="6" t="s">
        <v>3321</v>
      </c>
      <c r="E791" s="6" t="s">
        <v>3322</v>
      </c>
      <c r="F791" s="6" t="s">
        <v>3289</v>
      </c>
      <c r="G791" s="3" t="s">
        <v>11450</v>
      </c>
      <c r="H791" s="54">
        <v>0</v>
      </c>
      <c r="I791" s="16">
        <v>470000000</v>
      </c>
      <c r="J791" s="157" t="s">
        <v>229</v>
      </c>
      <c r="K791" s="5" t="s">
        <v>12155</v>
      </c>
      <c r="L791" s="17" t="s">
        <v>11411</v>
      </c>
      <c r="M791" s="3" t="s">
        <v>230</v>
      </c>
      <c r="N791" s="6" t="s">
        <v>524</v>
      </c>
      <c r="O791" s="6" t="s">
        <v>233</v>
      </c>
      <c r="P791" s="58">
        <v>796</v>
      </c>
      <c r="Q791" s="6" t="s">
        <v>234</v>
      </c>
      <c r="R791" s="118">
        <v>104</v>
      </c>
      <c r="S791" s="2">
        <v>520</v>
      </c>
      <c r="T791" s="4">
        <v>0</v>
      </c>
      <c r="U791" s="4">
        <f t="shared" si="33"/>
        <v>0</v>
      </c>
      <c r="V791" s="3" t="s">
        <v>362</v>
      </c>
      <c r="W791" s="3">
        <v>2014</v>
      </c>
      <c r="X791" s="3" t="s">
        <v>14132</v>
      </c>
    </row>
    <row r="792" spans="1:24" ht="89.25">
      <c r="A792" s="3" t="s">
        <v>14650</v>
      </c>
      <c r="B792" s="6" t="s">
        <v>361</v>
      </c>
      <c r="C792" s="6" t="s">
        <v>3320</v>
      </c>
      <c r="D792" s="6" t="s">
        <v>3321</v>
      </c>
      <c r="E792" s="6" t="s">
        <v>3322</v>
      </c>
      <c r="F792" s="6" t="s">
        <v>3289</v>
      </c>
      <c r="G792" s="3" t="s">
        <v>11450</v>
      </c>
      <c r="H792" s="54">
        <v>0</v>
      </c>
      <c r="I792" s="16">
        <v>470000000</v>
      </c>
      <c r="J792" s="157" t="s">
        <v>229</v>
      </c>
      <c r="K792" s="5" t="s">
        <v>12155</v>
      </c>
      <c r="L792" s="17" t="s">
        <v>11411</v>
      </c>
      <c r="M792" s="3" t="s">
        <v>230</v>
      </c>
      <c r="N792" s="6" t="s">
        <v>524</v>
      </c>
      <c r="O792" s="6" t="s">
        <v>233</v>
      </c>
      <c r="P792" s="58">
        <v>796</v>
      </c>
      <c r="Q792" s="6" t="s">
        <v>234</v>
      </c>
      <c r="R792" s="118">
        <v>4</v>
      </c>
      <c r="S792" s="2">
        <v>624</v>
      </c>
      <c r="T792" s="4">
        <f>R792*S792</f>
        <v>2496</v>
      </c>
      <c r="U792" s="4">
        <f t="shared" si="33"/>
        <v>2795.5200000000004</v>
      </c>
      <c r="V792" s="3" t="s">
        <v>362</v>
      </c>
      <c r="W792" s="3">
        <v>2014</v>
      </c>
      <c r="X792" s="3"/>
    </row>
    <row r="793" spans="1:24" ht="102">
      <c r="A793" s="3" t="s">
        <v>914</v>
      </c>
      <c r="B793" s="6" t="s">
        <v>361</v>
      </c>
      <c r="C793" s="6" t="s">
        <v>3320</v>
      </c>
      <c r="D793" s="6" t="s">
        <v>3321</v>
      </c>
      <c r="E793" s="6" t="s">
        <v>3322</v>
      </c>
      <c r="F793" s="6" t="s">
        <v>3290</v>
      </c>
      <c r="G793" s="3" t="s">
        <v>11450</v>
      </c>
      <c r="H793" s="54">
        <v>0</v>
      </c>
      <c r="I793" s="16">
        <v>470000000</v>
      </c>
      <c r="J793" s="157" t="s">
        <v>229</v>
      </c>
      <c r="K793" s="5" t="s">
        <v>210</v>
      </c>
      <c r="L793" s="6" t="s">
        <v>231</v>
      </c>
      <c r="M793" s="3" t="s">
        <v>230</v>
      </c>
      <c r="N793" s="6" t="s">
        <v>524</v>
      </c>
      <c r="O793" s="6" t="s">
        <v>233</v>
      </c>
      <c r="P793" s="58">
        <v>796</v>
      </c>
      <c r="Q793" s="6" t="s">
        <v>234</v>
      </c>
      <c r="R793" s="118">
        <v>92</v>
      </c>
      <c r="S793" s="2">
        <v>694</v>
      </c>
      <c r="T793" s="4">
        <v>0</v>
      </c>
      <c r="U793" s="4">
        <f t="shared" si="33"/>
        <v>0</v>
      </c>
      <c r="V793" s="3" t="s">
        <v>362</v>
      </c>
      <c r="W793" s="3">
        <v>2014</v>
      </c>
      <c r="X793" s="3" t="s">
        <v>12051</v>
      </c>
    </row>
    <row r="794" spans="1:24" ht="102">
      <c r="A794" s="3" t="s">
        <v>14651</v>
      </c>
      <c r="B794" s="6" t="s">
        <v>361</v>
      </c>
      <c r="C794" s="6" t="s">
        <v>3320</v>
      </c>
      <c r="D794" s="6" t="s">
        <v>3321</v>
      </c>
      <c r="E794" s="6" t="s">
        <v>3322</v>
      </c>
      <c r="F794" s="6" t="s">
        <v>3290</v>
      </c>
      <c r="G794" s="3" t="s">
        <v>11450</v>
      </c>
      <c r="H794" s="54">
        <v>0</v>
      </c>
      <c r="I794" s="16">
        <v>470000000</v>
      </c>
      <c r="J794" s="157" t="s">
        <v>229</v>
      </c>
      <c r="K794" s="5" t="s">
        <v>220</v>
      </c>
      <c r="L794" s="6" t="s">
        <v>231</v>
      </c>
      <c r="M794" s="3" t="s">
        <v>230</v>
      </c>
      <c r="N794" s="6" t="s">
        <v>524</v>
      </c>
      <c r="O794" s="6" t="s">
        <v>233</v>
      </c>
      <c r="P794" s="58">
        <v>796</v>
      </c>
      <c r="Q794" s="6" t="s">
        <v>234</v>
      </c>
      <c r="R794" s="118">
        <v>8</v>
      </c>
      <c r="S794" s="2">
        <v>833</v>
      </c>
      <c r="T794" s="4">
        <f>R794*S794</f>
        <v>6664</v>
      </c>
      <c r="U794" s="4">
        <f t="shared" si="33"/>
        <v>7463.68</v>
      </c>
      <c r="V794" s="3" t="s">
        <v>362</v>
      </c>
      <c r="W794" s="3">
        <v>2014</v>
      </c>
      <c r="X794" s="3"/>
    </row>
    <row r="795" spans="1:24" ht="102">
      <c r="A795" s="3" t="s">
        <v>915</v>
      </c>
      <c r="B795" s="6" t="s">
        <v>361</v>
      </c>
      <c r="C795" s="6" t="s">
        <v>3320</v>
      </c>
      <c r="D795" s="6" t="s">
        <v>3321</v>
      </c>
      <c r="E795" s="6" t="s">
        <v>3322</v>
      </c>
      <c r="F795" s="6" t="s">
        <v>3291</v>
      </c>
      <c r="G795" s="3" t="s">
        <v>11450</v>
      </c>
      <c r="H795" s="54">
        <v>0</v>
      </c>
      <c r="I795" s="16">
        <v>470000000</v>
      </c>
      <c r="J795" s="157" t="s">
        <v>229</v>
      </c>
      <c r="K795" s="5" t="s">
        <v>210</v>
      </c>
      <c r="L795" s="6" t="s">
        <v>231</v>
      </c>
      <c r="M795" s="3" t="s">
        <v>230</v>
      </c>
      <c r="N795" s="6" t="s">
        <v>524</v>
      </c>
      <c r="O795" s="6" t="s">
        <v>233</v>
      </c>
      <c r="P795" s="58">
        <v>796</v>
      </c>
      <c r="Q795" s="6" t="s">
        <v>234</v>
      </c>
      <c r="R795" s="118">
        <v>4</v>
      </c>
      <c r="S795" s="2">
        <v>1050</v>
      </c>
      <c r="T795" s="4">
        <v>0</v>
      </c>
      <c r="U795" s="4">
        <f t="shared" si="33"/>
        <v>0</v>
      </c>
      <c r="V795" s="3" t="s">
        <v>362</v>
      </c>
      <c r="W795" s="3">
        <v>2014</v>
      </c>
      <c r="X795" s="3" t="s">
        <v>14785</v>
      </c>
    </row>
    <row r="796" spans="1:24" ht="102">
      <c r="A796" s="3" t="s">
        <v>14652</v>
      </c>
      <c r="B796" s="6" t="s">
        <v>361</v>
      </c>
      <c r="C796" s="6" t="s">
        <v>3320</v>
      </c>
      <c r="D796" s="6" t="s">
        <v>3321</v>
      </c>
      <c r="E796" s="6" t="s">
        <v>3322</v>
      </c>
      <c r="F796" s="6" t="s">
        <v>3291</v>
      </c>
      <c r="G796" s="3" t="s">
        <v>11450</v>
      </c>
      <c r="H796" s="54">
        <v>0</v>
      </c>
      <c r="I796" s="16">
        <v>470000000</v>
      </c>
      <c r="J796" s="157" t="s">
        <v>229</v>
      </c>
      <c r="K796" s="5" t="s">
        <v>14653</v>
      </c>
      <c r="L796" s="6" t="s">
        <v>231</v>
      </c>
      <c r="M796" s="3" t="s">
        <v>230</v>
      </c>
      <c r="N796" s="6" t="s">
        <v>524</v>
      </c>
      <c r="O796" s="6" t="s">
        <v>233</v>
      </c>
      <c r="P796" s="58">
        <v>796</v>
      </c>
      <c r="Q796" s="6" t="s">
        <v>234</v>
      </c>
      <c r="R796" s="118">
        <v>4</v>
      </c>
      <c r="S796" s="2">
        <v>1260</v>
      </c>
      <c r="T796" s="4">
        <f>R796*S796</f>
        <v>5040</v>
      </c>
      <c r="U796" s="4">
        <f t="shared" si="33"/>
        <v>5644.8</v>
      </c>
      <c r="V796" s="3" t="s">
        <v>362</v>
      </c>
      <c r="W796" s="3">
        <v>2014</v>
      </c>
      <c r="X796" s="3"/>
    </row>
    <row r="797" spans="1:24" ht="102">
      <c r="A797" s="3" t="s">
        <v>916</v>
      </c>
      <c r="B797" s="6" t="s">
        <v>361</v>
      </c>
      <c r="C797" s="6" t="s">
        <v>3320</v>
      </c>
      <c r="D797" s="6" t="s">
        <v>3321</v>
      </c>
      <c r="E797" s="6" t="s">
        <v>3322</v>
      </c>
      <c r="F797" s="6" t="s">
        <v>3292</v>
      </c>
      <c r="G797" s="3" t="s">
        <v>11450</v>
      </c>
      <c r="H797" s="54">
        <v>0</v>
      </c>
      <c r="I797" s="16">
        <v>470000000</v>
      </c>
      <c r="J797" s="157" t="s">
        <v>229</v>
      </c>
      <c r="K797" s="5" t="s">
        <v>210</v>
      </c>
      <c r="L797" s="6" t="s">
        <v>231</v>
      </c>
      <c r="M797" s="3" t="s">
        <v>230</v>
      </c>
      <c r="N797" s="6" t="s">
        <v>524</v>
      </c>
      <c r="O797" s="6" t="s">
        <v>233</v>
      </c>
      <c r="P797" s="58">
        <v>796</v>
      </c>
      <c r="Q797" s="6" t="s">
        <v>234</v>
      </c>
      <c r="R797" s="118">
        <v>1</v>
      </c>
      <c r="S797" s="2">
        <v>3490</v>
      </c>
      <c r="T797" s="4">
        <v>0</v>
      </c>
      <c r="U797" s="4">
        <f t="shared" si="33"/>
        <v>0</v>
      </c>
      <c r="V797" s="3" t="s">
        <v>362</v>
      </c>
      <c r="W797" s="3">
        <v>2014</v>
      </c>
      <c r="X797" s="3" t="s">
        <v>12051</v>
      </c>
    </row>
    <row r="798" spans="1:24" ht="102">
      <c r="A798" s="3" t="s">
        <v>14654</v>
      </c>
      <c r="B798" s="6" t="s">
        <v>361</v>
      </c>
      <c r="C798" s="6" t="s">
        <v>3320</v>
      </c>
      <c r="D798" s="6" t="s">
        <v>3321</v>
      </c>
      <c r="E798" s="6" t="s">
        <v>3322</v>
      </c>
      <c r="F798" s="6" t="s">
        <v>3292</v>
      </c>
      <c r="G798" s="3" t="s">
        <v>11450</v>
      </c>
      <c r="H798" s="54">
        <v>0</v>
      </c>
      <c r="I798" s="16">
        <v>470000000</v>
      </c>
      <c r="J798" s="157" t="s">
        <v>229</v>
      </c>
      <c r="K798" s="5" t="s">
        <v>14653</v>
      </c>
      <c r="L798" s="6" t="s">
        <v>231</v>
      </c>
      <c r="M798" s="3" t="s">
        <v>230</v>
      </c>
      <c r="N798" s="6" t="s">
        <v>524</v>
      </c>
      <c r="O798" s="6" t="s">
        <v>233</v>
      </c>
      <c r="P798" s="58">
        <v>796</v>
      </c>
      <c r="Q798" s="6" t="s">
        <v>234</v>
      </c>
      <c r="R798" s="118">
        <v>6</v>
      </c>
      <c r="S798" s="2">
        <v>4188</v>
      </c>
      <c r="T798" s="4">
        <f>R798*S798</f>
        <v>25128</v>
      </c>
      <c r="U798" s="4">
        <f t="shared" si="33"/>
        <v>28143.360000000004</v>
      </c>
      <c r="V798" s="3" t="s">
        <v>362</v>
      </c>
      <c r="W798" s="3">
        <v>2014</v>
      </c>
      <c r="X798" s="3"/>
    </row>
    <row r="799" spans="1:24" ht="102">
      <c r="A799" s="3" t="s">
        <v>917</v>
      </c>
      <c r="B799" s="6" t="s">
        <v>361</v>
      </c>
      <c r="C799" s="6" t="s">
        <v>3311</v>
      </c>
      <c r="D799" s="6" t="s">
        <v>3299</v>
      </c>
      <c r="E799" s="6" t="s">
        <v>3312</v>
      </c>
      <c r="F799" s="6" t="s">
        <v>3305</v>
      </c>
      <c r="G799" s="3" t="s">
        <v>11450</v>
      </c>
      <c r="H799" s="54">
        <v>0</v>
      </c>
      <c r="I799" s="16">
        <v>470000000</v>
      </c>
      <c r="J799" s="157" t="s">
        <v>229</v>
      </c>
      <c r="K799" s="5" t="s">
        <v>210</v>
      </c>
      <c r="L799" s="6" t="s">
        <v>231</v>
      </c>
      <c r="M799" s="3" t="s">
        <v>230</v>
      </c>
      <c r="N799" s="6" t="s">
        <v>524</v>
      </c>
      <c r="O799" s="6" t="s">
        <v>233</v>
      </c>
      <c r="P799" s="58">
        <v>796</v>
      </c>
      <c r="Q799" s="6" t="s">
        <v>234</v>
      </c>
      <c r="R799" s="118">
        <v>3</v>
      </c>
      <c r="S799" s="2">
        <v>5800</v>
      </c>
      <c r="T799" s="4">
        <v>0</v>
      </c>
      <c r="U799" s="4">
        <f t="shared" si="33"/>
        <v>0</v>
      </c>
      <c r="V799" s="3"/>
      <c r="W799" s="3">
        <v>2014</v>
      </c>
      <c r="X799" s="3" t="s">
        <v>14785</v>
      </c>
    </row>
    <row r="800" spans="1:24" ht="102">
      <c r="A800" s="3" t="s">
        <v>14655</v>
      </c>
      <c r="B800" s="6" t="s">
        <v>361</v>
      </c>
      <c r="C800" s="6" t="s">
        <v>3311</v>
      </c>
      <c r="D800" s="6" t="s">
        <v>3299</v>
      </c>
      <c r="E800" s="6" t="s">
        <v>3312</v>
      </c>
      <c r="F800" s="6" t="s">
        <v>3305</v>
      </c>
      <c r="G800" s="3" t="s">
        <v>11450</v>
      </c>
      <c r="H800" s="54">
        <v>0</v>
      </c>
      <c r="I800" s="16">
        <v>470000000</v>
      </c>
      <c r="J800" s="157" t="s">
        <v>229</v>
      </c>
      <c r="K800" s="5" t="s">
        <v>14653</v>
      </c>
      <c r="L800" s="6" t="s">
        <v>231</v>
      </c>
      <c r="M800" s="3" t="s">
        <v>230</v>
      </c>
      <c r="N800" s="6" t="s">
        <v>524</v>
      </c>
      <c r="O800" s="6" t="s">
        <v>233</v>
      </c>
      <c r="P800" s="58">
        <v>796</v>
      </c>
      <c r="Q800" s="6" t="s">
        <v>234</v>
      </c>
      <c r="R800" s="118">
        <v>3</v>
      </c>
      <c r="S800" s="2">
        <v>6960</v>
      </c>
      <c r="T800" s="4">
        <f>R800*S800</f>
        <v>20880</v>
      </c>
      <c r="U800" s="4">
        <f t="shared" si="33"/>
        <v>23385.600000000002</v>
      </c>
      <c r="V800" s="3"/>
      <c r="W800" s="3">
        <v>2014</v>
      </c>
      <c r="X800" s="3"/>
    </row>
    <row r="801" spans="1:24" ht="102">
      <c r="A801" s="3" t="s">
        <v>918</v>
      </c>
      <c r="B801" s="6" t="s">
        <v>361</v>
      </c>
      <c r="C801" s="6" t="s">
        <v>3300</v>
      </c>
      <c r="D801" s="6" t="s">
        <v>3299</v>
      </c>
      <c r="E801" s="6" t="s">
        <v>3301</v>
      </c>
      <c r="F801" s="6" t="s">
        <v>3304</v>
      </c>
      <c r="G801" s="3" t="s">
        <v>11450</v>
      </c>
      <c r="H801" s="54">
        <v>0</v>
      </c>
      <c r="I801" s="16">
        <v>470000000</v>
      </c>
      <c r="J801" s="157" t="s">
        <v>229</v>
      </c>
      <c r="K801" s="5" t="s">
        <v>210</v>
      </c>
      <c r="L801" s="6" t="s">
        <v>231</v>
      </c>
      <c r="M801" s="3" t="s">
        <v>230</v>
      </c>
      <c r="N801" s="6" t="s">
        <v>524</v>
      </c>
      <c r="O801" s="6" t="s">
        <v>233</v>
      </c>
      <c r="P801" s="58">
        <v>796</v>
      </c>
      <c r="Q801" s="6" t="s">
        <v>234</v>
      </c>
      <c r="R801" s="118">
        <v>2</v>
      </c>
      <c r="S801" s="2">
        <v>5360</v>
      </c>
      <c r="T801" s="4">
        <v>0</v>
      </c>
      <c r="U801" s="4">
        <f t="shared" si="33"/>
        <v>0</v>
      </c>
      <c r="V801" s="3"/>
      <c r="W801" s="3">
        <v>2014</v>
      </c>
      <c r="X801" s="3" t="s">
        <v>14785</v>
      </c>
    </row>
    <row r="802" spans="1:24" ht="102">
      <c r="A802" s="3" t="s">
        <v>14656</v>
      </c>
      <c r="B802" s="6" t="s">
        <v>361</v>
      </c>
      <c r="C802" s="6" t="s">
        <v>3300</v>
      </c>
      <c r="D802" s="6" t="s">
        <v>3299</v>
      </c>
      <c r="E802" s="6" t="s">
        <v>3301</v>
      </c>
      <c r="F802" s="6" t="s">
        <v>3304</v>
      </c>
      <c r="G802" s="3" t="s">
        <v>11450</v>
      </c>
      <c r="H802" s="54">
        <v>0</v>
      </c>
      <c r="I802" s="16">
        <v>470000000</v>
      </c>
      <c r="J802" s="157" t="s">
        <v>229</v>
      </c>
      <c r="K802" s="5" t="s">
        <v>14653</v>
      </c>
      <c r="L802" s="6" t="s">
        <v>231</v>
      </c>
      <c r="M802" s="3" t="s">
        <v>230</v>
      </c>
      <c r="N802" s="6" t="s">
        <v>524</v>
      </c>
      <c r="O802" s="6" t="s">
        <v>233</v>
      </c>
      <c r="P802" s="58">
        <v>796</v>
      </c>
      <c r="Q802" s="6" t="s">
        <v>234</v>
      </c>
      <c r="R802" s="118">
        <v>2</v>
      </c>
      <c r="S802" s="2">
        <v>6432</v>
      </c>
      <c r="T802" s="4">
        <f>R802*S802</f>
        <v>12864</v>
      </c>
      <c r="U802" s="4">
        <f t="shared" si="33"/>
        <v>14407.680000000002</v>
      </c>
      <c r="V802" s="3"/>
      <c r="W802" s="3">
        <v>2014</v>
      </c>
      <c r="X802" s="3"/>
    </row>
    <row r="803" spans="1:24" ht="102">
      <c r="A803" s="3" t="s">
        <v>919</v>
      </c>
      <c r="B803" s="6" t="s">
        <v>361</v>
      </c>
      <c r="C803" s="6" t="s">
        <v>3313</v>
      </c>
      <c r="D803" s="6" t="s">
        <v>3314</v>
      </c>
      <c r="E803" s="6" t="s">
        <v>3315</v>
      </c>
      <c r="F803" s="6" t="s">
        <v>111</v>
      </c>
      <c r="G803" s="3" t="s">
        <v>11450</v>
      </c>
      <c r="H803" s="54">
        <v>0</v>
      </c>
      <c r="I803" s="16">
        <v>470000000</v>
      </c>
      <c r="J803" s="157" t="s">
        <v>229</v>
      </c>
      <c r="K803" s="5" t="s">
        <v>211</v>
      </c>
      <c r="L803" s="6" t="s">
        <v>231</v>
      </c>
      <c r="M803" s="3" t="s">
        <v>230</v>
      </c>
      <c r="N803" s="6" t="s">
        <v>524</v>
      </c>
      <c r="O803" s="6" t="s">
        <v>233</v>
      </c>
      <c r="P803" s="58">
        <v>796</v>
      </c>
      <c r="Q803" s="6" t="s">
        <v>234</v>
      </c>
      <c r="R803" s="118">
        <v>229</v>
      </c>
      <c r="S803" s="2">
        <v>183</v>
      </c>
      <c r="T803" s="4">
        <v>0</v>
      </c>
      <c r="U803" s="4">
        <f t="shared" si="33"/>
        <v>0</v>
      </c>
      <c r="V803" s="3"/>
      <c r="W803" s="3">
        <v>2014</v>
      </c>
      <c r="X803" s="3" t="s">
        <v>14132</v>
      </c>
    </row>
    <row r="804" spans="1:24" ht="102">
      <c r="A804" s="3" t="s">
        <v>14657</v>
      </c>
      <c r="B804" s="6" t="s">
        <v>361</v>
      </c>
      <c r="C804" s="6" t="s">
        <v>3313</v>
      </c>
      <c r="D804" s="6" t="s">
        <v>3314</v>
      </c>
      <c r="E804" s="6" t="s">
        <v>3315</v>
      </c>
      <c r="F804" s="6" t="s">
        <v>111</v>
      </c>
      <c r="G804" s="3" t="s">
        <v>11450</v>
      </c>
      <c r="H804" s="54">
        <v>0</v>
      </c>
      <c r="I804" s="16">
        <v>470000000</v>
      </c>
      <c r="J804" s="157" t="s">
        <v>229</v>
      </c>
      <c r="K804" s="5" t="s">
        <v>211</v>
      </c>
      <c r="L804" s="6" t="s">
        <v>231</v>
      </c>
      <c r="M804" s="3" t="s">
        <v>230</v>
      </c>
      <c r="N804" s="6" t="s">
        <v>524</v>
      </c>
      <c r="O804" s="6" t="s">
        <v>233</v>
      </c>
      <c r="P804" s="58">
        <v>796</v>
      </c>
      <c r="Q804" s="6" t="s">
        <v>234</v>
      </c>
      <c r="R804" s="118">
        <v>95</v>
      </c>
      <c r="S804" s="2">
        <v>220</v>
      </c>
      <c r="T804" s="4">
        <f>R804*S804</f>
        <v>20900</v>
      </c>
      <c r="U804" s="4">
        <f t="shared" si="33"/>
        <v>23408.000000000004</v>
      </c>
      <c r="V804" s="3"/>
      <c r="W804" s="3">
        <v>2014</v>
      </c>
      <c r="X804" s="3"/>
    </row>
    <row r="805" spans="1:24" ht="102">
      <c r="A805" s="3" t="s">
        <v>920</v>
      </c>
      <c r="B805" s="6" t="s">
        <v>361</v>
      </c>
      <c r="C805" s="6" t="s">
        <v>3316</v>
      </c>
      <c r="D805" s="6" t="s">
        <v>3317</v>
      </c>
      <c r="E805" s="6" t="s">
        <v>3318</v>
      </c>
      <c r="F805" s="6" t="s">
        <v>3306</v>
      </c>
      <c r="G805" s="3" t="s">
        <v>11450</v>
      </c>
      <c r="H805" s="54">
        <v>0</v>
      </c>
      <c r="I805" s="16">
        <v>470000000</v>
      </c>
      <c r="J805" s="157" t="s">
        <v>229</v>
      </c>
      <c r="K805" s="5" t="s">
        <v>211</v>
      </c>
      <c r="L805" s="6" t="s">
        <v>231</v>
      </c>
      <c r="M805" s="3" t="s">
        <v>230</v>
      </c>
      <c r="N805" s="6" t="s">
        <v>524</v>
      </c>
      <c r="O805" s="6" t="s">
        <v>233</v>
      </c>
      <c r="P805" s="58">
        <v>796</v>
      </c>
      <c r="Q805" s="6" t="s">
        <v>234</v>
      </c>
      <c r="R805" s="118">
        <v>35</v>
      </c>
      <c r="S805" s="2">
        <v>39055</v>
      </c>
      <c r="T805" s="4">
        <v>0</v>
      </c>
      <c r="U805" s="4">
        <f t="shared" si="33"/>
        <v>0</v>
      </c>
      <c r="V805" s="3"/>
      <c r="W805" s="3">
        <v>2014</v>
      </c>
      <c r="X805" s="3">
        <v>11.12</v>
      </c>
    </row>
    <row r="806" spans="1:24" ht="89.25">
      <c r="A806" s="3" t="s">
        <v>11977</v>
      </c>
      <c r="B806" s="6" t="s">
        <v>361</v>
      </c>
      <c r="C806" s="6" t="s">
        <v>3316</v>
      </c>
      <c r="D806" s="6" t="s">
        <v>3317</v>
      </c>
      <c r="E806" s="6" t="s">
        <v>3318</v>
      </c>
      <c r="F806" s="6" t="s">
        <v>3306</v>
      </c>
      <c r="G806" s="3" t="s">
        <v>11450</v>
      </c>
      <c r="H806" s="54">
        <v>0</v>
      </c>
      <c r="I806" s="16">
        <v>470000000</v>
      </c>
      <c r="J806" s="157" t="s">
        <v>229</v>
      </c>
      <c r="K806" s="5" t="s">
        <v>209</v>
      </c>
      <c r="L806" s="17" t="s">
        <v>11411</v>
      </c>
      <c r="M806" s="3" t="s">
        <v>230</v>
      </c>
      <c r="N806" s="6" t="s">
        <v>524</v>
      </c>
      <c r="O806" s="6" t="s">
        <v>233</v>
      </c>
      <c r="P806" s="58">
        <v>796</v>
      </c>
      <c r="Q806" s="6" t="s">
        <v>234</v>
      </c>
      <c r="R806" s="118">
        <v>35</v>
      </c>
      <c r="S806" s="2">
        <v>39055</v>
      </c>
      <c r="T806" s="4">
        <v>0</v>
      </c>
      <c r="U806" s="4">
        <f t="shared" si="33"/>
        <v>0</v>
      </c>
      <c r="V806" s="3"/>
      <c r="W806" s="3">
        <v>2014</v>
      </c>
      <c r="X806" s="3" t="s">
        <v>14785</v>
      </c>
    </row>
    <row r="807" spans="1:24" ht="89.25">
      <c r="A807" s="3" t="s">
        <v>14658</v>
      </c>
      <c r="B807" s="6" t="s">
        <v>361</v>
      </c>
      <c r="C807" s="6" t="s">
        <v>3316</v>
      </c>
      <c r="D807" s="6" t="s">
        <v>3317</v>
      </c>
      <c r="E807" s="6" t="s">
        <v>3318</v>
      </c>
      <c r="F807" s="6" t="s">
        <v>3306</v>
      </c>
      <c r="G807" s="3" t="s">
        <v>11450</v>
      </c>
      <c r="H807" s="54">
        <v>0</v>
      </c>
      <c r="I807" s="16">
        <v>470000000</v>
      </c>
      <c r="J807" s="157" t="s">
        <v>229</v>
      </c>
      <c r="K807" s="5" t="s">
        <v>14653</v>
      </c>
      <c r="L807" s="17" t="s">
        <v>11411</v>
      </c>
      <c r="M807" s="3" t="s">
        <v>230</v>
      </c>
      <c r="N807" s="6" t="s">
        <v>524</v>
      </c>
      <c r="O807" s="6" t="s">
        <v>233</v>
      </c>
      <c r="P807" s="58">
        <v>796</v>
      </c>
      <c r="Q807" s="6" t="s">
        <v>234</v>
      </c>
      <c r="R807" s="118">
        <v>35</v>
      </c>
      <c r="S807" s="2">
        <v>46866</v>
      </c>
      <c r="T807" s="4">
        <v>0</v>
      </c>
      <c r="U807" s="4">
        <f t="shared" si="33"/>
        <v>0</v>
      </c>
      <c r="V807" s="3"/>
      <c r="W807" s="3">
        <v>2014</v>
      </c>
      <c r="X807" s="3">
        <v>11.14</v>
      </c>
    </row>
    <row r="808" spans="1:24" ht="89.25">
      <c r="A808" s="3" t="s">
        <v>18181</v>
      </c>
      <c r="B808" s="6" t="s">
        <v>361</v>
      </c>
      <c r="C808" s="6" t="s">
        <v>3316</v>
      </c>
      <c r="D808" s="6" t="s">
        <v>3317</v>
      </c>
      <c r="E808" s="6" t="s">
        <v>3318</v>
      </c>
      <c r="F808" s="6" t="s">
        <v>3306</v>
      </c>
      <c r="G808" s="3" t="s">
        <v>11450</v>
      </c>
      <c r="H808" s="54">
        <v>0</v>
      </c>
      <c r="I808" s="16">
        <v>470000000</v>
      </c>
      <c r="J808" s="157" t="s">
        <v>229</v>
      </c>
      <c r="K808" s="5" t="s">
        <v>8950</v>
      </c>
      <c r="L808" s="17" t="s">
        <v>11411</v>
      </c>
      <c r="M808" s="3" t="s">
        <v>230</v>
      </c>
      <c r="N808" s="6" t="s">
        <v>528</v>
      </c>
      <c r="O808" s="6" t="s">
        <v>233</v>
      </c>
      <c r="P808" s="58">
        <v>796</v>
      </c>
      <c r="Q808" s="6" t="s">
        <v>234</v>
      </c>
      <c r="R808" s="118">
        <v>35</v>
      </c>
      <c r="S808" s="2">
        <v>46866</v>
      </c>
      <c r="T808" s="4">
        <f>R808*S808</f>
        <v>1640310</v>
      </c>
      <c r="U808" s="4">
        <f t="shared" si="33"/>
        <v>1837147.2000000002</v>
      </c>
      <c r="V808" s="3"/>
      <c r="W808" s="3">
        <v>2014</v>
      </c>
      <c r="X808" s="3"/>
    </row>
    <row r="809" spans="1:24" ht="102">
      <c r="A809" s="3" t="s">
        <v>921</v>
      </c>
      <c r="B809" s="6" t="s">
        <v>361</v>
      </c>
      <c r="C809" s="6" t="s">
        <v>3316</v>
      </c>
      <c r="D809" s="6" t="s">
        <v>3317</v>
      </c>
      <c r="E809" s="6" t="s">
        <v>3318</v>
      </c>
      <c r="F809" s="6" t="s">
        <v>3319</v>
      </c>
      <c r="G809" s="3" t="s">
        <v>11450</v>
      </c>
      <c r="H809" s="54">
        <v>0</v>
      </c>
      <c r="I809" s="16">
        <v>470000000</v>
      </c>
      <c r="J809" s="157" t="s">
        <v>229</v>
      </c>
      <c r="K809" s="5" t="s">
        <v>211</v>
      </c>
      <c r="L809" s="6" t="s">
        <v>231</v>
      </c>
      <c r="M809" s="3" t="s">
        <v>230</v>
      </c>
      <c r="N809" s="6" t="s">
        <v>524</v>
      </c>
      <c r="O809" s="6" t="s">
        <v>233</v>
      </c>
      <c r="P809" s="58">
        <v>796</v>
      </c>
      <c r="Q809" s="6" t="s">
        <v>234</v>
      </c>
      <c r="R809" s="118">
        <v>4</v>
      </c>
      <c r="S809" s="2">
        <v>43469</v>
      </c>
      <c r="T809" s="4">
        <v>0</v>
      </c>
      <c r="U809" s="4">
        <f t="shared" si="33"/>
        <v>0</v>
      </c>
      <c r="V809" s="3"/>
      <c r="W809" s="3">
        <v>2014</v>
      </c>
      <c r="X809" s="3">
        <v>11.12</v>
      </c>
    </row>
    <row r="810" spans="1:24" ht="89.25">
      <c r="A810" s="3" t="s">
        <v>11962</v>
      </c>
      <c r="B810" s="6" t="s">
        <v>361</v>
      </c>
      <c r="C810" s="6" t="s">
        <v>3316</v>
      </c>
      <c r="D810" s="6" t="s">
        <v>3317</v>
      </c>
      <c r="E810" s="6" t="s">
        <v>3318</v>
      </c>
      <c r="F810" s="6" t="s">
        <v>3319</v>
      </c>
      <c r="G810" s="3" t="s">
        <v>11450</v>
      </c>
      <c r="H810" s="54">
        <v>0</v>
      </c>
      <c r="I810" s="16">
        <v>470000000</v>
      </c>
      <c r="J810" s="157" t="s">
        <v>229</v>
      </c>
      <c r="K810" s="5" t="s">
        <v>209</v>
      </c>
      <c r="L810" s="17" t="s">
        <v>11411</v>
      </c>
      <c r="M810" s="3" t="s">
        <v>230</v>
      </c>
      <c r="N810" s="6" t="s">
        <v>524</v>
      </c>
      <c r="O810" s="6" t="s">
        <v>233</v>
      </c>
      <c r="P810" s="58">
        <v>796</v>
      </c>
      <c r="Q810" s="6" t="s">
        <v>234</v>
      </c>
      <c r="R810" s="118">
        <v>4</v>
      </c>
      <c r="S810" s="2">
        <v>43469</v>
      </c>
      <c r="T810" s="4">
        <v>0</v>
      </c>
      <c r="U810" s="4">
        <f t="shared" si="33"/>
        <v>0</v>
      </c>
      <c r="V810" s="3"/>
      <c r="W810" s="3">
        <v>2014</v>
      </c>
      <c r="X810" s="3" t="s">
        <v>14785</v>
      </c>
    </row>
    <row r="811" spans="1:24" ht="89.25">
      <c r="A811" s="3" t="s">
        <v>14659</v>
      </c>
      <c r="B811" s="6" t="s">
        <v>361</v>
      </c>
      <c r="C811" s="6" t="s">
        <v>3316</v>
      </c>
      <c r="D811" s="6" t="s">
        <v>3317</v>
      </c>
      <c r="E811" s="6" t="s">
        <v>3318</v>
      </c>
      <c r="F811" s="6" t="s">
        <v>3319</v>
      </c>
      <c r="G811" s="3" t="s">
        <v>11450</v>
      </c>
      <c r="H811" s="54">
        <v>0</v>
      </c>
      <c r="I811" s="16">
        <v>470000000</v>
      </c>
      <c r="J811" s="157" t="s">
        <v>229</v>
      </c>
      <c r="K811" s="5" t="s">
        <v>211</v>
      </c>
      <c r="L811" s="17" t="s">
        <v>11411</v>
      </c>
      <c r="M811" s="3" t="s">
        <v>230</v>
      </c>
      <c r="N811" s="6" t="s">
        <v>524</v>
      </c>
      <c r="O811" s="6" t="s">
        <v>233</v>
      </c>
      <c r="P811" s="58">
        <v>796</v>
      </c>
      <c r="Q811" s="6" t="s">
        <v>234</v>
      </c>
      <c r="R811" s="118">
        <v>4</v>
      </c>
      <c r="S811" s="2">
        <v>52163</v>
      </c>
      <c r="T811" s="4">
        <v>0</v>
      </c>
      <c r="U811" s="4">
        <f t="shared" si="33"/>
        <v>0</v>
      </c>
      <c r="V811" s="3"/>
      <c r="W811" s="3">
        <v>2014</v>
      </c>
      <c r="X811" s="3">
        <v>11.14</v>
      </c>
    </row>
    <row r="812" spans="1:24" ht="89.25">
      <c r="A812" s="3" t="s">
        <v>18182</v>
      </c>
      <c r="B812" s="6" t="s">
        <v>361</v>
      </c>
      <c r="C812" s="6" t="s">
        <v>3316</v>
      </c>
      <c r="D812" s="6" t="s">
        <v>3317</v>
      </c>
      <c r="E812" s="6" t="s">
        <v>3318</v>
      </c>
      <c r="F812" s="6" t="s">
        <v>3319</v>
      </c>
      <c r="G812" s="3" t="s">
        <v>11450</v>
      </c>
      <c r="H812" s="54">
        <v>0</v>
      </c>
      <c r="I812" s="16">
        <v>470000000</v>
      </c>
      <c r="J812" s="157" t="s">
        <v>229</v>
      </c>
      <c r="K812" s="5" t="s">
        <v>8950</v>
      </c>
      <c r="L812" s="17" t="s">
        <v>11411</v>
      </c>
      <c r="M812" s="3" t="s">
        <v>230</v>
      </c>
      <c r="N812" s="6" t="s">
        <v>528</v>
      </c>
      <c r="O812" s="6" t="s">
        <v>233</v>
      </c>
      <c r="P812" s="58">
        <v>796</v>
      </c>
      <c r="Q812" s="6" t="s">
        <v>234</v>
      </c>
      <c r="R812" s="118">
        <v>4</v>
      </c>
      <c r="S812" s="2">
        <v>52163</v>
      </c>
      <c r="T812" s="4">
        <f>R812*S812</f>
        <v>208652</v>
      </c>
      <c r="U812" s="4">
        <f t="shared" si="33"/>
        <v>233690.24000000002</v>
      </c>
      <c r="V812" s="3"/>
      <c r="W812" s="3">
        <v>2014</v>
      </c>
      <c r="X812" s="3"/>
    </row>
    <row r="813" spans="1:24" ht="102">
      <c r="A813" s="3" t="s">
        <v>922</v>
      </c>
      <c r="B813" s="6" t="s">
        <v>361</v>
      </c>
      <c r="C813" s="6" t="s">
        <v>3323</v>
      </c>
      <c r="D813" s="6" t="s">
        <v>3324</v>
      </c>
      <c r="E813" s="6" t="s">
        <v>3325</v>
      </c>
      <c r="F813" s="6" t="s">
        <v>112</v>
      </c>
      <c r="G813" s="3" t="s">
        <v>11450</v>
      </c>
      <c r="H813" s="54">
        <v>0</v>
      </c>
      <c r="I813" s="16">
        <v>470000000</v>
      </c>
      <c r="J813" s="157" t="s">
        <v>229</v>
      </c>
      <c r="K813" s="5" t="s">
        <v>214</v>
      </c>
      <c r="L813" s="6" t="s">
        <v>231</v>
      </c>
      <c r="M813" s="3" t="s">
        <v>230</v>
      </c>
      <c r="N813" s="6" t="s">
        <v>524</v>
      </c>
      <c r="O813" s="6" t="s">
        <v>233</v>
      </c>
      <c r="P813" s="58">
        <v>796</v>
      </c>
      <c r="Q813" s="6" t="s">
        <v>234</v>
      </c>
      <c r="R813" s="118">
        <v>178</v>
      </c>
      <c r="S813" s="2">
        <v>13560</v>
      </c>
      <c r="T813" s="4">
        <v>0</v>
      </c>
      <c r="U813" s="4">
        <f t="shared" si="33"/>
        <v>0</v>
      </c>
      <c r="V813" s="3"/>
      <c r="W813" s="3">
        <v>2014</v>
      </c>
      <c r="X813" s="3">
        <v>11.12</v>
      </c>
    </row>
    <row r="814" spans="1:24" ht="89.25">
      <c r="A814" s="3" t="s">
        <v>11963</v>
      </c>
      <c r="B814" s="6" t="s">
        <v>361</v>
      </c>
      <c r="C814" s="6" t="s">
        <v>3323</v>
      </c>
      <c r="D814" s="6" t="s">
        <v>3324</v>
      </c>
      <c r="E814" s="6" t="s">
        <v>3325</v>
      </c>
      <c r="F814" s="6" t="s">
        <v>112</v>
      </c>
      <c r="G814" s="3" t="s">
        <v>11450</v>
      </c>
      <c r="H814" s="54">
        <v>0</v>
      </c>
      <c r="I814" s="16">
        <v>470000000</v>
      </c>
      <c r="J814" s="157" t="s">
        <v>229</v>
      </c>
      <c r="K814" s="5" t="s">
        <v>209</v>
      </c>
      <c r="L814" s="17" t="s">
        <v>11411</v>
      </c>
      <c r="M814" s="3" t="s">
        <v>230</v>
      </c>
      <c r="N814" s="6" t="s">
        <v>524</v>
      </c>
      <c r="O814" s="6" t="s">
        <v>233</v>
      </c>
      <c r="P814" s="58">
        <v>796</v>
      </c>
      <c r="Q814" s="6" t="s">
        <v>234</v>
      </c>
      <c r="R814" s="118">
        <v>178</v>
      </c>
      <c r="S814" s="2">
        <v>13560</v>
      </c>
      <c r="T814" s="4">
        <v>0</v>
      </c>
      <c r="U814" s="4">
        <f t="shared" si="33"/>
        <v>0</v>
      </c>
      <c r="V814" s="3"/>
      <c r="W814" s="3">
        <v>2014</v>
      </c>
      <c r="X814" s="3" t="s">
        <v>12051</v>
      </c>
    </row>
    <row r="815" spans="1:24" ht="89.25">
      <c r="A815" s="3" t="s">
        <v>14660</v>
      </c>
      <c r="B815" s="6" t="s">
        <v>361</v>
      </c>
      <c r="C815" s="6" t="s">
        <v>3323</v>
      </c>
      <c r="D815" s="6" t="s">
        <v>3324</v>
      </c>
      <c r="E815" s="6" t="s">
        <v>3325</v>
      </c>
      <c r="F815" s="6" t="s">
        <v>112</v>
      </c>
      <c r="G815" s="3" t="s">
        <v>11450</v>
      </c>
      <c r="H815" s="54">
        <v>0</v>
      </c>
      <c r="I815" s="16">
        <v>470000000</v>
      </c>
      <c r="J815" s="157" t="s">
        <v>229</v>
      </c>
      <c r="K815" s="5" t="s">
        <v>211</v>
      </c>
      <c r="L815" s="17" t="s">
        <v>11411</v>
      </c>
      <c r="M815" s="3" t="s">
        <v>230</v>
      </c>
      <c r="N815" s="6" t="s">
        <v>524</v>
      </c>
      <c r="O815" s="6" t="s">
        <v>233</v>
      </c>
      <c r="P815" s="58">
        <v>796</v>
      </c>
      <c r="Q815" s="6" t="s">
        <v>234</v>
      </c>
      <c r="R815" s="118">
        <v>100</v>
      </c>
      <c r="S815" s="2">
        <v>16272</v>
      </c>
      <c r="T815" s="4">
        <v>0</v>
      </c>
      <c r="U815" s="4">
        <f t="shared" si="33"/>
        <v>0</v>
      </c>
      <c r="V815" s="3"/>
      <c r="W815" s="3">
        <v>2014</v>
      </c>
      <c r="X815" s="3">
        <v>11.14</v>
      </c>
    </row>
    <row r="816" spans="1:24" ht="89.25">
      <c r="A816" s="3" t="s">
        <v>18183</v>
      </c>
      <c r="B816" s="6" t="s">
        <v>361</v>
      </c>
      <c r="C816" s="6" t="s">
        <v>3323</v>
      </c>
      <c r="D816" s="6" t="s">
        <v>3324</v>
      </c>
      <c r="E816" s="6" t="s">
        <v>3325</v>
      </c>
      <c r="F816" s="6" t="s">
        <v>112</v>
      </c>
      <c r="G816" s="3" t="s">
        <v>11450</v>
      </c>
      <c r="H816" s="54">
        <v>0</v>
      </c>
      <c r="I816" s="16">
        <v>470000000</v>
      </c>
      <c r="J816" s="157" t="s">
        <v>229</v>
      </c>
      <c r="K816" s="5" t="s">
        <v>8950</v>
      </c>
      <c r="L816" s="17" t="s">
        <v>11411</v>
      </c>
      <c r="M816" s="3" t="s">
        <v>230</v>
      </c>
      <c r="N816" s="6" t="s">
        <v>528</v>
      </c>
      <c r="O816" s="6" t="s">
        <v>233</v>
      </c>
      <c r="P816" s="58">
        <v>796</v>
      </c>
      <c r="Q816" s="6" t="s">
        <v>234</v>
      </c>
      <c r="R816" s="118">
        <v>100</v>
      </c>
      <c r="S816" s="2">
        <v>16272</v>
      </c>
      <c r="T816" s="4">
        <v>0</v>
      </c>
      <c r="U816" s="4">
        <f t="shared" si="33"/>
        <v>0</v>
      </c>
      <c r="V816" s="3"/>
      <c r="W816" s="3">
        <v>2014</v>
      </c>
      <c r="X816" s="3" t="s">
        <v>14780</v>
      </c>
    </row>
    <row r="817" spans="1:24" ht="89.25">
      <c r="A817" s="3" t="s">
        <v>18892</v>
      </c>
      <c r="B817" s="6" t="s">
        <v>361</v>
      </c>
      <c r="C817" s="6" t="s">
        <v>3323</v>
      </c>
      <c r="D817" s="6" t="s">
        <v>3324</v>
      </c>
      <c r="E817" s="6" t="s">
        <v>3325</v>
      </c>
      <c r="F817" s="6" t="s">
        <v>112</v>
      </c>
      <c r="G817" s="3" t="s">
        <v>11450</v>
      </c>
      <c r="H817" s="54">
        <v>0</v>
      </c>
      <c r="I817" s="16">
        <v>470000000</v>
      </c>
      <c r="J817" s="157" t="s">
        <v>229</v>
      </c>
      <c r="K817" s="5" t="s">
        <v>18437</v>
      </c>
      <c r="L817" s="17" t="s">
        <v>11411</v>
      </c>
      <c r="M817" s="3" t="s">
        <v>230</v>
      </c>
      <c r="N817" s="6" t="s">
        <v>528</v>
      </c>
      <c r="O817" s="6" t="s">
        <v>233</v>
      </c>
      <c r="P817" s="58">
        <v>796</v>
      </c>
      <c r="Q817" s="6" t="s">
        <v>234</v>
      </c>
      <c r="R817" s="251">
        <v>138</v>
      </c>
      <c r="S817" s="2">
        <v>16272</v>
      </c>
      <c r="T817" s="4">
        <v>0</v>
      </c>
      <c r="U817" s="4">
        <f t="shared" si="33"/>
        <v>0</v>
      </c>
      <c r="V817" s="3"/>
      <c r="W817" s="3">
        <v>2014</v>
      </c>
      <c r="X817" s="3">
        <v>15</v>
      </c>
    </row>
    <row r="818" spans="1:24" ht="76.5">
      <c r="A818" s="3" t="s">
        <v>19598</v>
      </c>
      <c r="B818" s="6" t="s">
        <v>361</v>
      </c>
      <c r="C818" s="6" t="s">
        <v>3323</v>
      </c>
      <c r="D818" s="6" t="s">
        <v>3324</v>
      </c>
      <c r="E818" s="6" t="s">
        <v>3325</v>
      </c>
      <c r="F818" s="6" t="s">
        <v>112</v>
      </c>
      <c r="G818" s="3" t="s">
        <v>11450</v>
      </c>
      <c r="H818" s="54">
        <v>0</v>
      </c>
      <c r="I818" s="16">
        <v>470000000</v>
      </c>
      <c r="J818" s="157" t="s">
        <v>229</v>
      </c>
      <c r="K818" s="5" t="s">
        <v>18437</v>
      </c>
      <c r="L818" s="17" t="s">
        <v>11411</v>
      </c>
      <c r="M818" s="3" t="s">
        <v>230</v>
      </c>
      <c r="N818" s="6" t="s">
        <v>528</v>
      </c>
      <c r="O818" s="6" t="s">
        <v>19407</v>
      </c>
      <c r="P818" s="58">
        <v>796</v>
      </c>
      <c r="Q818" s="6" t="s">
        <v>234</v>
      </c>
      <c r="R818" s="251">
        <v>138</v>
      </c>
      <c r="S818" s="2">
        <v>16272</v>
      </c>
      <c r="T818" s="4">
        <f>R818*S818</f>
        <v>2245536</v>
      </c>
      <c r="U818" s="4">
        <f t="shared" si="33"/>
        <v>2515000.3200000003</v>
      </c>
      <c r="V818" s="3"/>
      <c r="W818" s="3">
        <v>2014</v>
      </c>
      <c r="X818" s="3"/>
    </row>
    <row r="819" spans="1:24" ht="102">
      <c r="A819" s="3" t="s">
        <v>923</v>
      </c>
      <c r="B819" s="6" t="s">
        <v>361</v>
      </c>
      <c r="C819" s="6" t="s">
        <v>3326</v>
      </c>
      <c r="D819" s="6" t="s">
        <v>3324</v>
      </c>
      <c r="E819" s="6" t="s">
        <v>3327</v>
      </c>
      <c r="F819" s="6" t="s">
        <v>113</v>
      </c>
      <c r="G819" s="3" t="s">
        <v>11450</v>
      </c>
      <c r="H819" s="54">
        <v>0</v>
      </c>
      <c r="I819" s="16">
        <v>470000000</v>
      </c>
      <c r="J819" s="157" t="s">
        <v>229</v>
      </c>
      <c r="K819" s="5" t="s">
        <v>214</v>
      </c>
      <c r="L819" s="6" t="s">
        <v>231</v>
      </c>
      <c r="M819" s="3" t="s">
        <v>230</v>
      </c>
      <c r="N819" s="6" t="s">
        <v>524</v>
      </c>
      <c r="O819" s="6" t="s">
        <v>233</v>
      </c>
      <c r="P819" s="58">
        <v>796</v>
      </c>
      <c r="Q819" s="6" t="s">
        <v>234</v>
      </c>
      <c r="R819" s="118">
        <v>178</v>
      </c>
      <c r="S819" s="2">
        <v>18032</v>
      </c>
      <c r="T819" s="4">
        <v>0</v>
      </c>
      <c r="U819" s="4">
        <f t="shared" si="33"/>
        <v>0</v>
      </c>
      <c r="V819" s="3"/>
      <c r="W819" s="3">
        <v>2014</v>
      </c>
      <c r="X819" s="3">
        <v>11.12</v>
      </c>
    </row>
    <row r="820" spans="1:24" ht="89.25">
      <c r="A820" s="3" t="s">
        <v>12159</v>
      </c>
      <c r="B820" s="6" t="s">
        <v>361</v>
      </c>
      <c r="C820" s="6" t="s">
        <v>3326</v>
      </c>
      <c r="D820" s="6" t="s">
        <v>3324</v>
      </c>
      <c r="E820" s="6" t="s">
        <v>3327</v>
      </c>
      <c r="F820" s="6" t="s">
        <v>113</v>
      </c>
      <c r="G820" s="3" t="s">
        <v>11450</v>
      </c>
      <c r="H820" s="54">
        <v>0</v>
      </c>
      <c r="I820" s="16">
        <v>470000000</v>
      </c>
      <c r="J820" s="157" t="s">
        <v>229</v>
      </c>
      <c r="K820" s="5" t="s">
        <v>217</v>
      </c>
      <c r="L820" s="17" t="s">
        <v>11411</v>
      </c>
      <c r="M820" s="3" t="s">
        <v>230</v>
      </c>
      <c r="N820" s="6" t="s">
        <v>524</v>
      </c>
      <c r="O820" s="6" t="s">
        <v>233</v>
      </c>
      <c r="P820" s="58">
        <v>796</v>
      </c>
      <c r="Q820" s="6" t="s">
        <v>234</v>
      </c>
      <c r="R820" s="118">
        <v>178</v>
      </c>
      <c r="S820" s="2">
        <v>18032</v>
      </c>
      <c r="T820" s="4">
        <v>0</v>
      </c>
      <c r="U820" s="4">
        <f t="shared" si="33"/>
        <v>0</v>
      </c>
      <c r="V820" s="3"/>
      <c r="W820" s="3">
        <v>2014</v>
      </c>
      <c r="X820" s="3" t="s">
        <v>12076</v>
      </c>
    </row>
    <row r="821" spans="1:24" ht="102">
      <c r="A821" s="3" t="s">
        <v>924</v>
      </c>
      <c r="B821" s="6" t="s">
        <v>361</v>
      </c>
      <c r="C821" s="6" t="s">
        <v>3326</v>
      </c>
      <c r="D821" s="6" t="s">
        <v>3324</v>
      </c>
      <c r="E821" s="6" t="s">
        <v>3327</v>
      </c>
      <c r="F821" s="6" t="s">
        <v>114</v>
      </c>
      <c r="G821" s="3" t="s">
        <v>11450</v>
      </c>
      <c r="H821" s="54">
        <v>0</v>
      </c>
      <c r="I821" s="16">
        <v>470000000</v>
      </c>
      <c r="J821" s="157" t="s">
        <v>229</v>
      </c>
      <c r="K821" s="5" t="s">
        <v>211</v>
      </c>
      <c r="L821" s="6" t="s">
        <v>231</v>
      </c>
      <c r="M821" s="3" t="s">
        <v>230</v>
      </c>
      <c r="N821" s="6" t="s">
        <v>524</v>
      </c>
      <c r="O821" s="6" t="s">
        <v>233</v>
      </c>
      <c r="P821" s="58">
        <v>796</v>
      </c>
      <c r="Q821" s="6" t="s">
        <v>234</v>
      </c>
      <c r="R821" s="118">
        <v>4</v>
      </c>
      <c r="S821" s="2">
        <v>8620</v>
      </c>
      <c r="T821" s="4">
        <v>0</v>
      </c>
      <c r="U821" s="4">
        <f t="shared" si="33"/>
        <v>0</v>
      </c>
      <c r="V821" s="3"/>
      <c r="W821" s="3">
        <v>2014</v>
      </c>
      <c r="X821" s="3" t="s">
        <v>14785</v>
      </c>
    </row>
    <row r="822" spans="1:24" ht="102">
      <c r="A822" s="3" t="s">
        <v>14661</v>
      </c>
      <c r="B822" s="6" t="s">
        <v>361</v>
      </c>
      <c r="C822" s="6" t="s">
        <v>3326</v>
      </c>
      <c r="D822" s="6" t="s">
        <v>3324</v>
      </c>
      <c r="E822" s="6" t="s">
        <v>3327</v>
      </c>
      <c r="F822" s="6" t="s">
        <v>114</v>
      </c>
      <c r="G822" s="3" t="s">
        <v>11450</v>
      </c>
      <c r="H822" s="54">
        <v>0</v>
      </c>
      <c r="I822" s="16">
        <v>470000000</v>
      </c>
      <c r="J822" s="157" t="s">
        <v>229</v>
      </c>
      <c r="K822" s="5" t="s">
        <v>14662</v>
      </c>
      <c r="L822" s="6" t="s">
        <v>231</v>
      </c>
      <c r="M822" s="3" t="s">
        <v>230</v>
      </c>
      <c r="N822" s="6" t="s">
        <v>524</v>
      </c>
      <c r="O822" s="6" t="s">
        <v>233</v>
      </c>
      <c r="P822" s="58">
        <v>796</v>
      </c>
      <c r="Q822" s="6" t="s">
        <v>234</v>
      </c>
      <c r="R822" s="118">
        <v>4</v>
      </c>
      <c r="S822" s="2">
        <v>10344</v>
      </c>
      <c r="T822" s="4">
        <v>0</v>
      </c>
      <c r="U822" s="4">
        <f t="shared" si="33"/>
        <v>0</v>
      </c>
      <c r="V822" s="3"/>
      <c r="W822" s="3">
        <v>2014</v>
      </c>
      <c r="X822" s="3">
        <v>11.14</v>
      </c>
    </row>
    <row r="823" spans="1:24" ht="102">
      <c r="A823" s="3" t="s">
        <v>18184</v>
      </c>
      <c r="B823" s="6" t="s">
        <v>361</v>
      </c>
      <c r="C823" s="6" t="s">
        <v>3326</v>
      </c>
      <c r="D823" s="6" t="s">
        <v>3324</v>
      </c>
      <c r="E823" s="6" t="s">
        <v>3327</v>
      </c>
      <c r="F823" s="6" t="s">
        <v>114</v>
      </c>
      <c r="G823" s="3" t="s">
        <v>11450</v>
      </c>
      <c r="H823" s="54">
        <v>0</v>
      </c>
      <c r="I823" s="16">
        <v>470000000</v>
      </c>
      <c r="J823" s="157" t="s">
        <v>229</v>
      </c>
      <c r="K823" s="5" t="s">
        <v>8950</v>
      </c>
      <c r="L823" s="6" t="s">
        <v>231</v>
      </c>
      <c r="M823" s="3" t="s">
        <v>230</v>
      </c>
      <c r="N823" s="6" t="s">
        <v>528</v>
      </c>
      <c r="O823" s="6" t="s">
        <v>233</v>
      </c>
      <c r="P823" s="58">
        <v>796</v>
      </c>
      <c r="Q823" s="6" t="s">
        <v>234</v>
      </c>
      <c r="R823" s="118">
        <v>4</v>
      </c>
      <c r="S823" s="2">
        <v>10344</v>
      </c>
      <c r="T823" s="4">
        <f>R823*S823</f>
        <v>41376</v>
      </c>
      <c r="U823" s="4">
        <f t="shared" si="33"/>
        <v>46341.120000000003</v>
      </c>
      <c r="V823" s="3"/>
      <c r="W823" s="3">
        <v>2014</v>
      </c>
      <c r="X823" s="3"/>
    </row>
    <row r="824" spans="1:24" ht="102">
      <c r="A824" s="3" t="s">
        <v>925</v>
      </c>
      <c r="B824" s="6" t="s">
        <v>361</v>
      </c>
      <c r="C824" s="6" t="s">
        <v>3328</v>
      </c>
      <c r="D824" s="6" t="s">
        <v>3321</v>
      </c>
      <c r="E824" s="6" t="s">
        <v>3329</v>
      </c>
      <c r="F824" s="6" t="s">
        <v>115</v>
      </c>
      <c r="G824" s="3" t="s">
        <v>11450</v>
      </c>
      <c r="H824" s="54">
        <v>0</v>
      </c>
      <c r="I824" s="16">
        <v>470000000</v>
      </c>
      <c r="J824" s="157" t="s">
        <v>229</v>
      </c>
      <c r="K824" s="5" t="s">
        <v>211</v>
      </c>
      <c r="L824" s="6" t="s">
        <v>231</v>
      </c>
      <c r="M824" s="3" t="s">
        <v>230</v>
      </c>
      <c r="N824" s="6" t="s">
        <v>524</v>
      </c>
      <c r="O824" s="6" t="s">
        <v>233</v>
      </c>
      <c r="P824" s="58">
        <v>796</v>
      </c>
      <c r="Q824" s="6" t="s">
        <v>234</v>
      </c>
      <c r="R824" s="118">
        <v>6</v>
      </c>
      <c r="S824" s="2">
        <v>1682</v>
      </c>
      <c r="T824" s="4">
        <v>0</v>
      </c>
      <c r="U824" s="4">
        <f t="shared" si="33"/>
        <v>0</v>
      </c>
      <c r="V824" s="3"/>
      <c r="W824" s="3">
        <v>2014</v>
      </c>
      <c r="X824" s="3">
        <v>11.12</v>
      </c>
    </row>
    <row r="825" spans="1:24" ht="89.25">
      <c r="A825" s="3" t="s">
        <v>11964</v>
      </c>
      <c r="B825" s="6" t="s">
        <v>361</v>
      </c>
      <c r="C825" s="6" t="s">
        <v>3328</v>
      </c>
      <c r="D825" s="6" t="s">
        <v>3321</v>
      </c>
      <c r="E825" s="6" t="s">
        <v>3329</v>
      </c>
      <c r="F825" s="6" t="s">
        <v>115</v>
      </c>
      <c r="G825" s="3" t="s">
        <v>11450</v>
      </c>
      <c r="H825" s="54">
        <v>0</v>
      </c>
      <c r="I825" s="16">
        <v>470000000</v>
      </c>
      <c r="J825" s="157" t="s">
        <v>229</v>
      </c>
      <c r="K825" s="5" t="s">
        <v>209</v>
      </c>
      <c r="L825" s="17" t="s">
        <v>11411</v>
      </c>
      <c r="M825" s="3" t="s">
        <v>230</v>
      </c>
      <c r="N825" s="6" t="s">
        <v>524</v>
      </c>
      <c r="O825" s="6" t="s">
        <v>233</v>
      </c>
      <c r="P825" s="58">
        <v>796</v>
      </c>
      <c r="Q825" s="6" t="s">
        <v>234</v>
      </c>
      <c r="R825" s="118">
        <v>6</v>
      </c>
      <c r="S825" s="2">
        <v>1682</v>
      </c>
      <c r="T825" s="4">
        <v>0</v>
      </c>
      <c r="U825" s="4">
        <v>0</v>
      </c>
      <c r="V825" s="3"/>
      <c r="W825" s="3">
        <v>2014</v>
      </c>
      <c r="X825" s="3" t="s">
        <v>14785</v>
      </c>
    </row>
    <row r="826" spans="1:24" ht="89.25">
      <c r="A826" s="3" t="s">
        <v>14663</v>
      </c>
      <c r="B826" s="6" t="s">
        <v>361</v>
      </c>
      <c r="C826" s="6" t="s">
        <v>3328</v>
      </c>
      <c r="D826" s="6" t="s">
        <v>3321</v>
      </c>
      <c r="E826" s="6" t="s">
        <v>3329</v>
      </c>
      <c r="F826" s="6" t="s">
        <v>115</v>
      </c>
      <c r="G826" s="3" t="s">
        <v>11450</v>
      </c>
      <c r="H826" s="54">
        <v>0</v>
      </c>
      <c r="I826" s="16">
        <v>470000000</v>
      </c>
      <c r="J826" s="157" t="s">
        <v>229</v>
      </c>
      <c r="K826" s="5" t="s">
        <v>14662</v>
      </c>
      <c r="L826" s="17" t="s">
        <v>11411</v>
      </c>
      <c r="M826" s="3" t="s">
        <v>230</v>
      </c>
      <c r="N826" s="6" t="s">
        <v>524</v>
      </c>
      <c r="O826" s="6" t="s">
        <v>233</v>
      </c>
      <c r="P826" s="58">
        <v>796</v>
      </c>
      <c r="Q826" s="6" t="s">
        <v>234</v>
      </c>
      <c r="R826" s="118">
        <v>6</v>
      </c>
      <c r="S826" s="2">
        <v>2018</v>
      </c>
      <c r="T826" s="4">
        <v>0</v>
      </c>
      <c r="U826" s="4">
        <f t="shared" ref="U826:U838" si="34">T826*1.12</f>
        <v>0</v>
      </c>
      <c r="V826" s="3"/>
      <c r="W826" s="3">
        <v>2014</v>
      </c>
      <c r="X826" s="3">
        <v>11.14</v>
      </c>
    </row>
    <row r="827" spans="1:24" ht="89.25">
      <c r="A827" s="3" t="s">
        <v>18185</v>
      </c>
      <c r="B827" s="6" t="s">
        <v>361</v>
      </c>
      <c r="C827" s="6" t="s">
        <v>3328</v>
      </c>
      <c r="D827" s="6" t="s">
        <v>3321</v>
      </c>
      <c r="E827" s="6" t="s">
        <v>3329</v>
      </c>
      <c r="F827" s="6" t="s">
        <v>115</v>
      </c>
      <c r="G827" s="3" t="s">
        <v>11450</v>
      </c>
      <c r="H827" s="54">
        <v>0</v>
      </c>
      <c r="I827" s="16">
        <v>470000000</v>
      </c>
      <c r="J827" s="157" t="s">
        <v>229</v>
      </c>
      <c r="K827" s="5" t="s">
        <v>8950</v>
      </c>
      <c r="L827" s="17" t="s">
        <v>11411</v>
      </c>
      <c r="M827" s="3" t="s">
        <v>230</v>
      </c>
      <c r="N827" s="6" t="s">
        <v>528</v>
      </c>
      <c r="O827" s="6" t="s">
        <v>233</v>
      </c>
      <c r="P827" s="58">
        <v>796</v>
      </c>
      <c r="Q827" s="6" t="s">
        <v>234</v>
      </c>
      <c r="R827" s="118">
        <v>6</v>
      </c>
      <c r="S827" s="2">
        <v>2018</v>
      </c>
      <c r="T827" s="4">
        <f>R827*S827</f>
        <v>12108</v>
      </c>
      <c r="U827" s="4">
        <f t="shared" si="34"/>
        <v>13560.960000000001</v>
      </c>
      <c r="V827" s="3"/>
      <c r="W827" s="3">
        <v>2014</v>
      </c>
      <c r="X827" s="3"/>
    </row>
    <row r="828" spans="1:24" ht="102">
      <c r="A828" s="3" t="s">
        <v>926</v>
      </c>
      <c r="B828" s="6" t="s">
        <v>361</v>
      </c>
      <c r="C828" s="6" t="s">
        <v>3326</v>
      </c>
      <c r="D828" s="6" t="s">
        <v>3324</v>
      </c>
      <c r="E828" s="6" t="s">
        <v>3327</v>
      </c>
      <c r="F828" s="6" t="s">
        <v>116</v>
      </c>
      <c r="G828" s="3" t="s">
        <v>11450</v>
      </c>
      <c r="H828" s="54">
        <v>0</v>
      </c>
      <c r="I828" s="16">
        <v>470000000</v>
      </c>
      <c r="J828" s="157" t="s">
        <v>229</v>
      </c>
      <c r="K828" s="5" t="s">
        <v>211</v>
      </c>
      <c r="L828" s="6" t="s">
        <v>231</v>
      </c>
      <c r="M828" s="3" t="s">
        <v>230</v>
      </c>
      <c r="N828" s="6" t="s">
        <v>524</v>
      </c>
      <c r="O828" s="6" t="s">
        <v>233</v>
      </c>
      <c r="P828" s="58">
        <v>796</v>
      </c>
      <c r="Q828" s="6" t="s">
        <v>234</v>
      </c>
      <c r="R828" s="118">
        <v>4</v>
      </c>
      <c r="S828" s="2">
        <v>1120</v>
      </c>
      <c r="T828" s="4">
        <v>0</v>
      </c>
      <c r="U828" s="4">
        <f t="shared" si="34"/>
        <v>0</v>
      </c>
      <c r="V828" s="3"/>
      <c r="W828" s="3">
        <v>2014</v>
      </c>
      <c r="X828" s="3" t="s">
        <v>12076</v>
      </c>
    </row>
    <row r="829" spans="1:24" ht="102">
      <c r="A829" s="3" t="s">
        <v>927</v>
      </c>
      <c r="B829" s="6" t="s">
        <v>361</v>
      </c>
      <c r="C829" s="6" t="s">
        <v>3326</v>
      </c>
      <c r="D829" s="6" t="s">
        <v>3324</v>
      </c>
      <c r="E829" s="6" t="s">
        <v>3327</v>
      </c>
      <c r="F829" s="6" t="s">
        <v>117</v>
      </c>
      <c r="G829" s="3" t="s">
        <v>11450</v>
      </c>
      <c r="H829" s="54">
        <v>0</v>
      </c>
      <c r="I829" s="16">
        <v>470000000</v>
      </c>
      <c r="J829" s="157" t="s">
        <v>229</v>
      </c>
      <c r="K829" s="5" t="s">
        <v>211</v>
      </c>
      <c r="L829" s="6" t="s">
        <v>231</v>
      </c>
      <c r="M829" s="3" t="s">
        <v>230</v>
      </c>
      <c r="N829" s="6" t="s">
        <v>524</v>
      </c>
      <c r="O829" s="6" t="s">
        <v>233</v>
      </c>
      <c r="P829" s="58">
        <v>796</v>
      </c>
      <c r="Q829" s="6" t="s">
        <v>234</v>
      </c>
      <c r="R829" s="118">
        <v>26</v>
      </c>
      <c r="S829" s="2">
        <v>986</v>
      </c>
      <c r="T829" s="4">
        <v>0</v>
      </c>
      <c r="U829" s="4">
        <f t="shared" si="34"/>
        <v>0</v>
      </c>
      <c r="V829" s="3"/>
      <c r="W829" s="3">
        <v>2014</v>
      </c>
      <c r="X829" s="3" t="s">
        <v>12076</v>
      </c>
    </row>
    <row r="830" spans="1:24" ht="102">
      <c r="A830" s="3" t="s">
        <v>928</v>
      </c>
      <c r="B830" s="6" t="s">
        <v>361</v>
      </c>
      <c r="C830" s="6" t="s">
        <v>3302</v>
      </c>
      <c r="D830" s="6" t="s">
        <v>3299</v>
      </c>
      <c r="E830" s="6" t="s">
        <v>3303</v>
      </c>
      <c r="F830" s="6" t="s">
        <v>118</v>
      </c>
      <c r="G830" s="3" t="s">
        <v>11450</v>
      </c>
      <c r="H830" s="54">
        <v>0</v>
      </c>
      <c r="I830" s="16">
        <v>470000000</v>
      </c>
      <c r="J830" s="157" t="s">
        <v>229</v>
      </c>
      <c r="K830" s="5" t="s">
        <v>210</v>
      </c>
      <c r="L830" s="6" t="s">
        <v>231</v>
      </c>
      <c r="M830" s="3" t="s">
        <v>230</v>
      </c>
      <c r="N830" s="6" t="s">
        <v>524</v>
      </c>
      <c r="O830" s="6" t="s">
        <v>233</v>
      </c>
      <c r="P830" s="58">
        <v>796</v>
      </c>
      <c r="Q830" s="6" t="s">
        <v>234</v>
      </c>
      <c r="R830" s="118">
        <v>56</v>
      </c>
      <c r="S830" s="2">
        <v>5680</v>
      </c>
      <c r="T830" s="4">
        <v>0</v>
      </c>
      <c r="U830" s="4">
        <f t="shared" si="34"/>
        <v>0</v>
      </c>
      <c r="V830" s="3"/>
      <c r="W830" s="3">
        <v>2014</v>
      </c>
      <c r="X830" s="3" t="s">
        <v>14785</v>
      </c>
    </row>
    <row r="831" spans="1:24" ht="102">
      <c r="A831" s="3" t="s">
        <v>14664</v>
      </c>
      <c r="B831" s="6" t="s">
        <v>361</v>
      </c>
      <c r="C831" s="6" t="s">
        <v>3302</v>
      </c>
      <c r="D831" s="6" t="s">
        <v>3299</v>
      </c>
      <c r="E831" s="6" t="s">
        <v>3303</v>
      </c>
      <c r="F831" s="6" t="s">
        <v>118</v>
      </c>
      <c r="G831" s="3" t="s">
        <v>11450</v>
      </c>
      <c r="H831" s="54">
        <v>0</v>
      </c>
      <c r="I831" s="16">
        <v>470000000</v>
      </c>
      <c r="J831" s="157" t="s">
        <v>229</v>
      </c>
      <c r="K831" s="5" t="s">
        <v>211</v>
      </c>
      <c r="L831" s="6" t="s">
        <v>231</v>
      </c>
      <c r="M831" s="3" t="s">
        <v>230</v>
      </c>
      <c r="N831" s="6" t="s">
        <v>524</v>
      </c>
      <c r="O831" s="6" t="s">
        <v>233</v>
      </c>
      <c r="P831" s="58">
        <v>796</v>
      </c>
      <c r="Q831" s="6" t="s">
        <v>234</v>
      </c>
      <c r="R831" s="118">
        <v>56</v>
      </c>
      <c r="S831" s="2">
        <v>6816</v>
      </c>
      <c r="T831" s="4">
        <v>0</v>
      </c>
      <c r="U831" s="4">
        <f t="shared" si="34"/>
        <v>0</v>
      </c>
      <c r="V831" s="3"/>
      <c r="W831" s="3">
        <v>2014</v>
      </c>
      <c r="X831" s="3">
        <v>11</v>
      </c>
    </row>
    <row r="832" spans="1:24" ht="102">
      <c r="A832" s="3" t="s">
        <v>18186</v>
      </c>
      <c r="B832" s="6" t="s">
        <v>361</v>
      </c>
      <c r="C832" s="6" t="s">
        <v>3302</v>
      </c>
      <c r="D832" s="6" t="s">
        <v>3299</v>
      </c>
      <c r="E832" s="6" t="s">
        <v>3303</v>
      </c>
      <c r="F832" s="6" t="s">
        <v>118</v>
      </c>
      <c r="G832" s="3" t="s">
        <v>11450</v>
      </c>
      <c r="H832" s="54">
        <v>0</v>
      </c>
      <c r="I832" s="16">
        <v>470000000</v>
      </c>
      <c r="J832" s="157" t="s">
        <v>229</v>
      </c>
      <c r="K832" s="5" t="s">
        <v>8950</v>
      </c>
      <c r="L832" s="6" t="s">
        <v>231</v>
      </c>
      <c r="M832" s="3" t="s">
        <v>230</v>
      </c>
      <c r="N832" s="6" t="s">
        <v>524</v>
      </c>
      <c r="O832" s="6" t="s">
        <v>233</v>
      </c>
      <c r="P832" s="58">
        <v>796</v>
      </c>
      <c r="Q832" s="6" t="s">
        <v>234</v>
      </c>
      <c r="R832" s="251">
        <v>56</v>
      </c>
      <c r="S832" s="2">
        <v>6816</v>
      </c>
      <c r="T832" s="4">
        <v>0</v>
      </c>
      <c r="U832" s="4">
        <f t="shared" si="34"/>
        <v>0</v>
      </c>
      <c r="V832" s="3"/>
      <c r="W832" s="3">
        <v>2014</v>
      </c>
      <c r="X832" s="3" t="s">
        <v>19351</v>
      </c>
    </row>
    <row r="833" spans="1:24" ht="76.5">
      <c r="A833" s="3" t="s">
        <v>19361</v>
      </c>
      <c r="B833" s="6" t="s">
        <v>361</v>
      </c>
      <c r="C833" s="6" t="s">
        <v>3302</v>
      </c>
      <c r="D833" s="6" t="s">
        <v>3299</v>
      </c>
      <c r="E833" s="6" t="s">
        <v>3303</v>
      </c>
      <c r="F833" s="6" t="s">
        <v>118</v>
      </c>
      <c r="G833" s="3" t="s">
        <v>11450</v>
      </c>
      <c r="H833" s="54">
        <v>0</v>
      </c>
      <c r="I833" s="16">
        <v>470000000</v>
      </c>
      <c r="J833" s="157" t="s">
        <v>229</v>
      </c>
      <c r="K833" s="5" t="s">
        <v>18437</v>
      </c>
      <c r="L833" s="6" t="s">
        <v>11411</v>
      </c>
      <c r="M833" s="3" t="s">
        <v>230</v>
      </c>
      <c r="N833" s="6" t="s">
        <v>528</v>
      </c>
      <c r="O833" s="6" t="s">
        <v>19407</v>
      </c>
      <c r="P833" s="58">
        <v>796</v>
      </c>
      <c r="Q833" s="6" t="s">
        <v>234</v>
      </c>
      <c r="R833" s="251">
        <v>56</v>
      </c>
      <c r="S833" s="2">
        <v>6816</v>
      </c>
      <c r="T833" s="4">
        <f>R833*S833</f>
        <v>381696</v>
      </c>
      <c r="U833" s="4">
        <f t="shared" si="34"/>
        <v>427499.52000000002</v>
      </c>
      <c r="V833" s="3"/>
      <c r="W833" s="3">
        <v>2014</v>
      </c>
      <c r="X833" s="3"/>
    </row>
    <row r="834" spans="1:24" ht="102">
      <c r="A834" s="3" t="s">
        <v>929</v>
      </c>
      <c r="B834" s="6" t="s">
        <v>361</v>
      </c>
      <c r="C834" s="6" t="s">
        <v>3330</v>
      </c>
      <c r="D834" s="6" t="s">
        <v>3314</v>
      </c>
      <c r="E834" s="6" t="s">
        <v>3331</v>
      </c>
      <c r="F834" s="6" t="s">
        <v>119</v>
      </c>
      <c r="G834" s="3" t="s">
        <v>11450</v>
      </c>
      <c r="H834" s="54">
        <v>0</v>
      </c>
      <c r="I834" s="16">
        <v>470000000</v>
      </c>
      <c r="J834" s="157" t="s">
        <v>229</v>
      </c>
      <c r="K834" s="5" t="s">
        <v>211</v>
      </c>
      <c r="L834" s="6" t="s">
        <v>231</v>
      </c>
      <c r="M834" s="3" t="s">
        <v>230</v>
      </c>
      <c r="N834" s="6" t="s">
        <v>524</v>
      </c>
      <c r="O834" s="6" t="s">
        <v>233</v>
      </c>
      <c r="P834" s="58">
        <v>796</v>
      </c>
      <c r="Q834" s="6" t="s">
        <v>234</v>
      </c>
      <c r="R834" s="118">
        <v>10</v>
      </c>
      <c r="S834" s="2">
        <v>6510</v>
      </c>
      <c r="T834" s="4">
        <v>0</v>
      </c>
      <c r="U834" s="4">
        <f t="shared" si="34"/>
        <v>0</v>
      </c>
      <c r="V834" s="3"/>
      <c r="W834" s="3">
        <v>2014</v>
      </c>
      <c r="X834" s="58" t="s">
        <v>14230</v>
      </c>
    </row>
    <row r="835" spans="1:24" ht="102">
      <c r="A835" s="3" t="s">
        <v>14665</v>
      </c>
      <c r="B835" s="6" t="s">
        <v>361</v>
      </c>
      <c r="C835" s="6" t="s">
        <v>3330</v>
      </c>
      <c r="D835" s="6" t="s">
        <v>3314</v>
      </c>
      <c r="E835" s="6" t="s">
        <v>3331</v>
      </c>
      <c r="F835" s="6" t="s">
        <v>119</v>
      </c>
      <c r="G835" s="3" t="s">
        <v>11450</v>
      </c>
      <c r="H835" s="54">
        <v>0</v>
      </c>
      <c r="I835" s="16">
        <v>470000000</v>
      </c>
      <c r="J835" s="157" t="s">
        <v>229</v>
      </c>
      <c r="K835" s="5" t="s">
        <v>211</v>
      </c>
      <c r="L835" s="6" t="s">
        <v>231</v>
      </c>
      <c r="M835" s="3" t="s">
        <v>230</v>
      </c>
      <c r="N835" s="6" t="s">
        <v>524</v>
      </c>
      <c r="O835" s="6" t="s">
        <v>233</v>
      </c>
      <c r="P835" s="58">
        <v>796</v>
      </c>
      <c r="Q835" s="6" t="s">
        <v>234</v>
      </c>
      <c r="R835" s="118">
        <v>10</v>
      </c>
      <c r="S835" s="2">
        <v>7812</v>
      </c>
      <c r="T835" s="4">
        <v>0</v>
      </c>
      <c r="U835" s="4">
        <f t="shared" si="34"/>
        <v>0</v>
      </c>
      <c r="V835" s="3"/>
      <c r="W835" s="3">
        <v>2014</v>
      </c>
      <c r="X835" s="3">
        <v>11</v>
      </c>
    </row>
    <row r="836" spans="1:24" ht="102">
      <c r="A836" s="3" t="s">
        <v>18187</v>
      </c>
      <c r="B836" s="6" t="s">
        <v>361</v>
      </c>
      <c r="C836" s="6" t="s">
        <v>3330</v>
      </c>
      <c r="D836" s="6" t="s">
        <v>3314</v>
      </c>
      <c r="E836" s="6" t="s">
        <v>3331</v>
      </c>
      <c r="F836" s="6" t="s">
        <v>119</v>
      </c>
      <c r="G836" s="3" t="s">
        <v>11450</v>
      </c>
      <c r="H836" s="54">
        <v>0</v>
      </c>
      <c r="I836" s="16">
        <v>470000000</v>
      </c>
      <c r="J836" s="157" t="s">
        <v>229</v>
      </c>
      <c r="K836" s="5" t="s">
        <v>8950</v>
      </c>
      <c r="L836" s="6" t="s">
        <v>231</v>
      </c>
      <c r="M836" s="3" t="s">
        <v>230</v>
      </c>
      <c r="N836" s="6" t="s">
        <v>524</v>
      </c>
      <c r="O836" s="6" t="s">
        <v>233</v>
      </c>
      <c r="P836" s="58">
        <v>796</v>
      </c>
      <c r="Q836" s="6" t="s">
        <v>234</v>
      </c>
      <c r="R836" s="118">
        <v>10</v>
      </c>
      <c r="S836" s="2">
        <v>7812</v>
      </c>
      <c r="T836" s="4">
        <f>R836*S836</f>
        <v>78120</v>
      </c>
      <c r="U836" s="4">
        <f t="shared" si="34"/>
        <v>87494.400000000009</v>
      </c>
      <c r="V836" s="3"/>
      <c r="W836" s="3">
        <v>2014</v>
      </c>
      <c r="X836" s="3"/>
    </row>
    <row r="837" spans="1:24" ht="102">
      <c r="A837" s="3" t="s">
        <v>930</v>
      </c>
      <c r="B837" s="6" t="s">
        <v>361</v>
      </c>
      <c r="C837" s="6" t="s">
        <v>3334</v>
      </c>
      <c r="D837" s="6" t="s">
        <v>255</v>
      </c>
      <c r="E837" s="6" t="s">
        <v>3335</v>
      </c>
      <c r="F837" s="6" t="s">
        <v>3332</v>
      </c>
      <c r="G837" s="3" t="s">
        <v>11450</v>
      </c>
      <c r="H837" s="54">
        <v>0</v>
      </c>
      <c r="I837" s="16">
        <v>470000000</v>
      </c>
      <c r="J837" s="157" t="s">
        <v>229</v>
      </c>
      <c r="K837" s="5" t="s">
        <v>210</v>
      </c>
      <c r="L837" s="6" t="s">
        <v>231</v>
      </c>
      <c r="M837" s="3" t="s">
        <v>230</v>
      </c>
      <c r="N837" s="6" t="s">
        <v>524</v>
      </c>
      <c r="O837" s="6" t="s">
        <v>233</v>
      </c>
      <c r="P837" s="58" t="s">
        <v>237</v>
      </c>
      <c r="Q837" s="6" t="s">
        <v>238</v>
      </c>
      <c r="R837" s="222">
        <v>1000</v>
      </c>
      <c r="S837" s="2">
        <v>236</v>
      </c>
      <c r="T837" s="4">
        <v>0</v>
      </c>
      <c r="U837" s="4">
        <f t="shared" si="34"/>
        <v>0</v>
      </c>
      <c r="V837" s="3"/>
      <c r="W837" s="3">
        <v>2014</v>
      </c>
      <c r="X837" s="3">
        <v>11.12</v>
      </c>
    </row>
    <row r="838" spans="1:24" ht="89.25">
      <c r="A838" s="3" t="s">
        <v>12160</v>
      </c>
      <c r="B838" s="6" t="s">
        <v>361</v>
      </c>
      <c r="C838" s="6" t="s">
        <v>3334</v>
      </c>
      <c r="D838" s="6" t="s">
        <v>255</v>
      </c>
      <c r="E838" s="6" t="s">
        <v>3335</v>
      </c>
      <c r="F838" s="6" t="s">
        <v>3332</v>
      </c>
      <c r="G838" s="3" t="s">
        <v>11450</v>
      </c>
      <c r="H838" s="54">
        <v>0</v>
      </c>
      <c r="I838" s="16">
        <v>470000000</v>
      </c>
      <c r="J838" s="157" t="s">
        <v>229</v>
      </c>
      <c r="K838" s="5" t="s">
        <v>217</v>
      </c>
      <c r="L838" s="17" t="s">
        <v>11411</v>
      </c>
      <c r="M838" s="3" t="s">
        <v>230</v>
      </c>
      <c r="N838" s="6" t="s">
        <v>524</v>
      </c>
      <c r="O838" s="6" t="s">
        <v>233</v>
      </c>
      <c r="P838" s="58" t="s">
        <v>237</v>
      </c>
      <c r="Q838" s="6" t="s">
        <v>238</v>
      </c>
      <c r="R838" s="222">
        <v>1000</v>
      </c>
      <c r="S838" s="2">
        <v>283</v>
      </c>
      <c r="T838" s="4">
        <v>0</v>
      </c>
      <c r="U838" s="4">
        <f t="shared" si="34"/>
        <v>0</v>
      </c>
      <c r="V838" s="3" t="s">
        <v>362</v>
      </c>
      <c r="W838" s="3">
        <v>2014</v>
      </c>
      <c r="X838" s="3" t="s">
        <v>12076</v>
      </c>
    </row>
    <row r="839" spans="1:24" ht="102">
      <c r="A839" s="3" t="s">
        <v>931</v>
      </c>
      <c r="B839" s="6" t="s">
        <v>361</v>
      </c>
      <c r="C839" s="6" t="s">
        <v>3334</v>
      </c>
      <c r="D839" s="6" t="s">
        <v>255</v>
      </c>
      <c r="E839" s="6" t="s">
        <v>3335</v>
      </c>
      <c r="F839" s="6" t="s">
        <v>3333</v>
      </c>
      <c r="G839" s="3" t="s">
        <v>11450</v>
      </c>
      <c r="H839" s="54">
        <v>0</v>
      </c>
      <c r="I839" s="16">
        <v>470000000</v>
      </c>
      <c r="J839" s="157" t="s">
        <v>229</v>
      </c>
      <c r="K839" s="5" t="s">
        <v>210</v>
      </c>
      <c r="L839" s="6" t="s">
        <v>231</v>
      </c>
      <c r="M839" s="3" t="s">
        <v>230</v>
      </c>
      <c r="N839" s="6" t="s">
        <v>524</v>
      </c>
      <c r="O839" s="6" t="s">
        <v>233</v>
      </c>
      <c r="P839" s="58" t="s">
        <v>237</v>
      </c>
      <c r="Q839" s="6" t="s">
        <v>238</v>
      </c>
      <c r="R839" s="222">
        <v>585</v>
      </c>
      <c r="S839" s="2">
        <v>728</v>
      </c>
      <c r="T839" s="4">
        <v>0</v>
      </c>
      <c r="U839" s="4">
        <f>T839*1.12</f>
        <v>0</v>
      </c>
      <c r="V839" s="3" t="s">
        <v>362</v>
      </c>
      <c r="W839" s="3">
        <v>2014</v>
      </c>
      <c r="X839" s="3">
        <v>11.12</v>
      </c>
    </row>
    <row r="840" spans="1:24" ht="89.25">
      <c r="A840" s="3" t="s">
        <v>12161</v>
      </c>
      <c r="B840" s="6" t="s">
        <v>361</v>
      </c>
      <c r="C840" s="6" t="s">
        <v>3334</v>
      </c>
      <c r="D840" s="6" t="s">
        <v>255</v>
      </c>
      <c r="E840" s="6" t="s">
        <v>3335</v>
      </c>
      <c r="F840" s="6" t="s">
        <v>3333</v>
      </c>
      <c r="G840" s="3" t="s">
        <v>11450</v>
      </c>
      <c r="H840" s="54">
        <v>0</v>
      </c>
      <c r="I840" s="16">
        <v>470000000</v>
      </c>
      <c r="J840" s="157" t="s">
        <v>229</v>
      </c>
      <c r="K840" s="5" t="s">
        <v>217</v>
      </c>
      <c r="L840" s="17" t="s">
        <v>11411</v>
      </c>
      <c r="M840" s="3" t="s">
        <v>230</v>
      </c>
      <c r="N840" s="6" t="s">
        <v>524</v>
      </c>
      <c r="O840" s="6" t="s">
        <v>233</v>
      </c>
      <c r="P840" s="58" t="s">
        <v>237</v>
      </c>
      <c r="Q840" s="6" t="s">
        <v>238</v>
      </c>
      <c r="R840" s="222">
        <v>0</v>
      </c>
      <c r="S840" s="2">
        <v>728</v>
      </c>
      <c r="T840" s="4">
        <f>R840*S840</f>
        <v>0</v>
      </c>
      <c r="U840" s="4">
        <f>T840*1.12</f>
        <v>0</v>
      </c>
      <c r="V840" s="3" t="s">
        <v>362</v>
      </c>
      <c r="W840" s="3">
        <v>2014</v>
      </c>
      <c r="X840" s="3" t="s">
        <v>12076</v>
      </c>
    </row>
    <row r="841" spans="1:24" ht="102">
      <c r="A841" s="3" t="s">
        <v>932</v>
      </c>
      <c r="B841" s="6" t="s">
        <v>361</v>
      </c>
      <c r="C841" s="6" t="s">
        <v>3334</v>
      </c>
      <c r="D841" s="6" t="s">
        <v>255</v>
      </c>
      <c r="E841" s="6" t="s">
        <v>3335</v>
      </c>
      <c r="F841" s="6" t="s">
        <v>120</v>
      </c>
      <c r="G841" s="3" t="s">
        <v>11450</v>
      </c>
      <c r="H841" s="54">
        <v>0</v>
      </c>
      <c r="I841" s="16">
        <v>470000000</v>
      </c>
      <c r="J841" s="157" t="s">
        <v>229</v>
      </c>
      <c r="K841" s="5" t="s">
        <v>210</v>
      </c>
      <c r="L841" s="6" t="s">
        <v>231</v>
      </c>
      <c r="M841" s="3" t="s">
        <v>230</v>
      </c>
      <c r="N841" s="6" t="s">
        <v>524</v>
      </c>
      <c r="O841" s="6" t="s">
        <v>233</v>
      </c>
      <c r="P841" s="58" t="s">
        <v>237</v>
      </c>
      <c r="Q841" s="6" t="s">
        <v>238</v>
      </c>
      <c r="R841" s="222">
        <v>50</v>
      </c>
      <c r="S841" s="2">
        <v>920</v>
      </c>
      <c r="T841" s="4">
        <v>0</v>
      </c>
      <c r="U841" s="4">
        <f>T841*1.12</f>
        <v>0</v>
      </c>
      <c r="V841" s="3" t="s">
        <v>362</v>
      </c>
      <c r="W841" s="3">
        <v>2014</v>
      </c>
      <c r="X841" s="3">
        <v>11.12</v>
      </c>
    </row>
    <row r="842" spans="1:24" ht="89.25">
      <c r="A842" s="3" t="s">
        <v>12162</v>
      </c>
      <c r="B842" s="6" t="s">
        <v>361</v>
      </c>
      <c r="C842" s="6" t="s">
        <v>3334</v>
      </c>
      <c r="D842" s="6" t="s">
        <v>255</v>
      </c>
      <c r="E842" s="6" t="s">
        <v>3335</v>
      </c>
      <c r="F842" s="6" t="s">
        <v>120</v>
      </c>
      <c r="G842" s="3" t="s">
        <v>11450</v>
      </c>
      <c r="H842" s="54">
        <v>0</v>
      </c>
      <c r="I842" s="16">
        <v>470000000</v>
      </c>
      <c r="J842" s="157" t="s">
        <v>229</v>
      </c>
      <c r="K842" s="5" t="s">
        <v>217</v>
      </c>
      <c r="L842" s="17" t="s">
        <v>11411</v>
      </c>
      <c r="M842" s="3" t="s">
        <v>230</v>
      </c>
      <c r="N842" s="6" t="s">
        <v>524</v>
      </c>
      <c r="O842" s="6" t="s">
        <v>233</v>
      </c>
      <c r="P842" s="58" t="s">
        <v>237</v>
      </c>
      <c r="Q842" s="6" t="s">
        <v>238</v>
      </c>
      <c r="R842" s="222">
        <v>50</v>
      </c>
      <c r="S842" s="2">
        <v>920</v>
      </c>
      <c r="T842" s="4">
        <v>0</v>
      </c>
      <c r="U842" s="4">
        <f t="shared" ref="U842:U915" si="35">T842*1.12</f>
        <v>0</v>
      </c>
      <c r="V842" s="3" t="s">
        <v>362</v>
      </c>
      <c r="W842" s="3">
        <v>2014</v>
      </c>
      <c r="X842" s="3" t="s">
        <v>12076</v>
      </c>
    </row>
    <row r="843" spans="1:24" ht="102">
      <c r="A843" s="3" t="s">
        <v>933</v>
      </c>
      <c r="B843" s="6" t="s">
        <v>361</v>
      </c>
      <c r="C843" s="6" t="s">
        <v>3336</v>
      </c>
      <c r="D843" s="6" t="s">
        <v>3014</v>
      </c>
      <c r="E843" s="6" t="s">
        <v>3337</v>
      </c>
      <c r="F843" s="6" t="s">
        <v>121</v>
      </c>
      <c r="G843" s="3" t="s">
        <v>11450</v>
      </c>
      <c r="H843" s="54">
        <v>0</v>
      </c>
      <c r="I843" s="16">
        <v>470000000</v>
      </c>
      <c r="J843" s="157" t="s">
        <v>229</v>
      </c>
      <c r="K843" s="5" t="s">
        <v>210</v>
      </c>
      <c r="L843" s="6" t="s">
        <v>231</v>
      </c>
      <c r="M843" s="3" t="s">
        <v>230</v>
      </c>
      <c r="N843" s="6" t="s">
        <v>524</v>
      </c>
      <c r="O843" s="6" t="s">
        <v>233</v>
      </c>
      <c r="P843" s="58" t="s">
        <v>241</v>
      </c>
      <c r="Q843" s="6" t="s">
        <v>234</v>
      </c>
      <c r="R843" s="222">
        <v>181</v>
      </c>
      <c r="S843" s="2">
        <v>331</v>
      </c>
      <c r="T843" s="4">
        <v>0</v>
      </c>
      <c r="U843" s="4">
        <f t="shared" si="35"/>
        <v>0</v>
      </c>
      <c r="V843" s="3" t="s">
        <v>362</v>
      </c>
      <c r="W843" s="3">
        <v>2014</v>
      </c>
      <c r="X843" s="3">
        <v>11.12</v>
      </c>
    </row>
    <row r="844" spans="1:24" ht="89.25">
      <c r="A844" s="3" t="s">
        <v>12163</v>
      </c>
      <c r="B844" s="6" t="s">
        <v>361</v>
      </c>
      <c r="C844" s="6" t="s">
        <v>3336</v>
      </c>
      <c r="D844" s="6" t="s">
        <v>3014</v>
      </c>
      <c r="E844" s="6" t="s">
        <v>3337</v>
      </c>
      <c r="F844" s="6" t="s">
        <v>121</v>
      </c>
      <c r="G844" s="3" t="s">
        <v>11450</v>
      </c>
      <c r="H844" s="54">
        <v>0</v>
      </c>
      <c r="I844" s="16">
        <v>470000000</v>
      </c>
      <c r="J844" s="157" t="s">
        <v>229</v>
      </c>
      <c r="K844" s="5" t="s">
        <v>217</v>
      </c>
      <c r="L844" s="17" t="s">
        <v>11411</v>
      </c>
      <c r="M844" s="3" t="s">
        <v>230</v>
      </c>
      <c r="N844" s="6" t="s">
        <v>524</v>
      </c>
      <c r="O844" s="6" t="s">
        <v>233</v>
      </c>
      <c r="P844" s="58" t="s">
        <v>241</v>
      </c>
      <c r="Q844" s="6" t="s">
        <v>234</v>
      </c>
      <c r="R844" s="222">
        <v>181</v>
      </c>
      <c r="S844" s="2">
        <v>331</v>
      </c>
      <c r="T844" s="4">
        <v>0</v>
      </c>
      <c r="U844" s="4">
        <f t="shared" si="35"/>
        <v>0</v>
      </c>
      <c r="V844" s="3" t="s">
        <v>362</v>
      </c>
      <c r="W844" s="3">
        <v>2014</v>
      </c>
      <c r="X844" s="3" t="s">
        <v>12076</v>
      </c>
    </row>
    <row r="845" spans="1:24" ht="102">
      <c r="A845" s="3" t="s">
        <v>934</v>
      </c>
      <c r="B845" s="6" t="s">
        <v>361</v>
      </c>
      <c r="C845" s="6" t="s">
        <v>3338</v>
      </c>
      <c r="D845" s="6" t="s">
        <v>3014</v>
      </c>
      <c r="E845" s="6" t="s">
        <v>3339</v>
      </c>
      <c r="F845" s="6" t="s">
        <v>122</v>
      </c>
      <c r="G845" s="3" t="s">
        <v>11450</v>
      </c>
      <c r="H845" s="54">
        <v>0</v>
      </c>
      <c r="I845" s="16">
        <v>470000000</v>
      </c>
      <c r="J845" s="157" t="s">
        <v>229</v>
      </c>
      <c r="K845" s="5" t="s">
        <v>210</v>
      </c>
      <c r="L845" s="6" t="s">
        <v>231</v>
      </c>
      <c r="M845" s="3" t="s">
        <v>230</v>
      </c>
      <c r="N845" s="6" t="s">
        <v>524</v>
      </c>
      <c r="O845" s="6" t="s">
        <v>233</v>
      </c>
      <c r="P845" s="58" t="s">
        <v>241</v>
      </c>
      <c r="Q845" s="6" t="s">
        <v>234</v>
      </c>
      <c r="R845" s="222">
        <v>66</v>
      </c>
      <c r="S845" s="2">
        <v>92</v>
      </c>
      <c r="T845" s="4">
        <v>0</v>
      </c>
      <c r="U845" s="4">
        <f t="shared" si="35"/>
        <v>0</v>
      </c>
      <c r="V845" s="3" t="s">
        <v>362</v>
      </c>
      <c r="W845" s="3">
        <v>2014</v>
      </c>
      <c r="X845" s="3">
        <v>11.12</v>
      </c>
    </row>
    <row r="846" spans="1:24" ht="89.25">
      <c r="A846" s="3" t="s">
        <v>12164</v>
      </c>
      <c r="B846" s="6" t="s">
        <v>361</v>
      </c>
      <c r="C846" s="6" t="s">
        <v>3338</v>
      </c>
      <c r="D846" s="6" t="s">
        <v>3014</v>
      </c>
      <c r="E846" s="6" t="s">
        <v>3339</v>
      </c>
      <c r="F846" s="6" t="s">
        <v>122</v>
      </c>
      <c r="G846" s="3" t="s">
        <v>11450</v>
      </c>
      <c r="H846" s="54">
        <v>0</v>
      </c>
      <c r="I846" s="16">
        <v>470000000</v>
      </c>
      <c r="J846" s="157" t="s">
        <v>229</v>
      </c>
      <c r="K846" s="5" t="s">
        <v>217</v>
      </c>
      <c r="L846" s="17" t="s">
        <v>11411</v>
      </c>
      <c r="M846" s="3" t="s">
        <v>230</v>
      </c>
      <c r="N846" s="6" t="s">
        <v>524</v>
      </c>
      <c r="O846" s="6" t="s">
        <v>233</v>
      </c>
      <c r="P846" s="58" t="s">
        <v>241</v>
      </c>
      <c r="Q846" s="6" t="s">
        <v>234</v>
      </c>
      <c r="R846" s="222">
        <v>66</v>
      </c>
      <c r="S846" s="2">
        <v>92</v>
      </c>
      <c r="T846" s="4">
        <v>0</v>
      </c>
      <c r="U846" s="4">
        <f t="shared" si="35"/>
        <v>0</v>
      </c>
      <c r="V846" s="3"/>
      <c r="W846" s="3">
        <v>2014</v>
      </c>
      <c r="X846" s="3" t="s">
        <v>12076</v>
      </c>
    </row>
    <row r="847" spans="1:24" ht="102">
      <c r="A847" s="3" t="s">
        <v>935</v>
      </c>
      <c r="B847" s="6" t="s">
        <v>361</v>
      </c>
      <c r="C847" s="6" t="s">
        <v>3340</v>
      </c>
      <c r="D847" s="6" t="s">
        <v>3341</v>
      </c>
      <c r="E847" s="6" t="s">
        <v>3342</v>
      </c>
      <c r="F847" s="6" t="s">
        <v>123</v>
      </c>
      <c r="G847" s="3" t="s">
        <v>11450</v>
      </c>
      <c r="H847" s="54">
        <v>0</v>
      </c>
      <c r="I847" s="16">
        <v>470000000</v>
      </c>
      <c r="J847" s="157" t="s">
        <v>229</v>
      </c>
      <c r="K847" s="5" t="s">
        <v>210</v>
      </c>
      <c r="L847" s="6" t="s">
        <v>231</v>
      </c>
      <c r="M847" s="3" t="s">
        <v>230</v>
      </c>
      <c r="N847" s="6" t="s">
        <v>524</v>
      </c>
      <c r="O847" s="6" t="s">
        <v>233</v>
      </c>
      <c r="P847" s="58" t="s">
        <v>241</v>
      </c>
      <c r="Q847" s="6" t="s">
        <v>234</v>
      </c>
      <c r="R847" s="222">
        <v>123</v>
      </c>
      <c r="S847" s="2">
        <v>267</v>
      </c>
      <c r="T847" s="4">
        <v>0</v>
      </c>
      <c r="U847" s="4">
        <f t="shared" si="35"/>
        <v>0</v>
      </c>
      <c r="V847" s="3"/>
      <c r="W847" s="3">
        <v>2014</v>
      </c>
      <c r="X847" s="3">
        <v>11.12</v>
      </c>
    </row>
    <row r="848" spans="1:24" ht="89.25">
      <c r="A848" s="3" t="s">
        <v>12165</v>
      </c>
      <c r="B848" s="6" t="s">
        <v>361</v>
      </c>
      <c r="C848" s="6" t="s">
        <v>3340</v>
      </c>
      <c r="D848" s="6" t="s">
        <v>3341</v>
      </c>
      <c r="E848" s="6" t="s">
        <v>3342</v>
      </c>
      <c r="F848" s="6" t="s">
        <v>123</v>
      </c>
      <c r="G848" s="3" t="s">
        <v>11450</v>
      </c>
      <c r="H848" s="54">
        <v>0</v>
      </c>
      <c r="I848" s="16">
        <v>470000000</v>
      </c>
      <c r="J848" s="157" t="s">
        <v>229</v>
      </c>
      <c r="K848" s="5" t="s">
        <v>217</v>
      </c>
      <c r="L848" s="17" t="s">
        <v>11411</v>
      </c>
      <c r="M848" s="3" t="s">
        <v>230</v>
      </c>
      <c r="N848" s="6" t="s">
        <v>524</v>
      </c>
      <c r="O848" s="6" t="s">
        <v>233</v>
      </c>
      <c r="P848" s="58" t="s">
        <v>241</v>
      </c>
      <c r="Q848" s="6" t="s">
        <v>234</v>
      </c>
      <c r="R848" s="222">
        <v>123</v>
      </c>
      <c r="S848" s="2">
        <v>267</v>
      </c>
      <c r="T848" s="4">
        <v>0</v>
      </c>
      <c r="U848" s="4">
        <f t="shared" si="35"/>
        <v>0</v>
      </c>
      <c r="V848" s="3"/>
      <c r="W848" s="3">
        <v>2014</v>
      </c>
      <c r="X848" s="3" t="s">
        <v>12051</v>
      </c>
    </row>
    <row r="849" spans="1:24" ht="89.25">
      <c r="A849" s="3" t="s">
        <v>14666</v>
      </c>
      <c r="B849" s="6" t="s">
        <v>361</v>
      </c>
      <c r="C849" s="6" t="s">
        <v>3340</v>
      </c>
      <c r="D849" s="6" t="s">
        <v>3341</v>
      </c>
      <c r="E849" s="6" t="s">
        <v>3342</v>
      </c>
      <c r="F849" s="6" t="s">
        <v>123</v>
      </c>
      <c r="G849" s="3" t="s">
        <v>11450</v>
      </c>
      <c r="H849" s="54">
        <v>0</v>
      </c>
      <c r="I849" s="16">
        <v>470000000</v>
      </c>
      <c r="J849" s="157" t="s">
        <v>229</v>
      </c>
      <c r="K849" s="5" t="s">
        <v>14667</v>
      </c>
      <c r="L849" s="17" t="s">
        <v>11411</v>
      </c>
      <c r="M849" s="3" t="s">
        <v>230</v>
      </c>
      <c r="N849" s="6" t="s">
        <v>524</v>
      </c>
      <c r="O849" s="6" t="s">
        <v>233</v>
      </c>
      <c r="P849" s="58" t="s">
        <v>241</v>
      </c>
      <c r="Q849" s="6" t="s">
        <v>234</v>
      </c>
      <c r="R849" s="222">
        <v>36</v>
      </c>
      <c r="S849" s="2">
        <v>320</v>
      </c>
      <c r="T849" s="4">
        <v>0</v>
      </c>
      <c r="U849" s="4">
        <f t="shared" si="35"/>
        <v>0</v>
      </c>
      <c r="V849" s="3"/>
      <c r="W849" s="3">
        <v>2014</v>
      </c>
      <c r="X849" s="3">
        <v>11.14</v>
      </c>
    </row>
    <row r="850" spans="1:24" ht="89.25">
      <c r="A850" s="3" t="s">
        <v>18188</v>
      </c>
      <c r="B850" s="6" t="s">
        <v>361</v>
      </c>
      <c r="C850" s="6" t="s">
        <v>3340</v>
      </c>
      <c r="D850" s="6" t="s">
        <v>3341</v>
      </c>
      <c r="E850" s="6" t="s">
        <v>3342</v>
      </c>
      <c r="F850" s="6" t="s">
        <v>123</v>
      </c>
      <c r="G850" s="3" t="s">
        <v>11450</v>
      </c>
      <c r="H850" s="54">
        <v>0</v>
      </c>
      <c r="I850" s="16">
        <v>470000000</v>
      </c>
      <c r="J850" s="157" t="s">
        <v>229</v>
      </c>
      <c r="K850" s="5" t="s">
        <v>8950</v>
      </c>
      <c r="L850" s="17" t="s">
        <v>11411</v>
      </c>
      <c r="M850" s="3" t="s">
        <v>230</v>
      </c>
      <c r="N850" s="6" t="s">
        <v>528</v>
      </c>
      <c r="O850" s="6" t="s">
        <v>233</v>
      </c>
      <c r="P850" s="58" t="s">
        <v>241</v>
      </c>
      <c r="Q850" s="6" t="s">
        <v>234</v>
      </c>
      <c r="R850" s="222">
        <v>36</v>
      </c>
      <c r="S850" s="2">
        <v>320</v>
      </c>
      <c r="T850" s="4">
        <f>R850*S850</f>
        <v>11520</v>
      </c>
      <c r="U850" s="4">
        <f t="shared" si="35"/>
        <v>12902.400000000001</v>
      </c>
      <c r="V850" s="3"/>
      <c r="W850" s="3">
        <v>2014</v>
      </c>
      <c r="X850" s="3"/>
    </row>
    <row r="851" spans="1:24" ht="102">
      <c r="A851" s="3" t="s">
        <v>936</v>
      </c>
      <c r="B851" s="6" t="s">
        <v>361</v>
      </c>
      <c r="C851" s="6" t="s">
        <v>3343</v>
      </c>
      <c r="D851" s="6" t="s">
        <v>3344</v>
      </c>
      <c r="E851" s="6" t="s">
        <v>3345</v>
      </c>
      <c r="F851" s="6" t="s">
        <v>124</v>
      </c>
      <c r="G851" s="3" t="s">
        <v>11450</v>
      </c>
      <c r="H851" s="54">
        <v>0</v>
      </c>
      <c r="I851" s="16">
        <v>470000000</v>
      </c>
      <c r="J851" s="157" t="s">
        <v>229</v>
      </c>
      <c r="K851" s="5" t="s">
        <v>210</v>
      </c>
      <c r="L851" s="6" t="s">
        <v>231</v>
      </c>
      <c r="M851" s="3" t="s">
        <v>230</v>
      </c>
      <c r="N851" s="6" t="s">
        <v>524</v>
      </c>
      <c r="O851" s="6" t="s">
        <v>233</v>
      </c>
      <c r="P851" s="58" t="s">
        <v>241</v>
      </c>
      <c r="Q851" s="6" t="s">
        <v>234</v>
      </c>
      <c r="R851" s="222">
        <v>9</v>
      </c>
      <c r="S851" s="2">
        <v>195</v>
      </c>
      <c r="T851" s="4">
        <v>0</v>
      </c>
      <c r="U851" s="4">
        <f t="shared" si="35"/>
        <v>0</v>
      </c>
      <c r="V851" s="3"/>
      <c r="W851" s="3">
        <v>2014</v>
      </c>
      <c r="X851" s="3">
        <v>11.12</v>
      </c>
    </row>
    <row r="852" spans="1:24" ht="89.25">
      <c r="A852" s="3" t="s">
        <v>12166</v>
      </c>
      <c r="B852" s="6" t="s">
        <v>361</v>
      </c>
      <c r="C852" s="6" t="s">
        <v>3343</v>
      </c>
      <c r="D852" s="6" t="s">
        <v>3344</v>
      </c>
      <c r="E852" s="6" t="s">
        <v>3345</v>
      </c>
      <c r="F852" s="6" t="s">
        <v>124</v>
      </c>
      <c r="G852" s="3" t="s">
        <v>11450</v>
      </c>
      <c r="H852" s="54">
        <v>0</v>
      </c>
      <c r="I852" s="16">
        <v>470000000</v>
      </c>
      <c r="J852" s="157" t="s">
        <v>229</v>
      </c>
      <c r="K852" s="5" t="s">
        <v>217</v>
      </c>
      <c r="L852" s="17" t="s">
        <v>11411</v>
      </c>
      <c r="M852" s="3" t="s">
        <v>230</v>
      </c>
      <c r="N852" s="6" t="s">
        <v>524</v>
      </c>
      <c r="O852" s="6" t="s">
        <v>233</v>
      </c>
      <c r="P852" s="58" t="s">
        <v>241</v>
      </c>
      <c r="Q852" s="6" t="s">
        <v>234</v>
      </c>
      <c r="R852" s="222">
        <v>9</v>
      </c>
      <c r="S852" s="2">
        <v>195</v>
      </c>
      <c r="T852" s="4">
        <v>0</v>
      </c>
      <c r="U852" s="4">
        <f t="shared" si="35"/>
        <v>0</v>
      </c>
      <c r="V852" s="3"/>
      <c r="W852" s="3">
        <v>2014</v>
      </c>
      <c r="X852" s="3" t="s">
        <v>12076</v>
      </c>
    </row>
    <row r="853" spans="1:24" ht="102">
      <c r="A853" s="3" t="s">
        <v>937</v>
      </c>
      <c r="B853" s="6" t="s">
        <v>361</v>
      </c>
      <c r="C853" s="6" t="s">
        <v>3346</v>
      </c>
      <c r="D853" s="6" t="s">
        <v>418</v>
      </c>
      <c r="E853" s="6" t="s">
        <v>3347</v>
      </c>
      <c r="F853" s="6" t="s">
        <v>125</v>
      </c>
      <c r="G853" s="3" t="s">
        <v>11450</v>
      </c>
      <c r="H853" s="54">
        <v>0</v>
      </c>
      <c r="I853" s="16">
        <v>470000000</v>
      </c>
      <c r="J853" s="157" t="s">
        <v>229</v>
      </c>
      <c r="K853" s="5" t="s">
        <v>210</v>
      </c>
      <c r="L853" s="6" t="s">
        <v>231</v>
      </c>
      <c r="M853" s="3" t="s">
        <v>230</v>
      </c>
      <c r="N853" s="6" t="s">
        <v>524</v>
      </c>
      <c r="O853" s="6" t="s">
        <v>233</v>
      </c>
      <c r="P853" s="58" t="s">
        <v>241</v>
      </c>
      <c r="Q853" s="6" t="s">
        <v>234</v>
      </c>
      <c r="R853" s="222">
        <v>174</v>
      </c>
      <c r="S853" s="2">
        <v>163</v>
      </c>
      <c r="T853" s="4">
        <v>0</v>
      </c>
      <c r="U853" s="4">
        <f t="shared" si="35"/>
        <v>0</v>
      </c>
      <c r="V853" s="3" t="s">
        <v>362</v>
      </c>
      <c r="W853" s="3">
        <v>2014</v>
      </c>
      <c r="X853" s="3">
        <v>11.12</v>
      </c>
    </row>
    <row r="854" spans="1:24" ht="89.25">
      <c r="A854" s="3" t="s">
        <v>12167</v>
      </c>
      <c r="B854" s="6" t="s">
        <v>361</v>
      </c>
      <c r="C854" s="6" t="s">
        <v>3346</v>
      </c>
      <c r="D854" s="6" t="s">
        <v>418</v>
      </c>
      <c r="E854" s="6" t="s">
        <v>3347</v>
      </c>
      <c r="F854" s="6" t="s">
        <v>125</v>
      </c>
      <c r="G854" s="3" t="s">
        <v>11450</v>
      </c>
      <c r="H854" s="54">
        <v>0</v>
      </c>
      <c r="I854" s="16">
        <v>470000000</v>
      </c>
      <c r="J854" s="157" t="s">
        <v>229</v>
      </c>
      <c r="K854" s="5" t="s">
        <v>217</v>
      </c>
      <c r="L854" s="17" t="s">
        <v>11411</v>
      </c>
      <c r="M854" s="3" t="s">
        <v>230</v>
      </c>
      <c r="N854" s="6" t="s">
        <v>524</v>
      </c>
      <c r="O854" s="6" t="s">
        <v>233</v>
      </c>
      <c r="P854" s="58" t="s">
        <v>241</v>
      </c>
      <c r="Q854" s="6" t="s">
        <v>234</v>
      </c>
      <c r="R854" s="222">
        <v>174</v>
      </c>
      <c r="S854" s="2">
        <v>163</v>
      </c>
      <c r="T854" s="4">
        <v>0</v>
      </c>
      <c r="U854" s="4">
        <f t="shared" si="35"/>
        <v>0</v>
      </c>
      <c r="V854" s="3" t="s">
        <v>362</v>
      </c>
      <c r="W854" s="3">
        <v>2014</v>
      </c>
      <c r="X854" s="3" t="s">
        <v>12076</v>
      </c>
    </row>
    <row r="855" spans="1:24" ht="102">
      <c r="A855" s="3" t="s">
        <v>938</v>
      </c>
      <c r="B855" s="6" t="s">
        <v>361</v>
      </c>
      <c r="C855" s="6" t="s">
        <v>3348</v>
      </c>
      <c r="D855" s="6" t="s">
        <v>418</v>
      </c>
      <c r="E855" s="6" t="s">
        <v>3349</v>
      </c>
      <c r="F855" s="6" t="s">
        <v>126</v>
      </c>
      <c r="G855" s="3" t="s">
        <v>11450</v>
      </c>
      <c r="H855" s="54">
        <v>0</v>
      </c>
      <c r="I855" s="16">
        <v>470000000</v>
      </c>
      <c r="J855" s="157" t="s">
        <v>229</v>
      </c>
      <c r="K855" s="5" t="s">
        <v>210</v>
      </c>
      <c r="L855" s="6" t="s">
        <v>231</v>
      </c>
      <c r="M855" s="3" t="s">
        <v>230</v>
      </c>
      <c r="N855" s="6" t="s">
        <v>524</v>
      </c>
      <c r="O855" s="6" t="s">
        <v>233</v>
      </c>
      <c r="P855" s="58" t="s">
        <v>241</v>
      </c>
      <c r="Q855" s="6" t="s">
        <v>234</v>
      </c>
      <c r="R855" s="222">
        <v>4</v>
      </c>
      <c r="S855" s="2">
        <v>685</v>
      </c>
      <c r="T855" s="4">
        <v>0</v>
      </c>
      <c r="U855" s="4">
        <f t="shared" si="35"/>
        <v>0</v>
      </c>
      <c r="V855" s="3" t="s">
        <v>362</v>
      </c>
      <c r="W855" s="3">
        <v>2014</v>
      </c>
      <c r="X855" s="3">
        <v>11.12</v>
      </c>
    </row>
    <row r="856" spans="1:24" ht="89.25">
      <c r="A856" s="3" t="s">
        <v>12168</v>
      </c>
      <c r="B856" s="6" t="s">
        <v>361</v>
      </c>
      <c r="C856" s="6" t="s">
        <v>3348</v>
      </c>
      <c r="D856" s="6" t="s">
        <v>418</v>
      </c>
      <c r="E856" s="6" t="s">
        <v>3349</v>
      </c>
      <c r="F856" s="6" t="s">
        <v>126</v>
      </c>
      <c r="G856" s="3" t="s">
        <v>11450</v>
      </c>
      <c r="H856" s="54">
        <v>0</v>
      </c>
      <c r="I856" s="16">
        <v>470000000</v>
      </c>
      <c r="J856" s="157" t="s">
        <v>229</v>
      </c>
      <c r="K856" s="5" t="s">
        <v>217</v>
      </c>
      <c r="L856" s="17" t="s">
        <v>11411</v>
      </c>
      <c r="M856" s="3" t="s">
        <v>230</v>
      </c>
      <c r="N856" s="6" t="s">
        <v>524</v>
      </c>
      <c r="O856" s="6" t="s">
        <v>233</v>
      </c>
      <c r="P856" s="58" t="s">
        <v>241</v>
      </c>
      <c r="Q856" s="6" t="s">
        <v>234</v>
      </c>
      <c r="R856" s="222">
        <v>4</v>
      </c>
      <c r="S856" s="2">
        <v>685</v>
      </c>
      <c r="T856" s="4">
        <v>0</v>
      </c>
      <c r="U856" s="4">
        <f t="shared" si="35"/>
        <v>0</v>
      </c>
      <c r="V856" s="3" t="s">
        <v>362</v>
      </c>
      <c r="W856" s="3">
        <v>2014</v>
      </c>
      <c r="X856" s="3" t="s">
        <v>12076</v>
      </c>
    </row>
    <row r="857" spans="1:24" ht="102">
      <c r="A857" s="3" t="s">
        <v>939</v>
      </c>
      <c r="B857" s="6" t="s">
        <v>361</v>
      </c>
      <c r="C857" s="6" t="s">
        <v>3348</v>
      </c>
      <c r="D857" s="6" t="s">
        <v>418</v>
      </c>
      <c r="E857" s="6" t="s">
        <v>3349</v>
      </c>
      <c r="F857" s="6" t="s">
        <v>127</v>
      </c>
      <c r="G857" s="3" t="s">
        <v>11450</v>
      </c>
      <c r="H857" s="54">
        <v>0</v>
      </c>
      <c r="I857" s="16">
        <v>470000000</v>
      </c>
      <c r="J857" s="157" t="s">
        <v>229</v>
      </c>
      <c r="K857" s="5" t="s">
        <v>210</v>
      </c>
      <c r="L857" s="6" t="s">
        <v>231</v>
      </c>
      <c r="M857" s="3" t="s">
        <v>230</v>
      </c>
      <c r="N857" s="6" t="s">
        <v>524</v>
      </c>
      <c r="O857" s="6" t="s">
        <v>233</v>
      </c>
      <c r="P857" s="58" t="s">
        <v>241</v>
      </c>
      <c r="Q857" s="6" t="s">
        <v>234</v>
      </c>
      <c r="R857" s="222">
        <v>109</v>
      </c>
      <c r="S857" s="2">
        <v>524</v>
      </c>
      <c r="T857" s="4">
        <v>0</v>
      </c>
      <c r="U857" s="4">
        <f t="shared" si="35"/>
        <v>0</v>
      </c>
      <c r="V857" s="3" t="s">
        <v>362</v>
      </c>
      <c r="W857" s="3">
        <v>2014</v>
      </c>
      <c r="X857" s="3">
        <v>11.12</v>
      </c>
    </row>
    <row r="858" spans="1:24" ht="89.25">
      <c r="A858" s="3" t="s">
        <v>12169</v>
      </c>
      <c r="B858" s="6" t="s">
        <v>361</v>
      </c>
      <c r="C858" s="6" t="s">
        <v>3348</v>
      </c>
      <c r="D858" s="6" t="s">
        <v>418</v>
      </c>
      <c r="E858" s="6" t="s">
        <v>3349</v>
      </c>
      <c r="F858" s="6" t="s">
        <v>127</v>
      </c>
      <c r="G858" s="3" t="s">
        <v>11450</v>
      </c>
      <c r="H858" s="54">
        <v>0</v>
      </c>
      <c r="I858" s="16">
        <v>470000000</v>
      </c>
      <c r="J858" s="157" t="s">
        <v>229</v>
      </c>
      <c r="K858" s="5" t="s">
        <v>217</v>
      </c>
      <c r="L858" s="17" t="s">
        <v>11411</v>
      </c>
      <c r="M858" s="3" t="s">
        <v>230</v>
      </c>
      <c r="N858" s="6" t="s">
        <v>524</v>
      </c>
      <c r="O858" s="6" t="s">
        <v>233</v>
      </c>
      <c r="P858" s="58" t="s">
        <v>241</v>
      </c>
      <c r="Q858" s="6" t="s">
        <v>234</v>
      </c>
      <c r="R858" s="222">
        <v>109</v>
      </c>
      <c r="S858" s="2">
        <v>524</v>
      </c>
      <c r="T858" s="4">
        <v>0</v>
      </c>
      <c r="U858" s="4">
        <f t="shared" si="35"/>
        <v>0</v>
      </c>
      <c r="V858" s="3" t="s">
        <v>362</v>
      </c>
      <c r="W858" s="3">
        <v>2014</v>
      </c>
      <c r="X858" s="3" t="s">
        <v>12076</v>
      </c>
    </row>
    <row r="859" spans="1:24" ht="102">
      <c r="A859" s="3" t="s">
        <v>940</v>
      </c>
      <c r="B859" s="6" t="s">
        <v>361</v>
      </c>
      <c r="C859" s="6" t="s">
        <v>3348</v>
      </c>
      <c r="D859" s="6" t="s">
        <v>418</v>
      </c>
      <c r="E859" s="6" t="s">
        <v>3349</v>
      </c>
      <c r="F859" s="6" t="s">
        <v>128</v>
      </c>
      <c r="G859" s="3" t="s">
        <v>11450</v>
      </c>
      <c r="H859" s="54">
        <v>0</v>
      </c>
      <c r="I859" s="16">
        <v>470000000</v>
      </c>
      <c r="J859" s="157" t="s">
        <v>229</v>
      </c>
      <c r="K859" s="5" t="s">
        <v>210</v>
      </c>
      <c r="L859" s="6" t="s">
        <v>231</v>
      </c>
      <c r="M859" s="3" t="s">
        <v>230</v>
      </c>
      <c r="N859" s="6" t="s">
        <v>524</v>
      </c>
      <c r="O859" s="6" t="s">
        <v>233</v>
      </c>
      <c r="P859" s="58" t="s">
        <v>241</v>
      </c>
      <c r="Q859" s="6" t="s">
        <v>234</v>
      </c>
      <c r="R859" s="222">
        <v>4</v>
      </c>
      <c r="S859" s="2">
        <v>524</v>
      </c>
      <c r="T859" s="4">
        <v>0</v>
      </c>
      <c r="U859" s="4">
        <f t="shared" si="35"/>
        <v>0</v>
      </c>
      <c r="V859" s="3" t="s">
        <v>362</v>
      </c>
      <c r="W859" s="3">
        <v>2014</v>
      </c>
      <c r="X859" s="3">
        <v>11.12</v>
      </c>
    </row>
    <row r="860" spans="1:24" ht="89.25">
      <c r="A860" s="3" t="s">
        <v>12170</v>
      </c>
      <c r="B860" s="6" t="s">
        <v>361</v>
      </c>
      <c r="C860" s="6" t="s">
        <v>3348</v>
      </c>
      <c r="D860" s="6" t="s">
        <v>418</v>
      </c>
      <c r="E860" s="6" t="s">
        <v>3349</v>
      </c>
      <c r="F860" s="6" t="s">
        <v>128</v>
      </c>
      <c r="G860" s="3" t="s">
        <v>11450</v>
      </c>
      <c r="H860" s="54">
        <v>0</v>
      </c>
      <c r="I860" s="16">
        <v>470000000</v>
      </c>
      <c r="J860" s="157" t="s">
        <v>229</v>
      </c>
      <c r="K860" s="5" t="s">
        <v>217</v>
      </c>
      <c r="L860" s="17" t="s">
        <v>11411</v>
      </c>
      <c r="M860" s="3" t="s">
        <v>230</v>
      </c>
      <c r="N860" s="6" t="s">
        <v>524</v>
      </c>
      <c r="O860" s="6" t="s">
        <v>233</v>
      </c>
      <c r="P860" s="58" t="s">
        <v>241</v>
      </c>
      <c r="Q860" s="6" t="s">
        <v>234</v>
      </c>
      <c r="R860" s="222">
        <v>4</v>
      </c>
      <c r="S860" s="2">
        <v>524</v>
      </c>
      <c r="T860" s="4">
        <v>0</v>
      </c>
      <c r="U860" s="4">
        <f t="shared" si="35"/>
        <v>0</v>
      </c>
      <c r="V860" s="3" t="s">
        <v>362</v>
      </c>
      <c r="W860" s="3">
        <v>2014</v>
      </c>
      <c r="X860" s="3" t="s">
        <v>14785</v>
      </c>
    </row>
    <row r="861" spans="1:24" ht="89.25">
      <c r="A861" s="3" t="s">
        <v>14668</v>
      </c>
      <c r="B861" s="6" t="s">
        <v>361</v>
      </c>
      <c r="C861" s="6" t="s">
        <v>3348</v>
      </c>
      <c r="D861" s="6" t="s">
        <v>418</v>
      </c>
      <c r="E861" s="6" t="s">
        <v>3349</v>
      </c>
      <c r="F861" s="6" t="s">
        <v>128</v>
      </c>
      <c r="G861" s="3" t="s">
        <v>11450</v>
      </c>
      <c r="H861" s="54">
        <v>0</v>
      </c>
      <c r="I861" s="16">
        <v>470000000</v>
      </c>
      <c r="J861" s="157" t="s">
        <v>229</v>
      </c>
      <c r="K861" s="5" t="s">
        <v>14590</v>
      </c>
      <c r="L861" s="17" t="s">
        <v>11411</v>
      </c>
      <c r="M861" s="3" t="s">
        <v>230</v>
      </c>
      <c r="N861" s="6" t="s">
        <v>524</v>
      </c>
      <c r="O861" s="6" t="s">
        <v>233</v>
      </c>
      <c r="P861" s="58" t="s">
        <v>241</v>
      </c>
      <c r="Q861" s="6" t="s">
        <v>234</v>
      </c>
      <c r="R861" s="222">
        <v>4</v>
      </c>
      <c r="S861" s="2">
        <v>628.79999999999995</v>
      </c>
      <c r="T861" s="4">
        <f>R861*S861</f>
        <v>2515.1999999999998</v>
      </c>
      <c r="U861" s="4">
        <f t="shared" si="35"/>
        <v>2817.0239999999999</v>
      </c>
      <c r="V861" s="3" t="s">
        <v>362</v>
      </c>
      <c r="W861" s="3">
        <v>2014</v>
      </c>
      <c r="X861" s="3"/>
    </row>
    <row r="862" spans="1:24" ht="102">
      <c r="A862" s="3" t="s">
        <v>941</v>
      </c>
      <c r="B862" s="6" t="s">
        <v>361</v>
      </c>
      <c r="C862" s="6" t="s">
        <v>3350</v>
      </c>
      <c r="D862" s="6" t="s">
        <v>418</v>
      </c>
      <c r="E862" s="6" t="s">
        <v>3351</v>
      </c>
      <c r="F862" s="6" t="s">
        <v>129</v>
      </c>
      <c r="G862" s="3" t="s">
        <v>11450</v>
      </c>
      <c r="H862" s="54">
        <v>0</v>
      </c>
      <c r="I862" s="16">
        <v>470000000</v>
      </c>
      <c r="J862" s="157" t="s">
        <v>229</v>
      </c>
      <c r="K862" s="5" t="s">
        <v>210</v>
      </c>
      <c r="L862" s="6" t="s">
        <v>231</v>
      </c>
      <c r="M862" s="3" t="s">
        <v>230</v>
      </c>
      <c r="N862" s="6" t="s">
        <v>524</v>
      </c>
      <c r="O862" s="6" t="s">
        <v>233</v>
      </c>
      <c r="P862" s="58" t="s">
        <v>241</v>
      </c>
      <c r="Q862" s="6" t="s">
        <v>234</v>
      </c>
      <c r="R862" s="222">
        <v>120</v>
      </c>
      <c r="S862" s="2">
        <v>2546</v>
      </c>
      <c r="T862" s="4">
        <v>0</v>
      </c>
      <c r="U862" s="4">
        <f t="shared" si="35"/>
        <v>0</v>
      </c>
      <c r="V862" s="3" t="s">
        <v>362</v>
      </c>
      <c r="W862" s="3">
        <v>2014</v>
      </c>
      <c r="X862" s="3">
        <v>11.12</v>
      </c>
    </row>
    <row r="863" spans="1:24" ht="89.25">
      <c r="A863" s="3" t="s">
        <v>12171</v>
      </c>
      <c r="B863" s="6" t="s">
        <v>361</v>
      </c>
      <c r="C863" s="6" t="s">
        <v>3350</v>
      </c>
      <c r="D863" s="6" t="s">
        <v>418</v>
      </c>
      <c r="E863" s="6" t="s">
        <v>3351</v>
      </c>
      <c r="F863" s="6" t="s">
        <v>129</v>
      </c>
      <c r="G863" s="3" t="s">
        <v>11450</v>
      </c>
      <c r="H863" s="54">
        <v>0</v>
      </c>
      <c r="I863" s="16">
        <v>470000000</v>
      </c>
      <c r="J863" s="157" t="s">
        <v>229</v>
      </c>
      <c r="K863" s="5" t="s">
        <v>217</v>
      </c>
      <c r="L863" s="17" t="s">
        <v>11411</v>
      </c>
      <c r="M863" s="3" t="s">
        <v>230</v>
      </c>
      <c r="N863" s="6" t="s">
        <v>524</v>
      </c>
      <c r="O863" s="6" t="s">
        <v>233</v>
      </c>
      <c r="P863" s="58" t="s">
        <v>241</v>
      </c>
      <c r="Q863" s="6" t="s">
        <v>234</v>
      </c>
      <c r="R863" s="222">
        <v>120</v>
      </c>
      <c r="S863" s="2">
        <v>2546</v>
      </c>
      <c r="T863" s="4">
        <v>0</v>
      </c>
      <c r="U863" s="4">
        <f t="shared" si="35"/>
        <v>0</v>
      </c>
      <c r="V863" s="3" t="s">
        <v>362</v>
      </c>
      <c r="W863" s="3">
        <v>2014</v>
      </c>
      <c r="X863" s="3" t="s">
        <v>12076</v>
      </c>
    </row>
    <row r="864" spans="1:24" ht="102">
      <c r="A864" s="3" t="s">
        <v>942</v>
      </c>
      <c r="B864" s="6" t="s">
        <v>361</v>
      </c>
      <c r="C864" s="6" t="s">
        <v>3352</v>
      </c>
      <c r="D864" s="6" t="s">
        <v>3037</v>
      </c>
      <c r="E864" s="6" t="s">
        <v>3353</v>
      </c>
      <c r="F864" s="6" t="s">
        <v>130</v>
      </c>
      <c r="G864" s="3" t="s">
        <v>11450</v>
      </c>
      <c r="H864" s="54">
        <v>0</v>
      </c>
      <c r="I864" s="16">
        <v>470000000</v>
      </c>
      <c r="J864" s="157" t="s">
        <v>229</v>
      </c>
      <c r="K864" s="5" t="s">
        <v>210</v>
      </c>
      <c r="L864" s="6" t="s">
        <v>231</v>
      </c>
      <c r="M864" s="3" t="s">
        <v>230</v>
      </c>
      <c r="N864" s="6" t="s">
        <v>524</v>
      </c>
      <c r="O864" s="6" t="s">
        <v>233</v>
      </c>
      <c r="P864" s="58" t="s">
        <v>241</v>
      </c>
      <c r="Q864" s="6" t="s">
        <v>234</v>
      </c>
      <c r="R864" s="222">
        <v>100</v>
      </c>
      <c r="S864" s="2">
        <v>215</v>
      </c>
      <c r="T864" s="4">
        <v>0</v>
      </c>
      <c r="U864" s="4">
        <f t="shared" si="35"/>
        <v>0</v>
      </c>
      <c r="V864" s="3" t="s">
        <v>362</v>
      </c>
      <c r="W864" s="3">
        <v>2014</v>
      </c>
      <c r="X864" s="3">
        <v>11.12</v>
      </c>
    </row>
    <row r="865" spans="1:24" ht="89.25">
      <c r="A865" s="3" t="s">
        <v>12172</v>
      </c>
      <c r="B865" s="6" t="s">
        <v>361</v>
      </c>
      <c r="C865" s="6" t="s">
        <v>3352</v>
      </c>
      <c r="D865" s="6" t="s">
        <v>3037</v>
      </c>
      <c r="E865" s="6" t="s">
        <v>3353</v>
      </c>
      <c r="F865" s="6" t="s">
        <v>130</v>
      </c>
      <c r="G865" s="3" t="s">
        <v>11450</v>
      </c>
      <c r="H865" s="54">
        <v>0</v>
      </c>
      <c r="I865" s="16">
        <v>470000000</v>
      </c>
      <c r="J865" s="157" t="s">
        <v>229</v>
      </c>
      <c r="K865" s="5" t="s">
        <v>217</v>
      </c>
      <c r="L865" s="17" t="s">
        <v>11411</v>
      </c>
      <c r="M865" s="3" t="s">
        <v>230</v>
      </c>
      <c r="N865" s="6" t="s">
        <v>524</v>
      </c>
      <c r="O865" s="6" t="s">
        <v>233</v>
      </c>
      <c r="P865" s="58" t="s">
        <v>241</v>
      </c>
      <c r="Q865" s="6" t="s">
        <v>234</v>
      </c>
      <c r="R865" s="222">
        <v>0</v>
      </c>
      <c r="S865" s="2">
        <v>215</v>
      </c>
      <c r="T865" s="4">
        <f>R865*S865</f>
        <v>0</v>
      </c>
      <c r="U865" s="4">
        <f t="shared" si="35"/>
        <v>0</v>
      </c>
      <c r="V865" s="3" t="s">
        <v>362</v>
      </c>
      <c r="W865" s="3">
        <v>2014</v>
      </c>
      <c r="X865" s="3" t="s">
        <v>12076</v>
      </c>
    </row>
    <row r="866" spans="1:24" ht="102">
      <c r="A866" s="3" t="s">
        <v>943</v>
      </c>
      <c r="B866" s="6" t="s">
        <v>361</v>
      </c>
      <c r="C866" s="6" t="s">
        <v>3352</v>
      </c>
      <c r="D866" s="6" t="s">
        <v>3037</v>
      </c>
      <c r="E866" s="6" t="s">
        <v>3353</v>
      </c>
      <c r="F866" s="6" t="s">
        <v>131</v>
      </c>
      <c r="G866" s="3" t="s">
        <v>11450</v>
      </c>
      <c r="H866" s="54">
        <v>0</v>
      </c>
      <c r="I866" s="16">
        <v>470000000</v>
      </c>
      <c r="J866" s="157" t="s">
        <v>229</v>
      </c>
      <c r="K866" s="5" t="s">
        <v>210</v>
      </c>
      <c r="L866" s="6" t="s">
        <v>231</v>
      </c>
      <c r="M866" s="3" t="s">
        <v>230</v>
      </c>
      <c r="N866" s="6" t="s">
        <v>524</v>
      </c>
      <c r="O866" s="6" t="s">
        <v>233</v>
      </c>
      <c r="P866" s="58" t="s">
        <v>241</v>
      </c>
      <c r="Q866" s="6" t="s">
        <v>234</v>
      </c>
      <c r="R866" s="222">
        <v>125</v>
      </c>
      <c r="S866" s="2">
        <v>256</v>
      </c>
      <c r="T866" s="4">
        <v>0</v>
      </c>
      <c r="U866" s="4">
        <f t="shared" si="35"/>
        <v>0</v>
      </c>
      <c r="V866" s="3" t="s">
        <v>362</v>
      </c>
      <c r="W866" s="3">
        <v>2014</v>
      </c>
      <c r="X866" s="3">
        <v>11.12</v>
      </c>
    </row>
    <row r="867" spans="1:24" ht="89.25">
      <c r="A867" s="3" t="s">
        <v>12173</v>
      </c>
      <c r="B867" s="6" t="s">
        <v>361</v>
      </c>
      <c r="C867" s="6" t="s">
        <v>3352</v>
      </c>
      <c r="D867" s="6" t="s">
        <v>3037</v>
      </c>
      <c r="E867" s="6" t="s">
        <v>3353</v>
      </c>
      <c r="F867" s="6" t="s">
        <v>131</v>
      </c>
      <c r="G867" s="3" t="s">
        <v>11450</v>
      </c>
      <c r="H867" s="54">
        <v>0</v>
      </c>
      <c r="I867" s="16">
        <v>470000000</v>
      </c>
      <c r="J867" s="157" t="s">
        <v>229</v>
      </c>
      <c r="K867" s="5" t="s">
        <v>217</v>
      </c>
      <c r="L867" s="17" t="s">
        <v>11411</v>
      </c>
      <c r="M867" s="3" t="s">
        <v>230</v>
      </c>
      <c r="N867" s="6" t="s">
        <v>524</v>
      </c>
      <c r="O867" s="6" t="s">
        <v>233</v>
      </c>
      <c r="P867" s="58" t="s">
        <v>241</v>
      </c>
      <c r="Q867" s="6" t="s">
        <v>234</v>
      </c>
      <c r="R867" s="222">
        <v>125</v>
      </c>
      <c r="S867" s="2">
        <v>256</v>
      </c>
      <c r="T867" s="4">
        <v>0</v>
      </c>
      <c r="U867" s="4">
        <f t="shared" si="35"/>
        <v>0</v>
      </c>
      <c r="V867" s="3" t="s">
        <v>362</v>
      </c>
      <c r="W867" s="3">
        <v>2014</v>
      </c>
      <c r="X867" s="3" t="s">
        <v>12076</v>
      </c>
    </row>
    <row r="868" spans="1:24" ht="102">
      <c r="A868" s="3" t="s">
        <v>944</v>
      </c>
      <c r="B868" s="6" t="s">
        <v>361</v>
      </c>
      <c r="C868" s="6" t="s">
        <v>3354</v>
      </c>
      <c r="D868" s="6" t="s">
        <v>3355</v>
      </c>
      <c r="E868" s="6" t="s">
        <v>3356</v>
      </c>
      <c r="F868" s="6" t="s">
        <v>132</v>
      </c>
      <c r="G868" s="3" t="s">
        <v>11450</v>
      </c>
      <c r="H868" s="54">
        <v>0</v>
      </c>
      <c r="I868" s="16">
        <v>470000000</v>
      </c>
      <c r="J868" s="157" t="s">
        <v>229</v>
      </c>
      <c r="K868" s="5" t="s">
        <v>210</v>
      </c>
      <c r="L868" s="6" t="s">
        <v>231</v>
      </c>
      <c r="M868" s="3" t="s">
        <v>230</v>
      </c>
      <c r="N868" s="6" t="s">
        <v>524</v>
      </c>
      <c r="O868" s="6" t="s">
        <v>233</v>
      </c>
      <c r="P868" s="58" t="s">
        <v>241</v>
      </c>
      <c r="Q868" s="6" t="s">
        <v>234</v>
      </c>
      <c r="R868" s="222">
        <v>10</v>
      </c>
      <c r="S868" s="2">
        <v>149</v>
      </c>
      <c r="T868" s="4">
        <v>0</v>
      </c>
      <c r="U868" s="4">
        <f t="shared" si="35"/>
        <v>0</v>
      </c>
      <c r="V868" s="3" t="s">
        <v>362</v>
      </c>
      <c r="W868" s="3">
        <v>2014</v>
      </c>
      <c r="X868" s="3">
        <v>11.12</v>
      </c>
    </row>
    <row r="869" spans="1:24" ht="89.25">
      <c r="A869" s="3" t="s">
        <v>12174</v>
      </c>
      <c r="B869" s="6" t="s">
        <v>361</v>
      </c>
      <c r="C869" s="6" t="s">
        <v>3354</v>
      </c>
      <c r="D869" s="6" t="s">
        <v>3355</v>
      </c>
      <c r="E869" s="6" t="s">
        <v>3356</v>
      </c>
      <c r="F869" s="6" t="s">
        <v>132</v>
      </c>
      <c r="G869" s="3" t="s">
        <v>11450</v>
      </c>
      <c r="H869" s="54">
        <v>0</v>
      </c>
      <c r="I869" s="16">
        <v>470000000</v>
      </c>
      <c r="J869" s="157" t="s">
        <v>229</v>
      </c>
      <c r="K869" s="5" t="s">
        <v>217</v>
      </c>
      <c r="L869" s="17" t="s">
        <v>11411</v>
      </c>
      <c r="M869" s="3" t="s">
        <v>230</v>
      </c>
      <c r="N869" s="6" t="s">
        <v>524</v>
      </c>
      <c r="O869" s="6" t="s">
        <v>233</v>
      </c>
      <c r="P869" s="58" t="s">
        <v>241</v>
      </c>
      <c r="Q869" s="6" t="s">
        <v>234</v>
      </c>
      <c r="R869" s="222">
        <v>10</v>
      </c>
      <c r="S869" s="2">
        <v>149</v>
      </c>
      <c r="T869" s="4">
        <v>0</v>
      </c>
      <c r="U869" s="4">
        <f t="shared" si="35"/>
        <v>0</v>
      </c>
      <c r="V869" s="3" t="s">
        <v>362</v>
      </c>
      <c r="W869" s="3">
        <v>2014</v>
      </c>
      <c r="X869" s="3" t="s">
        <v>12051</v>
      </c>
    </row>
    <row r="870" spans="1:24" ht="89.25">
      <c r="A870" s="3" t="s">
        <v>14669</v>
      </c>
      <c r="B870" s="6" t="s">
        <v>361</v>
      </c>
      <c r="C870" s="6" t="s">
        <v>3354</v>
      </c>
      <c r="D870" s="6" t="s">
        <v>3355</v>
      </c>
      <c r="E870" s="6" t="s">
        <v>3356</v>
      </c>
      <c r="F870" s="6" t="s">
        <v>132</v>
      </c>
      <c r="G870" s="3" t="s">
        <v>11450</v>
      </c>
      <c r="H870" s="54">
        <v>0</v>
      </c>
      <c r="I870" s="16">
        <v>470000000</v>
      </c>
      <c r="J870" s="157" t="s">
        <v>229</v>
      </c>
      <c r="K870" s="5" t="s">
        <v>14670</v>
      </c>
      <c r="L870" s="17" t="s">
        <v>11411</v>
      </c>
      <c r="M870" s="3" t="s">
        <v>230</v>
      </c>
      <c r="N870" s="6" t="s">
        <v>524</v>
      </c>
      <c r="O870" s="6" t="s">
        <v>233</v>
      </c>
      <c r="P870" s="58" t="s">
        <v>241</v>
      </c>
      <c r="Q870" s="6" t="s">
        <v>234</v>
      </c>
      <c r="R870" s="222">
        <v>3</v>
      </c>
      <c r="S870" s="2">
        <v>179</v>
      </c>
      <c r="T870" s="4">
        <f>R870*S870</f>
        <v>537</v>
      </c>
      <c r="U870" s="4">
        <f t="shared" si="35"/>
        <v>601.44000000000005</v>
      </c>
      <c r="V870" s="3" t="s">
        <v>362</v>
      </c>
      <c r="W870" s="3">
        <v>2014</v>
      </c>
      <c r="X870" s="3"/>
    </row>
    <row r="871" spans="1:24" ht="102">
      <c r="A871" s="3" t="s">
        <v>945</v>
      </c>
      <c r="B871" s="6" t="s">
        <v>361</v>
      </c>
      <c r="C871" s="6" t="s">
        <v>7688</v>
      </c>
      <c r="D871" s="6" t="s">
        <v>7689</v>
      </c>
      <c r="E871" s="6" t="s">
        <v>7690</v>
      </c>
      <c r="F871" s="6" t="s">
        <v>133</v>
      </c>
      <c r="G871" s="3" t="s">
        <v>11450</v>
      </c>
      <c r="H871" s="54">
        <v>0</v>
      </c>
      <c r="I871" s="16">
        <v>470000000</v>
      </c>
      <c r="J871" s="157" t="s">
        <v>229</v>
      </c>
      <c r="K871" s="5" t="s">
        <v>210</v>
      </c>
      <c r="L871" s="6" t="s">
        <v>231</v>
      </c>
      <c r="M871" s="3" t="s">
        <v>230</v>
      </c>
      <c r="N871" s="6" t="s">
        <v>524</v>
      </c>
      <c r="O871" s="6" t="s">
        <v>233</v>
      </c>
      <c r="P871" s="58" t="s">
        <v>241</v>
      </c>
      <c r="Q871" s="6" t="s">
        <v>234</v>
      </c>
      <c r="R871" s="222">
        <v>157</v>
      </c>
      <c r="S871" s="2">
        <v>770</v>
      </c>
      <c r="T871" s="4">
        <v>0</v>
      </c>
      <c r="U871" s="4">
        <f t="shared" si="35"/>
        <v>0</v>
      </c>
      <c r="V871" s="3" t="s">
        <v>362</v>
      </c>
      <c r="W871" s="3">
        <v>2014</v>
      </c>
      <c r="X871" s="3">
        <v>11.12</v>
      </c>
    </row>
    <row r="872" spans="1:24" ht="89.25">
      <c r="A872" s="3" t="s">
        <v>12175</v>
      </c>
      <c r="B872" s="6" t="s">
        <v>361</v>
      </c>
      <c r="C872" s="6" t="s">
        <v>7688</v>
      </c>
      <c r="D872" s="6" t="s">
        <v>7689</v>
      </c>
      <c r="E872" s="6" t="s">
        <v>7690</v>
      </c>
      <c r="F872" s="6" t="s">
        <v>133</v>
      </c>
      <c r="G872" s="3" t="s">
        <v>11450</v>
      </c>
      <c r="H872" s="54">
        <v>0</v>
      </c>
      <c r="I872" s="16">
        <v>470000000</v>
      </c>
      <c r="J872" s="157" t="s">
        <v>229</v>
      </c>
      <c r="K872" s="5" t="s">
        <v>217</v>
      </c>
      <c r="L872" s="17" t="s">
        <v>11411</v>
      </c>
      <c r="M872" s="3" t="s">
        <v>230</v>
      </c>
      <c r="N872" s="6" t="s">
        <v>524</v>
      </c>
      <c r="O872" s="6" t="s">
        <v>233</v>
      </c>
      <c r="P872" s="58" t="s">
        <v>241</v>
      </c>
      <c r="Q872" s="6" t="s">
        <v>234</v>
      </c>
      <c r="R872" s="222">
        <v>157</v>
      </c>
      <c r="S872" s="2">
        <v>770</v>
      </c>
      <c r="T872" s="4">
        <v>0</v>
      </c>
      <c r="U872" s="4">
        <f t="shared" si="35"/>
        <v>0</v>
      </c>
      <c r="V872" s="3" t="s">
        <v>362</v>
      </c>
      <c r="W872" s="3">
        <v>2014</v>
      </c>
      <c r="X872" s="3" t="s">
        <v>12051</v>
      </c>
    </row>
    <row r="873" spans="1:24" ht="89.25">
      <c r="A873" s="3" t="s">
        <v>14671</v>
      </c>
      <c r="B873" s="6" t="s">
        <v>361</v>
      </c>
      <c r="C873" s="6" t="s">
        <v>7688</v>
      </c>
      <c r="D873" s="6" t="s">
        <v>7689</v>
      </c>
      <c r="E873" s="6" t="s">
        <v>7690</v>
      </c>
      <c r="F873" s="6" t="s">
        <v>133</v>
      </c>
      <c r="G873" s="3" t="s">
        <v>11450</v>
      </c>
      <c r="H873" s="54">
        <v>0</v>
      </c>
      <c r="I873" s="16">
        <v>470000000</v>
      </c>
      <c r="J873" s="157" t="s">
        <v>229</v>
      </c>
      <c r="K873" s="5" t="s">
        <v>14670</v>
      </c>
      <c r="L873" s="17" t="s">
        <v>11411</v>
      </c>
      <c r="M873" s="3" t="s">
        <v>230</v>
      </c>
      <c r="N873" s="6" t="s">
        <v>524</v>
      </c>
      <c r="O873" s="6" t="s">
        <v>233</v>
      </c>
      <c r="P873" s="58" t="s">
        <v>241</v>
      </c>
      <c r="Q873" s="6" t="s">
        <v>234</v>
      </c>
      <c r="R873" s="222">
        <v>2</v>
      </c>
      <c r="S873" s="2">
        <v>924</v>
      </c>
      <c r="T873" s="4">
        <f>R873*S873</f>
        <v>1848</v>
      </c>
      <c r="U873" s="4">
        <f t="shared" si="35"/>
        <v>2069.7600000000002</v>
      </c>
      <c r="V873" s="3" t="s">
        <v>362</v>
      </c>
      <c r="W873" s="3">
        <v>2014</v>
      </c>
      <c r="X873" s="3"/>
    </row>
    <row r="874" spans="1:24" ht="102">
      <c r="A874" s="3" t="s">
        <v>946</v>
      </c>
      <c r="B874" s="6" t="s">
        <v>361</v>
      </c>
      <c r="C874" s="6" t="s">
        <v>3357</v>
      </c>
      <c r="D874" s="6" t="s">
        <v>3358</v>
      </c>
      <c r="E874" s="6" t="s">
        <v>3359</v>
      </c>
      <c r="F874" s="6" t="s">
        <v>134</v>
      </c>
      <c r="G874" s="3" t="s">
        <v>11450</v>
      </c>
      <c r="H874" s="54">
        <v>0</v>
      </c>
      <c r="I874" s="16">
        <v>470000000</v>
      </c>
      <c r="J874" s="157" t="s">
        <v>229</v>
      </c>
      <c r="K874" s="5" t="s">
        <v>210</v>
      </c>
      <c r="L874" s="6" t="s">
        <v>231</v>
      </c>
      <c r="M874" s="3" t="s">
        <v>230</v>
      </c>
      <c r="N874" s="6" t="s">
        <v>524</v>
      </c>
      <c r="O874" s="6" t="s">
        <v>233</v>
      </c>
      <c r="P874" s="58" t="s">
        <v>241</v>
      </c>
      <c r="Q874" s="6" t="s">
        <v>234</v>
      </c>
      <c r="R874" s="222">
        <v>56</v>
      </c>
      <c r="S874" s="2">
        <v>721</v>
      </c>
      <c r="T874" s="4">
        <v>0</v>
      </c>
      <c r="U874" s="4">
        <f t="shared" si="35"/>
        <v>0</v>
      </c>
      <c r="V874" s="3" t="s">
        <v>362</v>
      </c>
      <c r="W874" s="3">
        <v>2014</v>
      </c>
      <c r="X874" s="3">
        <v>11.12</v>
      </c>
    </row>
    <row r="875" spans="1:24" ht="89.25">
      <c r="A875" s="3" t="s">
        <v>12176</v>
      </c>
      <c r="B875" s="6" t="s">
        <v>361</v>
      </c>
      <c r="C875" s="6" t="s">
        <v>3357</v>
      </c>
      <c r="D875" s="6" t="s">
        <v>3358</v>
      </c>
      <c r="E875" s="6" t="s">
        <v>3359</v>
      </c>
      <c r="F875" s="6" t="s">
        <v>134</v>
      </c>
      <c r="G875" s="3" t="s">
        <v>11450</v>
      </c>
      <c r="H875" s="54">
        <v>0</v>
      </c>
      <c r="I875" s="16">
        <v>470000000</v>
      </c>
      <c r="J875" s="157" t="s">
        <v>229</v>
      </c>
      <c r="K875" s="5" t="s">
        <v>217</v>
      </c>
      <c r="L875" s="17" t="s">
        <v>11411</v>
      </c>
      <c r="M875" s="3" t="s">
        <v>230</v>
      </c>
      <c r="N875" s="6" t="s">
        <v>524</v>
      </c>
      <c r="O875" s="6" t="s">
        <v>233</v>
      </c>
      <c r="P875" s="58" t="s">
        <v>241</v>
      </c>
      <c r="Q875" s="6" t="s">
        <v>234</v>
      </c>
      <c r="R875" s="222">
        <v>56</v>
      </c>
      <c r="S875" s="2">
        <v>721</v>
      </c>
      <c r="T875" s="4">
        <v>0</v>
      </c>
      <c r="U875" s="4">
        <f t="shared" si="35"/>
        <v>0</v>
      </c>
      <c r="V875" s="3" t="s">
        <v>362</v>
      </c>
      <c r="W875" s="3">
        <v>2014</v>
      </c>
      <c r="X875" s="3" t="s">
        <v>12076</v>
      </c>
    </row>
    <row r="876" spans="1:24" ht="102">
      <c r="A876" s="3" t="s">
        <v>947</v>
      </c>
      <c r="B876" s="6" t="s">
        <v>361</v>
      </c>
      <c r="C876" s="6" t="s">
        <v>3357</v>
      </c>
      <c r="D876" s="6" t="s">
        <v>3358</v>
      </c>
      <c r="E876" s="6" t="s">
        <v>3359</v>
      </c>
      <c r="F876" s="6" t="s">
        <v>135</v>
      </c>
      <c r="G876" s="3" t="s">
        <v>11450</v>
      </c>
      <c r="H876" s="54">
        <v>0</v>
      </c>
      <c r="I876" s="16">
        <v>470000000</v>
      </c>
      <c r="J876" s="157" t="s">
        <v>229</v>
      </c>
      <c r="K876" s="5" t="s">
        <v>210</v>
      </c>
      <c r="L876" s="6" t="s">
        <v>231</v>
      </c>
      <c r="M876" s="3" t="s">
        <v>230</v>
      </c>
      <c r="N876" s="6" t="s">
        <v>524</v>
      </c>
      <c r="O876" s="6" t="s">
        <v>233</v>
      </c>
      <c r="P876" s="58" t="s">
        <v>241</v>
      </c>
      <c r="Q876" s="6" t="s">
        <v>234</v>
      </c>
      <c r="R876" s="222">
        <v>55</v>
      </c>
      <c r="S876" s="2">
        <v>2943</v>
      </c>
      <c r="T876" s="4">
        <v>0</v>
      </c>
      <c r="U876" s="4">
        <f t="shared" si="35"/>
        <v>0</v>
      </c>
      <c r="V876" s="3" t="s">
        <v>362</v>
      </c>
      <c r="W876" s="3">
        <v>2014</v>
      </c>
      <c r="X876" s="3">
        <v>11.12</v>
      </c>
    </row>
    <row r="877" spans="1:24" ht="89.25">
      <c r="A877" s="3" t="s">
        <v>12177</v>
      </c>
      <c r="B877" s="6" t="s">
        <v>361</v>
      </c>
      <c r="C877" s="6" t="s">
        <v>3357</v>
      </c>
      <c r="D877" s="6" t="s">
        <v>3358</v>
      </c>
      <c r="E877" s="6" t="s">
        <v>3359</v>
      </c>
      <c r="F877" s="6" t="s">
        <v>135</v>
      </c>
      <c r="G877" s="3" t="s">
        <v>11450</v>
      </c>
      <c r="H877" s="54">
        <v>0</v>
      </c>
      <c r="I877" s="16">
        <v>470000000</v>
      </c>
      <c r="J877" s="157" t="s">
        <v>229</v>
      </c>
      <c r="K877" s="5" t="s">
        <v>217</v>
      </c>
      <c r="L877" s="17" t="s">
        <v>11411</v>
      </c>
      <c r="M877" s="3" t="s">
        <v>230</v>
      </c>
      <c r="N877" s="6" t="s">
        <v>524</v>
      </c>
      <c r="O877" s="6" t="s">
        <v>233</v>
      </c>
      <c r="P877" s="58" t="s">
        <v>241</v>
      </c>
      <c r="Q877" s="6" t="s">
        <v>234</v>
      </c>
      <c r="R877" s="222">
        <v>55</v>
      </c>
      <c r="S877" s="2">
        <v>2943</v>
      </c>
      <c r="T877" s="4">
        <v>0</v>
      </c>
      <c r="U877" s="4">
        <f t="shared" si="35"/>
        <v>0</v>
      </c>
      <c r="V877" s="3" t="s">
        <v>362</v>
      </c>
      <c r="W877" s="3">
        <v>2014</v>
      </c>
      <c r="X877" s="3" t="s">
        <v>12076</v>
      </c>
    </row>
    <row r="878" spans="1:24" ht="102">
      <c r="A878" s="3" t="s">
        <v>948</v>
      </c>
      <c r="B878" s="6" t="s">
        <v>361</v>
      </c>
      <c r="C878" s="6" t="s">
        <v>3357</v>
      </c>
      <c r="D878" s="6" t="s">
        <v>3358</v>
      </c>
      <c r="E878" s="6" t="s">
        <v>3359</v>
      </c>
      <c r="F878" s="9" t="s">
        <v>136</v>
      </c>
      <c r="G878" s="3" t="s">
        <v>11450</v>
      </c>
      <c r="H878" s="54">
        <v>0</v>
      </c>
      <c r="I878" s="16">
        <v>470000000</v>
      </c>
      <c r="J878" s="157" t="s">
        <v>229</v>
      </c>
      <c r="K878" s="5" t="s">
        <v>210</v>
      </c>
      <c r="L878" s="6" t="s">
        <v>231</v>
      </c>
      <c r="M878" s="3" t="s">
        <v>230</v>
      </c>
      <c r="N878" s="6" t="s">
        <v>524</v>
      </c>
      <c r="O878" s="6" t="s">
        <v>233</v>
      </c>
      <c r="P878" s="58" t="s">
        <v>241</v>
      </c>
      <c r="Q878" s="6" t="s">
        <v>234</v>
      </c>
      <c r="R878" s="222">
        <v>99</v>
      </c>
      <c r="S878" s="2">
        <v>4630</v>
      </c>
      <c r="T878" s="4">
        <v>0</v>
      </c>
      <c r="U878" s="4">
        <f t="shared" si="35"/>
        <v>0</v>
      </c>
      <c r="V878" s="3" t="s">
        <v>362</v>
      </c>
      <c r="W878" s="3">
        <v>2014</v>
      </c>
      <c r="X878" s="3">
        <v>11.12</v>
      </c>
    </row>
    <row r="879" spans="1:24" ht="89.25">
      <c r="A879" s="3" t="s">
        <v>12178</v>
      </c>
      <c r="B879" s="6" t="s">
        <v>361</v>
      </c>
      <c r="C879" s="6" t="s">
        <v>3357</v>
      </c>
      <c r="D879" s="6" t="s">
        <v>3358</v>
      </c>
      <c r="E879" s="6" t="s">
        <v>3359</v>
      </c>
      <c r="F879" s="9" t="s">
        <v>136</v>
      </c>
      <c r="G879" s="3" t="s">
        <v>11450</v>
      </c>
      <c r="H879" s="54">
        <v>0</v>
      </c>
      <c r="I879" s="16">
        <v>470000000</v>
      </c>
      <c r="J879" s="157" t="s">
        <v>229</v>
      </c>
      <c r="K879" s="5" t="s">
        <v>217</v>
      </c>
      <c r="L879" s="17" t="s">
        <v>11411</v>
      </c>
      <c r="M879" s="3" t="s">
        <v>230</v>
      </c>
      <c r="N879" s="6" t="s">
        <v>524</v>
      </c>
      <c r="O879" s="6" t="s">
        <v>233</v>
      </c>
      <c r="P879" s="58" t="s">
        <v>241</v>
      </c>
      <c r="Q879" s="6" t="s">
        <v>234</v>
      </c>
      <c r="R879" s="222">
        <v>99</v>
      </c>
      <c r="S879" s="2">
        <v>4630</v>
      </c>
      <c r="T879" s="4">
        <v>0</v>
      </c>
      <c r="U879" s="4">
        <f t="shared" si="35"/>
        <v>0</v>
      </c>
      <c r="V879" s="3" t="s">
        <v>362</v>
      </c>
      <c r="W879" s="3">
        <v>2014</v>
      </c>
      <c r="X879" s="3" t="s">
        <v>12076</v>
      </c>
    </row>
    <row r="880" spans="1:24" ht="102">
      <c r="A880" s="3" t="s">
        <v>949</v>
      </c>
      <c r="B880" s="6" t="s">
        <v>361</v>
      </c>
      <c r="C880" s="6" t="s">
        <v>3360</v>
      </c>
      <c r="D880" s="6" t="s">
        <v>499</v>
      </c>
      <c r="E880" s="6" t="s">
        <v>3361</v>
      </c>
      <c r="F880" s="6" t="s">
        <v>137</v>
      </c>
      <c r="G880" s="3" t="s">
        <v>11450</v>
      </c>
      <c r="H880" s="54">
        <v>0</v>
      </c>
      <c r="I880" s="16">
        <v>470000000</v>
      </c>
      <c r="J880" s="157" t="s">
        <v>229</v>
      </c>
      <c r="K880" s="5" t="s">
        <v>210</v>
      </c>
      <c r="L880" s="6" t="s">
        <v>231</v>
      </c>
      <c r="M880" s="3" t="s">
        <v>230</v>
      </c>
      <c r="N880" s="6" t="s">
        <v>524</v>
      </c>
      <c r="O880" s="6" t="s">
        <v>233</v>
      </c>
      <c r="P880" s="58" t="s">
        <v>241</v>
      </c>
      <c r="Q880" s="6" t="s">
        <v>234</v>
      </c>
      <c r="R880" s="222">
        <v>50</v>
      </c>
      <c r="S880" s="2">
        <v>2300</v>
      </c>
      <c r="T880" s="4">
        <v>0</v>
      </c>
      <c r="U880" s="4">
        <f t="shared" si="35"/>
        <v>0</v>
      </c>
      <c r="V880" s="3" t="s">
        <v>362</v>
      </c>
      <c r="W880" s="3">
        <v>2014</v>
      </c>
      <c r="X880" s="3">
        <v>11.12</v>
      </c>
    </row>
    <row r="881" spans="1:24" ht="89.25">
      <c r="A881" s="3" t="s">
        <v>12179</v>
      </c>
      <c r="B881" s="6" t="s">
        <v>361</v>
      </c>
      <c r="C881" s="6" t="s">
        <v>3360</v>
      </c>
      <c r="D881" s="6" t="s">
        <v>499</v>
      </c>
      <c r="E881" s="6" t="s">
        <v>3361</v>
      </c>
      <c r="F881" s="6" t="s">
        <v>137</v>
      </c>
      <c r="G881" s="3" t="s">
        <v>11450</v>
      </c>
      <c r="H881" s="54">
        <v>0</v>
      </c>
      <c r="I881" s="16">
        <v>470000000</v>
      </c>
      <c r="J881" s="157" t="s">
        <v>229</v>
      </c>
      <c r="K881" s="5" t="s">
        <v>217</v>
      </c>
      <c r="L881" s="17" t="s">
        <v>11411</v>
      </c>
      <c r="M881" s="3" t="s">
        <v>230</v>
      </c>
      <c r="N881" s="6" t="s">
        <v>524</v>
      </c>
      <c r="O881" s="6" t="s">
        <v>233</v>
      </c>
      <c r="P881" s="58" t="s">
        <v>241</v>
      </c>
      <c r="Q881" s="6" t="s">
        <v>234</v>
      </c>
      <c r="R881" s="222">
        <v>50</v>
      </c>
      <c r="S881" s="2">
        <v>2300</v>
      </c>
      <c r="T881" s="4">
        <v>0</v>
      </c>
      <c r="U881" s="4">
        <f t="shared" si="35"/>
        <v>0</v>
      </c>
      <c r="V881" s="3" t="s">
        <v>362</v>
      </c>
      <c r="W881" s="3">
        <v>2014</v>
      </c>
      <c r="X881" s="3" t="s">
        <v>12076</v>
      </c>
    </row>
    <row r="882" spans="1:24" ht="102">
      <c r="A882" s="3" t="s">
        <v>950</v>
      </c>
      <c r="B882" s="6" t="s">
        <v>361</v>
      </c>
      <c r="C882" s="6" t="s">
        <v>3363</v>
      </c>
      <c r="D882" s="6" t="s">
        <v>255</v>
      </c>
      <c r="E882" s="6" t="s">
        <v>3362</v>
      </c>
      <c r="F882" s="6" t="s">
        <v>138</v>
      </c>
      <c r="G882" s="3" t="s">
        <v>11450</v>
      </c>
      <c r="H882" s="54">
        <v>0.6</v>
      </c>
      <c r="I882" s="16">
        <v>470000000</v>
      </c>
      <c r="J882" s="157" t="s">
        <v>229</v>
      </c>
      <c r="K882" s="5" t="s">
        <v>211</v>
      </c>
      <c r="L882" s="6" t="s">
        <v>231</v>
      </c>
      <c r="M882" s="3" t="s">
        <v>230</v>
      </c>
      <c r="N882" s="6" t="s">
        <v>524</v>
      </c>
      <c r="O882" s="6" t="s">
        <v>233</v>
      </c>
      <c r="P882" s="58" t="s">
        <v>237</v>
      </c>
      <c r="Q882" s="6" t="s">
        <v>238</v>
      </c>
      <c r="R882" s="222">
        <v>504</v>
      </c>
      <c r="S882" s="2">
        <v>132</v>
      </c>
      <c r="T882" s="4">
        <v>0</v>
      </c>
      <c r="U882" s="4">
        <f t="shared" si="35"/>
        <v>0</v>
      </c>
      <c r="V882" s="3" t="s">
        <v>362</v>
      </c>
      <c r="W882" s="3">
        <v>2014</v>
      </c>
      <c r="X882" s="3" t="s">
        <v>12051</v>
      </c>
    </row>
    <row r="883" spans="1:24" ht="102">
      <c r="A883" s="3" t="s">
        <v>14672</v>
      </c>
      <c r="B883" s="6" t="s">
        <v>361</v>
      </c>
      <c r="C883" s="6" t="s">
        <v>3363</v>
      </c>
      <c r="D883" s="6" t="s">
        <v>255</v>
      </c>
      <c r="E883" s="6" t="s">
        <v>3362</v>
      </c>
      <c r="F883" s="6" t="s">
        <v>138</v>
      </c>
      <c r="G883" s="3" t="s">
        <v>11450</v>
      </c>
      <c r="H883" s="54">
        <v>0.6</v>
      </c>
      <c r="I883" s="16">
        <v>470000000</v>
      </c>
      <c r="J883" s="157" t="s">
        <v>229</v>
      </c>
      <c r="K883" s="5" t="s">
        <v>14662</v>
      </c>
      <c r="L883" s="6" t="s">
        <v>231</v>
      </c>
      <c r="M883" s="3" t="s">
        <v>230</v>
      </c>
      <c r="N883" s="6" t="s">
        <v>524</v>
      </c>
      <c r="O883" s="6" t="s">
        <v>233</v>
      </c>
      <c r="P883" s="58" t="s">
        <v>237</v>
      </c>
      <c r="Q883" s="6" t="s">
        <v>238</v>
      </c>
      <c r="R883" s="222">
        <v>52</v>
      </c>
      <c r="S883" s="2">
        <v>158</v>
      </c>
      <c r="T883" s="4">
        <v>0</v>
      </c>
      <c r="U883" s="4">
        <f t="shared" si="35"/>
        <v>0</v>
      </c>
      <c r="V883" s="3" t="s">
        <v>362</v>
      </c>
      <c r="W883" s="3">
        <v>2014</v>
      </c>
      <c r="X883" s="3" t="s">
        <v>18825</v>
      </c>
    </row>
    <row r="884" spans="1:24" ht="102">
      <c r="A884" s="3" t="s">
        <v>18893</v>
      </c>
      <c r="B884" s="6" t="s">
        <v>361</v>
      </c>
      <c r="C884" s="6" t="s">
        <v>3363</v>
      </c>
      <c r="D884" s="6" t="s">
        <v>255</v>
      </c>
      <c r="E884" s="6" t="s">
        <v>3362</v>
      </c>
      <c r="F884" s="6" t="s">
        <v>138</v>
      </c>
      <c r="G884" s="3" t="s">
        <v>11450</v>
      </c>
      <c r="H884" s="54">
        <v>0.6</v>
      </c>
      <c r="I884" s="16">
        <v>470000000</v>
      </c>
      <c r="J884" s="157" t="s">
        <v>229</v>
      </c>
      <c r="K884" s="5" t="s">
        <v>18437</v>
      </c>
      <c r="L884" s="6" t="s">
        <v>231</v>
      </c>
      <c r="M884" s="3" t="s">
        <v>230</v>
      </c>
      <c r="N884" s="6" t="s">
        <v>524</v>
      </c>
      <c r="O884" s="6" t="s">
        <v>18864</v>
      </c>
      <c r="P884" s="58" t="s">
        <v>237</v>
      </c>
      <c r="Q884" s="6" t="s">
        <v>238</v>
      </c>
      <c r="R884" s="222">
        <v>744</v>
      </c>
      <c r="S884" s="2">
        <v>158.4</v>
      </c>
      <c r="T884" s="4">
        <f>R884*S884</f>
        <v>117849.60000000001</v>
      </c>
      <c r="U884" s="4">
        <f t="shared" si="35"/>
        <v>131991.55200000003</v>
      </c>
      <c r="V884" s="3" t="s">
        <v>362</v>
      </c>
      <c r="W884" s="3">
        <v>2014</v>
      </c>
      <c r="X884" s="3"/>
    </row>
    <row r="885" spans="1:24" ht="102">
      <c r="A885" s="3" t="s">
        <v>951</v>
      </c>
      <c r="B885" s="6" t="s">
        <v>361</v>
      </c>
      <c r="C885" s="6" t="s">
        <v>3364</v>
      </c>
      <c r="D885" s="6" t="s">
        <v>255</v>
      </c>
      <c r="E885" s="6" t="s">
        <v>3365</v>
      </c>
      <c r="F885" s="6" t="s">
        <v>139</v>
      </c>
      <c r="G885" s="3" t="s">
        <v>11450</v>
      </c>
      <c r="H885" s="54">
        <v>0.6</v>
      </c>
      <c r="I885" s="16">
        <v>470000000</v>
      </c>
      <c r="J885" s="157" t="s">
        <v>229</v>
      </c>
      <c r="K885" s="5" t="s">
        <v>211</v>
      </c>
      <c r="L885" s="6" t="s">
        <v>231</v>
      </c>
      <c r="M885" s="3" t="s">
        <v>230</v>
      </c>
      <c r="N885" s="6" t="s">
        <v>524</v>
      </c>
      <c r="O885" s="6" t="s">
        <v>233</v>
      </c>
      <c r="P885" s="58" t="s">
        <v>237</v>
      </c>
      <c r="Q885" s="6" t="s">
        <v>238</v>
      </c>
      <c r="R885" s="222">
        <v>230</v>
      </c>
      <c r="S885" s="2">
        <v>231</v>
      </c>
      <c r="T885" s="4">
        <v>0</v>
      </c>
      <c r="U885" s="4">
        <f t="shared" si="35"/>
        <v>0</v>
      </c>
      <c r="V885" s="3" t="s">
        <v>362</v>
      </c>
      <c r="W885" s="3">
        <v>2014</v>
      </c>
      <c r="X885" s="3" t="s">
        <v>12076</v>
      </c>
    </row>
    <row r="886" spans="1:24" ht="102">
      <c r="A886" s="3" t="s">
        <v>952</v>
      </c>
      <c r="B886" s="6" t="s">
        <v>361</v>
      </c>
      <c r="C886" s="6" t="s">
        <v>3366</v>
      </c>
      <c r="D886" s="6" t="s">
        <v>255</v>
      </c>
      <c r="E886" s="6" t="s">
        <v>3367</v>
      </c>
      <c r="F886" s="6" t="s">
        <v>140</v>
      </c>
      <c r="G886" s="3" t="s">
        <v>11450</v>
      </c>
      <c r="H886" s="54">
        <v>0.6</v>
      </c>
      <c r="I886" s="16">
        <v>470000000</v>
      </c>
      <c r="J886" s="157" t="s">
        <v>229</v>
      </c>
      <c r="K886" s="5" t="s">
        <v>211</v>
      </c>
      <c r="L886" s="6" t="s">
        <v>231</v>
      </c>
      <c r="M886" s="3" t="s">
        <v>230</v>
      </c>
      <c r="N886" s="6" t="s">
        <v>524</v>
      </c>
      <c r="O886" s="6" t="s">
        <v>233</v>
      </c>
      <c r="P886" s="58" t="s">
        <v>237</v>
      </c>
      <c r="Q886" s="6" t="s">
        <v>238</v>
      </c>
      <c r="R886" s="222">
        <v>120</v>
      </c>
      <c r="S886" s="2">
        <v>395</v>
      </c>
      <c r="T886" s="4">
        <v>0</v>
      </c>
      <c r="U886" s="4">
        <f t="shared" si="35"/>
        <v>0</v>
      </c>
      <c r="V886" s="3" t="s">
        <v>362</v>
      </c>
      <c r="W886" s="3">
        <v>2014</v>
      </c>
      <c r="X886" s="3" t="s">
        <v>12076</v>
      </c>
    </row>
    <row r="887" spans="1:24" ht="102">
      <c r="A887" s="3" t="s">
        <v>953</v>
      </c>
      <c r="B887" s="6" t="s">
        <v>361</v>
      </c>
      <c r="C887" s="6" t="s">
        <v>3368</v>
      </c>
      <c r="D887" s="6" t="s">
        <v>255</v>
      </c>
      <c r="E887" s="6" t="s">
        <v>3369</v>
      </c>
      <c r="F887" s="6" t="s">
        <v>141</v>
      </c>
      <c r="G887" s="3" t="s">
        <v>11450</v>
      </c>
      <c r="H887" s="54">
        <v>0.6</v>
      </c>
      <c r="I887" s="16">
        <v>470000000</v>
      </c>
      <c r="J887" s="157" t="s">
        <v>229</v>
      </c>
      <c r="K887" s="5" t="s">
        <v>211</v>
      </c>
      <c r="L887" s="6" t="s">
        <v>231</v>
      </c>
      <c r="M887" s="3" t="s">
        <v>230</v>
      </c>
      <c r="N887" s="6" t="s">
        <v>524</v>
      </c>
      <c r="O887" s="6" t="s">
        <v>233</v>
      </c>
      <c r="P887" s="58" t="s">
        <v>237</v>
      </c>
      <c r="Q887" s="6" t="s">
        <v>238</v>
      </c>
      <c r="R887" s="222">
        <v>120</v>
      </c>
      <c r="S887" s="2">
        <v>524</v>
      </c>
      <c r="T887" s="4">
        <v>0</v>
      </c>
      <c r="U887" s="4">
        <f t="shared" si="35"/>
        <v>0</v>
      </c>
      <c r="V887" s="3" t="s">
        <v>362</v>
      </c>
      <c r="W887" s="3">
        <v>2014</v>
      </c>
      <c r="X887" s="3" t="s">
        <v>12076</v>
      </c>
    </row>
    <row r="888" spans="1:24" ht="102">
      <c r="A888" s="3" t="s">
        <v>954</v>
      </c>
      <c r="B888" s="6" t="s">
        <v>361</v>
      </c>
      <c r="C888" s="6" t="s">
        <v>3370</v>
      </c>
      <c r="D888" s="6" t="s">
        <v>255</v>
      </c>
      <c r="E888" s="6" t="s">
        <v>3371</v>
      </c>
      <c r="F888" s="6" t="s">
        <v>142</v>
      </c>
      <c r="G888" s="3" t="s">
        <v>11450</v>
      </c>
      <c r="H888" s="54">
        <v>0.6</v>
      </c>
      <c r="I888" s="16">
        <v>470000000</v>
      </c>
      <c r="J888" s="157" t="s">
        <v>229</v>
      </c>
      <c r="K888" s="5" t="s">
        <v>211</v>
      </c>
      <c r="L888" s="6" t="s">
        <v>231</v>
      </c>
      <c r="M888" s="3" t="s">
        <v>230</v>
      </c>
      <c r="N888" s="6" t="s">
        <v>524</v>
      </c>
      <c r="O888" s="6" t="s">
        <v>233</v>
      </c>
      <c r="P888" s="58" t="s">
        <v>237</v>
      </c>
      <c r="Q888" s="6" t="s">
        <v>238</v>
      </c>
      <c r="R888" s="222">
        <v>260</v>
      </c>
      <c r="S888" s="2">
        <v>1096</v>
      </c>
      <c r="T888" s="4">
        <v>0</v>
      </c>
      <c r="U888" s="4">
        <f t="shared" si="35"/>
        <v>0</v>
      </c>
      <c r="V888" s="3" t="s">
        <v>362</v>
      </c>
      <c r="W888" s="3">
        <v>2014</v>
      </c>
      <c r="X888" s="3" t="s">
        <v>12076</v>
      </c>
    </row>
    <row r="889" spans="1:24" ht="102">
      <c r="A889" s="3" t="s">
        <v>955</v>
      </c>
      <c r="B889" s="6" t="s">
        <v>361</v>
      </c>
      <c r="C889" s="6" t="s">
        <v>3372</v>
      </c>
      <c r="D889" s="6" t="s">
        <v>3014</v>
      </c>
      <c r="E889" s="6" t="s">
        <v>3373</v>
      </c>
      <c r="F889" s="6" t="s">
        <v>143</v>
      </c>
      <c r="G889" s="3" t="s">
        <v>11450</v>
      </c>
      <c r="H889" s="54">
        <v>0.6</v>
      </c>
      <c r="I889" s="16">
        <v>470000000</v>
      </c>
      <c r="J889" s="157" t="s">
        <v>229</v>
      </c>
      <c r="K889" s="5" t="s">
        <v>211</v>
      </c>
      <c r="L889" s="6" t="s">
        <v>231</v>
      </c>
      <c r="M889" s="3" t="s">
        <v>230</v>
      </c>
      <c r="N889" s="6" t="s">
        <v>524</v>
      </c>
      <c r="O889" s="6" t="s">
        <v>233</v>
      </c>
      <c r="P889" s="58" t="s">
        <v>241</v>
      </c>
      <c r="Q889" s="6" t="s">
        <v>234</v>
      </c>
      <c r="R889" s="222">
        <v>225</v>
      </c>
      <c r="S889" s="2">
        <v>50</v>
      </c>
      <c r="T889" s="4">
        <v>0</v>
      </c>
      <c r="U889" s="4">
        <f t="shared" si="35"/>
        <v>0</v>
      </c>
      <c r="V889" s="3" t="s">
        <v>362</v>
      </c>
      <c r="W889" s="3">
        <v>2014</v>
      </c>
      <c r="X889" s="3" t="s">
        <v>12051</v>
      </c>
    </row>
    <row r="890" spans="1:24" ht="102">
      <c r="A890" s="3" t="s">
        <v>14673</v>
      </c>
      <c r="B890" s="6" t="s">
        <v>361</v>
      </c>
      <c r="C890" s="6" t="s">
        <v>3372</v>
      </c>
      <c r="D890" s="6" t="s">
        <v>3014</v>
      </c>
      <c r="E890" s="6" t="s">
        <v>3373</v>
      </c>
      <c r="F890" s="6" t="s">
        <v>143</v>
      </c>
      <c r="G890" s="3" t="s">
        <v>11450</v>
      </c>
      <c r="H890" s="54">
        <v>0.6</v>
      </c>
      <c r="I890" s="16">
        <v>470000000</v>
      </c>
      <c r="J890" s="157" t="s">
        <v>229</v>
      </c>
      <c r="K890" s="5" t="s">
        <v>14662</v>
      </c>
      <c r="L890" s="6" t="s">
        <v>231</v>
      </c>
      <c r="M890" s="3" t="s">
        <v>230</v>
      </c>
      <c r="N890" s="6" t="s">
        <v>524</v>
      </c>
      <c r="O890" s="6" t="s">
        <v>233</v>
      </c>
      <c r="P890" s="58" t="s">
        <v>241</v>
      </c>
      <c r="Q890" s="6" t="s">
        <v>234</v>
      </c>
      <c r="R890" s="222">
        <v>125</v>
      </c>
      <c r="S890" s="2">
        <v>60</v>
      </c>
      <c r="T890" s="4">
        <v>0</v>
      </c>
      <c r="U890" s="4">
        <f t="shared" si="35"/>
        <v>0</v>
      </c>
      <c r="V890" s="3" t="s">
        <v>362</v>
      </c>
      <c r="W890" s="3">
        <v>2014</v>
      </c>
      <c r="X890" s="3" t="s">
        <v>18908</v>
      </c>
    </row>
    <row r="891" spans="1:24" ht="63.75">
      <c r="A891" s="3" t="s">
        <v>18897</v>
      </c>
      <c r="B891" s="6" t="s">
        <v>361</v>
      </c>
      <c r="C891" s="6" t="s">
        <v>3372</v>
      </c>
      <c r="D891" s="6" t="s">
        <v>3014</v>
      </c>
      <c r="E891" s="6" t="s">
        <v>3373</v>
      </c>
      <c r="F891" s="6" t="s">
        <v>143</v>
      </c>
      <c r="G891" s="3" t="s">
        <v>11450</v>
      </c>
      <c r="H891" s="54">
        <v>0.6</v>
      </c>
      <c r="I891" s="16">
        <v>470000000</v>
      </c>
      <c r="J891" s="157" t="s">
        <v>229</v>
      </c>
      <c r="K891" s="5" t="s">
        <v>18437</v>
      </c>
      <c r="L891" s="17" t="s">
        <v>11411</v>
      </c>
      <c r="M891" s="3" t="s">
        <v>230</v>
      </c>
      <c r="N891" s="6" t="s">
        <v>528</v>
      </c>
      <c r="O891" s="6" t="s">
        <v>18749</v>
      </c>
      <c r="P891" s="58" t="s">
        <v>241</v>
      </c>
      <c r="Q891" s="6" t="s">
        <v>234</v>
      </c>
      <c r="R891" s="222">
        <v>295</v>
      </c>
      <c r="S891" s="2">
        <v>60</v>
      </c>
      <c r="T891" s="4">
        <f>R891*S891</f>
        <v>17700</v>
      </c>
      <c r="U891" s="4">
        <f t="shared" si="35"/>
        <v>19824.000000000004</v>
      </c>
      <c r="V891" s="3" t="s">
        <v>362</v>
      </c>
      <c r="W891" s="3">
        <v>2014</v>
      </c>
      <c r="X891" s="3"/>
    </row>
    <row r="892" spans="1:24" ht="102">
      <c r="A892" s="3" t="s">
        <v>956</v>
      </c>
      <c r="B892" s="6" t="s">
        <v>361</v>
      </c>
      <c r="C892" s="6" t="s">
        <v>3374</v>
      </c>
      <c r="D892" s="6" t="s">
        <v>3014</v>
      </c>
      <c r="E892" s="6" t="s">
        <v>3375</v>
      </c>
      <c r="F892" s="6" t="s">
        <v>144</v>
      </c>
      <c r="G892" s="3" t="s">
        <v>11450</v>
      </c>
      <c r="H892" s="54">
        <v>0.6</v>
      </c>
      <c r="I892" s="16">
        <v>470000000</v>
      </c>
      <c r="J892" s="157" t="s">
        <v>229</v>
      </c>
      <c r="K892" s="5" t="s">
        <v>211</v>
      </c>
      <c r="L892" s="6" t="s">
        <v>231</v>
      </c>
      <c r="M892" s="3" t="s">
        <v>230</v>
      </c>
      <c r="N892" s="6" t="s">
        <v>524</v>
      </c>
      <c r="O892" s="6" t="s">
        <v>233</v>
      </c>
      <c r="P892" s="58" t="s">
        <v>241</v>
      </c>
      <c r="Q892" s="6" t="s">
        <v>234</v>
      </c>
      <c r="R892" s="222">
        <v>120</v>
      </c>
      <c r="S892" s="2">
        <v>160</v>
      </c>
      <c r="T892" s="4">
        <v>0</v>
      </c>
      <c r="U892" s="4">
        <f t="shared" si="35"/>
        <v>0</v>
      </c>
      <c r="V892" s="3" t="s">
        <v>362</v>
      </c>
      <c r="W892" s="3">
        <v>2014</v>
      </c>
      <c r="X892" s="3" t="s">
        <v>12076</v>
      </c>
    </row>
    <row r="893" spans="1:24" ht="102">
      <c r="A893" s="3" t="s">
        <v>957</v>
      </c>
      <c r="B893" s="6" t="s">
        <v>361</v>
      </c>
      <c r="C893" s="6" t="s">
        <v>3376</v>
      </c>
      <c r="D893" s="6" t="s">
        <v>3014</v>
      </c>
      <c r="E893" s="6" t="s">
        <v>3377</v>
      </c>
      <c r="F893" s="6" t="s">
        <v>145</v>
      </c>
      <c r="G893" s="3" t="s">
        <v>11450</v>
      </c>
      <c r="H893" s="54">
        <v>0.6</v>
      </c>
      <c r="I893" s="16">
        <v>470000000</v>
      </c>
      <c r="J893" s="157" t="s">
        <v>229</v>
      </c>
      <c r="K893" s="5" t="s">
        <v>211</v>
      </c>
      <c r="L893" s="6" t="s">
        <v>231</v>
      </c>
      <c r="M893" s="3" t="s">
        <v>230</v>
      </c>
      <c r="N893" s="6" t="s">
        <v>524</v>
      </c>
      <c r="O893" s="6" t="s">
        <v>233</v>
      </c>
      <c r="P893" s="58" t="s">
        <v>241</v>
      </c>
      <c r="Q893" s="6" t="s">
        <v>234</v>
      </c>
      <c r="R893" s="222">
        <v>56</v>
      </c>
      <c r="S893" s="2">
        <v>170</v>
      </c>
      <c r="T893" s="4">
        <v>0</v>
      </c>
      <c r="U893" s="4">
        <f t="shared" si="35"/>
        <v>0</v>
      </c>
      <c r="V893" s="3" t="s">
        <v>362</v>
      </c>
      <c r="W893" s="3">
        <v>2014</v>
      </c>
      <c r="X893" s="3" t="s">
        <v>12076</v>
      </c>
    </row>
    <row r="894" spans="1:24" ht="102">
      <c r="A894" s="3" t="s">
        <v>958</v>
      </c>
      <c r="B894" s="6" t="s">
        <v>361</v>
      </c>
      <c r="C894" s="6" t="s">
        <v>3378</v>
      </c>
      <c r="D894" s="6" t="s">
        <v>3014</v>
      </c>
      <c r="E894" s="6" t="s">
        <v>3379</v>
      </c>
      <c r="F894" s="6" t="s">
        <v>146</v>
      </c>
      <c r="G894" s="3" t="s">
        <v>11450</v>
      </c>
      <c r="H894" s="54">
        <v>0.6</v>
      </c>
      <c r="I894" s="16">
        <v>470000000</v>
      </c>
      <c r="J894" s="157" t="s">
        <v>229</v>
      </c>
      <c r="K894" s="5" t="s">
        <v>211</v>
      </c>
      <c r="L894" s="6" t="s">
        <v>231</v>
      </c>
      <c r="M894" s="3" t="s">
        <v>230</v>
      </c>
      <c r="N894" s="6" t="s">
        <v>524</v>
      </c>
      <c r="O894" s="6" t="s">
        <v>233</v>
      </c>
      <c r="P894" s="58" t="s">
        <v>241</v>
      </c>
      <c r="Q894" s="6" t="s">
        <v>234</v>
      </c>
      <c r="R894" s="222">
        <v>40</v>
      </c>
      <c r="S894" s="2">
        <v>180</v>
      </c>
      <c r="T894" s="4">
        <v>0</v>
      </c>
      <c r="U894" s="4">
        <f t="shared" si="35"/>
        <v>0</v>
      </c>
      <c r="V894" s="3" t="s">
        <v>362</v>
      </c>
      <c r="W894" s="3">
        <v>2014</v>
      </c>
      <c r="X894" s="3" t="s">
        <v>12076</v>
      </c>
    </row>
    <row r="895" spans="1:24" ht="102">
      <c r="A895" s="3" t="s">
        <v>959</v>
      </c>
      <c r="B895" s="6" t="s">
        <v>361</v>
      </c>
      <c r="C895" s="6" t="s">
        <v>3380</v>
      </c>
      <c r="D895" s="6" t="s">
        <v>3014</v>
      </c>
      <c r="E895" s="6" t="s">
        <v>3381</v>
      </c>
      <c r="F895" s="6" t="s">
        <v>147</v>
      </c>
      <c r="G895" s="3" t="s">
        <v>11450</v>
      </c>
      <c r="H895" s="54">
        <v>0.6</v>
      </c>
      <c r="I895" s="16">
        <v>470000000</v>
      </c>
      <c r="J895" s="157" t="s">
        <v>229</v>
      </c>
      <c r="K895" s="5" t="s">
        <v>14674</v>
      </c>
      <c r="L895" s="6" t="s">
        <v>231</v>
      </c>
      <c r="M895" s="3" t="s">
        <v>230</v>
      </c>
      <c r="N895" s="6" t="s">
        <v>524</v>
      </c>
      <c r="O895" s="6" t="s">
        <v>233</v>
      </c>
      <c r="P895" s="58" t="s">
        <v>241</v>
      </c>
      <c r="Q895" s="6" t="s">
        <v>234</v>
      </c>
      <c r="R895" s="222">
        <v>34</v>
      </c>
      <c r="S895" s="2">
        <v>200</v>
      </c>
      <c r="T895" s="4">
        <v>0</v>
      </c>
      <c r="U895" s="4">
        <f t="shared" si="35"/>
        <v>0</v>
      </c>
      <c r="V895" s="3" t="s">
        <v>362</v>
      </c>
      <c r="W895" s="3">
        <v>2014</v>
      </c>
      <c r="X895" s="3" t="s">
        <v>12051</v>
      </c>
    </row>
    <row r="896" spans="1:24" ht="102">
      <c r="A896" s="3" t="s">
        <v>14675</v>
      </c>
      <c r="B896" s="6" t="s">
        <v>361</v>
      </c>
      <c r="C896" s="6" t="s">
        <v>3380</v>
      </c>
      <c r="D896" s="6" t="s">
        <v>3014</v>
      </c>
      <c r="E896" s="6" t="s">
        <v>3381</v>
      </c>
      <c r="F896" s="6" t="s">
        <v>147</v>
      </c>
      <c r="G896" s="3" t="s">
        <v>11450</v>
      </c>
      <c r="H896" s="54">
        <v>0.6</v>
      </c>
      <c r="I896" s="16">
        <v>470000000</v>
      </c>
      <c r="J896" s="157" t="s">
        <v>229</v>
      </c>
      <c r="K896" s="5" t="s">
        <v>14662</v>
      </c>
      <c r="L896" s="6" t="s">
        <v>231</v>
      </c>
      <c r="M896" s="3" t="s">
        <v>230</v>
      </c>
      <c r="N896" s="6" t="s">
        <v>524</v>
      </c>
      <c r="O896" s="6" t="s">
        <v>233</v>
      </c>
      <c r="P896" s="58" t="s">
        <v>241</v>
      </c>
      <c r="Q896" s="6" t="s">
        <v>234</v>
      </c>
      <c r="R896" s="222">
        <v>14</v>
      </c>
      <c r="S896" s="2">
        <v>240</v>
      </c>
      <c r="T896" s="4">
        <v>0</v>
      </c>
      <c r="U896" s="4">
        <f t="shared" si="35"/>
        <v>0</v>
      </c>
      <c r="V896" s="3" t="s">
        <v>362</v>
      </c>
      <c r="W896" s="3">
        <v>2014</v>
      </c>
      <c r="X896" s="3">
        <v>11.14</v>
      </c>
    </row>
    <row r="897" spans="1:24" ht="102">
      <c r="A897" s="3" t="s">
        <v>18189</v>
      </c>
      <c r="B897" s="6" t="s">
        <v>361</v>
      </c>
      <c r="C897" s="6" t="s">
        <v>3380</v>
      </c>
      <c r="D897" s="6" t="s">
        <v>3014</v>
      </c>
      <c r="E897" s="6" t="s">
        <v>3381</v>
      </c>
      <c r="F897" s="6" t="s">
        <v>147</v>
      </c>
      <c r="G897" s="3" t="s">
        <v>11450</v>
      </c>
      <c r="H897" s="54">
        <v>0.6</v>
      </c>
      <c r="I897" s="16">
        <v>470000000</v>
      </c>
      <c r="J897" s="157" t="s">
        <v>229</v>
      </c>
      <c r="K897" s="5" t="s">
        <v>8950</v>
      </c>
      <c r="L897" s="6" t="s">
        <v>231</v>
      </c>
      <c r="M897" s="3" t="s">
        <v>230</v>
      </c>
      <c r="N897" s="6" t="s">
        <v>528</v>
      </c>
      <c r="O897" s="6" t="s">
        <v>233</v>
      </c>
      <c r="P897" s="58" t="s">
        <v>241</v>
      </c>
      <c r="Q897" s="6" t="s">
        <v>234</v>
      </c>
      <c r="R897" s="222">
        <v>14</v>
      </c>
      <c r="S897" s="2">
        <v>240</v>
      </c>
      <c r="T897" s="4">
        <v>0</v>
      </c>
      <c r="U897" s="4">
        <f t="shared" si="35"/>
        <v>0</v>
      </c>
      <c r="V897" s="3" t="s">
        <v>362</v>
      </c>
      <c r="W897" s="3">
        <v>2014</v>
      </c>
      <c r="X897" s="3" t="s">
        <v>18906</v>
      </c>
    </row>
    <row r="898" spans="1:24" ht="63.75">
      <c r="A898" s="3" t="s">
        <v>18905</v>
      </c>
      <c r="B898" s="6" t="s">
        <v>361</v>
      </c>
      <c r="C898" s="6" t="s">
        <v>3380</v>
      </c>
      <c r="D898" s="6" t="s">
        <v>3014</v>
      </c>
      <c r="E898" s="6" t="s">
        <v>3381</v>
      </c>
      <c r="F898" s="6" t="s">
        <v>147</v>
      </c>
      <c r="G898" s="3" t="s">
        <v>11450</v>
      </c>
      <c r="H898" s="54">
        <v>0.6</v>
      </c>
      <c r="I898" s="16">
        <v>470000000</v>
      </c>
      <c r="J898" s="157" t="s">
        <v>229</v>
      </c>
      <c r="K898" s="5" t="s">
        <v>18437</v>
      </c>
      <c r="L898" s="17" t="s">
        <v>11411</v>
      </c>
      <c r="M898" s="3" t="s">
        <v>230</v>
      </c>
      <c r="N898" s="6" t="s">
        <v>528</v>
      </c>
      <c r="O898" s="6" t="s">
        <v>18749</v>
      </c>
      <c r="P898" s="58" t="s">
        <v>241</v>
      </c>
      <c r="Q898" s="6" t="s">
        <v>234</v>
      </c>
      <c r="R898" s="222">
        <v>34</v>
      </c>
      <c r="S898" s="2">
        <v>240</v>
      </c>
      <c r="T898" s="4">
        <f>R898*S898</f>
        <v>8160</v>
      </c>
      <c r="U898" s="4">
        <f t="shared" si="35"/>
        <v>9139.2000000000007</v>
      </c>
      <c r="V898" s="3" t="s">
        <v>362</v>
      </c>
      <c r="W898" s="3">
        <v>2014</v>
      </c>
      <c r="X898" s="3"/>
    </row>
    <row r="899" spans="1:24" ht="102">
      <c r="A899" s="3" t="s">
        <v>960</v>
      </c>
      <c r="B899" s="6" t="s">
        <v>361</v>
      </c>
      <c r="C899" s="6" t="s">
        <v>3382</v>
      </c>
      <c r="D899" s="6" t="s">
        <v>643</v>
      </c>
      <c r="E899" s="6" t="s">
        <v>3383</v>
      </c>
      <c r="F899" s="6" t="s">
        <v>148</v>
      </c>
      <c r="G899" s="3" t="s">
        <v>11450</v>
      </c>
      <c r="H899" s="54">
        <v>0.6</v>
      </c>
      <c r="I899" s="16">
        <v>470000000</v>
      </c>
      <c r="J899" s="157" t="s">
        <v>229</v>
      </c>
      <c r="K899" s="5" t="s">
        <v>14662</v>
      </c>
      <c r="L899" s="6" t="s">
        <v>231</v>
      </c>
      <c r="M899" s="3" t="s">
        <v>230</v>
      </c>
      <c r="N899" s="6" t="s">
        <v>524</v>
      </c>
      <c r="O899" s="6" t="s">
        <v>233</v>
      </c>
      <c r="P899" s="58" t="s">
        <v>241</v>
      </c>
      <c r="Q899" s="6" t="s">
        <v>234</v>
      </c>
      <c r="R899" s="222">
        <v>180</v>
      </c>
      <c r="S899" s="2">
        <v>350</v>
      </c>
      <c r="T899" s="4">
        <v>0</v>
      </c>
      <c r="U899" s="4">
        <f t="shared" si="35"/>
        <v>0</v>
      </c>
      <c r="V899" s="3" t="s">
        <v>362</v>
      </c>
      <c r="W899" s="3">
        <v>2014</v>
      </c>
      <c r="X899" s="3" t="s">
        <v>12051</v>
      </c>
    </row>
    <row r="900" spans="1:24" ht="102">
      <c r="A900" s="3" t="s">
        <v>14676</v>
      </c>
      <c r="B900" s="6" t="s">
        <v>361</v>
      </c>
      <c r="C900" s="6" t="s">
        <v>3382</v>
      </c>
      <c r="D900" s="6" t="s">
        <v>643</v>
      </c>
      <c r="E900" s="6" t="s">
        <v>3383</v>
      </c>
      <c r="F900" s="6" t="s">
        <v>148</v>
      </c>
      <c r="G900" s="3" t="s">
        <v>11450</v>
      </c>
      <c r="H900" s="54">
        <v>0.6</v>
      </c>
      <c r="I900" s="16">
        <v>470000000</v>
      </c>
      <c r="J900" s="157" t="s">
        <v>229</v>
      </c>
      <c r="K900" s="5" t="s">
        <v>14662</v>
      </c>
      <c r="L900" s="6" t="s">
        <v>231</v>
      </c>
      <c r="M900" s="3" t="s">
        <v>230</v>
      </c>
      <c r="N900" s="6" t="s">
        <v>524</v>
      </c>
      <c r="O900" s="6" t="s">
        <v>233</v>
      </c>
      <c r="P900" s="58" t="s">
        <v>241</v>
      </c>
      <c r="Q900" s="6" t="s">
        <v>234</v>
      </c>
      <c r="R900" s="222">
        <v>16</v>
      </c>
      <c r="S900" s="2">
        <v>420</v>
      </c>
      <c r="T900" s="4">
        <v>0</v>
      </c>
      <c r="U900" s="4">
        <f t="shared" si="35"/>
        <v>0</v>
      </c>
      <c r="V900" s="3" t="s">
        <v>362</v>
      </c>
      <c r="W900" s="3">
        <v>2014</v>
      </c>
      <c r="X900" s="3" t="s">
        <v>18908</v>
      </c>
    </row>
    <row r="901" spans="1:24" ht="63.75">
      <c r="A901" s="3" t="s">
        <v>18907</v>
      </c>
      <c r="B901" s="6" t="s">
        <v>361</v>
      </c>
      <c r="C901" s="6" t="s">
        <v>3382</v>
      </c>
      <c r="D901" s="6" t="s">
        <v>643</v>
      </c>
      <c r="E901" s="6" t="s">
        <v>3383</v>
      </c>
      <c r="F901" s="6" t="s">
        <v>148</v>
      </c>
      <c r="G901" s="3" t="s">
        <v>11450</v>
      </c>
      <c r="H901" s="54">
        <v>0.6</v>
      </c>
      <c r="I901" s="16">
        <v>470000000</v>
      </c>
      <c r="J901" s="157" t="s">
        <v>229</v>
      </c>
      <c r="K901" s="5" t="s">
        <v>18437</v>
      </c>
      <c r="L901" s="17" t="s">
        <v>11411</v>
      </c>
      <c r="M901" s="3" t="s">
        <v>230</v>
      </c>
      <c r="N901" s="6" t="s">
        <v>528</v>
      </c>
      <c r="O901" s="6" t="s">
        <v>18749</v>
      </c>
      <c r="P901" s="58" t="s">
        <v>241</v>
      </c>
      <c r="Q901" s="6" t="s">
        <v>234</v>
      </c>
      <c r="R901" s="222">
        <v>54</v>
      </c>
      <c r="S901" s="2">
        <v>420</v>
      </c>
      <c r="T901" s="4">
        <f>R901*S901</f>
        <v>22680</v>
      </c>
      <c r="U901" s="4">
        <f t="shared" si="35"/>
        <v>25401.600000000002</v>
      </c>
      <c r="V901" s="3" t="s">
        <v>362</v>
      </c>
      <c r="W901" s="3">
        <v>2014</v>
      </c>
      <c r="X901" s="3"/>
    </row>
    <row r="902" spans="1:24" ht="102">
      <c r="A902" s="3" t="s">
        <v>961</v>
      </c>
      <c r="B902" s="6" t="s">
        <v>361</v>
      </c>
      <c r="C902" s="6" t="s">
        <v>3382</v>
      </c>
      <c r="D902" s="6" t="s">
        <v>643</v>
      </c>
      <c r="E902" s="6" t="s">
        <v>3383</v>
      </c>
      <c r="F902" s="6" t="s">
        <v>149</v>
      </c>
      <c r="G902" s="3" t="s">
        <v>11450</v>
      </c>
      <c r="H902" s="54">
        <v>0.6</v>
      </c>
      <c r="I902" s="16">
        <v>470000000</v>
      </c>
      <c r="J902" s="157" t="s">
        <v>229</v>
      </c>
      <c r="K902" s="5" t="s">
        <v>211</v>
      </c>
      <c r="L902" s="6" t="s">
        <v>231</v>
      </c>
      <c r="M902" s="3" t="s">
        <v>230</v>
      </c>
      <c r="N902" s="6" t="s">
        <v>524</v>
      </c>
      <c r="O902" s="6" t="s">
        <v>233</v>
      </c>
      <c r="P902" s="58" t="s">
        <v>241</v>
      </c>
      <c r="Q902" s="6" t="s">
        <v>234</v>
      </c>
      <c r="R902" s="222">
        <v>95</v>
      </c>
      <c r="S902" s="2">
        <v>380</v>
      </c>
      <c r="T902" s="4">
        <v>0</v>
      </c>
      <c r="U902" s="4">
        <f t="shared" si="35"/>
        <v>0</v>
      </c>
      <c r="V902" s="3" t="s">
        <v>362</v>
      </c>
      <c r="W902" s="3">
        <v>2014</v>
      </c>
      <c r="X902" s="3" t="s">
        <v>12076</v>
      </c>
    </row>
    <row r="903" spans="1:24" ht="102">
      <c r="A903" s="3" t="s">
        <v>962</v>
      </c>
      <c r="B903" s="6" t="s">
        <v>361</v>
      </c>
      <c r="C903" s="6" t="s">
        <v>3382</v>
      </c>
      <c r="D903" s="6" t="s">
        <v>643</v>
      </c>
      <c r="E903" s="6" t="s">
        <v>3383</v>
      </c>
      <c r="F903" s="6" t="s">
        <v>149</v>
      </c>
      <c r="G903" s="3" t="s">
        <v>11450</v>
      </c>
      <c r="H903" s="54">
        <v>0.6</v>
      </c>
      <c r="I903" s="16">
        <v>470000000</v>
      </c>
      <c r="J903" s="157" t="s">
        <v>229</v>
      </c>
      <c r="K903" s="5" t="s">
        <v>211</v>
      </c>
      <c r="L903" s="6" t="s">
        <v>231</v>
      </c>
      <c r="M903" s="3" t="s">
        <v>230</v>
      </c>
      <c r="N903" s="6" t="s">
        <v>524</v>
      </c>
      <c r="O903" s="6" t="s">
        <v>233</v>
      </c>
      <c r="P903" s="58" t="s">
        <v>241</v>
      </c>
      <c r="Q903" s="6" t="s">
        <v>234</v>
      </c>
      <c r="R903" s="222">
        <v>22</v>
      </c>
      <c r="S903" s="2">
        <v>410</v>
      </c>
      <c r="T903" s="4">
        <v>0</v>
      </c>
      <c r="U903" s="4">
        <f t="shared" si="35"/>
        <v>0</v>
      </c>
      <c r="V903" s="3" t="s">
        <v>362</v>
      </c>
      <c r="W903" s="3">
        <v>2014</v>
      </c>
      <c r="X903" s="3" t="s">
        <v>12051</v>
      </c>
    </row>
    <row r="904" spans="1:24" ht="102">
      <c r="A904" s="3" t="s">
        <v>14677</v>
      </c>
      <c r="B904" s="6" t="s">
        <v>361</v>
      </c>
      <c r="C904" s="6" t="s">
        <v>3382</v>
      </c>
      <c r="D904" s="6" t="s">
        <v>643</v>
      </c>
      <c r="E904" s="6" t="s">
        <v>3383</v>
      </c>
      <c r="F904" s="6" t="s">
        <v>149</v>
      </c>
      <c r="G904" s="3" t="s">
        <v>11450</v>
      </c>
      <c r="H904" s="54">
        <v>0.6</v>
      </c>
      <c r="I904" s="16">
        <v>470000000</v>
      </c>
      <c r="J904" s="157" t="s">
        <v>229</v>
      </c>
      <c r="K904" s="5" t="s">
        <v>14662</v>
      </c>
      <c r="L904" s="6" t="s">
        <v>231</v>
      </c>
      <c r="M904" s="3" t="s">
        <v>230</v>
      </c>
      <c r="N904" s="6" t="s">
        <v>524</v>
      </c>
      <c r="O904" s="6" t="s">
        <v>233</v>
      </c>
      <c r="P904" s="58" t="s">
        <v>241</v>
      </c>
      <c r="Q904" s="6" t="s">
        <v>234</v>
      </c>
      <c r="R904" s="222">
        <v>16</v>
      </c>
      <c r="S904" s="2">
        <v>492</v>
      </c>
      <c r="T904" s="4">
        <v>0</v>
      </c>
      <c r="U904" s="4">
        <f t="shared" si="35"/>
        <v>0</v>
      </c>
      <c r="V904" s="3" t="s">
        <v>362</v>
      </c>
      <c r="W904" s="3">
        <v>2014</v>
      </c>
      <c r="X904" s="3">
        <v>11.14</v>
      </c>
    </row>
    <row r="905" spans="1:24" ht="102">
      <c r="A905" s="3" t="s">
        <v>18190</v>
      </c>
      <c r="B905" s="6" t="s">
        <v>361</v>
      </c>
      <c r="C905" s="6" t="s">
        <v>3382</v>
      </c>
      <c r="D905" s="6" t="s">
        <v>643</v>
      </c>
      <c r="E905" s="6" t="s">
        <v>3383</v>
      </c>
      <c r="F905" s="6" t="s">
        <v>149</v>
      </c>
      <c r="G905" s="3" t="s">
        <v>11450</v>
      </c>
      <c r="H905" s="54">
        <v>0.6</v>
      </c>
      <c r="I905" s="16">
        <v>470000000</v>
      </c>
      <c r="J905" s="157" t="s">
        <v>229</v>
      </c>
      <c r="K905" s="5" t="s">
        <v>8950</v>
      </c>
      <c r="L905" s="6" t="s">
        <v>231</v>
      </c>
      <c r="M905" s="3" t="s">
        <v>230</v>
      </c>
      <c r="N905" s="6" t="s">
        <v>528</v>
      </c>
      <c r="O905" s="6" t="s">
        <v>233</v>
      </c>
      <c r="P905" s="58" t="s">
        <v>241</v>
      </c>
      <c r="Q905" s="6" t="s">
        <v>234</v>
      </c>
      <c r="R905" s="222">
        <v>16</v>
      </c>
      <c r="S905" s="2">
        <v>492</v>
      </c>
      <c r="T905" s="4">
        <f>R905*S905</f>
        <v>7872</v>
      </c>
      <c r="U905" s="4">
        <f t="shared" si="35"/>
        <v>8816.6400000000012</v>
      </c>
      <c r="V905" s="3" t="s">
        <v>362</v>
      </c>
      <c r="W905" s="3">
        <v>2014</v>
      </c>
      <c r="X905" s="3"/>
    </row>
    <row r="906" spans="1:24" ht="102">
      <c r="A906" s="3" t="s">
        <v>963</v>
      </c>
      <c r="B906" s="6" t="s">
        <v>361</v>
      </c>
      <c r="C906" s="6" t="s">
        <v>3382</v>
      </c>
      <c r="D906" s="6" t="s">
        <v>643</v>
      </c>
      <c r="E906" s="6" t="s">
        <v>3383</v>
      </c>
      <c r="F906" s="6" t="s">
        <v>150</v>
      </c>
      <c r="G906" s="3" t="s">
        <v>11450</v>
      </c>
      <c r="H906" s="54">
        <v>0.6</v>
      </c>
      <c r="I906" s="16">
        <v>470000000</v>
      </c>
      <c r="J906" s="157" t="s">
        <v>229</v>
      </c>
      <c r="K906" s="5" t="s">
        <v>211</v>
      </c>
      <c r="L906" s="6" t="s">
        <v>231</v>
      </c>
      <c r="M906" s="3" t="s">
        <v>230</v>
      </c>
      <c r="N906" s="6" t="s">
        <v>524</v>
      </c>
      <c r="O906" s="6" t="s">
        <v>233</v>
      </c>
      <c r="P906" s="58" t="s">
        <v>241</v>
      </c>
      <c r="Q906" s="6" t="s">
        <v>234</v>
      </c>
      <c r="R906" s="222">
        <v>31</v>
      </c>
      <c r="S906" s="2">
        <v>450</v>
      </c>
      <c r="T906" s="4">
        <v>0</v>
      </c>
      <c r="U906" s="4">
        <f t="shared" si="35"/>
        <v>0</v>
      </c>
      <c r="V906" s="3" t="s">
        <v>362</v>
      </c>
      <c r="W906" s="3">
        <v>2014</v>
      </c>
      <c r="X906" s="3" t="s">
        <v>12051</v>
      </c>
    </row>
    <row r="907" spans="1:24" ht="102">
      <c r="A907" s="3" t="s">
        <v>14678</v>
      </c>
      <c r="B907" s="6" t="s">
        <v>361</v>
      </c>
      <c r="C907" s="6" t="s">
        <v>3382</v>
      </c>
      <c r="D907" s="6" t="s">
        <v>643</v>
      </c>
      <c r="E907" s="6" t="s">
        <v>3383</v>
      </c>
      <c r="F907" s="6" t="s">
        <v>150</v>
      </c>
      <c r="G907" s="3" t="s">
        <v>11450</v>
      </c>
      <c r="H907" s="54">
        <v>0.6</v>
      </c>
      <c r="I907" s="16">
        <v>470000000</v>
      </c>
      <c r="J907" s="157" t="s">
        <v>229</v>
      </c>
      <c r="K907" s="5" t="s">
        <v>14662</v>
      </c>
      <c r="L907" s="6" t="s">
        <v>231</v>
      </c>
      <c r="M907" s="3" t="s">
        <v>230</v>
      </c>
      <c r="N907" s="6" t="s">
        <v>524</v>
      </c>
      <c r="O907" s="6" t="s">
        <v>233</v>
      </c>
      <c r="P907" s="58" t="s">
        <v>241</v>
      </c>
      <c r="Q907" s="6" t="s">
        <v>234</v>
      </c>
      <c r="R907" s="222">
        <v>25</v>
      </c>
      <c r="S907" s="2">
        <v>540</v>
      </c>
      <c r="T907" s="4">
        <v>0</v>
      </c>
      <c r="U907" s="4">
        <f t="shared" si="35"/>
        <v>0</v>
      </c>
      <c r="V907" s="3" t="s">
        <v>362</v>
      </c>
      <c r="W907" s="3">
        <v>2014</v>
      </c>
      <c r="X907" s="3">
        <v>11.14</v>
      </c>
    </row>
    <row r="908" spans="1:24" ht="102">
      <c r="A908" s="3" t="s">
        <v>18191</v>
      </c>
      <c r="B908" s="6" t="s">
        <v>361</v>
      </c>
      <c r="C908" s="6" t="s">
        <v>3382</v>
      </c>
      <c r="D908" s="6" t="s">
        <v>643</v>
      </c>
      <c r="E908" s="6" t="s">
        <v>3383</v>
      </c>
      <c r="F908" s="6" t="s">
        <v>150</v>
      </c>
      <c r="G908" s="3" t="s">
        <v>11450</v>
      </c>
      <c r="H908" s="54">
        <v>0.6</v>
      </c>
      <c r="I908" s="16">
        <v>470000000</v>
      </c>
      <c r="J908" s="157" t="s">
        <v>229</v>
      </c>
      <c r="K908" s="5" t="s">
        <v>8950</v>
      </c>
      <c r="L908" s="6" t="s">
        <v>231</v>
      </c>
      <c r="M908" s="3" t="s">
        <v>230</v>
      </c>
      <c r="N908" s="6" t="s">
        <v>528</v>
      </c>
      <c r="O908" s="6" t="s">
        <v>233</v>
      </c>
      <c r="P908" s="58" t="s">
        <v>241</v>
      </c>
      <c r="Q908" s="6" t="s">
        <v>234</v>
      </c>
      <c r="R908" s="222">
        <v>25</v>
      </c>
      <c r="S908" s="2">
        <v>540</v>
      </c>
      <c r="T908" s="4">
        <f>R908*S908</f>
        <v>13500</v>
      </c>
      <c r="U908" s="4">
        <f t="shared" si="35"/>
        <v>15120.000000000002</v>
      </c>
      <c r="V908" s="3" t="s">
        <v>362</v>
      </c>
      <c r="W908" s="3">
        <v>2014</v>
      </c>
      <c r="X908" s="3"/>
    </row>
    <row r="909" spans="1:24" ht="102">
      <c r="A909" s="3" t="s">
        <v>964</v>
      </c>
      <c r="B909" s="6" t="s">
        <v>361</v>
      </c>
      <c r="C909" s="6" t="s">
        <v>3384</v>
      </c>
      <c r="D909" s="6" t="s">
        <v>3385</v>
      </c>
      <c r="E909" s="6" t="s">
        <v>3386</v>
      </c>
      <c r="F909" s="6" t="s">
        <v>151</v>
      </c>
      <c r="G909" s="3" t="s">
        <v>11450</v>
      </c>
      <c r="H909" s="54">
        <v>0.6</v>
      </c>
      <c r="I909" s="16">
        <v>470000000</v>
      </c>
      <c r="J909" s="157" t="s">
        <v>229</v>
      </c>
      <c r="K909" s="5" t="s">
        <v>211</v>
      </c>
      <c r="L909" s="6" t="s">
        <v>231</v>
      </c>
      <c r="M909" s="3" t="s">
        <v>230</v>
      </c>
      <c r="N909" s="6" t="s">
        <v>524</v>
      </c>
      <c r="O909" s="6" t="s">
        <v>233</v>
      </c>
      <c r="P909" s="58" t="s">
        <v>241</v>
      </c>
      <c r="Q909" s="6" t="s">
        <v>234</v>
      </c>
      <c r="R909" s="222">
        <v>2</v>
      </c>
      <c r="S909" s="2">
        <v>480</v>
      </c>
      <c r="T909" s="4">
        <f>R909*S909</f>
        <v>960</v>
      </c>
      <c r="U909" s="4">
        <f t="shared" si="35"/>
        <v>1075.2</v>
      </c>
      <c r="V909" s="3" t="s">
        <v>362</v>
      </c>
      <c r="W909" s="3">
        <v>2014</v>
      </c>
      <c r="X909" s="3" t="s">
        <v>14785</v>
      </c>
    </row>
    <row r="910" spans="1:24" ht="102">
      <c r="A910" s="3" t="s">
        <v>14679</v>
      </c>
      <c r="B910" s="6" t="s">
        <v>361</v>
      </c>
      <c r="C910" s="6" t="s">
        <v>3384</v>
      </c>
      <c r="D910" s="6" t="s">
        <v>3385</v>
      </c>
      <c r="E910" s="6" t="s">
        <v>3386</v>
      </c>
      <c r="F910" s="6" t="s">
        <v>151</v>
      </c>
      <c r="G910" s="3" t="s">
        <v>11450</v>
      </c>
      <c r="H910" s="54">
        <v>0.6</v>
      </c>
      <c r="I910" s="16">
        <v>470000000</v>
      </c>
      <c r="J910" s="157" t="s">
        <v>229</v>
      </c>
      <c r="K910" s="5" t="s">
        <v>14662</v>
      </c>
      <c r="L910" s="6" t="s">
        <v>231</v>
      </c>
      <c r="M910" s="3" t="s">
        <v>230</v>
      </c>
      <c r="N910" s="6" t="s">
        <v>524</v>
      </c>
      <c r="O910" s="6" t="s">
        <v>233</v>
      </c>
      <c r="P910" s="58" t="s">
        <v>241</v>
      </c>
      <c r="Q910" s="6" t="s">
        <v>234</v>
      </c>
      <c r="R910" s="222">
        <v>2</v>
      </c>
      <c r="S910" s="2">
        <v>576</v>
      </c>
      <c r="T910" s="4">
        <v>0</v>
      </c>
      <c r="U910" s="4">
        <f t="shared" si="35"/>
        <v>0</v>
      </c>
      <c r="V910" s="3" t="s">
        <v>362</v>
      </c>
      <c r="W910" s="3">
        <v>2014</v>
      </c>
      <c r="X910" s="3">
        <v>11.14</v>
      </c>
    </row>
    <row r="911" spans="1:24" ht="102">
      <c r="A911" s="3" t="s">
        <v>18192</v>
      </c>
      <c r="B911" s="6" t="s">
        <v>361</v>
      </c>
      <c r="C911" s="6" t="s">
        <v>3384</v>
      </c>
      <c r="D911" s="6" t="s">
        <v>3385</v>
      </c>
      <c r="E911" s="6" t="s">
        <v>3386</v>
      </c>
      <c r="F911" s="6" t="s">
        <v>151</v>
      </c>
      <c r="G911" s="3" t="s">
        <v>11450</v>
      </c>
      <c r="H911" s="54">
        <v>0.6</v>
      </c>
      <c r="I911" s="16">
        <v>470000000</v>
      </c>
      <c r="J911" s="157" t="s">
        <v>229</v>
      </c>
      <c r="K911" s="5" t="s">
        <v>8950</v>
      </c>
      <c r="L911" s="6" t="s">
        <v>231</v>
      </c>
      <c r="M911" s="3" t="s">
        <v>230</v>
      </c>
      <c r="N911" s="6" t="s">
        <v>528</v>
      </c>
      <c r="O911" s="6" t="s">
        <v>233</v>
      </c>
      <c r="P911" s="58" t="s">
        <v>241</v>
      </c>
      <c r="Q911" s="6" t="s">
        <v>234</v>
      </c>
      <c r="R911" s="222">
        <v>2</v>
      </c>
      <c r="S911" s="2">
        <v>576</v>
      </c>
      <c r="T911" s="4">
        <f>R911*S911</f>
        <v>1152</v>
      </c>
      <c r="U911" s="4">
        <f t="shared" si="35"/>
        <v>1290.2400000000002</v>
      </c>
      <c r="V911" s="3" t="s">
        <v>362</v>
      </c>
      <c r="W911" s="3">
        <v>2014</v>
      </c>
      <c r="X911" s="3"/>
    </row>
    <row r="912" spans="1:24" ht="102">
      <c r="A912" s="3" t="s">
        <v>965</v>
      </c>
      <c r="B912" s="6" t="s">
        <v>361</v>
      </c>
      <c r="C912" s="6" t="s">
        <v>3387</v>
      </c>
      <c r="D912" s="6" t="s">
        <v>3388</v>
      </c>
      <c r="E912" s="6" t="s">
        <v>3389</v>
      </c>
      <c r="F912" s="6" t="s">
        <v>152</v>
      </c>
      <c r="G912" s="3" t="s">
        <v>11450</v>
      </c>
      <c r="H912" s="54">
        <v>0.6</v>
      </c>
      <c r="I912" s="16">
        <v>470000000</v>
      </c>
      <c r="J912" s="157" t="s">
        <v>229</v>
      </c>
      <c r="K912" s="5" t="s">
        <v>211</v>
      </c>
      <c r="L912" s="6" t="s">
        <v>231</v>
      </c>
      <c r="M912" s="3" t="s">
        <v>230</v>
      </c>
      <c r="N912" s="6" t="s">
        <v>524</v>
      </c>
      <c r="O912" s="6" t="s">
        <v>233</v>
      </c>
      <c r="P912" s="58" t="s">
        <v>241</v>
      </c>
      <c r="Q912" s="6" t="s">
        <v>234</v>
      </c>
      <c r="R912" s="222">
        <v>780</v>
      </c>
      <c r="S912" s="2">
        <v>60</v>
      </c>
      <c r="T912" s="4">
        <v>0</v>
      </c>
      <c r="U912" s="4">
        <f t="shared" si="35"/>
        <v>0</v>
      </c>
      <c r="V912" s="3" t="s">
        <v>362</v>
      </c>
      <c r="W912" s="3">
        <v>2014</v>
      </c>
      <c r="X912" s="3" t="s">
        <v>14785</v>
      </c>
    </row>
    <row r="913" spans="1:24" ht="102">
      <c r="A913" s="3" t="s">
        <v>14680</v>
      </c>
      <c r="B913" s="6" t="s">
        <v>361</v>
      </c>
      <c r="C913" s="6" t="s">
        <v>3387</v>
      </c>
      <c r="D913" s="6" t="s">
        <v>3388</v>
      </c>
      <c r="E913" s="6" t="s">
        <v>3389</v>
      </c>
      <c r="F913" s="6" t="s">
        <v>152</v>
      </c>
      <c r="G913" s="3" t="s">
        <v>11450</v>
      </c>
      <c r="H913" s="54">
        <v>0.6</v>
      </c>
      <c r="I913" s="16">
        <v>470000000</v>
      </c>
      <c r="J913" s="157" t="s">
        <v>229</v>
      </c>
      <c r="K913" s="5" t="s">
        <v>220</v>
      </c>
      <c r="L913" s="6" t="s">
        <v>231</v>
      </c>
      <c r="M913" s="3" t="s">
        <v>230</v>
      </c>
      <c r="N913" s="6" t="s">
        <v>524</v>
      </c>
      <c r="O913" s="6" t="s">
        <v>233</v>
      </c>
      <c r="P913" s="58" t="s">
        <v>241</v>
      </c>
      <c r="Q913" s="6" t="s">
        <v>234</v>
      </c>
      <c r="R913" s="222">
        <v>780</v>
      </c>
      <c r="S913" s="2">
        <v>72</v>
      </c>
      <c r="T913" s="4">
        <v>0</v>
      </c>
      <c r="U913" s="4">
        <f t="shared" si="35"/>
        <v>0</v>
      </c>
      <c r="V913" s="3" t="s">
        <v>362</v>
      </c>
      <c r="W913" s="3">
        <v>2014</v>
      </c>
      <c r="X913" s="3">
        <v>11.14</v>
      </c>
    </row>
    <row r="914" spans="1:24" ht="102">
      <c r="A914" s="3" t="s">
        <v>18193</v>
      </c>
      <c r="B914" s="6" t="s">
        <v>361</v>
      </c>
      <c r="C914" s="6" t="s">
        <v>3387</v>
      </c>
      <c r="D914" s="6" t="s">
        <v>3388</v>
      </c>
      <c r="E914" s="6" t="s">
        <v>3389</v>
      </c>
      <c r="F914" s="6" t="s">
        <v>152</v>
      </c>
      <c r="G914" s="3" t="s">
        <v>11450</v>
      </c>
      <c r="H914" s="54">
        <v>0.6</v>
      </c>
      <c r="I914" s="16">
        <v>470000000</v>
      </c>
      <c r="J914" s="157" t="s">
        <v>229</v>
      </c>
      <c r="K914" s="5" t="s">
        <v>8950</v>
      </c>
      <c r="L914" s="6" t="s">
        <v>231</v>
      </c>
      <c r="M914" s="3" t="s">
        <v>230</v>
      </c>
      <c r="N914" s="6" t="s">
        <v>528</v>
      </c>
      <c r="O914" s="6" t="s">
        <v>233</v>
      </c>
      <c r="P914" s="58" t="s">
        <v>241</v>
      </c>
      <c r="Q914" s="6" t="s">
        <v>234</v>
      </c>
      <c r="R914" s="222">
        <v>780</v>
      </c>
      <c r="S914" s="2">
        <v>72</v>
      </c>
      <c r="T914" s="4">
        <f>R914*S914</f>
        <v>56160</v>
      </c>
      <c r="U914" s="4">
        <f t="shared" si="35"/>
        <v>62899.200000000004</v>
      </c>
      <c r="V914" s="3" t="s">
        <v>362</v>
      </c>
      <c r="W914" s="3">
        <v>2014</v>
      </c>
      <c r="X914" s="3"/>
    </row>
    <row r="915" spans="1:24" ht="114.75">
      <c r="A915" s="3" t="s">
        <v>966</v>
      </c>
      <c r="B915" s="6" t="s">
        <v>361</v>
      </c>
      <c r="C915" s="6" t="s">
        <v>3399</v>
      </c>
      <c r="D915" s="6" t="s">
        <v>433</v>
      </c>
      <c r="E915" s="6" t="s">
        <v>3400</v>
      </c>
      <c r="F915" s="6" t="s">
        <v>153</v>
      </c>
      <c r="G915" s="3" t="s">
        <v>11449</v>
      </c>
      <c r="H915" s="54">
        <v>0</v>
      </c>
      <c r="I915" s="16">
        <v>470000000</v>
      </c>
      <c r="J915" s="157" t="s">
        <v>229</v>
      </c>
      <c r="K915" s="5" t="s">
        <v>210</v>
      </c>
      <c r="L915" s="6" t="s">
        <v>231</v>
      </c>
      <c r="M915" s="3" t="s">
        <v>230</v>
      </c>
      <c r="N915" s="6" t="s">
        <v>524</v>
      </c>
      <c r="O915" s="6" t="s">
        <v>233</v>
      </c>
      <c r="P915" s="58" t="s">
        <v>241</v>
      </c>
      <c r="Q915" s="6" t="s">
        <v>234</v>
      </c>
      <c r="R915" s="222">
        <v>277</v>
      </c>
      <c r="S915" s="2">
        <v>12850</v>
      </c>
      <c r="T915" s="4">
        <v>0</v>
      </c>
      <c r="U915" s="4">
        <f t="shared" si="35"/>
        <v>0</v>
      </c>
      <c r="V915" s="3" t="s">
        <v>362</v>
      </c>
      <c r="W915" s="3">
        <v>2014</v>
      </c>
      <c r="X915" s="3">
        <v>11.12</v>
      </c>
    </row>
    <row r="916" spans="1:24" ht="114.75">
      <c r="A916" s="3" t="s">
        <v>12181</v>
      </c>
      <c r="B916" s="6" t="s">
        <v>361</v>
      </c>
      <c r="C916" s="6" t="s">
        <v>3399</v>
      </c>
      <c r="D916" s="6" t="s">
        <v>433</v>
      </c>
      <c r="E916" s="6" t="s">
        <v>3400</v>
      </c>
      <c r="F916" s="6" t="s">
        <v>153</v>
      </c>
      <c r="G916" s="3" t="s">
        <v>11449</v>
      </c>
      <c r="H916" s="54">
        <v>0</v>
      </c>
      <c r="I916" s="16">
        <v>470000000</v>
      </c>
      <c r="J916" s="157" t="s">
        <v>229</v>
      </c>
      <c r="K916" s="5" t="s">
        <v>211</v>
      </c>
      <c r="L916" s="17" t="s">
        <v>11411</v>
      </c>
      <c r="M916" s="3" t="s">
        <v>230</v>
      </c>
      <c r="N916" s="6" t="s">
        <v>524</v>
      </c>
      <c r="O916" s="6" t="s">
        <v>233</v>
      </c>
      <c r="P916" s="58" t="s">
        <v>241</v>
      </c>
      <c r="Q916" s="6" t="s">
        <v>234</v>
      </c>
      <c r="R916" s="222">
        <v>0</v>
      </c>
      <c r="S916" s="2">
        <v>12850</v>
      </c>
      <c r="T916" s="4">
        <f>R916*S916</f>
        <v>0</v>
      </c>
      <c r="U916" s="4">
        <f t="shared" ref="U916:U983" si="36">T916*1.12</f>
        <v>0</v>
      </c>
      <c r="V916" s="3" t="s">
        <v>362</v>
      </c>
      <c r="W916" s="3">
        <v>2014</v>
      </c>
      <c r="X916" s="3" t="s">
        <v>12076</v>
      </c>
    </row>
    <row r="917" spans="1:24" ht="114.75">
      <c r="A917" s="3" t="s">
        <v>967</v>
      </c>
      <c r="B917" s="6" t="s">
        <v>361</v>
      </c>
      <c r="C917" s="6" t="s">
        <v>3399</v>
      </c>
      <c r="D917" s="6" t="s">
        <v>433</v>
      </c>
      <c r="E917" s="6" t="s">
        <v>3400</v>
      </c>
      <c r="F917" s="6" t="s">
        <v>154</v>
      </c>
      <c r="G917" s="3" t="s">
        <v>11449</v>
      </c>
      <c r="H917" s="54">
        <v>0</v>
      </c>
      <c r="I917" s="16">
        <v>470000000</v>
      </c>
      <c r="J917" s="157" t="s">
        <v>229</v>
      </c>
      <c r="K917" s="5" t="s">
        <v>210</v>
      </c>
      <c r="L917" s="6" t="s">
        <v>231</v>
      </c>
      <c r="M917" s="3" t="s">
        <v>230</v>
      </c>
      <c r="N917" s="6" t="s">
        <v>524</v>
      </c>
      <c r="O917" s="6" t="s">
        <v>233</v>
      </c>
      <c r="P917" s="58" t="s">
        <v>241</v>
      </c>
      <c r="Q917" s="6" t="s">
        <v>234</v>
      </c>
      <c r="R917" s="222">
        <v>137</v>
      </c>
      <c r="S917" s="2">
        <v>9000</v>
      </c>
      <c r="T917" s="4">
        <v>0</v>
      </c>
      <c r="U917" s="4">
        <f t="shared" si="36"/>
        <v>0</v>
      </c>
      <c r="V917" s="3" t="s">
        <v>362</v>
      </c>
      <c r="W917" s="3">
        <v>2014</v>
      </c>
      <c r="X917" s="3">
        <v>11.12</v>
      </c>
    </row>
    <row r="918" spans="1:24" ht="114.75">
      <c r="A918" s="3" t="s">
        <v>12180</v>
      </c>
      <c r="B918" s="6" t="s">
        <v>361</v>
      </c>
      <c r="C918" s="6" t="s">
        <v>3399</v>
      </c>
      <c r="D918" s="6" t="s">
        <v>433</v>
      </c>
      <c r="E918" s="6" t="s">
        <v>3400</v>
      </c>
      <c r="F918" s="6" t="s">
        <v>154</v>
      </c>
      <c r="G918" s="3" t="s">
        <v>11449</v>
      </c>
      <c r="H918" s="54">
        <v>0</v>
      </c>
      <c r="I918" s="16">
        <v>470000000</v>
      </c>
      <c r="J918" s="157" t="s">
        <v>229</v>
      </c>
      <c r="K918" s="5" t="s">
        <v>211</v>
      </c>
      <c r="L918" s="17" t="s">
        <v>11411</v>
      </c>
      <c r="M918" s="3" t="s">
        <v>230</v>
      </c>
      <c r="N918" s="6" t="s">
        <v>524</v>
      </c>
      <c r="O918" s="6" t="s">
        <v>233</v>
      </c>
      <c r="P918" s="58" t="s">
        <v>241</v>
      </c>
      <c r="Q918" s="6" t="s">
        <v>234</v>
      </c>
      <c r="R918" s="222">
        <v>0</v>
      </c>
      <c r="S918" s="2">
        <v>9000</v>
      </c>
      <c r="T918" s="4">
        <f>R918*S918</f>
        <v>0</v>
      </c>
      <c r="U918" s="4">
        <f t="shared" si="36"/>
        <v>0</v>
      </c>
      <c r="V918" s="3" t="s">
        <v>362</v>
      </c>
      <c r="W918" s="3">
        <v>2014</v>
      </c>
      <c r="X918" s="3" t="s">
        <v>12076</v>
      </c>
    </row>
    <row r="919" spans="1:24" ht="127.5">
      <c r="A919" s="3" t="s">
        <v>968</v>
      </c>
      <c r="B919" s="6" t="s">
        <v>361</v>
      </c>
      <c r="C919" s="6" t="s">
        <v>3399</v>
      </c>
      <c r="D919" s="6" t="s">
        <v>433</v>
      </c>
      <c r="E919" s="6" t="s">
        <v>3400</v>
      </c>
      <c r="F919" s="6" t="s">
        <v>3390</v>
      </c>
      <c r="G919" s="3" t="s">
        <v>11449</v>
      </c>
      <c r="H919" s="54">
        <v>0</v>
      </c>
      <c r="I919" s="16">
        <v>470000000</v>
      </c>
      <c r="J919" s="157" t="s">
        <v>229</v>
      </c>
      <c r="K919" s="5" t="s">
        <v>210</v>
      </c>
      <c r="L919" s="6" t="s">
        <v>231</v>
      </c>
      <c r="M919" s="3" t="s">
        <v>230</v>
      </c>
      <c r="N919" s="6" t="s">
        <v>524</v>
      </c>
      <c r="O919" s="6" t="s">
        <v>233</v>
      </c>
      <c r="P919" s="58" t="s">
        <v>241</v>
      </c>
      <c r="Q919" s="6" t="s">
        <v>234</v>
      </c>
      <c r="R919" s="222">
        <v>6</v>
      </c>
      <c r="S919" s="2">
        <v>14980</v>
      </c>
      <c r="T919" s="4">
        <v>0</v>
      </c>
      <c r="U919" s="4">
        <f t="shared" si="36"/>
        <v>0</v>
      </c>
      <c r="V919" s="3" t="s">
        <v>362</v>
      </c>
      <c r="W919" s="3">
        <v>2014</v>
      </c>
      <c r="X919" s="3">
        <v>11.12</v>
      </c>
    </row>
    <row r="920" spans="1:24" ht="127.5">
      <c r="A920" s="3" t="s">
        <v>12182</v>
      </c>
      <c r="B920" s="6" t="s">
        <v>361</v>
      </c>
      <c r="C920" s="6" t="s">
        <v>3399</v>
      </c>
      <c r="D920" s="6" t="s">
        <v>433</v>
      </c>
      <c r="E920" s="6" t="s">
        <v>3400</v>
      </c>
      <c r="F920" s="6" t="s">
        <v>3390</v>
      </c>
      <c r="G920" s="3" t="s">
        <v>11449</v>
      </c>
      <c r="H920" s="54">
        <v>0</v>
      </c>
      <c r="I920" s="16">
        <v>470000000</v>
      </c>
      <c r="J920" s="157" t="s">
        <v>229</v>
      </c>
      <c r="K920" s="5" t="s">
        <v>211</v>
      </c>
      <c r="L920" s="17" t="s">
        <v>11411</v>
      </c>
      <c r="M920" s="3" t="s">
        <v>230</v>
      </c>
      <c r="N920" s="6" t="s">
        <v>524</v>
      </c>
      <c r="O920" s="6" t="s">
        <v>233</v>
      </c>
      <c r="P920" s="58" t="s">
        <v>241</v>
      </c>
      <c r="Q920" s="6" t="s">
        <v>234</v>
      </c>
      <c r="R920" s="222">
        <v>0</v>
      </c>
      <c r="S920" s="2">
        <v>14980</v>
      </c>
      <c r="T920" s="4">
        <f>R920*S920</f>
        <v>0</v>
      </c>
      <c r="U920" s="4">
        <f t="shared" si="36"/>
        <v>0</v>
      </c>
      <c r="V920" s="3" t="s">
        <v>362</v>
      </c>
      <c r="W920" s="3">
        <v>2014</v>
      </c>
      <c r="X920" s="3" t="s">
        <v>12076</v>
      </c>
    </row>
    <row r="921" spans="1:24" ht="102">
      <c r="A921" s="3" t="s">
        <v>969</v>
      </c>
      <c r="B921" s="6" t="s">
        <v>361</v>
      </c>
      <c r="C921" s="6" t="s">
        <v>3401</v>
      </c>
      <c r="D921" s="6" t="s">
        <v>3402</v>
      </c>
      <c r="E921" s="6" t="s">
        <v>3403</v>
      </c>
      <c r="F921" s="6" t="s">
        <v>3391</v>
      </c>
      <c r="G921" s="3" t="s">
        <v>11449</v>
      </c>
      <c r="H921" s="54">
        <v>0</v>
      </c>
      <c r="I921" s="16">
        <v>470000000</v>
      </c>
      <c r="J921" s="157" t="s">
        <v>229</v>
      </c>
      <c r="K921" s="5" t="s">
        <v>210</v>
      </c>
      <c r="L921" s="6" t="s">
        <v>231</v>
      </c>
      <c r="M921" s="3" t="s">
        <v>230</v>
      </c>
      <c r="N921" s="6" t="s">
        <v>524</v>
      </c>
      <c r="O921" s="6" t="s">
        <v>233</v>
      </c>
      <c r="P921" s="58" t="s">
        <v>242</v>
      </c>
      <c r="Q921" s="6" t="s">
        <v>239</v>
      </c>
      <c r="R921" s="222">
        <v>81</v>
      </c>
      <c r="S921" s="2">
        <v>13000</v>
      </c>
      <c r="T921" s="4">
        <v>0</v>
      </c>
      <c r="U921" s="4">
        <f t="shared" si="36"/>
        <v>0</v>
      </c>
      <c r="V921" s="3" t="s">
        <v>362</v>
      </c>
      <c r="W921" s="3">
        <v>2014</v>
      </c>
      <c r="X921" s="3">
        <v>11.12</v>
      </c>
    </row>
    <row r="922" spans="1:24" ht="89.25">
      <c r="A922" s="3" t="s">
        <v>12183</v>
      </c>
      <c r="B922" s="6" t="s">
        <v>361</v>
      </c>
      <c r="C922" s="6" t="s">
        <v>3401</v>
      </c>
      <c r="D922" s="6" t="s">
        <v>3402</v>
      </c>
      <c r="E922" s="6" t="s">
        <v>3403</v>
      </c>
      <c r="F922" s="6" t="s">
        <v>3391</v>
      </c>
      <c r="G922" s="3" t="s">
        <v>11449</v>
      </c>
      <c r="H922" s="54">
        <v>0</v>
      </c>
      <c r="I922" s="16">
        <v>470000000</v>
      </c>
      <c r="J922" s="157" t="s">
        <v>229</v>
      </c>
      <c r="K922" s="5" t="s">
        <v>211</v>
      </c>
      <c r="L922" s="17" t="s">
        <v>11411</v>
      </c>
      <c r="M922" s="3" t="s">
        <v>230</v>
      </c>
      <c r="N922" s="6" t="s">
        <v>524</v>
      </c>
      <c r="O922" s="6" t="s">
        <v>233</v>
      </c>
      <c r="P922" s="58" t="s">
        <v>242</v>
      </c>
      <c r="Q922" s="6" t="s">
        <v>239</v>
      </c>
      <c r="R922" s="222">
        <v>81</v>
      </c>
      <c r="S922" s="2">
        <v>13000</v>
      </c>
      <c r="T922" s="4">
        <v>0</v>
      </c>
      <c r="U922" s="4">
        <f t="shared" si="36"/>
        <v>0</v>
      </c>
      <c r="V922" s="3" t="s">
        <v>362</v>
      </c>
      <c r="W922" s="3">
        <v>2014</v>
      </c>
      <c r="X922" s="3" t="s">
        <v>12076</v>
      </c>
    </row>
    <row r="923" spans="1:24" ht="114.75">
      <c r="A923" s="3" t="s">
        <v>970</v>
      </c>
      <c r="B923" s="6" t="s">
        <v>361</v>
      </c>
      <c r="C923" s="6" t="s">
        <v>3404</v>
      </c>
      <c r="D923" s="6" t="s">
        <v>3405</v>
      </c>
      <c r="E923" s="6" t="s">
        <v>3406</v>
      </c>
      <c r="F923" s="6" t="s">
        <v>3392</v>
      </c>
      <c r="G923" s="3" t="s">
        <v>11449</v>
      </c>
      <c r="H923" s="54">
        <v>0</v>
      </c>
      <c r="I923" s="16">
        <v>470000000</v>
      </c>
      <c r="J923" s="157" t="s">
        <v>229</v>
      </c>
      <c r="K923" s="5" t="s">
        <v>210</v>
      </c>
      <c r="L923" s="6" t="s">
        <v>231</v>
      </c>
      <c r="M923" s="3" t="s">
        <v>230</v>
      </c>
      <c r="N923" s="6" t="s">
        <v>524</v>
      </c>
      <c r="O923" s="6" t="s">
        <v>233</v>
      </c>
      <c r="P923" s="58" t="s">
        <v>242</v>
      </c>
      <c r="Q923" s="6" t="s">
        <v>239</v>
      </c>
      <c r="R923" s="222">
        <v>76</v>
      </c>
      <c r="S923" s="2">
        <v>12733</v>
      </c>
      <c r="T923" s="4">
        <v>0</v>
      </c>
      <c r="U923" s="4">
        <f t="shared" si="36"/>
        <v>0</v>
      </c>
      <c r="V923" s="3" t="s">
        <v>362</v>
      </c>
      <c r="W923" s="3">
        <v>2014</v>
      </c>
      <c r="X923" s="3" t="s">
        <v>12051</v>
      </c>
    </row>
    <row r="924" spans="1:24" ht="114.75">
      <c r="A924" s="3" t="s">
        <v>16360</v>
      </c>
      <c r="B924" s="6" t="s">
        <v>361</v>
      </c>
      <c r="C924" s="6" t="s">
        <v>3404</v>
      </c>
      <c r="D924" s="6" t="s">
        <v>3405</v>
      </c>
      <c r="E924" s="6" t="s">
        <v>3406</v>
      </c>
      <c r="F924" s="6" t="s">
        <v>3392</v>
      </c>
      <c r="G924" s="3" t="s">
        <v>11449</v>
      </c>
      <c r="H924" s="54">
        <v>0</v>
      </c>
      <c r="I924" s="16">
        <v>470000000</v>
      </c>
      <c r="J924" s="157" t="s">
        <v>229</v>
      </c>
      <c r="K924" s="5" t="s">
        <v>14590</v>
      </c>
      <c r="L924" s="6" t="s">
        <v>231</v>
      </c>
      <c r="M924" s="3" t="s">
        <v>230</v>
      </c>
      <c r="N924" s="6" t="s">
        <v>524</v>
      </c>
      <c r="O924" s="6" t="s">
        <v>233</v>
      </c>
      <c r="P924" s="58" t="s">
        <v>242</v>
      </c>
      <c r="Q924" s="6" t="s">
        <v>239</v>
      </c>
      <c r="R924" s="222">
        <v>5</v>
      </c>
      <c r="S924" s="2">
        <v>15280</v>
      </c>
      <c r="T924" s="4">
        <v>0</v>
      </c>
      <c r="U924" s="4">
        <f t="shared" si="36"/>
        <v>0</v>
      </c>
      <c r="V924" s="3" t="s">
        <v>362</v>
      </c>
      <c r="W924" s="3">
        <v>2014</v>
      </c>
      <c r="X924" s="3" t="s">
        <v>16520</v>
      </c>
    </row>
    <row r="925" spans="1:24" ht="114.75">
      <c r="A925" s="3" t="s">
        <v>18194</v>
      </c>
      <c r="B925" s="6" t="s">
        <v>361</v>
      </c>
      <c r="C925" s="6" t="s">
        <v>3404</v>
      </c>
      <c r="D925" s="6" t="s">
        <v>3405</v>
      </c>
      <c r="E925" s="6" t="s">
        <v>3406</v>
      </c>
      <c r="F925" s="6" t="s">
        <v>3392</v>
      </c>
      <c r="G925" s="3" t="s">
        <v>11450</v>
      </c>
      <c r="H925" s="54">
        <v>0</v>
      </c>
      <c r="I925" s="16">
        <v>470000000</v>
      </c>
      <c r="J925" s="157" t="s">
        <v>229</v>
      </c>
      <c r="K925" s="5" t="s">
        <v>8950</v>
      </c>
      <c r="L925" s="6" t="s">
        <v>231</v>
      </c>
      <c r="M925" s="3" t="s">
        <v>230</v>
      </c>
      <c r="N925" s="6" t="s">
        <v>528</v>
      </c>
      <c r="O925" s="6" t="s">
        <v>233</v>
      </c>
      <c r="P925" s="58" t="s">
        <v>242</v>
      </c>
      <c r="Q925" s="6" t="s">
        <v>239</v>
      </c>
      <c r="R925" s="222">
        <v>5</v>
      </c>
      <c r="S925" s="2">
        <v>15279.599999999999</v>
      </c>
      <c r="T925" s="4">
        <v>0</v>
      </c>
      <c r="U925" s="4">
        <f t="shared" si="36"/>
        <v>0</v>
      </c>
      <c r="V925" s="3" t="s">
        <v>362</v>
      </c>
      <c r="W925" s="3">
        <v>2014</v>
      </c>
      <c r="X925" s="3" t="s">
        <v>18910</v>
      </c>
    </row>
    <row r="926" spans="1:24" ht="114.75">
      <c r="A926" s="3" t="s">
        <v>19090</v>
      </c>
      <c r="B926" s="6" t="s">
        <v>361</v>
      </c>
      <c r="C926" s="6" t="s">
        <v>3404</v>
      </c>
      <c r="D926" s="6" t="s">
        <v>3405</v>
      </c>
      <c r="E926" s="6" t="s">
        <v>3406</v>
      </c>
      <c r="F926" s="6" t="s">
        <v>3392</v>
      </c>
      <c r="G926" s="3" t="s">
        <v>11450</v>
      </c>
      <c r="H926" s="54">
        <v>0.35</v>
      </c>
      <c r="I926" s="16">
        <v>470000000</v>
      </c>
      <c r="J926" s="157" t="s">
        <v>229</v>
      </c>
      <c r="K926" s="5" t="s">
        <v>18437</v>
      </c>
      <c r="L926" s="17" t="s">
        <v>11411</v>
      </c>
      <c r="M926" s="3" t="s">
        <v>230</v>
      </c>
      <c r="N926" s="6" t="s">
        <v>528</v>
      </c>
      <c r="O926" s="6" t="s">
        <v>18749</v>
      </c>
      <c r="P926" s="58" t="s">
        <v>242</v>
      </c>
      <c r="Q926" s="6" t="s">
        <v>239</v>
      </c>
      <c r="R926" s="222">
        <v>11</v>
      </c>
      <c r="S926" s="2">
        <v>15279.6</v>
      </c>
      <c r="T926" s="4">
        <f>R926*S926</f>
        <v>168075.6</v>
      </c>
      <c r="U926" s="4">
        <f t="shared" si="36"/>
        <v>188244.67200000002</v>
      </c>
      <c r="V926" s="3" t="s">
        <v>362</v>
      </c>
      <c r="W926" s="3">
        <v>2014</v>
      </c>
      <c r="X926" s="3"/>
    </row>
    <row r="927" spans="1:24" ht="102">
      <c r="A927" s="3" t="s">
        <v>971</v>
      </c>
      <c r="B927" s="6" t="s">
        <v>361</v>
      </c>
      <c r="C927" s="6" t="s">
        <v>3408</v>
      </c>
      <c r="D927" s="6" t="s">
        <v>3407</v>
      </c>
      <c r="E927" s="6" t="s">
        <v>3409</v>
      </c>
      <c r="F927" s="6" t="s">
        <v>3393</v>
      </c>
      <c r="G927" s="3" t="s">
        <v>11449</v>
      </c>
      <c r="H927" s="54">
        <v>0</v>
      </c>
      <c r="I927" s="16">
        <v>470000000</v>
      </c>
      <c r="J927" s="157" t="s">
        <v>229</v>
      </c>
      <c r="K927" s="5" t="s">
        <v>210</v>
      </c>
      <c r="L927" s="6" t="s">
        <v>231</v>
      </c>
      <c r="M927" s="3" t="s">
        <v>230</v>
      </c>
      <c r="N927" s="6" t="s">
        <v>524</v>
      </c>
      <c r="O927" s="6" t="s">
        <v>233</v>
      </c>
      <c r="P927" s="58" t="s">
        <v>242</v>
      </c>
      <c r="Q927" s="6" t="s">
        <v>239</v>
      </c>
      <c r="R927" s="222">
        <v>100</v>
      </c>
      <c r="S927" s="2">
        <v>11225</v>
      </c>
      <c r="T927" s="4">
        <v>0</v>
      </c>
      <c r="U927" s="4">
        <f t="shared" si="36"/>
        <v>0</v>
      </c>
      <c r="V927" s="3" t="s">
        <v>362</v>
      </c>
      <c r="W927" s="3">
        <v>2014</v>
      </c>
      <c r="X927" s="3">
        <v>11.12</v>
      </c>
    </row>
    <row r="928" spans="1:24" ht="89.25">
      <c r="A928" s="3" t="s">
        <v>12184</v>
      </c>
      <c r="B928" s="6" t="s">
        <v>361</v>
      </c>
      <c r="C928" s="6" t="s">
        <v>3408</v>
      </c>
      <c r="D928" s="6" t="s">
        <v>3407</v>
      </c>
      <c r="E928" s="6" t="s">
        <v>3409</v>
      </c>
      <c r="F928" s="6" t="s">
        <v>3393</v>
      </c>
      <c r="G928" s="3" t="s">
        <v>11449</v>
      </c>
      <c r="H928" s="54">
        <v>0</v>
      </c>
      <c r="I928" s="16">
        <v>470000000</v>
      </c>
      <c r="J928" s="157" t="s">
        <v>229</v>
      </c>
      <c r="K928" s="5" t="s">
        <v>211</v>
      </c>
      <c r="L928" s="17" t="s">
        <v>11411</v>
      </c>
      <c r="M928" s="3" t="s">
        <v>230</v>
      </c>
      <c r="N928" s="6" t="s">
        <v>524</v>
      </c>
      <c r="O928" s="6" t="s">
        <v>233</v>
      </c>
      <c r="P928" s="58" t="s">
        <v>242</v>
      </c>
      <c r="Q928" s="6" t="s">
        <v>239</v>
      </c>
      <c r="R928" s="222">
        <v>100</v>
      </c>
      <c r="S928" s="2">
        <v>11225</v>
      </c>
      <c r="T928" s="4">
        <v>0</v>
      </c>
      <c r="U928" s="4">
        <f t="shared" si="36"/>
        <v>0</v>
      </c>
      <c r="V928" s="3" t="s">
        <v>362</v>
      </c>
      <c r="W928" s="3">
        <v>2014</v>
      </c>
      <c r="X928" s="3" t="s">
        <v>12076</v>
      </c>
    </row>
    <row r="929" spans="1:24" ht="102">
      <c r="A929" s="3" t="s">
        <v>972</v>
      </c>
      <c r="B929" s="6" t="s">
        <v>361</v>
      </c>
      <c r="C929" s="6" t="s">
        <v>3413</v>
      </c>
      <c r="D929" s="6" t="s">
        <v>3414</v>
      </c>
      <c r="E929" s="6" t="s">
        <v>3415</v>
      </c>
      <c r="F929" s="6" t="s">
        <v>3394</v>
      </c>
      <c r="G929" s="3" t="s">
        <v>11449</v>
      </c>
      <c r="H929" s="54">
        <v>0</v>
      </c>
      <c r="I929" s="16">
        <v>470000000</v>
      </c>
      <c r="J929" s="157" t="s">
        <v>229</v>
      </c>
      <c r="K929" s="5" t="s">
        <v>210</v>
      </c>
      <c r="L929" s="6" t="s">
        <v>231</v>
      </c>
      <c r="M929" s="3" t="s">
        <v>230</v>
      </c>
      <c r="N929" s="6" t="s">
        <v>524</v>
      </c>
      <c r="O929" s="6" t="s">
        <v>233</v>
      </c>
      <c r="P929" s="58" t="s">
        <v>242</v>
      </c>
      <c r="Q929" s="6" t="s">
        <v>239</v>
      </c>
      <c r="R929" s="222">
        <v>42</v>
      </c>
      <c r="S929" s="2">
        <v>9523</v>
      </c>
      <c r="T929" s="4">
        <v>0</v>
      </c>
      <c r="U929" s="4">
        <f t="shared" si="36"/>
        <v>0</v>
      </c>
      <c r="V929" s="3" t="s">
        <v>362</v>
      </c>
      <c r="W929" s="3">
        <v>2014</v>
      </c>
      <c r="X929" s="3">
        <v>11.12</v>
      </c>
    </row>
    <row r="930" spans="1:24" ht="89.25">
      <c r="A930" s="3" t="s">
        <v>12185</v>
      </c>
      <c r="B930" s="6" t="s">
        <v>361</v>
      </c>
      <c r="C930" s="6" t="s">
        <v>3413</v>
      </c>
      <c r="D930" s="6" t="s">
        <v>3414</v>
      </c>
      <c r="E930" s="6" t="s">
        <v>3415</v>
      </c>
      <c r="F930" s="6" t="s">
        <v>3394</v>
      </c>
      <c r="G930" s="3" t="s">
        <v>11449</v>
      </c>
      <c r="H930" s="54">
        <v>0</v>
      </c>
      <c r="I930" s="16">
        <v>470000000</v>
      </c>
      <c r="J930" s="157" t="s">
        <v>229</v>
      </c>
      <c r="K930" s="5" t="s">
        <v>211</v>
      </c>
      <c r="L930" s="17" t="s">
        <v>11411</v>
      </c>
      <c r="M930" s="3" t="s">
        <v>230</v>
      </c>
      <c r="N930" s="6" t="s">
        <v>524</v>
      </c>
      <c r="O930" s="6" t="s">
        <v>233</v>
      </c>
      <c r="P930" s="58" t="s">
        <v>242</v>
      </c>
      <c r="Q930" s="6" t="s">
        <v>239</v>
      </c>
      <c r="R930" s="222">
        <v>42</v>
      </c>
      <c r="S930" s="2">
        <v>9523</v>
      </c>
      <c r="T930" s="4">
        <v>0</v>
      </c>
      <c r="U930" s="4">
        <f t="shared" si="36"/>
        <v>0</v>
      </c>
      <c r="V930" s="3" t="s">
        <v>362</v>
      </c>
      <c r="W930" s="3">
        <v>2014</v>
      </c>
      <c r="X930" s="3" t="s">
        <v>12076</v>
      </c>
    </row>
    <row r="931" spans="1:24" ht="102">
      <c r="A931" s="3" t="s">
        <v>973</v>
      </c>
      <c r="B931" s="6" t="s">
        <v>361</v>
      </c>
      <c r="C931" s="6" t="s">
        <v>3410</v>
      </c>
      <c r="D931" s="6" t="s">
        <v>3411</v>
      </c>
      <c r="E931" s="6" t="s">
        <v>3412</v>
      </c>
      <c r="F931" s="6" t="s">
        <v>3395</v>
      </c>
      <c r="G931" s="3" t="s">
        <v>11449</v>
      </c>
      <c r="H931" s="54">
        <v>0</v>
      </c>
      <c r="I931" s="16">
        <v>470000000</v>
      </c>
      <c r="J931" s="157" t="s">
        <v>229</v>
      </c>
      <c r="K931" s="5" t="s">
        <v>210</v>
      </c>
      <c r="L931" s="6" t="s">
        <v>231</v>
      </c>
      <c r="M931" s="3" t="s">
        <v>230</v>
      </c>
      <c r="N931" s="6" t="s">
        <v>524</v>
      </c>
      <c r="O931" s="6" t="s">
        <v>233</v>
      </c>
      <c r="P931" s="58" t="s">
        <v>242</v>
      </c>
      <c r="Q931" s="6" t="s">
        <v>239</v>
      </c>
      <c r="R931" s="222">
        <v>3</v>
      </c>
      <c r="S931" s="2">
        <v>7383</v>
      </c>
      <c r="T931" s="4">
        <v>0</v>
      </c>
      <c r="U931" s="4">
        <f t="shared" si="36"/>
        <v>0</v>
      </c>
      <c r="V931" s="3" t="s">
        <v>362</v>
      </c>
      <c r="W931" s="3">
        <v>2014</v>
      </c>
      <c r="X931" s="3">
        <v>11.12</v>
      </c>
    </row>
    <row r="932" spans="1:24" ht="89.25">
      <c r="A932" s="3" t="s">
        <v>12186</v>
      </c>
      <c r="B932" s="6" t="s">
        <v>361</v>
      </c>
      <c r="C932" s="6" t="s">
        <v>3410</v>
      </c>
      <c r="D932" s="6" t="s">
        <v>3411</v>
      </c>
      <c r="E932" s="6" t="s">
        <v>3412</v>
      </c>
      <c r="F932" s="6" t="s">
        <v>3395</v>
      </c>
      <c r="G932" s="3" t="s">
        <v>11449</v>
      </c>
      <c r="H932" s="54">
        <v>0</v>
      </c>
      <c r="I932" s="16">
        <v>470000000</v>
      </c>
      <c r="J932" s="157" t="s">
        <v>229</v>
      </c>
      <c r="K932" s="5" t="s">
        <v>211</v>
      </c>
      <c r="L932" s="17" t="s">
        <v>11411</v>
      </c>
      <c r="M932" s="3" t="s">
        <v>230</v>
      </c>
      <c r="N932" s="6" t="s">
        <v>524</v>
      </c>
      <c r="O932" s="6" t="s">
        <v>233</v>
      </c>
      <c r="P932" s="58" t="s">
        <v>242</v>
      </c>
      <c r="Q932" s="6" t="s">
        <v>239</v>
      </c>
      <c r="R932" s="222">
        <v>3</v>
      </c>
      <c r="S932" s="2">
        <v>7383</v>
      </c>
      <c r="T932" s="4">
        <v>0</v>
      </c>
      <c r="U932" s="4">
        <f t="shared" si="36"/>
        <v>0</v>
      </c>
      <c r="V932" s="3" t="s">
        <v>362</v>
      </c>
      <c r="W932" s="3">
        <v>2014</v>
      </c>
      <c r="X932" s="3" t="s">
        <v>12076</v>
      </c>
    </row>
    <row r="933" spans="1:24" ht="102">
      <c r="A933" s="3" t="s">
        <v>974</v>
      </c>
      <c r="B933" s="6" t="s">
        <v>361</v>
      </c>
      <c r="C933" s="6" t="s">
        <v>3416</v>
      </c>
      <c r="D933" s="6" t="s">
        <v>3417</v>
      </c>
      <c r="E933" s="6" t="s">
        <v>3417</v>
      </c>
      <c r="F933" s="6" t="s">
        <v>3396</v>
      </c>
      <c r="G933" s="3" t="s">
        <v>11449</v>
      </c>
      <c r="H933" s="54">
        <v>0</v>
      </c>
      <c r="I933" s="16">
        <v>470000000</v>
      </c>
      <c r="J933" s="157" t="s">
        <v>229</v>
      </c>
      <c r="K933" s="5" t="s">
        <v>210</v>
      </c>
      <c r="L933" s="6" t="s">
        <v>231</v>
      </c>
      <c r="M933" s="3" t="s">
        <v>230</v>
      </c>
      <c r="N933" s="6" t="s">
        <v>524</v>
      </c>
      <c r="O933" s="6" t="s">
        <v>233</v>
      </c>
      <c r="P933" s="58" t="s">
        <v>242</v>
      </c>
      <c r="Q933" s="6" t="s">
        <v>239</v>
      </c>
      <c r="R933" s="222">
        <v>1</v>
      </c>
      <c r="S933" s="2">
        <v>2700</v>
      </c>
      <c r="T933" s="4">
        <v>0</v>
      </c>
      <c r="U933" s="4">
        <f t="shared" si="36"/>
        <v>0</v>
      </c>
      <c r="V933" s="3" t="s">
        <v>362</v>
      </c>
      <c r="W933" s="3">
        <v>2014</v>
      </c>
      <c r="X933" s="3">
        <v>11.12</v>
      </c>
    </row>
    <row r="934" spans="1:24" ht="102">
      <c r="A934" s="3" t="s">
        <v>12187</v>
      </c>
      <c r="B934" s="6" t="s">
        <v>361</v>
      </c>
      <c r="C934" s="6" t="s">
        <v>3416</v>
      </c>
      <c r="D934" s="6" t="s">
        <v>3417</v>
      </c>
      <c r="E934" s="6" t="s">
        <v>3417</v>
      </c>
      <c r="F934" s="6" t="s">
        <v>3396</v>
      </c>
      <c r="G934" s="3" t="s">
        <v>11449</v>
      </c>
      <c r="H934" s="54">
        <v>0</v>
      </c>
      <c r="I934" s="16">
        <v>470000000</v>
      </c>
      <c r="J934" s="157" t="s">
        <v>229</v>
      </c>
      <c r="K934" s="5" t="s">
        <v>211</v>
      </c>
      <c r="L934" s="17" t="s">
        <v>11411</v>
      </c>
      <c r="M934" s="3" t="s">
        <v>230</v>
      </c>
      <c r="N934" s="6" t="s">
        <v>524</v>
      </c>
      <c r="O934" s="6" t="s">
        <v>233</v>
      </c>
      <c r="P934" s="58" t="s">
        <v>242</v>
      </c>
      <c r="Q934" s="6" t="s">
        <v>239</v>
      </c>
      <c r="R934" s="222">
        <v>1</v>
      </c>
      <c r="S934" s="2">
        <v>2700</v>
      </c>
      <c r="T934" s="4">
        <v>0</v>
      </c>
      <c r="U934" s="4">
        <f t="shared" si="36"/>
        <v>0</v>
      </c>
      <c r="V934" s="3" t="s">
        <v>362</v>
      </c>
      <c r="W934" s="3">
        <v>2014</v>
      </c>
      <c r="X934" s="3" t="s">
        <v>16411</v>
      </c>
    </row>
    <row r="935" spans="1:24" ht="102">
      <c r="A935" s="3" t="s">
        <v>14681</v>
      </c>
      <c r="B935" s="6" t="s">
        <v>361</v>
      </c>
      <c r="C935" s="6" t="s">
        <v>3416</v>
      </c>
      <c r="D935" s="6" t="s">
        <v>3417</v>
      </c>
      <c r="E935" s="6" t="s">
        <v>3417</v>
      </c>
      <c r="F935" s="6" t="s">
        <v>3396</v>
      </c>
      <c r="G935" s="3" t="s">
        <v>11449</v>
      </c>
      <c r="H935" s="54">
        <v>0</v>
      </c>
      <c r="I935" s="16">
        <v>470000000</v>
      </c>
      <c r="J935" s="157" t="s">
        <v>229</v>
      </c>
      <c r="K935" s="5" t="s">
        <v>14662</v>
      </c>
      <c r="L935" s="17" t="s">
        <v>11411</v>
      </c>
      <c r="M935" s="3" t="s">
        <v>230</v>
      </c>
      <c r="N935" s="6" t="s">
        <v>524</v>
      </c>
      <c r="O935" s="6" t="s">
        <v>233</v>
      </c>
      <c r="P935" s="58" t="s">
        <v>242</v>
      </c>
      <c r="Q935" s="6" t="s">
        <v>239</v>
      </c>
      <c r="R935" s="222">
        <v>40</v>
      </c>
      <c r="S935" s="2">
        <v>3240</v>
      </c>
      <c r="T935" s="4">
        <v>0</v>
      </c>
      <c r="U935" s="4">
        <f t="shared" si="36"/>
        <v>0</v>
      </c>
      <c r="V935" s="3" t="s">
        <v>362</v>
      </c>
      <c r="W935" s="3">
        <v>2014</v>
      </c>
      <c r="X935" s="3" t="s">
        <v>17399</v>
      </c>
    </row>
    <row r="936" spans="1:24" ht="102">
      <c r="A936" s="3" t="s">
        <v>18195</v>
      </c>
      <c r="B936" s="6" t="s">
        <v>361</v>
      </c>
      <c r="C936" s="6" t="s">
        <v>3416</v>
      </c>
      <c r="D936" s="6" t="s">
        <v>3417</v>
      </c>
      <c r="E936" s="6" t="s">
        <v>3417</v>
      </c>
      <c r="F936" s="6" t="s">
        <v>3396</v>
      </c>
      <c r="G936" s="3" t="s">
        <v>11450</v>
      </c>
      <c r="H936" s="54">
        <v>0</v>
      </c>
      <c r="I936" s="16">
        <v>470000000</v>
      </c>
      <c r="J936" s="157" t="s">
        <v>229</v>
      </c>
      <c r="K936" s="5" t="s">
        <v>8950</v>
      </c>
      <c r="L936" s="17" t="s">
        <v>11411</v>
      </c>
      <c r="M936" s="3" t="s">
        <v>230</v>
      </c>
      <c r="N936" s="6" t="s">
        <v>528</v>
      </c>
      <c r="O936" s="6" t="s">
        <v>233</v>
      </c>
      <c r="P936" s="58" t="s">
        <v>242</v>
      </c>
      <c r="Q936" s="6" t="s">
        <v>239</v>
      </c>
      <c r="R936" s="222">
        <v>40</v>
      </c>
      <c r="S936" s="2">
        <v>3240</v>
      </c>
      <c r="T936" s="4">
        <f>R936*S936</f>
        <v>129600</v>
      </c>
      <c r="U936" s="4">
        <f t="shared" si="36"/>
        <v>145152</v>
      </c>
      <c r="V936" s="3" t="s">
        <v>362</v>
      </c>
      <c r="W936" s="3">
        <v>2014</v>
      </c>
      <c r="X936" s="3"/>
    </row>
    <row r="937" spans="1:24" ht="102">
      <c r="A937" s="3" t="s">
        <v>975</v>
      </c>
      <c r="B937" s="6" t="s">
        <v>361</v>
      </c>
      <c r="C937" s="6" t="s">
        <v>3418</v>
      </c>
      <c r="D937" s="6" t="s">
        <v>3419</v>
      </c>
      <c r="E937" s="6" t="s">
        <v>3419</v>
      </c>
      <c r="F937" s="6" t="s">
        <v>3397</v>
      </c>
      <c r="G937" s="3" t="s">
        <v>11449</v>
      </c>
      <c r="H937" s="54">
        <v>0</v>
      </c>
      <c r="I937" s="16">
        <v>470000000</v>
      </c>
      <c r="J937" s="157" t="s">
        <v>229</v>
      </c>
      <c r="K937" s="5" t="s">
        <v>210</v>
      </c>
      <c r="L937" s="6" t="s">
        <v>231</v>
      </c>
      <c r="M937" s="3" t="s">
        <v>230</v>
      </c>
      <c r="N937" s="6" t="s">
        <v>524</v>
      </c>
      <c r="O937" s="6" t="s">
        <v>233</v>
      </c>
      <c r="P937" s="58" t="s">
        <v>241</v>
      </c>
      <c r="Q937" s="6" t="s">
        <v>234</v>
      </c>
      <c r="R937" s="222">
        <v>153</v>
      </c>
      <c r="S937" s="2">
        <v>3965</v>
      </c>
      <c r="T937" s="4">
        <v>0</v>
      </c>
      <c r="U937" s="4">
        <f t="shared" si="36"/>
        <v>0</v>
      </c>
      <c r="V937" s="3" t="s">
        <v>362</v>
      </c>
      <c r="W937" s="3">
        <v>2014</v>
      </c>
      <c r="X937" s="3" t="s">
        <v>12051</v>
      </c>
    </row>
    <row r="938" spans="1:24" ht="102">
      <c r="A938" s="3" t="s">
        <v>14682</v>
      </c>
      <c r="B938" s="6" t="s">
        <v>361</v>
      </c>
      <c r="C938" s="6" t="s">
        <v>3418</v>
      </c>
      <c r="D938" s="6" t="s">
        <v>3419</v>
      </c>
      <c r="E938" s="6" t="s">
        <v>3419</v>
      </c>
      <c r="F938" s="6" t="s">
        <v>3397</v>
      </c>
      <c r="G938" s="3" t="s">
        <v>11449</v>
      </c>
      <c r="H938" s="54">
        <v>0</v>
      </c>
      <c r="I938" s="16">
        <v>470000000</v>
      </c>
      <c r="J938" s="157" t="s">
        <v>229</v>
      </c>
      <c r="K938" s="5" t="s">
        <v>14662</v>
      </c>
      <c r="L938" s="6" t="s">
        <v>231</v>
      </c>
      <c r="M938" s="3" t="s">
        <v>230</v>
      </c>
      <c r="N938" s="6" t="s">
        <v>524</v>
      </c>
      <c r="O938" s="6" t="s">
        <v>233</v>
      </c>
      <c r="P938" s="58" t="s">
        <v>241</v>
      </c>
      <c r="Q938" s="6" t="s">
        <v>234</v>
      </c>
      <c r="R938" s="222">
        <v>55</v>
      </c>
      <c r="S938" s="2">
        <v>4753</v>
      </c>
      <c r="T938" s="4">
        <v>0</v>
      </c>
      <c r="U938" s="4">
        <f t="shared" si="36"/>
        <v>0</v>
      </c>
      <c r="V938" s="3" t="s">
        <v>362</v>
      </c>
      <c r="W938" s="3">
        <v>2014</v>
      </c>
      <c r="X938" s="3" t="s">
        <v>17399</v>
      </c>
    </row>
    <row r="939" spans="1:24" ht="102">
      <c r="A939" s="3" t="s">
        <v>18196</v>
      </c>
      <c r="B939" s="6" t="s">
        <v>361</v>
      </c>
      <c r="C939" s="6" t="s">
        <v>3418</v>
      </c>
      <c r="D939" s="6" t="s">
        <v>3419</v>
      </c>
      <c r="E939" s="6" t="s">
        <v>3419</v>
      </c>
      <c r="F939" s="6" t="s">
        <v>3397</v>
      </c>
      <c r="G939" s="3" t="s">
        <v>11450</v>
      </c>
      <c r="H939" s="54">
        <v>0</v>
      </c>
      <c r="I939" s="16">
        <v>470000000</v>
      </c>
      <c r="J939" s="157" t="s">
        <v>229</v>
      </c>
      <c r="K939" s="5" t="s">
        <v>8950</v>
      </c>
      <c r="L939" s="6" t="s">
        <v>231</v>
      </c>
      <c r="M939" s="3" t="s">
        <v>230</v>
      </c>
      <c r="N939" s="6" t="s">
        <v>528</v>
      </c>
      <c r="O939" s="6" t="s">
        <v>233</v>
      </c>
      <c r="P939" s="58" t="s">
        <v>241</v>
      </c>
      <c r="Q939" s="6" t="s">
        <v>234</v>
      </c>
      <c r="R939" s="222">
        <v>55</v>
      </c>
      <c r="S939" s="2">
        <v>4753</v>
      </c>
      <c r="T939" s="4">
        <f>R939*S939</f>
        <v>261415</v>
      </c>
      <c r="U939" s="4">
        <f t="shared" si="36"/>
        <v>292784.80000000005</v>
      </c>
      <c r="V939" s="3" t="s">
        <v>362</v>
      </c>
      <c r="W939" s="3">
        <v>2014</v>
      </c>
      <c r="X939" s="3"/>
    </row>
    <row r="940" spans="1:24" ht="102">
      <c r="A940" s="3" t="s">
        <v>976</v>
      </c>
      <c r="B940" s="6" t="s">
        <v>361</v>
      </c>
      <c r="C940" s="6" t="s">
        <v>3420</v>
      </c>
      <c r="D940" s="6" t="s">
        <v>3421</v>
      </c>
      <c r="E940" s="6" t="s">
        <v>3421</v>
      </c>
      <c r="F940" s="6" t="s">
        <v>3398</v>
      </c>
      <c r="G940" s="3" t="s">
        <v>11449</v>
      </c>
      <c r="H940" s="54">
        <v>0</v>
      </c>
      <c r="I940" s="16">
        <v>470000000</v>
      </c>
      <c r="J940" s="157" t="s">
        <v>229</v>
      </c>
      <c r="K940" s="5" t="s">
        <v>210</v>
      </c>
      <c r="L940" s="6" t="s">
        <v>231</v>
      </c>
      <c r="M940" s="3" t="s">
        <v>230</v>
      </c>
      <c r="N940" s="6" t="s">
        <v>524</v>
      </c>
      <c r="O940" s="6" t="s">
        <v>233</v>
      </c>
      <c r="P940" s="58" t="s">
        <v>241</v>
      </c>
      <c r="Q940" s="6" t="s">
        <v>234</v>
      </c>
      <c r="R940" s="222">
        <v>89</v>
      </c>
      <c r="S940" s="2">
        <v>4867</v>
      </c>
      <c r="T940" s="4">
        <v>0</v>
      </c>
      <c r="U940" s="4">
        <f t="shared" si="36"/>
        <v>0</v>
      </c>
      <c r="V940" s="3" t="s">
        <v>362</v>
      </c>
      <c r="W940" s="3">
        <v>2014</v>
      </c>
      <c r="X940" s="3">
        <v>11.12</v>
      </c>
    </row>
    <row r="941" spans="1:24" ht="89.25">
      <c r="A941" s="3" t="s">
        <v>12188</v>
      </c>
      <c r="B941" s="6" t="s">
        <v>361</v>
      </c>
      <c r="C941" s="6" t="s">
        <v>3420</v>
      </c>
      <c r="D941" s="6" t="s">
        <v>3421</v>
      </c>
      <c r="E941" s="6" t="s">
        <v>3421</v>
      </c>
      <c r="F941" s="6" t="s">
        <v>3398</v>
      </c>
      <c r="G941" s="3" t="s">
        <v>11449</v>
      </c>
      <c r="H941" s="54">
        <v>0</v>
      </c>
      <c r="I941" s="16">
        <v>470000000</v>
      </c>
      <c r="J941" s="157" t="s">
        <v>229</v>
      </c>
      <c r="K941" s="5" t="s">
        <v>14662</v>
      </c>
      <c r="L941" s="17" t="s">
        <v>11411</v>
      </c>
      <c r="M941" s="3" t="s">
        <v>230</v>
      </c>
      <c r="N941" s="6" t="s">
        <v>524</v>
      </c>
      <c r="O941" s="6" t="s">
        <v>233</v>
      </c>
      <c r="P941" s="58" t="s">
        <v>241</v>
      </c>
      <c r="Q941" s="6" t="s">
        <v>234</v>
      </c>
      <c r="R941" s="222">
        <v>89</v>
      </c>
      <c r="S941" s="2">
        <v>4867</v>
      </c>
      <c r="T941" s="4">
        <v>0</v>
      </c>
      <c r="U941" s="4">
        <f t="shared" si="36"/>
        <v>0</v>
      </c>
      <c r="V941" s="3" t="s">
        <v>362</v>
      </c>
      <c r="W941" s="3">
        <v>2014</v>
      </c>
      <c r="X941" s="3" t="s">
        <v>12076</v>
      </c>
    </row>
    <row r="942" spans="1:24" ht="102">
      <c r="A942" s="3" t="s">
        <v>977</v>
      </c>
      <c r="B942" s="6" t="s">
        <v>361</v>
      </c>
      <c r="C942" s="6" t="s">
        <v>11631</v>
      </c>
      <c r="D942" s="6" t="s">
        <v>3422</v>
      </c>
      <c r="E942" s="6" t="s">
        <v>3423</v>
      </c>
      <c r="F942" s="6" t="s">
        <v>155</v>
      </c>
      <c r="G942" s="3" t="s">
        <v>11449</v>
      </c>
      <c r="H942" s="54">
        <v>0</v>
      </c>
      <c r="I942" s="16">
        <v>470000000</v>
      </c>
      <c r="J942" s="157" t="s">
        <v>229</v>
      </c>
      <c r="K942" s="5" t="s">
        <v>210</v>
      </c>
      <c r="L942" s="6" t="s">
        <v>231</v>
      </c>
      <c r="M942" s="3" t="s">
        <v>230</v>
      </c>
      <c r="N942" s="6" t="s">
        <v>524</v>
      </c>
      <c r="O942" s="6" t="s">
        <v>233</v>
      </c>
      <c r="P942" s="58" t="s">
        <v>241</v>
      </c>
      <c r="Q942" s="6" t="s">
        <v>234</v>
      </c>
      <c r="R942" s="222">
        <v>65</v>
      </c>
      <c r="S942" s="2">
        <v>10714</v>
      </c>
      <c r="T942" s="4">
        <v>0</v>
      </c>
      <c r="U942" s="4">
        <f t="shared" si="36"/>
        <v>0</v>
      </c>
      <c r="V942" s="3" t="s">
        <v>362</v>
      </c>
      <c r="W942" s="3">
        <v>2014</v>
      </c>
      <c r="X942" s="3">
        <v>11.12</v>
      </c>
    </row>
    <row r="943" spans="1:24" ht="89.25">
      <c r="A943" s="3" t="s">
        <v>12189</v>
      </c>
      <c r="B943" s="6" t="s">
        <v>361</v>
      </c>
      <c r="C943" s="6" t="s">
        <v>11631</v>
      </c>
      <c r="D943" s="6" t="s">
        <v>3422</v>
      </c>
      <c r="E943" s="6" t="s">
        <v>3423</v>
      </c>
      <c r="F943" s="6" t="s">
        <v>155</v>
      </c>
      <c r="G943" s="3" t="s">
        <v>11449</v>
      </c>
      <c r="H943" s="54">
        <v>0</v>
      </c>
      <c r="I943" s="16">
        <v>470000000</v>
      </c>
      <c r="J943" s="157" t="s">
        <v>229</v>
      </c>
      <c r="K943" s="5" t="s">
        <v>211</v>
      </c>
      <c r="L943" s="17" t="s">
        <v>11411</v>
      </c>
      <c r="M943" s="3" t="s">
        <v>230</v>
      </c>
      <c r="N943" s="6" t="s">
        <v>524</v>
      </c>
      <c r="O943" s="6" t="s">
        <v>233</v>
      </c>
      <c r="P943" s="58" t="s">
        <v>241</v>
      </c>
      <c r="Q943" s="6" t="s">
        <v>234</v>
      </c>
      <c r="R943" s="222">
        <v>65</v>
      </c>
      <c r="S943" s="2">
        <v>10714</v>
      </c>
      <c r="T943" s="4">
        <v>0</v>
      </c>
      <c r="U943" s="4">
        <f t="shared" si="36"/>
        <v>0</v>
      </c>
      <c r="V943" s="3" t="s">
        <v>362</v>
      </c>
      <c r="W943" s="3">
        <v>2014</v>
      </c>
      <c r="X943" s="3" t="s">
        <v>12076</v>
      </c>
    </row>
    <row r="944" spans="1:24" ht="102">
      <c r="A944" s="3" t="s">
        <v>978</v>
      </c>
      <c r="B944" s="6" t="s">
        <v>361</v>
      </c>
      <c r="C944" s="6" t="s">
        <v>3425</v>
      </c>
      <c r="D944" s="6" t="s">
        <v>3426</v>
      </c>
      <c r="E944" s="6" t="s">
        <v>3427</v>
      </c>
      <c r="F944" s="6" t="s">
        <v>3424</v>
      </c>
      <c r="G944" s="3" t="s">
        <v>11449</v>
      </c>
      <c r="H944" s="54">
        <v>0.6</v>
      </c>
      <c r="I944" s="16">
        <v>470000000</v>
      </c>
      <c r="J944" s="157" t="s">
        <v>229</v>
      </c>
      <c r="K944" s="5" t="s">
        <v>211</v>
      </c>
      <c r="L944" s="6" t="s">
        <v>231</v>
      </c>
      <c r="M944" s="3" t="s">
        <v>230</v>
      </c>
      <c r="N944" s="6" t="s">
        <v>524</v>
      </c>
      <c r="O944" s="6" t="s">
        <v>233</v>
      </c>
      <c r="P944" s="58" t="s">
        <v>241</v>
      </c>
      <c r="Q944" s="6" t="s">
        <v>234</v>
      </c>
      <c r="R944" s="118">
        <v>240</v>
      </c>
      <c r="S944" s="2">
        <v>525</v>
      </c>
      <c r="T944" s="4">
        <v>0</v>
      </c>
      <c r="U944" s="4">
        <f t="shared" si="36"/>
        <v>0</v>
      </c>
      <c r="V944" s="3" t="s">
        <v>362</v>
      </c>
      <c r="W944" s="3">
        <v>2014</v>
      </c>
      <c r="X944" s="3" t="s">
        <v>12076</v>
      </c>
    </row>
    <row r="945" spans="1:24" ht="102">
      <c r="A945" s="3" t="s">
        <v>979</v>
      </c>
      <c r="B945" s="6" t="s">
        <v>361</v>
      </c>
      <c r="C945" s="6" t="s">
        <v>3428</v>
      </c>
      <c r="D945" s="6" t="s">
        <v>3426</v>
      </c>
      <c r="E945" s="6" t="s">
        <v>3429</v>
      </c>
      <c r="F945" s="6" t="s">
        <v>156</v>
      </c>
      <c r="G945" s="3" t="s">
        <v>11449</v>
      </c>
      <c r="H945" s="54">
        <v>0.6</v>
      </c>
      <c r="I945" s="16">
        <v>470000000</v>
      </c>
      <c r="J945" s="157" t="s">
        <v>229</v>
      </c>
      <c r="K945" s="5" t="s">
        <v>214</v>
      </c>
      <c r="L945" s="6" t="s">
        <v>231</v>
      </c>
      <c r="M945" s="3" t="s">
        <v>230</v>
      </c>
      <c r="N945" s="6" t="s">
        <v>524</v>
      </c>
      <c r="O945" s="6" t="s">
        <v>233</v>
      </c>
      <c r="P945" s="58" t="s">
        <v>241</v>
      </c>
      <c r="Q945" s="6" t="s">
        <v>234</v>
      </c>
      <c r="R945" s="118">
        <v>4200</v>
      </c>
      <c r="S945" s="2">
        <v>525</v>
      </c>
      <c r="T945" s="4">
        <v>0</v>
      </c>
      <c r="U945" s="4">
        <f t="shared" si="36"/>
        <v>0</v>
      </c>
      <c r="V945" s="3" t="s">
        <v>362</v>
      </c>
      <c r="W945" s="3">
        <v>2014</v>
      </c>
      <c r="X945" s="3">
        <v>11.12</v>
      </c>
    </row>
    <row r="946" spans="1:24" ht="89.25">
      <c r="A946" s="3" t="s">
        <v>12190</v>
      </c>
      <c r="B946" s="6" t="s">
        <v>361</v>
      </c>
      <c r="C946" s="6" t="s">
        <v>3428</v>
      </c>
      <c r="D946" s="6" t="s">
        <v>3426</v>
      </c>
      <c r="E946" s="6" t="s">
        <v>3429</v>
      </c>
      <c r="F946" s="6" t="s">
        <v>156</v>
      </c>
      <c r="G946" s="3" t="s">
        <v>11449</v>
      </c>
      <c r="H946" s="54">
        <v>0.6</v>
      </c>
      <c r="I946" s="16">
        <v>470000000</v>
      </c>
      <c r="J946" s="157" t="s">
        <v>229</v>
      </c>
      <c r="K946" s="5" t="s">
        <v>217</v>
      </c>
      <c r="L946" s="17" t="s">
        <v>11411</v>
      </c>
      <c r="M946" s="3" t="s">
        <v>230</v>
      </c>
      <c r="N946" s="6" t="s">
        <v>524</v>
      </c>
      <c r="O946" s="6" t="s">
        <v>233</v>
      </c>
      <c r="P946" s="58" t="s">
        <v>241</v>
      </c>
      <c r="Q946" s="6" t="s">
        <v>234</v>
      </c>
      <c r="R946" s="118">
        <v>4200</v>
      </c>
      <c r="S946" s="2">
        <v>525</v>
      </c>
      <c r="T946" s="4">
        <v>0</v>
      </c>
      <c r="U946" s="4">
        <f t="shared" si="36"/>
        <v>0</v>
      </c>
      <c r="V946" s="3" t="s">
        <v>362</v>
      </c>
      <c r="W946" s="3">
        <v>2014</v>
      </c>
      <c r="X946" s="3" t="s">
        <v>12051</v>
      </c>
    </row>
    <row r="947" spans="1:24" ht="89.25">
      <c r="A947" s="3" t="s">
        <v>14683</v>
      </c>
      <c r="B947" s="6" t="s">
        <v>361</v>
      </c>
      <c r="C947" s="6" t="s">
        <v>3428</v>
      </c>
      <c r="D947" s="6" t="s">
        <v>3426</v>
      </c>
      <c r="E947" s="6" t="s">
        <v>3429</v>
      </c>
      <c r="F947" s="6" t="s">
        <v>156</v>
      </c>
      <c r="G947" s="3" t="s">
        <v>11449</v>
      </c>
      <c r="H947" s="54">
        <v>0.6</v>
      </c>
      <c r="I947" s="16">
        <v>470000000</v>
      </c>
      <c r="J947" s="157" t="s">
        <v>229</v>
      </c>
      <c r="K947" s="5" t="s">
        <v>14684</v>
      </c>
      <c r="L947" s="17" t="s">
        <v>11411</v>
      </c>
      <c r="M947" s="3" t="s">
        <v>230</v>
      </c>
      <c r="N947" s="6" t="s">
        <v>524</v>
      </c>
      <c r="O947" s="6" t="s">
        <v>233</v>
      </c>
      <c r="P947" s="58" t="s">
        <v>241</v>
      </c>
      <c r="Q947" s="6" t="s">
        <v>234</v>
      </c>
      <c r="R947" s="118">
        <v>800</v>
      </c>
      <c r="S947" s="2">
        <v>630</v>
      </c>
      <c r="T947" s="4">
        <f>R947*S947</f>
        <v>504000</v>
      </c>
      <c r="U947" s="4">
        <f t="shared" si="36"/>
        <v>564480</v>
      </c>
      <c r="V947" s="3" t="s">
        <v>362</v>
      </c>
      <c r="W947" s="3">
        <v>2014</v>
      </c>
      <c r="X947" s="3"/>
    </row>
    <row r="948" spans="1:24" ht="102">
      <c r="A948" s="3" t="s">
        <v>980</v>
      </c>
      <c r="B948" s="6" t="s">
        <v>361</v>
      </c>
      <c r="C948" s="6" t="s">
        <v>3430</v>
      </c>
      <c r="D948" s="6" t="s">
        <v>3426</v>
      </c>
      <c r="E948" s="6" t="s">
        <v>3431</v>
      </c>
      <c r="F948" s="6" t="s">
        <v>157</v>
      </c>
      <c r="G948" s="3" t="s">
        <v>11449</v>
      </c>
      <c r="H948" s="54">
        <v>0.6</v>
      </c>
      <c r="I948" s="16">
        <v>470000000</v>
      </c>
      <c r="J948" s="157" t="s">
        <v>229</v>
      </c>
      <c r="K948" s="5" t="s">
        <v>211</v>
      </c>
      <c r="L948" s="6" t="s">
        <v>231</v>
      </c>
      <c r="M948" s="3" t="s">
        <v>230</v>
      </c>
      <c r="N948" s="6" t="s">
        <v>524</v>
      </c>
      <c r="O948" s="6" t="s">
        <v>233</v>
      </c>
      <c r="P948" s="58" t="s">
        <v>241</v>
      </c>
      <c r="Q948" s="6" t="s">
        <v>234</v>
      </c>
      <c r="R948" s="118">
        <v>2700</v>
      </c>
      <c r="S948" s="2">
        <v>525</v>
      </c>
      <c r="T948" s="4">
        <v>0</v>
      </c>
      <c r="U948" s="4">
        <f t="shared" si="36"/>
        <v>0</v>
      </c>
      <c r="V948" s="3" t="s">
        <v>362</v>
      </c>
      <c r="W948" s="3">
        <v>2014</v>
      </c>
      <c r="X948" s="3">
        <v>11.12</v>
      </c>
    </row>
    <row r="949" spans="1:24" ht="89.25">
      <c r="A949" s="3" t="s">
        <v>14024</v>
      </c>
      <c r="B949" s="6" t="s">
        <v>361</v>
      </c>
      <c r="C949" s="6" t="s">
        <v>3430</v>
      </c>
      <c r="D949" s="6" t="s">
        <v>3426</v>
      </c>
      <c r="E949" s="6" t="s">
        <v>3431</v>
      </c>
      <c r="F949" s="6" t="s">
        <v>157</v>
      </c>
      <c r="G949" s="3" t="s">
        <v>11449</v>
      </c>
      <c r="H949" s="54">
        <v>0.6</v>
      </c>
      <c r="I949" s="16">
        <v>470000000</v>
      </c>
      <c r="J949" s="157" t="s">
        <v>229</v>
      </c>
      <c r="K949" s="5" t="s">
        <v>217</v>
      </c>
      <c r="L949" s="17" t="s">
        <v>11411</v>
      </c>
      <c r="M949" s="3" t="s">
        <v>230</v>
      </c>
      <c r="N949" s="6" t="s">
        <v>524</v>
      </c>
      <c r="O949" s="6" t="s">
        <v>233</v>
      </c>
      <c r="P949" s="58" t="s">
        <v>241</v>
      </c>
      <c r="Q949" s="6" t="s">
        <v>234</v>
      </c>
      <c r="R949" s="118">
        <v>2700</v>
      </c>
      <c r="S949" s="2">
        <v>525</v>
      </c>
      <c r="T949" s="4">
        <v>0</v>
      </c>
      <c r="U949" s="4">
        <f t="shared" si="36"/>
        <v>0</v>
      </c>
      <c r="V949" s="3" t="s">
        <v>362</v>
      </c>
      <c r="W949" s="3">
        <v>2014</v>
      </c>
      <c r="X949" s="3" t="s">
        <v>14785</v>
      </c>
    </row>
    <row r="950" spans="1:24" ht="89.25">
      <c r="A950" s="3" t="s">
        <v>14685</v>
      </c>
      <c r="B950" s="6" t="s">
        <v>361</v>
      </c>
      <c r="C950" s="6" t="s">
        <v>3430</v>
      </c>
      <c r="D950" s="6" t="s">
        <v>3426</v>
      </c>
      <c r="E950" s="6" t="s">
        <v>3431</v>
      </c>
      <c r="F950" s="6" t="s">
        <v>157</v>
      </c>
      <c r="G950" s="3" t="s">
        <v>11449</v>
      </c>
      <c r="H950" s="54">
        <v>0.6</v>
      </c>
      <c r="I950" s="16">
        <v>470000000</v>
      </c>
      <c r="J950" s="157" t="s">
        <v>229</v>
      </c>
      <c r="K950" s="5" t="s">
        <v>14684</v>
      </c>
      <c r="L950" s="17" t="s">
        <v>11411</v>
      </c>
      <c r="M950" s="3" t="s">
        <v>230</v>
      </c>
      <c r="N950" s="6" t="s">
        <v>524</v>
      </c>
      <c r="O950" s="6" t="s">
        <v>233</v>
      </c>
      <c r="P950" s="58" t="s">
        <v>241</v>
      </c>
      <c r="Q950" s="6" t="s">
        <v>234</v>
      </c>
      <c r="R950" s="118">
        <v>2700</v>
      </c>
      <c r="S950" s="2">
        <v>630</v>
      </c>
      <c r="T950" s="4">
        <f>R950*S950</f>
        <v>1701000</v>
      </c>
      <c r="U950" s="4">
        <f t="shared" si="36"/>
        <v>1905120.0000000002</v>
      </c>
      <c r="V950" s="3" t="s">
        <v>362</v>
      </c>
      <c r="W950" s="3">
        <v>2014</v>
      </c>
      <c r="X950" s="3"/>
    </row>
    <row r="951" spans="1:24" ht="102">
      <c r="A951" s="3" t="s">
        <v>981</v>
      </c>
      <c r="B951" s="6" t="s">
        <v>361</v>
      </c>
      <c r="C951" s="6" t="s">
        <v>3432</v>
      </c>
      <c r="D951" s="6" t="s">
        <v>3426</v>
      </c>
      <c r="E951" s="6" t="s">
        <v>3433</v>
      </c>
      <c r="F951" s="6" t="s">
        <v>158</v>
      </c>
      <c r="G951" s="3" t="s">
        <v>11449</v>
      </c>
      <c r="H951" s="54">
        <v>0.6</v>
      </c>
      <c r="I951" s="16">
        <v>470000000</v>
      </c>
      <c r="J951" s="157" t="s">
        <v>229</v>
      </c>
      <c r="K951" s="5" t="s">
        <v>215</v>
      </c>
      <c r="L951" s="6" t="s">
        <v>231</v>
      </c>
      <c r="M951" s="3" t="s">
        <v>230</v>
      </c>
      <c r="N951" s="6" t="s">
        <v>524</v>
      </c>
      <c r="O951" s="6" t="s">
        <v>233</v>
      </c>
      <c r="P951" s="58" t="s">
        <v>241</v>
      </c>
      <c r="Q951" s="6" t="s">
        <v>234</v>
      </c>
      <c r="R951" s="118">
        <v>735</v>
      </c>
      <c r="S951" s="2">
        <v>525</v>
      </c>
      <c r="T951" s="4">
        <v>0</v>
      </c>
      <c r="U951" s="4">
        <f t="shared" si="36"/>
        <v>0</v>
      </c>
      <c r="V951" s="3" t="s">
        <v>362</v>
      </c>
      <c r="W951" s="3">
        <v>2014</v>
      </c>
      <c r="X951" s="3">
        <v>11.12</v>
      </c>
    </row>
    <row r="952" spans="1:24" ht="89.25">
      <c r="A952" s="3" t="s">
        <v>12191</v>
      </c>
      <c r="B952" s="6" t="s">
        <v>361</v>
      </c>
      <c r="C952" s="6" t="s">
        <v>3432</v>
      </c>
      <c r="D952" s="6" t="s">
        <v>3426</v>
      </c>
      <c r="E952" s="6" t="s">
        <v>3433</v>
      </c>
      <c r="F952" s="6" t="s">
        <v>158</v>
      </c>
      <c r="G952" s="3" t="s">
        <v>11449</v>
      </c>
      <c r="H952" s="54">
        <v>0.6</v>
      </c>
      <c r="I952" s="16">
        <v>470000000</v>
      </c>
      <c r="J952" s="157" t="s">
        <v>229</v>
      </c>
      <c r="K952" s="5" t="s">
        <v>217</v>
      </c>
      <c r="L952" s="17" t="s">
        <v>11411</v>
      </c>
      <c r="M952" s="3" t="s">
        <v>230</v>
      </c>
      <c r="N952" s="6" t="s">
        <v>524</v>
      </c>
      <c r="O952" s="6" t="s">
        <v>233</v>
      </c>
      <c r="P952" s="58" t="s">
        <v>241</v>
      </c>
      <c r="Q952" s="6" t="s">
        <v>234</v>
      </c>
      <c r="R952" s="118">
        <v>735</v>
      </c>
      <c r="S952" s="2">
        <v>525</v>
      </c>
      <c r="T952" s="4">
        <v>0</v>
      </c>
      <c r="U952" s="4">
        <f t="shared" si="36"/>
        <v>0</v>
      </c>
      <c r="V952" s="3" t="s">
        <v>362</v>
      </c>
      <c r="W952" s="3">
        <v>2014</v>
      </c>
      <c r="X952" s="3" t="s">
        <v>14785</v>
      </c>
    </row>
    <row r="953" spans="1:24" ht="89.25">
      <c r="A953" s="3" t="s">
        <v>14686</v>
      </c>
      <c r="B953" s="6" t="s">
        <v>361</v>
      </c>
      <c r="C953" s="6" t="s">
        <v>3432</v>
      </c>
      <c r="D953" s="6" t="s">
        <v>3426</v>
      </c>
      <c r="E953" s="6" t="s">
        <v>3433</v>
      </c>
      <c r="F953" s="6" t="s">
        <v>158</v>
      </c>
      <c r="G953" s="3" t="s">
        <v>11449</v>
      </c>
      <c r="H953" s="54">
        <v>0.6</v>
      </c>
      <c r="I953" s="16">
        <v>470000000</v>
      </c>
      <c r="J953" s="157" t="s">
        <v>229</v>
      </c>
      <c r="K953" s="5" t="s">
        <v>14684</v>
      </c>
      <c r="L953" s="17" t="s">
        <v>11411</v>
      </c>
      <c r="M953" s="3" t="s">
        <v>230</v>
      </c>
      <c r="N953" s="6" t="s">
        <v>524</v>
      </c>
      <c r="O953" s="6" t="s">
        <v>233</v>
      </c>
      <c r="P953" s="58" t="s">
        <v>241</v>
      </c>
      <c r="Q953" s="6" t="s">
        <v>234</v>
      </c>
      <c r="R953" s="118">
        <v>735</v>
      </c>
      <c r="S953" s="2">
        <v>630</v>
      </c>
      <c r="T953" s="4">
        <f>R953*S953</f>
        <v>463050</v>
      </c>
      <c r="U953" s="4">
        <f t="shared" si="36"/>
        <v>518616.00000000006</v>
      </c>
      <c r="V953" s="3" t="s">
        <v>362</v>
      </c>
      <c r="W953" s="3">
        <v>2014</v>
      </c>
      <c r="X953" s="3"/>
    </row>
    <row r="954" spans="1:24" ht="102">
      <c r="A954" s="3" t="s">
        <v>982</v>
      </c>
      <c r="B954" s="6" t="s">
        <v>361</v>
      </c>
      <c r="C954" s="6" t="s">
        <v>3435</v>
      </c>
      <c r="D954" s="6" t="s">
        <v>3426</v>
      </c>
      <c r="E954" s="6" t="s">
        <v>3436</v>
      </c>
      <c r="F954" s="6" t="s">
        <v>3434</v>
      </c>
      <c r="G954" s="3" t="s">
        <v>11449</v>
      </c>
      <c r="H954" s="54">
        <v>0.6</v>
      </c>
      <c r="I954" s="16">
        <v>470000000</v>
      </c>
      <c r="J954" s="157" t="s">
        <v>229</v>
      </c>
      <c r="K954" s="5" t="s">
        <v>210</v>
      </c>
      <c r="L954" s="6" t="s">
        <v>231</v>
      </c>
      <c r="M954" s="3" t="s">
        <v>230</v>
      </c>
      <c r="N954" s="6" t="s">
        <v>524</v>
      </c>
      <c r="O954" s="6" t="s">
        <v>233</v>
      </c>
      <c r="P954" s="58" t="s">
        <v>241</v>
      </c>
      <c r="Q954" s="6" t="s">
        <v>234</v>
      </c>
      <c r="R954" s="118">
        <v>183</v>
      </c>
      <c r="S954" s="2">
        <v>525</v>
      </c>
      <c r="T954" s="4">
        <v>0</v>
      </c>
      <c r="U954" s="4">
        <f t="shared" si="36"/>
        <v>0</v>
      </c>
      <c r="V954" s="3" t="s">
        <v>362</v>
      </c>
      <c r="W954" s="3">
        <v>2014</v>
      </c>
      <c r="X954" s="3">
        <v>11.12</v>
      </c>
    </row>
    <row r="955" spans="1:24" ht="89.25">
      <c r="A955" s="3" t="s">
        <v>14025</v>
      </c>
      <c r="B955" s="6" t="s">
        <v>361</v>
      </c>
      <c r="C955" s="6" t="s">
        <v>3435</v>
      </c>
      <c r="D955" s="6" t="s">
        <v>3426</v>
      </c>
      <c r="E955" s="6" t="s">
        <v>3436</v>
      </c>
      <c r="F955" s="6" t="s">
        <v>3434</v>
      </c>
      <c r="G955" s="3" t="s">
        <v>11449</v>
      </c>
      <c r="H955" s="54">
        <v>0.6</v>
      </c>
      <c r="I955" s="16">
        <v>470000000</v>
      </c>
      <c r="J955" s="157" t="s">
        <v>229</v>
      </c>
      <c r="K955" s="5" t="s">
        <v>217</v>
      </c>
      <c r="L955" s="17" t="s">
        <v>11411</v>
      </c>
      <c r="M955" s="3" t="s">
        <v>230</v>
      </c>
      <c r="N955" s="6" t="s">
        <v>524</v>
      </c>
      <c r="O955" s="6" t="s">
        <v>233</v>
      </c>
      <c r="P955" s="58" t="s">
        <v>241</v>
      </c>
      <c r="Q955" s="6" t="s">
        <v>234</v>
      </c>
      <c r="R955" s="118">
        <v>183</v>
      </c>
      <c r="S955" s="2">
        <v>525</v>
      </c>
      <c r="T955" s="4">
        <v>0</v>
      </c>
      <c r="U955" s="4">
        <f t="shared" si="36"/>
        <v>0</v>
      </c>
      <c r="V955" s="3" t="s">
        <v>362</v>
      </c>
      <c r="W955" s="3">
        <v>2014</v>
      </c>
      <c r="X955" s="3" t="s">
        <v>14785</v>
      </c>
    </row>
    <row r="956" spans="1:24" ht="89.25">
      <c r="A956" s="3" t="s">
        <v>14687</v>
      </c>
      <c r="B956" s="6" t="s">
        <v>361</v>
      </c>
      <c r="C956" s="6" t="s">
        <v>3435</v>
      </c>
      <c r="D956" s="6" t="s">
        <v>3426</v>
      </c>
      <c r="E956" s="6" t="s">
        <v>3436</v>
      </c>
      <c r="F956" s="6" t="s">
        <v>3434</v>
      </c>
      <c r="G956" s="3" t="s">
        <v>11449</v>
      </c>
      <c r="H956" s="54">
        <v>0.6</v>
      </c>
      <c r="I956" s="16">
        <v>470000000</v>
      </c>
      <c r="J956" s="157" t="s">
        <v>229</v>
      </c>
      <c r="K956" s="5" t="s">
        <v>14590</v>
      </c>
      <c r="L956" s="17" t="s">
        <v>11411</v>
      </c>
      <c r="M956" s="3" t="s">
        <v>230</v>
      </c>
      <c r="N956" s="6" t="s">
        <v>524</v>
      </c>
      <c r="O956" s="6" t="s">
        <v>233</v>
      </c>
      <c r="P956" s="58" t="s">
        <v>241</v>
      </c>
      <c r="Q956" s="6" t="s">
        <v>234</v>
      </c>
      <c r="R956" s="118">
        <v>183</v>
      </c>
      <c r="S956" s="2">
        <v>630</v>
      </c>
      <c r="T956" s="4">
        <f>R956*S956</f>
        <v>115290</v>
      </c>
      <c r="U956" s="4">
        <f t="shared" si="36"/>
        <v>129124.80000000002</v>
      </c>
      <c r="V956" s="3" t="s">
        <v>362</v>
      </c>
      <c r="W956" s="3">
        <v>2014</v>
      </c>
      <c r="X956" s="3"/>
    </row>
    <row r="957" spans="1:24" ht="102">
      <c r="A957" s="3" t="s">
        <v>983</v>
      </c>
      <c r="B957" s="6" t="s">
        <v>361</v>
      </c>
      <c r="C957" s="6" t="s">
        <v>3432</v>
      </c>
      <c r="D957" s="6" t="s">
        <v>3426</v>
      </c>
      <c r="E957" s="6" t="s">
        <v>3433</v>
      </c>
      <c r="F957" s="6" t="s">
        <v>159</v>
      </c>
      <c r="G957" s="3" t="s">
        <v>11449</v>
      </c>
      <c r="H957" s="54">
        <v>0.6</v>
      </c>
      <c r="I957" s="16">
        <v>470000000</v>
      </c>
      <c r="J957" s="157" t="s">
        <v>229</v>
      </c>
      <c r="K957" s="5" t="s">
        <v>210</v>
      </c>
      <c r="L957" s="6" t="s">
        <v>231</v>
      </c>
      <c r="M957" s="3" t="s">
        <v>230</v>
      </c>
      <c r="N957" s="6" t="s">
        <v>524</v>
      </c>
      <c r="O957" s="6" t="s">
        <v>233</v>
      </c>
      <c r="P957" s="58" t="s">
        <v>241</v>
      </c>
      <c r="Q957" s="6" t="s">
        <v>234</v>
      </c>
      <c r="R957" s="118">
        <v>20</v>
      </c>
      <c r="S957" s="2">
        <v>525</v>
      </c>
      <c r="T957" s="4">
        <v>0</v>
      </c>
      <c r="U957" s="4">
        <f t="shared" si="36"/>
        <v>0</v>
      </c>
      <c r="V957" s="3" t="s">
        <v>362</v>
      </c>
      <c r="W957" s="3">
        <v>2014</v>
      </c>
      <c r="X957" s="3">
        <v>11.12</v>
      </c>
    </row>
    <row r="958" spans="1:24" ht="89.25">
      <c r="A958" s="3" t="s">
        <v>14026</v>
      </c>
      <c r="B958" s="6" t="s">
        <v>361</v>
      </c>
      <c r="C958" s="6" t="s">
        <v>3432</v>
      </c>
      <c r="D958" s="6" t="s">
        <v>3426</v>
      </c>
      <c r="E958" s="6" t="s">
        <v>3433</v>
      </c>
      <c r="F958" s="6" t="s">
        <v>159</v>
      </c>
      <c r="G958" s="3" t="s">
        <v>11449</v>
      </c>
      <c r="H958" s="54">
        <v>0.6</v>
      </c>
      <c r="I958" s="16">
        <v>470000000</v>
      </c>
      <c r="J958" s="157" t="s">
        <v>229</v>
      </c>
      <c r="K958" s="5" t="s">
        <v>217</v>
      </c>
      <c r="L958" s="17" t="s">
        <v>11411</v>
      </c>
      <c r="M958" s="3" t="s">
        <v>230</v>
      </c>
      <c r="N958" s="6" t="s">
        <v>524</v>
      </c>
      <c r="O958" s="6" t="s">
        <v>233</v>
      </c>
      <c r="P958" s="58" t="s">
        <v>241</v>
      </c>
      <c r="Q958" s="6" t="s">
        <v>234</v>
      </c>
      <c r="R958" s="118">
        <v>20</v>
      </c>
      <c r="S958" s="2">
        <v>525</v>
      </c>
      <c r="T958" s="4">
        <v>0</v>
      </c>
      <c r="U958" s="4">
        <f t="shared" si="36"/>
        <v>0</v>
      </c>
      <c r="V958" s="3" t="s">
        <v>362</v>
      </c>
      <c r="W958" s="3">
        <v>2014</v>
      </c>
      <c r="X958" s="3" t="s">
        <v>14785</v>
      </c>
    </row>
    <row r="959" spans="1:24" ht="89.25">
      <c r="A959" s="3" t="s">
        <v>14688</v>
      </c>
      <c r="B959" s="6" t="s">
        <v>361</v>
      </c>
      <c r="C959" s="6" t="s">
        <v>3432</v>
      </c>
      <c r="D959" s="6" t="s">
        <v>3426</v>
      </c>
      <c r="E959" s="6" t="s">
        <v>3433</v>
      </c>
      <c r="F959" s="6" t="s">
        <v>159</v>
      </c>
      <c r="G959" s="3" t="s">
        <v>11449</v>
      </c>
      <c r="H959" s="54">
        <v>0.6</v>
      </c>
      <c r="I959" s="16">
        <v>470000000</v>
      </c>
      <c r="J959" s="157" t="s">
        <v>229</v>
      </c>
      <c r="K959" s="5" t="s">
        <v>14590</v>
      </c>
      <c r="L959" s="17" t="s">
        <v>11411</v>
      </c>
      <c r="M959" s="3" t="s">
        <v>230</v>
      </c>
      <c r="N959" s="6" t="s">
        <v>524</v>
      </c>
      <c r="O959" s="6" t="s">
        <v>233</v>
      </c>
      <c r="P959" s="58" t="s">
        <v>241</v>
      </c>
      <c r="Q959" s="6" t="s">
        <v>234</v>
      </c>
      <c r="R959" s="118">
        <v>20</v>
      </c>
      <c r="S959" s="2">
        <v>630</v>
      </c>
      <c r="T959" s="4">
        <f>R959*S959</f>
        <v>12600</v>
      </c>
      <c r="U959" s="4">
        <f t="shared" si="36"/>
        <v>14112.000000000002</v>
      </c>
      <c r="V959" s="3" t="s">
        <v>362</v>
      </c>
      <c r="W959" s="3">
        <v>2014</v>
      </c>
      <c r="X959" s="3"/>
    </row>
    <row r="960" spans="1:24" ht="102">
      <c r="A960" s="3" t="s">
        <v>984</v>
      </c>
      <c r="B960" s="6" t="s">
        <v>361</v>
      </c>
      <c r="C960" s="6" t="s">
        <v>3432</v>
      </c>
      <c r="D960" s="6" t="s">
        <v>3426</v>
      </c>
      <c r="E960" s="6" t="s">
        <v>3433</v>
      </c>
      <c r="F960" s="6" t="s">
        <v>160</v>
      </c>
      <c r="G960" s="3" t="s">
        <v>11449</v>
      </c>
      <c r="H960" s="54">
        <v>0.6</v>
      </c>
      <c r="I960" s="16">
        <v>470000000</v>
      </c>
      <c r="J960" s="157" t="s">
        <v>229</v>
      </c>
      <c r="K960" s="5" t="s">
        <v>215</v>
      </c>
      <c r="L960" s="6" t="s">
        <v>231</v>
      </c>
      <c r="M960" s="3" t="s">
        <v>230</v>
      </c>
      <c r="N960" s="6" t="s">
        <v>524</v>
      </c>
      <c r="O960" s="6" t="s">
        <v>233</v>
      </c>
      <c r="P960" s="58" t="s">
        <v>241</v>
      </c>
      <c r="Q960" s="6" t="s">
        <v>234</v>
      </c>
      <c r="R960" s="118">
        <v>2200</v>
      </c>
      <c r="S960" s="2">
        <v>525</v>
      </c>
      <c r="T960" s="4">
        <v>0</v>
      </c>
      <c r="U960" s="4">
        <f t="shared" si="36"/>
        <v>0</v>
      </c>
      <c r="V960" s="3" t="s">
        <v>362</v>
      </c>
      <c r="W960" s="3">
        <v>2014</v>
      </c>
      <c r="X960" s="3">
        <v>11.12</v>
      </c>
    </row>
    <row r="961" spans="1:24" ht="89.25">
      <c r="A961" s="3" t="s">
        <v>12192</v>
      </c>
      <c r="B961" s="6" t="s">
        <v>361</v>
      </c>
      <c r="C961" s="6" t="s">
        <v>3432</v>
      </c>
      <c r="D961" s="6" t="s">
        <v>3426</v>
      </c>
      <c r="E961" s="6" t="s">
        <v>3433</v>
      </c>
      <c r="F961" s="6" t="s">
        <v>160</v>
      </c>
      <c r="G961" s="3" t="s">
        <v>11449</v>
      </c>
      <c r="H961" s="54">
        <v>0.6</v>
      </c>
      <c r="I961" s="16">
        <v>470000000</v>
      </c>
      <c r="J961" s="157" t="s">
        <v>229</v>
      </c>
      <c r="K961" s="5" t="s">
        <v>217</v>
      </c>
      <c r="L961" s="17" t="s">
        <v>11411</v>
      </c>
      <c r="M961" s="3" t="s">
        <v>230</v>
      </c>
      <c r="N961" s="6" t="s">
        <v>524</v>
      </c>
      <c r="O961" s="6" t="s">
        <v>233</v>
      </c>
      <c r="P961" s="58" t="s">
        <v>241</v>
      </c>
      <c r="Q961" s="6" t="s">
        <v>234</v>
      </c>
      <c r="R961" s="118">
        <v>2200</v>
      </c>
      <c r="S961" s="2">
        <v>525</v>
      </c>
      <c r="T961" s="4">
        <v>0</v>
      </c>
      <c r="U961" s="4">
        <f t="shared" si="36"/>
        <v>0</v>
      </c>
      <c r="V961" s="3" t="s">
        <v>362</v>
      </c>
      <c r="W961" s="3">
        <v>2014</v>
      </c>
      <c r="X961" s="3" t="s">
        <v>14785</v>
      </c>
    </row>
    <row r="962" spans="1:24" ht="89.25">
      <c r="A962" s="3" t="s">
        <v>14689</v>
      </c>
      <c r="B962" s="6" t="s">
        <v>361</v>
      </c>
      <c r="C962" s="6" t="s">
        <v>3432</v>
      </c>
      <c r="D962" s="6" t="s">
        <v>3426</v>
      </c>
      <c r="E962" s="6" t="s">
        <v>3433</v>
      </c>
      <c r="F962" s="6" t="s">
        <v>160</v>
      </c>
      <c r="G962" s="3" t="s">
        <v>11449</v>
      </c>
      <c r="H962" s="54">
        <v>0.6</v>
      </c>
      <c r="I962" s="16">
        <v>470000000</v>
      </c>
      <c r="J962" s="157" t="s">
        <v>229</v>
      </c>
      <c r="K962" s="5" t="s">
        <v>14590</v>
      </c>
      <c r="L962" s="17" t="s">
        <v>11411</v>
      </c>
      <c r="M962" s="3" t="s">
        <v>230</v>
      </c>
      <c r="N962" s="6" t="s">
        <v>524</v>
      </c>
      <c r="O962" s="6" t="s">
        <v>233</v>
      </c>
      <c r="P962" s="58" t="s">
        <v>241</v>
      </c>
      <c r="Q962" s="6" t="s">
        <v>234</v>
      </c>
      <c r="R962" s="118">
        <v>2200</v>
      </c>
      <c r="S962" s="2">
        <v>630</v>
      </c>
      <c r="T962" s="4">
        <f>R962*S962</f>
        <v>1386000</v>
      </c>
      <c r="U962" s="4">
        <f t="shared" si="36"/>
        <v>1552320.0000000002</v>
      </c>
      <c r="V962" s="3" t="s">
        <v>362</v>
      </c>
      <c r="W962" s="3">
        <v>2014</v>
      </c>
      <c r="X962" s="3"/>
    </row>
    <row r="963" spans="1:24" ht="102">
      <c r="A963" s="3" t="s">
        <v>985</v>
      </c>
      <c r="B963" s="6" t="s">
        <v>361</v>
      </c>
      <c r="C963" s="6" t="s">
        <v>3437</v>
      </c>
      <c r="D963" s="6" t="s">
        <v>3426</v>
      </c>
      <c r="E963" s="6" t="s">
        <v>3438</v>
      </c>
      <c r="F963" s="6" t="s">
        <v>161</v>
      </c>
      <c r="G963" s="3" t="s">
        <v>11449</v>
      </c>
      <c r="H963" s="54">
        <v>0.6</v>
      </c>
      <c r="I963" s="16">
        <v>470000000</v>
      </c>
      <c r="J963" s="157" t="s">
        <v>229</v>
      </c>
      <c r="K963" s="5" t="s">
        <v>210</v>
      </c>
      <c r="L963" s="6" t="s">
        <v>231</v>
      </c>
      <c r="M963" s="3" t="s">
        <v>230</v>
      </c>
      <c r="N963" s="6" t="s">
        <v>524</v>
      </c>
      <c r="O963" s="6" t="s">
        <v>233</v>
      </c>
      <c r="P963" s="58" t="s">
        <v>241</v>
      </c>
      <c r="Q963" s="6" t="s">
        <v>234</v>
      </c>
      <c r="R963" s="118">
        <v>112</v>
      </c>
      <c r="S963" s="2">
        <v>525</v>
      </c>
      <c r="T963" s="4">
        <v>0</v>
      </c>
      <c r="U963" s="4">
        <f t="shared" si="36"/>
        <v>0</v>
      </c>
      <c r="V963" s="3" t="s">
        <v>362</v>
      </c>
      <c r="W963" s="3">
        <v>2014</v>
      </c>
      <c r="X963" s="3">
        <v>11.12</v>
      </c>
    </row>
    <row r="964" spans="1:24" ht="89.25">
      <c r="A964" s="3" t="s">
        <v>12193</v>
      </c>
      <c r="B964" s="6" t="s">
        <v>361</v>
      </c>
      <c r="C964" s="6" t="s">
        <v>3437</v>
      </c>
      <c r="D964" s="6" t="s">
        <v>3426</v>
      </c>
      <c r="E964" s="6" t="s">
        <v>3438</v>
      </c>
      <c r="F964" s="6" t="s">
        <v>161</v>
      </c>
      <c r="G964" s="3" t="s">
        <v>11449</v>
      </c>
      <c r="H964" s="54">
        <v>0.6</v>
      </c>
      <c r="I964" s="16">
        <v>470000000</v>
      </c>
      <c r="J964" s="157" t="s">
        <v>229</v>
      </c>
      <c r="K964" s="5" t="s">
        <v>217</v>
      </c>
      <c r="L964" s="17" t="s">
        <v>11411</v>
      </c>
      <c r="M964" s="3" t="s">
        <v>230</v>
      </c>
      <c r="N964" s="6" t="s">
        <v>524</v>
      </c>
      <c r="O964" s="6" t="s">
        <v>233</v>
      </c>
      <c r="P964" s="58" t="s">
        <v>241</v>
      </c>
      <c r="Q964" s="6" t="s">
        <v>234</v>
      </c>
      <c r="R964" s="118">
        <v>112</v>
      </c>
      <c r="S964" s="2">
        <v>525</v>
      </c>
      <c r="T964" s="4">
        <v>0</v>
      </c>
      <c r="U964" s="4">
        <f t="shared" si="36"/>
        <v>0</v>
      </c>
      <c r="V964" s="3" t="s">
        <v>362</v>
      </c>
      <c r="W964" s="3">
        <v>2014</v>
      </c>
      <c r="X964" s="3" t="s">
        <v>14785</v>
      </c>
    </row>
    <row r="965" spans="1:24" ht="89.25">
      <c r="A965" s="3" t="s">
        <v>14690</v>
      </c>
      <c r="B965" s="6" t="s">
        <v>361</v>
      </c>
      <c r="C965" s="6" t="s">
        <v>3437</v>
      </c>
      <c r="D965" s="6" t="s">
        <v>3426</v>
      </c>
      <c r="E965" s="6" t="s">
        <v>3438</v>
      </c>
      <c r="F965" s="6" t="s">
        <v>161</v>
      </c>
      <c r="G965" s="3" t="s">
        <v>11449</v>
      </c>
      <c r="H965" s="54">
        <v>0.6</v>
      </c>
      <c r="I965" s="16">
        <v>470000000</v>
      </c>
      <c r="J965" s="157" t="s">
        <v>229</v>
      </c>
      <c r="K965" s="5" t="s">
        <v>14590</v>
      </c>
      <c r="L965" s="17" t="s">
        <v>11411</v>
      </c>
      <c r="M965" s="3" t="s">
        <v>230</v>
      </c>
      <c r="N965" s="6" t="s">
        <v>524</v>
      </c>
      <c r="O965" s="6" t="s">
        <v>233</v>
      </c>
      <c r="P965" s="58" t="s">
        <v>241</v>
      </c>
      <c r="Q965" s="6" t="s">
        <v>234</v>
      </c>
      <c r="R965" s="118">
        <v>112</v>
      </c>
      <c r="S965" s="2">
        <v>630</v>
      </c>
      <c r="T965" s="4">
        <f>R965*S965</f>
        <v>70560</v>
      </c>
      <c r="U965" s="4">
        <f t="shared" si="36"/>
        <v>79027.200000000012</v>
      </c>
      <c r="V965" s="3" t="s">
        <v>362</v>
      </c>
      <c r="W965" s="3">
        <v>2014</v>
      </c>
      <c r="X965" s="3"/>
    </row>
    <row r="966" spans="1:24" ht="102">
      <c r="A966" s="3" t="s">
        <v>986</v>
      </c>
      <c r="B966" s="6" t="s">
        <v>361</v>
      </c>
      <c r="C966" s="6" t="s">
        <v>3439</v>
      </c>
      <c r="D966" s="6" t="s">
        <v>3440</v>
      </c>
      <c r="E966" s="6" t="s">
        <v>3441</v>
      </c>
      <c r="F966" s="6" t="s">
        <v>3442</v>
      </c>
      <c r="G966" s="3" t="s">
        <v>11449</v>
      </c>
      <c r="H966" s="54">
        <v>0.6</v>
      </c>
      <c r="I966" s="16">
        <v>470000000</v>
      </c>
      <c r="J966" s="157" t="s">
        <v>229</v>
      </c>
      <c r="K966" s="5" t="s">
        <v>210</v>
      </c>
      <c r="L966" s="6" t="s">
        <v>231</v>
      </c>
      <c r="M966" s="3" t="s">
        <v>230</v>
      </c>
      <c r="N966" s="6" t="s">
        <v>524</v>
      </c>
      <c r="O966" s="6" t="s">
        <v>233</v>
      </c>
      <c r="P966" s="58" t="s">
        <v>243</v>
      </c>
      <c r="Q966" s="6" t="s">
        <v>244</v>
      </c>
      <c r="R966" s="118">
        <v>8.8000000000000007</v>
      </c>
      <c r="S966" s="2">
        <v>558</v>
      </c>
      <c r="T966" s="4">
        <v>0</v>
      </c>
      <c r="U966" s="4">
        <f t="shared" si="36"/>
        <v>0</v>
      </c>
      <c r="V966" s="3" t="s">
        <v>362</v>
      </c>
      <c r="W966" s="3">
        <v>2014</v>
      </c>
      <c r="X966" s="3">
        <v>11.12</v>
      </c>
    </row>
    <row r="967" spans="1:24" ht="89.25">
      <c r="A967" s="3" t="s">
        <v>12194</v>
      </c>
      <c r="B967" s="6" t="s">
        <v>361</v>
      </c>
      <c r="C967" s="6" t="s">
        <v>3439</v>
      </c>
      <c r="D967" s="6" t="s">
        <v>3440</v>
      </c>
      <c r="E967" s="6" t="s">
        <v>3441</v>
      </c>
      <c r="F967" s="6" t="s">
        <v>3442</v>
      </c>
      <c r="G967" s="3" t="s">
        <v>11449</v>
      </c>
      <c r="H967" s="54">
        <v>0.6</v>
      </c>
      <c r="I967" s="16">
        <v>470000000</v>
      </c>
      <c r="J967" s="157" t="s">
        <v>229</v>
      </c>
      <c r="K967" s="5" t="s">
        <v>211</v>
      </c>
      <c r="L967" s="17" t="s">
        <v>11411</v>
      </c>
      <c r="M967" s="3" t="s">
        <v>230</v>
      </c>
      <c r="N967" s="6" t="s">
        <v>524</v>
      </c>
      <c r="O967" s="6" t="s">
        <v>233</v>
      </c>
      <c r="P967" s="58" t="s">
        <v>243</v>
      </c>
      <c r="Q967" s="6" t="s">
        <v>244</v>
      </c>
      <c r="R967" s="118">
        <v>8.8000000000000007</v>
      </c>
      <c r="S967" s="2">
        <v>558</v>
      </c>
      <c r="T967" s="4">
        <v>0</v>
      </c>
      <c r="U967" s="4">
        <f t="shared" si="36"/>
        <v>0</v>
      </c>
      <c r="V967" s="3" t="s">
        <v>362</v>
      </c>
      <c r="W967" s="3">
        <v>2014</v>
      </c>
      <c r="X967" s="3" t="s">
        <v>12076</v>
      </c>
    </row>
    <row r="968" spans="1:24" ht="102">
      <c r="A968" s="3" t="s">
        <v>987</v>
      </c>
      <c r="B968" s="6" t="s">
        <v>361</v>
      </c>
      <c r="C968" s="6" t="s">
        <v>3439</v>
      </c>
      <c r="D968" s="6" t="s">
        <v>3440</v>
      </c>
      <c r="E968" s="6" t="s">
        <v>3441</v>
      </c>
      <c r="F968" s="6" t="s">
        <v>3443</v>
      </c>
      <c r="G968" s="3" t="s">
        <v>11449</v>
      </c>
      <c r="H968" s="54">
        <v>0.6</v>
      </c>
      <c r="I968" s="16">
        <v>470000000</v>
      </c>
      <c r="J968" s="157" t="s">
        <v>229</v>
      </c>
      <c r="K968" s="5" t="s">
        <v>214</v>
      </c>
      <c r="L968" s="6" t="s">
        <v>231</v>
      </c>
      <c r="M968" s="3" t="s">
        <v>230</v>
      </c>
      <c r="N968" s="6" t="s">
        <v>524</v>
      </c>
      <c r="O968" s="6" t="s">
        <v>233</v>
      </c>
      <c r="P968" s="58" t="s">
        <v>243</v>
      </c>
      <c r="Q968" s="6" t="s">
        <v>244</v>
      </c>
      <c r="R968" s="118">
        <v>1200</v>
      </c>
      <c r="S968" s="2">
        <v>558</v>
      </c>
      <c r="T968" s="4">
        <v>0</v>
      </c>
      <c r="U968" s="4">
        <f t="shared" si="36"/>
        <v>0</v>
      </c>
      <c r="V968" s="3" t="s">
        <v>362</v>
      </c>
      <c r="W968" s="3">
        <v>2014</v>
      </c>
      <c r="X968" s="3">
        <v>11.12</v>
      </c>
    </row>
    <row r="969" spans="1:24" ht="89.25">
      <c r="A969" s="3" t="s">
        <v>11870</v>
      </c>
      <c r="B969" s="6" t="s">
        <v>361</v>
      </c>
      <c r="C969" s="6" t="s">
        <v>3439</v>
      </c>
      <c r="D969" s="6" t="s">
        <v>3440</v>
      </c>
      <c r="E969" s="6" t="s">
        <v>3441</v>
      </c>
      <c r="F969" s="6" t="s">
        <v>3443</v>
      </c>
      <c r="G969" s="3" t="s">
        <v>11449</v>
      </c>
      <c r="H969" s="54">
        <v>0.6</v>
      </c>
      <c r="I969" s="16">
        <v>470000000</v>
      </c>
      <c r="J969" s="157" t="s">
        <v>229</v>
      </c>
      <c r="K969" s="5" t="s">
        <v>210</v>
      </c>
      <c r="L969" s="17" t="s">
        <v>11411</v>
      </c>
      <c r="M969" s="3" t="s">
        <v>230</v>
      </c>
      <c r="N969" s="6" t="s">
        <v>524</v>
      </c>
      <c r="O969" s="6" t="s">
        <v>233</v>
      </c>
      <c r="P969" s="58" t="s">
        <v>243</v>
      </c>
      <c r="Q969" s="6" t="s">
        <v>244</v>
      </c>
      <c r="R969" s="118">
        <v>1200</v>
      </c>
      <c r="S969" s="2">
        <v>558</v>
      </c>
      <c r="T969" s="4">
        <v>0</v>
      </c>
      <c r="U969" s="4">
        <f t="shared" si="36"/>
        <v>0</v>
      </c>
      <c r="V969" s="3" t="s">
        <v>362</v>
      </c>
      <c r="W969" s="3">
        <v>2014</v>
      </c>
      <c r="X969" s="3">
        <v>11</v>
      </c>
    </row>
    <row r="970" spans="1:24" ht="89.25">
      <c r="A970" s="3" t="s">
        <v>12195</v>
      </c>
      <c r="B970" s="6" t="s">
        <v>361</v>
      </c>
      <c r="C970" s="6" t="s">
        <v>3439</v>
      </c>
      <c r="D970" s="6" t="s">
        <v>3440</v>
      </c>
      <c r="E970" s="6" t="s">
        <v>3441</v>
      </c>
      <c r="F970" s="6" t="s">
        <v>3443</v>
      </c>
      <c r="G970" s="3" t="s">
        <v>11449</v>
      </c>
      <c r="H970" s="54">
        <v>0.6</v>
      </c>
      <c r="I970" s="16">
        <v>470000000</v>
      </c>
      <c r="J970" s="157" t="s">
        <v>229</v>
      </c>
      <c r="K970" s="5" t="s">
        <v>211</v>
      </c>
      <c r="L970" s="17" t="s">
        <v>11411</v>
      </c>
      <c r="M970" s="3" t="s">
        <v>230</v>
      </c>
      <c r="N970" s="6" t="s">
        <v>524</v>
      </c>
      <c r="O970" s="6" t="s">
        <v>233</v>
      </c>
      <c r="P970" s="58" t="s">
        <v>243</v>
      </c>
      <c r="Q970" s="6" t="s">
        <v>244</v>
      </c>
      <c r="R970" s="118">
        <v>1200</v>
      </c>
      <c r="S970" s="2">
        <v>558</v>
      </c>
      <c r="T970" s="4">
        <v>0</v>
      </c>
      <c r="U970" s="4">
        <f t="shared" si="36"/>
        <v>0</v>
      </c>
      <c r="V970" s="3" t="s">
        <v>362</v>
      </c>
      <c r="W970" s="3">
        <v>2014</v>
      </c>
      <c r="X970" s="3" t="s">
        <v>12076</v>
      </c>
    </row>
    <row r="971" spans="1:24" ht="102">
      <c r="A971" s="3" t="s">
        <v>988</v>
      </c>
      <c r="B971" s="6" t="s">
        <v>361</v>
      </c>
      <c r="C971" s="6" t="s">
        <v>3439</v>
      </c>
      <c r="D971" s="6" t="s">
        <v>3440</v>
      </c>
      <c r="E971" s="6" t="s">
        <v>3441</v>
      </c>
      <c r="F971" s="6" t="s">
        <v>3444</v>
      </c>
      <c r="G971" s="3" t="s">
        <v>11449</v>
      </c>
      <c r="H971" s="54">
        <v>0.6</v>
      </c>
      <c r="I971" s="16">
        <v>470000000</v>
      </c>
      <c r="J971" s="157" t="s">
        <v>229</v>
      </c>
      <c r="K971" s="5" t="s">
        <v>215</v>
      </c>
      <c r="L971" s="6" t="s">
        <v>231</v>
      </c>
      <c r="M971" s="3" t="s">
        <v>230</v>
      </c>
      <c r="N971" s="6" t="s">
        <v>524</v>
      </c>
      <c r="O971" s="6" t="s">
        <v>233</v>
      </c>
      <c r="P971" s="58" t="s">
        <v>243</v>
      </c>
      <c r="Q971" s="6" t="s">
        <v>244</v>
      </c>
      <c r="R971" s="118">
        <v>220</v>
      </c>
      <c r="S971" s="2">
        <v>558</v>
      </c>
      <c r="T971" s="4">
        <v>0</v>
      </c>
      <c r="U971" s="4">
        <f t="shared" si="36"/>
        <v>0</v>
      </c>
      <c r="V971" s="3" t="s">
        <v>362</v>
      </c>
      <c r="W971" s="3">
        <v>2014</v>
      </c>
      <c r="X971" s="3">
        <v>11.12</v>
      </c>
    </row>
    <row r="972" spans="1:24" ht="89.25">
      <c r="A972" s="3" t="s">
        <v>12196</v>
      </c>
      <c r="B972" s="6" t="s">
        <v>361</v>
      </c>
      <c r="C972" s="6" t="s">
        <v>3439</v>
      </c>
      <c r="D972" s="6" t="s">
        <v>3440</v>
      </c>
      <c r="E972" s="6" t="s">
        <v>3441</v>
      </c>
      <c r="F972" s="6" t="s">
        <v>3444</v>
      </c>
      <c r="G972" s="3" t="s">
        <v>11449</v>
      </c>
      <c r="H972" s="54">
        <v>0.6</v>
      </c>
      <c r="I972" s="16">
        <v>470000000</v>
      </c>
      <c r="J972" s="157" t="s">
        <v>229</v>
      </c>
      <c r="K972" s="5" t="s">
        <v>211</v>
      </c>
      <c r="L972" s="17" t="s">
        <v>11411</v>
      </c>
      <c r="M972" s="3" t="s">
        <v>230</v>
      </c>
      <c r="N972" s="6" t="s">
        <v>524</v>
      </c>
      <c r="O972" s="6" t="s">
        <v>233</v>
      </c>
      <c r="P972" s="58" t="s">
        <v>243</v>
      </c>
      <c r="Q972" s="6" t="s">
        <v>244</v>
      </c>
      <c r="R972" s="118">
        <v>0</v>
      </c>
      <c r="S972" s="2">
        <v>558</v>
      </c>
      <c r="T972" s="4">
        <f>R972*S972</f>
        <v>0</v>
      </c>
      <c r="U972" s="4">
        <f t="shared" si="36"/>
        <v>0</v>
      </c>
      <c r="V972" s="3" t="s">
        <v>362</v>
      </c>
      <c r="W972" s="3">
        <v>2014</v>
      </c>
      <c r="X972" s="3" t="s">
        <v>12076</v>
      </c>
    </row>
    <row r="973" spans="1:24" ht="102">
      <c r="A973" s="3" t="s">
        <v>989</v>
      </c>
      <c r="B973" s="6" t="s">
        <v>361</v>
      </c>
      <c r="C973" s="6" t="s">
        <v>3439</v>
      </c>
      <c r="D973" s="6" t="s">
        <v>3440</v>
      </c>
      <c r="E973" s="6" t="s">
        <v>3441</v>
      </c>
      <c r="F973" s="6" t="s">
        <v>3445</v>
      </c>
      <c r="G973" s="3" t="s">
        <v>11449</v>
      </c>
      <c r="H973" s="54">
        <v>0.6</v>
      </c>
      <c r="I973" s="16">
        <v>470000000</v>
      </c>
      <c r="J973" s="157" t="s">
        <v>229</v>
      </c>
      <c r="K973" s="5" t="s">
        <v>210</v>
      </c>
      <c r="L973" s="6" t="s">
        <v>231</v>
      </c>
      <c r="M973" s="3" t="s">
        <v>230</v>
      </c>
      <c r="N973" s="6" t="s">
        <v>524</v>
      </c>
      <c r="O973" s="6" t="s">
        <v>233</v>
      </c>
      <c r="P973" s="58" t="s">
        <v>243</v>
      </c>
      <c r="Q973" s="6" t="s">
        <v>244</v>
      </c>
      <c r="R973" s="118">
        <v>600</v>
      </c>
      <c r="S973" s="2">
        <v>558</v>
      </c>
      <c r="T973" s="4">
        <v>0</v>
      </c>
      <c r="U973" s="4">
        <f t="shared" si="36"/>
        <v>0</v>
      </c>
      <c r="V973" s="3" t="s">
        <v>362</v>
      </c>
      <c r="W973" s="3">
        <v>2014</v>
      </c>
      <c r="X973" s="3">
        <v>11.12</v>
      </c>
    </row>
    <row r="974" spans="1:24" ht="89.25">
      <c r="A974" s="3" t="s">
        <v>12197</v>
      </c>
      <c r="B974" s="6" t="s">
        <v>361</v>
      </c>
      <c r="C974" s="6" t="s">
        <v>3439</v>
      </c>
      <c r="D974" s="6" t="s">
        <v>3440</v>
      </c>
      <c r="E974" s="6" t="s">
        <v>3441</v>
      </c>
      <c r="F974" s="6" t="s">
        <v>3445</v>
      </c>
      <c r="G974" s="3" t="s">
        <v>11449</v>
      </c>
      <c r="H974" s="54">
        <v>0.6</v>
      </c>
      <c r="I974" s="16">
        <v>470000000</v>
      </c>
      <c r="J974" s="157" t="s">
        <v>229</v>
      </c>
      <c r="K974" s="5" t="s">
        <v>211</v>
      </c>
      <c r="L974" s="17" t="s">
        <v>11411</v>
      </c>
      <c r="M974" s="3" t="s">
        <v>230</v>
      </c>
      <c r="N974" s="6" t="s">
        <v>524</v>
      </c>
      <c r="O974" s="6" t="s">
        <v>233</v>
      </c>
      <c r="P974" s="58" t="s">
        <v>243</v>
      </c>
      <c r="Q974" s="6" t="s">
        <v>244</v>
      </c>
      <c r="R974" s="118">
        <v>600</v>
      </c>
      <c r="S974" s="2">
        <v>558</v>
      </c>
      <c r="T974" s="4">
        <v>0</v>
      </c>
      <c r="U974" s="4">
        <f t="shared" si="36"/>
        <v>0</v>
      </c>
      <c r="V974" s="3" t="s">
        <v>362</v>
      </c>
      <c r="W974" s="3">
        <v>2014</v>
      </c>
      <c r="X974" s="3" t="s">
        <v>12076</v>
      </c>
    </row>
    <row r="975" spans="1:24" ht="102">
      <c r="A975" s="3" t="s">
        <v>990</v>
      </c>
      <c r="B975" s="6" t="s">
        <v>361</v>
      </c>
      <c r="C975" s="6" t="s">
        <v>3439</v>
      </c>
      <c r="D975" s="6" t="s">
        <v>3440</v>
      </c>
      <c r="E975" s="6" t="s">
        <v>3441</v>
      </c>
      <c r="F975" s="6" t="s">
        <v>3446</v>
      </c>
      <c r="G975" s="3" t="s">
        <v>11449</v>
      </c>
      <c r="H975" s="54">
        <v>0.6</v>
      </c>
      <c r="I975" s="16">
        <v>470000000</v>
      </c>
      <c r="J975" s="157" t="s">
        <v>229</v>
      </c>
      <c r="K975" s="5" t="s">
        <v>211</v>
      </c>
      <c r="L975" s="6" t="s">
        <v>231</v>
      </c>
      <c r="M975" s="3" t="s">
        <v>230</v>
      </c>
      <c r="N975" s="6" t="s">
        <v>524</v>
      </c>
      <c r="O975" s="6" t="s">
        <v>233</v>
      </c>
      <c r="P975" s="58" t="s">
        <v>243</v>
      </c>
      <c r="Q975" s="6" t="s">
        <v>244</v>
      </c>
      <c r="R975" s="118">
        <v>130</v>
      </c>
      <c r="S975" s="2">
        <v>558</v>
      </c>
      <c r="T975" s="4">
        <v>0</v>
      </c>
      <c r="U975" s="4">
        <f t="shared" si="36"/>
        <v>0</v>
      </c>
      <c r="V975" s="3" t="s">
        <v>362</v>
      </c>
      <c r="W975" s="3">
        <v>2014</v>
      </c>
      <c r="X975" s="3" t="s">
        <v>12076</v>
      </c>
    </row>
    <row r="976" spans="1:24" ht="102">
      <c r="A976" s="3" t="s">
        <v>991</v>
      </c>
      <c r="B976" s="6" t="s">
        <v>361</v>
      </c>
      <c r="C976" s="6" t="s">
        <v>3439</v>
      </c>
      <c r="D976" s="6" t="s">
        <v>3440</v>
      </c>
      <c r="E976" s="6" t="s">
        <v>3441</v>
      </c>
      <c r="F976" s="6" t="s">
        <v>3447</v>
      </c>
      <c r="G976" s="3" t="s">
        <v>11449</v>
      </c>
      <c r="H976" s="54">
        <v>0.6</v>
      </c>
      <c r="I976" s="16">
        <v>470000000</v>
      </c>
      <c r="J976" s="157" t="s">
        <v>229</v>
      </c>
      <c r="K976" s="5" t="s">
        <v>211</v>
      </c>
      <c r="L976" s="6" t="s">
        <v>231</v>
      </c>
      <c r="M976" s="3" t="s">
        <v>230</v>
      </c>
      <c r="N976" s="6" t="s">
        <v>524</v>
      </c>
      <c r="O976" s="6" t="s">
        <v>233</v>
      </c>
      <c r="P976" s="58" t="s">
        <v>243</v>
      </c>
      <c r="Q976" s="6" t="s">
        <v>244</v>
      </c>
      <c r="R976" s="118">
        <v>9</v>
      </c>
      <c r="S976" s="2">
        <v>558</v>
      </c>
      <c r="T976" s="4">
        <v>0</v>
      </c>
      <c r="U976" s="4">
        <f t="shared" si="36"/>
        <v>0</v>
      </c>
      <c r="V976" s="3" t="s">
        <v>362</v>
      </c>
      <c r="W976" s="3">
        <v>2014</v>
      </c>
      <c r="X976" s="3" t="s">
        <v>12076</v>
      </c>
    </row>
    <row r="977" spans="1:24" ht="102">
      <c r="A977" s="3" t="s">
        <v>992</v>
      </c>
      <c r="B977" s="6" t="s">
        <v>361</v>
      </c>
      <c r="C977" s="6" t="s">
        <v>3439</v>
      </c>
      <c r="D977" s="6" t="s">
        <v>3440</v>
      </c>
      <c r="E977" s="6" t="s">
        <v>3441</v>
      </c>
      <c r="F977" s="6" t="s">
        <v>3448</v>
      </c>
      <c r="G977" s="3" t="s">
        <v>11449</v>
      </c>
      <c r="H977" s="54">
        <v>0.6</v>
      </c>
      <c r="I977" s="16">
        <v>470000000</v>
      </c>
      <c r="J977" s="157" t="s">
        <v>229</v>
      </c>
      <c r="K977" s="5" t="s">
        <v>211</v>
      </c>
      <c r="L977" s="6" t="s">
        <v>231</v>
      </c>
      <c r="M977" s="3" t="s">
        <v>230</v>
      </c>
      <c r="N977" s="6" t="s">
        <v>524</v>
      </c>
      <c r="O977" s="6" t="s">
        <v>233</v>
      </c>
      <c r="P977" s="58" t="s">
        <v>243</v>
      </c>
      <c r="Q977" s="6" t="s">
        <v>244</v>
      </c>
      <c r="R977" s="118">
        <v>90</v>
      </c>
      <c r="S977" s="2">
        <v>558</v>
      </c>
      <c r="T977" s="4">
        <v>0</v>
      </c>
      <c r="U977" s="4">
        <f t="shared" si="36"/>
        <v>0</v>
      </c>
      <c r="V977" s="3" t="s">
        <v>362</v>
      </c>
      <c r="W977" s="3">
        <v>2014</v>
      </c>
      <c r="X977" s="3" t="s">
        <v>12076</v>
      </c>
    </row>
    <row r="978" spans="1:24" ht="102">
      <c r="A978" s="3" t="s">
        <v>993</v>
      </c>
      <c r="B978" s="6" t="s">
        <v>361</v>
      </c>
      <c r="C978" s="6" t="s">
        <v>3453</v>
      </c>
      <c r="D978" s="6" t="s">
        <v>417</v>
      </c>
      <c r="E978" s="6" t="s">
        <v>3454</v>
      </c>
      <c r="F978" s="6" t="s">
        <v>3449</v>
      </c>
      <c r="G978" s="3" t="s">
        <v>11449</v>
      </c>
      <c r="H978" s="54">
        <v>0.6</v>
      </c>
      <c r="I978" s="16">
        <v>470000000</v>
      </c>
      <c r="J978" s="157" t="s">
        <v>229</v>
      </c>
      <c r="K978" s="5" t="s">
        <v>214</v>
      </c>
      <c r="L978" s="6" t="s">
        <v>231</v>
      </c>
      <c r="M978" s="3" t="s">
        <v>230</v>
      </c>
      <c r="N978" s="6" t="s">
        <v>524</v>
      </c>
      <c r="O978" s="6" t="s">
        <v>233</v>
      </c>
      <c r="P978" s="58" t="s">
        <v>243</v>
      </c>
      <c r="Q978" s="6" t="s">
        <v>244</v>
      </c>
      <c r="R978" s="118">
        <v>10</v>
      </c>
      <c r="S978" s="2">
        <v>530</v>
      </c>
      <c r="T978" s="4">
        <v>0</v>
      </c>
      <c r="U978" s="4">
        <f t="shared" si="36"/>
        <v>0</v>
      </c>
      <c r="V978" s="3" t="s">
        <v>362</v>
      </c>
      <c r="W978" s="3">
        <v>2014</v>
      </c>
      <c r="X978" s="3">
        <v>11.12</v>
      </c>
    </row>
    <row r="979" spans="1:24" ht="89.25">
      <c r="A979" s="3" t="s">
        <v>11871</v>
      </c>
      <c r="B979" s="6" t="s">
        <v>361</v>
      </c>
      <c r="C979" s="6" t="s">
        <v>3453</v>
      </c>
      <c r="D979" s="6" t="s">
        <v>417</v>
      </c>
      <c r="E979" s="6" t="s">
        <v>3454</v>
      </c>
      <c r="F979" s="6" t="s">
        <v>3449</v>
      </c>
      <c r="G979" s="3" t="s">
        <v>11449</v>
      </c>
      <c r="H979" s="54">
        <v>0.6</v>
      </c>
      <c r="I979" s="16">
        <v>470000000</v>
      </c>
      <c r="J979" s="157" t="s">
        <v>229</v>
      </c>
      <c r="K979" s="5" t="s">
        <v>210</v>
      </c>
      <c r="L979" s="17" t="s">
        <v>11411</v>
      </c>
      <c r="M979" s="3" t="s">
        <v>230</v>
      </c>
      <c r="N979" s="6" t="s">
        <v>524</v>
      </c>
      <c r="O979" s="6" t="s">
        <v>233</v>
      </c>
      <c r="P979" s="58" t="s">
        <v>243</v>
      </c>
      <c r="Q979" s="6" t="s">
        <v>244</v>
      </c>
      <c r="R979" s="118">
        <v>10</v>
      </c>
      <c r="S979" s="2">
        <v>530</v>
      </c>
      <c r="T979" s="4">
        <v>0</v>
      </c>
      <c r="U979" s="4">
        <f t="shared" si="36"/>
        <v>0</v>
      </c>
      <c r="V979" s="3" t="s">
        <v>362</v>
      </c>
      <c r="W979" s="3">
        <v>2014</v>
      </c>
      <c r="X979" s="3" t="s">
        <v>12051</v>
      </c>
    </row>
    <row r="980" spans="1:24" ht="89.25">
      <c r="A980" s="3" t="s">
        <v>14691</v>
      </c>
      <c r="B980" s="6" t="s">
        <v>361</v>
      </c>
      <c r="C980" s="6" t="s">
        <v>3453</v>
      </c>
      <c r="D980" s="6" t="s">
        <v>417</v>
      </c>
      <c r="E980" s="6" t="s">
        <v>3454</v>
      </c>
      <c r="F980" s="6" t="s">
        <v>3449</v>
      </c>
      <c r="G980" s="3" t="s">
        <v>11449</v>
      </c>
      <c r="H980" s="54">
        <v>0.6</v>
      </c>
      <c r="I980" s="16">
        <v>470000000</v>
      </c>
      <c r="J980" s="157" t="s">
        <v>229</v>
      </c>
      <c r="K980" s="5" t="s">
        <v>14590</v>
      </c>
      <c r="L980" s="17" t="s">
        <v>11411</v>
      </c>
      <c r="M980" s="3" t="s">
        <v>230</v>
      </c>
      <c r="N980" s="6" t="s">
        <v>524</v>
      </c>
      <c r="O980" s="6" t="s">
        <v>233</v>
      </c>
      <c r="P980" s="58" t="s">
        <v>243</v>
      </c>
      <c r="Q980" s="6" t="s">
        <v>244</v>
      </c>
      <c r="R980" s="118">
        <v>390</v>
      </c>
      <c r="S980" s="2">
        <v>636</v>
      </c>
      <c r="T980" s="4">
        <f>R980*S980</f>
        <v>248040</v>
      </c>
      <c r="U980" s="4">
        <f t="shared" si="36"/>
        <v>277804.80000000005</v>
      </c>
      <c r="V980" s="3" t="s">
        <v>362</v>
      </c>
      <c r="W980" s="3">
        <v>2014</v>
      </c>
      <c r="X980" s="3"/>
    </row>
    <row r="981" spans="1:24" ht="102">
      <c r="A981" s="3" t="s">
        <v>994</v>
      </c>
      <c r="B981" s="6" t="s">
        <v>361</v>
      </c>
      <c r="C981" s="6" t="s">
        <v>3455</v>
      </c>
      <c r="D981" s="6" t="s">
        <v>417</v>
      </c>
      <c r="E981" s="6" t="s">
        <v>3456</v>
      </c>
      <c r="F981" s="6" t="s">
        <v>3450</v>
      </c>
      <c r="G981" s="3" t="s">
        <v>11449</v>
      </c>
      <c r="H981" s="54">
        <v>0.6</v>
      </c>
      <c r="I981" s="16">
        <v>470000000</v>
      </c>
      <c r="J981" s="157" t="s">
        <v>229</v>
      </c>
      <c r="K981" s="5" t="s">
        <v>211</v>
      </c>
      <c r="L981" s="6" t="s">
        <v>231</v>
      </c>
      <c r="M981" s="3" t="s">
        <v>230</v>
      </c>
      <c r="N981" s="6" t="s">
        <v>524</v>
      </c>
      <c r="O981" s="6" t="s">
        <v>233</v>
      </c>
      <c r="P981" s="58" t="s">
        <v>243</v>
      </c>
      <c r="Q981" s="6" t="s">
        <v>244</v>
      </c>
      <c r="R981" s="118">
        <v>10</v>
      </c>
      <c r="S981" s="2">
        <v>530</v>
      </c>
      <c r="T981" s="4">
        <v>0</v>
      </c>
      <c r="U981" s="4">
        <f t="shared" si="36"/>
        <v>0</v>
      </c>
      <c r="V981" s="3" t="s">
        <v>362</v>
      </c>
      <c r="W981" s="3">
        <v>2014</v>
      </c>
      <c r="X981" s="3" t="s">
        <v>12051</v>
      </c>
    </row>
    <row r="982" spans="1:24" ht="102">
      <c r="A982" s="3" t="s">
        <v>14692</v>
      </c>
      <c r="B982" s="6" t="s">
        <v>361</v>
      </c>
      <c r="C982" s="6" t="s">
        <v>3455</v>
      </c>
      <c r="D982" s="6" t="s">
        <v>417</v>
      </c>
      <c r="E982" s="6" t="s">
        <v>3456</v>
      </c>
      <c r="F982" s="6" t="s">
        <v>3450</v>
      </c>
      <c r="G982" s="3" t="s">
        <v>11449</v>
      </c>
      <c r="H982" s="54">
        <v>0.6</v>
      </c>
      <c r="I982" s="16">
        <v>470000000</v>
      </c>
      <c r="J982" s="157" t="s">
        <v>229</v>
      </c>
      <c r="K982" s="5" t="s">
        <v>14590</v>
      </c>
      <c r="L982" s="6" t="s">
        <v>231</v>
      </c>
      <c r="M982" s="3" t="s">
        <v>230</v>
      </c>
      <c r="N982" s="6" t="s">
        <v>524</v>
      </c>
      <c r="O982" s="6" t="s">
        <v>233</v>
      </c>
      <c r="P982" s="58" t="s">
        <v>243</v>
      </c>
      <c r="Q982" s="6" t="s">
        <v>244</v>
      </c>
      <c r="R982" s="118">
        <v>30</v>
      </c>
      <c r="S982" s="2">
        <v>636</v>
      </c>
      <c r="T982" s="4">
        <f>R982*S982</f>
        <v>19080</v>
      </c>
      <c r="U982" s="4">
        <f t="shared" si="36"/>
        <v>21369.600000000002</v>
      </c>
      <c r="V982" s="3" t="s">
        <v>362</v>
      </c>
      <c r="W982" s="3">
        <v>2014</v>
      </c>
      <c r="X982" s="3"/>
    </row>
    <row r="983" spans="1:24" ht="102">
      <c r="A983" s="3" t="s">
        <v>995</v>
      </c>
      <c r="B983" s="6" t="s">
        <v>361</v>
      </c>
      <c r="C983" s="6" t="s">
        <v>3457</v>
      </c>
      <c r="D983" s="6" t="s">
        <v>417</v>
      </c>
      <c r="E983" s="6" t="s">
        <v>3458</v>
      </c>
      <c r="F983" s="6" t="s">
        <v>3451</v>
      </c>
      <c r="G983" s="3" t="s">
        <v>11449</v>
      </c>
      <c r="H983" s="54">
        <v>0.6</v>
      </c>
      <c r="I983" s="16">
        <v>470000000</v>
      </c>
      <c r="J983" s="157" t="s">
        <v>229</v>
      </c>
      <c r="K983" s="5" t="s">
        <v>210</v>
      </c>
      <c r="L983" s="6" t="s">
        <v>231</v>
      </c>
      <c r="M983" s="3" t="s">
        <v>230</v>
      </c>
      <c r="N983" s="6" t="s">
        <v>524</v>
      </c>
      <c r="O983" s="6" t="s">
        <v>233</v>
      </c>
      <c r="P983" s="58" t="s">
        <v>243</v>
      </c>
      <c r="Q983" s="6" t="s">
        <v>244</v>
      </c>
      <c r="R983" s="118">
        <v>10</v>
      </c>
      <c r="S983" s="2">
        <v>530</v>
      </c>
      <c r="T983" s="4">
        <v>0</v>
      </c>
      <c r="U983" s="4">
        <f t="shared" si="36"/>
        <v>0</v>
      </c>
      <c r="V983" s="3" t="s">
        <v>362</v>
      </c>
      <c r="W983" s="3">
        <v>2014</v>
      </c>
      <c r="X983" s="3">
        <v>11.12</v>
      </c>
    </row>
    <row r="984" spans="1:24" ht="89.25">
      <c r="A984" s="3" t="s">
        <v>12198</v>
      </c>
      <c r="B984" s="6" t="s">
        <v>361</v>
      </c>
      <c r="C984" s="6" t="s">
        <v>3457</v>
      </c>
      <c r="D984" s="6" t="s">
        <v>417</v>
      </c>
      <c r="E984" s="6" t="s">
        <v>3458</v>
      </c>
      <c r="F984" s="6" t="s">
        <v>3451</v>
      </c>
      <c r="G984" s="3" t="s">
        <v>11449</v>
      </c>
      <c r="H984" s="54">
        <v>0.6</v>
      </c>
      <c r="I984" s="16">
        <v>470000000</v>
      </c>
      <c r="J984" s="157" t="s">
        <v>229</v>
      </c>
      <c r="K984" s="5" t="s">
        <v>211</v>
      </c>
      <c r="L984" s="17" t="s">
        <v>11411</v>
      </c>
      <c r="M984" s="3" t="s">
        <v>230</v>
      </c>
      <c r="N984" s="6" t="s">
        <v>524</v>
      </c>
      <c r="O984" s="6" t="s">
        <v>233</v>
      </c>
      <c r="P984" s="58" t="s">
        <v>243</v>
      </c>
      <c r="Q984" s="6" t="s">
        <v>244</v>
      </c>
      <c r="R984" s="118">
        <v>592.36</v>
      </c>
      <c r="S984" s="2">
        <v>530</v>
      </c>
      <c r="T984" s="4">
        <v>0</v>
      </c>
      <c r="U984" s="4">
        <f t="shared" ref="U984:U1053" si="37">T984*1.12</f>
        <v>0</v>
      </c>
      <c r="V984" s="3" t="s">
        <v>362</v>
      </c>
      <c r="W984" s="3">
        <v>2014</v>
      </c>
      <c r="X984" s="3" t="s">
        <v>12051</v>
      </c>
    </row>
    <row r="985" spans="1:24" ht="89.25">
      <c r="A985" s="3" t="s">
        <v>14693</v>
      </c>
      <c r="B985" s="6" t="s">
        <v>361</v>
      </c>
      <c r="C985" s="6" t="s">
        <v>14694</v>
      </c>
      <c r="D985" s="6" t="s">
        <v>417</v>
      </c>
      <c r="E985" s="6" t="s">
        <v>14695</v>
      </c>
      <c r="F985" s="6" t="s">
        <v>3451</v>
      </c>
      <c r="G985" s="3" t="s">
        <v>11449</v>
      </c>
      <c r="H985" s="54">
        <v>0.6</v>
      </c>
      <c r="I985" s="16">
        <v>470000000</v>
      </c>
      <c r="J985" s="157" t="s">
        <v>229</v>
      </c>
      <c r="K985" s="5" t="s">
        <v>14590</v>
      </c>
      <c r="L985" s="17" t="s">
        <v>11411</v>
      </c>
      <c r="M985" s="3" t="s">
        <v>230</v>
      </c>
      <c r="N985" s="6" t="s">
        <v>524</v>
      </c>
      <c r="O985" s="6" t="s">
        <v>233</v>
      </c>
      <c r="P985" s="58" t="s">
        <v>243</v>
      </c>
      <c r="Q985" s="6" t="s">
        <v>244</v>
      </c>
      <c r="R985" s="118">
        <v>592.36</v>
      </c>
      <c r="S985" s="2">
        <v>636</v>
      </c>
      <c r="T985" s="4">
        <f>R985*S985</f>
        <v>376740.96</v>
      </c>
      <c r="U985" s="4">
        <f t="shared" si="37"/>
        <v>421949.87520000007</v>
      </c>
      <c r="V985" s="3" t="s">
        <v>362</v>
      </c>
      <c r="W985" s="3">
        <v>2014</v>
      </c>
      <c r="X985" s="3"/>
    </row>
    <row r="986" spans="1:24" ht="102">
      <c r="A986" s="3" t="s">
        <v>996</v>
      </c>
      <c r="B986" s="6" t="s">
        <v>361</v>
      </c>
      <c r="C986" s="6" t="s">
        <v>3459</v>
      </c>
      <c r="D986" s="6" t="s">
        <v>417</v>
      </c>
      <c r="E986" s="6" t="s">
        <v>3460</v>
      </c>
      <c r="F986" s="6" t="s">
        <v>3452</v>
      </c>
      <c r="G986" s="3" t="s">
        <v>11449</v>
      </c>
      <c r="H986" s="54">
        <v>0.6</v>
      </c>
      <c r="I986" s="16">
        <v>470000000</v>
      </c>
      <c r="J986" s="157" t="s">
        <v>229</v>
      </c>
      <c r="K986" s="5" t="s">
        <v>211</v>
      </c>
      <c r="L986" s="6" t="s">
        <v>231</v>
      </c>
      <c r="M986" s="3" t="s">
        <v>230</v>
      </c>
      <c r="N986" s="6" t="s">
        <v>524</v>
      </c>
      <c r="O986" s="6" t="s">
        <v>233</v>
      </c>
      <c r="P986" s="58" t="s">
        <v>243</v>
      </c>
      <c r="Q986" s="6" t="s">
        <v>244</v>
      </c>
      <c r="R986" s="118">
        <v>10</v>
      </c>
      <c r="S986" s="2">
        <v>530</v>
      </c>
      <c r="T986" s="4">
        <v>0</v>
      </c>
      <c r="U986" s="4">
        <f t="shared" si="37"/>
        <v>0</v>
      </c>
      <c r="V986" s="3" t="s">
        <v>362</v>
      </c>
      <c r="W986" s="3">
        <v>2014</v>
      </c>
      <c r="X986" s="3" t="s">
        <v>12051</v>
      </c>
    </row>
    <row r="987" spans="1:24" ht="102">
      <c r="A987" s="3" t="s">
        <v>14696</v>
      </c>
      <c r="B987" s="6" t="s">
        <v>361</v>
      </c>
      <c r="C987" s="6" t="s">
        <v>3459</v>
      </c>
      <c r="D987" s="6" t="s">
        <v>417</v>
      </c>
      <c r="E987" s="6" t="s">
        <v>3460</v>
      </c>
      <c r="F987" s="6" t="s">
        <v>3452</v>
      </c>
      <c r="G987" s="3" t="s">
        <v>11449</v>
      </c>
      <c r="H987" s="54">
        <v>0.6</v>
      </c>
      <c r="I987" s="16">
        <v>470000000</v>
      </c>
      <c r="J987" s="157" t="s">
        <v>229</v>
      </c>
      <c r="K987" s="5" t="s">
        <v>14590</v>
      </c>
      <c r="L987" s="6" t="s">
        <v>231</v>
      </c>
      <c r="M987" s="3" t="s">
        <v>230</v>
      </c>
      <c r="N987" s="6" t="s">
        <v>524</v>
      </c>
      <c r="O987" s="6" t="s">
        <v>233</v>
      </c>
      <c r="P987" s="58" t="s">
        <v>243</v>
      </c>
      <c r="Q987" s="6" t="s">
        <v>244</v>
      </c>
      <c r="R987" s="118">
        <v>50.88</v>
      </c>
      <c r="S987" s="2">
        <v>636</v>
      </c>
      <c r="T987" s="4">
        <f>R987*S987</f>
        <v>32359.68</v>
      </c>
      <c r="U987" s="4">
        <f t="shared" si="37"/>
        <v>36242.841600000007</v>
      </c>
      <c r="V987" s="3" t="s">
        <v>362</v>
      </c>
      <c r="W987" s="3">
        <v>2014</v>
      </c>
      <c r="X987" s="3"/>
    </row>
    <row r="988" spans="1:24" ht="102">
      <c r="A988" s="3" t="s">
        <v>997</v>
      </c>
      <c r="B988" s="6" t="s">
        <v>361</v>
      </c>
      <c r="C988" s="6" t="s">
        <v>3487</v>
      </c>
      <c r="D988" s="6" t="s">
        <v>3474</v>
      </c>
      <c r="E988" s="6" t="s">
        <v>3488</v>
      </c>
      <c r="F988" s="6" t="s">
        <v>3461</v>
      </c>
      <c r="G988" s="3" t="s">
        <v>11449</v>
      </c>
      <c r="H988" s="54">
        <v>0.6</v>
      </c>
      <c r="I988" s="16">
        <v>470000000</v>
      </c>
      <c r="J988" s="157" t="s">
        <v>229</v>
      </c>
      <c r="K988" s="5" t="s">
        <v>210</v>
      </c>
      <c r="L988" s="6" t="s">
        <v>231</v>
      </c>
      <c r="M988" s="3" t="s">
        <v>230</v>
      </c>
      <c r="N988" s="6" t="s">
        <v>524</v>
      </c>
      <c r="O988" s="6" t="s">
        <v>233</v>
      </c>
      <c r="P988" s="58" t="s">
        <v>243</v>
      </c>
      <c r="Q988" s="6" t="s">
        <v>244</v>
      </c>
      <c r="R988" s="118">
        <v>180</v>
      </c>
      <c r="S988" s="2">
        <v>375</v>
      </c>
      <c r="T988" s="4">
        <v>0</v>
      </c>
      <c r="U988" s="4">
        <f t="shared" si="37"/>
        <v>0</v>
      </c>
      <c r="V988" s="3" t="s">
        <v>362</v>
      </c>
      <c r="W988" s="3">
        <v>2014</v>
      </c>
      <c r="X988" s="3" t="s">
        <v>12076</v>
      </c>
    </row>
    <row r="989" spans="1:24" ht="102">
      <c r="A989" s="3" t="s">
        <v>998</v>
      </c>
      <c r="B989" s="6" t="s">
        <v>361</v>
      </c>
      <c r="C989" s="6" t="s">
        <v>3485</v>
      </c>
      <c r="D989" s="6" t="s">
        <v>3474</v>
      </c>
      <c r="E989" s="6" t="s">
        <v>3486</v>
      </c>
      <c r="F989" s="6" t="s">
        <v>3462</v>
      </c>
      <c r="G989" s="3" t="s">
        <v>11449</v>
      </c>
      <c r="H989" s="54">
        <v>0.6</v>
      </c>
      <c r="I989" s="16">
        <v>470000000</v>
      </c>
      <c r="J989" s="157" t="s">
        <v>229</v>
      </c>
      <c r="K989" s="5" t="s">
        <v>210</v>
      </c>
      <c r="L989" s="6" t="s">
        <v>231</v>
      </c>
      <c r="M989" s="3" t="s">
        <v>230</v>
      </c>
      <c r="N989" s="6" t="s">
        <v>524</v>
      </c>
      <c r="O989" s="6" t="s">
        <v>233</v>
      </c>
      <c r="P989" s="58" t="s">
        <v>243</v>
      </c>
      <c r="Q989" s="6" t="s">
        <v>244</v>
      </c>
      <c r="R989" s="118">
        <v>120</v>
      </c>
      <c r="S989" s="2">
        <v>560</v>
      </c>
      <c r="T989" s="4">
        <v>0</v>
      </c>
      <c r="U989" s="4">
        <f t="shared" si="37"/>
        <v>0</v>
      </c>
      <c r="V989" s="3" t="s">
        <v>362</v>
      </c>
      <c r="W989" s="3">
        <v>2014</v>
      </c>
      <c r="X989" s="3">
        <v>11.12</v>
      </c>
    </row>
    <row r="990" spans="1:24" ht="89.25">
      <c r="A990" s="3" t="s">
        <v>12199</v>
      </c>
      <c r="B990" s="6" t="s">
        <v>361</v>
      </c>
      <c r="C990" s="6" t="s">
        <v>3485</v>
      </c>
      <c r="D990" s="6" t="s">
        <v>3474</v>
      </c>
      <c r="E990" s="6" t="s">
        <v>3486</v>
      </c>
      <c r="F990" s="6" t="s">
        <v>3462</v>
      </c>
      <c r="G990" s="3" t="s">
        <v>11449</v>
      </c>
      <c r="H990" s="54">
        <v>0.6</v>
      </c>
      <c r="I990" s="16">
        <v>470000000</v>
      </c>
      <c r="J990" s="157" t="s">
        <v>229</v>
      </c>
      <c r="K990" s="5" t="s">
        <v>12120</v>
      </c>
      <c r="L990" s="17" t="s">
        <v>11411</v>
      </c>
      <c r="M990" s="3" t="s">
        <v>230</v>
      </c>
      <c r="N990" s="6" t="s">
        <v>524</v>
      </c>
      <c r="O990" s="6" t="s">
        <v>233</v>
      </c>
      <c r="P990" s="58" t="s">
        <v>243</v>
      </c>
      <c r="Q990" s="6" t="s">
        <v>244</v>
      </c>
      <c r="R990" s="118">
        <v>120</v>
      </c>
      <c r="S990" s="2">
        <v>560</v>
      </c>
      <c r="T990" s="4">
        <v>0</v>
      </c>
      <c r="U990" s="4">
        <f t="shared" si="37"/>
        <v>0</v>
      </c>
      <c r="V990" s="3" t="s">
        <v>362</v>
      </c>
      <c r="W990" s="3">
        <v>2014</v>
      </c>
      <c r="X990" s="3" t="s">
        <v>14785</v>
      </c>
    </row>
    <row r="991" spans="1:24" ht="89.25">
      <c r="A991" s="3" t="s">
        <v>14697</v>
      </c>
      <c r="B991" s="6" t="s">
        <v>361</v>
      </c>
      <c r="C991" s="6" t="s">
        <v>3485</v>
      </c>
      <c r="D991" s="6" t="s">
        <v>3474</v>
      </c>
      <c r="E991" s="6" t="s">
        <v>3486</v>
      </c>
      <c r="F991" s="6" t="s">
        <v>3462</v>
      </c>
      <c r="G991" s="3" t="s">
        <v>11449</v>
      </c>
      <c r="H991" s="54">
        <v>0.6</v>
      </c>
      <c r="I991" s="16">
        <v>470000000</v>
      </c>
      <c r="J991" s="157" t="s">
        <v>229</v>
      </c>
      <c r="K991" s="5" t="s">
        <v>14590</v>
      </c>
      <c r="L991" s="17" t="s">
        <v>11411</v>
      </c>
      <c r="M991" s="3" t="s">
        <v>230</v>
      </c>
      <c r="N991" s="6" t="s">
        <v>524</v>
      </c>
      <c r="O991" s="6" t="s">
        <v>233</v>
      </c>
      <c r="P991" s="58" t="s">
        <v>243</v>
      </c>
      <c r="Q991" s="6" t="s">
        <v>244</v>
      </c>
      <c r="R991" s="118">
        <v>120</v>
      </c>
      <c r="S991" s="2">
        <v>672</v>
      </c>
      <c r="T991" s="4">
        <f>R991*S991</f>
        <v>80640</v>
      </c>
      <c r="U991" s="4">
        <f t="shared" si="37"/>
        <v>90316.800000000003</v>
      </c>
      <c r="V991" s="3" t="s">
        <v>362</v>
      </c>
      <c r="W991" s="3">
        <v>2014</v>
      </c>
      <c r="X991" s="3"/>
    </row>
    <row r="992" spans="1:24" ht="102">
      <c r="A992" s="3" t="s">
        <v>999</v>
      </c>
      <c r="B992" s="6" t="s">
        <v>361</v>
      </c>
      <c r="C992" s="6" t="s">
        <v>3483</v>
      </c>
      <c r="D992" s="6" t="s">
        <v>3474</v>
      </c>
      <c r="E992" s="6" t="s">
        <v>3484</v>
      </c>
      <c r="F992" s="6" t="s">
        <v>3463</v>
      </c>
      <c r="G992" s="3" t="s">
        <v>11449</v>
      </c>
      <c r="H992" s="54">
        <v>0.6</v>
      </c>
      <c r="I992" s="16">
        <v>470000000</v>
      </c>
      <c r="J992" s="157" t="s">
        <v>229</v>
      </c>
      <c r="K992" s="5" t="s">
        <v>210</v>
      </c>
      <c r="L992" s="6" t="s">
        <v>231</v>
      </c>
      <c r="M992" s="3" t="s">
        <v>230</v>
      </c>
      <c r="N992" s="6" t="s">
        <v>524</v>
      </c>
      <c r="O992" s="6" t="s">
        <v>233</v>
      </c>
      <c r="P992" s="58" t="s">
        <v>243</v>
      </c>
      <c r="Q992" s="6" t="s">
        <v>244</v>
      </c>
      <c r="R992" s="118">
        <v>99</v>
      </c>
      <c r="S992" s="2">
        <v>375</v>
      </c>
      <c r="T992" s="4">
        <v>0</v>
      </c>
      <c r="U992" s="4">
        <f t="shared" si="37"/>
        <v>0</v>
      </c>
      <c r="V992" s="3" t="s">
        <v>362</v>
      </c>
      <c r="W992" s="3">
        <v>2014</v>
      </c>
      <c r="X992" s="3">
        <v>11.12</v>
      </c>
    </row>
    <row r="993" spans="1:24" ht="89.25">
      <c r="A993" s="3" t="s">
        <v>12200</v>
      </c>
      <c r="B993" s="6" t="s">
        <v>361</v>
      </c>
      <c r="C993" s="6" t="s">
        <v>3483</v>
      </c>
      <c r="D993" s="6" t="s">
        <v>3474</v>
      </c>
      <c r="E993" s="6" t="s">
        <v>3484</v>
      </c>
      <c r="F993" s="6" t="s">
        <v>3463</v>
      </c>
      <c r="G993" s="3" t="s">
        <v>11449</v>
      </c>
      <c r="H993" s="54">
        <v>0.6</v>
      </c>
      <c r="I993" s="16">
        <v>470000000</v>
      </c>
      <c r="J993" s="157" t="s">
        <v>229</v>
      </c>
      <c r="K993" s="5" t="s">
        <v>14662</v>
      </c>
      <c r="L993" s="17" t="s">
        <v>11411</v>
      </c>
      <c r="M993" s="3" t="s">
        <v>230</v>
      </c>
      <c r="N993" s="6" t="s">
        <v>524</v>
      </c>
      <c r="O993" s="6" t="s">
        <v>233</v>
      </c>
      <c r="P993" s="58" t="s">
        <v>243</v>
      </c>
      <c r="Q993" s="6" t="s">
        <v>244</v>
      </c>
      <c r="R993" s="118">
        <v>99</v>
      </c>
      <c r="S993" s="2">
        <v>375</v>
      </c>
      <c r="T993" s="4">
        <v>0</v>
      </c>
      <c r="U993" s="4">
        <f t="shared" si="37"/>
        <v>0</v>
      </c>
      <c r="V993" s="3" t="s">
        <v>362</v>
      </c>
      <c r="W993" s="3">
        <v>2014</v>
      </c>
      <c r="X993" s="3" t="s">
        <v>12076</v>
      </c>
    </row>
    <row r="994" spans="1:24" ht="102">
      <c r="A994" s="3" t="s">
        <v>1000</v>
      </c>
      <c r="B994" s="6" t="s">
        <v>361</v>
      </c>
      <c r="C994" s="6" t="s">
        <v>3481</v>
      </c>
      <c r="D994" s="6" t="s">
        <v>3474</v>
      </c>
      <c r="E994" s="6" t="s">
        <v>3482</v>
      </c>
      <c r="F994" s="6" t="s">
        <v>3464</v>
      </c>
      <c r="G994" s="3" t="s">
        <v>11449</v>
      </c>
      <c r="H994" s="54">
        <v>0.6</v>
      </c>
      <c r="I994" s="16">
        <v>470000000</v>
      </c>
      <c r="J994" s="157" t="s">
        <v>229</v>
      </c>
      <c r="K994" s="5" t="s">
        <v>211</v>
      </c>
      <c r="L994" s="6" t="s">
        <v>231</v>
      </c>
      <c r="M994" s="3" t="s">
        <v>230</v>
      </c>
      <c r="N994" s="6" t="s">
        <v>524</v>
      </c>
      <c r="O994" s="6" t="s">
        <v>233</v>
      </c>
      <c r="P994" s="58" t="s">
        <v>243</v>
      </c>
      <c r="Q994" s="6" t="s">
        <v>244</v>
      </c>
      <c r="R994" s="118">
        <v>26</v>
      </c>
      <c r="S994" s="2">
        <v>375</v>
      </c>
      <c r="T994" s="4">
        <v>0</v>
      </c>
      <c r="U994" s="4">
        <f t="shared" si="37"/>
        <v>0</v>
      </c>
      <c r="V994" s="3" t="s">
        <v>362</v>
      </c>
      <c r="W994" s="3">
        <v>2014</v>
      </c>
      <c r="X994" s="3">
        <v>11.12</v>
      </c>
    </row>
    <row r="995" spans="1:24" ht="89.25">
      <c r="A995" s="3" t="s">
        <v>14027</v>
      </c>
      <c r="B995" s="6" t="s">
        <v>361</v>
      </c>
      <c r="C995" s="6" t="s">
        <v>3481</v>
      </c>
      <c r="D995" s="6" t="s">
        <v>3474</v>
      </c>
      <c r="E995" s="6" t="s">
        <v>3482</v>
      </c>
      <c r="F995" s="6" t="s">
        <v>3464</v>
      </c>
      <c r="G995" s="3" t="s">
        <v>11449</v>
      </c>
      <c r="H995" s="54">
        <v>0.6</v>
      </c>
      <c r="I995" s="16">
        <v>470000000</v>
      </c>
      <c r="J995" s="157" t="s">
        <v>229</v>
      </c>
      <c r="K995" s="5" t="s">
        <v>642</v>
      </c>
      <c r="L995" s="17" t="s">
        <v>11411</v>
      </c>
      <c r="M995" s="3" t="s">
        <v>230</v>
      </c>
      <c r="N995" s="6" t="s">
        <v>524</v>
      </c>
      <c r="O995" s="6" t="s">
        <v>233</v>
      </c>
      <c r="P995" s="58" t="s">
        <v>243</v>
      </c>
      <c r="Q995" s="6" t="s">
        <v>244</v>
      </c>
      <c r="R995" s="118">
        <v>26</v>
      </c>
      <c r="S995" s="2">
        <v>375</v>
      </c>
      <c r="T995" s="4">
        <v>0</v>
      </c>
      <c r="U995" s="4">
        <f t="shared" si="37"/>
        <v>0</v>
      </c>
      <c r="V995" s="3" t="s">
        <v>362</v>
      </c>
      <c r="W995" s="3">
        <v>2014</v>
      </c>
      <c r="X995" s="3" t="s">
        <v>14785</v>
      </c>
    </row>
    <row r="996" spans="1:24" ht="89.25">
      <c r="A996" s="3" t="s">
        <v>14698</v>
      </c>
      <c r="B996" s="6" t="s">
        <v>361</v>
      </c>
      <c r="C996" s="6" t="s">
        <v>3481</v>
      </c>
      <c r="D996" s="6" t="s">
        <v>3474</v>
      </c>
      <c r="E996" s="6" t="s">
        <v>3482</v>
      </c>
      <c r="F996" s="6" t="s">
        <v>3464</v>
      </c>
      <c r="G996" s="3" t="s">
        <v>11449</v>
      </c>
      <c r="H996" s="54">
        <v>0.6</v>
      </c>
      <c r="I996" s="16">
        <v>470000000</v>
      </c>
      <c r="J996" s="157" t="s">
        <v>229</v>
      </c>
      <c r="K996" s="5" t="s">
        <v>14662</v>
      </c>
      <c r="L996" s="17" t="s">
        <v>11411</v>
      </c>
      <c r="M996" s="3" t="s">
        <v>230</v>
      </c>
      <c r="N996" s="6" t="s">
        <v>524</v>
      </c>
      <c r="O996" s="6" t="s">
        <v>233</v>
      </c>
      <c r="P996" s="58" t="s">
        <v>243</v>
      </c>
      <c r="Q996" s="6" t="s">
        <v>244</v>
      </c>
      <c r="R996" s="118">
        <v>26</v>
      </c>
      <c r="S996" s="2">
        <v>450</v>
      </c>
      <c r="T996" s="4">
        <f>R996*S996</f>
        <v>11700</v>
      </c>
      <c r="U996" s="4">
        <f t="shared" si="37"/>
        <v>13104.000000000002</v>
      </c>
      <c r="V996" s="3" t="s">
        <v>362</v>
      </c>
      <c r="W996" s="3">
        <v>2014</v>
      </c>
      <c r="X996" s="3"/>
    </row>
    <row r="997" spans="1:24" ht="102">
      <c r="A997" s="3" t="s">
        <v>1001</v>
      </c>
      <c r="B997" s="6" t="s">
        <v>361</v>
      </c>
      <c r="C997" s="6" t="s">
        <v>3479</v>
      </c>
      <c r="D997" s="6" t="s">
        <v>3474</v>
      </c>
      <c r="E997" s="6" t="s">
        <v>3480</v>
      </c>
      <c r="F997" s="6" t="s">
        <v>3465</v>
      </c>
      <c r="G997" s="3" t="s">
        <v>11449</v>
      </c>
      <c r="H997" s="54">
        <v>0.6</v>
      </c>
      <c r="I997" s="16">
        <v>470000000</v>
      </c>
      <c r="J997" s="157" t="s">
        <v>229</v>
      </c>
      <c r="K997" s="5" t="s">
        <v>214</v>
      </c>
      <c r="L997" s="6" t="s">
        <v>231</v>
      </c>
      <c r="M997" s="3" t="s">
        <v>230</v>
      </c>
      <c r="N997" s="6" t="s">
        <v>524</v>
      </c>
      <c r="O997" s="6" t="s">
        <v>233</v>
      </c>
      <c r="P997" s="58" t="s">
        <v>243</v>
      </c>
      <c r="Q997" s="6" t="s">
        <v>244</v>
      </c>
      <c r="R997" s="118">
        <v>27</v>
      </c>
      <c r="S997" s="2">
        <v>375</v>
      </c>
      <c r="T997" s="4">
        <v>0</v>
      </c>
      <c r="U997" s="4">
        <f t="shared" si="37"/>
        <v>0</v>
      </c>
      <c r="V997" s="3" t="s">
        <v>362</v>
      </c>
      <c r="W997" s="3">
        <v>2014</v>
      </c>
      <c r="X997" s="3">
        <v>11.12</v>
      </c>
    </row>
    <row r="998" spans="1:24" ht="89.25">
      <c r="A998" s="3" t="s">
        <v>11872</v>
      </c>
      <c r="B998" s="6" t="s">
        <v>361</v>
      </c>
      <c r="C998" s="6" t="s">
        <v>3479</v>
      </c>
      <c r="D998" s="6" t="s">
        <v>3474</v>
      </c>
      <c r="E998" s="6" t="s">
        <v>3480</v>
      </c>
      <c r="F998" s="6" t="s">
        <v>3465</v>
      </c>
      <c r="G998" s="3" t="s">
        <v>11449</v>
      </c>
      <c r="H998" s="54">
        <v>0.6</v>
      </c>
      <c r="I998" s="16">
        <v>470000000</v>
      </c>
      <c r="J998" s="157" t="s">
        <v>229</v>
      </c>
      <c r="K998" s="5" t="s">
        <v>210</v>
      </c>
      <c r="L998" s="17" t="s">
        <v>11411</v>
      </c>
      <c r="M998" s="3" t="s">
        <v>230</v>
      </c>
      <c r="N998" s="6" t="s">
        <v>524</v>
      </c>
      <c r="O998" s="6" t="s">
        <v>233</v>
      </c>
      <c r="P998" s="58" t="s">
        <v>243</v>
      </c>
      <c r="Q998" s="6" t="s">
        <v>244</v>
      </c>
      <c r="R998" s="118">
        <v>27</v>
      </c>
      <c r="S998" s="2">
        <v>375</v>
      </c>
      <c r="T998" s="4">
        <v>0</v>
      </c>
      <c r="U998" s="4">
        <f t="shared" si="37"/>
        <v>0</v>
      </c>
      <c r="V998" s="3" t="s">
        <v>362</v>
      </c>
      <c r="W998" s="3">
        <v>2014</v>
      </c>
      <c r="X998" s="3">
        <v>11</v>
      </c>
    </row>
    <row r="999" spans="1:24" ht="89.25">
      <c r="A999" s="3" t="s">
        <v>12201</v>
      </c>
      <c r="B999" s="6" t="s">
        <v>361</v>
      </c>
      <c r="C999" s="6" t="s">
        <v>3479</v>
      </c>
      <c r="D999" s="6" t="s">
        <v>3474</v>
      </c>
      <c r="E999" s="6" t="s">
        <v>3480</v>
      </c>
      <c r="F999" s="6" t="s">
        <v>3465</v>
      </c>
      <c r="G999" s="3" t="s">
        <v>11449</v>
      </c>
      <c r="H999" s="54">
        <v>0.6</v>
      </c>
      <c r="I999" s="16">
        <v>470000000</v>
      </c>
      <c r="J999" s="157" t="s">
        <v>229</v>
      </c>
      <c r="K999" s="5" t="s">
        <v>642</v>
      </c>
      <c r="L999" s="17" t="s">
        <v>11411</v>
      </c>
      <c r="M999" s="3" t="s">
        <v>230</v>
      </c>
      <c r="N999" s="6" t="s">
        <v>524</v>
      </c>
      <c r="O999" s="6" t="s">
        <v>233</v>
      </c>
      <c r="P999" s="58" t="s">
        <v>243</v>
      </c>
      <c r="Q999" s="6" t="s">
        <v>244</v>
      </c>
      <c r="R999" s="118">
        <v>27</v>
      </c>
      <c r="S999" s="2">
        <v>375</v>
      </c>
      <c r="T999" s="4">
        <v>0</v>
      </c>
      <c r="U999" s="4">
        <f t="shared" si="37"/>
        <v>0</v>
      </c>
      <c r="V999" s="3" t="s">
        <v>362</v>
      </c>
      <c r="W999" s="3">
        <v>2014</v>
      </c>
      <c r="X999" s="3" t="s">
        <v>14785</v>
      </c>
    </row>
    <row r="1000" spans="1:24" ht="89.25">
      <c r="A1000" s="3" t="s">
        <v>14699</v>
      </c>
      <c r="B1000" s="6" t="s">
        <v>361</v>
      </c>
      <c r="C1000" s="6" t="s">
        <v>3479</v>
      </c>
      <c r="D1000" s="6" t="s">
        <v>3474</v>
      </c>
      <c r="E1000" s="6" t="s">
        <v>3480</v>
      </c>
      <c r="F1000" s="6" t="s">
        <v>3465</v>
      </c>
      <c r="G1000" s="3" t="s">
        <v>11449</v>
      </c>
      <c r="H1000" s="54">
        <v>0.6</v>
      </c>
      <c r="I1000" s="16">
        <v>470000000</v>
      </c>
      <c r="J1000" s="157" t="s">
        <v>229</v>
      </c>
      <c r="K1000" s="5" t="s">
        <v>14662</v>
      </c>
      <c r="L1000" s="17" t="s">
        <v>11411</v>
      </c>
      <c r="M1000" s="3" t="s">
        <v>230</v>
      </c>
      <c r="N1000" s="6" t="s">
        <v>524</v>
      </c>
      <c r="O1000" s="6" t="s">
        <v>233</v>
      </c>
      <c r="P1000" s="58" t="s">
        <v>243</v>
      </c>
      <c r="Q1000" s="6" t="s">
        <v>244</v>
      </c>
      <c r="R1000" s="118">
        <v>27</v>
      </c>
      <c r="S1000" s="2">
        <v>450</v>
      </c>
      <c r="T1000" s="4">
        <f>R1000*S1000</f>
        <v>12150</v>
      </c>
      <c r="U1000" s="4">
        <f t="shared" si="37"/>
        <v>13608.000000000002</v>
      </c>
      <c r="V1000" s="3" t="s">
        <v>362</v>
      </c>
      <c r="W1000" s="3">
        <v>2014</v>
      </c>
      <c r="X1000" s="3"/>
    </row>
    <row r="1001" spans="1:24" ht="102">
      <c r="A1001" s="3" t="s">
        <v>1002</v>
      </c>
      <c r="B1001" s="6" t="s">
        <v>361</v>
      </c>
      <c r="C1001" s="6" t="s">
        <v>3477</v>
      </c>
      <c r="D1001" s="6" t="s">
        <v>3474</v>
      </c>
      <c r="E1001" s="6" t="s">
        <v>3478</v>
      </c>
      <c r="F1001" s="6" t="s">
        <v>3466</v>
      </c>
      <c r="G1001" s="3" t="s">
        <v>11449</v>
      </c>
      <c r="H1001" s="54">
        <v>0.6</v>
      </c>
      <c r="I1001" s="16">
        <v>470000000</v>
      </c>
      <c r="J1001" s="157" t="s">
        <v>229</v>
      </c>
      <c r="K1001" s="5" t="s">
        <v>214</v>
      </c>
      <c r="L1001" s="6" t="s">
        <v>231</v>
      </c>
      <c r="M1001" s="3" t="s">
        <v>230</v>
      </c>
      <c r="N1001" s="6" t="s">
        <v>524</v>
      </c>
      <c r="O1001" s="6" t="s">
        <v>233</v>
      </c>
      <c r="P1001" s="58" t="s">
        <v>243</v>
      </c>
      <c r="Q1001" s="6" t="s">
        <v>244</v>
      </c>
      <c r="R1001" s="118">
        <v>23</v>
      </c>
      <c r="S1001" s="2">
        <v>375</v>
      </c>
      <c r="T1001" s="4">
        <v>0</v>
      </c>
      <c r="U1001" s="4">
        <f t="shared" si="37"/>
        <v>0</v>
      </c>
      <c r="V1001" s="3" t="s">
        <v>362</v>
      </c>
      <c r="W1001" s="3">
        <v>2014</v>
      </c>
      <c r="X1001" s="3">
        <v>11.12</v>
      </c>
    </row>
    <row r="1002" spans="1:24" ht="89.25">
      <c r="A1002" s="3" t="s">
        <v>11873</v>
      </c>
      <c r="B1002" s="6" t="s">
        <v>361</v>
      </c>
      <c r="C1002" s="6" t="s">
        <v>3477</v>
      </c>
      <c r="D1002" s="6" t="s">
        <v>3474</v>
      </c>
      <c r="E1002" s="6" t="s">
        <v>3478</v>
      </c>
      <c r="F1002" s="6" t="s">
        <v>3466</v>
      </c>
      <c r="G1002" s="3" t="s">
        <v>11449</v>
      </c>
      <c r="H1002" s="54">
        <v>0.6</v>
      </c>
      <c r="I1002" s="16">
        <v>470000000</v>
      </c>
      <c r="J1002" s="157" t="s">
        <v>229</v>
      </c>
      <c r="K1002" s="5" t="s">
        <v>210</v>
      </c>
      <c r="L1002" s="17" t="s">
        <v>11411</v>
      </c>
      <c r="M1002" s="3" t="s">
        <v>230</v>
      </c>
      <c r="N1002" s="6" t="s">
        <v>524</v>
      </c>
      <c r="O1002" s="6" t="s">
        <v>233</v>
      </c>
      <c r="P1002" s="58" t="s">
        <v>243</v>
      </c>
      <c r="Q1002" s="6" t="s">
        <v>244</v>
      </c>
      <c r="R1002" s="118">
        <v>23</v>
      </c>
      <c r="S1002" s="2">
        <v>375</v>
      </c>
      <c r="T1002" s="4">
        <v>0</v>
      </c>
      <c r="U1002" s="4">
        <f t="shared" si="37"/>
        <v>0</v>
      </c>
      <c r="V1002" s="3" t="s">
        <v>362</v>
      </c>
      <c r="W1002" s="3">
        <v>2014</v>
      </c>
      <c r="X1002" s="3">
        <v>11</v>
      </c>
    </row>
    <row r="1003" spans="1:24" ht="89.25">
      <c r="A1003" s="3" t="s">
        <v>12202</v>
      </c>
      <c r="B1003" s="6" t="s">
        <v>361</v>
      </c>
      <c r="C1003" s="6" t="s">
        <v>3477</v>
      </c>
      <c r="D1003" s="6" t="s">
        <v>3474</v>
      </c>
      <c r="E1003" s="6" t="s">
        <v>3478</v>
      </c>
      <c r="F1003" s="6" t="s">
        <v>3466</v>
      </c>
      <c r="G1003" s="3" t="s">
        <v>11449</v>
      </c>
      <c r="H1003" s="54">
        <v>0.6</v>
      </c>
      <c r="I1003" s="16">
        <v>470000000</v>
      </c>
      <c r="J1003" s="157" t="s">
        <v>229</v>
      </c>
      <c r="K1003" s="5" t="s">
        <v>211</v>
      </c>
      <c r="L1003" s="17" t="s">
        <v>11411</v>
      </c>
      <c r="M1003" s="3" t="s">
        <v>230</v>
      </c>
      <c r="N1003" s="6" t="s">
        <v>524</v>
      </c>
      <c r="O1003" s="6" t="s">
        <v>233</v>
      </c>
      <c r="P1003" s="58" t="s">
        <v>243</v>
      </c>
      <c r="Q1003" s="6" t="s">
        <v>244</v>
      </c>
      <c r="R1003" s="118">
        <v>23</v>
      </c>
      <c r="S1003" s="2">
        <v>375</v>
      </c>
      <c r="T1003" s="4">
        <v>0</v>
      </c>
      <c r="U1003" s="4">
        <f t="shared" si="37"/>
        <v>0</v>
      </c>
      <c r="V1003" s="3" t="s">
        <v>362</v>
      </c>
      <c r="W1003" s="3">
        <v>2014</v>
      </c>
      <c r="X1003" s="3" t="s">
        <v>12076</v>
      </c>
    </row>
    <row r="1004" spans="1:24" ht="102">
      <c r="A1004" s="3" t="s">
        <v>1003</v>
      </c>
      <c r="B1004" s="6" t="s">
        <v>361</v>
      </c>
      <c r="C1004" s="6" t="s">
        <v>3476</v>
      </c>
      <c r="D1004" s="6" t="s">
        <v>3474</v>
      </c>
      <c r="E1004" s="6" t="s">
        <v>3475</v>
      </c>
      <c r="F1004" s="6" t="s">
        <v>3467</v>
      </c>
      <c r="G1004" s="3" t="s">
        <v>11449</v>
      </c>
      <c r="H1004" s="54">
        <v>0.6</v>
      </c>
      <c r="I1004" s="16">
        <v>470000000</v>
      </c>
      <c r="J1004" s="157" t="s">
        <v>229</v>
      </c>
      <c r="K1004" s="5" t="s">
        <v>220</v>
      </c>
      <c r="L1004" s="6" t="s">
        <v>231</v>
      </c>
      <c r="M1004" s="3" t="s">
        <v>230</v>
      </c>
      <c r="N1004" s="6" t="s">
        <v>524</v>
      </c>
      <c r="O1004" s="6" t="s">
        <v>233</v>
      </c>
      <c r="P1004" s="58" t="s">
        <v>243</v>
      </c>
      <c r="Q1004" s="6" t="s">
        <v>244</v>
      </c>
      <c r="R1004" s="118">
        <v>49</v>
      </c>
      <c r="S1004" s="2">
        <v>375</v>
      </c>
      <c r="T1004" s="4">
        <v>0</v>
      </c>
      <c r="U1004" s="4">
        <f t="shared" si="37"/>
        <v>0</v>
      </c>
      <c r="V1004" s="3" t="s">
        <v>362</v>
      </c>
      <c r="W1004" s="3">
        <v>2014</v>
      </c>
      <c r="X1004" s="3">
        <v>11.12</v>
      </c>
    </row>
    <row r="1005" spans="1:24" ht="89.25">
      <c r="A1005" s="3" t="s">
        <v>12203</v>
      </c>
      <c r="B1005" s="6" t="s">
        <v>361</v>
      </c>
      <c r="C1005" s="6" t="s">
        <v>3476</v>
      </c>
      <c r="D1005" s="6" t="s">
        <v>3474</v>
      </c>
      <c r="E1005" s="6" t="s">
        <v>3475</v>
      </c>
      <c r="F1005" s="6" t="s">
        <v>3467</v>
      </c>
      <c r="G1005" s="3" t="s">
        <v>11449</v>
      </c>
      <c r="H1005" s="54">
        <v>0.6</v>
      </c>
      <c r="I1005" s="16">
        <v>470000000</v>
      </c>
      <c r="J1005" s="157" t="s">
        <v>229</v>
      </c>
      <c r="K1005" s="5" t="s">
        <v>12204</v>
      </c>
      <c r="L1005" s="17" t="s">
        <v>11411</v>
      </c>
      <c r="M1005" s="3" t="s">
        <v>230</v>
      </c>
      <c r="N1005" s="6" t="s">
        <v>524</v>
      </c>
      <c r="O1005" s="6" t="s">
        <v>233</v>
      </c>
      <c r="P1005" s="58" t="s">
        <v>243</v>
      </c>
      <c r="Q1005" s="6" t="s">
        <v>244</v>
      </c>
      <c r="R1005" s="118">
        <v>49</v>
      </c>
      <c r="S1005" s="2">
        <v>375</v>
      </c>
      <c r="T1005" s="4">
        <v>0</v>
      </c>
      <c r="U1005" s="4">
        <f t="shared" si="37"/>
        <v>0</v>
      </c>
      <c r="V1005" s="3" t="s">
        <v>362</v>
      </c>
      <c r="W1005" s="3">
        <v>2014</v>
      </c>
      <c r="X1005" s="3" t="s">
        <v>14785</v>
      </c>
    </row>
    <row r="1006" spans="1:24" ht="89.25">
      <c r="A1006" s="3" t="s">
        <v>14700</v>
      </c>
      <c r="B1006" s="6" t="s">
        <v>361</v>
      </c>
      <c r="C1006" s="6" t="s">
        <v>3476</v>
      </c>
      <c r="D1006" s="6" t="s">
        <v>3474</v>
      </c>
      <c r="E1006" s="6" t="s">
        <v>3475</v>
      </c>
      <c r="F1006" s="6" t="s">
        <v>3467</v>
      </c>
      <c r="G1006" s="3" t="s">
        <v>11449</v>
      </c>
      <c r="H1006" s="54">
        <v>0.6</v>
      </c>
      <c r="I1006" s="16">
        <v>470000000</v>
      </c>
      <c r="J1006" s="157" t="s">
        <v>229</v>
      </c>
      <c r="K1006" s="5" t="s">
        <v>14662</v>
      </c>
      <c r="L1006" s="17" t="s">
        <v>11411</v>
      </c>
      <c r="M1006" s="3" t="s">
        <v>230</v>
      </c>
      <c r="N1006" s="6" t="s">
        <v>524</v>
      </c>
      <c r="O1006" s="6" t="s">
        <v>233</v>
      </c>
      <c r="P1006" s="58" t="s">
        <v>243</v>
      </c>
      <c r="Q1006" s="6" t="s">
        <v>244</v>
      </c>
      <c r="R1006" s="118">
        <v>49</v>
      </c>
      <c r="S1006" s="2">
        <v>450</v>
      </c>
      <c r="T1006" s="4">
        <f>R1006*S1006</f>
        <v>22050</v>
      </c>
      <c r="U1006" s="4">
        <f t="shared" si="37"/>
        <v>24696.000000000004</v>
      </c>
      <c r="V1006" s="3" t="s">
        <v>362</v>
      </c>
      <c r="W1006" s="3">
        <v>2014</v>
      </c>
      <c r="X1006" s="3"/>
    </row>
    <row r="1007" spans="1:24" ht="102">
      <c r="A1007" s="3" t="s">
        <v>1004</v>
      </c>
      <c r="B1007" s="6" t="s">
        <v>361</v>
      </c>
      <c r="C1007" s="6" t="s">
        <v>3489</v>
      </c>
      <c r="D1007" s="6" t="s">
        <v>3490</v>
      </c>
      <c r="E1007" s="6" t="s">
        <v>3491</v>
      </c>
      <c r="F1007" s="6" t="s">
        <v>3468</v>
      </c>
      <c r="G1007" s="3" t="s">
        <v>11449</v>
      </c>
      <c r="H1007" s="54">
        <v>0.6</v>
      </c>
      <c r="I1007" s="16">
        <v>470000000</v>
      </c>
      <c r="J1007" s="157" t="s">
        <v>229</v>
      </c>
      <c r="K1007" s="5" t="s">
        <v>214</v>
      </c>
      <c r="L1007" s="6" t="s">
        <v>231</v>
      </c>
      <c r="M1007" s="3" t="s">
        <v>230</v>
      </c>
      <c r="N1007" s="6" t="s">
        <v>524</v>
      </c>
      <c r="O1007" s="6" t="s">
        <v>233</v>
      </c>
      <c r="P1007" s="58" t="s">
        <v>243</v>
      </c>
      <c r="Q1007" s="6" t="s">
        <v>244</v>
      </c>
      <c r="R1007" s="118">
        <v>700</v>
      </c>
      <c r="S1007" s="2">
        <v>786</v>
      </c>
      <c r="T1007" s="4">
        <v>0</v>
      </c>
      <c r="U1007" s="4">
        <f t="shared" si="37"/>
        <v>0</v>
      </c>
      <c r="V1007" s="3" t="s">
        <v>362</v>
      </c>
      <c r="W1007" s="3">
        <v>2014</v>
      </c>
      <c r="X1007" s="3">
        <v>11.12</v>
      </c>
    </row>
    <row r="1008" spans="1:24" ht="89.25">
      <c r="A1008" s="3" t="s">
        <v>11874</v>
      </c>
      <c r="B1008" s="6" t="s">
        <v>361</v>
      </c>
      <c r="C1008" s="6" t="s">
        <v>3489</v>
      </c>
      <c r="D1008" s="6" t="s">
        <v>3490</v>
      </c>
      <c r="E1008" s="6" t="s">
        <v>3491</v>
      </c>
      <c r="F1008" s="6" t="s">
        <v>3468</v>
      </c>
      <c r="G1008" s="3" t="s">
        <v>11449</v>
      </c>
      <c r="H1008" s="54">
        <v>0.6</v>
      </c>
      <c r="I1008" s="16">
        <v>470000000</v>
      </c>
      <c r="J1008" s="157" t="s">
        <v>229</v>
      </c>
      <c r="K1008" s="5" t="s">
        <v>210</v>
      </c>
      <c r="L1008" s="17" t="s">
        <v>11411</v>
      </c>
      <c r="M1008" s="3" t="s">
        <v>230</v>
      </c>
      <c r="N1008" s="6" t="s">
        <v>524</v>
      </c>
      <c r="O1008" s="6" t="s">
        <v>233</v>
      </c>
      <c r="P1008" s="58" t="s">
        <v>243</v>
      </c>
      <c r="Q1008" s="6" t="s">
        <v>244</v>
      </c>
      <c r="R1008" s="118">
        <v>700</v>
      </c>
      <c r="S1008" s="2">
        <v>786</v>
      </c>
      <c r="T1008" s="4">
        <v>0</v>
      </c>
      <c r="U1008" s="4">
        <f t="shared" si="37"/>
        <v>0</v>
      </c>
      <c r="V1008" s="3" t="s">
        <v>362</v>
      </c>
      <c r="W1008" s="3">
        <v>2014</v>
      </c>
      <c r="X1008" s="3">
        <v>11</v>
      </c>
    </row>
    <row r="1009" spans="1:24" ht="89.25">
      <c r="A1009" s="3" t="s">
        <v>14028</v>
      </c>
      <c r="B1009" s="6" t="s">
        <v>361</v>
      </c>
      <c r="C1009" s="6" t="s">
        <v>3489</v>
      </c>
      <c r="D1009" s="6" t="s">
        <v>3490</v>
      </c>
      <c r="E1009" s="6" t="s">
        <v>3491</v>
      </c>
      <c r="F1009" s="6" t="s">
        <v>3468</v>
      </c>
      <c r="G1009" s="3" t="s">
        <v>11449</v>
      </c>
      <c r="H1009" s="54">
        <v>0.6</v>
      </c>
      <c r="I1009" s="16">
        <v>470000000</v>
      </c>
      <c r="J1009" s="157" t="s">
        <v>229</v>
      </c>
      <c r="K1009" s="5" t="s">
        <v>12204</v>
      </c>
      <c r="L1009" s="17" t="s">
        <v>11411</v>
      </c>
      <c r="M1009" s="3" t="s">
        <v>230</v>
      </c>
      <c r="N1009" s="6" t="s">
        <v>524</v>
      </c>
      <c r="O1009" s="6" t="s">
        <v>233</v>
      </c>
      <c r="P1009" s="58" t="s">
        <v>243</v>
      </c>
      <c r="Q1009" s="6" t="s">
        <v>244</v>
      </c>
      <c r="R1009" s="118">
        <v>700</v>
      </c>
      <c r="S1009" s="2">
        <v>786</v>
      </c>
      <c r="T1009" s="4">
        <v>0</v>
      </c>
      <c r="U1009" s="4">
        <f t="shared" si="37"/>
        <v>0</v>
      </c>
      <c r="V1009" s="3" t="s">
        <v>362</v>
      </c>
      <c r="W1009" s="3">
        <v>2014</v>
      </c>
      <c r="X1009" s="3" t="s">
        <v>12076</v>
      </c>
    </row>
    <row r="1010" spans="1:24" ht="102">
      <c r="A1010" s="3" t="s">
        <v>1005</v>
      </c>
      <c r="B1010" s="6" t="s">
        <v>361</v>
      </c>
      <c r="C1010" s="6" t="s">
        <v>3489</v>
      </c>
      <c r="D1010" s="6" t="s">
        <v>3490</v>
      </c>
      <c r="E1010" s="6" t="s">
        <v>3491</v>
      </c>
      <c r="F1010" s="6" t="s">
        <v>3469</v>
      </c>
      <c r="G1010" s="3" t="s">
        <v>11449</v>
      </c>
      <c r="H1010" s="54">
        <v>0.6</v>
      </c>
      <c r="I1010" s="16">
        <v>470000000</v>
      </c>
      <c r="J1010" s="157" t="s">
        <v>229</v>
      </c>
      <c r="K1010" s="5" t="s">
        <v>220</v>
      </c>
      <c r="L1010" s="6" t="s">
        <v>231</v>
      </c>
      <c r="M1010" s="3" t="s">
        <v>230</v>
      </c>
      <c r="N1010" s="6" t="s">
        <v>524</v>
      </c>
      <c r="O1010" s="6" t="s">
        <v>233</v>
      </c>
      <c r="P1010" s="58" t="s">
        <v>243</v>
      </c>
      <c r="Q1010" s="6" t="s">
        <v>244</v>
      </c>
      <c r="R1010" s="118">
        <v>90</v>
      </c>
      <c r="S1010" s="2">
        <v>800</v>
      </c>
      <c r="T1010" s="4">
        <v>0</v>
      </c>
      <c r="U1010" s="4">
        <f t="shared" si="37"/>
        <v>0</v>
      </c>
      <c r="V1010" s="3" t="s">
        <v>362</v>
      </c>
      <c r="W1010" s="3">
        <v>2014</v>
      </c>
      <c r="X1010" s="3">
        <v>11.12</v>
      </c>
    </row>
    <row r="1011" spans="1:24" ht="89.25">
      <c r="A1011" s="3" t="s">
        <v>14029</v>
      </c>
      <c r="B1011" s="6" t="s">
        <v>361</v>
      </c>
      <c r="C1011" s="6" t="s">
        <v>3489</v>
      </c>
      <c r="D1011" s="6" t="s">
        <v>3490</v>
      </c>
      <c r="E1011" s="6" t="s">
        <v>3491</v>
      </c>
      <c r="F1011" s="6" t="s">
        <v>3469</v>
      </c>
      <c r="G1011" s="3" t="s">
        <v>11449</v>
      </c>
      <c r="H1011" s="54">
        <v>0.6</v>
      </c>
      <c r="I1011" s="16">
        <v>470000000</v>
      </c>
      <c r="J1011" s="157" t="s">
        <v>229</v>
      </c>
      <c r="K1011" s="5" t="s">
        <v>642</v>
      </c>
      <c r="L1011" s="17" t="s">
        <v>11411</v>
      </c>
      <c r="M1011" s="3" t="s">
        <v>230</v>
      </c>
      <c r="N1011" s="6" t="s">
        <v>524</v>
      </c>
      <c r="O1011" s="6" t="s">
        <v>233</v>
      </c>
      <c r="P1011" s="58" t="s">
        <v>243</v>
      </c>
      <c r="Q1011" s="6" t="s">
        <v>244</v>
      </c>
      <c r="R1011" s="118">
        <v>90</v>
      </c>
      <c r="S1011" s="2">
        <v>800</v>
      </c>
      <c r="T1011" s="4">
        <v>0</v>
      </c>
      <c r="U1011" s="4">
        <f t="shared" si="37"/>
        <v>0</v>
      </c>
      <c r="V1011" s="3" t="s">
        <v>362</v>
      </c>
      <c r="W1011" s="3">
        <v>2014</v>
      </c>
      <c r="X1011" s="3" t="s">
        <v>12051</v>
      </c>
    </row>
    <row r="1012" spans="1:24" ht="89.25">
      <c r="A1012" s="3" t="s">
        <v>14701</v>
      </c>
      <c r="B1012" s="6" t="s">
        <v>361</v>
      </c>
      <c r="C1012" s="6" t="s">
        <v>3489</v>
      </c>
      <c r="D1012" s="6" t="s">
        <v>3490</v>
      </c>
      <c r="E1012" s="6" t="s">
        <v>3491</v>
      </c>
      <c r="F1012" s="6" t="s">
        <v>3469</v>
      </c>
      <c r="G1012" s="3" t="s">
        <v>11449</v>
      </c>
      <c r="H1012" s="54">
        <v>0.6</v>
      </c>
      <c r="I1012" s="16">
        <v>470000000</v>
      </c>
      <c r="J1012" s="157" t="s">
        <v>229</v>
      </c>
      <c r="K1012" s="5" t="s">
        <v>14667</v>
      </c>
      <c r="L1012" s="17" t="s">
        <v>11411</v>
      </c>
      <c r="M1012" s="3" t="s">
        <v>230</v>
      </c>
      <c r="N1012" s="6" t="s">
        <v>524</v>
      </c>
      <c r="O1012" s="6" t="s">
        <v>233</v>
      </c>
      <c r="P1012" s="58" t="s">
        <v>243</v>
      </c>
      <c r="Q1012" s="6" t="s">
        <v>244</v>
      </c>
      <c r="R1012" s="118">
        <v>45</v>
      </c>
      <c r="S1012" s="2">
        <v>960</v>
      </c>
      <c r="T1012" s="4">
        <f>R1012*S1012</f>
        <v>43200</v>
      </c>
      <c r="U1012" s="4">
        <f t="shared" si="37"/>
        <v>48384.000000000007</v>
      </c>
      <c r="V1012" s="3" t="s">
        <v>362</v>
      </c>
      <c r="W1012" s="3">
        <v>2014</v>
      </c>
      <c r="X1012" s="3"/>
    </row>
    <row r="1013" spans="1:24" ht="102">
      <c r="A1013" s="3" t="s">
        <v>1006</v>
      </c>
      <c r="B1013" s="6" t="s">
        <v>361</v>
      </c>
      <c r="C1013" s="6" t="s">
        <v>3489</v>
      </c>
      <c r="D1013" s="6" t="s">
        <v>3490</v>
      </c>
      <c r="E1013" s="6" t="s">
        <v>3491</v>
      </c>
      <c r="F1013" s="6" t="s">
        <v>3470</v>
      </c>
      <c r="G1013" s="3" t="s">
        <v>11449</v>
      </c>
      <c r="H1013" s="54">
        <v>0.6</v>
      </c>
      <c r="I1013" s="16">
        <v>470000000</v>
      </c>
      <c r="J1013" s="157" t="s">
        <v>229</v>
      </c>
      <c r="K1013" s="5" t="s">
        <v>211</v>
      </c>
      <c r="L1013" s="6" t="s">
        <v>231</v>
      </c>
      <c r="M1013" s="3" t="s">
        <v>230</v>
      </c>
      <c r="N1013" s="6" t="s">
        <v>524</v>
      </c>
      <c r="O1013" s="6" t="s">
        <v>233</v>
      </c>
      <c r="P1013" s="58" t="s">
        <v>243</v>
      </c>
      <c r="Q1013" s="6" t="s">
        <v>244</v>
      </c>
      <c r="R1013" s="118">
        <v>150</v>
      </c>
      <c r="S1013" s="2">
        <v>800</v>
      </c>
      <c r="T1013" s="4">
        <v>0</v>
      </c>
      <c r="U1013" s="4">
        <f t="shared" si="37"/>
        <v>0</v>
      </c>
      <c r="V1013" s="3" t="s">
        <v>362</v>
      </c>
      <c r="W1013" s="3">
        <v>2014</v>
      </c>
      <c r="X1013" s="3">
        <v>11.12</v>
      </c>
    </row>
    <row r="1014" spans="1:24" ht="89.25">
      <c r="A1014" s="3" t="s">
        <v>14030</v>
      </c>
      <c r="B1014" s="6" t="s">
        <v>361</v>
      </c>
      <c r="C1014" s="6" t="s">
        <v>3489</v>
      </c>
      <c r="D1014" s="6" t="s">
        <v>3490</v>
      </c>
      <c r="E1014" s="6" t="s">
        <v>3491</v>
      </c>
      <c r="F1014" s="6" t="s">
        <v>3470</v>
      </c>
      <c r="G1014" s="3" t="s">
        <v>11449</v>
      </c>
      <c r="H1014" s="54">
        <v>0.6</v>
      </c>
      <c r="I1014" s="16">
        <v>470000000</v>
      </c>
      <c r="J1014" s="157" t="s">
        <v>229</v>
      </c>
      <c r="K1014" s="5" t="s">
        <v>642</v>
      </c>
      <c r="L1014" s="17" t="s">
        <v>11411</v>
      </c>
      <c r="M1014" s="3" t="s">
        <v>230</v>
      </c>
      <c r="N1014" s="6" t="s">
        <v>524</v>
      </c>
      <c r="O1014" s="6" t="s">
        <v>233</v>
      </c>
      <c r="P1014" s="58" t="s">
        <v>243</v>
      </c>
      <c r="Q1014" s="6" t="s">
        <v>244</v>
      </c>
      <c r="R1014" s="118">
        <v>150</v>
      </c>
      <c r="S1014" s="2">
        <v>800</v>
      </c>
      <c r="T1014" s="4">
        <v>0</v>
      </c>
      <c r="U1014" s="4">
        <f t="shared" si="37"/>
        <v>0</v>
      </c>
      <c r="V1014" s="3" t="s">
        <v>362</v>
      </c>
      <c r="W1014" s="3">
        <v>2014</v>
      </c>
      <c r="X1014" s="3" t="s">
        <v>14785</v>
      </c>
    </row>
    <row r="1015" spans="1:24" ht="89.25">
      <c r="A1015" s="3" t="s">
        <v>14702</v>
      </c>
      <c r="B1015" s="6" t="s">
        <v>361</v>
      </c>
      <c r="C1015" s="6" t="s">
        <v>3489</v>
      </c>
      <c r="D1015" s="6" t="s">
        <v>3490</v>
      </c>
      <c r="E1015" s="6" t="s">
        <v>3491</v>
      </c>
      <c r="F1015" s="6" t="s">
        <v>3470</v>
      </c>
      <c r="G1015" s="3" t="s">
        <v>11449</v>
      </c>
      <c r="H1015" s="54">
        <v>0.6</v>
      </c>
      <c r="I1015" s="16">
        <v>470000000</v>
      </c>
      <c r="J1015" s="157" t="s">
        <v>229</v>
      </c>
      <c r="K1015" s="5" t="s">
        <v>14667</v>
      </c>
      <c r="L1015" s="17" t="s">
        <v>11411</v>
      </c>
      <c r="M1015" s="3" t="s">
        <v>230</v>
      </c>
      <c r="N1015" s="6" t="s">
        <v>524</v>
      </c>
      <c r="O1015" s="6" t="s">
        <v>233</v>
      </c>
      <c r="P1015" s="58" t="s">
        <v>243</v>
      </c>
      <c r="Q1015" s="6" t="s">
        <v>244</v>
      </c>
      <c r="R1015" s="118">
        <v>150</v>
      </c>
      <c r="S1015" s="2">
        <v>960</v>
      </c>
      <c r="T1015" s="4">
        <f>R1015*S1015</f>
        <v>144000</v>
      </c>
      <c r="U1015" s="4">
        <f t="shared" si="37"/>
        <v>161280.00000000003</v>
      </c>
      <c r="V1015" s="3" t="s">
        <v>362</v>
      </c>
      <c r="W1015" s="3">
        <v>2014</v>
      </c>
      <c r="X1015" s="3"/>
    </row>
    <row r="1016" spans="1:24" ht="102">
      <c r="A1016" s="3" t="s">
        <v>1007</v>
      </c>
      <c r="B1016" s="6" t="s">
        <v>361</v>
      </c>
      <c r="C1016" s="6" t="s">
        <v>3495</v>
      </c>
      <c r="D1016" s="6" t="s">
        <v>3496</v>
      </c>
      <c r="E1016" s="6" t="s">
        <v>3497</v>
      </c>
      <c r="F1016" s="6" t="s">
        <v>3471</v>
      </c>
      <c r="G1016" s="3" t="s">
        <v>11449</v>
      </c>
      <c r="H1016" s="54">
        <v>0.6</v>
      </c>
      <c r="I1016" s="16">
        <v>470000000</v>
      </c>
      <c r="J1016" s="157" t="s">
        <v>229</v>
      </c>
      <c r="K1016" s="5" t="s">
        <v>210</v>
      </c>
      <c r="L1016" s="6" t="s">
        <v>231</v>
      </c>
      <c r="M1016" s="3" t="s">
        <v>230</v>
      </c>
      <c r="N1016" s="6" t="s">
        <v>524</v>
      </c>
      <c r="O1016" s="6" t="s">
        <v>233</v>
      </c>
      <c r="P1016" s="58" t="s">
        <v>241</v>
      </c>
      <c r="Q1016" s="6" t="s">
        <v>234</v>
      </c>
      <c r="R1016" s="118">
        <v>800</v>
      </c>
      <c r="S1016" s="2">
        <v>5</v>
      </c>
      <c r="T1016" s="4">
        <v>0</v>
      </c>
      <c r="U1016" s="4">
        <f t="shared" si="37"/>
        <v>0</v>
      </c>
      <c r="V1016" s="3" t="s">
        <v>362</v>
      </c>
      <c r="W1016" s="3">
        <v>2014</v>
      </c>
      <c r="X1016" s="3">
        <v>11.12</v>
      </c>
    </row>
    <row r="1017" spans="1:24" ht="89.25">
      <c r="A1017" s="3" t="s">
        <v>14031</v>
      </c>
      <c r="B1017" s="6" t="s">
        <v>361</v>
      </c>
      <c r="C1017" s="6" t="s">
        <v>3495</v>
      </c>
      <c r="D1017" s="6" t="s">
        <v>3496</v>
      </c>
      <c r="E1017" s="6" t="s">
        <v>3497</v>
      </c>
      <c r="F1017" s="6" t="s">
        <v>3471</v>
      </c>
      <c r="G1017" s="3" t="s">
        <v>11449</v>
      </c>
      <c r="H1017" s="54">
        <v>0.6</v>
      </c>
      <c r="I1017" s="16">
        <v>470000000</v>
      </c>
      <c r="J1017" s="157" t="s">
        <v>229</v>
      </c>
      <c r="K1017" s="5" t="s">
        <v>642</v>
      </c>
      <c r="L1017" s="17" t="s">
        <v>11411</v>
      </c>
      <c r="M1017" s="3" t="s">
        <v>230</v>
      </c>
      <c r="N1017" s="6" t="s">
        <v>524</v>
      </c>
      <c r="O1017" s="6" t="s">
        <v>233</v>
      </c>
      <c r="P1017" s="58" t="s">
        <v>241</v>
      </c>
      <c r="Q1017" s="6" t="s">
        <v>234</v>
      </c>
      <c r="R1017" s="118">
        <v>800</v>
      </c>
      <c r="S1017" s="2">
        <v>5</v>
      </c>
      <c r="T1017" s="4">
        <v>0</v>
      </c>
      <c r="U1017" s="4">
        <f t="shared" si="37"/>
        <v>0</v>
      </c>
      <c r="V1017" s="3" t="s">
        <v>362</v>
      </c>
      <c r="W1017" s="3">
        <v>2014</v>
      </c>
      <c r="X1017" s="3" t="s">
        <v>14785</v>
      </c>
    </row>
    <row r="1018" spans="1:24" ht="89.25">
      <c r="A1018" s="3" t="s">
        <v>14703</v>
      </c>
      <c r="B1018" s="6" t="s">
        <v>361</v>
      </c>
      <c r="C1018" s="6" t="s">
        <v>3495</v>
      </c>
      <c r="D1018" s="6" t="s">
        <v>3496</v>
      </c>
      <c r="E1018" s="6" t="s">
        <v>3497</v>
      </c>
      <c r="F1018" s="6" t="s">
        <v>3471</v>
      </c>
      <c r="G1018" s="3" t="s">
        <v>11449</v>
      </c>
      <c r="H1018" s="54">
        <v>0.6</v>
      </c>
      <c r="I1018" s="16">
        <v>470000000</v>
      </c>
      <c r="J1018" s="157" t="s">
        <v>229</v>
      </c>
      <c r="K1018" s="5" t="s">
        <v>14667</v>
      </c>
      <c r="L1018" s="17" t="s">
        <v>11411</v>
      </c>
      <c r="M1018" s="3" t="s">
        <v>230</v>
      </c>
      <c r="N1018" s="6" t="s">
        <v>524</v>
      </c>
      <c r="O1018" s="6" t="s">
        <v>233</v>
      </c>
      <c r="P1018" s="58" t="s">
        <v>241</v>
      </c>
      <c r="Q1018" s="6" t="s">
        <v>234</v>
      </c>
      <c r="R1018" s="118">
        <v>800</v>
      </c>
      <c r="S1018" s="2">
        <v>6</v>
      </c>
      <c r="T1018" s="4">
        <f>R1018*S1018</f>
        <v>4800</v>
      </c>
      <c r="U1018" s="4">
        <f t="shared" si="37"/>
        <v>5376.0000000000009</v>
      </c>
      <c r="V1018" s="3" t="s">
        <v>362</v>
      </c>
      <c r="W1018" s="3">
        <v>2014</v>
      </c>
      <c r="X1018" s="3"/>
    </row>
    <row r="1019" spans="1:24" ht="102">
      <c r="A1019" s="3" t="s">
        <v>1008</v>
      </c>
      <c r="B1019" s="6" t="s">
        <v>361</v>
      </c>
      <c r="C1019" s="6" t="s">
        <v>3495</v>
      </c>
      <c r="D1019" s="6" t="s">
        <v>3496</v>
      </c>
      <c r="E1019" s="6" t="s">
        <v>3497</v>
      </c>
      <c r="F1019" s="6" t="s">
        <v>3472</v>
      </c>
      <c r="G1019" s="3" t="s">
        <v>11449</v>
      </c>
      <c r="H1019" s="54">
        <v>0.6</v>
      </c>
      <c r="I1019" s="16">
        <v>470000000</v>
      </c>
      <c r="J1019" s="157" t="s">
        <v>229</v>
      </c>
      <c r="K1019" s="5" t="s">
        <v>220</v>
      </c>
      <c r="L1019" s="6" t="s">
        <v>231</v>
      </c>
      <c r="M1019" s="3" t="s">
        <v>230</v>
      </c>
      <c r="N1019" s="6" t="s">
        <v>524</v>
      </c>
      <c r="O1019" s="6" t="s">
        <v>233</v>
      </c>
      <c r="P1019" s="58" t="s">
        <v>241</v>
      </c>
      <c r="Q1019" s="6" t="s">
        <v>234</v>
      </c>
      <c r="R1019" s="118">
        <v>1600</v>
      </c>
      <c r="S1019" s="2">
        <v>12</v>
      </c>
      <c r="T1019" s="4">
        <v>0</v>
      </c>
      <c r="U1019" s="4">
        <f t="shared" si="37"/>
        <v>0</v>
      </c>
      <c r="V1019" s="3" t="s">
        <v>362</v>
      </c>
      <c r="W1019" s="3">
        <v>2014</v>
      </c>
      <c r="X1019" s="3">
        <v>11.12</v>
      </c>
    </row>
    <row r="1020" spans="1:24" ht="89.25">
      <c r="A1020" s="3" t="s">
        <v>12205</v>
      </c>
      <c r="B1020" s="6" t="s">
        <v>361</v>
      </c>
      <c r="C1020" s="6" t="s">
        <v>3495</v>
      </c>
      <c r="D1020" s="6" t="s">
        <v>3496</v>
      </c>
      <c r="E1020" s="6" t="s">
        <v>3497</v>
      </c>
      <c r="F1020" s="6" t="s">
        <v>3472</v>
      </c>
      <c r="G1020" s="3" t="s">
        <v>11449</v>
      </c>
      <c r="H1020" s="54">
        <v>0.6</v>
      </c>
      <c r="I1020" s="16">
        <v>470000000</v>
      </c>
      <c r="J1020" s="157" t="s">
        <v>229</v>
      </c>
      <c r="K1020" s="5" t="s">
        <v>12204</v>
      </c>
      <c r="L1020" s="17" t="s">
        <v>11411</v>
      </c>
      <c r="M1020" s="3" t="s">
        <v>230</v>
      </c>
      <c r="N1020" s="6" t="s">
        <v>524</v>
      </c>
      <c r="O1020" s="6" t="s">
        <v>233</v>
      </c>
      <c r="P1020" s="58" t="s">
        <v>241</v>
      </c>
      <c r="Q1020" s="6" t="s">
        <v>234</v>
      </c>
      <c r="R1020" s="118">
        <v>1600</v>
      </c>
      <c r="S1020" s="2">
        <v>12</v>
      </c>
      <c r="T1020" s="4">
        <v>0</v>
      </c>
      <c r="U1020" s="4">
        <f t="shared" si="37"/>
        <v>0</v>
      </c>
      <c r="V1020" s="3" t="s">
        <v>362</v>
      </c>
      <c r="W1020" s="3">
        <v>2014</v>
      </c>
      <c r="X1020" s="3" t="s">
        <v>12051</v>
      </c>
    </row>
    <row r="1021" spans="1:24" ht="89.25">
      <c r="A1021" s="3" t="s">
        <v>14704</v>
      </c>
      <c r="B1021" s="6" t="s">
        <v>361</v>
      </c>
      <c r="C1021" s="6" t="s">
        <v>3495</v>
      </c>
      <c r="D1021" s="6" t="s">
        <v>3496</v>
      </c>
      <c r="E1021" s="6" t="s">
        <v>3497</v>
      </c>
      <c r="F1021" s="6" t="s">
        <v>3472</v>
      </c>
      <c r="G1021" s="3" t="s">
        <v>11449</v>
      </c>
      <c r="H1021" s="54">
        <v>0.6</v>
      </c>
      <c r="I1021" s="16">
        <v>470000000</v>
      </c>
      <c r="J1021" s="157" t="s">
        <v>229</v>
      </c>
      <c r="K1021" s="5" t="s">
        <v>14667</v>
      </c>
      <c r="L1021" s="17" t="s">
        <v>11411</v>
      </c>
      <c r="M1021" s="3" t="s">
        <v>230</v>
      </c>
      <c r="N1021" s="6" t="s">
        <v>524</v>
      </c>
      <c r="O1021" s="6" t="s">
        <v>233</v>
      </c>
      <c r="P1021" s="58" t="s">
        <v>241</v>
      </c>
      <c r="Q1021" s="6" t="s">
        <v>234</v>
      </c>
      <c r="R1021" s="118">
        <v>1444.5</v>
      </c>
      <c r="S1021" s="2">
        <v>14</v>
      </c>
      <c r="T1021" s="4">
        <f>R1021*S1021</f>
        <v>20223</v>
      </c>
      <c r="U1021" s="4">
        <f t="shared" si="37"/>
        <v>22649.760000000002</v>
      </c>
      <c r="V1021" s="3" t="s">
        <v>362</v>
      </c>
      <c r="W1021" s="3">
        <v>2014</v>
      </c>
      <c r="X1021" s="3"/>
    </row>
    <row r="1022" spans="1:24" ht="102">
      <c r="A1022" s="3" t="s">
        <v>1009</v>
      </c>
      <c r="B1022" s="6" t="s">
        <v>361</v>
      </c>
      <c r="C1022" s="6" t="s">
        <v>14060</v>
      </c>
      <c r="D1022" s="6" t="s">
        <v>3493</v>
      </c>
      <c r="E1022" s="6" t="s">
        <v>3494</v>
      </c>
      <c r="F1022" s="6" t="s">
        <v>3473</v>
      </c>
      <c r="G1022" s="3" t="s">
        <v>11449</v>
      </c>
      <c r="H1022" s="54">
        <v>0.6</v>
      </c>
      <c r="I1022" s="16">
        <v>470000000</v>
      </c>
      <c r="J1022" s="157" t="s">
        <v>229</v>
      </c>
      <c r="K1022" s="5" t="s">
        <v>211</v>
      </c>
      <c r="L1022" s="6" t="s">
        <v>231</v>
      </c>
      <c r="M1022" s="3" t="s">
        <v>230</v>
      </c>
      <c r="N1022" s="6" t="s">
        <v>524</v>
      </c>
      <c r="O1022" s="6" t="s">
        <v>233</v>
      </c>
      <c r="P1022" s="58" t="s">
        <v>241</v>
      </c>
      <c r="Q1022" s="6" t="s">
        <v>234</v>
      </c>
      <c r="R1022" s="118">
        <v>1400</v>
      </c>
      <c r="S1022" s="2">
        <v>15</v>
      </c>
      <c r="T1022" s="4">
        <v>0</v>
      </c>
      <c r="U1022" s="4">
        <f t="shared" si="37"/>
        <v>0</v>
      </c>
      <c r="V1022" s="3" t="s">
        <v>362</v>
      </c>
      <c r="W1022" s="3">
        <v>2014</v>
      </c>
      <c r="X1022" s="3">
        <v>11.12</v>
      </c>
    </row>
    <row r="1023" spans="1:24" ht="89.25">
      <c r="A1023" s="3" t="s">
        <v>12206</v>
      </c>
      <c r="B1023" s="6" t="s">
        <v>361</v>
      </c>
      <c r="C1023" s="6" t="s">
        <v>3492</v>
      </c>
      <c r="D1023" s="6" t="s">
        <v>3493</v>
      </c>
      <c r="E1023" s="6" t="s">
        <v>3494</v>
      </c>
      <c r="F1023" s="6" t="s">
        <v>3473</v>
      </c>
      <c r="G1023" s="3" t="s">
        <v>11449</v>
      </c>
      <c r="H1023" s="54">
        <v>0.6</v>
      </c>
      <c r="I1023" s="16">
        <v>470000000</v>
      </c>
      <c r="J1023" s="157" t="s">
        <v>229</v>
      </c>
      <c r="K1023" s="5" t="s">
        <v>12204</v>
      </c>
      <c r="L1023" s="17" t="s">
        <v>11411</v>
      </c>
      <c r="M1023" s="3" t="s">
        <v>230</v>
      </c>
      <c r="N1023" s="6" t="s">
        <v>524</v>
      </c>
      <c r="O1023" s="6" t="s">
        <v>233</v>
      </c>
      <c r="P1023" s="58" t="s">
        <v>241</v>
      </c>
      <c r="Q1023" s="6" t="s">
        <v>234</v>
      </c>
      <c r="R1023" s="118">
        <v>1400</v>
      </c>
      <c r="S1023" s="2">
        <v>15</v>
      </c>
      <c r="T1023" s="4">
        <v>0</v>
      </c>
      <c r="U1023" s="4">
        <f t="shared" si="37"/>
        <v>0</v>
      </c>
      <c r="V1023" s="3" t="s">
        <v>362</v>
      </c>
      <c r="W1023" s="3">
        <v>2014</v>
      </c>
      <c r="X1023" s="3" t="s">
        <v>14588</v>
      </c>
    </row>
    <row r="1024" spans="1:24" ht="89.25">
      <c r="A1024" s="3" t="s">
        <v>14705</v>
      </c>
      <c r="B1024" s="6" t="s">
        <v>361</v>
      </c>
      <c r="C1024" s="6" t="s">
        <v>3492</v>
      </c>
      <c r="D1024" s="6" t="s">
        <v>3493</v>
      </c>
      <c r="E1024" s="6" t="s">
        <v>3494</v>
      </c>
      <c r="F1024" s="6" t="s">
        <v>3473</v>
      </c>
      <c r="G1024" s="3" t="s">
        <v>11449</v>
      </c>
      <c r="H1024" s="54">
        <v>0.6</v>
      </c>
      <c r="I1024" s="16">
        <v>470000000</v>
      </c>
      <c r="J1024" s="157" t="s">
        <v>229</v>
      </c>
      <c r="K1024" s="5" t="s">
        <v>14667</v>
      </c>
      <c r="L1024" s="17" t="s">
        <v>11411</v>
      </c>
      <c r="M1024" s="3" t="s">
        <v>230</v>
      </c>
      <c r="N1024" s="6" t="s">
        <v>524</v>
      </c>
      <c r="O1024" s="6" t="s">
        <v>233</v>
      </c>
      <c r="P1024" s="58" t="s">
        <v>241</v>
      </c>
      <c r="Q1024" s="6" t="s">
        <v>234</v>
      </c>
      <c r="R1024" s="118">
        <v>1233</v>
      </c>
      <c r="S1024" s="2">
        <v>18</v>
      </c>
      <c r="T1024" s="4">
        <f>R1024*S1024</f>
        <v>22194</v>
      </c>
      <c r="U1024" s="4">
        <f t="shared" si="37"/>
        <v>24857.280000000002</v>
      </c>
      <c r="V1024" s="3" t="s">
        <v>362</v>
      </c>
      <c r="W1024" s="3">
        <v>2014</v>
      </c>
      <c r="X1024" s="3"/>
    </row>
    <row r="1025" spans="1:24" ht="102">
      <c r="A1025" s="3" t="s">
        <v>1010</v>
      </c>
      <c r="B1025" s="6" t="s">
        <v>361</v>
      </c>
      <c r="C1025" s="6" t="s">
        <v>3498</v>
      </c>
      <c r="D1025" s="6" t="s">
        <v>3499</v>
      </c>
      <c r="E1025" s="6" t="s">
        <v>3500</v>
      </c>
      <c r="F1025" s="6" t="s">
        <v>162</v>
      </c>
      <c r="G1025" s="3" t="s">
        <v>11449</v>
      </c>
      <c r="H1025" s="54">
        <v>0.6</v>
      </c>
      <c r="I1025" s="16">
        <v>470000000</v>
      </c>
      <c r="J1025" s="157" t="s">
        <v>229</v>
      </c>
      <c r="K1025" s="5" t="s">
        <v>211</v>
      </c>
      <c r="L1025" s="6" t="s">
        <v>231</v>
      </c>
      <c r="M1025" s="3" t="s">
        <v>230</v>
      </c>
      <c r="N1025" s="6" t="s">
        <v>524</v>
      </c>
      <c r="O1025" s="6" t="s">
        <v>233</v>
      </c>
      <c r="P1025" s="58" t="s">
        <v>245</v>
      </c>
      <c r="Q1025" s="6" t="s">
        <v>246</v>
      </c>
      <c r="R1025" s="118">
        <v>1400</v>
      </c>
      <c r="S1025" s="2">
        <v>40</v>
      </c>
      <c r="T1025" s="4">
        <v>0</v>
      </c>
      <c r="U1025" s="4">
        <f t="shared" si="37"/>
        <v>0</v>
      </c>
      <c r="V1025" s="3" t="s">
        <v>362</v>
      </c>
      <c r="W1025" s="3">
        <v>2014</v>
      </c>
      <c r="X1025" s="3">
        <v>11.12</v>
      </c>
    </row>
    <row r="1026" spans="1:24" ht="89.25">
      <c r="A1026" s="3" t="s">
        <v>12207</v>
      </c>
      <c r="B1026" s="6" t="s">
        <v>361</v>
      </c>
      <c r="C1026" s="6" t="s">
        <v>3498</v>
      </c>
      <c r="D1026" s="6" t="s">
        <v>3499</v>
      </c>
      <c r="E1026" s="6" t="s">
        <v>3500</v>
      </c>
      <c r="F1026" s="6" t="s">
        <v>162</v>
      </c>
      <c r="G1026" s="3" t="s">
        <v>11449</v>
      </c>
      <c r="H1026" s="54">
        <v>0.6</v>
      </c>
      <c r="I1026" s="16">
        <v>470000000</v>
      </c>
      <c r="J1026" s="157" t="s">
        <v>229</v>
      </c>
      <c r="K1026" s="5" t="s">
        <v>12204</v>
      </c>
      <c r="L1026" s="17" t="s">
        <v>11411</v>
      </c>
      <c r="M1026" s="3" t="s">
        <v>230</v>
      </c>
      <c r="N1026" s="6" t="s">
        <v>524</v>
      </c>
      <c r="O1026" s="6" t="s">
        <v>233</v>
      </c>
      <c r="P1026" s="58" t="s">
        <v>245</v>
      </c>
      <c r="Q1026" s="6" t="s">
        <v>246</v>
      </c>
      <c r="R1026" s="118">
        <v>1400</v>
      </c>
      <c r="S1026" s="2">
        <v>40</v>
      </c>
      <c r="T1026" s="4">
        <v>0</v>
      </c>
      <c r="U1026" s="4">
        <f t="shared" si="37"/>
        <v>0</v>
      </c>
      <c r="V1026" s="3" t="s">
        <v>362</v>
      </c>
      <c r="W1026" s="3">
        <v>2014</v>
      </c>
      <c r="X1026" s="3" t="s">
        <v>12051</v>
      </c>
    </row>
    <row r="1027" spans="1:24" ht="89.25">
      <c r="A1027" s="3" t="s">
        <v>14706</v>
      </c>
      <c r="B1027" s="6" t="s">
        <v>361</v>
      </c>
      <c r="C1027" s="6" t="s">
        <v>3498</v>
      </c>
      <c r="D1027" s="6" t="s">
        <v>3499</v>
      </c>
      <c r="E1027" s="6" t="s">
        <v>3500</v>
      </c>
      <c r="F1027" s="6" t="s">
        <v>162</v>
      </c>
      <c r="G1027" s="3" t="s">
        <v>11449</v>
      </c>
      <c r="H1027" s="54">
        <v>0.6</v>
      </c>
      <c r="I1027" s="16">
        <v>470000000</v>
      </c>
      <c r="J1027" s="157" t="s">
        <v>229</v>
      </c>
      <c r="K1027" s="5" t="s">
        <v>14667</v>
      </c>
      <c r="L1027" s="17" t="s">
        <v>11411</v>
      </c>
      <c r="M1027" s="3" t="s">
        <v>230</v>
      </c>
      <c r="N1027" s="6" t="s">
        <v>524</v>
      </c>
      <c r="O1027" s="6" t="s">
        <v>233</v>
      </c>
      <c r="P1027" s="58" t="s">
        <v>245</v>
      </c>
      <c r="Q1027" s="6" t="s">
        <v>246</v>
      </c>
      <c r="R1027" s="118">
        <v>1233</v>
      </c>
      <c r="S1027" s="2">
        <v>48</v>
      </c>
      <c r="T1027" s="4">
        <f>R1027*S1027</f>
        <v>59184</v>
      </c>
      <c r="U1027" s="4">
        <f t="shared" si="37"/>
        <v>66286.080000000002</v>
      </c>
      <c r="V1027" s="3" t="s">
        <v>362</v>
      </c>
      <c r="W1027" s="3">
        <v>2014</v>
      </c>
      <c r="X1027" s="3"/>
    </row>
    <row r="1028" spans="1:24" ht="102">
      <c r="A1028" s="3" t="s">
        <v>1011</v>
      </c>
      <c r="B1028" s="6" t="s">
        <v>361</v>
      </c>
      <c r="C1028" s="6" t="s">
        <v>3504</v>
      </c>
      <c r="D1028" s="6" t="s">
        <v>3503</v>
      </c>
      <c r="E1028" s="6" t="s">
        <v>3505</v>
      </c>
      <c r="F1028" s="6" t="s">
        <v>3502</v>
      </c>
      <c r="G1028" s="3" t="s">
        <v>11449</v>
      </c>
      <c r="H1028" s="54">
        <v>0.6</v>
      </c>
      <c r="I1028" s="16">
        <v>470000000</v>
      </c>
      <c r="J1028" s="157" t="s">
        <v>229</v>
      </c>
      <c r="K1028" s="5" t="s">
        <v>210</v>
      </c>
      <c r="L1028" s="6" t="s">
        <v>231</v>
      </c>
      <c r="M1028" s="3" t="s">
        <v>230</v>
      </c>
      <c r="N1028" s="6" t="s">
        <v>524</v>
      </c>
      <c r="O1028" s="6" t="s">
        <v>233</v>
      </c>
      <c r="P1028" s="58" t="s">
        <v>243</v>
      </c>
      <c r="Q1028" s="6" t="s">
        <v>244</v>
      </c>
      <c r="R1028" s="118">
        <v>50</v>
      </c>
      <c r="S1028" s="2">
        <v>332</v>
      </c>
      <c r="T1028" s="4">
        <v>0</v>
      </c>
      <c r="U1028" s="4">
        <f t="shared" si="37"/>
        <v>0</v>
      </c>
      <c r="V1028" s="3" t="s">
        <v>362</v>
      </c>
      <c r="W1028" s="3">
        <v>2014</v>
      </c>
      <c r="X1028" s="3" t="s">
        <v>12076</v>
      </c>
    </row>
    <row r="1029" spans="1:24" ht="102">
      <c r="A1029" s="3" t="s">
        <v>1012</v>
      </c>
      <c r="B1029" s="6" t="s">
        <v>361</v>
      </c>
      <c r="C1029" s="6" t="s">
        <v>3506</v>
      </c>
      <c r="D1029" s="6" t="s">
        <v>3503</v>
      </c>
      <c r="E1029" s="6" t="s">
        <v>3507</v>
      </c>
      <c r="F1029" s="6" t="s">
        <v>3501</v>
      </c>
      <c r="G1029" s="3" t="s">
        <v>11449</v>
      </c>
      <c r="H1029" s="54">
        <v>0.6</v>
      </c>
      <c r="I1029" s="16">
        <v>470000000</v>
      </c>
      <c r="J1029" s="157" t="s">
        <v>229</v>
      </c>
      <c r="K1029" s="5" t="s">
        <v>210</v>
      </c>
      <c r="L1029" s="6" t="s">
        <v>231</v>
      </c>
      <c r="M1029" s="3" t="s">
        <v>230</v>
      </c>
      <c r="N1029" s="6" t="s">
        <v>524</v>
      </c>
      <c r="O1029" s="6" t="s">
        <v>233</v>
      </c>
      <c r="P1029" s="58" t="s">
        <v>243</v>
      </c>
      <c r="Q1029" s="6" t="s">
        <v>244</v>
      </c>
      <c r="R1029" s="118">
        <v>50</v>
      </c>
      <c r="S1029" s="2">
        <v>235</v>
      </c>
      <c r="T1029" s="4">
        <v>0</v>
      </c>
      <c r="U1029" s="4">
        <f t="shared" si="37"/>
        <v>0</v>
      </c>
      <c r="V1029" s="3" t="s">
        <v>362</v>
      </c>
      <c r="W1029" s="3">
        <v>2014</v>
      </c>
      <c r="X1029" s="3" t="s">
        <v>12076</v>
      </c>
    </row>
    <row r="1030" spans="1:24" ht="102">
      <c r="A1030" s="3" t="s">
        <v>1013</v>
      </c>
      <c r="B1030" s="6" t="s">
        <v>361</v>
      </c>
      <c r="C1030" s="6" t="s">
        <v>3508</v>
      </c>
      <c r="D1030" s="6" t="s">
        <v>3503</v>
      </c>
      <c r="E1030" s="6" t="s">
        <v>3509</v>
      </c>
      <c r="F1030" s="6" t="s">
        <v>3307</v>
      </c>
      <c r="G1030" s="3" t="s">
        <v>11449</v>
      </c>
      <c r="H1030" s="54">
        <v>0.6</v>
      </c>
      <c r="I1030" s="16">
        <v>470000000</v>
      </c>
      <c r="J1030" s="157" t="s">
        <v>229</v>
      </c>
      <c r="K1030" s="5" t="s">
        <v>220</v>
      </c>
      <c r="L1030" s="6" t="s">
        <v>231</v>
      </c>
      <c r="M1030" s="3" t="s">
        <v>230</v>
      </c>
      <c r="N1030" s="6" t="s">
        <v>524</v>
      </c>
      <c r="O1030" s="6" t="s">
        <v>233</v>
      </c>
      <c r="P1030" s="58" t="s">
        <v>243</v>
      </c>
      <c r="Q1030" s="6" t="s">
        <v>244</v>
      </c>
      <c r="R1030" s="118">
        <v>50</v>
      </c>
      <c r="S1030" s="2">
        <v>235</v>
      </c>
      <c r="T1030" s="4">
        <v>0</v>
      </c>
      <c r="U1030" s="4">
        <f t="shared" si="37"/>
        <v>0</v>
      </c>
      <c r="V1030" s="3" t="s">
        <v>362</v>
      </c>
      <c r="W1030" s="3">
        <v>2014</v>
      </c>
      <c r="X1030" s="3">
        <v>11.12</v>
      </c>
    </row>
    <row r="1031" spans="1:24" ht="89.25">
      <c r="A1031" s="3" t="s">
        <v>12208</v>
      </c>
      <c r="B1031" s="6" t="s">
        <v>361</v>
      </c>
      <c r="C1031" s="6" t="s">
        <v>3508</v>
      </c>
      <c r="D1031" s="6" t="s">
        <v>3503</v>
      </c>
      <c r="E1031" s="6" t="s">
        <v>3509</v>
      </c>
      <c r="F1031" s="6" t="s">
        <v>3307</v>
      </c>
      <c r="G1031" s="3" t="s">
        <v>11449</v>
      </c>
      <c r="H1031" s="54">
        <v>0.6</v>
      </c>
      <c r="I1031" s="16">
        <v>470000000</v>
      </c>
      <c r="J1031" s="157" t="s">
        <v>229</v>
      </c>
      <c r="K1031" s="5" t="s">
        <v>12204</v>
      </c>
      <c r="L1031" s="17" t="s">
        <v>11411</v>
      </c>
      <c r="M1031" s="3" t="s">
        <v>230</v>
      </c>
      <c r="N1031" s="6" t="s">
        <v>524</v>
      </c>
      <c r="O1031" s="6" t="s">
        <v>233</v>
      </c>
      <c r="P1031" s="58" t="s">
        <v>243</v>
      </c>
      <c r="Q1031" s="6" t="s">
        <v>244</v>
      </c>
      <c r="R1031" s="118">
        <v>50</v>
      </c>
      <c r="S1031" s="2">
        <v>235</v>
      </c>
      <c r="T1031" s="4">
        <v>0</v>
      </c>
      <c r="U1031" s="4">
        <f t="shared" si="37"/>
        <v>0</v>
      </c>
      <c r="V1031" s="3" t="s">
        <v>362</v>
      </c>
      <c r="W1031" s="3">
        <v>2014</v>
      </c>
      <c r="X1031" s="3" t="s">
        <v>12051</v>
      </c>
    </row>
    <row r="1032" spans="1:24" ht="89.25">
      <c r="A1032" s="3" t="s">
        <v>14707</v>
      </c>
      <c r="B1032" s="6" t="s">
        <v>361</v>
      </c>
      <c r="C1032" s="6" t="s">
        <v>3508</v>
      </c>
      <c r="D1032" s="6" t="s">
        <v>3503</v>
      </c>
      <c r="E1032" s="6" t="s">
        <v>3509</v>
      </c>
      <c r="F1032" s="6" t="s">
        <v>3307</v>
      </c>
      <c r="G1032" s="3" t="s">
        <v>11449</v>
      </c>
      <c r="H1032" s="54">
        <v>0.6</v>
      </c>
      <c r="I1032" s="16">
        <v>470000000</v>
      </c>
      <c r="J1032" s="157" t="s">
        <v>229</v>
      </c>
      <c r="K1032" s="5" t="s">
        <v>14667</v>
      </c>
      <c r="L1032" s="17" t="s">
        <v>11411</v>
      </c>
      <c r="M1032" s="3" t="s">
        <v>230</v>
      </c>
      <c r="N1032" s="6" t="s">
        <v>524</v>
      </c>
      <c r="O1032" s="6" t="s">
        <v>233</v>
      </c>
      <c r="P1032" s="58" t="s">
        <v>243</v>
      </c>
      <c r="Q1032" s="6" t="s">
        <v>244</v>
      </c>
      <c r="R1032" s="118">
        <v>35.56</v>
      </c>
      <c r="S1032" s="2">
        <v>282</v>
      </c>
      <c r="T1032" s="4">
        <v>0</v>
      </c>
      <c r="U1032" s="4">
        <f t="shared" si="37"/>
        <v>0</v>
      </c>
      <c r="V1032" s="3" t="s">
        <v>362</v>
      </c>
      <c r="W1032" s="3">
        <v>2014</v>
      </c>
      <c r="X1032" s="3" t="s">
        <v>16520</v>
      </c>
    </row>
    <row r="1033" spans="1:24" ht="89.25">
      <c r="A1033" s="3" t="s">
        <v>18090</v>
      </c>
      <c r="B1033" s="6" t="s">
        <v>361</v>
      </c>
      <c r="C1033" s="6" t="s">
        <v>3508</v>
      </c>
      <c r="D1033" s="6" t="s">
        <v>3503</v>
      </c>
      <c r="E1033" s="6" t="s">
        <v>3509</v>
      </c>
      <c r="F1033" s="6" t="s">
        <v>3307</v>
      </c>
      <c r="G1033" s="3" t="s">
        <v>11450</v>
      </c>
      <c r="H1033" s="54">
        <v>0.6</v>
      </c>
      <c r="I1033" s="16">
        <v>470000000</v>
      </c>
      <c r="J1033" s="157" t="s">
        <v>229</v>
      </c>
      <c r="K1033" s="5" t="s">
        <v>17401</v>
      </c>
      <c r="L1033" s="17" t="s">
        <v>11411</v>
      </c>
      <c r="M1033" s="3" t="s">
        <v>230</v>
      </c>
      <c r="N1033" s="6" t="s">
        <v>528</v>
      </c>
      <c r="O1033" s="6" t="s">
        <v>233</v>
      </c>
      <c r="P1033" s="58" t="s">
        <v>243</v>
      </c>
      <c r="Q1033" s="6" t="s">
        <v>244</v>
      </c>
      <c r="R1033" s="118">
        <v>35.56</v>
      </c>
      <c r="S1033" s="2">
        <v>398.4</v>
      </c>
      <c r="T1033" s="4">
        <f>R1033*S1033</f>
        <v>14167.103999999999</v>
      </c>
      <c r="U1033" s="4">
        <f t="shared" si="37"/>
        <v>15867.156480000001</v>
      </c>
      <c r="V1033" s="3" t="s">
        <v>362</v>
      </c>
      <c r="W1033" s="3">
        <v>2014</v>
      </c>
      <c r="X1033" s="3"/>
    </row>
    <row r="1034" spans="1:24" ht="102">
      <c r="A1034" s="3" t="s">
        <v>1014</v>
      </c>
      <c r="B1034" s="6" t="s">
        <v>361</v>
      </c>
      <c r="C1034" s="6" t="s">
        <v>3510</v>
      </c>
      <c r="D1034" s="6" t="s">
        <v>3503</v>
      </c>
      <c r="E1034" s="6" t="s">
        <v>3511</v>
      </c>
      <c r="F1034" s="6" t="s">
        <v>3308</v>
      </c>
      <c r="G1034" s="3" t="s">
        <v>11449</v>
      </c>
      <c r="H1034" s="54">
        <v>0.6</v>
      </c>
      <c r="I1034" s="16">
        <v>470000000</v>
      </c>
      <c r="J1034" s="157" t="s">
        <v>229</v>
      </c>
      <c r="K1034" s="5" t="s">
        <v>215</v>
      </c>
      <c r="L1034" s="6" t="s">
        <v>231</v>
      </c>
      <c r="M1034" s="3" t="s">
        <v>230</v>
      </c>
      <c r="N1034" s="6" t="s">
        <v>524</v>
      </c>
      <c r="O1034" s="6" t="s">
        <v>233</v>
      </c>
      <c r="P1034" s="58" t="s">
        <v>243</v>
      </c>
      <c r="Q1034" s="6" t="s">
        <v>244</v>
      </c>
      <c r="R1034" s="118">
        <v>200</v>
      </c>
      <c r="S1034" s="2">
        <v>235</v>
      </c>
      <c r="T1034" s="4">
        <v>0</v>
      </c>
      <c r="U1034" s="4">
        <f t="shared" si="37"/>
        <v>0</v>
      </c>
      <c r="V1034" s="3" t="s">
        <v>362</v>
      </c>
      <c r="W1034" s="3">
        <v>2014</v>
      </c>
      <c r="X1034" s="3">
        <v>11.12</v>
      </c>
    </row>
    <row r="1035" spans="1:24" ht="89.25">
      <c r="A1035" s="3" t="s">
        <v>12209</v>
      </c>
      <c r="B1035" s="6" t="s">
        <v>361</v>
      </c>
      <c r="C1035" s="6" t="s">
        <v>3510</v>
      </c>
      <c r="D1035" s="6" t="s">
        <v>3503</v>
      </c>
      <c r="E1035" s="6" t="s">
        <v>3511</v>
      </c>
      <c r="F1035" s="6" t="s">
        <v>3308</v>
      </c>
      <c r="G1035" s="3" t="s">
        <v>11449</v>
      </c>
      <c r="H1035" s="54">
        <v>0.6</v>
      </c>
      <c r="I1035" s="16">
        <v>470000000</v>
      </c>
      <c r="J1035" s="157" t="s">
        <v>229</v>
      </c>
      <c r="K1035" s="5" t="s">
        <v>12204</v>
      </c>
      <c r="L1035" s="17" t="s">
        <v>11411</v>
      </c>
      <c r="M1035" s="3" t="s">
        <v>230</v>
      </c>
      <c r="N1035" s="6" t="s">
        <v>524</v>
      </c>
      <c r="O1035" s="6" t="s">
        <v>233</v>
      </c>
      <c r="P1035" s="58" t="s">
        <v>243</v>
      </c>
      <c r="Q1035" s="6" t="s">
        <v>244</v>
      </c>
      <c r="R1035" s="118">
        <v>200</v>
      </c>
      <c r="S1035" s="2">
        <v>235</v>
      </c>
      <c r="T1035" s="4">
        <v>0</v>
      </c>
      <c r="U1035" s="4">
        <f t="shared" si="37"/>
        <v>0</v>
      </c>
      <c r="V1035" s="3" t="s">
        <v>362</v>
      </c>
      <c r="W1035" s="3">
        <v>2014</v>
      </c>
      <c r="X1035" s="3" t="s">
        <v>12051</v>
      </c>
    </row>
    <row r="1036" spans="1:24" ht="89.25">
      <c r="A1036" s="3" t="s">
        <v>14708</v>
      </c>
      <c r="B1036" s="6" t="s">
        <v>361</v>
      </c>
      <c r="C1036" s="6" t="s">
        <v>3510</v>
      </c>
      <c r="D1036" s="6" t="s">
        <v>3503</v>
      </c>
      <c r="E1036" s="6" t="s">
        <v>3511</v>
      </c>
      <c r="F1036" s="6" t="s">
        <v>3308</v>
      </c>
      <c r="G1036" s="3" t="s">
        <v>11449</v>
      </c>
      <c r="H1036" s="54">
        <v>0.6</v>
      </c>
      <c r="I1036" s="16">
        <v>470000000</v>
      </c>
      <c r="J1036" s="157" t="s">
        <v>229</v>
      </c>
      <c r="K1036" s="5" t="s">
        <v>14667</v>
      </c>
      <c r="L1036" s="17" t="s">
        <v>11411</v>
      </c>
      <c r="M1036" s="3" t="s">
        <v>230</v>
      </c>
      <c r="N1036" s="6" t="s">
        <v>524</v>
      </c>
      <c r="O1036" s="6" t="s">
        <v>233</v>
      </c>
      <c r="P1036" s="58" t="s">
        <v>243</v>
      </c>
      <c r="Q1036" s="6" t="s">
        <v>244</v>
      </c>
      <c r="R1036" s="118">
        <v>90</v>
      </c>
      <c r="S1036" s="2">
        <v>282</v>
      </c>
      <c r="T1036" s="4">
        <v>0</v>
      </c>
      <c r="U1036" s="4">
        <f t="shared" si="37"/>
        <v>0</v>
      </c>
      <c r="V1036" s="3" t="s">
        <v>362</v>
      </c>
      <c r="W1036" s="3">
        <v>2014</v>
      </c>
      <c r="X1036" s="3" t="s">
        <v>17410</v>
      </c>
    </row>
    <row r="1037" spans="1:24" ht="89.25">
      <c r="A1037" s="3" t="s">
        <v>18091</v>
      </c>
      <c r="B1037" s="6" t="s">
        <v>361</v>
      </c>
      <c r="C1037" s="6" t="s">
        <v>3510</v>
      </c>
      <c r="D1037" s="6" t="s">
        <v>3503</v>
      </c>
      <c r="E1037" s="6" t="s">
        <v>3511</v>
      </c>
      <c r="F1037" s="6" t="s">
        <v>3308</v>
      </c>
      <c r="G1037" s="3" t="s">
        <v>11450</v>
      </c>
      <c r="H1037" s="54">
        <v>0.6</v>
      </c>
      <c r="I1037" s="16">
        <v>470000000</v>
      </c>
      <c r="J1037" s="157" t="s">
        <v>229</v>
      </c>
      <c r="K1037" s="5" t="s">
        <v>18092</v>
      </c>
      <c r="L1037" s="17" t="s">
        <v>11411</v>
      </c>
      <c r="M1037" s="3" t="s">
        <v>230</v>
      </c>
      <c r="N1037" s="6" t="s">
        <v>528</v>
      </c>
      <c r="O1037" s="6" t="s">
        <v>233</v>
      </c>
      <c r="P1037" s="58" t="s">
        <v>243</v>
      </c>
      <c r="Q1037" s="6" t="s">
        <v>244</v>
      </c>
      <c r="R1037" s="118">
        <v>250</v>
      </c>
      <c r="S1037" s="2">
        <v>398.4</v>
      </c>
      <c r="T1037" s="4">
        <f>R1037*S1037</f>
        <v>99600</v>
      </c>
      <c r="U1037" s="4">
        <f t="shared" si="37"/>
        <v>111552.00000000001</v>
      </c>
      <c r="V1037" s="3" t="s">
        <v>362</v>
      </c>
      <c r="W1037" s="3">
        <v>2014</v>
      </c>
      <c r="X1037" s="3"/>
    </row>
    <row r="1038" spans="1:24" ht="102">
      <c r="A1038" s="3" t="s">
        <v>1015</v>
      </c>
      <c r="B1038" s="6" t="s">
        <v>361</v>
      </c>
      <c r="C1038" s="6" t="s">
        <v>3512</v>
      </c>
      <c r="D1038" s="6" t="s">
        <v>3503</v>
      </c>
      <c r="E1038" s="6" t="s">
        <v>3513</v>
      </c>
      <c r="F1038" s="6" t="s">
        <v>3309</v>
      </c>
      <c r="G1038" s="3" t="s">
        <v>11449</v>
      </c>
      <c r="H1038" s="54">
        <v>0.6</v>
      </c>
      <c r="I1038" s="16">
        <v>470000000</v>
      </c>
      <c r="J1038" s="157" t="s">
        <v>229</v>
      </c>
      <c r="K1038" s="5" t="s">
        <v>215</v>
      </c>
      <c r="L1038" s="6" t="s">
        <v>231</v>
      </c>
      <c r="M1038" s="3" t="s">
        <v>230</v>
      </c>
      <c r="N1038" s="6" t="s">
        <v>524</v>
      </c>
      <c r="O1038" s="6" t="s">
        <v>233</v>
      </c>
      <c r="P1038" s="58" t="s">
        <v>243</v>
      </c>
      <c r="Q1038" s="6" t="s">
        <v>244</v>
      </c>
      <c r="R1038" s="118">
        <v>500</v>
      </c>
      <c r="S1038" s="2">
        <v>235</v>
      </c>
      <c r="T1038" s="4">
        <v>0</v>
      </c>
      <c r="U1038" s="4">
        <f t="shared" si="37"/>
        <v>0</v>
      </c>
      <c r="V1038" s="3" t="s">
        <v>362</v>
      </c>
      <c r="W1038" s="3">
        <v>2014</v>
      </c>
      <c r="X1038" s="3">
        <v>11.12</v>
      </c>
    </row>
    <row r="1039" spans="1:24" ht="89.25">
      <c r="A1039" s="3" t="s">
        <v>12210</v>
      </c>
      <c r="B1039" s="6" t="s">
        <v>361</v>
      </c>
      <c r="C1039" s="6" t="s">
        <v>3512</v>
      </c>
      <c r="D1039" s="6" t="s">
        <v>3503</v>
      </c>
      <c r="E1039" s="6" t="s">
        <v>3513</v>
      </c>
      <c r="F1039" s="6" t="s">
        <v>3309</v>
      </c>
      <c r="G1039" s="3" t="s">
        <v>11449</v>
      </c>
      <c r="H1039" s="54">
        <v>0.6</v>
      </c>
      <c r="I1039" s="16">
        <v>470000000</v>
      </c>
      <c r="J1039" s="157" t="s">
        <v>229</v>
      </c>
      <c r="K1039" s="5" t="s">
        <v>12204</v>
      </c>
      <c r="L1039" s="17" t="s">
        <v>11411</v>
      </c>
      <c r="M1039" s="3" t="s">
        <v>230</v>
      </c>
      <c r="N1039" s="6" t="s">
        <v>524</v>
      </c>
      <c r="O1039" s="6" t="s">
        <v>233</v>
      </c>
      <c r="P1039" s="58" t="s">
        <v>243</v>
      </c>
      <c r="Q1039" s="6" t="s">
        <v>244</v>
      </c>
      <c r="R1039" s="118">
        <v>500</v>
      </c>
      <c r="S1039" s="2">
        <v>235</v>
      </c>
      <c r="T1039" s="4">
        <v>0</v>
      </c>
      <c r="U1039" s="4">
        <f t="shared" si="37"/>
        <v>0</v>
      </c>
      <c r="V1039" s="3" t="s">
        <v>362</v>
      </c>
      <c r="W1039" s="3">
        <v>2014</v>
      </c>
      <c r="X1039" s="3" t="s">
        <v>12051</v>
      </c>
    </row>
    <row r="1040" spans="1:24" ht="89.25">
      <c r="A1040" s="3" t="s">
        <v>14709</v>
      </c>
      <c r="B1040" s="6" t="s">
        <v>361</v>
      </c>
      <c r="C1040" s="6" t="s">
        <v>3512</v>
      </c>
      <c r="D1040" s="6" t="s">
        <v>3503</v>
      </c>
      <c r="E1040" s="6" t="s">
        <v>3513</v>
      </c>
      <c r="F1040" s="6" t="s">
        <v>3309</v>
      </c>
      <c r="G1040" s="3" t="s">
        <v>11449</v>
      </c>
      <c r="H1040" s="54">
        <v>0.6</v>
      </c>
      <c r="I1040" s="16">
        <v>470000000</v>
      </c>
      <c r="J1040" s="157" t="s">
        <v>229</v>
      </c>
      <c r="K1040" s="5" t="s">
        <v>14667</v>
      </c>
      <c r="L1040" s="17" t="s">
        <v>11411</v>
      </c>
      <c r="M1040" s="3" t="s">
        <v>230</v>
      </c>
      <c r="N1040" s="6" t="s">
        <v>524</v>
      </c>
      <c r="O1040" s="6" t="s">
        <v>233</v>
      </c>
      <c r="P1040" s="58" t="s">
        <v>243</v>
      </c>
      <c r="Q1040" s="6" t="s">
        <v>244</v>
      </c>
      <c r="R1040" s="118">
        <v>135</v>
      </c>
      <c r="S1040" s="2">
        <v>282</v>
      </c>
      <c r="T1040" s="4">
        <v>0</v>
      </c>
      <c r="U1040" s="4">
        <f t="shared" si="37"/>
        <v>0</v>
      </c>
      <c r="V1040" s="3" t="s">
        <v>362</v>
      </c>
      <c r="W1040" s="3">
        <v>2014</v>
      </c>
      <c r="X1040" s="3" t="s">
        <v>17410</v>
      </c>
    </row>
    <row r="1041" spans="1:24" ht="89.25">
      <c r="A1041" s="3" t="s">
        <v>18093</v>
      </c>
      <c r="B1041" s="6" t="s">
        <v>361</v>
      </c>
      <c r="C1041" s="6" t="s">
        <v>3512</v>
      </c>
      <c r="D1041" s="6" t="s">
        <v>3503</v>
      </c>
      <c r="E1041" s="6" t="s">
        <v>3513</v>
      </c>
      <c r="F1041" s="6" t="s">
        <v>3309</v>
      </c>
      <c r="G1041" s="3" t="s">
        <v>11450</v>
      </c>
      <c r="H1041" s="54">
        <v>0.6</v>
      </c>
      <c r="I1041" s="16">
        <v>470000000</v>
      </c>
      <c r="J1041" s="157" t="s">
        <v>229</v>
      </c>
      <c r="K1041" s="5" t="s">
        <v>18094</v>
      </c>
      <c r="L1041" s="17" t="s">
        <v>11411</v>
      </c>
      <c r="M1041" s="3" t="s">
        <v>230</v>
      </c>
      <c r="N1041" s="6" t="s">
        <v>528</v>
      </c>
      <c r="O1041" s="6" t="s">
        <v>233</v>
      </c>
      <c r="P1041" s="58" t="s">
        <v>243</v>
      </c>
      <c r="Q1041" s="6" t="s">
        <v>244</v>
      </c>
      <c r="R1041" s="118">
        <v>250</v>
      </c>
      <c r="S1041" s="2">
        <v>398.4</v>
      </c>
      <c r="T1041" s="4">
        <f>R1041*S1041</f>
        <v>99600</v>
      </c>
      <c r="U1041" s="4">
        <f t="shared" si="37"/>
        <v>111552.00000000001</v>
      </c>
      <c r="V1041" s="3" t="s">
        <v>362</v>
      </c>
      <c r="W1041" s="3">
        <v>2014</v>
      </c>
      <c r="X1041" s="3"/>
    </row>
    <row r="1042" spans="1:24" ht="102">
      <c r="A1042" s="3" t="s">
        <v>1016</v>
      </c>
      <c r="B1042" s="6" t="s">
        <v>361</v>
      </c>
      <c r="C1042" s="6" t="s">
        <v>3514</v>
      </c>
      <c r="D1042" s="6" t="s">
        <v>3503</v>
      </c>
      <c r="E1042" s="6" t="s">
        <v>3515</v>
      </c>
      <c r="F1042" s="6" t="s">
        <v>3310</v>
      </c>
      <c r="G1042" s="3" t="s">
        <v>11449</v>
      </c>
      <c r="H1042" s="54">
        <v>0.6</v>
      </c>
      <c r="I1042" s="16">
        <v>470000000</v>
      </c>
      <c r="J1042" s="157" t="s">
        <v>229</v>
      </c>
      <c r="K1042" s="5" t="s">
        <v>214</v>
      </c>
      <c r="L1042" s="6" t="s">
        <v>231</v>
      </c>
      <c r="M1042" s="3" t="s">
        <v>230</v>
      </c>
      <c r="N1042" s="6" t="s">
        <v>524</v>
      </c>
      <c r="O1042" s="6" t="s">
        <v>233</v>
      </c>
      <c r="P1042" s="58" t="s">
        <v>243</v>
      </c>
      <c r="Q1042" s="6" t="s">
        <v>244</v>
      </c>
      <c r="R1042" s="118">
        <v>1000</v>
      </c>
      <c r="S1042" s="2">
        <v>235</v>
      </c>
      <c r="T1042" s="4">
        <v>0</v>
      </c>
      <c r="U1042" s="4">
        <f t="shared" si="37"/>
        <v>0</v>
      </c>
      <c r="V1042" s="3" t="s">
        <v>362</v>
      </c>
      <c r="W1042" s="3">
        <v>2014</v>
      </c>
      <c r="X1042" s="3">
        <v>11.12</v>
      </c>
    </row>
    <row r="1043" spans="1:24" ht="89.25">
      <c r="A1043" s="3" t="s">
        <v>11875</v>
      </c>
      <c r="B1043" s="6" t="s">
        <v>361</v>
      </c>
      <c r="C1043" s="6" t="s">
        <v>3514</v>
      </c>
      <c r="D1043" s="6" t="s">
        <v>3503</v>
      </c>
      <c r="E1043" s="6" t="s">
        <v>3515</v>
      </c>
      <c r="F1043" s="6" t="s">
        <v>3310</v>
      </c>
      <c r="G1043" s="3" t="s">
        <v>11449</v>
      </c>
      <c r="H1043" s="54">
        <v>0.6</v>
      </c>
      <c r="I1043" s="16">
        <v>470000000</v>
      </c>
      <c r="J1043" s="157" t="s">
        <v>229</v>
      </c>
      <c r="K1043" s="5" t="s">
        <v>210</v>
      </c>
      <c r="L1043" s="17" t="s">
        <v>11411</v>
      </c>
      <c r="M1043" s="3" t="s">
        <v>230</v>
      </c>
      <c r="N1043" s="6" t="s">
        <v>524</v>
      </c>
      <c r="O1043" s="6" t="s">
        <v>233</v>
      </c>
      <c r="P1043" s="58" t="s">
        <v>243</v>
      </c>
      <c r="Q1043" s="6" t="s">
        <v>244</v>
      </c>
      <c r="R1043" s="118">
        <v>1000</v>
      </c>
      <c r="S1043" s="2">
        <v>235</v>
      </c>
      <c r="T1043" s="4">
        <v>0</v>
      </c>
      <c r="U1043" s="4">
        <f t="shared" si="37"/>
        <v>0</v>
      </c>
      <c r="V1043" s="3" t="s">
        <v>362</v>
      </c>
      <c r="W1043" s="3">
        <v>2014</v>
      </c>
      <c r="X1043" s="3">
        <v>11</v>
      </c>
    </row>
    <row r="1044" spans="1:24" ht="89.25">
      <c r="A1044" s="3" t="s">
        <v>14032</v>
      </c>
      <c r="B1044" s="6" t="s">
        <v>361</v>
      </c>
      <c r="C1044" s="6" t="s">
        <v>3514</v>
      </c>
      <c r="D1044" s="6" t="s">
        <v>3503</v>
      </c>
      <c r="E1044" s="6" t="s">
        <v>3515</v>
      </c>
      <c r="F1044" s="6" t="s">
        <v>3310</v>
      </c>
      <c r="G1044" s="3" t="s">
        <v>11449</v>
      </c>
      <c r="H1044" s="54">
        <v>0.6</v>
      </c>
      <c r="I1044" s="16">
        <v>470000000</v>
      </c>
      <c r="J1044" s="157" t="s">
        <v>229</v>
      </c>
      <c r="K1044" s="5" t="s">
        <v>642</v>
      </c>
      <c r="L1044" s="17" t="s">
        <v>11411</v>
      </c>
      <c r="M1044" s="3" t="s">
        <v>230</v>
      </c>
      <c r="N1044" s="6" t="s">
        <v>524</v>
      </c>
      <c r="O1044" s="6" t="s">
        <v>233</v>
      </c>
      <c r="P1044" s="58" t="s">
        <v>243</v>
      </c>
      <c r="Q1044" s="6" t="s">
        <v>244</v>
      </c>
      <c r="R1044" s="118">
        <v>1000</v>
      </c>
      <c r="S1044" s="2">
        <v>235</v>
      </c>
      <c r="T1044" s="4">
        <v>0</v>
      </c>
      <c r="U1044" s="4">
        <f t="shared" si="37"/>
        <v>0</v>
      </c>
      <c r="V1044" s="3" t="s">
        <v>362</v>
      </c>
      <c r="W1044" s="3">
        <v>2014</v>
      </c>
      <c r="X1044" s="3" t="s">
        <v>12051</v>
      </c>
    </row>
    <row r="1045" spans="1:24" ht="89.25">
      <c r="A1045" s="3" t="s">
        <v>14710</v>
      </c>
      <c r="B1045" s="6" t="s">
        <v>361</v>
      </c>
      <c r="C1045" s="6" t="s">
        <v>3514</v>
      </c>
      <c r="D1045" s="6" t="s">
        <v>3503</v>
      </c>
      <c r="E1045" s="6" t="s">
        <v>3515</v>
      </c>
      <c r="F1045" s="6" t="s">
        <v>3310</v>
      </c>
      <c r="G1045" s="3" t="s">
        <v>11449</v>
      </c>
      <c r="H1045" s="54">
        <v>0.6</v>
      </c>
      <c r="I1045" s="16">
        <v>470000000</v>
      </c>
      <c r="J1045" s="157" t="s">
        <v>229</v>
      </c>
      <c r="K1045" s="5" t="s">
        <v>14667</v>
      </c>
      <c r="L1045" s="17" t="s">
        <v>11411</v>
      </c>
      <c r="M1045" s="3" t="s">
        <v>230</v>
      </c>
      <c r="N1045" s="6" t="s">
        <v>524</v>
      </c>
      <c r="O1045" s="6" t="s">
        <v>233</v>
      </c>
      <c r="P1045" s="58" t="s">
        <v>243</v>
      </c>
      <c r="Q1045" s="6" t="s">
        <v>244</v>
      </c>
      <c r="R1045" s="118">
        <v>99</v>
      </c>
      <c r="S1045" s="2">
        <v>282</v>
      </c>
      <c r="T1045" s="4">
        <v>0</v>
      </c>
      <c r="U1045" s="4">
        <f t="shared" si="37"/>
        <v>0</v>
      </c>
      <c r="V1045" s="3" t="s">
        <v>362</v>
      </c>
      <c r="W1045" s="3">
        <v>2014</v>
      </c>
      <c r="X1045" s="3" t="s">
        <v>16520</v>
      </c>
    </row>
    <row r="1046" spans="1:24" ht="89.25">
      <c r="A1046" s="3" t="s">
        <v>18095</v>
      </c>
      <c r="B1046" s="6" t="s">
        <v>361</v>
      </c>
      <c r="C1046" s="6" t="s">
        <v>3514</v>
      </c>
      <c r="D1046" s="6" t="s">
        <v>3503</v>
      </c>
      <c r="E1046" s="6" t="s">
        <v>3515</v>
      </c>
      <c r="F1046" s="6" t="s">
        <v>3310</v>
      </c>
      <c r="G1046" s="3" t="s">
        <v>11450</v>
      </c>
      <c r="H1046" s="54">
        <v>0.6</v>
      </c>
      <c r="I1046" s="16">
        <v>470000000</v>
      </c>
      <c r="J1046" s="157" t="s">
        <v>229</v>
      </c>
      <c r="K1046" s="5" t="s">
        <v>18092</v>
      </c>
      <c r="L1046" s="17" t="s">
        <v>11411</v>
      </c>
      <c r="M1046" s="3" t="s">
        <v>230</v>
      </c>
      <c r="N1046" s="6" t="s">
        <v>528</v>
      </c>
      <c r="O1046" s="6" t="s">
        <v>233</v>
      </c>
      <c r="P1046" s="58" t="s">
        <v>243</v>
      </c>
      <c r="Q1046" s="6" t="s">
        <v>244</v>
      </c>
      <c r="R1046" s="118">
        <v>99</v>
      </c>
      <c r="S1046" s="2">
        <v>398.4</v>
      </c>
      <c r="T1046" s="4">
        <v>0</v>
      </c>
      <c r="U1046" s="4">
        <f t="shared" si="37"/>
        <v>0</v>
      </c>
      <c r="V1046" s="3" t="s">
        <v>362</v>
      </c>
      <c r="W1046" s="3">
        <v>2014</v>
      </c>
      <c r="X1046" s="3" t="s">
        <v>12062</v>
      </c>
    </row>
    <row r="1047" spans="1:24" ht="89.25">
      <c r="A1047" s="3" t="s">
        <v>18422</v>
      </c>
      <c r="B1047" s="6" t="s">
        <v>361</v>
      </c>
      <c r="C1047" s="6" t="s">
        <v>3514</v>
      </c>
      <c r="D1047" s="6" t="s">
        <v>3503</v>
      </c>
      <c r="E1047" s="6" t="s">
        <v>3515</v>
      </c>
      <c r="F1047" s="6" t="s">
        <v>3310</v>
      </c>
      <c r="G1047" s="3" t="s">
        <v>11450</v>
      </c>
      <c r="H1047" s="54">
        <v>0.6</v>
      </c>
      <c r="I1047" s="16">
        <v>470000000</v>
      </c>
      <c r="J1047" s="157" t="s">
        <v>229</v>
      </c>
      <c r="K1047" s="5" t="s">
        <v>18092</v>
      </c>
      <c r="L1047" s="17" t="s">
        <v>11411</v>
      </c>
      <c r="M1047" s="3" t="s">
        <v>230</v>
      </c>
      <c r="N1047" s="6" t="s">
        <v>528</v>
      </c>
      <c r="O1047" s="6" t="s">
        <v>233</v>
      </c>
      <c r="P1047" s="58" t="s">
        <v>243</v>
      </c>
      <c r="Q1047" s="6" t="s">
        <v>244</v>
      </c>
      <c r="R1047" s="118">
        <v>250</v>
      </c>
      <c r="S1047" s="2">
        <v>398.4</v>
      </c>
      <c r="T1047" s="4">
        <f>R1047*S1047</f>
        <v>99600</v>
      </c>
      <c r="U1047" s="4">
        <f t="shared" si="37"/>
        <v>111552.00000000001</v>
      </c>
      <c r="V1047" s="3" t="s">
        <v>362</v>
      </c>
      <c r="W1047" s="3">
        <v>2014</v>
      </c>
      <c r="X1047" s="3"/>
    </row>
    <row r="1048" spans="1:24" ht="102">
      <c r="A1048" s="3" t="s">
        <v>1017</v>
      </c>
      <c r="B1048" s="6" t="s">
        <v>361</v>
      </c>
      <c r="C1048" s="6" t="s">
        <v>3516</v>
      </c>
      <c r="D1048" s="6" t="s">
        <v>3503</v>
      </c>
      <c r="E1048" s="6" t="s">
        <v>3517</v>
      </c>
      <c r="F1048" s="6" t="s">
        <v>163</v>
      </c>
      <c r="G1048" s="3" t="s">
        <v>11449</v>
      </c>
      <c r="H1048" s="54">
        <v>0.6</v>
      </c>
      <c r="I1048" s="16">
        <v>470000000</v>
      </c>
      <c r="J1048" s="157" t="s">
        <v>229</v>
      </c>
      <c r="K1048" s="5" t="s">
        <v>214</v>
      </c>
      <c r="L1048" s="6" t="s">
        <v>231</v>
      </c>
      <c r="M1048" s="3" t="s">
        <v>230</v>
      </c>
      <c r="N1048" s="6" t="s">
        <v>524</v>
      </c>
      <c r="O1048" s="6" t="s">
        <v>233</v>
      </c>
      <c r="P1048" s="58" t="s">
        <v>243</v>
      </c>
      <c r="Q1048" s="6" t="s">
        <v>244</v>
      </c>
      <c r="R1048" s="118">
        <v>250</v>
      </c>
      <c r="S1048" s="2">
        <v>290</v>
      </c>
      <c r="T1048" s="4">
        <v>0</v>
      </c>
      <c r="U1048" s="4">
        <f t="shared" si="37"/>
        <v>0</v>
      </c>
      <c r="V1048" s="3" t="s">
        <v>362</v>
      </c>
      <c r="W1048" s="3">
        <v>2014</v>
      </c>
      <c r="X1048" s="3">
        <v>11.12</v>
      </c>
    </row>
    <row r="1049" spans="1:24" ht="89.25">
      <c r="A1049" s="3" t="s">
        <v>11876</v>
      </c>
      <c r="B1049" s="6" t="s">
        <v>361</v>
      </c>
      <c r="C1049" s="6" t="s">
        <v>3516</v>
      </c>
      <c r="D1049" s="6" t="s">
        <v>3503</v>
      </c>
      <c r="E1049" s="6" t="s">
        <v>3517</v>
      </c>
      <c r="F1049" s="6" t="s">
        <v>163</v>
      </c>
      <c r="G1049" s="3" t="s">
        <v>11449</v>
      </c>
      <c r="H1049" s="54">
        <v>0.6</v>
      </c>
      <c r="I1049" s="16">
        <v>470000000</v>
      </c>
      <c r="J1049" s="157" t="s">
        <v>229</v>
      </c>
      <c r="K1049" s="5" t="s">
        <v>210</v>
      </c>
      <c r="L1049" s="17" t="s">
        <v>11411</v>
      </c>
      <c r="M1049" s="3" t="s">
        <v>230</v>
      </c>
      <c r="N1049" s="6" t="s">
        <v>524</v>
      </c>
      <c r="O1049" s="6" t="s">
        <v>233</v>
      </c>
      <c r="P1049" s="58" t="s">
        <v>243</v>
      </c>
      <c r="Q1049" s="6" t="s">
        <v>244</v>
      </c>
      <c r="R1049" s="118">
        <v>250</v>
      </c>
      <c r="S1049" s="2">
        <v>290</v>
      </c>
      <c r="T1049" s="4">
        <v>0</v>
      </c>
      <c r="U1049" s="4">
        <f t="shared" si="37"/>
        <v>0</v>
      </c>
      <c r="V1049" s="3" t="s">
        <v>362</v>
      </c>
      <c r="W1049" s="3">
        <v>2014</v>
      </c>
      <c r="X1049" s="3"/>
    </row>
    <row r="1050" spans="1:24" ht="89.25">
      <c r="A1050" s="3" t="s">
        <v>14033</v>
      </c>
      <c r="B1050" s="6" t="s">
        <v>361</v>
      </c>
      <c r="C1050" s="6" t="s">
        <v>3516</v>
      </c>
      <c r="D1050" s="6" t="s">
        <v>3503</v>
      </c>
      <c r="E1050" s="6" t="s">
        <v>3517</v>
      </c>
      <c r="F1050" s="6" t="s">
        <v>163</v>
      </c>
      <c r="G1050" s="3" t="s">
        <v>11449</v>
      </c>
      <c r="H1050" s="54">
        <v>0.6</v>
      </c>
      <c r="I1050" s="16">
        <v>470000000</v>
      </c>
      <c r="J1050" s="157" t="s">
        <v>229</v>
      </c>
      <c r="K1050" s="5" t="s">
        <v>14034</v>
      </c>
      <c r="L1050" s="17" t="s">
        <v>11411</v>
      </c>
      <c r="M1050" s="3" t="s">
        <v>230</v>
      </c>
      <c r="N1050" s="6" t="s">
        <v>524</v>
      </c>
      <c r="O1050" s="6" t="s">
        <v>233</v>
      </c>
      <c r="P1050" s="58" t="s">
        <v>243</v>
      </c>
      <c r="Q1050" s="6" t="s">
        <v>244</v>
      </c>
      <c r="R1050" s="118">
        <v>250</v>
      </c>
      <c r="S1050" s="2">
        <v>290</v>
      </c>
      <c r="T1050" s="4">
        <v>0</v>
      </c>
      <c r="U1050" s="4">
        <f t="shared" si="37"/>
        <v>0</v>
      </c>
      <c r="V1050" s="3" t="s">
        <v>362</v>
      </c>
      <c r="W1050" s="3">
        <v>2014</v>
      </c>
      <c r="X1050" s="3" t="s">
        <v>12051</v>
      </c>
    </row>
    <row r="1051" spans="1:24" ht="89.25">
      <c r="A1051" s="3" t="s">
        <v>14711</v>
      </c>
      <c r="B1051" s="6" t="s">
        <v>361</v>
      </c>
      <c r="C1051" s="6" t="s">
        <v>3516</v>
      </c>
      <c r="D1051" s="6" t="s">
        <v>3503</v>
      </c>
      <c r="E1051" s="6" t="s">
        <v>3517</v>
      </c>
      <c r="F1051" s="6" t="s">
        <v>163</v>
      </c>
      <c r="G1051" s="3" t="s">
        <v>11449</v>
      </c>
      <c r="H1051" s="54">
        <v>0.6</v>
      </c>
      <c r="I1051" s="16">
        <v>470000000</v>
      </c>
      <c r="J1051" s="157" t="s">
        <v>229</v>
      </c>
      <c r="K1051" s="5" t="s">
        <v>14667</v>
      </c>
      <c r="L1051" s="17" t="s">
        <v>11411</v>
      </c>
      <c r="M1051" s="3" t="s">
        <v>230</v>
      </c>
      <c r="N1051" s="6" t="s">
        <v>524</v>
      </c>
      <c r="O1051" s="6" t="s">
        <v>233</v>
      </c>
      <c r="P1051" s="58" t="s">
        <v>243</v>
      </c>
      <c r="Q1051" s="6" t="s">
        <v>244</v>
      </c>
      <c r="R1051" s="118">
        <v>35</v>
      </c>
      <c r="S1051" s="2">
        <v>348</v>
      </c>
      <c r="T1051" s="4">
        <v>0</v>
      </c>
      <c r="U1051" s="4">
        <f t="shared" si="37"/>
        <v>0</v>
      </c>
      <c r="V1051" s="3" t="s">
        <v>362</v>
      </c>
      <c r="W1051" s="3">
        <v>2014</v>
      </c>
      <c r="X1051" s="3" t="s">
        <v>16431</v>
      </c>
    </row>
    <row r="1052" spans="1:24" ht="89.25">
      <c r="A1052" s="3" t="s">
        <v>18096</v>
      </c>
      <c r="B1052" s="6" t="s">
        <v>361</v>
      </c>
      <c r="C1052" s="6" t="s">
        <v>3516</v>
      </c>
      <c r="D1052" s="6" t="s">
        <v>3503</v>
      </c>
      <c r="E1052" s="6" t="s">
        <v>3517</v>
      </c>
      <c r="F1052" s="6" t="s">
        <v>163</v>
      </c>
      <c r="G1052" s="3" t="s">
        <v>11450</v>
      </c>
      <c r="H1052" s="54">
        <v>0.6</v>
      </c>
      <c r="I1052" s="16">
        <v>470000000</v>
      </c>
      <c r="J1052" s="157" t="s">
        <v>229</v>
      </c>
      <c r="K1052" s="5" t="s">
        <v>8950</v>
      </c>
      <c r="L1052" s="17" t="s">
        <v>11411</v>
      </c>
      <c r="M1052" s="3" t="s">
        <v>230</v>
      </c>
      <c r="N1052" s="6" t="s">
        <v>524</v>
      </c>
      <c r="O1052" s="6" t="s">
        <v>233</v>
      </c>
      <c r="P1052" s="58" t="s">
        <v>243</v>
      </c>
      <c r="Q1052" s="6" t="s">
        <v>244</v>
      </c>
      <c r="R1052" s="118">
        <v>35</v>
      </c>
      <c r="S1052" s="2">
        <v>398.4</v>
      </c>
      <c r="T1052" s="4">
        <f>R1052*S1052</f>
        <v>13944</v>
      </c>
      <c r="U1052" s="4">
        <f t="shared" si="37"/>
        <v>15617.28</v>
      </c>
      <c r="V1052" s="3" t="s">
        <v>362</v>
      </c>
      <c r="W1052" s="3">
        <v>2014</v>
      </c>
      <c r="X1052" s="3"/>
    </row>
    <row r="1053" spans="1:24" ht="102">
      <c r="A1053" s="3" t="s">
        <v>1018</v>
      </c>
      <c r="B1053" s="6" t="s">
        <v>361</v>
      </c>
      <c r="C1053" s="6" t="s">
        <v>3518</v>
      </c>
      <c r="D1053" s="6" t="s">
        <v>3519</v>
      </c>
      <c r="E1053" s="6" t="s">
        <v>3520</v>
      </c>
      <c r="F1053" s="6" t="s">
        <v>164</v>
      </c>
      <c r="G1053" s="3" t="s">
        <v>11449</v>
      </c>
      <c r="H1053" s="54">
        <v>0.6</v>
      </c>
      <c r="I1053" s="16">
        <v>470000000</v>
      </c>
      <c r="J1053" s="157" t="s">
        <v>229</v>
      </c>
      <c r="K1053" s="5" t="s">
        <v>220</v>
      </c>
      <c r="L1053" s="6" t="s">
        <v>231</v>
      </c>
      <c r="M1053" s="3" t="s">
        <v>230</v>
      </c>
      <c r="N1053" s="6" t="s">
        <v>524</v>
      </c>
      <c r="O1053" s="6" t="s">
        <v>233</v>
      </c>
      <c r="P1053" s="58" t="s">
        <v>241</v>
      </c>
      <c r="Q1053" s="6" t="s">
        <v>234</v>
      </c>
      <c r="R1053" s="118">
        <v>42000</v>
      </c>
      <c r="S1053" s="2">
        <v>11</v>
      </c>
      <c r="T1053" s="4">
        <v>0</v>
      </c>
      <c r="U1053" s="4">
        <f t="shared" si="37"/>
        <v>0</v>
      </c>
      <c r="V1053" s="3" t="s">
        <v>362</v>
      </c>
      <c r="W1053" s="3">
        <v>2014</v>
      </c>
      <c r="X1053" s="3">
        <v>11.12</v>
      </c>
    </row>
    <row r="1054" spans="1:24" ht="89.25">
      <c r="A1054" s="3" t="s">
        <v>14035</v>
      </c>
      <c r="B1054" s="6" t="s">
        <v>361</v>
      </c>
      <c r="C1054" s="6" t="s">
        <v>3518</v>
      </c>
      <c r="D1054" s="6" t="s">
        <v>3519</v>
      </c>
      <c r="E1054" s="6" t="s">
        <v>3520</v>
      </c>
      <c r="F1054" s="6" t="s">
        <v>164</v>
      </c>
      <c r="G1054" s="3" t="s">
        <v>11449</v>
      </c>
      <c r="H1054" s="54">
        <v>0.6</v>
      </c>
      <c r="I1054" s="16">
        <v>470000000</v>
      </c>
      <c r="J1054" s="157" t="s">
        <v>229</v>
      </c>
      <c r="K1054" s="5" t="s">
        <v>12204</v>
      </c>
      <c r="L1054" s="17" t="s">
        <v>11411</v>
      </c>
      <c r="M1054" s="3" t="s">
        <v>230</v>
      </c>
      <c r="N1054" s="6" t="s">
        <v>524</v>
      </c>
      <c r="O1054" s="6" t="s">
        <v>233</v>
      </c>
      <c r="P1054" s="58" t="s">
        <v>241</v>
      </c>
      <c r="Q1054" s="6" t="s">
        <v>234</v>
      </c>
      <c r="R1054" s="118">
        <v>42000</v>
      </c>
      <c r="S1054" s="2">
        <v>11</v>
      </c>
      <c r="T1054" s="4">
        <v>0</v>
      </c>
      <c r="U1054" s="4">
        <f t="shared" ref="U1054:U1135" si="38">T1054*1.12</f>
        <v>0</v>
      </c>
      <c r="V1054" s="3" t="s">
        <v>362</v>
      </c>
      <c r="W1054" s="3">
        <v>2014</v>
      </c>
      <c r="X1054" s="3" t="s">
        <v>12051</v>
      </c>
    </row>
    <row r="1055" spans="1:24" ht="89.25">
      <c r="A1055" s="3" t="s">
        <v>14712</v>
      </c>
      <c r="B1055" s="6" t="s">
        <v>361</v>
      </c>
      <c r="C1055" s="6" t="s">
        <v>3518</v>
      </c>
      <c r="D1055" s="6" t="s">
        <v>3519</v>
      </c>
      <c r="E1055" s="6" t="s">
        <v>3520</v>
      </c>
      <c r="F1055" s="6" t="s">
        <v>164</v>
      </c>
      <c r="G1055" s="3" t="s">
        <v>11449</v>
      </c>
      <c r="H1055" s="54">
        <v>0.6</v>
      </c>
      <c r="I1055" s="16">
        <v>470000000</v>
      </c>
      <c r="J1055" s="157" t="s">
        <v>229</v>
      </c>
      <c r="K1055" s="5" t="s">
        <v>14667</v>
      </c>
      <c r="L1055" s="17" t="s">
        <v>11411</v>
      </c>
      <c r="M1055" s="3" t="s">
        <v>230</v>
      </c>
      <c r="N1055" s="6" t="s">
        <v>524</v>
      </c>
      <c r="O1055" s="6" t="s">
        <v>233</v>
      </c>
      <c r="P1055" s="58" t="s">
        <v>241</v>
      </c>
      <c r="Q1055" s="6" t="s">
        <v>234</v>
      </c>
      <c r="R1055" s="118">
        <v>2168</v>
      </c>
      <c r="S1055" s="2">
        <v>13</v>
      </c>
      <c r="T1055" s="4">
        <v>0</v>
      </c>
      <c r="U1055" s="4">
        <f t="shared" si="38"/>
        <v>0</v>
      </c>
      <c r="V1055" s="3" t="s">
        <v>362</v>
      </c>
      <c r="W1055" s="3">
        <v>2014</v>
      </c>
      <c r="X1055" s="6" t="s">
        <v>16521</v>
      </c>
    </row>
    <row r="1056" spans="1:24" ht="89.25">
      <c r="A1056" s="3" t="s">
        <v>18097</v>
      </c>
      <c r="B1056" s="6" t="s">
        <v>361</v>
      </c>
      <c r="C1056" s="6" t="s">
        <v>3518</v>
      </c>
      <c r="D1056" s="6" t="s">
        <v>3519</v>
      </c>
      <c r="E1056" s="6" t="s">
        <v>3520</v>
      </c>
      <c r="F1056" s="6" t="s">
        <v>164</v>
      </c>
      <c r="G1056" s="3" t="s">
        <v>11449</v>
      </c>
      <c r="H1056" s="54">
        <v>0.6</v>
      </c>
      <c r="I1056" s="16">
        <v>470000000</v>
      </c>
      <c r="J1056" s="157" t="s">
        <v>229</v>
      </c>
      <c r="K1056" s="5" t="s">
        <v>17401</v>
      </c>
      <c r="L1056" s="17" t="s">
        <v>11411</v>
      </c>
      <c r="M1056" s="3" t="s">
        <v>230</v>
      </c>
      <c r="N1056" s="6" t="s">
        <v>528</v>
      </c>
      <c r="O1056" s="6" t="s">
        <v>233</v>
      </c>
      <c r="P1056" s="58" t="s">
        <v>241</v>
      </c>
      <c r="Q1056" s="6" t="s">
        <v>234</v>
      </c>
      <c r="R1056" s="118">
        <v>2168</v>
      </c>
      <c r="S1056" s="2">
        <v>20</v>
      </c>
      <c r="T1056" s="4">
        <f>R1056*S1056</f>
        <v>43360</v>
      </c>
      <c r="U1056" s="4">
        <f t="shared" si="38"/>
        <v>48563.200000000004</v>
      </c>
      <c r="V1056" s="3" t="s">
        <v>362</v>
      </c>
      <c r="W1056" s="3">
        <v>2014</v>
      </c>
      <c r="X1056" s="3"/>
    </row>
    <row r="1057" spans="1:24" ht="140.25">
      <c r="A1057" s="3" t="s">
        <v>1019</v>
      </c>
      <c r="B1057" s="6" t="s">
        <v>361</v>
      </c>
      <c r="C1057" s="6" t="s">
        <v>3526</v>
      </c>
      <c r="D1057" s="6" t="s">
        <v>3527</v>
      </c>
      <c r="E1057" s="6" t="s">
        <v>3528</v>
      </c>
      <c r="F1057" s="6" t="s">
        <v>3521</v>
      </c>
      <c r="G1057" s="3" t="s">
        <v>11450</v>
      </c>
      <c r="H1057" s="54">
        <v>0</v>
      </c>
      <c r="I1057" s="16">
        <v>470000000</v>
      </c>
      <c r="J1057" s="157" t="s">
        <v>229</v>
      </c>
      <c r="K1057" s="5" t="s">
        <v>214</v>
      </c>
      <c r="L1057" s="6" t="s">
        <v>231</v>
      </c>
      <c r="M1057" s="3" t="s">
        <v>230</v>
      </c>
      <c r="N1057" s="6" t="s">
        <v>524</v>
      </c>
      <c r="O1057" s="6" t="s">
        <v>233</v>
      </c>
      <c r="P1057" s="58" t="s">
        <v>243</v>
      </c>
      <c r="Q1057" s="6" t="s">
        <v>244</v>
      </c>
      <c r="R1057" s="135">
        <v>950</v>
      </c>
      <c r="S1057" s="2">
        <v>2461</v>
      </c>
      <c r="T1057" s="4">
        <v>0</v>
      </c>
      <c r="U1057" s="4">
        <f t="shared" si="38"/>
        <v>0</v>
      </c>
      <c r="V1057" s="3" t="s">
        <v>362</v>
      </c>
      <c r="W1057" s="3">
        <v>2014</v>
      </c>
      <c r="X1057" s="3">
        <v>11.12</v>
      </c>
    </row>
    <row r="1058" spans="1:24" ht="140.25">
      <c r="A1058" s="3" t="s">
        <v>11877</v>
      </c>
      <c r="B1058" s="6" t="s">
        <v>361</v>
      </c>
      <c r="C1058" s="6" t="s">
        <v>3526</v>
      </c>
      <c r="D1058" s="6" t="s">
        <v>3527</v>
      </c>
      <c r="E1058" s="6" t="s">
        <v>3528</v>
      </c>
      <c r="F1058" s="6" t="s">
        <v>3521</v>
      </c>
      <c r="G1058" s="3" t="s">
        <v>11450</v>
      </c>
      <c r="H1058" s="54">
        <v>0</v>
      </c>
      <c r="I1058" s="16">
        <v>470000000</v>
      </c>
      <c r="J1058" s="157" t="s">
        <v>229</v>
      </c>
      <c r="K1058" s="5" t="s">
        <v>210</v>
      </c>
      <c r="L1058" s="17" t="s">
        <v>11411</v>
      </c>
      <c r="M1058" s="3" t="s">
        <v>230</v>
      </c>
      <c r="N1058" s="6" t="s">
        <v>524</v>
      </c>
      <c r="O1058" s="6" t="s">
        <v>233</v>
      </c>
      <c r="P1058" s="58" t="s">
        <v>243</v>
      </c>
      <c r="Q1058" s="6" t="s">
        <v>244</v>
      </c>
      <c r="R1058" s="135">
        <v>950</v>
      </c>
      <c r="S1058" s="2">
        <v>2461</v>
      </c>
      <c r="T1058" s="4">
        <v>0</v>
      </c>
      <c r="U1058" s="4">
        <f t="shared" si="38"/>
        <v>0</v>
      </c>
      <c r="V1058" s="3" t="s">
        <v>362</v>
      </c>
      <c r="W1058" s="3">
        <v>2014</v>
      </c>
      <c r="X1058" s="3">
        <v>11</v>
      </c>
    </row>
    <row r="1059" spans="1:24" ht="140.25">
      <c r="A1059" s="3" t="s">
        <v>12211</v>
      </c>
      <c r="B1059" s="6" t="s">
        <v>361</v>
      </c>
      <c r="C1059" s="6" t="s">
        <v>3526</v>
      </c>
      <c r="D1059" s="6" t="s">
        <v>3527</v>
      </c>
      <c r="E1059" s="6" t="s">
        <v>3528</v>
      </c>
      <c r="F1059" s="6" t="s">
        <v>3521</v>
      </c>
      <c r="G1059" s="3" t="s">
        <v>11450</v>
      </c>
      <c r="H1059" s="54">
        <v>0</v>
      </c>
      <c r="I1059" s="16">
        <v>470000000</v>
      </c>
      <c r="J1059" s="157" t="s">
        <v>229</v>
      </c>
      <c r="K1059" s="5" t="s">
        <v>12120</v>
      </c>
      <c r="L1059" s="17" t="s">
        <v>11411</v>
      </c>
      <c r="M1059" s="3" t="s">
        <v>230</v>
      </c>
      <c r="N1059" s="6" t="s">
        <v>524</v>
      </c>
      <c r="O1059" s="6" t="s">
        <v>233</v>
      </c>
      <c r="P1059" s="58" t="s">
        <v>243</v>
      </c>
      <c r="Q1059" s="6" t="s">
        <v>244</v>
      </c>
      <c r="R1059" s="135">
        <v>950</v>
      </c>
      <c r="S1059" s="2">
        <v>2461</v>
      </c>
      <c r="T1059" s="4">
        <v>0</v>
      </c>
      <c r="U1059" s="4">
        <f t="shared" si="38"/>
        <v>0</v>
      </c>
      <c r="V1059" s="3" t="s">
        <v>362</v>
      </c>
      <c r="W1059" s="3">
        <v>2014</v>
      </c>
      <c r="X1059" s="3"/>
    </row>
    <row r="1060" spans="1:24" ht="102">
      <c r="A1060" s="3" t="s">
        <v>14260</v>
      </c>
      <c r="B1060" s="6" t="s">
        <v>361</v>
      </c>
      <c r="C1060" s="6" t="s">
        <v>14261</v>
      </c>
      <c r="D1060" s="6" t="s">
        <v>3527</v>
      </c>
      <c r="E1060" s="6" t="s">
        <v>14262</v>
      </c>
      <c r="F1060" s="6" t="s">
        <v>3521</v>
      </c>
      <c r="G1060" s="3" t="s">
        <v>11450</v>
      </c>
      <c r="H1060" s="54">
        <v>0</v>
      </c>
      <c r="I1060" s="16">
        <v>470000000</v>
      </c>
      <c r="J1060" s="157" t="s">
        <v>229</v>
      </c>
      <c r="K1060" s="5" t="s">
        <v>12120</v>
      </c>
      <c r="L1060" s="17" t="s">
        <v>11411</v>
      </c>
      <c r="M1060" s="3" t="s">
        <v>230</v>
      </c>
      <c r="N1060" s="6" t="s">
        <v>524</v>
      </c>
      <c r="O1060" s="6" t="s">
        <v>233</v>
      </c>
      <c r="P1060" s="58" t="s">
        <v>243</v>
      </c>
      <c r="Q1060" s="6" t="s">
        <v>244</v>
      </c>
      <c r="R1060" s="135">
        <v>950</v>
      </c>
      <c r="S1060" s="2">
        <v>2461</v>
      </c>
      <c r="T1060" s="4">
        <v>0</v>
      </c>
      <c r="U1060" s="4">
        <f t="shared" si="38"/>
        <v>0</v>
      </c>
      <c r="V1060" s="3" t="s">
        <v>362</v>
      </c>
      <c r="W1060" s="3">
        <v>2014</v>
      </c>
      <c r="X1060" s="3" t="s">
        <v>12051</v>
      </c>
    </row>
    <row r="1061" spans="1:24" ht="102">
      <c r="A1061" s="3" t="s">
        <v>16361</v>
      </c>
      <c r="B1061" s="6" t="s">
        <v>361</v>
      </c>
      <c r="C1061" s="6" t="s">
        <v>14261</v>
      </c>
      <c r="D1061" s="6" t="s">
        <v>3527</v>
      </c>
      <c r="E1061" s="6" t="s">
        <v>14262</v>
      </c>
      <c r="F1061" s="6" t="s">
        <v>3521</v>
      </c>
      <c r="G1061" s="3" t="s">
        <v>11450</v>
      </c>
      <c r="H1061" s="54">
        <v>0</v>
      </c>
      <c r="I1061" s="16">
        <v>470000000</v>
      </c>
      <c r="J1061" s="157" t="s">
        <v>229</v>
      </c>
      <c r="K1061" s="5" t="s">
        <v>14667</v>
      </c>
      <c r="L1061" s="17" t="s">
        <v>11411</v>
      </c>
      <c r="M1061" s="3" t="s">
        <v>230</v>
      </c>
      <c r="N1061" s="6" t="s">
        <v>524</v>
      </c>
      <c r="O1061" s="6" t="s">
        <v>233</v>
      </c>
      <c r="P1061" s="58" t="s">
        <v>243</v>
      </c>
      <c r="Q1061" s="6" t="s">
        <v>244</v>
      </c>
      <c r="R1061" s="135">
        <v>151.80000000000001</v>
      </c>
      <c r="S1061" s="59">
        <v>2953.2</v>
      </c>
      <c r="T1061" s="1">
        <f>R1061*S1061</f>
        <v>448295.76</v>
      </c>
      <c r="U1061" s="4">
        <f t="shared" si="38"/>
        <v>502091.25120000006</v>
      </c>
      <c r="V1061" s="3" t="s">
        <v>362</v>
      </c>
      <c r="W1061" s="3">
        <v>2014</v>
      </c>
      <c r="X1061" s="3"/>
    </row>
    <row r="1062" spans="1:24" ht="102">
      <c r="A1062" s="3" t="s">
        <v>1020</v>
      </c>
      <c r="B1062" s="6" t="s">
        <v>361</v>
      </c>
      <c r="C1062" s="6" t="s">
        <v>3529</v>
      </c>
      <c r="D1062" s="6" t="s">
        <v>3530</v>
      </c>
      <c r="E1062" s="6" t="s">
        <v>3531</v>
      </c>
      <c r="F1062" s="6" t="s">
        <v>3522</v>
      </c>
      <c r="G1062" s="3" t="s">
        <v>11450</v>
      </c>
      <c r="H1062" s="54">
        <v>0</v>
      </c>
      <c r="I1062" s="16">
        <v>470000000</v>
      </c>
      <c r="J1062" s="157" t="s">
        <v>229</v>
      </c>
      <c r="K1062" s="5" t="s">
        <v>214</v>
      </c>
      <c r="L1062" s="6" t="s">
        <v>231</v>
      </c>
      <c r="M1062" s="3" t="s">
        <v>230</v>
      </c>
      <c r="N1062" s="6" t="s">
        <v>524</v>
      </c>
      <c r="O1062" s="6" t="s">
        <v>233</v>
      </c>
      <c r="P1062" s="58" t="s">
        <v>243</v>
      </c>
      <c r="Q1062" s="6" t="s">
        <v>244</v>
      </c>
      <c r="R1062" s="135">
        <v>180</v>
      </c>
      <c r="S1062" s="2">
        <v>3816</v>
      </c>
      <c r="T1062" s="4">
        <v>0</v>
      </c>
      <c r="U1062" s="4">
        <f t="shared" si="38"/>
        <v>0</v>
      </c>
      <c r="V1062" s="3" t="s">
        <v>362</v>
      </c>
      <c r="W1062" s="3">
        <v>2014</v>
      </c>
      <c r="X1062" s="3">
        <v>11.12</v>
      </c>
    </row>
    <row r="1063" spans="1:24" ht="89.25">
      <c r="A1063" s="3" t="s">
        <v>11878</v>
      </c>
      <c r="B1063" s="6" t="s">
        <v>361</v>
      </c>
      <c r="C1063" s="6" t="s">
        <v>3529</v>
      </c>
      <c r="D1063" s="6" t="s">
        <v>3530</v>
      </c>
      <c r="E1063" s="6" t="s">
        <v>3531</v>
      </c>
      <c r="F1063" s="6" t="s">
        <v>3522</v>
      </c>
      <c r="G1063" s="3" t="s">
        <v>11450</v>
      </c>
      <c r="H1063" s="54">
        <v>0</v>
      </c>
      <c r="I1063" s="16">
        <v>470000000</v>
      </c>
      <c r="J1063" s="157" t="s">
        <v>229</v>
      </c>
      <c r="K1063" s="5" t="s">
        <v>210</v>
      </c>
      <c r="L1063" s="17" t="s">
        <v>11411</v>
      </c>
      <c r="M1063" s="3" t="s">
        <v>230</v>
      </c>
      <c r="N1063" s="6" t="s">
        <v>524</v>
      </c>
      <c r="O1063" s="6" t="s">
        <v>233</v>
      </c>
      <c r="P1063" s="58" t="s">
        <v>243</v>
      </c>
      <c r="Q1063" s="6" t="s">
        <v>244</v>
      </c>
      <c r="R1063" s="135">
        <v>180</v>
      </c>
      <c r="S1063" s="2">
        <v>3816</v>
      </c>
      <c r="T1063" s="4">
        <v>0</v>
      </c>
      <c r="U1063" s="4">
        <f t="shared" si="38"/>
        <v>0</v>
      </c>
      <c r="V1063" s="3" t="s">
        <v>362</v>
      </c>
      <c r="W1063" s="3">
        <v>2014</v>
      </c>
      <c r="X1063" s="3">
        <v>11</v>
      </c>
    </row>
    <row r="1064" spans="1:24" ht="89.25">
      <c r="A1064" s="3" t="s">
        <v>12212</v>
      </c>
      <c r="B1064" s="6" t="s">
        <v>361</v>
      </c>
      <c r="C1064" s="6" t="s">
        <v>3529</v>
      </c>
      <c r="D1064" s="6" t="s">
        <v>3530</v>
      </c>
      <c r="E1064" s="6" t="s">
        <v>3531</v>
      </c>
      <c r="F1064" s="6" t="s">
        <v>3522</v>
      </c>
      <c r="G1064" s="3" t="s">
        <v>11450</v>
      </c>
      <c r="H1064" s="54">
        <v>0</v>
      </c>
      <c r="I1064" s="16">
        <v>470000000</v>
      </c>
      <c r="J1064" s="157" t="s">
        <v>229</v>
      </c>
      <c r="K1064" s="5" t="s">
        <v>12120</v>
      </c>
      <c r="L1064" s="17" t="s">
        <v>11411</v>
      </c>
      <c r="M1064" s="3" t="s">
        <v>230</v>
      </c>
      <c r="N1064" s="6" t="s">
        <v>524</v>
      </c>
      <c r="O1064" s="6" t="s">
        <v>233</v>
      </c>
      <c r="P1064" s="58" t="s">
        <v>243</v>
      </c>
      <c r="Q1064" s="6" t="s">
        <v>244</v>
      </c>
      <c r="R1064" s="135">
        <v>180</v>
      </c>
      <c r="S1064" s="2">
        <v>3816</v>
      </c>
      <c r="T1064" s="4">
        <v>0</v>
      </c>
      <c r="U1064" s="4">
        <f t="shared" si="38"/>
        <v>0</v>
      </c>
      <c r="V1064" s="3" t="s">
        <v>362</v>
      </c>
      <c r="W1064" s="3">
        <v>2014</v>
      </c>
      <c r="X1064" s="3" t="s">
        <v>12076</v>
      </c>
    </row>
    <row r="1065" spans="1:24" ht="102">
      <c r="A1065" s="3" t="s">
        <v>1021</v>
      </c>
      <c r="B1065" s="6" t="s">
        <v>361</v>
      </c>
      <c r="C1065" s="6" t="s">
        <v>3532</v>
      </c>
      <c r="D1065" s="6" t="s">
        <v>3533</v>
      </c>
      <c r="E1065" s="6" t="s">
        <v>3534</v>
      </c>
      <c r="F1065" s="6" t="s">
        <v>3523</v>
      </c>
      <c r="G1065" s="3" t="s">
        <v>11450</v>
      </c>
      <c r="H1065" s="54">
        <v>0</v>
      </c>
      <c r="I1065" s="16">
        <v>470000000</v>
      </c>
      <c r="J1065" s="157" t="s">
        <v>229</v>
      </c>
      <c r="K1065" s="5" t="s">
        <v>214</v>
      </c>
      <c r="L1065" s="6" t="s">
        <v>231</v>
      </c>
      <c r="M1065" s="3" t="s">
        <v>230</v>
      </c>
      <c r="N1065" s="6" t="s">
        <v>524</v>
      </c>
      <c r="O1065" s="6" t="s">
        <v>233</v>
      </c>
      <c r="P1065" s="58" t="s">
        <v>243</v>
      </c>
      <c r="Q1065" s="6" t="s">
        <v>244</v>
      </c>
      <c r="R1065" s="135">
        <v>250</v>
      </c>
      <c r="S1065" s="2">
        <v>750</v>
      </c>
      <c r="T1065" s="4">
        <v>0</v>
      </c>
      <c r="U1065" s="4">
        <f t="shared" si="38"/>
        <v>0</v>
      </c>
      <c r="V1065" s="3" t="s">
        <v>362</v>
      </c>
      <c r="W1065" s="3">
        <v>2014</v>
      </c>
      <c r="X1065" s="3">
        <v>11.12</v>
      </c>
    </row>
    <row r="1066" spans="1:24" ht="89.25">
      <c r="A1066" s="3" t="s">
        <v>11879</v>
      </c>
      <c r="B1066" s="6" t="s">
        <v>361</v>
      </c>
      <c r="C1066" s="6" t="s">
        <v>3532</v>
      </c>
      <c r="D1066" s="6" t="s">
        <v>3533</v>
      </c>
      <c r="E1066" s="6" t="s">
        <v>3534</v>
      </c>
      <c r="F1066" s="6" t="s">
        <v>3523</v>
      </c>
      <c r="G1066" s="3" t="s">
        <v>11450</v>
      </c>
      <c r="H1066" s="54">
        <v>0</v>
      </c>
      <c r="I1066" s="16">
        <v>470000000</v>
      </c>
      <c r="J1066" s="157" t="s">
        <v>229</v>
      </c>
      <c r="K1066" s="5" t="s">
        <v>210</v>
      </c>
      <c r="L1066" s="17" t="s">
        <v>11411</v>
      </c>
      <c r="M1066" s="3" t="s">
        <v>230</v>
      </c>
      <c r="N1066" s="6" t="s">
        <v>524</v>
      </c>
      <c r="O1066" s="6" t="s">
        <v>233</v>
      </c>
      <c r="P1066" s="58" t="s">
        <v>243</v>
      </c>
      <c r="Q1066" s="6" t="s">
        <v>244</v>
      </c>
      <c r="R1066" s="135">
        <v>250</v>
      </c>
      <c r="S1066" s="2">
        <v>750</v>
      </c>
      <c r="T1066" s="4">
        <v>0</v>
      </c>
      <c r="U1066" s="4">
        <f t="shared" si="38"/>
        <v>0</v>
      </c>
      <c r="V1066" s="3" t="s">
        <v>362</v>
      </c>
      <c r="W1066" s="3">
        <v>2014</v>
      </c>
      <c r="X1066" s="3">
        <v>11</v>
      </c>
    </row>
    <row r="1067" spans="1:24" ht="89.25">
      <c r="A1067" s="3" t="s">
        <v>12213</v>
      </c>
      <c r="B1067" s="6" t="s">
        <v>361</v>
      </c>
      <c r="C1067" s="6" t="s">
        <v>3532</v>
      </c>
      <c r="D1067" s="6" t="s">
        <v>3533</v>
      </c>
      <c r="E1067" s="6" t="s">
        <v>3534</v>
      </c>
      <c r="F1067" s="6" t="s">
        <v>3523</v>
      </c>
      <c r="G1067" s="3" t="s">
        <v>11450</v>
      </c>
      <c r="H1067" s="54">
        <v>0</v>
      </c>
      <c r="I1067" s="16">
        <v>470000000</v>
      </c>
      <c r="J1067" s="157" t="s">
        <v>229</v>
      </c>
      <c r="K1067" s="5" t="s">
        <v>12120</v>
      </c>
      <c r="L1067" s="17" t="s">
        <v>11411</v>
      </c>
      <c r="M1067" s="3" t="s">
        <v>230</v>
      </c>
      <c r="N1067" s="6" t="s">
        <v>524</v>
      </c>
      <c r="O1067" s="6" t="s">
        <v>233</v>
      </c>
      <c r="P1067" s="58" t="s">
        <v>243</v>
      </c>
      <c r="Q1067" s="6" t="s">
        <v>244</v>
      </c>
      <c r="R1067" s="135">
        <v>250</v>
      </c>
      <c r="S1067" s="2">
        <v>750</v>
      </c>
      <c r="T1067" s="4">
        <v>0</v>
      </c>
      <c r="U1067" s="4">
        <f t="shared" si="38"/>
        <v>0</v>
      </c>
      <c r="V1067" s="3" t="s">
        <v>362</v>
      </c>
      <c r="W1067" s="3">
        <v>2014</v>
      </c>
      <c r="X1067" s="3" t="s">
        <v>12051</v>
      </c>
    </row>
    <row r="1068" spans="1:24" ht="89.25">
      <c r="A1068" s="3" t="s">
        <v>14713</v>
      </c>
      <c r="B1068" s="6" t="s">
        <v>361</v>
      </c>
      <c r="C1068" s="6" t="s">
        <v>3532</v>
      </c>
      <c r="D1068" s="6" t="s">
        <v>3533</v>
      </c>
      <c r="E1068" s="6" t="s">
        <v>3534</v>
      </c>
      <c r="F1068" s="6" t="s">
        <v>3523</v>
      </c>
      <c r="G1068" s="3" t="s">
        <v>11450</v>
      </c>
      <c r="H1068" s="54">
        <v>0</v>
      </c>
      <c r="I1068" s="16">
        <v>470000000</v>
      </c>
      <c r="J1068" s="157" t="s">
        <v>229</v>
      </c>
      <c r="K1068" s="5" t="s">
        <v>14667</v>
      </c>
      <c r="L1068" s="17" t="s">
        <v>11411</v>
      </c>
      <c r="M1068" s="3" t="s">
        <v>230</v>
      </c>
      <c r="N1068" s="6" t="s">
        <v>524</v>
      </c>
      <c r="O1068" s="6" t="s">
        <v>233</v>
      </c>
      <c r="P1068" s="58" t="s">
        <v>243</v>
      </c>
      <c r="Q1068" s="6" t="s">
        <v>244</v>
      </c>
      <c r="R1068" s="135">
        <v>100.7</v>
      </c>
      <c r="S1068" s="2">
        <v>900</v>
      </c>
      <c r="T1068" s="4">
        <f>R1068*S1068</f>
        <v>90630</v>
      </c>
      <c r="U1068" s="4">
        <f t="shared" si="38"/>
        <v>101505.60000000001</v>
      </c>
      <c r="V1068" s="3" t="s">
        <v>362</v>
      </c>
      <c r="W1068" s="3">
        <v>2014</v>
      </c>
      <c r="X1068" s="3"/>
    </row>
    <row r="1069" spans="1:24" ht="102">
      <c r="A1069" s="3" t="s">
        <v>1022</v>
      </c>
      <c r="B1069" s="6" t="s">
        <v>361</v>
      </c>
      <c r="C1069" s="6" t="s">
        <v>3535</v>
      </c>
      <c r="D1069" s="6" t="s">
        <v>3536</v>
      </c>
      <c r="E1069" s="6" t="s">
        <v>3537</v>
      </c>
      <c r="F1069" s="6" t="s">
        <v>3524</v>
      </c>
      <c r="G1069" s="3" t="s">
        <v>11450</v>
      </c>
      <c r="H1069" s="54">
        <v>0</v>
      </c>
      <c r="I1069" s="16">
        <v>470000000</v>
      </c>
      <c r="J1069" s="157" t="s">
        <v>229</v>
      </c>
      <c r="K1069" s="5" t="s">
        <v>211</v>
      </c>
      <c r="L1069" s="6" t="s">
        <v>231</v>
      </c>
      <c r="M1069" s="3" t="s">
        <v>230</v>
      </c>
      <c r="N1069" s="6" t="s">
        <v>524</v>
      </c>
      <c r="O1069" s="6" t="s">
        <v>233</v>
      </c>
      <c r="P1069" s="58" t="s">
        <v>243</v>
      </c>
      <c r="Q1069" s="6" t="s">
        <v>244</v>
      </c>
      <c r="R1069" s="135">
        <v>120</v>
      </c>
      <c r="S1069" s="2">
        <v>1102</v>
      </c>
      <c r="T1069" s="4">
        <v>0</v>
      </c>
      <c r="U1069" s="4">
        <f t="shared" si="38"/>
        <v>0</v>
      </c>
      <c r="V1069" s="3" t="s">
        <v>362</v>
      </c>
      <c r="W1069" s="3">
        <v>2014</v>
      </c>
      <c r="X1069" s="3" t="s">
        <v>12076</v>
      </c>
    </row>
    <row r="1070" spans="1:24" ht="102">
      <c r="A1070" s="3" t="s">
        <v>1023</v>
      </c>
      <c r="B1070" s="6" t="s">
        <v>361</v>
      </c>
      <c r="C1070" s="6" t="s">
        <v>3538</v>
      </c>
      <c r="D1070" s="6" t="s">
        <v>3539</v>
      </c>
      <c r="E1070" s="6" t="s">
        <v>3540</v>
      </c>
      <c r="F1070" s="6" t="s">
        <v>3525</v>
      </c>
      <c r="G1070" s="3" t="s">
        <v>11450</v>
      </c>
      <c r="H1070" s="54">
        <v>0</v>
      </c>
      <c r="I1070" s="16">
        <v>470000000</v>
      </c>
      <c r="J1070" s="157" t="s">
        <v>229</v>
      </c>
      <c r="K1070" s="5" t="s">
        <v>211</v>
      </c>
      <c r="L1070" s="6" t="s">
        <v>231</v>
      </c>
      <c r="M1070" s="3" t="s">
        <v>230</v>
      </c>
      <c r="N1070" s="6" t="s">
        <v>524</v>
      </c>
      <c r="O1070" s="6" t="s">
        <v>233</v>
      </c>
      <c r="P1070" s="58" t="s">
        <v>243</v>
      </c>
      <c r="Q1070" s="6" t="s">
        <v>244</v>
      </c>
      <c r="R1070" s="135">
        <v>100</v>
      </c>
      <c r="S1070" s="2">
        <v>1102</v>
      </c>
      <c r="T1070" s="4">
        <f>R1070*S1070</f>
        <v>110200</v>
      </c>
      <c r="U1070" s="4">
        <f t="shared" si="38"/>
        <v>123424.00000000001</v>
      </c>
      <c r="V1070" s="3" t="s">
        <v>362</v>
      </c>
      <c r="W1070" s="3">
        <v>2014</v>
      </c>
      <c r="X1070" s="3"/>
    </row>
    <row r="1071" spans="1:24" ht="102">
      <c r="A1071" s="3" t="s">
        <v>1024</v>
      </c>
      <c r="B1071" s="6" t="s">
        <v>361</v>
      </c>
      <c r="C1071" s="6" t="s">
        <v>3554</v>
      </c>
      <c r="D1071" s="6" t="s">
        <v>3550</v>
      </c>
      <c r="E1071" s="6" t="s">
        <v>3555</v>
      </c>
      <c r="F1071" s="6" t="s">
        <v>3541</v>
      </c>
      <c r="G1071" s="3" t="s">
        <v>11449</v>
      </c>
      <c r="H1071" s="54">
        <v>0.6</v>
      </c>
      <c r="I1071" s="16">
        <v>470000000</v>
      </c>
      <c r="J1071" s="157" t="s">
        <v>229</v>
      </c>
      <c r="K1071" s="5" t="s">
        <v>215</v>
      </c>
      <c r="L1071" s="6" t="s">
        <v>231</v>
      </c>
      <c r="M1071" s="3" t="s">
        <v>230</v>
      </c>
      <c r="N1071" s="6" t="s">
        <v>524</v>
      </c>
      <c r="O1071" s="6" t="s">
        <v>233</v>
      </c>
      <c r="P1071" s="58" t="s">
        <v>243</v>
      </c>
      <c r="Q1071" s="6" t="s">
        <v>244</v>
      </c>
      <c r="R1071" s="97">
        <v>400</v>
      </c>
      <c r="S1071" s="2">
        <v>335</v>
      </c>
      <c r="T1071" s="4">
        <v>0</v>
      </c>
      <c r="U1071" s="4">
        <f t="shared" si="38"/>
        <v>0</v>
      </c>
      <c r="V1071" s="3" t="s">
        <v>362</v>
      </c>
      <c r="W1071" s="3">
        <v>2014</v>
      </c>
      <c r="X1071" s="3">
        <v>11.12</v>
      </c>
    </row>
    <row r="1072" spans="1:24" ht="89.25">
      <c r="A1072" s="3" t="s">
        <v>11880</v>
      </c>
      <c r="B1072" s="6" t="s">
        <v>361</v>
      </c>
      <c r="C1072" s="6" t="s">
        <v>3554</v>
      </c>
      <c r="D1072" s="6" t="s">
        <v>3550</v>
      </c>
      <c r="E1072" s="6" t="s">
        <v>3555</v>
      </c>
      <c r="F1072" s="6" t="s">
        <v>3541</v>
      </c>
      <c r="G1072" s="3" t="s">
        <v>11449</v>
      </c>
      <c r="H1072" s="54">
        <v>0.6</v>
      </c>
      <c r="I1072" s="16">
        <v>470000000</v>
      </c>
      <c r="J1072" s="157" t="s">
        <v>229</v>
      </c>
      <c r="K1072" s="5" t="s">
        <v>210</v>
      </c>
      <c r="L1072" s="17" t="s">
        <v>11411</v>
      </c>
      <c r="M1072" s="3" t="s">
        <v>230</v>
      </c>
      <c r="N1072" s="6" t="s">
        <v>524</v>
      </c>
      <c r="O1072" s="6" t="s">
        <v>233</v>
      </c>
      <c r="P1072" s="58" t="s">
        <v>243</v>
      </c>
      <c r="Q1072" s="6" t="s">
        <v>244</v>
      </c>
      <c r="R1072" s="97">
        <v>400</v>
      </c>
      <c r="S1072" s="2">
        <v>335</v>
      </c>
      <c r="T1072" s="4">
        <v>0</v>
      </c>
      <c r="U1072" s="4">
        <f t="shared" si="38"/>
        <v>0</v>
      </c>
      <c r="V1072" s="3" t="s">
        <v>362</v>
      </c>
      <c r="W1072" s="3">
        <v>2014</v>
      </c>
      <c r="X1072" s="3" t="s">
        <v>12076</v>
      </c>
    </row>
    <row r="1073" spans="1:24" ht="102">
      <c r="A1073" s="3" t="s">
        <v>1025</v>
      </c>
      <c r="B1073" s="6" t="s">
        <v>361</v>
      </c>
      <c r="C1073" s="6" t="s">
        <v>3560</v>
      </c>
      <c r="D1073" s="6" t="s">
        <v>3550</v>
      </c>
      <c r="E1073" s="6" t="s">
        <v>3561</v>
      </c>
      <c r="F1073" s="6" t="s">
        <v>3542</v>
      </c>
      <c r="G1073" s="3" t="s">
        <v>11449</v>
      </c>
      <c r="H1073" s="54">
        <v>0.6</v>
      </c>
      <c r="I1073" s="16">
        <v>470000000</v>
      </c>
      <c r="J1073" s="157" t="s">
        <v>229</v>
      </c>
      <c r="K1073" s="5" t="s">
        <v>215</v>
      </c>
      <c r="L1073" s="6" t="s">
        <v>231</v>
      </c>
      <c r="M1073" s="3" t="s">
        <v>230</v>
      </c>
      <c r="N1073" s="6" t="s">
        <v>524</v>
      </c>
      <c r="O1073" s="6" t="s">
        <v>233</v>
      </c>
      <c r="P1073" s="58" t="s">
        <v>243</v>
      </c>
      <c r="Q1073" s="6" t="s">
        <v>244</v>
      </c>
      <c r="R1073" s="97">
        <v>8000</v>
      </c>
      <c r="S1073" s="2">
        <v>335</v>
      </c>
      <c r="T1073" s="4">
        <v>0</v>
      </c>
      <c r="U1073" s="4">
        <f t="shared" si="38"/>
        <v>0</v>
      </c>
      <c r="V1073" s="3" t="s">
        <v>362</v>
      </c>
      <c r="W1073" s="3">
        <v>2014</v>
      </c>
      <c r="X1073" s="3">
        <v>11.12</v>
      </c>
    </row>
    <row r="1074" spans="1:24" ht="89.25">
      <c r="A1074" s="3" t="s">
        <v>11881</v>
      </c>
      <c r="B1074" s="6" t="s">
        <v>361</v>
      </c>
      <c r="C1074" s="6" t="s">
        <v>3560</v>
      </c>
      <c r="D1074" s="6" t="s">
        <v>3550</v>
      </c>
      <c r="E1074" s="6" t="s">
        <v>3561</v>
      </c>
      <c r="F1074" s="6" t="s">
        <v>3542</v>
      </c>
      <c r="G1074" s="3" t="s">
        <v>11449</v>
      </c>
      <c r="H1074" s="54">
        <v>0.6</v>
      </c>
      <c r="I1074" s="16">
        <v>470000000</v>
      </c>
      <c r="J1074" s="157" t="s">
        <v>229</v>
      </c>
      <c r="K1074" s="5" t="s">
        <v>210</v>
      </c>
      <c r="L1074" s="17" t="s">
        <v>11411</v>
      </c>
      <c r="M1074" s="3" t="s">
        <v>230</v>
      </c>
      <c r="N1074" s="6" t="s">
        <v>524</v>
      </c>
      <c r="O1074" s="6" t="s">
        <v>233</v>
      </c>
      <c r="P1074" s="58" t="s">
        <v>243</v>
      </c>
      <c r="Q1074" s="6" t="s">
        <v>244</v>
      </c>
      <c r="R1074" s="97">
        <v>8000</v>
      </c>
      <c r="S1074" s="2">
        <v>335</v>
      </c>
      <c r="T1074" s="4">
        <v>0</v>
      </c>
      <c r="U1074" s="4">
        <f t="shared" si="38"/>
        <v>0</v>
      </c>
      <c r="V1074" s="3" t="s">
        <v>362</v>
      </c>
      <c r="W1074" s="3">
        <v>2014</v>
      </c>
      <c r="X1074" s="3" t="s">
        <v>12051</v>
      </c>
    </row>
    <row r="1075" spans="1:24" ht="89.25">
      <c r="A1075" s="3" t="s">
        <v>14714</v>
      </c>
      <c r="B1075" s="6" t="s">
        <v>361</v>
      </c>
      <c r="C1075" s="6" t="s">
        <v>3560</v>
      </c>
      <c r="D1075" s="6" t="s">
        <v>3550</v>
      </c>
      <c r="E1075" s="6" t="s">
        <v>3561</v>
      </c>
      <c r="F1075" s="6" t="s">
        <v>3542</v>
      </c>
      <c r="G1075" s="3" t="s">
        <v>11449</v>
      </c>
      <c r="H1075" s="54">
        <v>0.6</v>
      </c>
      <c r="I1075" s="16">
        <v>470000000</v>
      </c>
      <c r="J1075" s="157" t="s">
        <v>229</v>
      </c>
      <c r="K1075" s="5" t="s">
        <v>14715</v>
      </c>
      <c r="L1075" s="17" t="s">
        <v>11411</v>
      </c>
      <c r="M1075" s="3" t="s">
        <v>230</v>
      </c>
      <c r="N1075" s="6" t="s">
        <v>524</v>
      </c>
      <c r="O1075" s="6" t="s">
        <v>233</v>
      </c>
      <c r="P1075" s="58" t="s">
        <v>243</v>
      </c>
      <c r="Q1075" s="6" t="s">
        <v>244</v>
      </c>
      <c r="R1075" s="97">
        <v>2016.028</v>
      </c>
      <c r="S1075" s="2">
        <v>402</v>
      </c>
      <c r="T1075" s="4">
        <v>0</v>
      </c>
      <c r="U1075" s="4">
        <f t="shared" si="38"/>
        <v>0</v>
      </c>
      <c r="V1075" s="3" t="s">
        <v>362</v>
      </c>
      <c r="W1075" s="3">
        <v>2014</v>
      </c>
      <c r="X1075" s="3" t="s">
        <v>17317</v>
      </c>
    </row>
    <row r="1076" spans="1:24" ht="89.25">
      <c r="A1076" s="3" t="s">
        <v>18099</v>
      </c>
      <c r="B1076" s="6" t="s">
        <v>361</v>
      </c>
      <c r="C1076" s="6" t="s">
        <v>3560</v>
      </c>
      <c r="D1076" s="6" t="s">
        <v>3550</v>
      </c>
      <c r="E1076" s="6" t="s">
        <v>3561</v>
      </c>
      <c r="F1076" s="6" t="s">
        <v>3542</v>
      </c>
      <c r="G1076" s="3" t="s">
        <v>11449</v>
      </c>
      <c r="H1076" s="54">
        <v>0.6</v>
      </c>
      <c r="I1076" s="16">
        <v>470000000</v>
      </c>
      <c r="J1076" s="157" t="s">
        <v>229</v>
      </c>
      <c r="K1076" s="5" t="s">
        <v>17401</v>
      </c>
      <c r="L1076" s="17" t="s">
        <v>11411</v>
      </c>
      <c r="M1076" s="3" t="s">
        <v>230</v>
      </c>
      <c r="N1076" s="6" t="s">
        <v>8914</v>
      </c>
      <c r="O1076" s="6" t="s">
        <v>233</v>
      </c>
      <c r="P1076" s="58" t="s">
        <v>243</v>
      </c>
      <c r="Q1076" s="6" t="s">
        <v>244</v>
      </c>
      <c r="R1076" s="97">
        <v>4000</v>
      </c>
      <c r="S1076" s="2">
        <v>402</v>
      </c>
      <c r="T1076" s="4">
        <v>0</v>
      </c>
      <c r="U1076" s="4">
        <f t="shared" si="38"/>
        <v>0</v>
      </c>
      <c r="V1076" s="3" t="s">
        <v>362</v>
      </c>
      <c r="W1076" s="3">
        <v>2014</v>
      </c>
      <c r="X1076" s="3" t="s">
        <v>18825</v>
      </c>
    </row>
    <row r="1077" spans="1:24" ht="63.75">
      <c r="A1077" s="3" t="s">
        <v>18877</v>
      </c>
      <c r="B1077" s="6" t="s">
        <v>361</v>
      </c>
      <c r="C1077" s="6" t="s">
        <v>3560</v>
      </c>
      <c r="D1077" s="6" t="s">
        <v>3550</v>
      </c>
      <c r="E1077" s="6" t="s">
        <v>3561</v>
      </c>
      <c r="F1077" s="6" t="s">
        <v>3542</v>
      </c>
      <c r="G1077" s="3" t="s">
        <v>11449</v>
      </c>
      <c r="H1077" s="54">
        <v>0.6</v>
      </c>
      <c r="I1077" s="16">
        <v>470000000</v>
      </c>
      <c r="J1077" s="157" t="s">
        <v>229</v>
      </c>
      <c r="K1077" s="5" t="s">
        <v>18866</v>
      </c>
      <c r="L1077" s="17" t="s">
        <v>11411</v>
      </c>
      <c r="M1077" s="3" t="s">
        <v>230</v>
      </c>
      <c r="N1077" s="6" t="s">
        <v>8914</v>
      </c>
      <c r="O1077" s="6" t="s">
        <v>18767</v>
      </c>
      <c r="P1077" s="58" t="s">
        <v>243</v>
      </c>
      <c r="Q1077" s="6" t="s">
        <v>244</v>
      </c>
      <c r="R1077" s="97">
        <v>5370</v>
      </c>
      <c r="S1077" s="2">
        <v>402</v>
      </c>
      <c r="T1077" s="1">
        <f>R1077*S1077</f>
        <v>2158740</v>
      </c>
      <c r="U1077" s="4">
        <f t="shared" si="38"/>
        <v>2417788.8000000003</v>
      </c>
      <c r="V1077" s="3" t="s">
        <v>362</v>
      </c>
      <c r="W1077" s="3">
        <v>2014</v>
      </c>
      <c r="X1077" s="3"/>
    </row>
    <row r="1078" spans="1:24" ht="102">
      <c r="A1078" s="3" t="s">
        <v>1026</v>
      </c>
      <c r="B1078" s="6" t="s">
        <v>361</v>
      </c>
      <c r="C1078" s="6" t="s">
        <v>3558</v>
      </c>
      <c r="D1078" s="6" t="s">
        <v>3550</v>
      </c>
      <c r="E1078" s="6" t="s">
        <v>3559</v>
      </c>
      <c r="F1078" s="6" t="s">
        <v>3543</v>
      </c>
      <c r="G1078" s="3" t="s">
        <v>11449</v>
      </c>
      <c r="H1078" s="54">
        <v>0.6</v>
      </c>
      <c r="I1078" s="16">
        <v>470000000</v>
      </c>
      <c r="J1078" s="157" t="s">
        <v>229</v>
      </c>
      <c r="K1078" s="5" t="s">
        <v>215</v>
      </c>
      <c r="L1078" s="6" t="s">
        <v>231</v>
      </c>
      <c r="M1078" s="3" t="s">
        <v>230</v>
      </c>
      <c r="N1078" s="6" t="s">
        <v>524</v>
      </c>
      <c r="O1078" s="6" t="s">
        <v>233</v>
      </c>
      <c r="P1078" s="58" t="s">
        <v>243</v>
      </c>
      <c r="Q1078" s="6" t="s">
        <v>244</v>
      </c>
      <c r="R1078" s="97">
        <v>7500</v>
      </c>
      <c r="S1078" s="2">
        <v>335</v>
      </c>
      <c r="T1078" s="4">
        <v>0</v>
      </c>
      <c r="U1078" s="4">
        <f t="shared" si="38"/>
        <v>0</v>
      </c>
      <c r="V1078" s="3" t="s">
        <v>362</v>
      </c>
      <c r="W1078" s="3">
        <v>2014</v>
      </c>
      <c r="X1078" s="3">
        <v>11.12</v>
      </c>
    </row>
    <row r="1079" spans="1:24" ht="89.25">
      <c r="A1079" s="3" t="s">
        <v>11882</v>
      </c>
      <c r="B1079" s="6" t="s">
        <v>361</v>
      </c>
      <c r="C1079" s="6" t="s">
        <v>3558</v>
      </c>
      <c r="D1079" s="6" t="s">
        <v>3550</v>
      </c>
      <c r="E1079" s="6" t="s">
        <v>3559</v>
      </c>
      <c r="F1079" s="6" t="s">
        <v>3543</v>
      </c>
      <c r="G1079" s="3" t="s">
        <v>11449</v>
      </c>
      <c r="H1079" s="54">
        <v>0.6</v>
      </c>
      <c r="I1079" s="16">
        <v>470000000</v>
      </c>
      <c r="J1079" s="157" t="s">
        <v>229</v>
      </c>
      <c r="K1079" s="5" t="s">
        <v>210</v>
      </c>
      <c r="L1079" s="17" t="s">
        <v>11411</v>
      </c>
      <c r="M1079" s="3" t="s">
        <v>230</v>
      </c>
      <c r="N1079" s="6" t="s">
        <v>524</v>
      </c>
      <c r="O1079" s="6" t="s">
        <v>233</v>
      </c>
      <c r="P1079" s="58" t="s">
        <v>243</v>
      </c>
      <c r="Q1079" s="6" t="s">
        <v>244</v>
      </c>
      <c r="R1079" s="97">
        <v>7500</v>
      </c>
      <c r="S1079" s="2">
        <v>335</v>
      </c>
      <c r="T1079" s="4">
        <v>0</v>
      </c>
      <c r="U1079" s="4">
        <f t="shared" si="38"/>
        <v>0</v>
      </c>
      <c r="V1079" s="3" t="s">
        <v>362</v>
      </c>
      <c r="W1079" s="3">
        <v>2014</v>
      </c>
      <c r="X1079" s="3" t="s">
        <v>12051</v>
      </c>
    </row>
    <row r="1080" spans="1:24" ht="89.25">
      <c r="A1080" s="3" t="s">
        <v>14716</v>
      </c>
      <c r="B1080" s="6" t="s">
        <v>361</v>
      </c>
      <c r="C1080" s="6" t="s">
        <v>3558</v>
      </c>
      <c r="D1080" s="6" t="s">
        <v>3550</v>
      </c>
      <c r="E1080" s="6" t="s">
        <v>3559</v>
      </c>
      <c r="F1080" s="6" t="s">
        <v>3543</v>
      </c>
      <c r="G1080" s="3" t="s">
        <v>11449</v>
      </c>
      <c r="H1080" s="54">
        <v>0.6</v>
      </c>
      <c r="I1080" s="16">
        <v>470000000</v>
      </c>
      <c r="J1080" s="157" t="s">
        <v>229</v>
      </c>
      <c r="K1080" s="5" t="s">
        <v>14715</v>
      </c>
      <c r="L1080" s="17" t="s">
        <v>11411</v>
      </c>
      <c r="M1080" s="3" t="s">
        <v>230</v>
      </c>
      <c r="N1080" s="6" t="s">
        <v>524</v>
      </c>
      <c r="O1080" s="6" t="s">
        <v>233</v>
      </c>
      <c r="P1080" s="58" t="s">
        <v>243</v>
      </c>
      <c r="Q1080" s="6" t="s">
        <v>244</v>
      </c>
      <c r="R1080" s="97">
        <v>2055.745453</v>
      </c>
      <c r="S1080" s="2">
        <v>402</v>
      </c>
      <c r="T1080" s="4">
        <v>0</v>
      </c>
      <c r="U1080" s="4">
        <f t="shared" si="38"/>
        <v>0</v>
      </c>
      <c r="V1080" s="3" t="s">
        <v>362</v>
      </c>
      <c r="W1080" s="3">
        <v>2014</v>
      </c>
      <c r="X1080" s="3" t="s">
        <v>17317</v>
      </c>
    </row>
    <row r="1081" spans="1:24" ht="89.25">
      <c r="A1081" s="3" t="s">
        <v>18100</v>
      </c>
      <c r="B1081" s="6" t="s">
        <v>361</v>
      </c>
      <c r="C1081" s="6" t="s">
        <v>3558</v>
      </c>
      <c r="D1081" s="6" t="s">
        <v>3550</v>
      </c>
      <c r="E1081" s="6" t="s">
        <v>3559</v>
      </c>
      <c r="F1081" s="6" t="s">
        <v>3543</v>
      </c>
      <c r="G1081" s="3" t="s">
        <v>11449</v>
      </c>
      <c r="H1081" s="54">
        <v>0.6</v>
      </c>
      <c r="I1081" s="16">
        <v>470000000</v>
      </c>
      <c r="J1081" s="157" t="s">
        <v>229</v>
      </c>
      <c r="K1081" s="5" t="s">
        <v>17401</v>
      </c>
      <c r="L1081" s="17" t="s">
        <v>11411</v>
      </c>
      <c r="M1081" s="3" t="s">
        <v>230</v>
      </c>
      <c r="N1081" s="6" t="s">
        <v>8914</v>
      </c>
      <c r="O1081" s="6" t="s">
        <v>233</v>
      </c>
      <c r="P1081" s="58" t="s">
        <v>243</v>
      </c>
      <c r="Q1081" s="6" t="s">
        <v>244</v>
      </c>
      <c r="R1081" s="97">
        <v>3000</v>
      </c>
      <c r="S1081" s="2">
        <v>402</v>
      </c>
      <c r="T1081" s="4">
        <v>0</v>
      </c>
      <c r="U1081" s="4">
        <f t="shared" si="38"/>
        <v>0</v>
      </c>
      <c r="V1081" s="3" t="s">
        <v>362</v>
      </c>
      <c r="W1081" s="3">
        <v>2014</v>
      </c>
      <c r="X1081" s="3" t="s">
        <v>18825</v>
      </c>
    </row>
    <row r="1082" spans="1:24" ht="63.75">
      <c r="A1082" s="3" t="s">
        <v>18876</v>
      </c>
      <c r="B1082" s="6" t="s">
        <v>361</v>
      </c>
      <c r="C1082" s="6" t="s">
        <v>3558</v>
      </c>
      <c r="D1082" s="6" t="s">
        <v>3550</v>
      </c>
      <c r="E1082" s="6" t="s">
        <v>3559</v>
      </c>
      <c r="F1082" s="6" t="s">
        <v>3543</v>
      </c>
      <c r="G1082" s="3" t="s">
        <v>11449</v>
      </c>
      <c r="H1082" s="54">
        <v>0.6</v>
      </c>
      <c r="I1082" s="16">
        <v>470000000</v>
      </c>
      <c r="J1082" s="157" t="s">
        <v>229</v>
      </c>
      <c r="K1082" s="5" t="s">
        <v>18866</v>
      </c>
      <c r="L1082" s="17" t="s">
        <v>11411</v>
      </c>
      <c r="M1082" s="3" t="s">
        <v>230</v>
      </c>
      <c r="N1082" s="6" t="s">
        <v>8914</v>
      </c>
      <c r="O1082" s="6" t="s">
        <v>18767</v>
      </c>
      <c r="P1082" s="58" t="s">
        <v>243</v>
      </c>
      <c r="Q1082" s="6" t="s">
        <v>244</v>
      </c>
      <c r="R1082" s="97">
        <v>6000</v>
      </c>
      <c r="S1082" s="2">
        <v>402</v>
      </c>
      <c r="T1082" s="4">
        <v>0</v>
      </c>
      <c r="U1082" s="4">
        <f t="shared" si="38"/>
        <v>0</v>
      </c>
      <c r="V1082" s="3" t="s">
        <v>362</v>
      </c>
      <c r="W1082" s="3">
        <v>2014</v>
      </c>
      <c r="X1082" s="3" t="s">
        <v>12062</v>
      </c>
    </row>
    <row r="1083" spans="1:24" ht="63.75">
      <c r="A1083" s="3" t="s">
        <v>19257</v>
      </c>
      <c r="B1083" s="6" t="s">
        <v>361</v>
      </c>
      <c r="C1083" s="6" t="s">
        <v>3558</v>
      </c>
      <c r="D1083" s="6" t="s">
        <v>3550</v>
      </c>
      <c r="E1083" s="6" t="s">
        <v>3559</v>
      </c>
      <c r="F1083" s="6" t="s">
        <v>3543</v>
      </c>
      <c r="G1083" s="3" t="s">
        <v>11449</v>
      </c>
      <c r="H1083" s="54">
        <v>0.6</v>
      </c>
      <c r="I1083" s="16">
        <v>470000000</v>
      </c>
      <c r="J1083" s="157" t="s">
        <v>229</v>
      </c>
      <c r="K1083" s="5" t="s">
        <v>18866</v>
      </c>
      <c r="L1083" s="17" t="s">
        <v>11411</v>
      </c>
      <c r="M1083" s="3" t="s">
        <v>230</v>
      </c>
      <c r="N1083" s="6" t="s">
        <v>8914</v>
      </c>
      <c r="O1083" s="6" t="s">
        <v>18767</v>
      </c>
      <c r="P1083" s="58" t="s">
        <v>243</v>
      </c>
      <c r="Q1083" s="6" t="s">
        <v>244</v>
      </c>
      <c r="R1083" s="97">
        <v>3000</v>
      </c>
      <c r="S1083" s="2">
        <v>402</v>
      </c>
      <c r="T1083" s="1">
        <f>R1083*S1083</f>
        <v>1206000</v>
      </c>
      <c r="U1083" s="4">
        <f t="shared" ref="U1083" si="39">T1083*1.12</f>
        <v>1350720.0000000002</v>
      </c>
      <c r="V1083" s="3" t="s">
        <v>362</v>
      </c>
      <c r="W1083" s="3">
        <v>2014</v>
      </c>
      <c r="X1083" s="3"/>
    </row>
    <row r="1084" spans="1:24" ht="102">
      <c r="A1084" s="3" t="s">
        <v>1027</v>
      </c>
      <c r="B1084" s="6" t="s">
        <v>361</v>
      </c>
      <c r="C1084" s="6" t="s">
        <v>3556</v>
      </c>
      <c r="D1084" s="6" t="s">
        <v>3550</v>
      </c>
      <c r="E1084" s="6" t="s">
        <v>3557</v>
      </c>
      <c r="F1084" s="6" t="s">
        <v>3544</v>
      </c>
      <c r="G1084" s="3" t="s">
        <v>11449</v>
      </c>
      <c r="H1084" s="54">
        <v>0.6</v>
      </c>
      <c r="I1084" s="16">
        <v>470000000</v>
      </c>
      <c r="J1084" s="157" t="s">
        <v>229</v>
      </c>
      <c r="K1084" s="5" t="s">
        <v>215</v>
      </c>
      <c r="L1084" s="6" t="s">
        <v>231</v>
      </c>
      <c r="M1084" s="3" t="s">
        <v>230</v>
      </c>
      <c r="N1084" s="6" t="s">
        <v>524</v>
      </c>
      <c r="O1084" s="6" t="s">
        <v>233</v>
      </c>
      <c r="P1084" s="58" t="s">
        <v>243</v>
      </c>
      <c r="Q1084" s="6" t="s">
        <v>244</v>
      </c>
      <c r="R1084" s="97">
        <v>3500</v>
      </c>
      <c r="S1084" s="2">
        <v>335</v>
      </c>
      <c r="T1084" s="4">
        <v>0</v>
      </c>
      <c r="U1084" s="4">
        <f t="shared" si="38"/>
        <v>0</v>
      </c>
      <c r="V1084" s="3" t="s">
        <v>362</v>
      </c>
      <c r="W1084" s="3">
        <v>2014</v>
      </c>
      <c r="X1084" s="3">
        <v>11.12</v>
      </c>
    </row>
    <row r="1085" spans="1:24" ht="89.25">
      <c r="A1085" s="3" t="s">
        <v>11883</v>
      </c>
      <c r="B1085" s="6" t="s">
        <v>361</v>
      </c>
      <c r="C1085" s="6" t="s">
        <v>3556</v>
      </c>
      <c r="D1085" s="6" t="s">
        <v>3550</v>
      </c>
      <c r="E1085" s="6" t="s">
        <v>3557</v>
      </c>
      <c r="F1085" s="6" t="s">
        <v>3544</v>
      </c>
      <c r="G1085" s="3" t="s">
        <v>11449</v>
      </c>
      <c r="H1085" s="54">
        <v>0.6</v>
      </c>
      <c r="I1085" s="16">
        <v>470000000</v>
      </c>
      <c r="J1085" s="157" t="s">
        <v>229</v>
      </c>
      <c r="K1085" s="5" t="s">
        <v>210</v>
      </c>
      <c r="L1085" s="17" t="s">
        <v>11411</v>
      </c>
      <c r="M1085" s="3" t="s">
        <v>230</v>
      </c>
      <c r="N1085" s="6" t="s">
        <v>524</v>
      </c>
      <c r="O1085" s="6" t="s">
        <v>233</v>
      </c>
      <c r="P1085" s="58" t="s">
        <v>243</v>
      </c>
      <c r="Q1085" s="6" t="s">
        <v>244</v>
      </c>
      <c r="R1085" s="97">
        <v>3500</v>
      </c>
      <c r="S1085" s="2">
        <v>335</v>
      </c>
      <c r="T1085" s="4">
        <v>0</v>
      </c>
      <c r="U1085" s="4">
        <f t="shared" si="38"/>
        <v>0</v>
      </c>
      <c r="V1085" s="3" t="s">
        <v>362</v>
      </c>
      <c r="W1085" s="3">
        <v>2014</v>
      </c>
      <c r="X1085" s="3" t="s">
        <v>12076</v>
      </c>
    </row>
    <row r="1086" spans="1:24" ht="102">
      <c r="A1086" s="3" t="s">
        <v>1028</v>
      </c>
      <c r="B1086" s="6" t="s">
        <v>361</v>
      </c>
      <c r="C1086" s="6" t="s">
        <v>3562</v>
      </c>
      <c r="D1086" s="6" t="s">
        <v>3550</v>
      </c>
      <c r="E1086" s="6" t="s">
        <v>3563</v>
      </c>
      <c r="F1086" s="6" t="s">
        <v>3545</v>
      </c>
      <c r="G1086" s="3" t="s">
        <v>11449</v>
      </c>
      <c r="H1086" s="54">
        <v>0.6</v>
      </c>
      <c r="I1086" s="16">
        <v>470000000</v>
      </c>
      <c r="J1086" s="157" t="s">
        <v>229</v>
      </c>
      <c r="K1086" s="5" t="s">
        <v>215</v>
      </c>
      <c r="L1086" s="6" t="s">
        <v>231</v>
      </c>
      <c r="M1086" s="3" t="s">
        <v>230</v>
      </c>
      <c r="N1086" s="6" t="s">
        <v>524</v>
      </c>
      <c r="O1086" s="6" t="s">
        <v>233</v>
      </c>
      <c r="P1086" s="58" t="s">
        <v>243</v>
      </c>
      <c r="Q1086" s="6" t="s">
        <v>244</v>
      </c>
      <c r="R1086" s="97">
        <v>2000</v>
      </c>
      <c r="S1086" s="2">
        <v>335</v>
      </c>
      <c r="T1086" s="4">
        <v>0</v>
      </c>
      <c r="U1086" s="4">
        <f t="shared" si="38"/>
        <v>0</v>
      </c>
      <c r="V1086" s="3" t="s">
        <v>362</v>
      </c>
      <c r="W1086" s="3">
        <v>2014</v>
      </c>
      <c r="X1086" s="3">
        <v>11.12</v>
      </c>
    </row>
    <row r="1087" spans="1:24" ht="89.25">
      <c r="A1087" s="3" t="s">
        <v>11884</v>
      </c>
      <c r="B1087" s="6" t="s">
        <v>361</v>
      </c>
      <c r="C1087" s="6" t="s">
        <v>3562</v>
      </c>
      <c r="D1087" s="6" t="s">
        <v>3550</v>
      </c>
      <c r="E1087" s="6" t="s">
        <v>3563</v>
      </c>
      <c r="F1087" s="6" t="s">
        <v>3545</v>
      </c>
      <c r="G1087" s="3" t="s">
        <v>11449</v>
      </c>
      <c r="H1087" s="54">
        <v>0.6</v>
      </c>
      <c r="I1087" s="16">
        <v>470000000</v>
      </c>
      <c r="J1087" s="157" t="s">
        <v>229</v>
      </c>
      <c r="K1087" s="5" t="s">
        <v>210</v>
      </c>
      <c r="L1087" s="17" t="s">
        <v>11411</v>
      </c>
      <c r="M1087" s="3" t="s">
        <v>230</v>
      </c>
      <c r="N1087" s="6" t="s">
        <v>524</v>
      </c>
      <c r="O1087" s="6" t="s">
        <v>233</v>
      </c>
      <c r="P1087" s="58" t="s">
        <v>243</v>
      </c>
      <c r="Q1087" s="6" t="s">
        <v>244</v>
      </c>
      <c r="R1087" s="97">
        <v>2000</v>
      </c>
      <c r="S1087" s="2">
        <v>335</v>
      </c>
      <c r="T1087" s="4">
        <v>0</v>
      </c>
      <c r="U1087" s="4">
        <f t="shared" si="38"/>
        <v>0</v>
      </c>
      <c r="V1087" s="3" t="s">
        <v>362</v>
      </c>
      <c r="W1087" s="3">
        <v>2014</v>
      </c>
      <c r="X1087" s="3" t="s">
        <v>12076</v>
      </c>
    </row>
    <row r="1088" spans="1:24" ht="102">
      <c r="A1088" s="3" t="s">
        <v>1029</v>
      </c>
      <c r="B1088" s="6" t="s">
        <v>361</v>
      </c>
      <c r="C1088" s="6" t="s">
        <v>3564</v>
      </c>
      <c r="D1088" s="6" t="s">
        <v>3550</v>
      </c>
      <c r="E1088" s="6" t="s">
        <v>3565</v>
      </c>
      <c r="F1088" s="6" t="s">
        <v>3546</v>
      </c>
      <c r="G1088" s="3" t="s">
        <v>11449</v>
      </c>
      <c r="H1088" s="54">
        <v>0.6</v>
      </c>
      <c r="I1088" s="16">
        <v>470000000</v>
      </c>
      <c r="J1088" s="157" t="s">
        <v>229</v>
      </c>
      <c r="K1088" s="5" t="s">
        <v>215</v>
      </c>
      <c r="L1088" s="6" t="s">
        <v>231</v>
      </c>
      <c r="M1088" s="3" t="s">
        <v>230</v>
      </c>
      <c r="N1088" s="6" t="s">
        <v>524</v>
      </c>
      <c r="O1088" s="6" t="s">
        <v>233</v>
      </c>
      <c r="P1088" s="58" t="s">
        <v>243</v>
      </c>
      <c r="Q1088" s="6" t="s">
        <v>244</v>
      </c>
      <c r="R1088" s="97">
        <v>200</v>
      </c>
      <c r="S1088" s="2">
        <v>335</v>
      </c>
      <c r="T1088" s="4">
        <v>0</v>
      </c>
      <c r="U1088" s="4">
        <f t="shared" si="38"/>
        <v>0</v>
      </c>
      <c r="V1088" s="3" t="s">
        <v>362</v>
      </c>
      <c r="W1088" s="3">
        <v>2014</v>
      </c>
      <c r="X1088" s="3">
        <v>11.12</v>
      </c>
    </row>
    <row r="1089" spans="1:24" ht="89.25">
      <c r="A1089" s="3" t="s">
        <v>11885</v>
      </c>
      <c r="B1089" s="6" t="s">
        <v>361</v>
      </c>
      <c r="C1089" s="6" t="s">
        <v>3564</v>
      </c>
      <c r="D1089" s="6" t="s">
        <v>3550</v>
      </c>
      <c r="E1089" s="6" t="s">
        <v>3565</v>
      </c>
      <c r="F1089" s="6" t="s">
        <v>3546</v>
      </c>
      <c r="G1089" s="3" t="s">
        <v>11449</v>
      </c>
      <c r="H1089" s="54">
        <v>0.6</v>
      </c>
      <c r="I1089" s="16">
        <v>470000000</v>
      </c>
      <c r="J1089" s="157" t="s">
        <v>229</v>
      </c>
      <c r="K1089" s="5" t="s">
        <v>210</v>
      </c>
      <c r="L1089" s="17" t="s">
        <v>11411</v>
      </c>
      <c r="M1089" s="3" t="s">
        <v>230</v>
      </c>
      <c r="N1089" s="6" t="s">
        <v>524</v>
      </c>
      <c r="O1089" s="6" t="s">
        <v>233</v>
      </c>
      <c r="P1089" s="58" t="s">
        <v>243</v>
      </c>
      <c r="Q1089" s="6" t="s">
        <v>244</v>
      </c>
      <c r="R1089" s="97">
        <v>200</v>
      </c>
      <c r="S1089" s="2">
        <v>335</v>
      </c>
      <c r="T1089" s="4">
        <v>0</v>
      </c>
      <c r="U1089" s="4">
        <f t="shared" si="38"/>
        <v>0</v>
      </c>
      <c r="V1089" s="3" t="s">
        <v>362</v>
      </c>
      <c r="W1089" s="3">
        <v>2014</v>
      </c>
      <c r="X1089" s="3" t="s">
        <v>12051</v>
      </c>
    </row>
    <row r="1090" spans="1:24" ht="89.25">
      <c r="A1090" s="3" t="s">
        <v>14717</v>
      </c>
      <c r="B1090" s="6" t="s">
        <v>361</v>
      </c>
      <c r="C1090" s="6" t="s">
        <v>3564</v>
      </c>
      <c r="D1090" s="6" t="s">
        <v>3550</v>
      </c>
      <c r="E1090" s="6" t="s">
        <v>3565</v>
      </c>
      <c r="F1090" s="6" t="s">
        <v>3546</v>
      </c>
      <c r="G1090" s="3" t="s">
        <v>11449</v>
      </c>
      <c r="H1090" s="54">
        <v>0.6</v>
      </c>
      <c r="I1090" s="16">
        <v>470000000</v>
      </c>
      <c r="J1090" s="157" t="s">
        <v>229</v>
      </c>
      <c r="K1090" s="5" t="s">
        <v>14715</v>
      </c>
      <c r="L1090" s="17" t="s">
        <v>11411</v>
      </c>
      <c r="M1090" s="3" t="s">
        <v>230</v>
      </c>
      <c r="N1090" s="6" t="s">
        <v>524</v>
      </c>
      <c r="O1090" s="6" t="s">
        <v>233</v>
      </c>
      <c r="P1090" s="58" t="s">
        <v>243</v>
      </c>
      <c r="Q1090" s="6" t="s">
        <v>244</v>
      </c>
      <c r="R1090" s="97">
        <v>718.07960000000003</v>
      </c>
      <c r="S1090" s="2">
        <v>402</v>
      </c>
      <c r="T1090" s="4">
        <v>0</v>
      </c>
      <c r="U1090" s="4">
        <f t="shared" si="38"/>
        <v>0</v>
      </c>
      <c r="V1090" s="3" t="s">
        <v>362</v>
      </c>
      <c r="W1090" s="3">
        <v>2014</v>
      </c>
      <c r="X1090" s="3" t="s">
        <v>17317</v>
      </c>
    </row>
    <row r="1091" spans="1:24" ht="89.25">
      <c r="A1091" s="3" t="s">
        <v>18101</v>
      </c>
      <c r="B1091" s="6" t="s">
        <v>361</v>
      </c>
      <c r="C1091" s="6" t="s">
        <v>3564</v>
      </c>
      <c r="D1091" s="6" t="s">
        <v>3550</v>
      </c>
      <c r="E1091" s="6" t="s">
        <v>3565</v>
      </c>
      <c r="F1091" s="6" t="s">
        <v>3546</v>
      </c>
      <c r="G1091" s="3" t="s">
        <v>11449</v>
      </c>
      <c r="H1091" s="54">
        <v>0.6</v>
      </c>
      <c r="I1091" s="16">
        <v>470000000</v>
      </c>
      <c r="J1091" s="157" t="s">
        <v>229</v>
      </c>
      <c r="K1091" s="5" t="s">
        <v>17401</v>
      </c>
      <c r="L1091" s="17" t="s">
        <v>11411</v>
      </c>
      <c r="M1091" s="3" t="s">
        <v>230</v>
      </c>
      <c r="N1091" s="6" t="s">
        <v>8914</v>
      </c>
      <c r="O1091" s="6" t="s">
        <v>233</v>
      </c>
      <c r="P1091" s="58" t="s">
        <v>243</v>
      </c>
      <c r="Q1091" s="6" t="s">
        <v>244</v>
      </c>
      <c r="R1091" s="97">
        <v>500</v>
      </c>
      <c r="S1091" s="2">
        <v>402</v>
      </c>
      <c r="T1091" s="4">
        <v>0</v>
      </c>
      <c r="U1091" s="4">
        <f t="shared" si="38"/>
        <v>0</v>
      </c>
      <c r="V1091" s="3" t="s">
        <v>362</v>
      </c>
      <c r="W1091" s="3">
        <v>2014</v>
      </c>
      <c r="X1091" s="3" t="s">
        <v>18825</v>
      </c>
    </row>
    <row r="1092" spans="1:24" ht="63.75">
      <c r="A1092" s="3" t="s">
        <v>18874</v>
      </c>
      <c r="B1092" s="6" t="s">
        <v>361</v>
      </c>
      <c r="C1092" s="6" t="s">
        <v>3564</v>
      </c>
      <c r="D1092" s="6" t="s">
        <v>3550</v>
      </c>
      <c r="E1092" s="6" t="s">
        <v>3565</v>
      </c>
      <c r="F1092" s="6" t="s">
        <v>3546</v>
      </c>
      <c r="G1092" s="3" t="s">
        <v>11449</v>
      </c>
      <c r="H1092" s="54">
        <v>0.6</v>
      </c>
      <c r="I1092" s="16">
        <v>470000000</v>
      </c>
      <c r="J1092" s="157" t="s">
        <v>229</v>
      </c>
      <c r="K1092" s="5" t="s">
        <v>18866</v>
      </c>
      <c r="L1092" s="17" t="s">
        <v>11411</v>
      </c>
      <c r="M1092" s="3" t="s">
        <v>230</v>
      </c>
      <c r="N1092" s="6" t="s">
        <v>8914</v>
      </c>
      <c r="O1092" s="6" t="s">
        <v>18767</v>
      </c>
      <c r="P1092" s="58" t="s">
        <v>243</v>
      </c>
      <c r="Q1092" s="6" t="s">
        <v>244</v>
      </c>
      <c r="R1092" s="97">
        <v>1200</v>
      </c>
      <c r="S1092" s="2">
        <v>402</v>
      </c>
      <c r="T1092" s="4">
        <f>R1092*S1092</f>
        <v>482400</v>
      </c>
      <c r="U1092" s="4">
        <f t="shared" si="38"/>
        <v>540288</v>
      </c>
      <c r="V1092" s="3" t="s">
        <v>362</v>
      </c>
      <c r="W1092" s="3">
        <v>2014</v>
      </c>
      <c r="X1092" s="3"/>
    </row>
    <row r="1093" spans="1:24" ht="102">
      <c r="A1093" s="3" t="s">
        <v>1030</v>
      </c>
      <c r="B1093" s="6" t="s">
        <v>361</v>
      </c>
      <c r="C1093" s="6" t="s">
        <v>3552</v>
      </c>
      <c r="D1093" s="6" t="s">
        <v>3550</v>
      </c>
      <c r="E1093" s="6" t="s">
        <v>3553</v>
      </c>
      <c r="F1093" s="6" t="s">
        <v>3547</v>
      </c>
      <c r="G1093" s="3" t="s">
        <v>11449</v>
      </c>
      <c r="H1093" s="54">
        <v>0.6</v>
      </c>
      <c r="I1093" s="16">
        <v>470000000</v>
      </c>
      <c r="J1093" s="157" t="s">
        <v>229</v>
      </c>
      <c r="K1093" s="5" t="s">
        <v>215</v>
      </c>
      <c r="L1093" s="6" t="s">
        <v>231</v>
      </c>
      <c r="M1093" s="3" t="s">
        <v>230</v>
      </c>
      <c r="N1093" s="6" t="s">
        <v>524</v>
      </c>
      <c r="O1093" s="6" t="s">
        <v>233</v>
      </c>
      <c r="P1093" s="58" t="s">
        <v>243</v>
      </c>
      <c r="Q1093" s="6" t="s">
        <v>244</v>
      </c>
      <c r="R1093" s="97">
        <v>600</v>
      </c>
      <c r="S1093" s="2">
        <v>335</v>
      </c>
      <c r="T1093" s="4">
        <v>0</v>
      </c>
      <c r="U1093" s="4">
        <f t="shared" si="38"/>
        <v>0</v>
      </c>
      <c r="V1093" s="3" t="s">
        <v>362</v>
      </c>
      <c r="W1093" s="3">
        <v>2014</v>
      </c>
      <c r="X1093" s="3">
        <v>11.12</v>
      </c>
    </row>
    <row r="1094" spans="1:24" ht="89.25">
      <c r="A1094" s="3" t="s">
        <v>11886</v>
      </c>
      <c r="B1094" s="6" t="s">
        <v>361</v>
      </c>
      <c r="C1094" s="6" t="s">
        <v>3552</v>
      </c>
      <c r="D1094" s="6" t="s">
        <v>3550</v>
      </c>
      <c r="E1094" s="6" t="s">
        <v>3553</v>
      </c>
      <c r="F1094" s="6" t="s">
        <v>3547</v>
      </c>
      <c r="G1094" s="3" t="s">
        <v>11449</v>
      </c>
      <c r="H1094" s="54">
        <v>0.6</v>
      </c>
      <c r="I1094" s="16">
        <v>470000000</v>
      </c>
      <c r="J1094" s="157" t="s">
        <v>229</v>
      </c>
      <c r="K1094" s="5" t="s">
        <v>210</v>
      </c>
      <c r="L1094" s="17" t="s">
        <v>11411</v>
      </c>
      <c r="M1094" s="3" t="s">
        <v>230</v>
      </c>
      <c r="N1094" s="6" t="s">
        <v>524</v>
      </c>
      <c r="O1094" s="6" t="s">
        <v>233</v>
      </c>
      <c r="P1094" s="58" t="s">
        <v>243</v>
      </c>
      <c r="Q1094" s="6" t="s">
        <v>244</v>
      </c>
      <c r="R1094" s="97">
        <v>600</v>
      </c>
      <c r="S1094" s="2">
        <v>335</v>
      </c>
      <c r="T1094" s="4">
        <v>0</v>
      </c>
      <c r="U1094" s="4">
        <f t="shared" si="38"/>
        <v>0</v>
      </c>
      <c r="V1094" s="3" t="s">
        <v>362</v>
      </c>
      <c r="W1094" s="3">
        <v>2014</v>
      </c>
      <c r="X1094" s="3" t="s">
        <v>12076</v>
      </c>
    </row>
    <row r="1095" spans="1:24" ht="102">
      <c r="A1095" s="3" t="s">
        <v>1031</v>
      </c>
      <c r="B1095" s="6" t="s">
        <v>361</v>
      </c>
      <c r="C1095" s="6" t="s">
        <v>3549</v>
      </c>
      <c r="D1095" s="6" t="s">
        <v>3550</v>
      </c>
      <c r="E1095" s="6" t="s">
        <v>3551</v>
      </c>
      <c r="F1095" s="6" t="s">
        <v>3548</v>
      </c>
      <c r="G1095" s="3" t="s">
        <v>11449</v>
      </c>
      <c r="H1095" s="54">
        <v>0.6</v>
      </c>
      <c r="I1095" s="16">
        <v>470000000</v>
      </c>
      <c r="J1095" s="157" t="s">
        <v>229</v>
      </c>
      <c r="K1095" s="5" t="s">
        <v>214</v>
      </c>
      <c r="L1095" s="6" t="s">
        <v>231</v>
      </c>
      <c r="M1095" s="3" t="s">
        <v>230</v>
      </c>
      <c r="N1095" s="6" t="s">
        <v>524</v>
      </c>
      <c r="O1095" s="6" t="s">
        <v>233</v>
      </c>
      <c r="P1095" s="58" t="s">
        <v>243</v>
      </c>
      <c r="Q1095" s="6" t="s">
        <v>244</v>
      </c>
      <c r="R1095" s="97">
        <v>200</v>
      </c>
      <c r="S1095" s="2">
        <v>335</v>
      </c>
      <c r="T1095" s="4">
        <v>0</v>
      </c>
      <c r="U1095" s="4">
        <f t="shared" si="38"/>
        <v>0</v>
      </c>
      <c r="V1095" s="3" t="s">
        <v>362</v>
      </c>
      <c r="W1095" s="3">
        <v>2014</v>
      </c>
      <c r="X1095" s="3">
        <v>11.12</v>
      </c>
    </row>
    <row r="1096" spans="1:24" ht="89.25">
      <c r="A1096" s="3" t="s">
        <v>11887</v>
      </c>
      <c r="B1096" s="6" t="s">
        <v>361</v>
      </c>
      <c r="C1096" s="6" t="s">
        <v>3549</v>
      </c>
      <c r="D1096" s="6" t="s">
        <v>3550</v>
      </c>
      <c r="E1096" s="6" t="s">
        <v>3551</v>
      </c>
      <c r="F1096" s="6" t="s">
        <v>3548</v>
      </c>
      <c r="G1096" s="3" t="s">
        <v>11449</v>
      </c>
      <c r="H1096" s="54">
        <v>0.6</v>
      </c>
      <c r="I1096" s="16">
        <v>470000000</v>
      </c>
      <c r="J1096" s="157" t="s">
        <v>229</v>
      </c>
      <c r="K1096" s="5" t="s">
        <v>210</v>
      </c>
      <c r="L1096" s="17" t="s">
        <v>11411</v>
      </c>
      <c r="M1096" s="3" t="s">
        <v>230</v>
      </c>
      <c r="N1096" s="6" t="s">
        <v>524</v>
      </c>
      <c r="O1096" s="6" t="s">
        <v>233</v>
      </c>
      <c r="P1096" s="58" t="s">
        <v>243</v>
      </c>
      <c r="Q1096" s="6" t="s">
        <v>244</v>
      </c>
      <c r="R1096" s="97">
        <v>200</v>
      </c>
      <c r="S1096" s="2">
        <v>335</v>
      </c>
      <c r="T1096" s="4">
        <v>0</v>
      </c>
      <c r="U1096" s="4">
        <f t="shared" si="38"/>
        <v>0</v>
      </c>
      <c r="V1096" s="3" t="s">
        <v>362</v>
      </c>
      <c r="W1096" s="3">
        <v>2014</v>
      </c>
      <c r="X1096" s="3" t="s">
        <v>12051</v>
      </c>
    </row>
    <row r="1097" spans="1:24" ht="89.25">
      <c r="A1097" s="3" t="s">
        <v>14718</v>
      </c>
      <c r="B1097" s="6" t="s">
        <v>361</v>
      </c>
      <c r="C1097" s="6" t="s">
        <v>3549</v>
      </c>
      <c r="D1097" s="6" t="s">
        <v>3550</v>
      </c>
      <c r="E1097" s="6" t="s">
        <v>3551</v>
      </c>
      <c r="F1097" s="6" t="s">
        <v>3548</v>
      </c>
      <c r="G1097" s="3" t="s">
        <v>11449</v>
      </c>
      <c r="H1097" s="54">
        <v>0.6</v>
      </c>
      <c r="I1097" s="16">
        <v>470000000</v>
      </c>
      <c r="J1097" s="157" t="s">
        <v>229</v>
      </c>
      <c r="K1097" s="5" t="s">
        <v>14715</v>
      </c>
      <c r="L1097" s="17" t="s">
        <v>11411</v>
      </c>
      <c r="M1097" s="3" t="s">
        <v>230</v>
      </c>
      <c r="N1097" s="6" t="s">
        <v>524</v>
      </c>
      <c r="O1097" s="6" t="s">
        <v>233</v>
      </c>
      <c r="P1097" s="58" t="s">
        <v>243</v>
      </c>
      <c r="Q1097" s="6" t="s">
        <v>244</v>
      </c>
      <c r="R1097" s="97">
        <v>515.49199999999996</v>
      </c>
      <c r="S1097" s="2">
        <v>402</v>
      </c>
      <c r="T1097" s="4">
        <v>0</v>
      </c>
      <c r="U1097" s="4">
        <f t="shared" si="38"/>
        <v>0</v>
      </c>
      <c r="V1097" s="3" t="s">
        <v>362</v>
      </c>
      <c r="W1097" s="3">
        <v>2014</v>
      </c>
      <c r="X1097" s="3" t="s">
        <v>17317</v>
      </c>
    </row>
    <row r="1098" spans="1:24" ht="89.25">
      <c r="A1098" s="3" t="s">
        <v>18102</v>
      </c>
      <c r="B1098" s="6" t="s">
        <v>361</v>
      </c>
      <c r="C1098" s="6" t="s">
        <v>3549</v>
      </c>
      <c r="D1098" s="6" t="s">
        <v>3550</v>
      </c>
      <c r="E1098" s="6" t="s">
        <v>3551</v>
      </c>
      <c r="F1098" s="6" t="s">
        <v>3548</v>
      </c>
      <c r="G1098" s="3" t="s">
        <v>11449</v>
      </c>
      <c r="H1098" s="54">
        <v>0.6</v>
      </c>
      <c r="I1098" s="16">
        <v>470000000</v>
      </c>
      <c r="J1098" s="157" t="s">
        <v>229</v>
      </c>
      <c r="K1098" s="5" t="s">
        <v>17401</v>
      </c>
      <c r="L1098" s="17" t="s">
        <v>11411</v>
      </c>
      <c r="M1098" s="3" t="s">
        <v>230</v>
      </c>
      <c r="N1098" s="6" t="s">
        <v>8914</v>
      </c>
      <c r="O1098" s="6" t="s">
        <v>233</v>
      </c>
      <c r="P1098" s="58" t="s">
        <v>243</v>
      </c>
      <c r="Q1098" s="6" t="s">
        <v>244</v>
      </c>
      <c r="R1098" s="97">
        <v>400</v>
      </c>
      <c r="S1098" s="2">
        <v>402</v>
      </c>
      <c r="T1098" s="4">
        <v>0</v>
      </c>
      <c r="U1098" s="4">
        <f t="shared" si="38"/>
        <v>0</v>
      </c>
      <c r="V1098" s="3" t="s">
        <v>362</v>
      </c>
      <c r="W1098" s="3">
        <v>2014</v>
      </c>
      <c r="X1098" s="3" t="s">
        <v>18825</v>
      </c>
    </row>
    <row r="1099" spans="1:24" ht="63.75">
      <c r="A1099" s="3" t="s">
        <v>18872</v>
      </c>
      <c r="B1099" s="6" t="s">
        <v>361</v>
      </c>
      <c r="C1099" s="6" t="s">
        <v>3549</v>
      </c>
      <c r="D1099" s="6" t="s">
        <v>3550</v>
      </c>
      <c r="E1099" s="6" t="s">
        <v>3551</v>
      </c>
      <c r="F1099" s="6" t="s">
        <v>3548</v>
      </c>
      <c r="G1099" s="3" t="s">
        <v>11449</v>
      </c>
      <c r="H1099" s="54">
        <v>0.6</v>
      </c>
      <c r="I1099" s="16">
        <v>470000000</v>
      </c>
      <c r="J1099" s="157" t="s">
        <v>229</v>
      </c>
      <c r="K1099" s="5" t="s">
        <v>18866</v>
      </c>
      <c r="L1099" s="17" t="s">
        <v>11411</v>
      </c>
      <c r="M1099" s="3" t="s">
        <v>230</v>
      </c>
      <c r="N1099" s="6" t="s">
        <v>8914</v>
      </c>
      <c r="O1099" s="6" t="s">
        <v>18767</v>
      </c>
      <c r="P1099" s="58" t="s">
        <v>243</v>
      </c>
      <c r="Q1099" s="6" t="s">
        <v>244</v>
      </c>
      <c r="R1099" s="97">
        <v>700</v>
      </c>
      <c r="S1099" s="2">
        <v>402</v>
      </c>
      <c r="T1099" s="4">
        <f>R1099*S1099</f>
        <v>281400</v>
      </c>
      <c r="U1099" s="4">
        <f t="shared" si="38"/>
        <v>315168.00000000006</v>
      </c>
      <c r="V1099" s="3" t="s">
        <v>362</v>
      </c>
      <c r="W1099" s="3">
        <v>2014</v>
      </c>
      <c r="X1099" s="3"/>
    </row>
    <row r="1100" spans="1:24" ht="102">
      <c r="A1100" s="3" t="s">
        <v>1032</v>
      </c>
      <c r="B1100" s="6" t="s">
        <v>361</v>
      </c>
      <c r="C1100" s="6" t="s">
        <v>3570</v>
      </c>
      <c r="D1100" s="6" t="s">
        <v>3550</v>
      </c>
      <c r="E1100" s="6" t="s">
        <v>3571</v>
      </c>
      <c r="F1100" s="6" t="s">
        <v>3569</v>
      </c>
      <c r="G1100" s="3" t="s">
        <v>11449</v>
      </c>
      <c r="H1100" s="54">
        <v>0</v>
      </c>
      <c r="I1100" s="16">
        <v>470000000</v>
      </c>
      <c r="J1100" s="157" t="s">
        <v>229</v>
      </c>
      <c r="K1100" s="5" t="s">
        <v>210</v>
      </c>
      <c r="L1100" s="6" t="s">
        <v>231</v>
      </c>
      <c r="M1100" s="3" t="s">
        <v>230</v>
      </c>
      <c r="N1100" s="6" t="s">
        <v>524</v>
      </c>
      <c r="O1100" s="6" t="s">
        <v>233</v>
      </c>
      <c r="P1100" s="58" t="s">
        <v>243</v>
      </c>
      <c r="Q1100" s="6" t="s">
        <v>244</v>
      </c>
      <c r="R1100" s="97">
        <v>1500</v>
      </c>
      <c r="S1100" s="2">
        <v>3000</v>
      </c>
      <c r="T1100" s="4">
        <v>0</v>
      </c>
      <c r="U1100" s="4">
        <f t="shared" si="38"/>
        <v>0</v>
      </c>
      <c r="V1100" s="3" t="s">
        <v>362</v>
      </c>
      <c r="W1100" s="3">
        <v>2014</v>
      </c>
      <c r="X1100" s="3">
        <v>11.12</v>
      </c>
    </row>
    <row r="1101" spans="1:24" ht="89.25">
      <c r="A1101" s="3" t="s">
        <v>12214</v>
      </c>
      <c r="B1101" s="6" t="s">
        <v>361</v>
      </c>
      <c r="C1101" s="6" t="s">
        <v>3570</v>
      </c>
      <c r="D1101" s="6" t="s">
        <v>3550</v>
      </c>
      <c r="E1101" s="6" t="s">
        <v>3571</v>
      </c>
      <c r="F1101" s="6" t="s">
        <v>3569</v>
      </c>
      <c r="G1101" s="3" t="s">
        <v>11449</v>
      </c>
      <c r="H1101" s="54">
        <v>0</v>
      </c>
      <c r="I1101" s="16">
        <v>470000000</v>
      </c>
      <c r="J1101" s="157" t="s">
        <v>229</v>
      </c>
      <c r="K1101" s="5" t="s">
        <v>12120</v>
      </c>
      <c r="L1101" s="17" t="s">
        <v>11411</v>
      </c>
      <c r="M1101" s="3" t="s">
        <v>230</v>
      </c>
      <c r="N1101" s="6" t="s">
        <v>524</v>
      </c>
      <c r="O1101" s="6" t="s">
        <v>233</v>
      </c>
      <c r="P1101" s="58" t="s">
        <v>243</v>
      </c>
      <c r="Q1101" s="6" t="s">
        <v>244</v>
      </c>
      <c r="R1101" s="97">
        <v>1500</v>
      </c>
      <c r="S1101" s="2">
        <v>3000</v>
      </c>
      <c r="T1101" s="4">
        <v>0</v>
      </c>
      <c r="U1101" s="4">
        <f t="shared" si="38"/>
        <v>0</v>
      </c>
      <c r="V1101" s="3" t="s">
        <v>362</v>
      </c>
      <c r="W1101" s="3">
        <v>2014</v>
      </c>
      <c r="X1101" s="3" t="s">
        <v>12076</v>
      </c>
    </row>
    <row r="1102" spans="1:24" ht="102">
      <c r="A1102" s="3" t="s">
        <v>1033</v>
      </c>
      <c r="B1102" s="6" t="s">
        <v>361</v>
      </c>
      <c r="C1102" s="6" t="s">
        <v>3570</v>
      </c>
      <c r="D1102" s="6" t="s">
        <v>3550</v>
      </c>
      <c r="E1102" s="6" t="s">
        <v>3571</v>
      </c>
      <c r="F1102" s="6" t="s">
        <v>3572</v>
      </c>
      <c r="G1102" s="3" t="s">
        <v>11449</v>
      </c>
      <c r="H1102" s="54">
        <v>0</v>
      </c>
      <c r="I1102" s="16">
        <v>470000000</v>
      </c>
      <c r="J1102" s="157" t="s">
        <v>229</v>
      </c>
      <c r="K1102" s="5" t="s">
        <v>210</v>
      </c>
      <c r="L1102" s="6" t="s">
        <v>231</v>
      </c>
      <c r="M1102" s="3" t="s">
        <v>230</v>
      </c>
      <c r="N1102" s="6" t="s">
        <v>524</v>
      </c>
      <c r="O1102" s="6" t="s">
        <v>233</v>
      </c>
      <c r="P1102" s="58" t="s">
        <v>243</v>
      </c>
      <c r="Q1102" s="6" t="s">
        <v>244</v>
      </c>
      <c r="R1102" s="97">
        <v>750</v>
      </c>
      <c r="S1102" s="2">
        <v>3000</v>
      </c>
      <c r="T1102" s="4">
        <v>0</v>
      </c>
      <c r="U1102" s="4">
        <f t="shared" si="38"/>
        <v>0</v>
      </c>
      <c r="V1102" s="3" t="s">
        <v>362</v>
      </c>
      <c r="W1102" s="3">
        <v>2014</v>
      </c>
      <c r="X1102" s="3">
        <v>11.12</v>
      </c>
    </row>
    <row r="1103" spans="1:24" ht="89.25">
      <c r="A1103" s="3" t="s">
        <v>12215</v>
      </c>
      <c r="B1103" s="6" t="s">
        <v>361</v>
      </c>
      <c r="C1103" s="6" t="s">
        <v>3570</v>
      </c>
      <c r="D1103" s="6" t="s">
        <v>3550</v>
      </c>
      <c r="E1103" s="6" t="s">
        <v>3571</v>
      </c>
      <c r="F1103" s="6" t="s">
        <v>3572</v>
      </c>
      <c r="G1103" s="3" t="s">
        <v>11449</v>
      </c>
      <c r="H1103" s="54">
        <v>0</v>
      </c>
      <c r="I1103" s="16">
        <v>470000000</v>
      </c>
      <c r="J1103" s="157" t="s">
        <v>229</v>
      </c>
      <c r="K1103" s="5" t="s">
        <v>12120</v>
      </c>
      <c r="L1103" s="17" t="s">
        <v>11411</v>
      </c>
      <c r="M1103" s="3" t="s">
        <v>230</v>
      </c>
      <c r="N1103" s="6" t="s">
        <v>524</v>
      </c>
      <c r="O1103" s="6" t="s">
        <v>233</v>
      </c>
      <c r="P1103" s="58" t="s">
        <v>243</v>
      </c>
      <c r="Q1103" s="6" t="s">
        <v>244</v>
      </c>
      <c r="R1103" s="97">
        <v>750</v>
      </c>
      <c r="S1103" s="2">
        <v>3000</v>
      </c>
      <c r="T1103" s="4">
        <v>0</v>
      </c>
      <c r="U1103" s="4">
        <f t="shared" si="38"/>
        <v>0</v>
      </c>
      <c r="V1103" s="3" t="s">
        <v>362</v>
      </c>
      <c r="W1103" s="3">
        <v>2014</v>
      </c>
      <c r="X1103" s="3" t="s">
        <v>12076</v>
      </c>
    </row>
    <row r="1104" spans="1:24" ht="102">
      <c r="A1104" s="3" t="s">
        <v>1034</v>
      </c>
      <c r="B1104" s="6" t="s">
        <v>361</v>
      </c>
      <c r="C1104" s="6" t="s">
        <v>3581</v>
      </c>
      <c r="D1104" s="6" t="s">
        <v>3582</v>
      </c>
      <c r="E1104" s="6" t="s">
        <v>3583</v>
      </c>
      <c r="F1104" s="6" t="s">
        <v>3573</v>
      </c>
      <c r="G1104" s="3" t="s">
        <v>11449</v>
      </c>
      <c r="H1104" s="54">
        <v>0</v>
      </c>
      <c r="I1104" s="16">
        <v>470000000</v>
      </c>
      <c r="J1104" s="157" t="s">
        <v>229</v>
      </c>
      <c r="K1104" s="5" t="s">
        <v>210</v>
      </c>
      <c r="L1104" s="6" t="s">
        <v>231</v>
      </c>
      <c r="M1104" s="3" t="s">
        <v>230</v>
      </c>
      <c r="N1104" s="6" t="s">
        <v>524</v>
      </c>
      <c r="O1104" s="6" t="s">
        <v>233</v>
      </c>
      <c r="P1104" s="58" t="s">
        <v>243</v>
      </c>
      <c r="Q1104" s="6" t="s">
        <v>244</v>
      </c>
      <c r="R1104" s="97">
        <v>1000</v>
      </c>
      <c r="S1104" s="2">
        <v>1315</v>
      </c>
      <c r="T1104" s="4">
        <v>0</v>
      </c>
      <c r="U1104" s="4">
        <f t="shared" si="38"/>
        <v>0</v>
      </c>
      <c r="V1104" s="3" t="s">
        <v>362</v>
      </c>
      <c r="W1104" s="3">
        <v>2014</v>
      </c>
      <c r="X1104" s="3">
        <v>11.12</v>
      </c>
    </row>
    <row r="1105" spans="1:24" ht="89.25">
      <c r="A1105" s="3" t="s">
        <v>12216</v>
      </c>
      <c r="B1105" s="6" t="s">
        <v>361</v>
      </c>
      <c r="C1105" s="6" t="s">
        <v>3581</v>
      </c>
      <c r="D1105" s="6" t="s">
        <v>3582</v>
      </c>
      <c r="E1105" s="6" t="s">
        <v>3583</v>
      </c>
      <c r="F1105" s="6" t="s">
        <v>3573</v>
      </c>
      <c r="G1105" s="3" t="s">
        <v>11449</v>
      </c>
      <c r="H1105" s="54">
        <v>0</v>
      </c>
      <c r="I1105" s="16">
        <v>470000000</v>
      </c>
      <c r="J1105" s="157" t="s">
        <v>229</v>
      </c>
      <c r="K1105" s="5" t="s">
        <v>12120</v>
      </c>
      <c r="L1105" s="17" t="s">
        <v>11411</v>
      </c>
      <c r="M1105" s="3" t="s">
        <v>230</v>
      </c>
      <c r="N1105" s="6" t="s">
        <v>524</v>
      </c>
      <c r="O1105" s="6" t="s">
        <v>233</v>
      </c>
      <c r="P1105" s="58" t="s">
        <v>243</v>
      </c>
      <c r="Q1105" s="6" t="s">
        <v>244</v>
      </c>
      <c r="R1105" s="97">
        <v>1000</v>
      </c>
      <c r="S1105" s="2">
        <v>1315</v>
      </c>
      <c r="T1105" s="4">
        <v>0</v>
      </c>
      <c r="U1105" s="4">
        <f t="shared" si="38"/>
        <v>0</v>
      </c>
      <c r="V1105" s="3" t="s">
        <v>362</v>
      </c>
      <c r="W1105" s="3">
        <v>2014</v>
      </c>
      <c r="X1105" s="3" t="s">
        <v>12076</v>
      </c>
    </row>
    <row r="1106" spans="1:24" ht="102">
      <c r="A1106" s="3" t="s">
        <v>1035</v>
      </c>
      <c r="B1106" s="6" t="s">
        <v>361</v>
      </c>
      <c r="C1106" s="6" t="s">
        <v>3584</v>
      </c>
      <c r="D1106" s="6" t="s">
        <v>3585</v>
      </c>
      <c r="E1106" s="6" t="s">
        <v>3586</v>
      </c>
      <c r="F1106" s="6" t="s">
        <v>3574</v>
      </c>
      <c r="G1106" s="3" t="s">
        <v>11449</v>
      </c>
      <c r="H1106" s="54">
        <v>0</v>
      </c>
      <c r="I1106" s="16">
        <v>470000000</v>
      </c>
      <c r="J1106" s="157" t="s">
        <v>229</v>
      </c>
      <c r="K1106" s="5" t="s">
        <v>210</v>
      </c>
      <c r="L1106" s="6" t="s">
        <v>231</v>
      </c>
      <c r="M1106" s="3" t="s">
        <v>230</v>
      </c>
      <c r="N1106" s="6" t="s">
        <v>524</v>
      </c>
      <c r="O1106" s="6" t="s">
        <v>233</v>
      </c>
      <c r="P1106" s="58" t="s">
        <v>243</v>
      </c>
      <c r="Q1106" s="6" t="s">
        <v>244</v>
      </c>
      <c r="R1106" s="97">
        <v>2000</v>
      </c>
      <c r="S1106" s="2">
        <v>3000</v>
      </c>
      <c r="T1106" s="4">
        <v>0</v>
      </c>
      <c r="U1106" s="4">
        <f t="shared" si="38"/>
        <v>0</v>
      </c>
      <c r="V1106" s="3" t="s">
        <v>362</v>
      </c>
      <c r="W1106" s="3">
        <v>2014</v>
      </c>
      <c r="X1106" s="3">
        <v>11.12</v>
      </c>
    </row>
    <row r="1107" spans="1:24" ht="89.25">
      <c r="A1107" s="3" t="s">
        <v>12217</v>
      </c>
      <c r="B1107" s="6" t="s">
        <v>361</v>
      </c>
      <c r="C1107" s="6" t="s">
        <v>3584</v>
      </c>
      <c r="D1107" s="6" t="s">
        <v>3585</v>
      </c>
      <c r="E1107" s="6" t="s">
        <v>3586</v>
      </c>
      <c r="F1107" s="6" t="s">
        <v>3574</v>
      </c>
      <c r="G1107" s="3" t="s">
        <v>11449</v>
      </c>
      <c r="H1107" s="54">
        <v>0</v>
      </c>
      <c r="I1107" s="16">
        <v>470000000</v>
      </c>
      <c r="J1107" s="157" t="s">
        <v>229</v>
      </c>
      <c r="K1107" s="5" t="s">
        <v>12120</v>
      </c>
      <c r="L1107" s="17" t="s">
        <v>11411</v>
      </c>
      <c r="M1107" s="3" t="s">
        <v>230</v>
      </c>
      <c r="N1107" s="6" t="s">
        <v>524</v>
      </c>
      <c r="O1107" s="6" t="s">
        <v>233</v>
      </c>
      <c r="P1107" s="58" t="s">
        <v>243</v>
      </c>
      <c r="Q1107" s="6" t="s">
        <v>244</v>
      </c>
      <c r="R1107" s="97">
        <v>2000</v>
      </c>
      <c r="S1107" s="2">
        <v>3000</v>
      </c>
      <c r="T1107" s="4">
        <v>0</v>
      </c>
      <c r="U1107" s="4">
        <f t="shared" si="38"/>
        <v>0</v>
      </c>
      <c r="V1107" s="3" t="s">
        <v>362</v>
      </c>
      <c r="W1107" s="3">
        <v>2014</v>
      </c>
      <c r="X1107" s="3" t="s">
        <v>12051</v>
      </c>
    </row>
    <row r="1108" spans="1:24" ht="89.25">
      <c r="A1108" s="3" t="s">
        <v>14719</v>
      </c>
      <c r="B1108" s="6" t="s">
        <v>361</v>
      </c>
      <c r="C1108" s="6" t="s">
        <v>3584</v>
      </c>
      <c r="D1108" s="6" t="s">
        <v>3585</v>
      </c>
      <c r="E1108" s="6" t="s">
        <v>3586</v>
      </c>
      <c r="F1108" s="6" t="s">
        <v>3574</v>
      </c>
      <c r="G1108" s="3" t="s">
        <v>11449</v>
      </c>
      <c r="H1108" s="54">
        <v>0</v>
      </c>
      <c r="I1108" s="16">
        <v>470000000</v>
      </c>
      <c r="J1108" s="157" t="s">
        <v>229</v>
      </c>
      <c r="K1108" s="5" t="s">
        <v>14639</v>
      </c>
      <c r="L1108" s="17" t="s">
        <v>11411</v>
      </c>
      <c r="M1108" s="3" t="s">
        <v>230</v>
      </c>
      <c r="N1108" s="6" t="s">
        <v>524</v>
      </c>
      <c r="O1108" s="6" t="s">
        <v>233</v>
      </c>
      <c r="P1108" s="58" t="s">
        <v>243</v>
      </c>
      <c r="Q1108" s="6" t="s">
        <v>244</v>
      </c>
      <c r="R1108" s="97">
        <v>5502</v>
      </c>
      <c r="S1108" s="2">
        <v>4000</v>
      </c>
      <c r="T1108" s="4">
        <v>0</v>
      </c>
      <c r="U1108" s="4">
        <f t="shared" si="38"/>
        <v>0</v>
      </c>
      <c r="V1108" s="3" t="s">
        <v>362</v>
      </c>
      <c r="W1108" s="3">
        <v>2014</v>
      </c>
      <c r="X1108" s="3" t="s">
        <v>12076</v>
      </c>
    </row>
    <row r="1109" spans="1:24" ht="102">
      <c r="A1109" s="3" t="s">
        <v>1036</v>
      </c>
      <c r="B1109" s="6" t="s">
        <v>361</v>
      </c>
      <c r="C1109" s="6" t="s">
        <v>3570</v>
      </c>
      <c r="D1109" s="6" t="s">
        <v>3550</v>
      </c>
      <c r="E1109" s="6" t="s">
        <v>3571</v>
      </c>
      <c r="F1109" s="6" t="s">
        <v>3575</v>
      </c>
      <c r="G1109" s="3" t="s">
        <v>11449</v>
      </c>
      <c r="H1109" s="54">
        <v>0</v>
      </c>
      <c r="I1109" s="16">
        <v>470000000</v>
      </c>
      <c r="J1109" s="157" t="s">
        <v>229</v>
      </c>
      <c r="K1109" s="5" t="s">
        <v>210</v>
      </c>
      <c r="L1109" s="6" t="s">
        <v>231</v>
      </c>
      <c r="M1109" s="3" t="s">
        <v>230</v>
      </c>
      <c r="N1109" s="6" t="s">
        <v>524</v>
      </c>
      <c r="O1109" s="6" t="s">
        <v>233</v>
      </c>
      <c r="P1109" s="58" t="s">
        <v>243</v>
      </c>
      <c r="Q1109" s="6" t="s">
        <v>244</v>
      </c>
      <c r="R1109" s="1">
        <v>4000</v>
      </c>
      <c r="S1109" s="2">
        <v>3000</v>
      </c>
      <c r="T1109" s="4">
        <v>0</v>
      </c>
      <c r="U1109" s="4">
        <f t="shared" si="38"/>
        <v>0</v>
      </c>
      <c r="V1109" s="3" t="s">
        <v>362</v>
      </c>
      <c r="W1109" s="3">
        <v>2014</v>
      </c>
      <c r="X1109" s="3">
        <v>11.12</v>
      </c>
    </row>
    <row r="1110" spans="1:24" ht="89.25">
      <c r="A1110" s="3" t="s">
        <v>12218</v>
      </c>
      <c r="B1110" s="6" t="s">
        <v>361</v>
      </c>
      <c r="C1110" s="6" t="s">
        <v>3570</v>
      </c>
      <c r="D1110" s="6" t="s">
        <v>3550</v>
      </c>
      <c r="E1110" s="6" t="s">
        <v>3571</v>
      </c>
      <c r="F1110" s="6" t="s">
        <v>3575</v>
      </c>
      <c r="G1110" s="3" t="s">
        <v>11449</v>
      </c>
      <c r="H1110" s="54">
        <v>0</v>
      </c>
      <c r="I1110" s="16">
        <v>470000000</v>
      </c>
      <c r="J1110" s="157" t="s">
        <v>229</v>
      </c>
      <c r="K1110" s="5" t="s">
        <v>12120</v>
      </c>
      <c r="L1110" s="17" t="s">
        <v>11411</v>
      </c>
      <c r="M1110" s="3" t="s">
        <v>230</v>
      </c>
      <c r="N1110" s="6" t="s">
        <v>524</v>
      </c>
      <c r="O1110" s="6" t="s">
        <v>233</v>
      </c>
      <c r="P1110" s="58" t="s">
        <v>243</v>
      </c>
      <c r="Q1110" s="6" t="s">
        <v>244</v>
      </c>
      <c r="R1110" s="1">
        <v>4000</v>
      </c>
      <c r="S1110" s="2">
        <v>3000</v>
      </c>
      <c r="T1110" s="4">
        <v>0</v>
      </c>
      <c r="U1110" s="4">
        <f t="shared" si="38"/>
        <v>0</v>
      </c>
      <c r="V1110" s="3" t="s">
        <v>362</v>
      </c>
      <c r="W1110" s="3">
        <v>2014</v>
      </c>
      <c r="X1110" s="3">
        <v>11</v>
      </c>
    </row>
    <row r="1111" spans="1:24" ht="89.25">
      <c r="A1111" s="3" t="s">
        <v>15859</v>
      </c>
      <c r="B1111" s="6" t="s">
        <v>361</v>
      </c>
      <c r="C1111" s="6" t="s">
        <v>3570</v>
      </c>
      <c r="D1111" s="6" t="s">
        <v>3550</v>
      </c>
      <c r="E1111" s="6" t="s">
        <v>3571</v>
      </c>
      <c r="F1111" s="6" t="s">
        <v>3575</v>
      </c>
      <c r="G1111" s="3" t="s">
        <v>11449</v>
      </c>
      <c r="H1111" s="54">
        <v>0</v>
      </c>
      <c r="I1111" s="16">
        <v>470000000</v>
      </c>
      <c r="J1111" s="157" t="s">
        <v>229</v>
      </c>
      <c r="K1111" s="5" t="s">
        <v>14811</v>
      </c>
      <c r="L1111" s="17" t="s">
        <v>11411</v>
      </c>
      <c r="M1111" s="3" t="s">
        <v>230</v>
      </c>
      <c r="N1111" s="6" t="s">
        <v>524</v>
      </c>
      <c r="O1111" s="6" t="s">
        <v>233</v>
      </c>
      <c r="P1111" s="58" t="s">
        <v>243</v>
      </c>
      <c r="Q1111" s="6" t="s">
        <v>244</v>
      </c>
      <c r="R1111" s="1">
        <v>4000</v>
      </c>
      <c r="S1111" s="2">
        <v>3000</v>
      </c>
      <c r="T1111" s="4">
        <v>0</v>
      </c>
      <c r="U1111" s="4">
        <f>T1111*1.12</f>
        <v>0</v>
      </c>
      <c r="V1111" s="3" t="s">
        <v>362</v>
      </c>
      <c r="W1111" s="3">
        <v>2014</v>
      </c>
      <c r="X1111" s="3" t="s">
        <v>12076</v>
      </c>
    </row>
    <row r="1112" spans="1:24" s="268" customFormat="1" ht="102">
      <c r="A1112" s="3" t="s">
        <v>1037</v>
      </c>
      <c r="B1112" s="6" t="s">
        <v>361</v>
      </c>
      <c r="C1112" s="6" t="s">
        <v>3576</v>
      </c>
      <c r="D1112" s="6" t="s">
        <v>3577</v>
      </c>
      <c r="E1112" s="6" t="s">
        <v>3578</v>
      </c>
      <c r="F1112" s="3" t="s">
        <v>165</v>
      </c>
      <c r="G1112" s="3" t="s">
        <v>11449</v>
      </c>
      <c r="H1112" s="54">
        <v>0</v>
      </c>
      <c r="I1112" s="16">
        <v>470000000</v>
      </c>
      <c r="J1112" s="157" t="s">
        <v>229</v>
      </c>
      <c r="K1112" s="5" t="s">
        <v>210</v>
      </c>
      <c r="L1112" s="6" t="s">
        <v>231</v>
      </c>
      <c r="M1112" s="3" t="s">
        <v>230</v>
      </c>
      <c r="N1112" s="6" t="s">
        <v>524</v>
      </c>
      <c r="O1112" s="6" t="s">
        <v>233</v>
      </c>
      <c r="P1112" s="58" t="s">
        <v>243</v>
      </c>
      <c r="Q1112" s="6" t="s">
        <v>244</v>
      </c>
      <c r="R1112" s="97">
        <v>210</v>
      </c>
      <c r="S1112" s="2">
        <v>3000</v>
      </c>
      <c r="T1112" s="4">
        <v>0</v>
      </c>
      <c r="U1112" s="4">
        <f t="shared" si="38"/>
        <v>0</v>
      </c>
      <c r="V1112" s="3" t="s">
        <v>362</v>
      </c>
      <c r="W1112" s="3">
        <v>2014</v>
      </c>
      <c r="X1112" s="3">
        <v>11.12</v>
      </c>
    </row>
    <row r="1113" spans="1:24" s="268" customFormat="1" ht="89.25">
      <c r="A1113" s="3" t="s">
        <v>12219</v>
      </c>
      <c r="B1113" s="6" t="s">
        <v>361</v>
      </c>
      <c r="C1113" s="6" t="s">
        <v>3576</v>
      </c>
      <c r="D1113" s="6" t="s">
        <v>3577</v>
      </c>
      <c r="E1113" s="6" t="s">
        <v>3578</v>
      </c>
      <c r="F1113" s="3" t="s">
        <v>165</v>
      </c>
      <c r="G1113" s="3" t="s">
        <v>11449</v>
      </c>
      <c r="H1113" s="54">
        <v>0</v>
      </c>
      <c r="I1113" s="16">
        <v>470000000</v>
      </c>
      <c r="J1113" s="157" t="s">
        <v>229</v>
      </c>
      <c r="K1113" s="5" t="s">
        <v>12120</v>
      </c>
      <c r="L1113" s="17" t="s">
        <v>11411</v>
      </c>
      <c r="M1113" s="3" t="s">
        <v>230</v>
      </c>
      <c r="N1113" s="6" t="s">
        <v>524</v>
      </c>
      <c r="O1113" s="6" t="s">
        <v>233</v>
      </c>
      <c r="P1113" s="58" t="s">
        <v>243</v>
      </c>
      <c r="Q1113" s="6" t="s">
        <v>244</v>
      </c>
      <c r="R1113" s="97">
        <v>210</v>
      </c>
      <c r="S1113" s="2">
        <v>3000</v>
      </c>
      <c r="T1113" s="4">
        <v>0</v>
      </c>
      <c r="U1113" s="4">
        <f t="shared" si="38"/>
        <v>0</v>
      </c>
      <c r="V1113" s="3" t="s">
        <v>362</v>
      </c>
      <c r="W1113" s="3">
        <v>2014</v>
      </c>
      <c r="X1113" s="3" t="s">
        <v>12076</v>
      </c>
    </row>
    <row r="1114" spans="1:24" s="268" customFormat="1" ht="102">
      <c r="A1114" s="3" t="s">
        <v>1038</v>
      </c>
      <c r="B1114" s="6" t="s">
        <v>361</v>
      </c>
      <c r="C1114" s="6" t="s">
        <v>3579</v>
      </c>
      <c r="D1114" s="6" t="s">
        <v>3550</v>
      </c>
      <c r="E1114" s="6" t="s">
        <v>3580</v>
      </c>
      <c r="F1114" s="3" t="s">
        <v>166</v>
      </c>
      <c r="G1114" s="3" t="s">
        <v>11449</v>
      </c>
      <c r="H1114" s="54">
        <v>0</v>
      </c>
      <c r="I1114" s="16">
        <v>470000000</v>
      </c>
      <c r="J1114" s="157" t="s">
        <v>229</v>
      </c>
      <c r="K1114" s="5" t="s">
        <v>210</v>
      </c>
      <c r="L1114" s="6" t="s">
        <v>231</v>
      </c>
      <c r="M1114" s="3" t="s">
        <v>230</v>
      </c>
      <c r="N1114" s="6" t="s">
        <v>524</v>
      </c>
      <c r="O1114" s="6" t="s">
        <v>233</v>
      </c>
      <c r="P1114" s="58" t="s">
        <v>243</v>
      </c>
      <c r="Q1114" s="6" t="s">
        <v>244</v>
      </c>
      <c r="R1114" s="97">
        <v>600</v>
      </c>
      <c r="S1114" s="2">
        <v>3000</v>
      </c>
      <c r="T1114" s="4">
        <v>0</v>
      </c>
      <c r="U1114" s="4">
        <f t="shared" si="38"/>
        <v>0</v>
      </c>
      <c r="V1114" s="3" t="s">
        <v>362</v>
      </c>
      <c r="W1114" s="3">
        <v>2014</v>
      </c>
      <c r="X1114" s="3">
        <v>11.12</v>
      </c>
    </row>
    <row r="1115" spans="1:24" s="268" customFormat="1" ht="89.25">
      <c r="A1115" s="3" t="s">
        <v>12220</v>
      </c>
      <c r="B1115" s="6" t="s">
        <v>361</v>
      </c>
      <c r="C1115" s="6" t="s">
        <v>3579</v>
      </c>
      <c r="D1115" s="6" t="s">
        <v>3550</v>
      </c>
      <c r="E1115" s="6" t="s">
        <v>3580</v>
      </c>
      <c r="F1115" s="3" t="s">
        <v>166</v>
      </c>
      <c r="G1115" s="3" t="s">
        <v>11449</v>
      </c>
      <c r="H1115" s="54">
        <v>0</v>
      </c>
      <c r="I1115" s="16">
        <v>470000000</v>
      </c>
      <c r="J1115" s="157" t="s">
        <v>229</v>
      </c>
      <c r="K1115" s="5" t="s">
        <v>12120</v>
      </c>
      <c r="L1115" s="17" t="s">
        <v>11411</v>
      </c>
      <c r="M1115" s="3" t="s">
        <v>230</v>
      </c>
      <c r="N1115" s="6" t="s">
        <v>524</v>
      </c>
      <c r="O1115" s="6" t="s">
        <v>233</v>
      </c>
      <c r="P1115" s="58" t="s">
        <v>243</v>
      </c>
      <c r="Q1115" s="6" t="s">
        <v>244</v>
      </c>
      <c r="R1115" s="97">
        <v>0</v>
      </c>
      <c r="S1115" s="2">
        <v>3000</v>
      </c>
      <c r="T1115" s="4">
        <f>R1115*S1115</f>
        <v>0</v>
      </c>
      <c r="U1115" s="4">
        <f t="shared" si="38"/>
        <v>0</v>
      </c>
      <c r="V1115" s="3" t="s">
        <v>362</v>
      </c>
      <c r="W1115" s="3">
        <v>2014</v>
      </c>
      <c r="X1115" s="3" t="s">
        <v>12076</v>
      </c>
    </row>
    <row r="1116" spans="1:24" ht="102">
      <c r="A1116" s="3" t="s">
        <v>1039</v>
      </c>
      <c r="B1116" s="6" t="s">
        <v>361</v>
      </c>
      <c r="C1116" s="6" t="s">
        <v>3566</v>
      </c>
      <c r="D1116" s="6" t="s">
        <v>3567</v>
      </c>
      <c r="E1116" s="6" t="s">
        <v>3568</v>
      </c>
      <c r="F1116" s="6" t="s">
        <v>167</v>
      </c>
      <c r="G1116" s="3" t="s">
        <v>11449</v>
      </c>
      <c r="H1116" s="54">
        <v>0</v>
      </c>
      <c r="I1116" s="16">
        <v>470000000</v>
      </c>
      <c r="J1116" s="157" t="s">
        <v>229</v>
      </c>
      <c r="K1116" s="5" t="s">
        <v>210</v>
      </c>
      <c r="L1116" s="6" t="s">
        <v>231</v>
      </c>
      <c r="M1116" s="3" t="s">
        <v>230</v>
      </c>
      <c r="N1116" s="6" t="s">
        <v>524</v>
      </c>
      <c r="O1116" s="6" t="s">
        <v>233</v>
      </c>
      <c r="P1116" s="58" t="s">
        <v>243</v>
      </c>
      <c r="Q1116" s="6" t="s">
        <v>244</v>
      </c>
      <c r="R1116" s="1">
        <v>1000</v>
      </c>
      <c r="S1116" s="2">
        <v>467</v>
      </c>
      <c r="T1116" s="4">
        <v>0</v>
      </c>
      <c r="U1116" s="4">
        <f t="shared" si="38"/>
        <v>0</v>
      </c>
      <c r="V1116" s="3" t="s">
        <v>362</v>
      </c>
      <c r="W1116" s="3">
        <v>2014</v>
      </c>
      <c r="X1116" s="3" t="s">
        <v>12051</v>
      </c>
    </row>
    <row r="1117" spans="1:24" ht="102">
      <c r="A1117" s="3" t="s">
        <v>14720</v>
      </c>
      <c r="B1117" s="6" t="s">
        <v>361</v>
      </c>
      <c r="C1117" s="6" t="s">
        <v>3566</v>
      </c>
      <c r="D1117" s="6" t="s">
        <v>3567</v>
      </c>
      <c r="E1117" s="6" t="s">
        <v>3568</v>
      </c>
      <c r="F1117" s="6" t="s">
        <v>167</v>
      </c>
      <c r="G1117" s="3" t="s">
        <v>11449</v>
      </c>
      <c r="H1117" s="54">
        <v>0</v>
      </c>
      <c r="I1117" s="16">
        <v>470000000</v>
      </c>
      <c r="J1117" s="157" t="s">
        <v>229</v>
      </c>
      <c r="K1117" s="5" t="s">
        <v>14721</v>
      </c>
      <c r="L1117" s="6" t="s">
        <v>231</v>
      </c>
      <c r="M1117" s="3" t="s">
        <v>230</v>
      </c>
      <c r="N1117" s="6" t="s">
        <v>524</v>
      </c>
      <c r="O1117" s="6" t="s">
        <v>233</v>
      </c>
      <c r="P1117" s="58" t="s">
        <v>243</v>
      </c>
      <c r="Q1117" s="6" t="s">
        <v>244</v>
      </c>
      <c r="R1117" s="1">
        <v>2349.9940000000001</v>
      </c>
      <c r="S1117" s="2">
        <v>560</v>
      </c>
      <c r="T1117" s="4">
        <v>0</v>
      </c>
      <c r="U1117" s="4">
        <f t="shared" si="38"/>
        <v>0</v>
      </c>
      <c r="V1117" s="3" t="s">
        <v>362</v>
      </c>
      <c r="W1117" s="3">
        <v>2014</v>
      </c>
      <c r="X1117" s="3">
        <v>7.11</v>
      </c>
    </row>
    <row r="1118" spans="1:24" ht="102">
      <c r="A1118" s="3" t="s">
        <v>18174</v>
      </c>
      <c r="B1118" s="6" t="s">
        <v>361</v>
      </c>
      <c r="C1118" s="6" t="s">
        <v>3566</v>
      </c>
      <c r="D1118" s="6" t="s">
        <v>3567</v>
      </c>
      <c r="E1118" s="6" t="s">
        <v>3568</v>
      </c>
      <c r="F1118" s="6" t="s">
        <v>167</v>
      </c>
      <c r="G1118" s="3" t="s">
        <v>11450</v>
      </c>
      <c r="H1118" s="54">
        <v>0</v>
      </c>
      <c r="I1118" s="16">
        <v>470000000</v>
      </c>
      <c r="J1118" s="157" t="s">
        <v>229</v>
      </c>
      <c r="K1118" s="5" t="s">
        <v>8950</v>
      </c>
      <c r="L1118" s="6" t="s">
        <v>231</v>
      </c>
      <c r="M1118" s="3" t="s">
        <v>230</v>
      </c>
      <c r="N1118" s="6" t="s">
        <v>524</v>
      </c>
      <c r="O1118" s="6" t="s">
        <v>233</v>
      </c>
      <c r="P1118" s="58" t="s">
        <v>243</v>
      </c>
      <c r="Q1118" s="6" t="s">
        <v>244</v>
      </c>
      <c r="R1118" s="1">
        <v>2349.9940000000001</v>
      </c>
      <c r="S1118" s="2">
        <v>560</v>
      </c>
      <c r="T1118" s="4">
        <f>R1118*S1118</f>
        <v>1315996.6400000001</v>
      </c>
      <c r="U1118" s="4">
        <f t="shared" si="38"/>
        <v>1473916.2368000003</v>
      </c>
      <c r="V1118" s="3" t="s">
        <v>362</v>
      </c>
      <c r="W1118" s="3">
        <v>2014</v>
      </c>
      <c r="X1118" s="3"/>
    </row>
    <row r="1119" spans="1:24" ht="102">
      <c r="A1119" s="3" t="s">
        <v>1040</v>
      </c>
      <c r="B1119" s="6" t="s">
        <v>361</v>
      </c>
      <c r="C1119" s="6" t="s">
        <v>3588</v>
      </c>
      <c r="D1119" s="6" t="s">
        <v>3589</v>
      </c>
      <c r="E1119" s="6" t="s">
        <v>3590</v>
      </c>
      <c r="F1119" s="6" t="s">
        <v>3587</v>
      </c>
      <c r="G1119" s="3" t="s">
        <v>11449</v>
      </c>
      <c r="H1119" s="54">
        <v>0.6</v>
      </c>
      <c r="I1119" s="16">
        <v>470000000</v>
      </c>
      <c r="J1119" s="157" t="s">
        <v>229</v>
      </c>
      <c r="K1119" s="5" t="s">
        <v>210</v>
      </c>
      <c r="L1119" s="6" t="s">
        <v>231</v>
      </c>
      <c r="M1119" s="3" t="s">
        <v>230</v>
      </c>
      <c r="N1119" s="6" t="s">
        <v>524</v>
      </c>
      <c r="O1119" s="6" t="s">
        <v>233</v>
      </c>
      <c r="P1119" s="58" t="s">
        <v>243</v>
      </c>
      <c r="Q1119" s="6" t="s">
        <v>244</v>
      </c>
      <c r="R1119" s="1">
        <v>1000</v>
      </c>
      <c r="S1119" s="2">
        <v>287</v>
      </c>
      <c r="T1119" s="4">
        <v>0</v>
      </c>
      <c r="U1119" s="4">
        <f t="shared" si="38"/>
        <v>0</v>
      </c>
      <c r="V1119" s="3" t="s">
        <v>362</v>
      </c>
      <c r="W1119" s="3">
        <v>2014</v>
      </c>
      <c r="X1119" s="3" t="s">
        <v>12051</v>
      </c>
    </row>
    <row r="1120" spans="1:24" ht="102">
      <c r="A1120" s="3" t="s">
        <v>14722</v>
      </c>
      <c r="B1120" s="6" t="s">
        <v>361</v>
      </c>
      <c r="C1120" s="6" t="s">
        <v>3588</v>
      </c>
      <c r="D1120" s="6" t="s">
        <v>3589</v>
      </c>
      <c r="E1120" s="6" t="s">
        <v>3590</v>
      </c>
      <c r="F1120" s="6" t="s">
        <v>3587</v>
      </c>
      <c r="G1120" s="3" t="s">
        <v>11449</v>
      </c>
      <c r="H1120" s="54">
        <v>0.6</v>
      </c>
      <c r="I1120" s="16">
        <v>470000000</v>
      </c>
      <c r="J1120" s="157" t="s">
        <v>229</v>
      </c>
      <c r="K1120" s="5" t="s">
        <v>14721</v>
      </c>
      <c r="L1120" s="6" t="s">
        <v>231</v>
      </c>
      <c r="M1120" s="3" t="s">
        <v>230</v>
      </c>
      <c r="N1120" s="6" t="s">
        <v>524</v>
      </c>
      <c r="O1120" s="6" t="s">
        <v>233</v>
      </c>
      <c r="P1120" s="58" t="s">
        <v>243</v>
      </c>
      <c r="Q1120" s="6" t="s">
        <v>244</v>
      </c>
      <c r="R1120" s="1">
        <v>1832.6864</v>
      </c>
      <c r="S1120" s="59">
        <v>344.4</v>
      </c>
      <c r="T1120" s="4">
        <v>0</v>
      </c>
      <c r="U1120" s="4">
        <f t="shared" si="38"/>
        <v>0</v>
      </c>
      <c r="V1120" s="3" t="s">
        <v>362</v>
      </c>
      <c r="W1120" s="3">
        <v>2014</v>
      </c>
      <c r="X1120" s="3">
        <v>7.11</v>
      </c>
    </row>
    <row r="1121" spans="1:24" ht="102">
      <c r="A1121" s="3" t="s">
        <v>18173</v>
      </c>
      <c r="B1121" s="6" t="s">
        <v>361</v>
      </c>
      <c r="C1121" s="6" t="s">
        <v>3588</v>
      </c>
      <c r="D1121" s="6" t="s">
        <v>3589</v>
      </c>
      <c r="E1121" s="6" t="s">
        <v>3590</v>
      </c>
      <c r="F1121" s="6" t="s">
        <v>3587</v>
      </c>
      <c r="G1121" s="3" t="s">
        <v>11450</v>
      </c>
      <c r="H1121" s="54">
        <v>0.6</v>
      </c>
      <c r="I1121" s="16">
        <v>470000000</v>
      </c>
      <c r="J1121" s="157" t="s">
        <v>229</v>
      </c>
      <c r="K1121" s="5" t="s">
        <v>8950</v>
      </c>
      <c r="L1121" s="6" t="s">
        <v>231</v>
      </c>
      <c r="M1121" s="3" t="s">
        <v>230</v>
      </c>
      <c r="N1121" s="6" t="s">
        <v>524</v>
      </c>
      <c r="O1121" s="6" t="s">
        <v>233</v>
      </c>
      <c r="P1121" s="58" t="s">
        <v>243</v>
      </c>
      <c r="Q1121" s="6" t="s">
        <v>244</v>
      </c>
      <c r="R1121" s="1">
        <v>1832.6864</v>
      </c>
      <c r="S1121" s="59">
        <v>344.4</v>
      </c>
      <c r="T1121" s="4">
        <v>0</v>
      </c>
      <c r="U1121" s="4">
        <f t="shared" si="38"/>
        <v>0</v>
      </c>
      <c r="V1121" s="3" t="s">
        <v>362</v>
      </c>
      <c r="W1121" s="3">
        <v>2014</v>
      </c>
      <c r="X1121" s="3" t="s">
        <v>19088</v>
      </c>
    </row>
    <row r="1122" spans="1:24" ht="89.25">
      <c r="A1122" s="3" t="s">
        <v>19087</v>
      </c>
      <c r="B1122" s="6" t="s">
        <v>361</v>
      </c>
      <c r="C1122" s="6" t="s">
        <v>3588</v>
      </c>
      <c r="D1122" s="6" t="s">
        <v>3589</v>
      </c>
      <c r="E1122" s="6" t="s">
        <v>3590</v>
      </c>
      <c r="F1122" s="6" t="s">
        <v>3587</v>
      </c>
      <c r="G1122" s="3" t="s">
        <v>11450</v>
      </c>
      <c r="H1122" s="54">
        <v>0.2</v>
      </c>
      <c r="I1122" s="16">
        <v>470000000</v>
      </c>
      <c r="J1122" s="157" t="s">
        <v>229</v>
      </c>
      <c r="K1122" s="5" t="s">
        <v>18437</v>
      </c>
      <c r="L1122" s="17" t="s">
        <v>11411</v>
      </c>
      <c r="M1122" s="3" t="s">
        <v>230</v>
      </c>
      <c r="N1122" s="6" t="s">
        <v>524</v>
      </c>
      <c r="O1122" s="6" t="s">
        <v>233</v>
      </c>
      <c r="P1122" s="58" t="s">
        <v>243</v>
      </c>
      <c r="Q1122" s="6" t="s">
        <v>244</v>
      </c>
      <c r="R1122" s="1">
        <v>1832.6864</v>
      </c>
      <c r="S1122" s="59">
        <v>344.4</v>
      </c>
      <c r="T1122" s="1">
        <f>R1122*S1122</f>
        <v>631177.19615999993</v>
      </c>
      <c r="U1122" s="4">
        <f t="shared" ref="U1122" si="40">T1122*1.12</f>
        <v>706918.4596992</v>
      </c>
      <c r="V1122" s="3"/>
      <c r="W1122" s="3">
        <v>2014</v>
      </c>
      <c r="X1122" s="3"/>
    </row>
    <row r="1123" spans="1:24" ht="102">
      <c r="A1123" s="3" t="s">
        <v>1041</v>
      </c>
      <c r="B1123" s="6" t="s">
        <v>361</v>
      </c>
      <c r="C1123" s="6" t="s">
        <v>3591</v>
      </c>
      <c r="D1123" s="6" t="s">
        <v>3585</v>
      </c>
      <c r="E1123" s="6" t="s">
        <v>3592</v>
      </c>
      <c r="F1123" s="6" t="s">
        <v>168</v>
      </c>
      <c r="G1123" s="3" t="s">
        <v>11449</v>
      </c>
      <c r="H1123" s="54">
        <v>0.6</v>
      </c>
      <c r="I1123" s="16">
        <v>470000000</v>
      </c>
      <c r="J1123" s="157" t="s">
        <v>229</v>
      </c>
      <c r="K1123" s="5" t="s">
        <v>215</v>
      </c>
      <c r="L1123" s="6" t="s">
        <v>231</v>
      </c>
      <c r="M1123" s="3" t="s">
        <v>230</v>
      </c>
      <c r="N1123" s="6" t="s">
        <v>524</v>
      </c>
      <c r="O1123" s="6" t="s">
        <v>233</v>
      </c>
      <c r="P1123" s="58" t="s">
        <v>243</v>
      </c>
      <c r="Q1123" s="6" t="s">
        <v>244</v>
      </c>
      <c r="R1123" s="1">
        <v>12000</v>
      </c>
      <c r="S1123" s="2">
        <v>321</v>
      </c>
      <c r="T1123" s="4">
        <v>0</v>
      </c>
      <c r="U1123" s="4">
        <f t="shared" si="38"/>
        <v>0</v>
      </c>
      <c r="V1123" s="3" t="s">
        <v>362</v>
      </c>
      <c r="W1123" s="3">
        <v>2014</v>
      </c>
      <c r="X1123" s="3">
        <v>11.12</v>
      </c>
    </row>
    <row r="1124" spans="1:24" ht="89.25">
      <c r="A1124" s="3" t="s">
        <v>12221</v>
      </c>
      <c r="B1124" s="6" t="s">
        <v>361</v>
      </c>
      <c r="C1124" s="6" t="s">
        <v>3591</v>
      </c>
      <c r="D1124" s="6" t="s">
        <v>3585</v>
      </c>
      <c r="E1124" s="6" t="s">
        <v>3592</v>
      </c>
      <c r="F1124" s="6" t="s">
        <v>168</v>
      </c>
      <c r="G1124" s="3" t="s">
        <v>11449</v>
      </c>
      <c r="H1124" s="54">
        <v>0.6</v>
      </c>
      <c r="I1124" s="16">
        <v>470000000</v>
      </c>
      <c r="J1124" s="157" t="s">
        <v>229</v>
      </c>
      <c r="K1124" s="5" t="s">
        <v>210</v>
      </c>
      <c r="L1124" s="17" t="s">
        <v>11411</v>
      </c>
      <c r="M1124" s="3" t="s">
        <v>230</v>
      </c>
      <c r="N1124" s="6" t="s">
        <v>524</v>
      </c>
      <c r="O1124" s="6" t="s">
        <v>233</v>
      </c>
      <c r="P1124" s="58" t="s">
        <v>243</v>
      </c>
      <c r="Q1124" s="6" t="s">
        <v>244</v>
      </c>
      <c r="R1124" s="1">
        <v>12000</v>
      </c>
      <c r="S1124" s="2">
        <v>321</v>
      </c>
      <c r="T1124" s="4">
        <v>0</v>
      </c>
      <c r="U1124" s="4">
        <f t="shared" si="38"/>
        <v>0</v>
      </c>
      <c r="V1124" s="3" t="s">
        <v>362</v>
      </c>
      <c r="W1124" s="3">
        <v>2014</v>
      </c>
      <c r="X1124" s="3" t="s">
        <v>12051</v>
      </c>
    </row>
    <row r="1125" spans="1:24" ht="89.25">
      <c r="A1125" s="3" t="s">
        <v>14723</v>
      </c>
      <c r="B1125" s="6" t="s">
        <v>361</v>
      </c>
      <c r="C1125" s="6" t="s">
        <v>3591</v>
      </c>
      <c r="D1125" s="6" t="s">
        <v>3585</v>
      </c>
      <c r="E1125" s="6" t="s">
        <v>3592</v>
      </c>
      <c r="F1125" s="6" t="s">
        <v>168</v>
      </c>
      <c r="G1125" s="3" t="s">
        <v>11449</v>
      </c>
      <c r="H1125" s="54">
        <v>0.6</v>
      </c>
      <c r="I1125" s="16">
        <v>470000000</v>
      </c>
      <c r="J1125" s="157" t="s">
        <v>229</v>
      </c>
      <c r="K1125" s="5" t="s">
        <v>14721</v>
      </c>
      <c r="L1125" s="17" t="s">
        <v>11411</v>
      </c>
      <c r="M1125" s="3" t="s">
        <v>230</v>
      </c>
      <c r="N1125" s="6" t="s">
        <v>524</v>
      </c>
      <c r="O1125" s="6" t="s">
        <v>233</v>
      </c>
      <c r="P1125" s="58" t="s">
        <v>243</v>
      </c>
      <c r="Q1125" s="6" t="s">
        <v>244</v>
      </c>
      <c r="R1125" s="1">
        <v>7979.235987</v>
      </c>
      <c r="S1125" s="247">
        <v>385.2</v>
      </c>
      <c r="T1125" s="4">
        <v>0</v>
      </c>
      <c r="U1125" s="4">
        <f t="shared" si="38"/>
        <v>0</v>
      </c>
      <c r="V1125" s="3" t="s">
        <v>362</v>
      </c>
      <c r="W1125" s="3">
        <v>2014</v>
      </c>
      <c r="X1125" s="3" t="s">
        <v>18098</v>
      </c>
    </row>
    <row r="1126" spans="1:24" ht="89.25">
      <c r="A1126" s="3" t="s">
        <v>18103</v>
      </c>
      <c r="B1126" s="6" t="s">
        <v>361</v>
      </c>
      <c r="C1126" s="6" t="s">
        <v>3591</v>
      </c>
      <c r="D1126" s="6" t="s">
        <v>3585</v>
      </c>
      <c r="E1126" s="6" t="s">
        <v>3592</v>
      </c>
      <c r="F1126" s="6" t="s">
        <v>168</v>
      </c>
      <c r="G1126" s="3" t="s">
        <v>11449</v>
      </c>
      <c r="H1126" s="54">
        <v>0.6</v>
      </c>
      <c r="I1126" s="16">
        <v>470000000</v>
      </c>
      <c r="J1126" s="157" t="s">
        <v>229</v>
      </c>
      <c r="K1126" s="5" t="s">
        <v>17401</v>
      </c>
      <c r="L1126" s="17" t="s">
        <v>11411</v>
      </c>
      <c r="M1126" s="3" t="s">
        <v>230</v>
      </c>
      <c r="N1126" s="6" t="s">
        <v>528</v>
      </c>
      <c r="O1126" s="6" t="s">
        <v>233</v>
      </c>
      <c r="P1126" s="58" t="s">
        <v>243</v>
      </c>
      <c r="Q1126" s="6" t="s">
        <v>244</v>
      </c>
      <c r="R1126" s="1">
        <v>7984</v>
      </c>
      <c r="S1126" s="247">
        <v>385.2</v>
      </c>
      <c r="T1126" s="4">
        <v>0</v>
      </c>
      <c r="U1126" s="4">
        <f t="shared" si="38"/>
        <v>0</v>
      </c>
      <c r="V1126" s="3" t="s">
        <v>362</v>
      </c>
      <c r="W1126" s="3">
        <v>2014</v>
      </c>
      <c r="X1126" s="3" t="s">
        <v>18825</v>
      </c>
    </row>
    <row r="1127" spans="1:24" ht="63.75">
      <c r="A1127" s="3" t="s">
        <v>18871</v>
      </c>
      <c r="B1127" s="6" t="s">
        <v>361</v>
      </c>
      <c r="C1127" s="6" t="s">
        <v>3591</v>
      </c>
      <c r="D1127" s="6" t="s">
        <v>3585</v>
      </c>
      <c r="E1127" s="6" t="s">
        <v>3592</v>
      </c>
      <c r="F1127" s="6" t="s">
        <v>168</v>
      </c>
      <c r="G1127" s="3" t="s">
        <v>11449</v>
      </c>
      <c r="H1127" s="54">
        <v>0.6</v>
      </c>
      <c r="I1127" s="16">
        <v>470000000</v>
      </c>
      <c r="J1127" s="157" t="s">
        <v>229</v>
      </c>
      <c r="K1127" s="5" t="s">
        <v>18748</v>
      </c>
      <c r="L1127" s="17" t="s">
        <v>11411</v>
      </c>
      <c r="M1127" s="3" t="s">
        <v>230</v>
      </c>
      <c r="N1127" s="6" t="s">
        <v>528</v>
      </c>
      <c r="O1127" s="6" t="s">
        <v>18864</v>
      </c>
      <c r="P1127" s="58" t="s">
        <v>243</v>
      </c>
      <c r="Q1127" s="6" t="s">
        <v>244</v>
      </c>
      <c r="R1127" s="1">
        <v>11500</v>
      </c>
      <c r="S1127" s="247">
        <v>385.2</v>
      </c>
      <c r="T1127" s="4">
        <v>0</v>
      </c>
      <c r="U1127" s="4">
        <f t="shared" si="38"/>
        <v>0</v>
      </c>
      <c r="V1127" s="3" t="s">
        <v>362</v>
      </c>
      <c r="W1127" s="3">
        <v>2014</v>
      </c>
      <c r="X1127" s="3" t="s">
        <v>19362</v>
      </c>
    </row>
    <row r="1128" spans="1:24" ht="89.25">
      <c r="A1128" s="3" t="s">
        <v>19391</v>
      </c>
      <c r="B1128" s="6" t="s">
        <v>361</v>
      </c>
      <c r="C1128" s="6" t="s">
        <v>3591</v>
      </c>
      <c r="D1128" s="6" t="s">
        <v>3585</v>
      </c>
      <c r="E1128" s="6" t="s">
        <v>3592</v>
      </c>
      <c r="F1128" s="6" t="s">
        <v>168</v>
      </c>
      <c r="G1128" s="3" t="s">
        <v>11449</v>
      </c>
      <c r="H1128" s="54">
        <v>0</v>
      </c>
      <c r="I1128" s="16">
        <v>470000000</v>
      </c>
      <c r="J1128" s="157" t="s">
        <v>229</v>
      </c>
      <c r="K1128" s="5" t="s">
        <v>18437</v>
      </c>
      <c r="L1128" s="17" t="s">
        <v>11411</v>
      </c>
      <c r="M1128" s="3" t="s">
        <v>230</v>
      </c>
      <c r="N1128" s="6" t="s">
        <v>528</v>
      </c>
      <c r="O1128" s="6" t="s">
        <v>15287</v>
      </c>
      <c r="P1128" s="58" t="s">
        <v>243</v>
      </c>
      <c r="Q1128" s="6" t="s">
        <v>244</v>
      </c>
      <c r="R1128" s="1">
        <v>5000</v>
      </c>
      <c r="S1128" s="247">
        <v>385.2</v>
      </c>
      <c r="T1128" s="1">
        <f>R1128*S1128</f>
        <v>1926000</v>
      </c>
      <c r="U1128" s="4">
        <f t="shared" si="38"/>
        <v>2157120</v>
      </c>
      <c r="V1128" s="3"/>
      <c r="W1128" s="3">
        <v>2014</v>
      </c>
      <c r="X1128" s="3"/>
    </row>
    <row r="1129" spans="1:24" ht="102">
      <c r="A1129" s="3" t="s">
        <v>1042</v>
      </c>
      <c r="B1129" s="6" t="s">
        <v>361</v>
      </c>
      <c r="C1129" s="6" t="s">
        <v>3593</v>
      </c>
      <c r="D1129" s="6" t="s">
        <v>3594</v>
      </c>
      <c r="E1129" s="6" t="s">
        <v>3595</v>
      </c>
      <c r="F1129" s="6" t="s">
        <v>169</v>
      </c>
      <c r="G1129" s="3" t="s">
        <v>11449</v>
      </c>
      <c r="H1129" s="54">
        <v>0.6</v>
      </c>
      <c r="I1129" s="16">
        <v>470000000</v>
      </c>
      <c r="J1129" s="157" t="s">
        <v>229</v>
      </c>
      <c r="K1129" s="5" t="s">
        <v>215</v>
      </c>
      <c r="L1129" s="6" t="s">
        <v>231</v>
      </c>
      <c r="M1129" s="3" t="s">
        <v>230</v>
      </c>
      <c r="N1129" s="6" t="s">
        <v>524</v>
      </c>
      <c r="O1129" s="6" t="s">
        <v>233</v>
      </c>
      <c r="P1129" s="58" t="s">
        <v>243</v>
      </c>
      <c r="Q1129" s="6" t="s">
        <v>244</v>
      </c>
      <c r="R1129" s="1">
        <v>4000</v>
      </c>
      <c r="S1129" s="2">
        <v>285</v>
      </c>
      <c r="T1129" s="4">
        <v>0</v>
      </c>
      <c r="U1129" s="4">
        <f t="shared" si="38"/>
        <v>0</v>
      </c>
      <c r="V1129" s="3" t="s">
        <v>362</v>
      </c>
      <c r="W1129" s="3">
        <v>2014</v>
      </c>
      <c r="X1129" s="3">
        <v>11.12</v>
      </c>
    </row>
    <row r="1130" spans="1:24" ht="89.25">
      <c r="A1130" s="3" t="s">
        <v>12222</v>
      </c>
      <c r="B1130" s="6" t="s">
        <v>361</v>
      </c>
      <c r="C1130" s="6" t="s">
        <v>3593</v>
      </c>
      <c r="D1130" s="6" t="s">
        <v>3594</v>
      </c>
      <c r="E1130" s="6" t="s">
        <v>3595</v>
      </c>
      <c r="F1130" s="6" t="s">
        <v>169</v>
      </c>
      <c r="G1130" s="3" t="s">
        <v>11449</v>
      </c>
      <c r="H1130" s="54">
        <v>0.6</v>
      </c>
      <c r="I1130" s="16">
        <v>470000000</v>
      </c>
      <c r="J1130" s="157" t="s">
        <v>229</v>
      </c>
      <c r="K1130" s="5" t="s">
        <v>210</v>
      </c>
      <c r="L1130" s="17" t="s">
        <v>11411</v>
      </c>
      <c r="M1130" s="3" t="s">
        <v>230</v>
      </c>
      <c r="N1130" s="6" t="s">
        <v>524</v>
      </c>
      <c r="O1130" s="6" t="s">
        <v>233</v>
      </c>
      <c r="P1130" s="58" t="s">
        <v>243</v>
      </c>
      <c r="Q1130" s="6" t="s">
        <v>244</v>
      </c>
      <c r="R1130" s="1">
        <v>4000</v>
      </c>
      <c r="S1130" s="2">
        <v>285</v>
      </c>
      <c r="T1130" s="4">
        <v>0</v>
      </c>
      <c r="U1130" s="4">
        <f t="shared" si="38"/>
        <v>0</v>
      </c>
      <c r="V1130" s="3" t="s">
        <v>362</v>
      </c>
      <c r="W1130" s="3">
        <v>2014</v>
      </c>
      <c r="X1130" s="3" t="s">
        <v>12051</v>
      </c>
    </row>
    <row r="1131" spans="1:24" ht="89.25">
      <c r="A1131" s="3" t="s">
        <v>14724</v>
      </c>
      <c r="B1131" s="6" t="s">
        <v>361</v>
      </c>
      <c r="C1131" s="6" t="s">
        <v>3593</v>
      </c>
      <c r="D1131" s="6" t="s">
        <v>3594</v>
      </c>
      <c r="E1131" s="6" t="s">
        <v>3595</v>
      </c>
      <c r="F1131" s="6" t="s">
        <v>169</v>
      </c>
      <c r="G1131" s="3" t="s">
        <v>11449</v>
      </c>
      <c r="H1131" s="54">
        <v>0.6</v>
      </c>
      <c r="I1131" s="16">
        <v>470000000</v>
      </c>
      <c r="J1131" s="157" t="s">
        <v>229</v>
      </c>
      <c r="K1131" s="5" t="s">
        <v>14721</v>
      </c>
      <c r="L1131" s="17" t="s">
        <v>11411</v>
      </c>
      <c r="M1131" s="3" t="s">
        <v>230</v>
      </c>
      <c r="N1131" s="6" t="s">
        <v>524</v>
      </c>
      <c r="O1131" s="6" t="s">
        <v>233</v>
      </c>
      <c r="P1131" s="58" t="s">
        <v>243</v>
      </c>
      <c r="Q1131" s="6" t="s">
        <v>244</v>
      </c>
      <c r="R1131" s="1">
        <v>7000</v>
      </c>
      <c r="S1131" s="2">
        <v>342</v>
      </c>
      <c r="T1131" s="4">
        <v>0</v>
      </c>
      <c r="U1131" s="4">
        <f t="shared" si="38"/>
        <v>0</v>
      </c>
      <c r="V1131" s="3" t="s">
        <v>362</v>
      </c>
      <c r="W1131" s="3">
        <v>2014</v>
      </c>
      <c r="X1131" s="3">
        <v>7.11</v>
      </c>
    </row>
    <row r="1132" spans="1:24" ht="89.25">
      <c r="A1132" s="3" t="s">
        <v>18172</v>
      </c>
      <c r="B1132" s="6" t="s">
        <v>361</v>
      </c>
      <c r="C1132" s="6" t="s">
        <v>3593</v>
      </c>
      <c r="D1132" s="6" t="s">
        <v>3594</v>
      </c>
      <c r="E1132" s="6" t="s">
        <v>3595</v>
      </c>
      <c r="F1132" s="6" t="s">
        <v>169</v>
      </c>
      <c r="G1132" s="3" t="s">
        <v>11450</v>
      </c>
      <c r="H1132" s="54">
        <v>0.6</v>
      </c>
      <c r="I1132" s="16">
        <v>470000000</v>
      </c>
      <c r="J1132" s="157" t="s">
        <v>229</v>
      </c>
      <c r="K1132" s="5" t="s">
        <v>8950</v>
      </c>
      <c r="L1132" s="17" t="s">
        <v>11411</v>
      </c>
      <c r="M1132" s="3" t="s">
        <v>230</v>
      </c>
      <c r="N1132" s="6" t="s">
        <v>524</v>
      </c>
      <c r="O1132" s="6" t="s">
        <v>233</v>
      </c>
      <c r="P1132" s="58" t="s">
        <v>243</v>
      </c>
      <c r="Q1132" s="6" t="s">
        <v>244</v>
      </c>
      <c r="R1132" s="1">
        <v>7000</v>
      </c>
      <c r="S1132" s="2">
        <v>342</v>
      </c>
      <c r="T1132" s="4">
        <f>R1132*S1132</f>
        <v>2394000</v>
      </c>
      <c r="U1132" s="4">
        <f t="shared" si="38"/>
        <v>2681280.0000000005</v>
      </c>
      <c r="V1132" s="3" t="s">
        <v>362</v>
      </c>
      <c r="W1132" s="3">
        <v>2014</v>
      </c>
      <c r="X1132" s="3"/>
    </row>
    <row r="1133" spans="1:24" ht="102">
      <c r="A1133" s="3" t="s">
        <v>1043</v>
      </c>
      <c r="B1133" s="6" t="s">
        <v>361</v>
      </c>
      <c r="C1133" s="6" t="s">
        <v>3599</v>
      </c>
      <c r="D1133" s="6" t="s">
        <v>3582</v>
      </c>
      <c r="E1133" s="6" t="s">
        <v>3600</v>
      </c>
      <c r="F1133" s="6" t="s">
        <v>3596</v>
      </c>
      <c r="G1133" s="3" t="s">
        <v>11449</v>
      </c>
      <c r="H1133" s="54">
        <v>0.6</v>
      </c>
      <c r="I1133" s="16">
        <v>470000000</v>
      </c>
      <c r="J1133" s="157" t="s">
        <v>229</v>
      </c>
      <c r="K1133" s="5" t="s">
        <v>215</v>
      </c>
      <c r="L1133" s="6" t="s">
        <v>231</v>
      </c>
      <c r="M1133" s="3" t="s">
        <v>230</v>
      </c>
      <c r="N1133" s="6" t="s">
        <v>524</v>
      </c>
      <c r="O1133" s="6" t="s">
        <v>233</v>
      </c>
      <c r="P1133" s="58" t="s">
        <v>243</v>
      </c>
      <c r="Q1133" s="6" t="s">
        <v>244</v>
      </c>
      <c r="R1133" s="1">
        <v>2800</v>
      </c>
      <c r="S1133" s="2">
        <v>295</v>
      </c>
      <c r="T1133" s="4">
        <v>0</v>
      </c>
      <c r="U1133" s="4">
        <f t="shared" si="38"/>
        <v>0</v>
      </c>
      <c r="V1133" s="3" t="s">
        <v>362</v>
      </c>
      <c r="W1133" s="3">
        <v>2014</v>
      </c>
      <c r="X1133" s="3">
        <v>11.12</v>
      </c>
    </row>
    <row r="1134" spans="1:24" ht="89.25">
      <c r="A1134" s="3" t="s">
        <v>12223</v>
      </c>
      <c r="B1134" s="6" t="s">
        <v>361</v>
      </c>
      <c r="C1134" s="6" t="s">
        <v>3599</v>
      </c>
      <c r="D1134" s="6" t="s">
        <v>3582</v>
      </c>
      <c r="E1134" s="6" t="s">
        <v>3600</v>
      </c>
      <c r="F1134" s="6" t="s">
        <v>3596</v>
      </c>
      <c r="G1134" s="3" t="s">
        <v>11449</v>
      </c>
      <c r="H1134" s="54">
        <v>0.6</v>
      </c>
      <c r="I1134" s="16">
        <v>470000000</v>
      </c>
      <c r="J1134" s="157" t="s">
        <v>229</v>
      </c>
      <c r="K1134" s="5" t="s">
        <v>210</v>
      </c>
      <c r="L1134" s="17" t="s">
        <v>11411</v>
      </c>
      <c r="M1134" s="3" t="s">
        <v>230</v>
      </c>
      <c r="N1134" s="6" t="s">
        <v>524</v>
      </c>
      <c r="O1134" s="6" t="s">
        <v>233</v>
      </c>
      <c r="P1134" s="58" t="s">
        <v>243</v>
      </c>
      <c r="Q1134" s="6" t="s">
        <v>244</v>
      </c>
      <c r="R1134" s="1">
        <v>2800</v>
      </c>
      <c r="S1134" s="2">
        <v>295</v>
      </c>
      <c r="T1134" s="4">
        <v>0</v>
      </c>
      <c r="U1134" s="4">
        <f t="shared" si="38"/>
        <v>0</v>
      </c>
      <c r="V1134" s="3" t="s">
        <v>362</v>
      </c>
      <c r="W1134" s="3">
        <v>2014</v>
      </c>
      <c r="X1134" s="3" t="s">
        <v>12051</v>
      </c>
    </row>
    <row r="1135" spans="1:24" ht="89.25">
      <c r="A1135" s="3" t="s">
        <v>14725</v>
      </c>
      <c r="B1135" s="6" t="s">
        <v>361</v>
      </c>
      <c r="C1135" s="6" t="s">
        <v>3599</v>
      </c>
      <c r="D1135" s="6" t="s">
        <v>3582</v>
      </c>
      <c r="E1135" s="6" t="s">
        <v>3600</v>
      </c>
      <c r="F1135" s="6" t="s">
        <v>3596</v>
      </c>
      <c r="G1135" s="3" t="s">
        <v>11449</v>
      </c>
      <c r="H1135" s="54">
        <v>0.6</v>
      </c>
      <c r="I1135" s="16">
        <v>470000000</v>
      </c>
      <c r="J1135" s="157" t="s">
        <v>229</v>
      </c>
      <c r="K1135" s="5" t="s">
        <v>210</v>
      </c>
      <c r="L1135" s="17" t="s">
        <v>11411</v>
      </c>
      <c r="M1135" s="3" t="s">
        <v>230</v>
      </c>
      <c r="N1135" s="6" t="s">
        <v>524</v>
      </c>
      <c r="O1135" s="6" t="s">
        <v>233</v>
      </c>
      <c r="P1135" s="58" t="s">
        <v>243</v>
      </c>
      <c r="Q1135" s="6" t="s">
        <v>244</v>
      </c>
      <c r="R1135" s="1">
        <v>2000</v>
      </c>
      <c r="S1135" s="2">
        <v>354</v>
      </c>
      <c r="T1135" s="4">
        <v>0</v>
      </c>
      <c r="U1135" s="4">
        <f t="shared" si="38"/>
        <v>0</v>
      </c>
      <c r="V1135" s="3" t="s">
        <v>362</v>
      </c>
      <c r="W1135" s="3">
        <v>2014</v>
      </c>
      <c r="X1135" s="3">
        <v>7.11</v>
      </c>
    </row>
    <row r="1136" spans="1:24" ht="89.25">
      <c r="A1136" s="3" t="s">
        <v>18171</v>
      </c>
      <c r="B1136" s="6" t="s">
        <v>361</v>
      </c>
      <c r="C1136" s="6" t="s">
        <v>3599</v>
      </c>
      <c r="D1136" s="6" t="s">
        <v>3582</v>
      </c>
      <c r="E1136" s="6" t="s">
        <v>3600</v>
      </c>
      <c r="F1136" s="6" t="s">
        <v>3596</v>
      </c>
      <c r="G1136" s="3" t="s">
        <v>11450</v>
      </c>
      <c r="H1136" s="54">
        <v>0.6</v>
      </c>
      <c r="I1136" s="16">
        <v>470000000</v>
      </c>
      <c r="J1136" s="157" t="s">
        <v>229</v>
      </c>
      <c r="K1136" s="5" t="s">
        <v>8950</v>
      </c>
      <c r="L1136" s="17" t="s">
        <v>11411</v>
      </c>
      <c r="M1136" s="3" t="s">
        <v>230</v>
      </c>
      <c r="N1136" s="6" t="s">
        <v>524</v>
      </c>
      <c r="O1136" s="6" t="s">
        <v>233</v>
      </c>
      <c r="P1136" s="58" t="s">
        <v>243</v>
      </c>
      <c r="Q1136" s="6" t="s">
        <v>244</v>
      </c>
      <c r="R1136" s="1">
        <v>2000</v>
      </c>
      <c r="S1136" s="2">
        <v>354</v>
      </c>
      <c r="T1136" s="4">
        <f>R1136*S1136</f>
        <v>708000</v>
      </c>
      <c r="U1136" s="4">
        <f t="shared" ref="U1136:U1200" si="41">T1136*1.12</f>
        <v>792960.00000000012</v>
      </c>
      <c r="V1136" s="3" t="s">
        <v>362</v>
      </c>
      <c r="W1136" s="3">
        <v>2014</v>
      </c>
      <c r="X1136" s="3"/>
    </row>
    <row r="1137" spans="1:24" ht="102">
      <c r="A1137" s="3" t="s">
        <v>1044</v>
      </c>
      <c r="B1137" s="6" t="s">
        <v>361</v>
      </c>
      <c r="C1137" s="6" t="s">
        <v>3601</v>
      </c>
      <c r="D1137" s="6" t="s">
        <v>3602</v>
      </c>
      <c r="E1137" s="6" t="s">
        <v>3603</v>
      </c>
      <c r="F1137" s="6" t="s">
        <v>3597</v>
      </c>
      <c r="G1137" s="3" t="s">
        <v>11449</v>
      </c>
      <c r="H1137" s="54">
        <v>0.6</v>
      </c>
      <c r="I1137" s="16">
        <v>470000000</v>
      </c>
      <c r="J1137" s="157" t="s">
        <v>229</v>
      </c>
      <c r="K1137" s="5" t="s">
        <v>215</v>
      </c>
      <c r="L1137" s="6" t="s">
        <v>231</v>
      </c>
      <c r="M1137" s="3" t="s">
        <v>230</v>
      </c>
      <c r="N1137" s="6" t="s">
        <v>524</v>
      </c>
      <c r="O1137" s="6" t="s">
        <v>233</v>
      </c>
      <c r="P1137" s="58" t="s">
        <v>243</v>
      </c>
      <c r="Q1137" s="6" t="s">
        <v>244</v>
      </c>
      <c r="R1137" s="1">
        <v>3600</v>
      </c>
      <c r="S1137" s="2">
        <v>332</v>
      </c>
      <c r="T1137" s="4">
        <v>0</v>
      </c>
      <c r="U1137" s="4">
        <f t="shared" si="41"/>
        <v>0</v>
      </c>
      <c r="V1137" s="3" t="s">
        <v>362</v>
      </c>
      <c r="W1137" s="3">
        <v>2014</v>
      </c>
      <c r="X1137" s="3">
        <v>11.12</v>
      </c>
    </row>
    <row r="1138" spans="1:24" ht="89.25">
      <c r="A1138" s="3" t="s">
        <v>12224</v>
      </c>
      <c r="B1138" s="6" t="s">
        <v>361</v>
      </c>
      <c r="C1138" s="6" t="s">
        <v>3601</v>
      </c>
      <c r="D1138" s="6" t="s">
        <v>3602</v>
      </c>
      <c r="E1138" s="6" t="s">
        <v>3603</v>
      </c>
      <c r="F1138" s="6" t="s">
        <v>3597</v>
      </c>
      <c r="G1138" s="3" t="s">
        <v>11449</v>
      </c>
      <c r="H1138" s="54">
        <v>0.6</v>
      </c>
      <c r="I1138" s="16">
        <v>470000000</v>
      </c>
      <c r="J1138" s="157" t="s">
        <v>229</v>
      </c>
      <c r="K1138" s="5" t="s">
        <v>211</v>
      </c>
      <c r="L1138" s="17" t="s">
        <v>11411</v>
      </c>
      <c r="M1138" s="3" t="s">
        <v>230</v>
      </c>
      <c r="N1138" s="6" t="s">
        <v>524</v>
      </c>
      <c r="O1138" s="6" t="s">
        <v>233</v>
      </c>
      <c r="P1138" s="58" t="s">
        <v>243</v>
      </c>
      <c r="Q1138" s="6" t="s">
        <v>244</v>
      </c>
      <c r="R1138" s="1">
        <v>3600</v>
      </c>
      <c r="S1138" s="2">
        <v>332</v>
      </c>
      <c r="T1138" s="4">
        <v>0</v>
      </c>
      <c r="U1138" s="4">
        <f t="shared" si="41"/>
        <v>0</v>
      </c>
      <c r="V1138" s="3" t="s">
        <v>362</v>
      </c>
      <c r="W1138" s="3">
        <v>2014</v>
      </c>
      <c r="X1138" s="3" t="s">
        <v>12051</v>
      </c>
    </row>
    <row r="1139" spans="1:24" ht="89.25">
      <c r="A1139" s="3" t="s">
        <v>14726</v>
      </c>
      <c r="B1139" s="6" t="s">
        <v>361</v>
      </c>
      <c r="C1139" s="6" t="s">
        <v>3601</v>
      </c>
      <c r="D1139" s="6" t="s">
        <v>3602</v>
      </c>
      <c r="E1139" s="6" t="s">
        <v>3603</v>
      </c>
      <c r="F1139" s="6" t="s">
        <v>3597</v>
      </c>
      <c r="G1139" s="3" t="s">
        <v>11449</v>
      </c>
      <c r="H1139" s="54">
        <v>0.6</v>
      </c>
      <c r="I1139" s="16">
        <v>470000000</v>
      </c>
      <c r="J1139" s="157" t="s">
        <v>229</v>
      </c>
      <c r="K1139" s="5" t="s">
        <v>14721</v>
      </c>
      <c r="L1139" s="17" t="s">
        <v>11411</v>
      </c>
      <c r="M1139" s="3" t="s">
        <v>230</v>
      </c>
      <c r="N1139" s="6" t="s">
        <v>524</v>
      </c>
      <c r="O1139" s="6" t="s">
        <v>233</v>
      </c>
      <c r="P1139" s="58" t="s">
        <v>243</v>
      </c>
      <c r="Q1139" s="6" t="s">
        <v>244</v>
      </c>
      <c r="R1139" s="1">
        <v>1500</v>
      </c>
      <c r="S1139" s="2">
        <v>398</v>
      </c>
      <c r="T1139" s="4">
        <v>0</v>
      </c>
      <c r="U1139" s="4">
        <f t="shared" si="41"/>
        <v>0</v>
      </c>
      <c r="V1139" s="3" t="s">
        <v>362</v>
      </c>
      <c r="W1139" s="3">
        <v>2014</v>
      </c>
      <c r="X1139" s="3" t="s">
        <v>16431</v>
      </c>
    </row>
    <row r="1140" spans="1:24" ht="89.25">
      <c r="A1140" s="3" t="s">
        <v>18170</v>
      </c>
      <c r="B1140" s="6" t="s">
        <v>361</v>
      </c>
      <c r="C1140" s="6" t="s">
        <v>3601</v>
      </c>
      <c r="D1140" s="6" t="s">
        <v>3602</v>
      </c>
      <c r="E1140" s="6" t="s">
        <v>3603</v>
      </c>
      <c r="F1140" s="6" t="s">
        <v>3597</v>
      </c>
      <c r="G1140" s="3" t="s">
        <v>11450</v>
      </c>
      <c r="H1140" s="54">
        <v>0.6</v>
      </c>
      <c r="I1140" s="16">
        <v>470000000</v>
      </c>
      <c r="J1140" s="157" t="s">
        <v>229</v>
      </c>
      <c r="K1140" s="5" t="s">
        <v>8950</v>
      </c>
      <c r="L1140" s="17" t="s">
        <v>11411</v>
      </c>
      <c r="M1140" s="3" t="s">
        <v>230</v>
      </c>
      <c r="N1140" s="6" t="s">
        <v>524</v>
      </c>
      <c r="O1140" s="6" t="s">
        <v>233</v>
      </c>
      <c r="P1140" s="58" t="s">
        <v>243</v>
      </c>
      <c r="Q1140" s="6" t="s">
        <v>244</v>
      </c>
      <c r="R1140" s="1">
        <v>1500</v>
      </c>
      <c r="S1140" s="2">
        <v>398.4</v>
      </c>
      <c r="T1140" s="4">
        <f>R1140*S1140</f>
        <v>597600</v>
      </c>
      <c r="U1140" s="4">
        <f t="shared" si="41"/>
        <v>669312.00000000012</v>
      </c>
      <c r="V1140" s="3" t="s">
        <v>362</v>
      </c>
      <c r="W1140" s="3">
        <v>2014</v>
      </c>
      <c r="X1140" s="3"/>
    </row>
    <row r="1141" spans="1:24" ht="102">
      <c r="A1141" s="3" t="s">
        <v>1045</v>
      </c>
      <c r="B1141" s="6" t="s">
        <v>361</v>
      </c>
      <c r="C1141" s="6" t="s">
        <v>3604</v>
      </c>
      <c r="D1141" s="6" t="s">
        <v>3605</v>
      </c>
      <c r="E1141" s="6" t="s">
        <v>3606</v>
      </c>
      <c r="F1141" s="6" t="s">
        <v>3598</v>
      </c>
      <c r="G1141" s="3" t="s">
        <v>11449</v>
      </c>
      <c r="H1141" s="54">
        <v>0</v>
      </c>
      <c r="I1141" s="16">
        <v>470000000</v>
      </c>
      <c r="J1141" s="157" t="s">
        <v>229</v>
      </c>
      <c r="K1141" s="5" t="s">
        <v>210</v>
      </c>
      <c r="L1141" s="6" t="s">
        <v>231</v>
      </c>
      <c r="M1141" s="3" t="s">
        <v>230</v>
      </c>
      <c r="N1141" s="6" t="s">
        <v>524</v>
      </c>
      <c r="O1141" s="6" t="s">
        <v>233</v>
      </c>
      <c r="P1141" s="58" t="s">
        <v>243</v>
      </c>
      <c r="Q1141" s="6" t="s">
        <v>244</v>
      </c>
      <c r="R1141" s="97">
        <v>500</v>
      </c>
      <c r="S1141" s="2">
        <v>952</v>
      </c>
      <c r="T1141" s="4">
        <v>0</v>
      </c>
      <c r="U1141" s="4">
        <f t="shared" si="41"/>
        <v>0</v>
      </c>
      <c r="V1141" s="3" t="s">
        <v>362</v>
      </c>
      <c r="W1141" s="3">
        <v>2014</v>
      </c>
      <c r="X1141" s="3">
        <v>11.12</v>
      </c>
    </row>
    <row r="1142" spans="1:24" ht="89.25">
      <c r="A1142" s="3" t="s">
        <v>12225</v>
      </c>
      <c r="B1142" s="6" t="s">
        <v>361</v>
      </c>
      <c r="C1142" s="6" t="s">
        <v>3604</v>
      </c>
      <c r="D1142" s="6" t="s">
        <v>3605</v>
      </c>
      <c r="E1142" s="6" t="s">
        <v>3606</v>
      </c>
      <c r="F1142" s="6" t="s">
        <v>3598</v>
      </c>
      <c r="G1142" s="3" t="s">
        <v>11449</v>
      </c>
      <c r="H1142" s="54">
        <v>0</v>
      </c>
      <c r="I1142" s="16">
        <v>470000000</v>
      </c>
      <c r="J1142" s="157" t="s">
        <v>229</v>
      </c>
      <c r="K1142" s="5" t="s">
        <v>211</v>
      </c>
      <c r="L1142" s="17" t="s">
        <v>11411</v>
      </c>
      <c r="M1142" s="3" t="s">
        <v>230</v>
      </c>
      <c r="N1142" s="6" t="s">
        <v>524</v>
      </c>
      <c r="O1142" s="6" t="s">
        <v>233</v>
      </c>
      <c r="P1142" s="58" t="s">
        <v>243</v>
      </c>
      <c r="Q1142" s="6" t="s">
        <v>244</v>
      </c>
      <c r="R1142" s="97">
        <v>500</v>
      </c>
      <c r="S1142" s="2">
        <v>952</v>
      </c>
      <c r="T1142" s="4">
        <v>0</v>
      </c>
      <c r="U1142" s="4">
        <f t="shared" si="41"/>
        <v>0</v>
      </c>
      <c r="V1142" s="3" t="s">
        <v>362</v>
      </c>
      <c r="W1142" s="3">
        <v>2014</v>
      </c>
      <c r="X1142" s="3" t="s">
        <v>12076</v>
      </c>
    </row>
    <row r="1143" spans="1:24" ht="102">
      <c r="A1143" s="3" t="s">
        <v>1046</v>
      </c>
      <c r="B1143" s="6" t="s">
        <v>361</v>
      </c>
      <c r="C1143" s="6" t="s">
        <v>3608</v>
      </c>
      <c r="D1143" s="6" t="s">
        <v>3609</v>
      </c>
      <c r="E1143" s="6" t="s">
        <v>3610</v>
      </c>
      <c r="F1143" s="6" t="s">
        <v>3607</v>
      </c>
      <c r="G1143" s="3" t="s">
        <v>11449</v>
      </c>
      <c r="H1143" s="54">
        <v>0.6</v>
      </c>
      <c r="I1143" s="16">
        <v>470000000</v>
      </c>
      <c r="J1143" s="157" t="s">
        <v>229</v>
      </c>
      <c r="K1143" s="5" t="s">
        <v>210</v>
      </c>
      <c r="L1143" s="6" t="s">
        <v>231</v>
      </c>
      <c r="M1143" s="3" t="s">
        <v>230</v>
      </c>
      <c r="N1143" s="6" t="s">
        <v>524</v>
      </c>
      <c r="O1143" s="6" t="s">
        <v>233</v>
      </c>
      <c r="P1143" s="58" t="s">
        <v>245</v>
      </c>
      <c r="Q1143" s="6" t="s">
        <v>246</v>
      </c>
      <c r="R1143" s="1">
        <v>400</v>
      </c>
      <c r="S1143" s="2">
        <v>343.75</v>
      </c>
      <c r="T1143" s="4">
        <v>0</v>
      </c>
      <c r="U1143" s="4">
        <f t="shared" si="41"/>
        <v>0</v>
      </c>
      <c r="V1143" s="3" t="s">
        <v>362</v>
      </c>
      <c r="W1143" s="3">
        <v>2014</v>
      </c>
      <c r="X1143" s="3" t="s">
        <v>12076</v>
      </c>
    </row>
    <row r="1144" spans="1:24" ht="102">
      <c r="A1144" s="3" t="s">
        <v>1047</v>
      </c>
      <c r="B1144" s="6" t="s">
        <v>361</v>
      </c>
      <c r="C1144" s="6" t="s">
        <v>3608</v>
      </c>
      <c r="D1144" s="6" t="s">
        <v>3609</v>
      </c>
      <c r="E1144" s="6" t="s">
        <v>3610</v>
      </c>
      <c r="F1144" s="6" t="s">
        <v>3611</v>
      </c>
      <c r="G1144" s="3" t="s">
        <v>11449</v>
      </c>
      <c r="H1144" s="54">
        <v>0.6</v>
      </c>
      <c r="I1144" s="16">
        <v>470000000</v>
      </c>
      <c r="J1144" s="157" t="s">
        <v>229</v>
      </c>
      <c r="K1144" s="5" t="s">
        <v>210</v>
      </c>
      <c r="L1144" s="6" t="s">
        <v>231</v>
      </c>
      <c r="M1144" s="3" t="s">
        <v>230</v>
      </c>
      <c r="N1144" s="6" t="s">
        <v>524</v>
      </c>
      <c r="O1144" s="6" t="s">
        <v>233</v>
      </c>
      <c r="P1144" s="58" t="s">
        <v>245</v>
      </c>
      <c r="Q1144" s="6" t="s">
        <v>246</v>
      </c>
      <c r="R1144" s="1">
        <v>400</v>
      </c>
      <c r="S1144" s="2">
        <v>343.75</v>
      </c>
      <c r="T1144" s="4">
        <v>0</v>
      </c>
      <c r="U1144" s="4">
        <f t="shared" si="41"/>
        <v>0</v>
      </c>
      <c r="V1144" s="3" t="s">
        <v>362</v>
      </c>
      <c r="W1144" s="3">
        <v>2014</v>
      </c>
      <c r="X1144" s="3" t="s">
        <v>12051</v>
      </c>
    </row>
    <row r="1145" spans="1:24" ht="102">
      <c r="A1145" s="3" t="s">
        <v>14727</v>
      </c>
      <c r="B1145" s="6" t="s">
        <v>361</v>
      </c>
      <c r="C1145" s="6" t="s">
        <v>3608</v>
      </c>
      <c r="D1145" s="6" t="s">
        <v>3609</v>
      </c>
      <c r="E1145" s="6" t="s">
        <v>3610</v>
      </c>
      <c r="F1145" s="6" t="s">
        <v>3611</v>
      </c>
      <c r="G1145" s="3" t="s">
        <v>11449</v>
      </c>
      <c r="H1145" s="54">
        <v>0.6</v>
      </c>
      <c r="I1145" s="16">
        <v>470000000</v>
      </c>
      <c r="J1145" s="157" t="s">
        <v>229</v>
      </c>
      <c r="K1145" s="5" t="s">
        <v>14590</v>
      </c>
      <c r="L1145" s="6" t="s">
        <v>231</v>
      </c>
      <c r="M1145" s="3" t="s">
        <v>230</v>
      </c>
      <c r="N1145" s="6" t="s">
        <v>524</v>
      </c>
      <c r="O1145" s="6" t="s">
        <v>233</v>
      </c>
      <c r="P1145" s="58" t="s">
        <v>245</v>
      </c>
      <c r="Q1145" s="6" t="s">
        <v>246</v>
      </c>
      <c r="R1145" s="1">
        <v>300</v>
      </c>
      <c r="S1145" s="2">
        <v>412.5</v>
      </c>
      <c r="T1145" s="4">
        <v>0</v>
      </c>
      <c r="U1145" s="4">
        <f t="shared" si="41"/>
        <v>0</v>
      </c>
      <c r="V1145" s="3" t="s">
        <v>362</v>
      </c>
      <c r="W1145" s="3">
        <v>2014</v>
      </c>
      <c r="X1145" s="3" t="s">
        <v>17399</v>
      </c>
    </row>
    <row r="1146" spans="1:24" ht="102">
      <c r="A1146" s="3" t="s">
        <v>18355</v>
      </c>
      <c r="B1146" s="6" t="s">
        <v>361</v>
      </c>
      <c r="C1146" s="6" t="s">
        <v>3608</v>
      </c>
      <c r="D1146" s="6" t="s">
        <v>3609</v>
      </c>
      <c r="E1146" s="6" t="s">
        <v>3610</v>
      </c>
      <c r="F1146" s="6" t="s">
        <v>3611</v>
      </c>
      <c r="G1146" s="3" t="s">
        <v>11450</v>
      </c>
      <c r="H1146" s="54">
        <v>0.6</v>
      </c>
      <c r="I1146" s="16">
        <v>470000000</v>
      </c>
      <c r="J1146" s="157" t="s">
        <v>229</v>
      </c>
      <c r="K1146" s="5" t="s">
        <v>8950</v>
      </c>
      <c r="L1146" s="6" t="s">
        <v>231</v>
      </c>
      <c r="M1146" s="3" t="s">
        <v>230</v>
      </c>
      <c r="N1146" s="6" t="s">
        <v>8914</v>
      </c>
      <c r="O1146" s="6" t="s">
        <v>233</v>
      </c>
      <c r="P1146" s="58" t="s">
        <v>245</v>
      </c>
      <c r="Q1146" s="6" t="s">
        <v>246</v>
      </c>
      <c r="R1146" s="1">
        <v>300</v>
      </c>
      <c r="S1146" s="2">
        <v>412.5</v>
      </c>
      <c r="T1146" s="4">
        <f>R1146*S1146</f>
        <v>123750</v>
      </c>
      <c r="U1146" s="4">
        <f t="shared" si="41"/>
        <v>138600</v>
      </c>
      <c r="V1146" s="3" t="s">
        <v>362</v>
      </c>
      <c r="W1146" s="3">
        <v>2014</v>
      </c>
      <c r="X1146" s="3"/>
    </row>
    <row r="1147" spans="1:24" ht="102">
      <c r="A1147" s="3" t="s">
        <v>1048</v>
      </c>
      <c r="B1147" s="6" t="s">
        <v>361</v>
      </c>
      <c r="C1147" s="6" t="s">
        <v>3608</v>
      </c>
      <c r="D1147" s="6" t="s">
        <v>3609</v>
      </c>
      <c r="E1147" s="6" t="s">
        <v>3610</v>
      </c>
      <c r="F1147" s="6" t="s">
        <v>3612</v>
      </c>
      <c r="G1147" s="3" t="s">
        <v>11449</v>
      </c>
      <c r="H1147" s="54">
        <v>0.6</v>
      </c>
      <c r="I1147" s="16">
        <v>470000000</v>
      </c>
      <c r="J1147" s="157" t="s">
        <v>229</v>
      </c>
      <c r="K1147" s="5" t="s">
        <v>210</v>
      </c>
      <c r="L1147" s="6" t="s">
        <v>231</v>
      </c>
      <c r="M1147" s="3" t="s">
        <v>230</v>
      </c>
      <c r="N1147" s="6" t="s">
        <v>524</v>
      </c>
      <c r="O1147" s="6" t="s">
        <v>233</v>
      </c>
      <c r="P1147" s="58" t="s">
        <v>245</v>
      </c>
      <c r="Q1147" s="6" t="s">
        <v>246</v>
      </c>
      <c r="R1147" s="1">
        <v>400</v>
      </c>
      <c r="S1147" s="2">
        <v>0</v>
      </c>
      <c r="T1147" s="4">
        <f>R1147*S1147</f>
        <v>0</v>
      </c>
      <c r="U1147" s="4">
        <f t="shared" si="41"/>
        <v>0</v>
      </c>
      <c r="V1147" s="3" t="s">
        <v>362</v>
      </c>
      <c r="W1147" s="3">
        <v>2014</v>
      </c>
      <c r="X1147" s="3" t="s">
        <v>12051</v>
      </c>
    </row>
    <row r="1148" spans="1:24" ht="102">
      <c r="A1148" s="3" t="s">
        <v>14728</v>
      </c>
      <c r="B1148" s="6" t="s">
        <v>361</v>
      </c>
      <c r="C1148" s="6" t="s">
        <v>3608</v>
      </c>
      <c r="D1148" s="6" t="s">
        <v>3609</v>
      </c>
      <c r="E1148" s="6" t="s">
        <v>3610</v>
      </c>
      <c r="F1148" s="6" t="s">
        <v>3612</v>
      </c>
      <c r="G1148" s="3" t="s">
        <v>11449</v>
      </c>
      <c r="H1148" s="54">
        <v>0.6</v>
      </c>
      <c r="I1148" s="16">
        <v>470000000</v>
      </c>
      <c r="J1148" s="157" t="s">
        <v>229</v>
      </c>
      <c r="K1148" s="5" t="s">
        <v>14590</v>
      </c>
      <c r="L1148" s="6" t="s">
        <v>231</v>
      </c>
      <c r="M1148" s="3" t="s">
        <v>230</v>
      </c>
      <c r="N1148" s="6" t="s">
        <v>524</v>
      </c>
      <c r="O1148" s="6" t="s">
        <v>233</v>
      </c>
      <c r="P1148" s="58" t="s">
        <v>245</v>
      </c>
      <c r="Q1148" s="6" t="s">
        <v>246</v>
      </c>
      <c r="R1148" s="1">
        <v>300</v>
      </c>
      <c r="S1148" s="2">
        <v>412.5</v>
      </c>
      <c r="T1148" s="4">
        <v>0</v>
      </c>
      <c r="U1148" s="4">
        <f t="shared" si="41"/>
        <v>0</v>
      </c>
      <c r="V1148" s="3" t="s">
        <v>362</v>
      </c>
      <c r="W1148" s="3">
        <v>2014</v>
      </c>
      <c r="X1148" s="3" t="s">
        <v>17399</v>
      </c>
    </row>
    <row r="1149" spans="1:24" ht="102">
      <c r="A1149" s="3" t="s">
        <v>18356</v>
      </c>
      <c r="B1149" s="6" t="s">
        <v>361</v>
      </c>
      <c r="C1149" s="6" t="s">
        <v>3608</v>
      </c>
      <c r="D1149" s="6" t="s">
        <v>3609</v>
      </c>
      <c r="E1149" s="6" t="s">
        <v>3610</v>
      </c>
      <c r="F1149" s="6" t="s">
        <v>3612</v>
      </c>
      <c r="G1149" s="3" t="s">
        <v>11450</v>
      </c>
      <c r="H1149" s="54">
        <v>0.6</v>
      </c>
      <c r="I1149" s="16">
        <v>470000000</v>
      </c>
      <c r="J1149" s="157" t="s">
        <v>229</v>
      </c>
      <c r="K1149" s="5" t="s">
        <v>8950</v>
      </c>
      <c r="L1149" s="6" t="s">
        <v>231</v>
      </c>
      <c r="M1149" s="3" t="s">
        <v>230</v>
      </c>
      <c r="N1149" s="6" t="s">
        <v>8914</v>
      </c>
      <c r="O1149" s="6" t="s">
        <v>233</v>
      </c>
      <c r="P1149" s="58" t="s">
        <v>245</v>
      </c>
      <c r="Q1149" s="6" t="s">
        <v>246</v>
      </c>
      <c r="R1149" s="1">
        <v>300</v>
      </c>
      <c r="S1149" s="2">
        <v>412.5</v>
      </c>
      <c r="T1149" s="4">
        <f>R1149*S1149</f>
        <v>123750</v>
      </c>
      <c r="U1149" s="4">
        <f t="shared" si="41"/>
        <v>138600</v>
      </c>
      <c r="V1149" s="3" t="s">
        <v>362</v>
      </c>
      <c r="W1149" s="3">
        <v>2014</v>
      </c>
      <c r="X1149" s="3"/>
    </row>
    <row r="1150" spans="1:24" ht="102">
      <c r="A1150" s="3" t="s">
        <v>1049</v>
      </c>
      <c r="B1150" s="6" t="s">
        <v>361</v>
      </c>
      <c r="C1150" s="6" t="s">
        <v>3608</v>
      </c>
      <c r="D1150" s="6" t="s">
        <v>3609</v>
      </c>
      <c r="E1150" s="6" t="s">
        <v>3610</v>
      </c>
      <c r="F1150" s="6" t="s">
        <v>3613</v>
      </c>
      <c r="G1150" s="3" t="s">
        <v>11449</v>
      </c>
      <c r="H1150" s="54">
        <v>0.6</v>
      </c>
      <c r="I1150" s="16">
        <v>470000000</v>
      </c>
      <c r="J1150" s="157" t="s">
        <v>229</v>
      </c>
      <c r="K1150" s="5" t="s">
        <v>210</v>
      </c>
      <c r="L1150" s="6" t="s">
        <v>231</v>
      </c>
      <c r="M1150" s="3" t="s">
        <v>230</v>
      </c>
      <c r="N1150" s="6" t="s">
        <v>524</v>
      </c>
      <c r="O1150" s="6" t="s">
        <v>233</v>
      </c>
      <c r="P1150" s="58" t="s">
        <v>245</v>
      </c>
      <c r="Q1150" s="6" t="s">
        <v>246</v>
      </c>
      <c r="R1150" s="1">
        <v>400</v>
      </c>
      <c r="S1150" s="2">
        <v>343.75</v>
      </c>
      <c r="T1150" s="4">
        <v>0</v>
      </c>
      <c r="U1150" s="4">
        <f t="shared" si="41"/>
        <v>0</v>
      </c>
      <c r="V1150" s="3" t="s">
        <v>362</v>
      </c>
      <c r="W1150" s="3">
        <v>2014</v>
      </c>
      <c r="X1150" s="3" t="s">
        <v>12051</v>
      </c>
    </row>
    <row r="1151" spans="1:24" ht="102">
      <c r="A1151" s="3" t="s">
        <v>14729</v>
      </c>
      <c r="B1151" s="6" t="s">
        <v>361</v>
      </c>
      <c r="C1151" s="6" t="s">
        <v>3608</v>
      </c>
      <c r="D1151" s="6" t="s">
        <v>3609</v>
      </c>
      <c r="E1151" s="6" t="s">
        <v>3610</v>
      </c>
      <c r="F1151" s="6" t="s">
        <v>3613</v>
      </c>
      <c r="G1151" s="3" t="s">
        <v>11449</v>
      </c>
      <c r="H1151" s="54">
        <v>0.6</v>
      </c>
      <c r="I1151" s="16">
        <v>470000000</v>
      </c>
      <c r="J1151" s="157" t="s">
        <v>229</v>
      </c>
      <c r="K1151" s="5" t="s">
        <v>14590</v>
      </c>
      <c r="L1151" s="6" t="s">
        <v>231</v>
      </c>
      <c r="M1151" s="3" t="s">
        <v>230</v>
      </c>
      <c r="N1151" s="6" t="s">
        <v>524</v>
      </c>
      <c r="O1151" s="6" t="s">
        <v>233</v>
      </c>
      <c r="P1151" s="58" t="s">
        <v>245</v>
      </c>
      <c r="Q1151" s="6" t="s">
        <v>246</v>
      </c>
      <c r="R1151" s="1">
        <v>300</v>
      </c>
      <c r="S1151" s="2">
        <v>412.5</v>
      </c>
      <c r="T1151" s="4">
        <v>0</v>
      </c>
      <c r="U1151" s="4">
        <f t="shared" si="41"/>
        <v>0</v>
      </c>
      <c r="V1151" s="3" t="s">
        <v>362</v>
      </c>
      <c r="W1151" s="3">
        <v>2014</v>
      </c>
      <c r="X1151" s="3" t="s">
        <v>17399</v>
      </c>
    </row>
    <row r="1152" spans="1:24" ht="102">
      <c r="A1152" s="3" t="s">
        <v>18357</v>
      </c>
      <c r="B1152" s="6" t="s">
        <v>361</v>
      </c>
      <c r="C1152" s="6" t="s">
        <v>3608</v>
      </c>
      <c r="D1152" s="6" t="s">
        <v>3609</v>
      </c>
      <c r="E1152" s="6" t="s">
        <v>3610</v>
      </c>
      <c r="F1152" s="6" t="s">
        <v>3613</v>
      </c>
      <c r="G1152" s="3" t="s">
        <v>11450</v>
      </c>
      <c r="H1152" s="54">
        <v>0.6</v>
      </c>
      <c r="I1152" s="16">
        <v>470000000</v>
      </c>
      <c r="J1152" s="157" t="s">
        <v>229</v>
      </c>
      <c r="K1152" s="5" t="s">
        <v>8950</v>
      </c>
      <c r="L1152" s="6" t="s">
        <v>231</v>
      </c>
      <c r="M1152" s="3" t="s">
        <v>230</v>
      </c>
      <c r="N1152" s="6" t="s">
        <v>8914</v>
      </c>
      <c r="O1152" s="6" t="s">
        <v>233</v>
      </c>
      <c r="P1152" s="58" t="s">
        <v>245</v>
      </c>
      <c r="Q1152" s="6" t="s">
        <v>246</v>
      </c>
      <c r="R1152" s="1">
        <v>300</v>
      </c>
      <c r="S1152" s="2">
        <v>412.5</v>
      </c>
      <c r="T1152" s="4">
        <f>R1152*S1152</f>
        <v>123750</v>
      </c>
      <c r="U1152" s="4">
        <f t="shared" si="41"/>
        <v>138600</v>
      </c>
      <c r="V1152" s="3" t="s">
        <v>362</v>
      </c>
      <c r="W1152" s="3">
        <v>2014</v>
      </c>
      <c r="X1152" s="3"/>
    </row>
    <row r="1153" spans="1:24" ht="102">
      <c r="A1153" s="3" t="s">
        <v>1050</v>
      </c>
      <c r="B1153" s="6" t="s">
        <v>361</v>
      </c>
      <c r="C1153" s="6" t="s">
        <v>3608</v>
      </c>
      <c r="D1153" s="6" t="s">
        <v>3609</v>
      </c>
      <c r="E1153" s="6" t="s">
        <v>3610</v>
      </c>
      <c r="F1153" s="6" t="s">
        <v>3614</v>
      </c>
      <c r="G1153" s="3" t="s">
        <v>11449</v>
      </c>
      <c r="H1153" s="54">
        <v>0.6</v>
      </c>
      <c r="I1153" s="16">
        <v>470000000</v>
      </c>
      <c r="J1153" s="157" t="s">
        <v>229</v>
      </c>
      <c r="K1153" s="5" t="s">
        <v>210</v>
      </c>
      <c r="L1153" s="6" t="s">
        <v>231</v>
      </c>
      <c r="M1153" s="3" t="s">
        <v>230</v>
      </c>
      <c r="N1153" s="6" t="s">
        <v>524</v>
      </c>
      <c r="O1153" s="6" t="s">
        <v>233</v>
      </c>
      <c r="P1153" s="58" t="s">
        <v>245</v>
      </c>
      <c r="Q1153" s="6" t="s">
        <v>246</v>
      </c>
      <c r="R1153" s="1">
        <v>400</v>
      </c>
      <c r="S1153" s="2">
        <v>343.75</v>
      </c>
      <c r="T1153" s="4">
        <v>0</v>
      </c>
      <c r="U1153" s="4">
        <f t="shared" si="41"/>
        <v>0</v>
      </c>
      <c r="V1153" s="3" t="s">
        <v>362</v>
      </c>
      <c r="W1153" s="3">
        <v>2014</v>
      </c>
      <c r="X1153" s="3">
        <v>11</v>
      </c>
    </row>
    <row r="1154" spans="1:24" ht="102">
      <c r="A1154" s="3" t="s">
        <v>14730</v>
      </c>
      <c r="B1154" s="6" t="s">
        <v>361</v>
      </c>
      <c r="C1154" s="6" t="s">
        <v>3608</v>
      </c>
      <c r="D1154" s="6" t="s">
        <v>3609</v>
      </c>
      <c r="E1154" s="6" t="s">
        <v>3610</v>
      </c>
      <c r="F1154" s="6" t="s">
        <v>3614</v>
      </c>
      <c r="G1154" s="3" t="s">
        <v>11449</v>
      </c>
      <c r="H1154" s="54">
        <v>0.6</v>
      </c>
      <c r="I1154" s="16">
        <v>470000000</v>
      </c>
      <c r="J1154" s="157" t="s">
        <v>229</v>
      </c>
      <c r="K1154" s="5" t="s">
        <v>211</v>
      </c>
      <c r="L1154" s="6" t="s">
        <v>231</v>
      </c>
      <c r="M1154" s="3" t="s">
        <v>230</v>
      </c>
      <c r="N1154" s="6" t="s">
        <v>524</v>
      </c>
      <c r="O1154" s="6" t="s">
        <v>233</v>
      </c>
      <c r="P1154" s="58" t="s">
        <v>245</v>
      </c>
      <c r="Q1154" s="6" t="s">
        <v>246</v>
      </c>
      <c r="R1154" s="1">
        <v>400</v>
      </c>
      <c r="S1154" s="2">
        <v>343.75</v>
      </c>
      <c r="T1154" s="4">
        <v>0</v>
      </c>
      <c r="U1154" s="4">
        <f t="shared" si="41"/>
        <v>0</v>
      </c>
      <c r="V1154" s="3" t="s">
        <v>362</v>
      </c>
      <c r="W1154" s="3">
        <v>2014</v>
      </c>
      <c r="X1154" s="3" t="s">
        <v>12051</v>
      </c>
    </row>
    <row r="1155" spans="1:24" ht="102">
      <c r="A1155" s="3" t="s">
        <v>14731</v>
      </c>
      <c r="B1155" s="6" t="s">
        <v>361</v>
      </c>
      <c r="C1155" s="6" t="s">
        <v>3608</v>
      </c>
      <c r="D1155" s="6" t="s">
        <v>3609</v>
      </c>
      <c r="E1155" s="6" t="s">
        <v>3610</v>
      </c>
      <c r="F1155" s="6" t="s">
        <v>3614</v>
      </c>
      <c r="G1155" s="3" t="s">
        <v>11449</v>
      </c>
      <c r="H1155" s="54">
        <v>0.6</v>
      </c>
      <c r="I1155" s="16">
        <v>470000000</v>
      </c>
      <c r="J1155" s="157" t="s">
        <v>229</v>
      </c>
      <c r="K1155" s="5" t="s">
        <v>14590</v>
      </c>
      <c r="L1155" s="6" t="s">
        <v>231</v>
      </c>
      <c r="M1155" s="3" t="s">
        <v>230</v>
      </c>
      <c r="N1155" s="6" t="s">
        <v>524</v>
      </c>
      <c r="O1155" s="6" t="s">
        <v>233</v>
      </c>
      <c r="P1155" s="58" t="s">
        <v>245</v>
      </c>
      <c r="Q1155" s="6" t="s">
        <v>246</v>
      </c>
      <c r="R1155" s="1">
        <v>300</v>
      </c>
      <c r="S1155" s="2">
        <v>412.5</v>
      </c>
      <c r="T1155" s="4">
        <v>0</v>
      </c>
      <c r="U1155" s="4">
        <f t="shared" si="41"/>
        <v>0</v>
      </c>
      <c r="V1155" s="3" t="s">
        <v>362</v>
      </c>
      <c r="W1155" s="3">
        <v>2014</v>
      </c>
      <c r="X1155" s="3" t="s">
        <v>17399</v>
      </c>
    </row>
    <row r="1156" spans="1:24" ht="102">
      <c r="A1156" s="3" t="s">
        <v>18153</v>
      </c>
      <c r="B1156" s="6" t="s">
        <v>361</v>
      </c>
      <c r="C1156" s="6" t="s">
        <v>3608</v>
      </c>
      <c r="D1156" s="6" t="s">
        <v>3609</v>
      </c>
      <c r="E1156" s="6" t="s">
        <v>3610</v>
      </c>
      <c r="F1156" s="6" t="s">
        <v>3614</v>
      </c>
      <c r="G1156" s="3" t="s">
        <v>11450</v>
      </c>
      <c r="H1156" s="54">
        <v>0.6</v>
      </c>
      <c r="I1156" s="16">
        <v>470000000</v>
      </c>
      <c r="J1156" s="157" t="s">
        <v>229</v>
      </c>
      <c r="K1156" s="5" t="s">
        <v>8950</v>
      </c>
      <c r="L1156" s="6" t="s">
        <v>231</v>
      </c>
      <c r="M1156" s="3" t="s">
        <v>230</v>
      </c>
      <c r="N1156" s="6" t="s">
        <v>8914</v>
      </c>
      <c r="O1156" s="6" t="s">
        <v>233</v>
      </c>
      <c r="P1156" s="58" t="s">
        <v>245</v>
      </c>
      <c r="Q1156" s="6" t="s">
        <v>246</v>
      </c>
      <c r="R1156" s="1">
        <v>300</v>
      </c>
      <c r="S1156" s="2">
        <v>412.5</v>
      </c>
      <c r="T1156" s="4">
        <f>R1156*S1156</f>
        <v>123750</v>
      </c>
      <c r="U1156" s="4">
        <f t="shared" si="41"/>
        <v>138600</v>
      </c>
      <c r="V1156" s="3" t="s">
        <v>362</v>
      </c>
      <c r="W1156" s="3">
        <v>2014</v>
      </c>
      <c r="X1156" s="3"/>
    </row>
    <row r="1157" spans="1:24" ht="102">
      <c r="A1157" s="3" t="s">
        <v>1051</v>
      </c>
      <c r="B1157" s="6" t="s">
        <v>361</v>
      </c>
      <c r="C1157" s="6" t="s">
        <v>3608</v>
      </c>
      <c r="D1157" s="6" t="s">
        <v>3609</v>
      </c>
      <c r="E1157" s="6" t="s">
        <v>3610</v>
      </c>
      <c r="F1157" s="6" t="s">
        <v>3615</v>
      </c>
      <c r="G1157" s="3" t="s">
        <v>11449</v>
      </c>
      <c r="H1157" s="54">
        <v>0.6</v>
      </c>
      <c r="I1157" s="16">
        <v>470000000</v>
      </c>
      <c r="J1157" s="157" t="s">
        <v>229</v>
      </c>
      <c r="K1157" s="5" t="s">
        <v>210</v>
      </c>
      <c r="L1157" s="6" t="s">
        <v>231</v>
      </c>
      <c r="M1157" s="3" t="s">
        <v>230</v>
      </c>
      <c r="N1157" s="6" t="s">
        <v>524</v>
      </c>
      <c r="O1157" s="6" t="s">
        <v>233</v>
      </c>
      <c r="P1157" s="58" t="s">
        <v>245</v>
      </c>
      <c r="Q1157" s="6" t="s">
        <v>246</v>
      </c>
      <c r="R1157" s="1">
        <v>400</v>
      </c>
      <c r="S1157" s="2">
        <v>343.75</v>
      </c>
      <c r="T1157" s="4">
        <v>0</v>
      </c>
      <c r="U1157" s="4">
        <f t="shared" si="41"/>
        <v>0</v>
      </c>
      <c r="V1157" s="3" t="s">
        <v>362</v>
      </c>
      <c r="W1157" s="3">
        <v>2014</v>
      </c>
      <c r="X1157" s="3" t="s">
        <v>12051</v>
      </c>
    </row>
    <row r="1158" spans="1:24" ht="102">
      <c r="A1158" s="3" t="s">
        <v>14732</v>
      </c>
      <c r="B1158" s="6" t="s">
        <v>361</v>
      </c>
      <c r="C1158" s="6" t="s">
        <v>3608</v>
      </c>
      <c r="D1158" s="6" t="s">
        <v>3609</v>
      </c>
      <c r="E1158" s="6" t="s">
        <v>3610</v>
      </c>
      <c r="F1158" s="6" t="s">
        <v>3615</v>
      </c>
      <c r="G1158" s="3" t="s">
        <v>11449</v>
      </c>
      <c r="H1158" s="54">
        <v>0.6</v>
      </c>
      <c r="I1158" s="16">
        <v>470000000</v>
      </c>
      <c r="J1158" s="157" t="s">
        <v>229</v>
      </c>
      <c r="K1158" s="5" t="s">
        <v>14590</v>
      </c>
      <c r="L1158" s="6" t="s">
        <v>231</v>
      </c>
      <c r="M1158" s="3" t="s">
        <v>230</v>
      </c>
      <c r="N1158" s="6" t="s">
        <v>524</v>
      </c>
      <c r="O1158" s="6" t="s">
        <v>233</v>
      </c>
      <c r="P1158" s="58" t="s">
        <v>245</v>
      </c>
      <c r="Q1158" s="6" t="s">
        <v>246</v>
      </c>
      <c r="R1158" s="1">
        <v>300</v>
      </c>
      <c r="S1158" s="2">
        <v>412.5</v>
      </c>
      <c r="T1158" s="4">
        <v>0</v>
      </c>
      <c r="U1158" s="4">
        <f t="shared" si="41"/>
        <v>0</v>
      </c>
      <c r="V1158" s="3" t="s">
        <v>362</v>
      </c>
      <c r="W1158" s="3">
        <v>2014</v>
      </c>
      <c r="X1158" s="3" t="s">
        <v>17399</v>
      </c>
    </row>
    <row r="1159" spans="1:24" ht="102">
      <c r="A1159" s="3" t="s">
        <v>18154</v>
      </c>
      <c r="B1159" s="6" t="s">
        <v>361</v>
      </c>
      <c r="C1159" s="6" t="s">
        <v>3608</v>
      </c>
      <c r="D1159" s="6" t="s">
        <v>3609</v>
      </c>
      <c r="E1159" s="6" t="s">
        <v>3610</v>
      </c>
      <c r="F1159" s="6" t="s">
        <v>3615</v>
      </c>
      <c r="G1159" s="3" t="s">
        <v>11450</v>
      </c>
      <c r="H1159" s="54">
        <v>0.6</v>
      </c>
      <c r="I1159" s="16">
        <v>470000000</v>
      </c>
      <c r="J1159" s="157" t="s">
        <v>229</v>
      </c>
      <c r="K1159" s="5" t="s">
        <v>18155</v>
      </c>
      <c r="L1159" s="6" t="s">
        <v>231</v>
      </c>
      <c r="M1159" s="3" t="s">
        <v>230</v>
      </c>
      <c r="N1159" s="6" t="s">
        <v>8914</v>
      </c>
      <c r="O1159" s="6" t="s">
        <v>233</v>
      </c>
      <c r="P1159" s="58" t="s">
        <v>245</v>
      </c>
      <c r="Q1159" s="6" t="s">
        <v>246</v>
      </c>
      <c r="R1159" s="1">
        <v>300</v>
      </c>
      <c r="S1159" s="2">
        <v>412.5</v>
      </c>
      <c r="T1159" s="4">
        <f>R1159*S1159</f>
        <v>123750</v>
      </c>
      <c r="U1159" s="4">
        <f t="shared" si="41"/>
        <v>138600</v>
      </c>
      <c r="V1159" s="3" t="s">
        <v>362</v>
      </c>
      <c r="W1159" s="3">
        <v>2014</v>
      </c>
      <c r="X1159" s="3"/>
    </row>
    <row r="1160" spans="1:24" ht="102">
      <c r="A1160" s="3" t="s">
        <v>1052</v>
      </c>
      <c r="B1160" s="6" t="s">
        <v>361</v>
      </c>
      <c r="C1160" s="6" t="s">
        <v>3608</v>
      </c>
      <c r="D1160" s="6" t="s">
        <v>3609</v>
      </c>
      <c r="E1160" s="6" t="s">
        <v>3610</v>
      </c>
      <c r="F1160" s="6" t="s">
        <v>3616</v>
      </c>
      <c r="G1160" s="3" t="s">
        <v>11449</v>
      </c>
      <c r="H1160" s="54">
        <v>0.6</v>
      </c>
      <c r="I1160" s="16">
        <v>470000000</v>
      </c>
      <c r="J1160" s="157" t="s">
        <v>229</v>
      </c>
      <c r="K1160" s="5" t="s">
        <v>210</v>
      </c>
      <c r="L1160" s="6" t="s">
        <v>231</v>
      </c>
      <c r="M1160" s="3" t="s">
        <v>230</v>
      </c>
      <c r="N1160" s="6" t="s">
        <v>524</v>
      </c>
      <c r="O1160" s="6" t="s">
        <v>233</v>
      </c>
      <c r="P1160" s="58" t="s">
        <v>245</v>
      </c>
      <c r="Q1160" s="6" t="s">
        <v>246</v>
      </c>
      <c r="R1160" s="1">
        <v>400</v>
      </c>
      <c r="S1160" s="2">
        <v>343.75</v>
      </c>
      <c r="T1160" s="4">
        <v>0</v>
      </c>
      <c r="U1160" s="4">
        <f t="shared" si="41"/>
        <v>0</v>
      </c>
      <c r="V1160" s="3" t="s">
        <v>362</v>
      </c>
      <c r="W1160" s="3">
        <v>2014</v>
      </c>
      <c r="X1160" s="3" t="s">
        <v>12051</v>
      </c>
    </row>
    <row r="1161" spans="1:24" ht="102">
      <c r="A1161" s="3" t="s">
        <v>14733</v>
      </c>
      <c r="B1161" s="6" t="s">
        <v>361</v>
      </c>
      <c r="C1161" s="6" t="s">
        <v>3608</v>
      </c>
      <c r="D1161" s="6" t="s">
        <v>3609</v>
      </c>
      <c r="E1161" s="6" t="s">
        <v>3610</v>
      </c>
      <c r="F1161" s="6" t="s">
        <v>3616</v>
      </c>
      <c r="G1161" s="3" t="s">
        <v>11449</v>
      </c>
      <c r="H1161" s="54">
        <v>0.6</v>
      </c>
      <c r="I1161" s="16">
        <v>470000000</v>
      </c>
      <c r="J1161" s="157" t="s">
        <v>229</v>
      </c>
      <c r="K1161" s="5" t="s">
        <v>14590</v>
      </c>
      <c r="L1161" s="6" t="s">
        <v>231</v>
      </c>
      <c r="M1161" s="3" t="s">
        <v>230</v>
      </c>
      <c r="N1161" s="6" t="s">
        <v>524</v>
      </c>
      <c r="O1161" s="6" t="s">
        <v>233</v>
      </c>
      <c r="P1161" s="58" t="s">
        <v>245</v>
      </c>
      <c r="Q1161" s="6" t="s">
        <v>246</v>
      </c>
      <c r="R1161" s="1">
        <v>300</v>
      </c>
      <c r="S1161" s="2">
        <v>412.5</v>
      </c>
      <c r="T1161" s="4">
        <v>0</v>
      </c>
      <c r="U1161" s="4">
        <f t="shared" si="41"/>
        <v>0</v>
      </c>
      <c r="V1161" s="3" t="s">
        <v>362</v>
      </c>
      <c r="W1161" s="3">
        <v>2014</v>
      </c>
      <c r="X1161" s="3" t="s">
        <v>17399</v>
      </c>
    </row>
    <row r="1162" spans="1:24" ht="102">
      <c r="A1162" s="3" t="s">
        <v>18156</v>
      </c>
      <c r="B1162" s="6" t="s">
        <v>361</v>
      </c>
      <c r="C1162" s="6" t="s">
        <v>3608</v>
      </c>
      <c r="D1162" s="6" t="s">
        <v>3609</v>
      </c>
      <c r="E1162" s="6" t="s">
        <v>3610</v>
      </c>
      <c r="F1162" s="6" t="s">
        <v>3616</v>
      </c>
      <c r="G1162" s="3" t="s">
        <v>11450</v>
      </c>
      <c r="H1162" s="54">
        <v>0.6</v>
      </c>
      <c r="I1162" s="16">
        <v>470000000</v>
      </c>
      <c r="J1162" s="157" t="s">
        <v>229</v>
      </c>
      <c r="K1162" s="5" t="s">
        <v>8950</v>
      </c>
      <c r="L1162" s="6" t="s">
        <v>231</v>
      </c>
      <c r="M1162" s="3" t="s">
        <v>230</v>
      </c>
      <c r="N1162" s="6" t="s">
        <v>8914</v>
      </c>
      <c r="O1162" s="6" t="s">
        <v>233</v>
      </c>
      <c r="P1162" s="58" t="s">
        <v>245</v>
      </c>
      <c r="Q1162" s="6" t="s">
        <v>246</v>
      </c>
      <c r="R1162" s="1">
        <v>300</v>
      </c>
      <c r="S1162" s="2">
        <v>412.5</v>
      </c>
      <c r="T1162" s="4">
        <f>R1162*S1162</f>
        <v>123750</v>
      </c>
      <c r="U1162" s="4">
        <f t="shared" si="41"/>
        <v>138600</v>
      </c>
      <c r="V1162" s="3" t="s">
        <v>362</v>
      </c>
      <c r="W1162" s="3">
        <v>2014</v>
      </c>
      <c r="X1162" s="3"/>
    </row>
    <row r="1163" spans="1:24" ht="102">
      <c r="A1163" s="3" t="s">
        <v>1053</v>
      </c>
      <c r="B1163" s="6" t="s">
        <v>361</v>
      </c>
      <c r="C1163" s="6" t="s">
        <v>3608</v>
      </c>
      <c r="D1163" s="6" t="s">
        <v>3609</v>
      </c>
      <c r="E1163" s="6" t="s">
        <v>3610</v>
      </c>
      <c r="F1163" s="6" t="s">
        <v>3617</v>
      </c>
      <c r="G1163" s="3" t="s">
        <v>11449</v>
      </c>
      <c r="H1163" s="54">
        <v>0.6</v>
      </c>
      <c r="I1163" s="16">
        <v>470000000</v>
      </c>
      <c r="J1163" s="157" t="s">
        <v>229</v>
      </c>
      <c r="K1163" s="5" t="s">
        <v>210</v>
      </c>
      <c r="L1163" s="6" t="s">
        <v>231</v>
      </c>
      <c r="M1163" s="3" t="s">
        <v>230</v>
      </c>
      <c r="N1163" s="6" t="s">
        <v>524</v>
      </c>
      <c r="O1163" s="6" t="s">
        <v>233</v>
      </c>
      <c r="P1163" s="58" t="s">
        <v>245</v>
      </c>
      <c r="Q1163" s="6" t="s">
        <v>246</v>
      </c>
      <c r="R1163" s="1">
        <v>400</v>
      </c>
      <c r="S1163" s="2">
        <v>343.75</v>
      </c>
      <c r="T1163" s="4">
        <v>0</v>
      </c>
      <c r="U1163" s="4">
        <f t="shared" si="41"/>
        <v>0</v>
      </c>
      <c r="V1163" s="3" t="s">
        <v>362</v>
      </c>
      <c r="W1163" s="3">
        <v>2014</v>
      </c>
      <c r="X1163" s="3" t="s">
        <v>12051</v>
      </c>
    </row>
    <row r="1164" spans="1:24" ht="102">
      <c r="A1164" s="3" t="s">
        <v>14734</v>
      </c>
      <c r="B1164" s="6" t="s">
        <v>361</v>
      </c>
      <c r="C1164" s="6" t="s">
        <v>3608</v>
      </c>
      <c r="D1164" s="6" t="s">
        <v>3609</v>
      </c>
      <c r="E1164" s="6" t="s">
        <v>3610</v>
      </c>
      <c r="F1164" s="6" t="s">
        <v>3617</v>
      </c>
      <c r="G1164" s="3" t="s">
        <v>11449</v>
      </c>
      <c r="H1164" s="54">
        <v>0.6</v>
      </c>
      <c r="I1164" s="16">
        <v>470000000</v>
      </c>
      <c r="J1164" s="157" t="s">
        <v>229</v>
      </c>
      <c r="K1164" s="5" t="s">
        <v>14590</v>
      </c>
      <c r="L1164" s="6" t="s">
        <v>231</v>
      </c>
      <c r="M1164" s="3" t="s">
        <v>230</v>
      </c>
      <c r="N1164" s="6" t="s">
        <v>524</v>
      </c>
      <c r="O1164" s="6" t="s">
        <v>233</v>
      </c>
      <c r="P1164" s="58" t="s">
        <v>245</v>
      </c>
      <c r="Q1164" s="6" t="s">
        <v>246</v>
      </c>
      <c r="R1164" s="1">
        <v>300</v>
      </c>
      <c r="S1164" s="2">
        <v>412.5</v>
      </c>
      <c r="T1164" s="4">
        <v>0</v>
      </c>
      <c r="U1164" s="4">
        <f t="shared" si="41"/>
        <v>0</v>
      </c>
      <c r="V1164" s="3" t="s">
        <v>362</v>
      </c>
      <c r="W1164" s="3">
        <v>2014</v>
      </c>
      <c r="X1164" s="3" t="s">
        <v>17399</v>
      </c>
    </row>
    <row r="1165" spans="1:24" ht="102">
      <c r="A1165" s="3" t="s">
        <v>18157</v>
      </c>
      <c r="B1165" s="6" t="s">
        <v>361</v>
      </c>
      <c r="C1165" s="6" t="s">
        <v>3608</v>
      </c>
      <c r="D1165" s="6" t="s">
        <v>3609</v>
      </c>
      <c r="E1165" s="6" t="s">
        <v>3610</v>
      </c>
      <c r="F1165" s="6" t="s">
        <v>3617</v>
      </c>
      <c r="G1165" s="3" t="s">
        <v>11450</v>
      </c>
      <c r="H1165" s="54">
        <v>0.6</v>
      </c>
      <c r="I1165" s="16">
        <v>470000000</v>
      </c>
      <c r="J1165" s="157" t="s">
        <v>229</v>
      </c>
      <c r="K1165" s="5" t="s">
        <v>8950</v>
      </c>
      <c r="L1165" s="6" t="s">
        <v>231</v>
      </c>
      <c r="M1165" s="3" t="s">
        <v>230</v>
      </c>
      <c r="N1165" s="6" t="s">
        <v>8914</v>
      </c>
      <c r="O1165" s="6" t="s">
        <v>233</v>
      </c>
      <c r="P1165" s="58" t="s">
        <v>245</v>
      </c>
      <c r="Q1165" s="6" t="s">
        <v>246</v>
      </c>
      <c r="R1165" s="1">
        <v>300</v>
      </c>
      <c r="S1165" s="2">
        <v>412.5</v>
      </c>
      <c r="T1165" s="4">
        <f>R1165*S1165</f>
        <v>123750</v>
      </c>
      <c r="U1165" s="4">
        <f t="shared" si="41"/>
        <v>138600</v>
      </c>
      <c r="V1165" s="3" t="s">
        <v>362</v>
      </c>
      <c r="W1165" s="3">
        <v>2014</v>
      </c>
      <c r="X1165" s="3"/>
    </row>
    <row r="1166" spans="1:24" ht="102">
      <c r="A1166" s="3" t="s">
        <v>1054</v>
      </c>
      <c r="B1166" s="6" t="s">
        <v>361</v>
      </c>
      <c r="C1166" s="6" t="s">
        <v>3608</v>
      </c>
      <c r="D1166" s="6" t="s">
        <v>3609</v>
      </c>
      <c r="E1166" s="6" t="s">
        <v>3610</v>
      </c>
      <c r="F1166" s="6" t="s">
        <v>3618</v>
      </c>
      <c r="G1166" s="3" t="s">
        <v>11449</v>
      </c>
      <c r="H1166" s="54">
        <v>0.6</v>
      </c>
      <c r="I1166" s="16">
        <v>470000000</v>
      </c>
      <c r="J1166" s="157" t="s">
        <v>229</v>
      </c>
      <c r="K1166" s="5" t="s">
        <v>210</v>
      </c>
      <c r="L1166" s="6" t="s">
        <v>231</v>
      </c>
      <c r="M1166" s="3" t="s">
        <v>230</v>
      </c>
      <c r="N1166" s="6" t="s">
        <v>524</v>
      </c>
      <c r="O1166" s="6" t="s">
        <v>233</v>
      </c>
      <c r="P1166" s="58" t="s">
        <v>245</v>
      </c>
      <c r="Q1166" s="6" t="s">
        <v>246</v>
      </c>
      <c r="R1166" s="1">
        <v>400</v>
      </c>
      <c r="S1166" s="2">
        <v>343.75</v>
      </c>
      <c r="T1166" s="4">
        <v>0</v>
      </c>
      <c r="U1166" s="4">
        <f t="shared" si="41"/>
        <v>0</v>
      </c>
      <c r="V1166" s="3" t="s">
        <v>362</v>
      </c>
      <c r="W1166" s="3">
        <v>2014</v>
      </c>
      <c r="X1166" s="3" t="s">
        <v>12051</v>
      </c>
    </row>
    <row r="1167" spans="1:24" ht="102">
      <c r="A1167" s="3" t="s">
        <v>14735</v>
      </c>
      <c r="B1167" s="6" t="s">
        <v>361</v>
      </c>
      <c r="C1167" s="6" t="s">
        <v>3608</v>
      </c>
      <c r="D1167" s="6" t="s">
        <v>3609</v>
      </c>
      <c r="E1167" s="6" t="s">
        <v>3610</v>
      </c>
      <c r="F1167" s="6" t="s">
        <v>3618</v>
      </c>
      <c r="G1167" s="3" t="s">
        <v>11449</v>
      </c>
      <c r="H1167" s="54">
        <v>0.6</v>
      </c>
      <c r="I1167" s="16">
        <v>470000000</v>
      </c>
      <c r="J1167" s="157" t="s">
        <v>229</v>
      </c>
      <c r="K1167" s="5" t="s">
        <v>14590</v>
      </c>
      <c r="L1167" s="6" t="s">
        <v>231</v>
      </c>
      <c r="M1167" s="3" t="s">
        <v>230</v>
      </c>
      <c r="N1167" s="6" t="s">
        <v>524</v>
      </c>
      <c r="O1167" s="6" t="s">
        <v>233</v>
      </c>
      <c r="P1167" s="58" t="s">
        <v>245</v>
      </c>
      <c r="Q1167" s="6" t="s">
        <v>246</v>
      </c>
      <c r="R1167" s="1">
        <v>300</v>
      </c>
      <c r="S1167" s="2">
        <v>412.5</v>
      </c>
      <c r="T1167" s="4">
        <v>0</v>
      </c>
      <c r="U1167" s="4">
        <f t="shared" si="41"/>
        <v>0</v>
      </c>
      <c r="V1167" s="3" t="s">
        <v>362</v>
      </c>
      <c r="W1167" s="3">
        <v>2014</v>
      </c>
      <c r="X1167" s="3" t="s">
        <v>17399</v>
      </c>
    </row>
    <row r="1168" spans="1:24" ht="102">
      <c r="A1168" s="3" t="s">
        <v>18158</v>
      </c>
      <c r="B1168" s="6" t="s">
        <v>361</v>
      </c>
      <c r="C1168" s="6" t="s">
        <v>3608</v>
      </c>
      <c r="D1168" s="6" t="s">
        <v>3609</v>
      </c>
      <c r="E1168" s="6" t="s">
        <v>3610</v>
      </c>
      <c r="F1168" s="6" t="s">
        <v>3618</v>
      </c>
      <c r="G1168" s="3" t="s">
        <v>11450</v>
      </c>
      <c r="H1168" s="54">
        <v>0.6</v>
      </c>
      <c r="I1168" s="16">
        <v>470000000</v>
      </c>
      <c r="J1168" s="157" t="s">
        <v>229</v>
      </c>
      <c r="K1168" s="5" t="s">
        <v>8950</v>
      </c>
      <c r="L1168" s="6" t="s">
        <v>231</v>
      </c>
      <c r="M1168" s="3" t="s">
        <v>230</v>
      </c>
      <c r="N1168" s="6" t="s">
        <v>8914</v>
      </c>
      <c r="O1168" s="6" t="s">
        <v>233</v>
      </c>
      <c r="P1168" s="58" t="s">
        <v>245</v>
      </c>
      <c r="Q1168" s="6" t="s">
        <v>246</v>
      </c>
      <c r="R1168" s="1">
        <v>300</v>
      </c>
      <c r="S1168" s="2">
        <v>412.5</v>
      </c>
      <c r="T1168" s="4">
        <f>R1168*S1168</f>
        <v>123750</v>
      </c>
      <c r="U1168" s="4">
        <f t="shared" si="41"/>
        <v>138600</v>
      </c>
      <c r="V1168" s="3" t="s">
        <v>362</v>
      </c>
      <c r="W1168" s="3">
        <v>2014</v>
      </c>
      <c r="X1168" s="3"/>
    </row>
    <row r="1169" spans="1:24" ht="102">
      <c r="A1169" s="3" t="s">
        <v>1055</v>
      </c>
      <c r="B1169" s="6" t="s">
        <v>361</v>
      </c>
      <c r="C1169" s="6" t="s">
        <v>3608</v>
      </c>
      <c r="D1169" s="6" t="s">
        <v>3609</v>
      </c>
      <c r="E1169" s="6" t="s">
        <v>3610</v>
      </c>
      <c r="F1169" s="6" t="s">
        <v>3619</v>
      </c>
      <c r="G1169" s="3" t="s">
        <v>11449</v>
      </c>
      <c r="H1169" s="54">
        <v>0.6</v>
      </c>
      <c r="I1169" s="16">
        <v>470000000</v>
      </c>
      <c r="J1169" s="157" t="s">
        <v>229</v>
      </c>
      <c r="K1169" s="5" t="s">
        <v>210</v>
      </c>
      <c r="L1169" s="6" t="s">
        <v>231</v>
      </c>
      <c r="M1169" s="3" t="s">
        <v>230</v>
      </c>
      <c r="N1169" s="6" t="s">
        <v>524</v>
      </c>
      <c r="O1169" s="6" t="s">
        <v>233</v>
      </c>
      <c r="P1169" s="58" t="s">
        <v>245</v>
      </c>
      <c r="Q1169" s="6" t="s">
        <v>246</v>
      </c>
      <c r="R1169" s="1">
        <v>400</v>
      </c>
      <c r="S1169" s="2">
        <v>343.75</v>
      </c>
      <c r="T1169" s="4">
        <v>0</v>
      </c>
      <c r="U1169" s="4">
        <f t="shared" si="41"/>
        <v>0</v>
      </c>
      <c r="V1169" s="3" t="s">
        <v>362</v>
      </c>
      <c r="W1169" s="3">
        <v>2014</v>
      </c>
      <c r="X1169" s="3" t="s">
        <v>12051</v>
      </c>
    </row>
    <row r="1170" spans="1:24" ht="102">
      <c r="A1170" s="3" t="s">
        <v>14736</v>
      </c>
      <c r="B1170" s="6" t="s">
        <v>361</v>
      </c>
      <c r="C1170" s="6" t="s">
        <v>3608</v>
      </c>
      <c r="D1170" s="6" t="s">
        <v>3609</v>
      </c>
      <c r="E1170" s="6" t="s">
        <v>3610</v>
      </c>
      <c r="F1170" s="6" t="s">
        <v>3619</v>
      </c>
      <c r="G1170" s="3" t="s">
        <v>11449</v>
      </c>
      <c r="H1170" s="54">
        <v>0.6</v>
      </c>
      <c r="I1170" s="16">
        <v>470000000</v>
      </c>
      <c r="J1170" s="157" t="s">
        <v>229</v>
      </c>
      <c r="K1170" s="5" t="s">
        <v>14590</v>
      </c>
      <c r="L1170" s="6" t="s">
        <v>231</v>
      </c>
      <c r="M1170" s="3" t="s">
        <v>230</v>
      </c>
      <c r="N1170" s="6" t="s">
        <v>524</v>
      </c>
      <c r="O1170" s="6" t="s">
        <v>233</v>
      </c>
      <c r="P1170" s="58" t="s">
        <v>245</v>
      </c>
      <c r="Q1170" s="6" t="s">
        <v>246</v>
      </c>
      <c r="R1170" s="1">
        <v>300</v>
      </c>
      <c r="S1170" s="2">
        <v>412.5</v>
      </c>
      <c r="T1170" s="4">
        <v>0</v>
      </c>
      <c r="U1170" s="4">
        <f t="shared" si="41"/>
        <v>0</v>
      </c>
      <c r="V1170" s="3" t="s">
        <v>362</v>
      </c>
      <c r="W1170" s="3">
        <v>2014</v>
      </c>
      <c r="X1170" s="3" t="s">
        <v>17399</v>
      </c>
    </row>
    <row r="1171" spans="1:24" ht="102">
      <c r="A1171" s="3" t="s">
        <v>18159</v>
      </c>
      <c r="B1171" s="6" t="s">
        <v>361</v>
      </c>
      <c r="C1171" s="6" t="s">
        <v>3608</v>
      </c>
      <c r="D1171" s="6" t="s">
        <v>3609</v>
      </c>
      <c r="E1171" s="6" t="s">
        <v>3610</v>
      </c>
      <c r="F1171" s="6" t="s">
        <v>3619</v>
      </c>
      <c r="G1171" s="3" t="s">
        <v>11450</v>
      </c>
      <c r="H1171" s="54">
        <v>0.6</v>
      </c>
      <c r="I1171" s="16">
        <v>470000000</v>
      </c>
      <c r="J1171" s="157" t="s">
        <v>229</v>
      </c>
      <c r="K1171" s="5" t="s">
        <v>8950</v>
      </c>
      <c r="L1171" s="6" t="s">
        <v>231</v>
      </c>
      <c r="M1171" s="3" t="s">
        <v>230</v>
      </c>
      <c r="N1171" s="6" t="s">
        <v>8914</v>
      </c>
      <c r="O1171" s="6" t="s">
        <v>233</v>
      </c>
      <c r="P1171" s="58" t="s">
        <v>245</v>
      </c>
      <c r="Q1171" s="6" t="s">
        <v>246</v>
      </c>
      <c r="R1171" s="1">
        <v>300</v>
      </c>
      <c r="S1171" s="2">
        <v>412.5</v>
      </c>
      <c r="T1171" s="4">
        <f>R1171*S1171</f>
        <v>123750</v>
      </c>
      <c r="U1171" s="4">
        <f t="shared" si="41"/>
        <v>138600</v>
      </c>
      <c r="V1171" s="3" t="s">
        <v>362</v>
      </c>
      <c r="W1171" s="3">
        <v>2014</v>
      </c>
      <c r="X1171" s="3"/>
    </row>
    <row r="1172" spans="1:24" ht="102">
      <c r="A1172" s="3" t="s">
        <v>1056</v>
      </c>
      <c r="B1172" s="6" t="s">
        <v>361</v>
      </c>
      <c r="C1172" s="6" t="s">
        <v>3608</v>
      </c>
      <c r="D1172" s="6" t="s">
        <v>3609</v>
      </c>
      <c r="E1172" s="6" t="s">
        <v>3610</v>
      </c>
      <c r="F1172" s="6" t="s">
        <v>3620</v>
      </c>
      <c r="G1172" s="3" t="s">
        <v>11449</v>
      </c>
      <c r="H1172" s="54">
        <v>0.6</v>
      </c>
      <c r="I1172" s="16">
        <v>470000000</v>
      </c>
      <c r="J1172" s="157" t="s">
        <v>229</v>
      </c>
      <c r="K1172" s="5" t="s">
        <v>210</v>
      </c>
      <c r="L1172" s="6" t="s">
        <v>231</v>
      </c>
      <c r="M1172" s="3" t="s">
        <v>230</v>
      </c>
      <c r="N1172" s="6" t="s">
        <v>524</v>
      </c>
      <c r="O1172" s="6" t="s">
        <v>233</v>
      </c>
      <c r="P1172" s="58" t="s">
        <v>245</v>
      </c>
      <c r="Q1172" s="6" t="s">
        <v>246</v>
      </c>
      <c r="R1172" s="1">
        <v>400</v>
      </c>
      <c r="S1172" s="2">
        <v>343.75</v>
      </c>
      <c r="T1172" s="4">
        <v>0</v>
      </c>
      <c r="U1172" s="4">
        <f t="shared" si="41"/>
        <v>0</v>
      </c>
      <c r="V1172" s="3" t="s">
        <v>362</v>
      </c>
      <c r="W1172" s="3">
        <v>2014</v>
      </c>
      <c r="X1172" s="3" t="s">
        <v>12051</v>
      </c>
    </row>
    <row r="1173" spans="1:24" ht="102">
      <c r="A1173" s="3" t="s">
        <v>14737</v>
      </c>
      <c r="B1173" s="6" t="s">
        <v>361</v>
      </c>
      <c r="C1173" s="6" t="s">
        <v>3608</v>
      </c>
      <c r="D1173" s="6" t="s">
        <v>3609</v>
      </c>
      <c r="E1173" s="6" t="s">
        <v>3610</v>
      </c>
      <c r="F1173" s="6" t="s">
        <v>3620</v>
      </c>
      <c r="G1173" s="3" t="s">
        <v>11449</v>
      </c>
      <c r="H1173" s="54">
        <v>0.6</v>
      </c>
      <c r="I1173" s="16">
        <v>470000000</v>
      </c>
      <c r="J1173" s="157" t="s">
        <v>229</v>
      </c>
      <c r="K1173" s="5" t="s">
        <v>14590</v>
      </c>
      <c r="L1173" s="6" t="s">
        <v>231</v>
      </c>
      <c r="M1173" s="3" t="s">
        <v>230</v>
      </c>
      <c r="N1173" s="6" t="s">
        <v>524</v>
      </c>
      <c r="O1173" s="6" t="s">
        <v>233</v>
      </c>
      <c r="P1173" s="58" t="s">
        <v>245</v>
      </c>
      <c r="Q1173" s="6" t="s">
        <v>246</v>
      </c>
      <c r="R1173" s="1">
        <v>300</v>
      </c>
      <c r="S1173" s="2">
        <v>412.5</v>
      </c>
      <c r="T1173" s="4">
        <v>0</v>
      </c>
      <c r="U1173" s="4">
        <f t="shared" si="41"/>
        <v>0</v>
      </c>
      <c r="V1173" s="3" t="s">
        <v>362</v>
      </c>
      <c r="W1173" s="3">
        <v>2014</v>
      </c>
      <c r="X1173" s="3" t="s">
        <v>17399</v>
      </c>
    </row>
    <row r="1174" spans="1:24" ht="102">
      <c r="A1174" s="3" t="s">
        <v>18160</v>
      </c>
      <c r="B1174" s="6" t="s">
        <v>361</v>
      </c>
      <c r="C1174" s="6" t="s">
        <v>3608</v>
      </c>
      <c r="D1174" s="6" t="s">
        <v>3609</v>
      </c>
      <c r="E1174" s="6" t="s">
        <v>3610</v>
      </c>
      <c r="F1174" s="6" t="s">
        <v>3620</v>
      </c>
      <c r="G1174" s="3" t="s">
        <v>11450</v>
      </c>
      <c r="H1174" s="54">
        <v>0.6</v>
      </c>
      <c r="I1174" s="16">
        <v>470000000</v>
      </c>
      <c r="J1174" s="157" t="s">
        <v>229</v>
      </c>
      <c r="K1174" s="5" t="s">
        <v>8950</v>
      </c>
      <c r="L1174" s="6" t="s">
        <v>231</v>
      </c>
      <c r="M1174" s="3" t="s">
        <v>230</v>
      </c>
      <c r="N1174" s="6" t="s">
        <v>8914</v>
      </c>
      <c r="O1174" s="6" t="s">
        <v>233</v>
      </c>
      <c r="P1174" s="58" t="s">
        <v>245</v>
      </c>
      <c r="Q1174" s="6" t="s">
        <v>246</v>
      </c>
      <c r="R1174" s="1">
        <v>300</v>
      </c>
      <c r="S1174" s="2">
        <v>412.5</v>
      </c>
      <c r="T1174" s="4">
        <f>R1174*S1174</f>
        <v>123750</v>
      </c>
      <c r="U1174" s="4">
        <f t="shared" si="41"/>
        <v>138600</v>
      </c>
      <c r="V1174" s="3" t="s">
        <v>362</v>
      </c>
      <c r="W1174" s="3">
        <v>2014</v>
      </c>
      <c r="X1174" s="3"/>
    </row>
    <row r="1175" spans="1:24" ht="165.75">
      <c r="A1175" s="3" t="s">
        <v>1057</v>
      </c>
      <c r="B1175" s="6" t="s">
        <v>361</v>
      </c>
      <c r="C1175" s="6" t="s">
        <v>3624</v>
      </c>
      <c r="D1175" s="6" t="s">
        <v>3625</v>
      </c>
      <c r="E1175" s="6" t="s">
        <v>3626</v>
      </c>
      <c r="F1175" s="6" t="s">
        <v>3621</v>
      </c>
      <c r="G1175" s="3" t="s">
        <v>11449</v>
      </c>
      <c r="H1175" s="54">
        <v>0.6</v>
      </c>
      <c r="I1175" s="16">
        <v>470000000</v>
      </c>
      <c r="J1175" s="157" t="s">
        <v>229</v>
      </c>
      <c r="K1175" s="5" t="s">
        <v>210</v>
      </c>
      <c r="L1175" s="6" t="s">
        <v>231</v>
      </c>
      <c r="M1175" s="3" t="s">
        <v>230</v>
      </c>
      <c r="N1175" s="6" t="s">
        <v>524</v>
      </c>
      <c r="O1175" s="6" t="s">
        <v>233</v>
      </c>
      <c r="P1175" s="58" t="s">
        <v>243</v>
      </c>
      <c r="Q1175" s="6" t="s">
        <v>244</v>
      </c>
      <c r="R1175" s="1">
        <v>12000</v>
      </c>
      <c r="S1175" s="2">
        <v>150</v>
      </c>
      <c r="T1175" s="4">
        <v>0</v>
      </c>
      <c r="U1175" s="4">
        <f t="shared" si="41"/>
        <v>0</v>
      </c>
      <c r="V1175" s="3" t="s">
        <v>362</v>
      </c>
      <c r="W1175" s="3">
        <v>2014</v>
      </c>
      <c r="X1175" s="3" t="s">
        <v>12076</v>
      </c>
    </row>
    <row r="1176" spans="1:24" ht="165.75">
      <c r="A1176" s="3" t="s">
        <v>1058</v>
      </c>
      <c r="B1176" s="6" t="s">
        <v>361</v>
      </c>
      <c r="C1176" s="6" t="s">
        <v>3624</v>
      </c>
      <c r="D1176" s="6" t="s">
        <v>3625</v>
      </c>
      <c r="E1176" s="6" t="s">
        <v>3626</v>
      </c>
      <c r="F1176" s="6" t="s">
        <v>3622</v>
      </c>
      <c r="G1176" s="3" t="s">
        <v>11449</v>
      </c>
      <c r="H1176" s="54">
        <v>0.6</v>
      </c>
      <c r="I1176" s="16">
        <v>470000000</v>
      </c>
      <c r="J1176" s="157" t="s">
        <v>229</v>
      </c>
      <c r="K1176" s="5" t="s">
        <v>210</v>
      </c>
      <c r="L1176" s="6" t="s">
        <v>231</v>
      </c>
      <c r="M1176" s="3" t="s">
        <v>230</v>
      </c>
      <c r="N1176" s="6" t="s">
        <v>524</v>
      </c>
      <c r="O1176" s="6" t="s">
        <v>233</v>
      </c>
      <c r="P1176" s="58" t="s">
        <v>243</v>
      </c>
      <c r="Q1176" s="6" t="s">
        <v>244</v>
      </c>
      <c r="R1176" s="1">
        <v>6500</v>
      </c>
      <c r="S1176" s="2">
        <v>199</v>
      </c>
      <c r="T1176" s="4">
        <v>0</v>
      </c>
      <c r="U1176" s="4">
        <f t="shared" si="41"/>
        <v>0</v>
      </c>
      <c r="V1176" s="3" t="s">
        <v>362</v>
      </c>
      <c r="W1176" s="3">
        <v>2014</v>
      </c>
      <c r="X1176" s="3" t="s">
        <v>12051</v>
      </c>
    </row>
    <row r="1177" spans="1:24" ht="165.75">
      <c r="A1177" s="3" t="s">
        <v>14738</v>
      </c>
      <c r="B1177" s="6" t="s">
        <v>361</v>
      </c>
      <c r="C1177" s="6" t="s">
        <v>3624</v>
      </c>
      <c r="D1177" s="6" t="s">
        <v>3625</v>
      </c>
      <c r="E1177" s="6" t="s">
        <v>3626</v>
      </c>
      <c r="F1177" s="6" t="s">
        <v>3622</v>
      </c>
      <c r="G1177" s="3" t="s">
        <v>11449</v>
      </c>
      <c r="H1177" s="54">
        <v>0.6</v>
      </c>
      <c r="I1177" s="16">
        <v>470000000</v>
      </c>
      <c r="J1177" s="157" t="s">
        <v>229</v>
      </c>
      <c r="K1177" s="5" t="s">
        <v>14590</v>
      </c>
      <c r="L1177" s="6" t="s">
        <v>231</v>
      </c>
      <c r="M1177" s="3" t="s">
        <v>230</v>
      </c>
      <c r="N1177" s="6" t="s">
        <v>524</v>
      </c>
      <c r="O1177" s="6" t="s">
        <v>233</v>
      </c>
      <c r="P1177" s="58" t="s">
        <v>243</v>
      </c>
      <c r="Q1177" s="6" t="s">
        <v>244</v>
      </c>
      <c r="R1177" s="1">
        <v>2500</v>
      </c>
      <c r="S1177" s="2">
        <v>199</v>
      </c>
      <c r="T1177" s="4">
        <v>0</v>
      </c>
      <c r="U1177" s="4">
        <f t="shared" si="41"/>
        <v>0</v>
      </c>
      <c r="V1177" s="3" t="s">
        <v>362</v>
      </c>
      <c r="W1177" s="3">
        <v>2014</v>
      </c>
      <c r="X1177" s="6" t="s">
        <v>17410</v>
      </c>
    </row>
    <row r="1178" spans="1:24" ht="165.75">
      <c r="A1178" s="3" t="s">
        <v>18104</v>
      </c>
      <c r="B1178" s="6" t="s">
        <v>361</v>
      </c>
      <c r="C1178" s="6" t="s">
        <v>3624</v>
      </c>
      <c r="D1178" s="6" t="s">
        <v>3625</v>
      </c>
      <c r="E1178" s="6" t="s">
        <v>3626</v>
      </c>
      <c r="F1178" s="6" t="s">
        <v>3622</v>
      </c>
      <c r="G1178" s="3" t="s">
        <v>11450</v>
      </c>
      <c r="H1178" s="54">
        <v>0.6</v>
      </c>
      <c r="I1178" s="16">
        <v>470000000</v>
      </c>
      <c r="J1178" s="157" t="s">
        <v>229</v>
      </c>
      <c r="K1178" s="5" t="s">
        <v>17401</v>
      </c>
      <c r="L1178" s="6" t="s">
        <v>231</v>
      </c>
      <c r="M1178" s="3" t="s">
        <v>230</v>
      </c>
      <c r="N1178" s="6" t="s">
        <v>528</v>
      </c>
      <c r="O1178" s="6" t="s">
        <v>233</v>
      </c>
      <c r="P1178" s="58" t="s">
        <v>243</v>
      </c>
      <c r="Q1178" s="6" t="s">
        <v>244</v>
      </c>
      <c r="R1178" s="1">
        <v>4800</v>
      </c>
      <c r="S1178" s="2">
        <v>238.79999999999998</v>
      </c>
      <c r="T1178" s="4">
        <f>R1178*S1178</f>
        <v>1146240</v>
      </c>
      <c r="U1178" s="4">
        <f t="shared" si="41"/>
        <v>1283788.8</v>
      </c>
      <c r="V1178" s="3" t="s">
        <v>362</v>
      </c>
      <c r="W1178" s="3">
        <v>2014</v>
      </c>
      <c r="X1178" s="3"/>
    </row>
    <row r="1179" spans="1:24" ht="102">
      <c r="A1179" s="3" t="s">
        <v>1059</v>
      </c>
      <c r="B1179" s="6" t="s">
        <v>361</v>
      </c>
      <c r="C1179" s="6" t="s">
        <v>3634</v>
      </c>
      <c r="D1179" s="6" t="s">
        <v>3635</v>
      </c>
      <c r="E1179" s="6" t="s">
        <v>3636</v>
      </c>
      <c r="F1179" s="6" t="s">
        <v>3623</v>
      </c>
      <c r="G1179" s="3" t="s">
        <v>11450</v>
      </c>
      <c r="H1179" s="54">
        <v>1</v>
      </c>
      <c r="I1179" s="16">
        <v>470000000</v>
      </c>
      <c r="J1179" s="157" t="s">
        <v>229</v>
      </c>
      <c r="K1179" s="5" t="s">
        <v>210</v>
      </c>
      <c r="L1179" s="6" t="s">
        <v>231</v>
      </c>
      <c r="M1179" s="3" t="s">
        <v>230</v>
      </c>
      <c r="N1179" s="6" t="s">
        <v>524</v>
      </c>
      <c r="O1179" s="6" t="s">
        <v>233</v>
      </c>
      <c r="P1179" s="58" t="s">
        <v>243</v>
      </c>
      <c r="Q1179" s="6" t="s">
        <v>244</v>
      </c>
      <c r="R1179" s="1">
        <v>3000</v>
      </c>
      <c r="S1179" s="2">
        <v>70</v>
      </c>
      <c r="T1179" s="4">
        <v>0</v>
      </c>
      <c r="U1179" s="4">
        <f t="shared" si="41"/>
        <v>0</v>
      </c>
      <c r="V1179" s="3" t="s">
        <v>362</v>
      </c>
      <c r="W1179" s="3">
        <v>2014</v>
      </c>
      <c r="X1179" s="6" t="s">
        <v>12051</v>
      </c>
    </row>
    <row r="1180" spans="1:24" ht="102">
      <c r="A1180" s="3" t="s">
        <v>14739</v>
      </c>
      <c r="B1180" s="6" t="s">
        <v>361</v>
      </c>
      <c r="C1180" s="6" t="s">
        <v>3634</v>
      </c>
      <c r="D1180" s="6" t="s">
        <v>3635</v>
      </c>
      <c r="E1180" s="6" t="s">
        <v>3636</v>
      </c>
      <c r="F1180" s="6" t="s">
        <v>3623</v>
      </c>
      <c r="G1180" s="3" t="s">
        <v>11450</v>
      </c>
      <c r="H1180" s="54">
        <v>1</v>
      </c>
      <c r="I1180" s="16">
        <v>470000000</v>
      </c>
      <c r="J1180" s="157" t="s">
        <v>229</v>
      </c>
      <c r="K1180" s="5" t="s">
        <v>14590</v>
      </c>
      <c r="L1180" s="6" t="s">
        <v>231</v>
      </c>
      <c r="M1180" s="3" t="s">
        <v>230</v>
      </c>
      <c r="N1180" s="6" t="s">
        <v>524</v>
      </c>
      <c r="O1180" s="6" t="s">
        <v>233</v>
      </c>
      <c r="P1180" s="58" t="s">
        <v>243</v>
      </c>
      <c r="Q1180" s="6" t="s">
        <v>244</v>
      </c>
      <c r="R1180" s="1">
        <v>2000</v>
      </c>
      <c r="S1180" s="2">
        <v>84</v>
      </c>
      <c r="T1180" s="4">
        <v>0</v>
      </c>
      <c r="U1180" s="4">
        <f t="shared" si="41"/>
        <v>0</v>
      </c>
      <c r="V1180" s="3" t="s">
        <v>362</v>
      </c>
      <c r="W1180" s="3">
        <v>2014</v>
      </c>
      <c r="X1180" s="3" t="s">
        <v>17399</v>
      </c>
    </row>
    <row r="1181" spans="1:24" ht="102">
      <c r="A1181" s="3" t="s">
        <v>18169</v>
      </c>
      <c r="B1181" s="6" t="s">
        <v>361</v>
      </c>
      <c r="C1181" s="6" t="s">
        <v>3634</v>
      </c>
      <c r="D1181" s="6" t="s">
        <v>3635</v>
      </c>
      <c r="E1181" s="6" t="s">
        <v>3636</v>
      </c>
      <c r="F1181" s="6" t="s">
        <v>3623</v>
      </c>
      <c r="G1181" s="3" t="s">
        <v>11450</v>
      </c>
      <c r="H1181" s="54">
        <v>1</v>
      </c>
      <c r="I1181" s="16">
        <v>470000000</v>
      </c>
      <c r="J1181" s="157" t="s">
        <v>229</v>
      </c>
      <c r="K1181" s="5" t="s">
        <v>8309</v>
      </c>
      <c r="L1181" s="6" t="s">
        <v>231</v>
      </c>
      <c r="M1181" s="3" t="s">
        <v>230</v>
      </c>
      <c r="N1181" s="6" t="s">
        <v>8914</v>
      </c>
      <c r="O1181" s="6" t="s">
        <v>233</v>
      </c>
      <c r="P1181" s="58" t="s">
        <v>243</v>
      </c>
      <c r="Q1181" s="6" t="s">
        <v>244</v>
      </c>
      <c r="R1181" s="1">
        <v>2000</v>
      </c>
      <c r="S1181" s="2">
        <v>84</v>
      </c>
      <c r="T1181" s="4">
        <f>R1181*S1181</f>
        <v>168000</v>
      </c>
      <c r="U1181" s="4">
        <f t="shared" si="41"/>
        <v>188160.00000000003</v>
      </c>
      <c r="V1181" s="3" t="s">
        <v>362</v>
      </c>
      <c r="W1181" s="3">
        <v>2014</v>
      </c>
      <c r="X1181" s="3"/>
    </row>
    <row r="1182" spans="1:24" ht="102">
      <c r="A1182" s="3" t="s">
        <v>1060</v>
      </c>
      <c r="B1182" s="6" t="s">
        <v>361</v>
      </c>
      <c r="C1182" s="6" t="s">
        <v>3637</v>
      </c>
      <c r="D1182" s="6" t="s">
        <v>3638</v>
      </c>
      <c r="E1182" s="6" t="s">
        <v>3639</v>
      </c>
      <c r="F1182" s="6" t="s">
        <v>3627</v>
      </c>
      <c r="G1182" s="3" t="s">
        <v>11450</v>
      </c>
      <c r="H1182" s="54">
        <v>0.6</v>
      </c>
      <c r="I1182" s="16">
        <v>470000000</v>
      </c>
      <c r="J1182" s="157" t="s">
        <v>229</v>
      </c>
      <c r="K1182" s="5" t="s">
        <v>210</v>
      </c>
      <c r="L1182" s="6" t="s">
        <v>231</v>
      </c>
      <c r="M1182" s="3" t="s">
        <v>230</v>
      </c>
      <c r="N1182" s="6" t="s">
        <v>524</v>
      </c>
      <c r="O1182" s="6" t="s">
        <v>233</v>
      </c>
      <c r="P1182" s="58" t="s">
        <v>245</v>
      </c>
      <c r="Q1182" s="262" t="s">
        <v>246</v>
      </c>
      <c r="R1182" s="97">
        <v>250</v>
      </c>
      <c r="S1182" s="2">
        <v>3450</v>
      </c>
      <c r="T1182" s="4">
        <v>0</v>
      </c>
      <c r="U1182" s="4">
        <f t="shared" si="41"/>
        <v>0</v>
      </c>
      <c r="V1182" s="3" t="s">
        <v>362</v>
      </c>
      <c r="W1182" s="3">
        <v>2014</v>
      </c>
      <c r="X1182" s="3" t="s">
        <v>12076</v>
      </c>
    </row>
    <row r="1183" spans="1:24" ht="102">
      <c r="A1183" s="3" t="s">
        <v>1061</v>
      </c>
      <c r="B1183" s="6" t="s">
        <v>361</v>
      </c>
      <c r="C1183" s="6" t="s">
        <v>3637</v>
      </c>
      <c r="D1183" s="6" t="s">
        <v>3638</v>
      </c>
      <c r="E1183" s="6" t="s">
        <v>3639</v>
      </c>
      <c r="F1183" s="6" t="s">
        <v>3628</v>
      </c>
      <c r="G1183" s="3" t="s">
        <v>11450</v>
      </c>
      <c r="H1183" s="54">
        <v>0.6</v>
      </c>
      <c r="I1183" s="16">
        <v>470000000</v>
      </c>
      <c r="J1183" s="157" t="s">
        <v>229</v>
      </c>
      <c r="K1183" s="5" t="s">
        <v>210</v>
      </c>
      <c r="L1183" s="6" t="s">
        <v>231</v>
      </c>
      <c r="M1183" s="3" t="s">
        <v>230</v>
      </c>
      <c r="N1183" s="6" t="s">
        <v>524</v>
      </c>
      <c r="O1183" s="6" t="s">
        <v>233</v>
      </c>
      <c r="P1183" s="58" t="s">
        <v>245</v>
      </c>
      <c r="Q1183" s="262" t="s">
        <v>246</v>
      </c>
      <c r="R1183" s="97">
        <v>250</v>
      </c>
      <c r="S1183" s="2">
        <v>3450</v>
      </c>
      <c r="T1183" s="4">
        <v>0</v>
      </c>
      <c r="U1183" s="4">
        <f t="shared" si="41"/>
        <v>0</v>
      </c>
      <c r="V1183" s="3" t="s">
        <v>362</v>
      </c>
      <c r="W1183" s="3">
        <v>2014</v>
      </c>
      <c r="X1183" s="3" t="s">
        <v>12051</v>
      </c>
    </row>
    <row r="1184" spans="1:24" ht="102">
      <c r="A1184" s="3" t="s">
        <v>14740</v>
      </c>
      <c r="B1184" s="6" t="s">
        <v>361</v>
      </c>
      <c r="C1184" s="6" t="s">
        <v>3637</v>
      </c>
      <c r="D1184" s="6" t="s">
        <v>3638</v>
      </c>
      <c r="E1184" s="6" t="s">
        <v>3639</v>
      </c>
      <c r="F1184" s="6" t="s">
        <v>3628</v>
      </c>
      <c r="G1184" s="3" t="s">
        <v>11450</v>
      </c>
      <c r="H1184" s="54">
        <v>0.6</v>
      </c>
      <c r="I1184" s="16">
        <v>470000000</v>
      </c>
      <c r="J1184" s="157" t="s">
        <v>229</v>
      </c>
      <c r="K1184" s="5" t="s">
        <v>14590</v>
      </c>
      <c r="L1184" s="6" t="s">
        <v>231</v>
      </c>
      <c r="M1184" s="3" t="s">
        <v>230</v>
      </c>
      <c r="N1184" s="6" t="s">
        <v>524</v>
      </c>
      <c r="O1184" s="6" t="s">
        <v>233</v>
      </c>
      <c r="P1184" s="58" t="s">
        <v>245</v>
      </c>
      <c r="Q1184" s="262" t="s">
        <v>246</v>
      </c>
      <c r="R1184" s="97">
        <v>30</v>
      </c>
      <c r="S1184" s="2">
        <v>4140</v>
      </c>
      <c r="T1184" s="4">
        <f>R1184*S1184</f>
        <v>124200</v>
      </c>
      <c r="U1184" s="4">
        <f t="shared" si="41"/>
        <v>139104</v>
      </c>
      <c r="V1184" s="3" t="s">
        <v>362</v>
      </c>
      <c r="W1184" s="3">
        <v>2014</v>
      </c>
      <c r="X1184" s="3"/>
    </row>
    <row r="1185" spans="1:24" ht="165.75">
      <c r="A1185" s="3" t="s">
        <v>1062</v>
      </c>
      <c r="B1185" s="6" t="s">
        <v>361</v>
      </c>
      <c r="C1185" s="6" t="s">
        <v>3641</v>
      </c>
      <c r="D1185" s="6" t="s">
        <v>3642</v>
      </c>
      <c r="E1185" s="6" t="s">
        <v>3643</v>
      </c>
      <c r="F1185" s="6" t="s">
        <v>3629</v>
      </c>
      <c r="G1185" s="3" t="s">
        <v>11450</v>
      </c>
      <c r="H1185" s="54">
        <v>0.6</v>
      </c>
      <c r="I1185" s="16">
        <v>470000000</v>
      </c>
      <c r="J1185" s="157" t="s">
        <v>229</v>
      </c>
      <c r="K1185" s="5" t="s">
        <v>210</v>
      </c>
      <c r="L1185" s="6" t="s">
        <v>231</v>
      </c>
      <c r="M1185" s="3" t="s">
        <v>230</v>
      </c>
      <c r="N1185" s="6" t="s">
        <v>524</v>
      </c>
      <c r="O1185" s="6" t="s">
        <v>233</v>
      </c>
      <c r="P1185" s="58" t="s">
        <v>245</v>
      </c>
      <c r="Q1185" s="262" t="s">
        <v>246</v>
      </c>
      <c r="R1185" s="97">
        <v>50</v>
      </c>
      <c r="S1185" s="2">
        <v>3550</v>
      </c>
      <c r="T1185" s="4">
        <v>0</v>
      </c>
      <c r="U1185" s="4">
        <f t="shared" si="41"/>
        <v>0</v>
      </c>
      <c r="V1185" s="3" t="s">
        <v>362</v>
      </c>
      <c r="W1185" s="3">
        <v>2014</v>
      </c>
      <c r="X1185" s="3" t="s">
        <v>12051</v>
      </c>
    </row>
    <row r="1186" spans="1:24" ht="165.75">
      <c r="A1186" s="3" t="s">
        <v>14741</v>
      </c>
      <c r="B1186" s="6" t="s">
        <v>361</v>
      </c>
      <c r="C1186" s="6" t="s">
        <v>3641</v>
      </c>
      <c r="D1186" s="6" t="s">
        <v>3642</v>
      </c>
      <c r="E1186" s="6" t="s">
        <v>3643</v>
      </c>
      <c r="F1186" s="6" t="s">
        <v>3629</v>
      </c>
      <c r="G1186" s="3" t="s">
        <v>11450</v>
      </c>
      <c r="H1186" s="54">
        <v>0.6</v>
      </c>
      <c r="I1186" s="16">
        <v>470000000</v>
      </c>
      <c r="J1186" s="157" t="s">
        <v>229</v>
      </c>
      <c r="K1186" s="5" t="s">
        <v>14590</v>
      </c>
      <c r="L1186" s="6" t="s">
        <v>231</v>
      </c>
      <c r="M1186" s="3" t="s">
        <v>230</v>
      </c>
      <c r="N1186" s="6" t="s">
        <v>524</v>
      </c>
      <c r="O1186" s="6" t="s">
        <v>233</v>
      </c>
      <c r="P1186" s="58" t="s">
        <v>245</v>
      </c>
      <c r="Q1186" s="262" t="s">
        <v>246</v>
      </c>
      <c r="R1186" s="97">
        <v>50</v>
      </c>
      <c r="S1186" s="2">
        <v>3550</v>
      </c>
      <c r="T1186" s="4">
        <f>R1186*S1186</f>
        <v>177500</v>
      </c>
      <c r="U1186" s="4">
        <f t="shared" si="41"/>
        <v>198800.00000000003</v>
      </c>
      <c r="V1186" s="3" t="s">
        <v>362</v>
      </c>
      <c r="W1186" s="3">
        <v>2014</v>
      </c>
      <c r="X1186" s="3"/>
    </row>
    <row r="1187" spans="1:24" ht="165.75">
      <c r="A1187" s="3" t="s">
        <v>1063</v>
      </c>
      <c r="B1187" s="6" t="s">
        <v>361</v>
      </c>
      <c r="C1187" s="6" t="s">
        <v>3641</v>
      </c>
      <c r="D1187" s="6" t="s">
        <v>3642</v>
      </c>
      <c r="E1187" s="6" t="s">
        <v>3643</v>
      </c>
      <c r="F1187" s="6" t="s">
        <v>3640</v>
      </c>
      <c r="G1187" s="3" t="s">
        <v>11450</v>
      </c>
      <c r="H1187" s="54">
        <v>0.6</v>
      </c>
      <c r="I1187" s="16">
        <v>470000000</v>
      </c>
      <c r="J1187" s="157" t="s">
        <v>229</v>
      </c>
      <c r="K1187" s="5" t="s">
        <v>210</v>
      </c>
      <c r="L1187" s="6" t="s">
        <v>231</v>
      </c>
      <c r="M1187" s="3" t="s">
        <v>230</v>
      </c>
      <c r="N1187" s="6" t="s">
        <v>524</v>
      </c>
      <c r="O1187" s="6" t="s">
        <v>233</v>
      </c>
      <c r="P1187" s="58" t="s">
        <v>245</v>
      </c>
      <c r="Q1187" s="262" t="s">
        <v>246</v>
      </c>
      <c r="R1187" s="97">
        <v>50</v>
      </c>
      <c r="S1187" s="2">
        <v>2570</v>
      </c>
      <c r="T1187" s="4">
        <v>0</v>
      </c>
      <c r="U1187" s="4">
        <f t="shared" si="41"/>
        <v>0</v>
      </c>
      <c r="V1187" s="3" t="s">
        <v>362</v>
      </c>
      <c r="W1187" s="3">
        <v>2014</v>
      </c>
      <c r="X1187" s="3" t="s">
        <v>12051</v>
      </c>
    </row>
    <row r="1188" spans="1:24" ht="165.75">
      <c r="A1188" s="3" t="s">
        <v>14742</v>
      </c>
      <c r="B1188" s="6" t="s">
        <v>361</v>
      </c>
      <c r="C1188" s="6" t="s">
        <v>3641</v>
      </c>
      <c r="D1188" s="6" t="s">
        <v>3642</v>
      </c>
      <c r="E1188" s="6" t="s">
        <v>3643</v>
      </c>
      <c r="F1188" s="6" t="s">
        <v>3640</v>
      </c>
      <c r="G1188" s="3" t="s">
        <v>11450</v>
      </c>
      <c r="H1188" s="54">
        <v>0.6</v>
      </c>
      <c r="I1188" s="16">
        <v>470000000</v>
      </c>
      <c r="J1188" s="157" t="s">
        <v>229</v>
      </c>
      <c r="K1188" s="5" t="s">
        <v>14590</v>
      </c>
      <c r="L1188" s="6" t="s">
        <v>231</v>
      </c>
      <c r="M1188" s="3" t="s">
        <v>230</v>
      </c>
      <c r="N1188" s="6" t="s">
        <v>524</v>
      </c>
      <c r="O1188" s="6" t="s">
        <v>233</v>
      </c>
      <c r="P1188" s="58" t="s">
        <v>245</v>
      </c>
      <c r="Q1188" s="262" t="s">
        <v>246</v>
      </c>
      <c r="R1188" s="97">
        <v>25.75</v>
      </c>
      <c r="S1188" s="2">
        <v>3084</v>
      </c>
      <c r="T1188" s="4">
        <f>R1188*S1188</f>
        <v>79413</v>
      </c>
      <c r="U1188" s="4">
        <f t="shared" si="41"/>
        <v>88942.560000000012</v>
      </c>
      <c r="V1188" s="3" t="s">
        <v>362</v>
      </c>
      <c r="W1188" s="3">
        <v>2014</v>
      </c>
      <c r="X1188" s="3"/>
    </row>
    <row r="1189" spans="1:24" ht="102">
      <c r="A1189" s="3" t="s">
        <v>1064</v>
      </c>
      <c r="B1189" s="6" t="s">
        <v>361</v>
      </c>
      <c r="C1189" s="6" t="s">
        <v>3644</v>
      </c>
      <c r="D1189" s="6" t="s">
        <v>3645</v>
      </c>
      <c r="E1189" s="6" t="s">
        <v>3646</v>
      </c>
      <c r="F1189" s="6" t="s">
        <v>3630</v>
      </c>
      <c r="G1189" s="3" t="s">
        <v>11450</v>
      </c>
      <c r="H1189" s="54">
        <v>1</v>
      </c>
      <c r="I1189" s="16">
        <v>470000000</v>
      </c>
      <c r="J1189" s="157" t="s">
        <v>229</v>
      </c>
      <c r="K1189" s="5" t="s">
        <v>210</v>
      </c>
      <c r="L1189" s="6" t="s">
        <v>231</v>
      </c>
      <c r="M1189" s="3" t="s">
        <v>230</v>
      </c>
      <c r="N1189" s="6" t="s">
        <v>524</v>
      </c>
      <c r="O1189" s="6" t="s">
        <v>233</v>
      </c>
      <c r="P1189" s="58" t="s">
        <v>243</v>
      </c>
      <c r="Q1189" s="6" t="s">
        <v>244</v>
      </c>
      <c r="R1189" s="1">
        <v>75000</v>
      </c>
      <c r="S1189" s="2">
        <v>10.17</v>
      </c>
      <c r="T1189" s="4">
        <v>0</v>
      </c>
      <c r="U1189" s="4">
        <f t="shared" si="41"/>
        <v>0</v>
      </c>
      <c r="V1189" s="3" t="s">
        <v>362</v>
      </c>
      <c r="W1189" s="3">
        <v>2014</v>
      </c>
      <c r="X1189" s="3" t="s">
        <v>12051</v>
      </c>
    </row>
    <row r="1190" spans="1:24" ht="102">
      <c r="A1190" s="3" t="s">
        <v>14743</v>
      </c>
      <c r="B1190" s="6" t="s">
        <v>361</v>
      </c>
      <c r="C1190" s="6" t="s">
        <v>3644</v>
      </c>
      <c r="D1190" s="6" t="s">
        <v>3645</v>
      </c>
      <c r="E1190" s="6" t="s">
        <v>3646</v>
      </c>
      <c r="F1190" s="6" t="s">
        <v>3630</v>
      </c>
      <c r="G1190" s="3" t="s">
        <v>11450</v>
      </c>
      <c r="H1190" s="54">
        <v>1</v>
      </c>
      <c r="I1190" s="16">
        <v>470000000</v>
      </c>
      <c r="J1190" s="157" t="s">
        <v>229</v>
      </c>
      <c r="K1190" s="5" t="s">
        <v>14590</v>
      </c>
      <c r="L1190" s="6" t="s">
        <v>231</v>
      </c>
      <c r="M1190" s="3" t="s">
        <v>230</v>
      </c>
      <c r="N1190" s="6" t="s">
        <v>524</v>
      </c>
      <c r="O1190" s="6" t="s">
        <v>233</v>
      </c>
      <c r="P1190" s="58" t="s">
        <v>243</v>
      </c>
      <c r="Q1190" s="6" t="s">
        <v>244</v>
      </c>
      <c r="R1190" s="1">
        <v>38000</v>
      </c>
      <c r="S1190" s="248">
        <v>12.204000000000001</v>
      </c>
      <c r="T1190" s="4">
        <f>R1190*S1190</f>
        <v>463752</v>
      </c>
      <c r="U1190" s="4">
        <f t="shared" si="41"/>
        <v>519402.24000000005</v>
      </c>
      <c r="V1190" s="3" t="s">
        <v>362</v>
      </c>
      <c r="W1190" s="3">
        <v>2014</v>
      </c>
      <c r="X1190" s="3"/>
    </row>
    <row r="1191" spans="1:24" ht="102">
      <c r="A1191" s="3" t="s">
        <v>1065</v>
      </c>
      <c r="B1191" s="6" t="s">
        <v>361</v>
      </c>
      <c r="C1191" s="6" t="s">
        <v>3647</v>
      </c>
      <c r="D1191" s="6" t="s">
        <v>3648</v>
      </c>
      <c r="E1191" s="6" t="s">
        <v>3649</v>
      </c>
      <c r="F1191" s="6" t="s">
        <v>3631</v>
      </c>
      <c r="G1191" s="3" t="s">
        <v>11450</v>
      </c>
      <c r="H1191" s="54">
        <v>0</v>
      </c>
      <c r="I1191" s="16">
        <v>470000000</v>
      </c>
      <c r="J1191" s="157" t="s">
        <v>229</v>
      </c>
      <c r="K1191" s="5" t="s">
        <v>215</v>
      </c>
      <c r="L1191" s="6" t="s">
        <v>231</v>
      </c>
      <c r="M1191" s="3" t="s">
        <v>230</v>
      </c>
      <c r="N1191" s="6" t="s">
        <v>524</v>
      </c>
      <c r="O1191" s="6" t="s">
        <v>233</v>
      </c>
      <c r="P1191" s="58" t="s">
        <v>241</v>
      </c>
      <c r="Q1191" s="6" t="s">
        <v>234</v>
      </c>
      <c r="R1191" s="97">
        <v>540</v>
      </c>
      <c r="S1191" s="2">
        <v>825</v>
      </c>
      <c r="T1191" s="4">
        <v>0</v>
      </c>
      <c r="U1191" s="4">
        <f t="shared" si="41"/>
        <v>0</v>
      </c>
      <c r="V1191" s="3" t="s">
        <v>362</v>
      </c>
      <c r="W1191" s="3">
        <v>2014</v>
      </c>
      <c r="X1191" s="3" t="s">
        <v>12076</v>
      </c>
    </row>
    <row r="1192" spans="1:24" ht="102">
      <c r="A1192" s="3" t="s">
        <v>1066</v>
      </c>
      <c r="B1192" s="6" t="s">
        <v>361</v>
      </c>
      <c r="C1192" s="6" t="s">
        <v>3650</v>
      </c>
      <c r="D1192" s="6" t="s">
        <v>170</v>
      </c>
      <c r="E1192" s="6" t="s">
        <v>3651</v>
      </c>
      <c r="F1192" s="6" t="s">
        <v>3632</v>
      </c>
      <c r="G1192" s="3" t="s">
        <v>11450</v>
      </c>
      <c r="H1192" s="54">
        <v>0</v>
      </c>
      <c r="I1192" s="16">
        <v>470000000</v>
      </c>
      <c r="J1192" s="157" t="s">
        <v>229</v>
      </c>
      <c r="K1192" s="5" t="s">
        <v>211</v>
      </c>
      <c r="L1192" s="6" t="s">
        <v>231</v>
      </c>
      <c r="M1192" s="3" t="s">
        <v>230</v>
      </c>
      <c r="N1192" s="6" t="s">
        <v>524</v>
      </c>
      <c r="O1192" s="6" t="s">
        <v>233</v>
      </c>
      <c r="P1192" s="58" t="s">
        <v>241</v>
      </c>
      <c r="Q1192" s="6" t="s">
        <v>234</v>
      </c>
      <c r="R1192" s="97">
        <v>50</v>
      </c>
      <c r="S1192" s="2">
        <v>535</v>
      </c>
      <c r="T1192" s="4">
        <v>0</v>
      </c>
      <c r="U1192" s="4">
        <f t="shared" si="41"/>
        <v>0</v>
      </c>
      <c r="V1192" s="3" t="s">
        <v>362</v>
      </c>
      <c r="W1192" s="3">
        <v>2014</v>
      </c>
      <c r="X1192" s="3" t="s">
        <v>12076</v>
      </c>
    </row>
    <row r="1193" spans="1:24" ht="114.75">
      <c r="A1193" s="3" t="s">
        <v>1067</v>
      </c>
      <c r="B1193" s="6" t="s">
        <v>361</v>
      </c>
      <c r="C1193" s="6" t="s">
        <v>3652</v>
      </c>
      <c r="D1193" s="6" t="s">
        <v>3653</v>
      </c>
      <c r="E1193" s="6" t="s">
        <v>3654</v>
      </c>
      <c r="F1193" s="6" t="s">
        <v>3633</v>
      </c>
      <c r="G1193" s="3" t="s">
        <v>11450</v>
      </c>
      <c r="H1193" s="54">
        <v>0</v>
      </c>
      <c r="I1193" s="16">
        <v>470000000</v>
      </c>
      <c r="J1193" s="157" t="s">
        <v>229</v>
      </c>
      <c r="K1193" s="5" t="s">
        <v>221</v>
      </c>
      <c r="L1193" s="6" t="s">
        <v>231</v>
      </c>
      <c r="M1193" s="3" t="s">
        <v>230</v>
      </c>
      <c r="N1193" s="6" t="s">
        <v>524</v>
      </c>
      <c r="O1193" s="6" t="s">
        <v>233</v>
      </c>
      <c r="P1193" s="58" t="s">
        <v>241</v>
      </c>
      <c r="Q1193" s="6" t="s">
        <v>234</v>
      </c>
      <c r="R1193" s="97">
        <v>0</v>
      </c>
      <c r="S1193" s="2">
        <v>675</v>
      </c>
      <c r="T1193" s="4">
        <f>R1193*S1193</f>
        <v>0</v>
      </c>
      <c r="U1193" s="4">
        <f t="shared" si="41"/>
        <v>0</v>
      </c>
      <c r="V1193" s="3" t="s">
        <v>362</v>
      </c>
      <c r="W1193" s="3">
        <v>2014</v>
      </c>
      <c r="X1193" s="3" t="s">
        <v>12076</v>
      </c>
    </row>
    <row r="1194" spans="1:24" ht="102">
      <c r="A1194" s="3" t="s">
        <v>1068</v>
      </c>
      <c r="B1194" s="6" t="s">
        <v>361</v>
      </c>
      <c r="C1194" s="6" t="s">
        <v>3682</v>
      </c>
      <c r="D1194" s="6" t="s">
        <v>3680</v>
      </c>
      <c r="E1194" s="6" t="s">
        <v>3683</v>
      </c>
      <c r="F1194" s="6" t="s">
        <v>3655</v>
      </c>
      <c r="G1194" s="3" t="s">
        <v>11450</v>
      </c>
      <c r="H1194" s="54">
        <v>0</v>
      </c>
      <c r="I1194" s="16">
        <v>470000000</v>
      </c>
      <c r="J1194" s="157" t="s">
        <v>229</v>
      </c>
      <c r="K1194" s="5" t="s">
        <v>221</v>
      </c>
      <c r="L1194" s="6" t="s">
        <v>231</v>
      </c>
      <c r="M1194" s="3" t="s">
        <v>230</v>
      </c>
      <c r="N1194" s="6" t="s">
        <v>524</v>
      </c>
      <c r="O1194" s="6" t="s">
        <v>233</v>
      </c>
      <c r="P1194" s="58" t="s">
        <v>248</v>
      </c>
      <c r="Q1194" s="6" t="s">
        <v>249</v>
      </c>
      <c r="R1194" s="1">
        <v>3100</v>
      </c>
      <c r="S1194" s="2">
        <v>1120</v>
      </c>
      <c r="T1194" s="4">
        <v>0</v>
      </c>
      <c r="U1194" s="4">
        <f t="shared" si="41"/>
        <v>0</v>
      </c>
      <c r="V1194" s="3" t="s">
        <v>362</v>
      </c>
      <c r="W1194" s="3">
        <v>2014</v>
      </c>
      <c r="X1194" s="3">
        <v>11.12</v>
      </c>
    </row>
    <row r="1195" spans="1:24" ht="89.25">
      <c r="A1195" s="3" t="s">
        <v>12227</v>
      </c>
      <c r="B1195" s="6" t="s">
        <v>361</v>
      </c>
      <c r="C1195" s="6" t="s">
        <v>3682</v>
      </c>
      <c r="D1195" s="6" t="s">
        <v>3680</v>
      </c>
      <c r="E1195" s="6" t="s">
        <v>3683</v>
      </c>
      <c r="F1195" s="6" t="s">
        <v>3655</v>
      </c>
      <c r="G1195" s="3" t="s">
        <v>11450</v>
      </c>
      <c r="H1195" s="54">
        <v>0</v>
      </c>
      <c r="I1195" s="16">
        <v>470000000</v>
      </c>
      <c r="J1195" s="157" t="s">
        <v>229</v>
      </c>
      <c r="K1195" s="5" t="s">
        <v>12226</v>
      </c>
      <c r="L1195" s="17" t="s">
        <v>11411</v>
      </c>
      <c r="M1195" s="3" t="s">
        <v>230</v>
      </c>
      <c r="N1195" s="6" t="s">
        <v>524</v>
      </c>
      <c r="O1195" s="6" t="s">
        <v>233</v>
      </c>
      <c r="P1195" s="58" t="s">
        <v>248</v>
      </c>
      <c r="Q1195" s="6" t="s">
        <v>249</v>
      </c>
      <c r="R1195" s="1">
        <v>3100</v>
      </c>
      <c r="S1195" s="2">
        <v>1120</v>
      </c>
      <c r="T1195" s="4">
        <v>0</v>
      </c>
      <c r="U1195" s="4">
        <f t="shared" si="41"/>
        <v>0</v>
      </c>
      <c r="V1195" s="3" t="s">
        <v>362</v>
      </c>
      <c r="W1195" s="3">
        <v>2014</v>
      </c>
      <c r="X1195" s="3" t="s">
        <v>12051</v>
      </c>
    </row>
    <row r="1196" spans="1:24" ht="89.25">
      <c r="A1196" s="3" t="s">
        <v>14744</v>
      </c>
      <c r="B1196" s="6" t="s">
        <v>361</v>
      </c>
      <c r="C1196" s="6" t="s">
        <v>3682</v>
      </c>
      <c r="D1196" s="6" t="s">
        <v>3680</v>
      </c>
      <c r="E1196" s="6" t="s">
        <v>3683</v>
      </c>
      <c r="F1196" s="6" t="s">
        <v>3655</v>
      </c>
      <c r="G1196" s="3" t="s">
        <v>11450</v>
      </c>
      <c r="H1196" s="54">
        <v>0</v>
      </c>
      <c r="I1196" s="16">
        <v>470000000</v>
      </c>
      <c r="J1196" s="157" t="s">
        <v>229</v>
      </c>
      <c r="K1196" s="5" t="s">
        <v>14745</v>
      </c>
      <c r="L1196" s="17" t="s">
        <v>11411</v>
      </c>
      <c r="M1196" s="3" t="s">
        <v>230</v>
      </c>
      <c r="N1196" s="6" t="s">
        <v>524</v>
      </c>
      <c r="O1196" s="6" t="s">
        <v>233</v>
      </c>
      <c r="P1196" s="58" t="s">
        <v>248</v>
      </c>
      <c r="Q1196" s="6" t="s">
        <v>249</v>
      </c>
      <c r="R1196" s="1">
        <v>1000</v>
      </c>
      <c r="S1196" s="2">
        <v>1344</v>
      </c>
      <c r="T1196" s="4">
        <v>0</v>
      </c>
      <c r="U1196" s="4">
        <f t="shared" si="41"/>
        <v>0</v>
      </c>
      <c r="V1196" s="3" t="s">
        <v>362</v>
      </c>
      <c r="W1196" s="3">
        <v>2014</v>
      </c>
      <c r="X1196" s="3" t="s">
        <v>19392</v>
      </c>
    </row>
    <row r="1197" spans="1:24" ht="76.5">
      <c r="A1197" s="3" t="s">
        <v>19256</v>
      </c>
      <c r="B1197" s="6" t="s">
        <v>361</v>
      </c>
      <c r="C1197" s="6" t="s">
        <v>3682</v>
      </c>
      <c r="D1197" s="6" t="s">
        <v>3680</v>
      </c>
      <c r="E1197" s="6" t="s">
        <v>3683</v>
      </c>
      <c r="F1197" s="6" t="s">
        <v>3655</v>
      </c>
      <c r="G1197" s="3" t="s">
        <v>11450</v>
      </c>
      <c r="H1197" s="54">
        <v>0</v>
      </c>
      <c r="I1197" s="16">
        <v>470000000</v>
      </c>
      <c r="J1197" s="157" t="s">
        <v>229</v>
      </c>
      <c r="K1197" s="5" t="s">
        <v>18437</v>
      </c>
      <c r="L1197" s="17" t="s">
        <v>11411</v>
      </c>
      <c r="M1197" s="3" t="s">
        <v>230</v>
      </c>
      <c r="N1197" s="6" t="s">
        <v>528</v>
      </c>
      <c r="O1197" s="6" t="s">
        <v>19407</v>
      </c>
      <c r="P1197" s="58" t="s">
        <v>248</v>
      </c>
      <c r="Q1197" s="6" t="s">
        <v>249</v>
      </c>
      <c r="R1197" s="1">
        <v>500</v>
      </c>
      <c r="S1197" s="2">
        <v>1344</v>
      </c>
      <c r="T1197" s="4">
        <f>R1197*S1197</f>
        <v>672000</v>
      </c>
      <c r="U1197" s="4">
        <f t="shared" si="41"/>
        <v>752640.00000000012</v>
      </c>
      <c r="V1197" s="3"/>
      <c r="W1197" s="3">
        <v>2014</v>
      </c>
      <c r="X1197" s="3"/>
    </row>
    <row r="1198" spans="1:24" ht="102">
      <c r="A1198" s="3" t="s">
        <v>1069</v>
      </c>
      <c r="B1198" s="6" t="s">
        <v>361</v>
      </c>
      <c r="C1198" s="6" t="s">
        <v>3679</v>
      </c>
      <c r="D1198" s="6" t="s">
        <v>3680</v>
      </c>
      <c r="E1198" s="6" t="s">
        <v>3681</v>
      </c>
      <c r="F1198" s="6" t="s">
        <v>3656</v>
      </c>
      <c r="G1198" s="3" t="s">
        <v>11450</v>
      </c>
      <c r="H1198" s="54">
        <v>0</v>
      </c>
      <c r="I1198" s="16">
        <v>470000000</v>
      </c>
      <c r="J1198" s="157" t="s">
        <v>229</v>
      </c>
      <c r="K1198" s="5" t="s">
        <v>221</v>
      </c>
      <c r="L1198" s="6" t="s">
        <v>231</v>
      </c>
      <c r="M1198" s="3" t="s">
        <v>230</v>
      </c>
      <c r="N1198" s="6" t="s">
        <v>524</v>
      </c>
      <c r="O1198" s="6" t="s">
        <v>233</v>
      </c>
      <c r="P1198" s="58" t="s">
        <v>248</v>
      </c>
      <c r="Q1198" s="6" t="s">
        <v>249</v>
      </c>
      <c r="R1198" s="1">
        <v>1850</v>
      </c>
      <c r="S1198" s="2">
        <v>1400</v>
      </c>
      <c r="T1198" s="4">
        <v>0</v>
      </c>
      <c r="U1198" s="4">
        <f t="shared" si="41"/>
        <v>0</v>
      </c>
      <c r="V1198" s="3" t="s">
        <v>362</v>
      </c>
      <c r="W1198" s="3">
        <v>2014</v>
      </c>
      <c r="X1198" s="3">
        <v>11.12</v>
      </c>
    </row>
    <row r="1199" spans="1:24" ht="89.25">
      <c r="A1199" s="3" t="s">
        <v>12228</v>
      </c>
      <c r="B1199" s="6" t="s">
        <v>361</v>
      </c>
      <c r="C1199" s="6" t="s">
        <v>3679</v>
      </c>
      <c r="D1199" s="6" t="s">
        <v>3680</v>
      </c>
      <c r="E1199" s="6" t="s">
        <v>3681</v>
      </c>
      <c r="F1199" s="6" t="s">
        <v>3656</v>
      </c>
      <c r="G1199" s="3" t="s">
        <v>11450</v>
      </c>
      <c r="H1199" s="54">
        <v>0</v>
      </c>
      <c r="I1199" s="16">
        <v>470000000</v>
      </c>
      <c r="J1199" s="157" t="s">
        <v>229</v>
      </c>
      <c r="K1199" s="5" t="s">
        <v>12226</v>
      </c>
      <c r="L1199" s="17" t="s">
        <v>11411</v>
      </c>
      <c r="M1199" s="3" t="s">
        <v>230</v>
      </c>
      <c r="N1199" s="6" t="s">
        <v>524</v>
      </c>
      <c r="O1199" s="6" t="s">
        <v>233</v>
      </c>
      <c r="P1199" s="58" t="s">
        <v>248</v>
      </c>
      <c r="Q1199" s="6" t="s">
        <v>249</v>
      </c>
      <c r="R1199" s="1">
        <v>1850</v>
      </c>
      <c r="S1199" s="2">
        <v>1400</v>
      </c>
      <c r="T1199" s="4">
        <v>0</v>
      </c>
      <c r="U1199" s="4">
        <f t="shared" si="41"/>
        <v>0</v>
      </c>
      <c r="V1199" s="3" t="s">
        <v>362</v>
      </c>
      <c r="W1199" s="3">
        <v>2014</v>
      </c>
      <c r="X1199" s="3" t="s">
        <v>12051</v>
      </c>
    </row>
    <row r="1200" spans="1:24" ht="89.25">
      <c r="A1200" s="3" t="s">
        <v>14746</v>
      </c>
      <c r="B1200" s="6" t="s">
        <v>361</v>
      </c>
      <c r="C1200" s="6" t="s">
        <v>3679</v>
      </c>
      <c r="D1200" s="6" t="s">
        <v>3680</v>
      </c>
      <c r="E1200" s="6" t="s">
        <v>3681</v>
      </c>
      <c r="F1200" s="6" t="s">
        <v>3656</v>
      </c>
      <c r="G1200" s="3" t="s">
        <v>11450</v>
      </c>
      <c r="H1200" s="54">
        <v>0</v>
      </c>
      <c r="I1200" s="16">
        <v>470000000</v>
      </c>
      <c r="J1200" s="157" t="s">
        <v>229</v>
      </c>
      <c r="K1200" s="5" t="s">
        <v>220</v>
      </c>
      <c r="L1200" s="17" t="s">
        <v>11411</v>
      </c>
      <c r="M1200" s="3" t="s">
        <v>230</v>
      </c>
      <c r="N1200" s="6" t="s">
        <v>524</v>
      </c>
      <c r="O1200" s="6" t="s">
        <v>233</v>
      </c>
      <c r="P1200" s="58" t="s">
        <v>248</v>
      </c>
      <c r="Q1200" s="6" t="s">
        <v>249</v>
      </c>
      <c r="R1200" s="1">
        <v>1750</v>
      </c>
      <c r="S1200" s="2">
        <v>1680</v>
      </c>
      <c r="T1200" s="4">
        <v>0</v>
      </c>
      <c r="U1200" s="4">
        <f t="shared" si="41"/>
        <v>0</v>
      </c>
      <c r="V1200" s="3" t="s">
        <v>362</v>
      </c>
      <c r="W1200" s="3">
        <v>2014</v>
      </c>
      <c r="X1200" s="3" t="s">
        <v>18825</v>
      </c>
    </row>
    <row r="1201" spans="1:24" ht="63.75">
      <c r="A1201" s="3" t="s">
        <v>18868</v>
      </c>
      <c r="B1201" s="6" t="s">
        <v>361</v>
      </c>
      <c r="C1201" s="6" t="s">
        <v>3679</v>
      </c>
      <c r="D1201" s="6" t="s">
        <v>3680</v>
      </c>
      <c r="E1201" s="6" t="s">
        <v>3681</v>
      </c>
      <c r="F1201" s="6" t="s">
        <v>3656</v>
      </c>
      <c r="G1201" s="3" t="s">
        <v>11450</v>
      </c>
      <c r="H1201" s="54">
        <v>0</v>
      </c>
      <c r="I1201" s="16">
        <v>470000000</v>
      </c>
      <c r="J1201" s="157" t="s">
        <v>229</v>
      </c>
      <c r="K1201" s="5" t="s">
        <v>18869</v>
      </c>
      <c r="L1201" s="17" t="s">
        <v>11411</v>
      </c>
      <c r="M1201" s="3" t="s">
        <v>230</v>
      </c>
      <c r="N1201" s="6" t="s">
        <v>524</v>
      </c>
      <c r="O1201" s="6" t="s">
        <v>18864</v>
      </c>
      <c r="P1201" s="58" t="s">
        <v>248</v>
      </c>
      <c r="Q1201" s="6" t="s">
        <v>249</v>
      </c>
      <c r="R1201" s="1">
        <v>2150</v>
      </c>
      <c r="S1201" s="2">
        <v>1680</v>
      </c>
      <c r="T1201" s="4">
        <v>0</v>
      </c>
      <c r="U1201" s="4">
        <f t="shared" ref="U1201:U1202" si="42">T1201*1.12</f>
        <v>0</v>
      </c>
      <c r="V1201" s="3" t="s">
        <v>362</v>
      </c>
      <c r="W1201" s="3">
        <v>2014</v>
      </c>
      <c r="X1201" s="3" t="s">
        <v>19393</v>
      </c>
    </row>
    <row r="1202" spans="1:24" ht="89.25">
      <c r="A1202" s="3" t="s">
        <v>19255</v>
      </c>
      <c r="B1202" s="6" t="s">
        <v>361</v>
      </c>
      <c r="C1202" s="6" t="s">
        <v>3679</v>
      </c>
      <c r="D1202" s="6" t="s">
        <v>3680</v>
      </c>
      <c r="E1202" s="6" t="s">
        <v>3681</v>
      </c>
      <c r="F1202" s="6" t="s">
        <v>3656</v>
      </c>
      <c r="G1202" s="3" t="s">
        <v>11450</v>
      </c>
      <c r="H1202" s="54">
        <v>0</v>
      </c>
      <c r="I1202" s="16">
        <v>470000000</v>
      </c>
      <c r="J1202" s="157" t="s">
        <v>229</v>
      </c>
      <c r="K1202" s="5" t="s">
        <v>18869</v>
      </c>
      <c r="L1202" s="17" t="s">
        <v>11411</v>
      </c>
      <c r="M1202" s="3" t="s">
        <v>230</v>
      </c>
      <c r="N1202" s="6" t="s">
        <v>524</v>
      </c>
      <c r="O1202" s="6" t="s">
        <v>233</v>
      </c>
      <c r="P1202" s="58" t="s">
        <v>248</v>
      </c>
      <c r="Q1202" s="6" t="s">
        <v>249</v>
      </c>
      <c r="R1202" s="1">
        <v>1500</v>
      </c>
      <c r="S1202" s="2">
        <v>1680</v>
      </c>
      <c r="T1202" s="4">
        <f>R1202*S1202</f>
        <v>2520000</v>
      </c>
      <c r="U1202" s="4">
        <f t="shared" si="42"/>
        <v>2822400.0000000005</v>
      </c>
      <c r="V1202" s="3"/>
      <c r="W1202" s="3">
        <v>2014</v>
      </c>
      <c r="X1202" s="3"/>
    </row>
    <row r="1203" spans="1:24" ht="102">
      <c r="A1203" s="3" t="s">
        <v>1070</v>
      </c>
      <c r="B1203" s="6" t="s">
        <v>361</v>
      </c>
      <c r="C1203" s="6" t="s">
        <v>3687</v>
      </c>
      <c r="D1203" s="6" t="s">
        <v>3685</v>
      </c>
      <c r="E1203" s="6" t="s">
        <v>3688</v>
      </c>
      <c r="F1203" s="6" t="s">
        <v>3657</v>
      </c>
      <c r="G1203" s="3" t="s">
        <v>11449</v>
      </c>
      <c r="H1203" s="54">
        <v>0</v>
      </c>
      <c r="I1203" s="16">
        <v>470000000</v>
      </c>
      <c r="J1203" s="157" t="s">
        <v>229</v>
      </c>
      <c r="K1203" s="5" t="s">
        <v>221</v>
      </c>
      <c r="L1203" s="6" t="s">
        <v>231</v>
      </c>
      <c r="M1203" s="3" t="s">
        <v>230</v>
      </c>
      <c r="N1203" s="6" t="s">
        <v>524</v>
      </c>
      <c r="O1203" s="6" t="s">
        <v>233</v>
      </c>
      <c r="P1203" s="58" t="s">
        <v>248</v>
      </c>
      <c r="Q1203" s="6" t="s">
        <v>249</v>
      </c>
      <c r="R1203" s="22">
        <v>200</v>
      </c>
      <c r="S1203" s="2">
        <v>2750</v>
      </c>
      <c r="T1203" s="4">
        <v>0</v>
      </c>
      <c r="U1203" s="4">
        <f t="shared" ref="U1203:U1267" si="43">T1203*1.12</f>
        <v>0</v>
      </c>
      <c r="V1203" s="3" t="s">
        <v>362</v>
      </c>
      <c r="W1203" s="3">
        <v>2014</v>
      </c>
      <c r="X1203" s="3">
        <v>11.12</v>
      </c>
    </row>
    <row r="1204" spans="1:24" ht="89.25">
      <c r="A1204" s="3" t="s">
        <v>12229</v>
      </c>
      <c r="B1204" s="6" t="s">
        <v>361</v>
      </c>
      <c r="C1204" s="6" t="s">
        <v>3687</v>
      </c>
      <c r="D1204" s="6" t="s">
        <v>3685</v>
      </c>
      <c r="E1204" s="6" t="s">
        <v>3688</v>
      </c>
      <c r="F1204" s="6" t="s">
        <v>3657</v>
      </c>
      <c r="G1204" s="3" t="s">
        <v>11449</v>
      </c>
      <c r="H1204" s="54">
        <v>0</v>
      </c>
      <c r="I1204" s="16">
        <v>470000000</v>
      </c>
      <c r="J1204" s="157" t="s">
        <v>229</v>
      </c>
      <c r="K1204" s="5" t="s">
        <v>12226</v>
      </c>
      <c r="L1204" s="17" t="s">
        <v>11411</v>
      </c>
      <c r="M1204" s="3" t="s">
        <v>230</v>
      </c>
      <c r="N1204" s="6" t="s">
        <v>524</v>
      </c>
      <c r="O1204" s="6" t="s">
        <v>233</v>
      </c>
      <c r="P1204" s="58" t="s">
        <v>248</v>
      </c>
      <c r="Q1204" s="6" t="s">
        <v>249</v>
      </c>
      <c r="R1204" s="22">
        <v>200</v>
      </c>
      <c r="S1204" s="2">
        <v>2750</v>
      </c>
      <c r="T1204" s="4">
        <v>0</v>
      </c>
      <c r="U1204" s="4">
        <f t="shared" si="43"/>
        <v>0</v>
      </c>
      <c r="V1204" s="3" t="s">
        <v>362</v>
      </c>
      <c r="W1204" s="3">
        <v>2014</v>
      </c>
      <c r="X1204" s="3" t="s">
        <v>14132</v>
      </c>
    </row>
    <row r="1205" spans="1:24" ht="89.25">
      <c r="A1205" s="3" t="s">
        <v>14537</v>
      </c>
      <c r="B1205" s="6" t="s">
        <v>361</v>
      </c>
      <c r="C1205" s="6" t="s">
        <v>3687</v>
      </c>
      <c r="D1205" s="6" t="s">
        <v>3685</v>
      </c>
      <c r="E1205" s="6" t="s">
        <v>3688</v>
      </c>
      <c r="F1205" s="6" t="s">
        <v>3657</v>
      </c>
      <c r="G1205" s="3" t="s">
        <v>11449</v>
      </c>
      <c r="H1205" s="54">
        <v>0</v>
      </c>
      <c r="I1205" s="16">
        <v>470000000</v>
      </c>
      <c r="J1205" s="157" t="s">
        <v>229</v>
      </c>
      <c r="K1205" s="5" t="s">
        <v>12226</v>
      </c>
      <c r="L1205" s="17" t="s">
        <v>11411</v>
      </c>
      <c r="M1205" s="3" t="s">
        <v>230</v>
      </c>
      <c r="N1205" s="6" t="s">
        <v>524</v>
      </c>
      <c r="O1205" s="6" t="s">
        <v>233</v>
      </c>
      <c r="P1205" s="58" t="s">
        <v>248</v>
      </c>
      <c r="Q1205" s="6" t="s">
        <v>249</v>
      </c>
      <c r="R1205" s="22">
        <v>900</v>
      </c>
      <c r="S1205" s="2">
        <v>3300</v>
      </c>
      <c r="T1205" s="4">
        <v>0</v>
      </c>
      <c r="U1205" s="4">
        <f t="shared" si="43"/>
        <v>0</v>
      </c>
      <c r="V1205" s="3" t="s">
        <v>362</v>
      </c>
      <c r="W1205" s="3">
        <v>2014</v>
      </c>
      <c r="X1205" s="3">
        <v>7.11</v>
      </c>
    </row>
    <row r="1206" spans="1:24" ht="89.25">
      <c r="A1206" s="3" t="s">
        <v>18163</v>
      </c>
      <c r="B1206" s="6" t="s">
        <v>361</v>
      </c>
      <c r="C1206" s="6" t="s">
        <v>3687</v>
      </c>
      <c r="D1206" s="6" t="s">
        <v>3685</v>
      </c>
      <c r="E1206" s="6" t="s">
        <v>3688</v>
      </c>
      <c r="F1206" s="6" t="s">
        <v>3657</v>
      </c>
      <c r="G1206" s="3" t="s">
        <v>11450</v>
      </c>
      <c r="H1206" s="54">
        <v>0</v>
      </c>
      <c r="I1206" s="16">
        <v>470000000</v>
      </c>
      <c r="J1206" s="157" t="s">
        <v>229</v>
      </c>
      <c r="K1206" s="5" t="s">
        <v>8309</v>
      </c>
      <c r="L1206" s="17" t="s">
        <v>11411</v>
      </c>
      <c r="M1206" s="3" t="s">
        <v>230</v>
      </c>
      <c r="N1206" s="6" t="s">
        <v>524</v>
      </c>
      <c r="O1206" s="6" t="s">
        <v>233</v>
      </c>
      <c r="P1206" s="58" t="s">
        <v>248</v>
      </c>
      <c r="Q1206" s="6" t="s">
        <v>249</v>
      </c>
      <c r="R1206" s="22">
        <v>900</v>
      </c>
      <c r="S1206" s="2">
        <v>3300</v>
      </c>
      <c r="T1206" s="4">
        <f>R1206*S1206</f>
        <v>2970000</v>
      </c>
      <c r="U1206" s="4">
        <f t="shared" si="43"/>
        <v>3326400.0000000005</v>
      </c>
      <c r="V1206" s="3" t="s">
        <v>362</v>
      </c>
      <c r="W1206" s="3">
        <v>2014</v>
      </c>
      <c r="X1206" s="3"/>
    </row>
    <row r="1207" spans="1:24" ht="102">
      <c r="A1207" s="3" t="s">
        <v>1071</v>
      </c>
      <c r="B1207" s="6" t="s">
        <v>361</v>
      </c>
      <c r="C1207" s="6" t="s">
        <v>3684</v>
      </c>
      <c r="D1207" s="6" t="s">
        <v>3685</v>
      </c>
      <c r="E1207" s="6" t="s">
        <v>3686</v>
      </c>
      <c r="F1207" s="6" t="s">
        <v>3658</v>
      </c>
      <c r="G1207" s="3" t="s">
        <v>11449</v>
      </c>
      <c r="H1207" s="54">
        <v>0</v>
      </c>
      <c r="I1207" s="16">
        <v>470000000</v>
      </c>
      <c r="J1207" s="157" t="s">
        <v>229</v>
      </c>
      <c r="K1207" s="5" t="s">
        <v>211</v>
      </c>
      <c r="L1207" s="6" t="s">
        <v>231</v>
      </c>
      <c r="M1207" s="3" t="s">
        <v>230</v>
      </c>
      <c r="N1207" s="6" t="s">
        <v>524</v>
      </c>
      <c r="O1207" s="6" t="s">
        <v>233</v>
      </c>
      <c r="P1207" s="58" t="s">
        <v>248</v>
      </c>
      <c r="Q1207" s="6" t="s">
        <v>249</v>
      </c>
      <c r="R1207" s="4">
        <v>8400</v>
      </c>
      <c r="S1207" s="2">
        <v>2750</v>
      </c>
      <c r="T1207" s="4">
        <v>0</v>
      </c>
      <c r="U1207" s="4">
        <f t="shared" si="43"/>
        <v>0</v>
      </c>
      <c r="V1207" s="3" t="s">
        <v>362</v>
      </c>
      <c r="W1207" s="3">
        <v>2014</v>
      </c>
      <c r="X1207" s="3">
        <v>11.12</v>
      </c>
    </row>
    <row r="1208" spans="1:24" ht="89.25">
      <c r="A1208" s="3" t="s">
        <v>12230</v>
      </c>
      <c r="B1208" s="6" t="s">
        <v>361</v>
      </c>
      <c r="C1208" s="6" t="s">
        <v>3684</v>
      </c>
      <c r="D1208" s="6" t="s">
        <v>3685</v>
      </c>
      <c r="E1208" s="6" t="s">
        <v>3686</v>
      </c>
      <c r="F1208" s="6" t="s">
        <v>3658</v>
      </c>
      <c r="G1208" s="3" t="s">
        <v>11449</v>
      </c>
      <c r="H1208" s="54">
        <v>0</v>
      </c>
      <c r="I1208" s="16">
        <v>470000000</v>
      </c>
      <c r="J1208" s="157" t="s">
        <v>229</v>
      </c>
      <c r="K1208" s="5" t="s">
        <v>12226</v>
      </c>
      <c r="L1208" s="17" t="s">
        <v>11411</v>
      </c>
      <c r="M1208" s="3" t="s">
        <v>230</v>
      </c>
      <c r="N1208" s="6" t="s">
        <v>524</v>
      </c>
      <c r="O1208" s="6" t="s">
        <v>233</v>
      </c>
      <c r="P1208" s="58" t="s">
        <v>248</v>
      </c>
      <c r="Q1208" s="6" t="s">
        <v>249</v>
      </c>
      <c r="R1208" s="4">
        <v>8400</v>
      </c>
      <c r="S1208" s="2">
        <v>3300</v>
      </c>
      <c r="T1208" s="4">
        <v>0</v>
      </c>
      <c r="U1208" s="4">
        <f t="shared" si="43"/>
        <v>0</v>
      </c>
      <c r="V1208" s="3" t="s">
        <v>362</v>
      </c>
      <c r="W1208" s="3">
        <v>2014</v>
      </c>
      <c r="X1208" s="3" t="s">
        <v>12076</v>
      </c>
    </row>
    <row r="1209" spans="1:24" ht="102">
      <c r="A1209" s="3" t="s">
        <v>1072</v>
      </c>
      <c r="B1209" s="6" t="s">
        <v>361</v>
      </c>
      <c r="C1209" s="6" t="s">
        <v>3689</v>
      </c>
      <c r="D1209" s="6" t="s">
        <v>3685</v>
      </c>
      <c r="E1209" s="6" t="s">
        <v>3690</v>
      </c>
      <c r="F1209" s="6" t="s">
        <v>3659</v>
      </c>
      <c r="G1209" s="3" t="s">
        <v>11449</v>
      </c>
      <c r="H1209" s="54">
        <v>0</v>
      </c>
      <c r="I1209" s="16">
        <v>470000000</v>
      </c>
      <c r="J1209" s="157" t="s">
        <v>229</v>
      </c>
      <c r="K1209" s="5" t="s">
        <v>211</v>
      </c>
      <c r="L1209" s="6" t="s">
        <v>231</v>
      </c>
      <c r="M1209" s="3" t="s">
        <v>230</v>
      </c>
      <c r="N1209" s="6" t="s">
        <v>524</v>
      </c>
      <c r="O1209" s="6" t="s">
        <v>233</v>
      </c>
      <c r="P1209" s="58" t="s">
        <v>248</v>
      </c>
      <c r="Q1209" s="6" t="s">
        <v>249</v>
      </c>
      <c r="R1209" s="22">
        <v>280</v>
      </c>
      <c r="S1209" s="2">
        <v>2750</v>
      </c>
      <c r="T1209" s="4">
        <v>0</v>
      </c>
      <c r="U1209" s="4">
        <f t="shared" si="43"/>
        <v>0</v>
      </c>
      <c r="V1209" s="3" t="s">
        <v>362</v>
      </c>
      <c r="W1209" s="3">
        <v>2014</v>
      </c>
      <c r="X1209" s="3">
        <v>11.12</v>
      </c>
    </row>
    <row r="1210" spans="1:24" ht="89.25">
      <c r="A1210" s="3" t="s">
        <v>12231</v>
      </c>
      <c r="B1210" s="6" t="s">
        <v>361</v>
      </c>
      <c r="C1210" s="6" t="s">
        <v>3689</v>
      </c>
      <c r="D1210" s="6" t="s">
        <v>3685</v>
      </c>
      <c r="E1210" s="6" t="s">
        <v>3690</v>
      </c>
      <c r="F1210" s="6" t="s">
        <v>3659</v>
      </c>
      <c r="G1210" s="3" t="s">
        <v>11449</v>
      </c>
      <c r="H1210" s="54">
        <v>0</v>
      </c>
      <c r="I1210" s="16">
        <v>470000000</v>
      </c>
      <c r="J1210" s="157" t="s">
        <v>229</v>
      </c>
      <c r="K1210" s="5" t="s">
        <v>12226</v>
      </c>
      <c r="L1210" s="17" t="s">
        <v>11411</v>
      </c>
      <c r="M1210" s="3" t="s">
        <v>230</v>
      </c>
      <c r="N1210" s="6" t="s">
        <v>524</v>
      </c>
      <c r="O1210" s="6" t="s">
        <v>233</v>
      </c>
      <c r="P1210" s="58" t="s">
        <v>248</v>
      </c>
      <c r="Q1210" s="6" t="s">
        <v>249</v>
      </c>
      <c r="R1210" s="22">
        <v>280</v>
      </c>
      <c r="S1210" s="2">
        <v>3300</v>
      </c>
      <c r="T1210" s="4">
        <v>0</v>
      </c>
      <c r="U1210" s="4">
        <f t="shared" si="43"/>
        <v>0</v>
      </c>
      <c r="V1210" s="3" t="s">
        <v>362</v>
      </c>
      <c r="W1210" s="3">
        <v>2014</v>
      </c>
      <c r="X1210" s="3" t="s">
        <v>12076</v>
      </c>
    </row>
    <row r="1211" spans="1:24" ht="102">
      <c r="A1211" s="3" t="s">
        <v>1073</v>
      </c>
      <c r="B1211" s="6" t="s">
        <v>361</v>
      </c>
      <c r="C1211" s="6" t="s">
        <v>3691</v>
      </c>
      <c r="D1211" s="6" t="s">
        <v>3692</v>
      </c>
      <c r="E1211" s="6" t="s">
        <v>3693</v>
      </c>
      <c r="F1211" s="6" t="s">
        <v>3660</v>
      </c>
      <c r="G1211" s="3" t="s">
        <v>11449</v>
      </c>
      <c r="H1211" s="54">
        <v>0</v>
      </c>
      <c r="I1211" s="16">
        <v>470000000</v>
      </c>
      <c r="J1211" s="157" t="s">
        <v>229</v>
      </c>
      <c r="K1211" s="5" t="s">
        <v>211</v>
      </c>
      <c r="L1211" s="6" t="s">
        <v>231</v>
      </c>
      <c r="M1211" s="3" t="s">
        <v>230</v>
      </c>
      <c r="N1211" s="6" t="s">
        <v>524</v>
      </c>
      <c r="O1211" s="6" t="s">
        <v>233</v>
      </c>
      <c r="P1211" s="58" t="s">
        <v>248</v>
      </c>
      <c r="Q1211" s="6" t="s">
        <v>249</v>
      </c>
      <c r="R1211" s="4">
        <v>1000</v>
      </c>
      <c r="S1211" s="2">
        <v>5264</v>
      </c>
      <c r="T1211" s="4">
        <v>0</v>
      </c>
      <c r="U1211" s="4">
        <f t="shared" si="43"/>
        <v>0</v>
      </c>
      <c r="V1211" s="3" t="s">
        <v>362</v>
      </c>
      <c r="W1211" s="3">
        <v>2014</v>
      </c>
      <c r="X1211" s="3" t="s">
        <v>12076</v>
      </c>
    </row>
    <row r="1212" spans="1:24" ht="102">
      <c r="A1212" s="3" t="s">
        <v>1074</v>
      </c>
      <c r="B1212" s="6" t="s">
        <v>361</v>
      </c>
      <c r="C1212" s="6" t="s">
        <v>3694</v>
      </c>
      <c r="D1212" s="6" t="s">
        <v>3695</v>
      </c>
      <c r="E1212" s="6" t="s">
        <v>11519</v>
      </c>
      <c r="F1212" s="6" t="s">
        <v>3661</v>
      </c>
      <c r="G1212" s="3" t="s">
        <v>11449</v>
      </c>
      <c r="H1212" s="54">
        <v>0</v>
      </c>
      <c r="I1212" s="16">
        <v>470000000</v>
      </c>
      <c r="J1212" s="157" t="s">
        <v>229</v>
      </c>
      <c r="K1212" s="5" t="s">
        <v>221</v>
      </c>
      <c r="L1212" s="6" t="s">
        <v>231</v>
      </c>
      <c r="M1212" s="3" t="s">
        <v>230</v>
      </c>
      <c r="N1212" s="6" t="s">
        <v>524</v>
      </c>
      <c r="O1212" s="6" t="s">
        <v>233</v>
      </c>
      <c r="P1212" s="58" t="s">
        <v>248</v>
      </c>
      <c r="Q1212" s="6" t="s">
        <v>249</v>
      </c>
      <c r="R1212" s="22">
        <v>280</v>
      </c>
      <c r="S1212" s="2">
        <v>612</v>
      </c>
      <c r="T1212" s="4">
        <v>0</v>
      </c>
      <c r="U1212" s="4">
        <f t="shared" si="43"/>
        <v>0</v>
      </c>
      <c r="V1212" s="3" t="s">
        <v>362</v>
      </c>
      <c r="W1212" s="3">
        <v>2014</v>
      </c>
      <c r="X1212" s="3" t="s">
        <v>12076</v>
      </c>
    </row>
    <row r="1213" spans="1:24" ht="102">
      <c r="A1213" s="3" t="s">
        <v>1075</v>
      </c>
      <c r="B1213" s="6" t="s">
        <v>361</v>
      </c>
      <c r="C1213" s="6" t="s">
        <v>3696</v>
      </c>
      <c r="D1213" s="6" t="s">
        <v>3697</v>
      </c>
      <c r="E1213" s="6" t="s">
        <v>3698</v>
      </c>
      <c r="F1213" s="6" t="s">
        <v>3662</v>
      </c>
      <c r="G1213" s="3" t="s">
        <v>11450</v>
      </c>
      <c r="H1213" s="54">
        <v>0</v>
      </c>
      <c r="I1213" s="16">
        <v>470000000</v>
      </c>
      <c r="J1213" s="157" t="s">
        <v>229</v>
      </c>
      <c r="K1213" s="5" t="s">
        <v>215</v>
      </c>
      <c r="L1213" s="6" t="s">
        <v>231</v>
      </c>
      <c r="M1213" s="3" t="s">
        <v>230</v>
      </c>
      <c r="N1213" s="6" t="s">
        <v>524</v>
      </c>
      <c r="O1213" s="6" t="s">
        <v>233</v>
      </c>
      <c r="P1213" s="58" t="s">
        <v>248</v>
      </c>
      <c r="Q1213" s="6" t="s">
        <v>249</v>
      </c>
      <c r="R1213" s="22">
        <v>167</v>
      </c>
      <c r="S1213" s="2">
        <v>1710</v>
      </c>
      <c r="T1213" s="4">
        <v>0</v>
      </c>
      <c r="U1213" s="4">
        <f t="shared" si="43"/>
        <v>0</v>
      </c>
      <c r="V1213" s="3" t="s">
        <v>362</v>
      </c>
      <c r="W1213" s="3">
        <v>2014</v>
      </c>
      <c r="X1213" s="3">
        <v>11.12</v>
      </c>
    </row>
    <row r="1214" spans="1:24" ht="89.25">
      <c r="A1214" s="3" t="s">
        <v>12232</v>
      </c>
      <c r="B1214" s="6" t="s">
        <v>361</v>
      </c>
      <c r="C1214" s="6" t="s">
        <v>3696</v>
      </c>
      <c r="D1214" s="6" t="s">
        <v>3697</v>
      </c>
      <c r="E1214" s="6" t="s">
        <v>3698</v>
      </c>
      <c r="F1214" s="6" t="s">
        <v>3662</v>
      </c>
      <c r="G1214" s="3" t="s">
        <v>11450</v>
      </c>
      <c r="H1214" s="54">
        <v>0</v>
      </c>
      <c r="I1214" s="16">
        <v>470000000</v>
      </c>
      <c r="J1214" s="157" t="s">
        <v>229</v>
      </c>
      <c r="K1214" s="5" t="s">
        <v>211</v>
      </c>
      <c r="L1214" s="17" t="s">
        <v>11411</v>
      </c>
      <c r="M1214" s="3" t="s">
        <v>230</v>
      </c>
      <c r="N1214" s="6" t="s">
        <v>524</v>
      </c>
      <c r="O1214" s="6" t="s">
        <v>233</v>
      </c>
      <c r="P1214" s="58" t="s">
        <v>248</v>
      </c>
      <c r="Q1214" s="6" t="s">
        <v>249</v>
      </c>
      <c r="R1214" s="22">
        <v>167</v>
      </c>
      <c r="S1214" s="2">
        <v>2052</v>
      </c>
      <c r="T1214" s="4">
        <v>0</v>
      </c>
      <c r="U1214" s="4">
        <f t="shared" si="43"/>
        <v>0</v>
      </c>
      <c r="V1214" s="3" t="s">
        <v>362</v>
      </c>
      <c r="W1214" s="3">
        <v>2014</v>
      </c>
      <c r="X1214" s="3" t="s">
        <v>12076</v>
      </c>
    </row>
    <row r="1215" spans="1:24" ht="102">
      <c r="A1215" s="3" t="s">
        <v>1076</v>
      </c>
      <c r="B1215" s="6" t="s">
        <v>361</v>
      </c>
      <c r="C1215" s="6" t="s">
        <v>3699</v>
      </c>
      <c r="D1215" s="6" t="s">
        <v>3700</v>
      </c>
      <c r="E1215" s="6" t="s">
        <v>3701</v>
      </c>
      <c r="F1215" s="6" t="s">
        <v>3663</v>
      </c>
      <c r="G1215" s="3" t="s">
        <v>11450</v>
      </c>
      <c r="H1215" s="54">
        <v>0</v>
      </c>
      <c r="I1215" s="16">
        <v>470000000</v>
      </c>
      <c r="J1215" s="157" t="s">
        <v>229</v>
      </c>
      <c r="K1215" s="5" t="s">
        <v>215</v>
      </c>
      <c r="L1215" s="6" t="s">
        <v>231</v>
      </c>
      <c r="M1215" s="3" t="s">
        <v>230</v>
      </c>
      <c r="N1215" s="6" t="s">
        <v>524</v>
      </c>
      <c r="O1215" s="6" t="s">
        <v>233</v>
      </c>
      <c r="P1215" s="58" t="s">
        <v>241</v>
      </c>
      <c r="Q1215" s="6" t="s">
        <v>234</v>
      </c>
      <c r="R1215" s="22">
        <v>62</v>
      </c>
      <c r="S1215" s="2">
        <v>442</v>
      </c>
      <c r="T1215" s="4">
        <v>0</v>
      </c>
      <c r="U1215" s="4">
        <f t="shared" si="43"/>
        <v>0</v>
      </c>
      <c r="V1215" s="3" t="s">
        <v>362</v>
      </c>
      <c r="W1215" s="3">
        <v>2014</v>
      </c>
      <c r="X1215" s="3">
        <v>11.12</v>
      </c>
    </row>
    <row r="1216" spans="1:24" ht="89.25">
      <c r="A1216" s="3" t="s">
        <v>12233</v>
      </c>
      <c r="B1216" s="6" t="s">
        <v>361</v>
      </c>
      <c r="C1216" s="6" t="s">
        <v>3699</v>
      </c>
      <c r="D1216" s="6" t="s">
        <v>3700</v>
      </c>
      <c r="E1216" s="6" t="s">
        <v>3701</v>
      </c>
      <c r="F1216" s="6" t="s">
        <v>3663</v>
      </c>
      <c r="G1216" s="3" t="s">
        <v>11450</v>
      </c>
      <c r="H1216" s="54">
        <v>0</v>
      </c>
      <c r="I1216" s="16">
        <v>470000000</v>
      </c>
      <c r="J1216" s="157" t="s">
        <v>229</v>
      </c>
      <c r="K1216" s="5" t="s">
        <v>211</v>
      </c>
      <c r="L1216" s="17" t="s">
        <v>11411</v>
      </c>
      <c r="M1216" s="3" t="s">
        <v>230</v>
      </c>
      <c r="N1216" s="6" t="s">
        <v>524</v>
      </c>
      <c r="O1216" s="6" t="s">
        <v>233</v>
      </c>
      <c r="P1216" s="58" t="s">
        <v>241</v>
      </c>
      <c r="Q1216" s="6" t="s">
        <v>234</v>
      </c>
      <c r="R1216" s="22">
        <v>62</v>
      </c>
      <c r="S1216" s="2">
        <v>530</v>
      </c>
      <c r="T1216" s="4">
        <v>0</v>
      </c>
      <c r="U1216" s="4">
        <f t="shared" si="43"/>
        <v>0</v>
      </c>
      <c r="V1216" s="3" t="s">
        <v>362</v>
      </c>
      <c r="W1216" s="3">
        <v>2014</v>
      </c>
      <c r="X1216" s="3" t="s">
        <v>12076</v>
      </c>
    </row>
    <row r="1217" spans="1:24" ht="102">
      <c r="A1217" s="3" t="s">
        <v>1077</v>
      </c>
      <c r="B1217" s="6" t="s">
        <v>361</v>
      </c>
      <c r="C1217" s="6" t="s">
        <v>3699</v>
      </c>
      <c r="D1217" s="6" t="s">
        <v>3700</v>
      </c>
      <c r="E1217" s="6" t="s">
        <v>3701</v>
      </c>
      <c r="F1217" s="6" t="s">
        <v>3664</v>
      </c>
      <c r="G1217" s="3" t="s">
        <v>11450</v>
      </c>
      <c r="H1217" s="54">
        <v>0</v>
      </c>
      <c r="I1217" s="16">
        <v>470000000</v>
      </c>
      <c r="J1217" s="157" t="s">
        <v>229</v>
      </c>
      <c r="K1217" s="5" t="s">
        <v>215</v>
      </c>
      <c r="L1217" s="6" t="s">
        <v>231</v>
      </c>
      <c r="M1217" s="3" t="s">
        <v>230</v>
      </c>
      <c r="N1217" s="6" t="s">
        <v>524</v>
      </c>
      <c r="O1217" s="6" t="s">
        <v>233</v>
      </c>
      <c r="P1217" s="58" t="s">
        <v>241</v>
      </c>
      <c r="Q1217" s="6" t="s">
        <v>234</v>
      </c>
      <c r="R1217" s="22">
        <v>324</v>
      </c>
      <c r="S1217" s="2">
        <v>305</v>
      </c>
      <c r="T1217" s="4">
        <v>0</v>
      </c>
      <c r="U1217" s="4">
        <f t="shared" si="43"/>
        <v>0</v>
      </c>
      <c r="V1217" s="3" t="s">
        <v>362</v>
      </c>
      <c r="W1217" s="3">
        <v>2014</v>
      </c>
      <c r="X1217" s="3">
        <v>11.12</v>
      </c>
    </row>
    <row r="1218" spans="1:24" ht="89.25">
      <c r="A1218" s="3" t="s">
        <v>12234</v>
      </c>
      <c r="B1218" s="6" t="s">
        <v>361</v>
      </c>
      <c r="C1218" s="6" t="s">
        <v>3699</v>
      </c>
      <c r="D1218" s="6" t="s">
        <v>3700</v>
      </c>
      <c r="E1218" s="6" t="s">
        <v>3701</v>
      </c>
      <c r="F1218" s="6" t="s">
        <v>3664</v>
      </c>
      <c r="G1218" s="3" t="s">
        <v>11450</v>
      </c>
      <c r="H1218" s="54">
        <v>0</v>
      </c>
      <c r="I1218" s="16">
        <v>470000000</v>
      </c>
      <c r="J1218" s="157" t="s">
        <v>229</v>
      </c>
      <c r="K1218" s="5" t="s">
        <v>211</v>
      </c>
      <c r="L1218" s="17" t="s">
        <v>11411</v>
      </c>
      <c r="M1218" s="3" t="s">
        <v>230</v>
      </c>
      <c r="N1218" s="6" t="s">
        <v>524</v>
      </c>
      <c r="O1218" s="6" t="s">
        <v>233</v>
      </c>
      <c r="P1218" s="58" t="s">
        <v>241</v>
      </c>
      <c r="Q1218" s="6" t="s">
        <v>234</v>
      </c>
      <c r="R1218" s="22">
        <v>324</v>
      </c>
      <c r="S1218" s="2">
        <v>366</v>
      </c>
      <c r="T1218" s="4">
        <v>0</v>
      </c>
      <c r="U1218" s="4">
        <f t="shared" si="43"/>
        <v>0</v>
      </c>
      <c r="V1218" s="3" t="s">
        <v>362</v>
      </c>
      <c r="W1218" s="3">
        <v>2014</v>
      </c>
      <c r="X1218" s="3" t="s">
        <v>12076</v>
      </c>
    </row>
    <row r="1219" spans="1:24" ht="102">
      <c r="A1219" s="3" t="s">
        <v>1078</v>
      </c>
      <c r="B1219" s="6" t="s">
        <v>361</v>
      </c>
      <c r="C1219" s="6" t="s">
        <v>3699</v>
      </c>
      <c r="D1219" s="6" t="s">
        <v>3700</v>
      </c>
      <c r="E1219" s="6" t="s">
        <v>3701</v>
      </c>
      <c r="F1219" s="6" t="s">
        <v>3669</v>
      </c>
      <c r="G1219" s="3" t="s">
        <v>11450</v>
      </c>
      <c r="H1219" s="54">
        <v>0</v>
      </c>
      <c r="I1219" s="16">
        <v>470000000</v>
      </c>
      <c r="J1219" s="157" t="s">
        <v>229</v>
      </c>
      <c r="K1219" s="5" t="s">
        <v>215</v>
      </c>
      <c r="L1219" s="6" t="s">
        <v>231</v>
      </c>
      <c r="M1219" s="3" t="s">
        <v>230</v>
      </c>
      <c r="N1219" s="6" t="s">
        <v>524</v>
      </c>
      <c r="O1219" s="6" t="s">
        <v>233</v>
      </c>
      <c r="P1219" s="58" t="s">
        <v>241</v>
      </c>
      <c r="Q1219" s="6" t="s">
        <v>234</v>
      </c>
      <c r="R1219" s="22">
        <v>324</v>
      </c>
      <c r="S1219" s="2">
        <v>150</v>
      </c>
      <c r="T1219" s="4">
        <v>0</v>
      </c>
      <c r="U1219" s="4">
        <f t="shared" si="43"/>
        <v>0</v>
      </c>
      <c r="V1219" s="3" t="s">
        <v>362</v>
      </c>
      <c r="W1219" s="3">
        <v>2014</v>
      </c>
      <c r="X1219" s="3">
        <v>11.12</v>
      </c>
    </row>
    <row r="1220" spans="1:24" ht="89.25">
      <c r="A1220" s="3" t="s">
        <v>12235</v>
      </c>
      <c r="B1220" s="6" t="s">
        <v>361</v>
      </c>
      <c r="C1220" s="6" t="s">
        <v>3699</v>
      </c>
      <c r="D1220" s="6" t="s">
        <v>3700</v>
      </c>
      <c r="E1220" s="6" t="s">
        <v>3701</v>
      </c>
      <c r="F1220" s="6" t="s">
        <v>3669</v>
      </c>
      <c r="G1220" s="3" t="s">
        <v>11450</v>
      </c>
      <c r="H1220" s="54">
        <v>0</v>
      </c>
      <c r="I1220" s="16">
        <v>470000000</v>
      </c>
      <c r="J1220" s="157" t="s">
        <v>229</v>
      </c>
      <c r="K1220" s="5" t="s">
        <v>211</v>
      </c>
      <c r="L1220" s="17" t="s">
        <v>11411</v>
      </c>
      <c r="M1220" s="3" t="s">
        <v>230</v>
      </c>
      <c r="N1220" s="6" t="s">
        <v>524</v>
      </c>
      <c r="O1220" s="6" t="s">
        <v>233</v>
      </c>
      <c r="P1220" s="58" t="s">
        <v>241</v>
      </c>
      <c r="Q1220" s="6" t="s">
        <v>234</v>
      </c>
      <c r="R1220" s="22">
        <v>324</v>
      </c>
      <c r="S1220" s="2">
        <v>180</v>
      </c>
      <c r="T1220" s="4">
        <v>0</v>
      </c>
      <c r="U1220" s="4">
        <f t="shared" si="43"/>
        <v>0</v>
      </c>
      <c r="V1220" s="3" t="s">
        <v>362</v>
      </c>
      <c r="W1220" s="3">
        <v>2014</v>
      </c>
      <c r="X1220" s="3" t="s">
        <v>12076</v>
      </c>
    </row>
    <row r="1221" spans="1:24" ht="102">
      <c r="A1221" s="3" t="s">
        <v>1079</v>
      </c>
      <c r="B1221" s="6" t="s">
        <v>361</v>
      </c>
      <c r="C1221" s="6" t="s">
        <v>3699</v>
      </c>
      <c r="D1221" s="6" t="s">
        <v>3700</v>
      </c>
      <c r="E1221" s="6" t="s">
        <v>3701</v>
      </c>
      <c r="F1221" s="6" t="s">
        <v>3668</v>
      </c>
      <c r="G1221" s="3" t="s">
        <v>11450</v>
      </c>
      <c r="H1221" s="54">
        <v>0</v>
      </c>
      <c r="I1221" s="16">
        <v>470000000</v>
      </c>
      <c r="J1221" s="157" t="s">
        <v>229</v>
      </c>
      <c r="K1221" s="5" t="s">
        <v>215</v>
      </c>
      <c r="L1221" s="6" t="s">
        <v>231</v>
      </c>
      <c r="M1221" s="3" t="s">
        <v>230</v>
      </c>
      <c r="N1221" s="6" t="s">
        <v>524</v>
      </c>
      <c r="O1221" s="6" t="s">
        <v>233</v>
      </c>
      <c r="P1221" s="58" t="s">
        <v>241</v>
      </c>
      <c r="Q1221" s="6" t="s">
        <v>234</v>
      </c>
      <c r="R1221" s="22">
        <v>135</v>
      </c>
      <c r="S1221" s="2">
        <v>1242</v>
      </c>
      <c r="T1221" s="4">
        <v>0</v>
      </c>
      <c r="U1221" s="4">
        <f t="shared" si="43"/>
        <v>0</v>
      </c>
      <c r="V1221" s="3" t="s">
        <v>362</v>
      </c>
      <c r="W1221" s="3">
        <v>2014</v>
      </c>
      <c r="X1221" s="3">
        <v>11.12</v>
      </c>
    </row>
    <row r="1222" spans="1:24" ht="89.25">
      <c r="A1222" s="3" t="s">
        <v>12236</v>
      </c>
      <c r="B1222" s="6" t="s">
        <v>361</v>
      </c>
      <c r="C1222" s="6" t="s">
        <v>3699</v>
      </c>
      <c r="D1222" s="6" t="s">
        <v>3700</v>
      </c>
      <c r="E1222" s="6" t="s">
        <v>3701</v>
      </c>
      <c r="F1222" s="6" t="s">
        <v>3668</v>
      </c>
      <c r="G1222" s="3" t="s">
        <v>11450</v>
      </c>
      <c r="H1222" s="54">
        <v>0</v>
      </c>
      <c r="I1222" s="16">
        <v>470000000</v>
      </c>
      <c r="J1222" s="157" t="s">
        <v>229</v>
      </c>
      <c r="K1222" s="5" t="s">
        <v>211</v>
      </c>
      <c r="L1222" s="17" t="s">
        <v>11411</v>
      </c>
      <c r="M1222" s="3" t="s">
        <v>230</v>
      </c>
      <c r="N1222" s="6" t="s">
        <v>524</v>
      </c>
      <c r="O1222" s="6" t="s">
        <v>233</v>
      </c>
      <c r="P1222" s="58" t="s">
        <v>241</v>
      </c>
      <c r="Q1222" s="6" t="s">
        <v>234</v>
      </c>
      <c r="R1222" s="22">
        <v>135</v>
      </c>
      <c r="S1222" s="2">
        <v>1490</v>
      </c>
      <c r="T1222" s="4">
        <v>0</v>
      </c>
      <c r="U1222" s="4">
        <f t="shared" si="43"/>
        <v>0</v>
      </c>
      <c r="V1222" s="3" t="s">
        <v>362</v>
      </c>
      <c r="W1222" s="3">
        <v>2014</v>
      </c>
      <c r="X1222" s="3" t="s">
        <v>12076</v>
      </c>
    </row>
    <row r="1223" spans="1:24" ht="102">
      <c r="A1223" s="3" t="s">
        <v>1080</v>
      </c>
      <c r="B1223" s="6" t="s">
        <v>361</v>
      </c>
      <c r="C1223" s="6" t="s">
        <v>3704</v>
      </c>
      <c r="D1223" s="6" t="s">
        <v>3705</v>
      </c>
      <c r="E1223" s="6" t="s">
        <v>3706</v>
      </c>
      <c r="F1223" s="6" t="s">
        <v>3667</v>
      </c>
      <c r="G1223" s="3" t="s">
        <v>11450</v>
      </c>
      <c r="H1223" s="54">
        <v>0</v>
      </c>
      <c r="I1223" s="16">
        <v>470000000</v>
      </c>
      <c r="J1223" s="157" t="s">
        <v>229</v>
      </c>
      <c r="K1223" s="5" t="s">
        <v>215</v>
      </c>
      <c r="L1223" s="6" t="s">
        <v>231</v>
      </c>
      <c r="M1223" s="3" t="s">
        <v>230</v>
      </c>
      <c r="N1223" s="6" t="s">
        <v>524</v>
      </c>
      <c r="O1223" s="6" t="s">
        <v>233</v>
      </c>
      <c r="P1223" s="58" t="s">
        <v>241</v>
      </c>
      <c r="Q1223" s="6" t="s">
        <v>234</v>
      </c>
      <c r="R1223" s="22">
        <v>300</v>
      </c>
      <c r="S1223" s="2">
        <v>83</v>
      </c>
      <c r="T1223" s="4">
        <v>0</v>
      </c>
      <c r="U1223" s="4">
        <f t="shared" si="43"/>
        <v>0</v>
      </c>
      <c r="V1223" s="3" t="s">
        <v>362</v>
      </c>
      <c r="W1223" s="3">
        <v>2014</v>
      </c>
      <c r="X1223" s="3">
        <v>11.12</v>
      </c>
    </row>
    <row r="1224" spans="1:24" ht="89.25">
      <c r="A1224" s="3" t="s">
        <v>12237</v>
      </c>
      <c r="B1224" s="6" t="s">
        <v>361</v>
      </c>
      <c r="C1224" s="6" t="s">
        <v>3704</v>
      </c>
      <c r="D1224" s="6" t="s">
        <v>3705</v>
      </c>
      <c r="E1224" s="6" t="s">
        <v>3706</v>
      </c>
      <c r="F1224" s="6" t="s">
        <v>3667</v>
      </c>
      <c r="G1224" s="3" t="s">
        <v>11450</v>
      </c>
      <c r="H1224" s="54">
        <v>0</v>
      </c>
      <c r="I1224" s="16">
        <v>470000000</v>
      </c>
      <c r="J1224" s="157" t="s">
        <v>229</v>
      </c>
      <c r="K1224" s="5" t="s">
        <v>211</v>
      </c>
      <c r="L1224" s="17" t="s">
        <v>11411</v>
      </c>
      <c r="M1224" s="3" t="s">
        <v>230</v>
      </c>
      <c r="N1224" s="6" t="s">
        <v>524</v>
      </c>
      <c r="O1224" s="6" t="s">
        <v>233</v>
      </c>
      <c r="P1224" s="58" t="s">
        <v>241</v>
      </c>
      <c r="Q1224" s="6" t="s">
        <v>234</v>
      </c>
      <c r="R1224" s="22">
        <v>300</v>
      </c>
      <c r="S1224" s="2">
        <v>100</v>
      </c>
      <c r="T1224" s="4">
        <v>0</v>
      </c>
      <c r="U1224" s="4">
        <f t="shared" si="43"/>
        <v>0</v>
      </c>
      <c r="V1224" s="3" t="s">
        <v>362</v>
      </c>
      <c r="W1224" s="3">
        <v>2014</v>
      </c>
      <c r="X1224" s="3" t="s">
        <v>12076</v>
      </c>
    </row>
    <row r="1225" spans="1:24" ht="102">
      <c r="A1225" s="3" t="s">
        <v>1081</v>
      </c>
      <c r="B1225" s="6" t="s">
        <v>361</v>
      </c>
      <c r="C1225" s="6" t="s">
        <v>3702</v>
      </c>
      <c r="D1225" s="6" t="s">
        <v>3700</v>
      </c>
      <c r="E1225" s="6" t="s">
        <v>3703</v>
      </c>
      <c r="F1225" s="6" t="s">
        <v>3666</v>
      </c>
      <c r="G1225" s="3" t="s">
        <v>11450</v>
      </c>
      <c r="H1225" s="54">
        <v>0</v>
      </c>
      <c r="I1225" s="16">
        <v>470000000</v>
      </c>
      <c r="J1225" s="157" t="s">
        <v>229</v>
      </c>
      <c r="K1225" s="5" t="s">
        <v>215</v>
      </c>
      <c r="L1225" s="6" t="s">
        <v>231</v>
      </c>
      <c r="M1225" s="3" t="s">
        <v>230</v>
      </c>
      <c r="N1225" s="6" t="s">
        <v>524</v>
      </c>
      <c r="O1225" s="6" t="s">
        <v>233</v>
      </c>
      <c r="P1225" s="58" t="s">
        <v>241</v>
      </c>
      <c r="Q1225" s="6" t="s">
        <v>234</v>
      </c>
      <c r="R1225" s="22">
        <v>180</v>
      </c>
      <c r="S1225" s="2">
        <v>242</v>
      </c>
      <c r="T1225" s="4">
        <v>0</v>
      </c>
      <c r="U1225" s="4">
        <f t="shared" si="43"/>
        <v>0</v>
      </c>
      <c r="V1225" s="3" t="s">
        <v>362</v>
      </c>
      <c r="W1225" s="3">
        <v>2014</v>
      </c>
      <c r="X1225" s="3">
        <v>11.12</v>
      </c>
    </row>
    <row r="1226" spans="1:24" ht="89.25">
      <c r="A1226" s="3" t="s">
        <v>12238</v>
      </c>
      <c r="B1226" s="6" t="s">
        <v>361</v>
      </c>
      <c r="C1226" s="6" t="s">
        <v>3702</v>
      </c>
      <c r="D1226" s="6" t="s">
        <v>3700</v>
      </c>
      <c r="E1226" s="6" t="s">
        <v>3703</v>
      </c>
      <c r="F1226" s="6" t="s">
        <v>3666</v>
      </c>
      <c r="G1226" s="3" t="s">
        <v>11450</v>
      </c>
      <c r="H1226" s="54">
        <v>0</v>
      </c>
      <c r="I1226" s="16">
        <v>470000000</v>
      </c>
      <c r="J1226" s="157" t="s">
        <v>229</v>
      </c>
      <c r="K1226" s="5" t="s">
        <v>12128</v>
      </c>
      <c r="L1226" s="17" t="s">
        <v>11411</v>
      </c>
      <c r="M1226" s="3" t="s">
        <v>230</v>
      </c>
      <c r="N1226" s="6" t="s">
        <v>524</v>
      </c>
      <c r="O1226" s="6" t="s">
        <v>233</v>
      </c>
      <c r="P1226" s="58" t="s">
        <v>241</v>
      </c>
      <c r="Q1226" s="6" t="s">
        <v>234</v>
      </c>
      <c r="R1226" s="22">
        <v>180</v>
      </c>
      <c r="S1226" s="2">
        <v>290</v>
      </c>
      <c r="T1226" s="4">
        <v>0</v>
      </c>
      <c r="U1226" s="4">
        <f t="shared" si="43"/>
        <v>0</v>
      </c>
      <c r="V1226" s="3" t="s">
        <v>362</v>
      </c>
      <c r="W1226" s="3">
        <v>2014</v>
      </c>
      <c r="X1226" s="3" t="s">
        <v>12076</v>
      </c>
    </row>
    <row r="1227" spans="1:24" ht="102">
      <c r="A1227" s="3" t="s">
        <v>1082</v>
      </c>
      <c r="B1227" s="6" t="s">
        <v>361</v>
      </c>
      <c r="C1227" s="6" t="s">
        <v>3702</v>
      </c>
      <c r="D1227" s="6" t="s">
        <v>3700</v>
      </c>
      <c r="E1227" s="6" t="s">
        <v>3703</v>
      </c>
      <c r="F1227" s="6" t="s">
        <v>3665</v>
      </c>
      <c r="G1227" s="3" t="s">
        <v>11450</v>
      </c>
      <c r="H1227" s="54">
        <v>0</v>
      </c>
      <c r="I1227" s="16">
        <v>470000000</v>
      </c>
      <c r="J1227" s="157" t="s">
        <v>229</v>
      </c>
      <c r="K1227" s="5" t="s">
        <v>215</v>
      </c>
      <c r="L1227" s="6" t="s">
        <v>231</v>
      </c>
      <c r="M1227" s="3" t="s">
        <v>230</v>
      </c>
      <c r="N1227" s="6" t="s">
        <v>524</v>
      </c>
      <c r="O1227" s="6" t="s">
        <v>233</v>
      </c>
      <c r="P1227" s="58" t="s">
        <v>241</v>
      </c>
      <c r="Q1227" s="6" t="s">
        <v>234</v>
      </c>
      <c r="R1227" s="22">
        <v>412</v>
      </c>
      <c r="S1227" s="2">
        <v>363</v>
      </c>
      <c r="T1227" s="4">
        <v>0</v>
      </c>
      <c r="U1227" s="4">
        <f t="shared" si="43"/>
        <v>0</v>
      </c>
      <c r="V1227" s="3" t="s">
        <v>362</v>
      </c>
      <c r="W1227" s="3">
        <v>2014</v>
      </c>
      <c r="X1227" s="3">
        <v>11.12</v>
      </c>
    </row>
    <row r="1228" spans="1:24" ht="89.25">
      <c r="A1228" s="3" t="s">
        <v>12239</v>
      </c>
      <c r="B1228" s="6" t="s">
        <v>361</v>
      </c>
      <c r="C1228" s="6" t="s">
        <v>3702</v>
      </c>
      <c r="D1228" s="6" t="s">
        <v>3700</v>
      </c>
      <c r="E1228" s="6" t="s">
        <v>3703</v>
      </c>
      <c r="F1228" s="6" t="s">
        <v>3665</v>
      </c>
      <c r="G1228" s="3" t="s">
        <v>11450</v>
      </c>
      <c r="H1228" s="54">
        <v>0</v>
      </c>
      <c r="I1228" s="16">
        <v>470000000</v>
      </c>
      <c r="J1228" s="157" t="s">
        <v>229</v>
      </c>
      <c r="K1228" s="5" t="s">
        <v>12128</v>
      </c>
      <c r="L1228" s="17" t="s">
        <v>11411</v>
      </c>
      <c r="M1228" s="3" t="s">
        <v>230</v>
      </c>
      <c r="N1228" s="6" t="s">
        <v>524</v>
      </c>
      <c r="O1228" s="6" t="s">
        <v>233</v>
      </c>
      <c r="P1228" s="58" t="s">
        <v>241</v>
      </c>
      <c r="Q1228" s="6" t="s">
        <v>234</v>
      </c>
      <c r="R1228" s="22">
        <v>412</v>
      </c>
      <c r="S1228" s="2">
        <v>436</v>
      </c>
      <c r="T1228" s="4">
        <v>0</v>
      </c>
      <c r="U1228" s="4">
        <f t="shared" si="43"/>
        <v>0</v>
      </c>
      <c r="V1228" s="3" t="s">
        <v>362</v>
      </c>
      <c r="W1228" s="3">
        <v>2014</v>
      </c>
      <c r="X1228" s="3" t="s">
        <v>12076</v>
      </c>
    </row>
    <row r="1229" spans="1:24" ht="102">
      <c r="A1229" s="3" t="s">
        <v>1083</v>
      </c>
      <c r="B1229" s="6" t="s">
        <v>361</v>
      </c>
      <c r="C1229" s="6" t="s">
        <v>3710</v>
      </c>
      <c r="D1229" s="6" t="s">
        <v>3708</v>
      </c>
      <c r="E1229" s="6" t="s">
        <v>3711</v>
      </c>
      <c r="F1229" s="6" t="s">
        <v>3670</v>
      </c>
      <c r="G1229" s="3" t="s">
        <v>11449</v>
      </c>
      <c r="H1229" s="54">
        <v>0</v>
      </c>
      <c r="I1229" s="16">
        <v>470000000</v>
      </c>
      <c r="J1229" s="157" t="s">
        <v>229</v>
      </c>
      <c r="K1229" s="5" t="s">
        <v>210</v>
      </c>
      <c r="L1229" s="6" t="s">
        <v>231</v>
      </c>
      <c r="M1229" s="3" t="s">
        <v>230</v>
      </c>
      <c r="N1229" s="6" t="s">
        <v>524</v>
      </c>
      <c r="O1229" s="6" t="s">
        <v>233</v>
      </c>
      <c r="P1229" s="58" t="s">
        <v>248</v>
      </c>
      <c r="Q1229" s="6" t="s">
        <v>249</v>
      </c>
      <c r="R1229" s="4">
        <v>3000</v>
      </c>
      <c r="S1229" s="2">
        <v>1550</v>
      </c>
      <c r="T1229" s="4">
        <v>0</v>
      </c>
      <c r="U1229" s="4">
        <f t="shared" si="43"/>
        <v>0</v>
      </c>
      <c r="V1229" s="3" t="s">
        <v>362</v>
      </c>
      <c r="W1229" s="3">
        <v>2014</v>
      </c>
      <c r="X1229" s="3" t="s">
        <v>14132</v>
      </c>
    </row>
    <row r="1230" spans="1:24" ht="102">
      <c r="A1230" s="3" t="s">
        <v>14538</v>
      </c>
      <c r="B1230" s="6" t="s">
        <v>361</v>
      </c>
      <c r="C1230" s="6" t="s">
        <v>3710</v>
      </c>
      <c r="D1230" s="6" t="s">
        <v>3708</v>
      </c>
      <c r="E1230" s="6" t="s">
        <v>3711</v>
      </c>
      <c r="F1230" s="6" t="s">
        <v>3670</v>
      </c>
      <c r="G1230" s="3" t="s">
        <v>11449</v>
      </c>
      <c r="H1230" s="54">
        <v>0</v>
      </c>
      <c r="I1230" s="16">
        <v>470000000</v>
      </c>
      <c r="J1230" s="157" t="s">
        <v>229</v>
      </c>
      <c r="K1230" s="5" t="s">
        <v>210</v>
      </c>
      <c r="L1230" s="6" t="s">
        <v>231</v>
      </c>
      <c r="M1230" s="3" t="s">
        <v>230</v>
      </c>
      <c r="N1230" s="6" t="s">
        <v>524</v>
      </c>
      <c r="O1230" s="6" t="s">
        <v>233</v>
      </c>
      <c r="P1230" s="58" t="s">
        <v>248</v>
      </c>
      <c r="Q1230" s="6" t="s">
        <v>249</v>
      </c>
      <c r="R1230" s="4">
        <v>65</v>
      </c>
      <c r="S1230" s="2">
        <v>1860</v>
      </c>
      <c r="T1230" s="4">
        <v>0</v>
      </c>
      <c r="U1230" s="4">
        <f t="shared" si="43"/>
        <v>0</v>
      </c>
      <c r="V1230" s="3" t="s">
        <v>362</v>
      </c>
      <c r="W1230" s="3">
        <v>2014</v>
      </c>
      <c r="X1230" s="3">
        <v>7.11</v>
      </c>
    </row>
    <row r="1231" spans="1:24" ht="102">
      <c r="A1231" s="3" t="s">
        <v>18161</v>
      </c>
      <c r="B1231" s="6" t="s">
        <v>361</v>
      </c>
      <c r="C1231" s="6" t="s">
        <v>3710</v>
      </c>
      <c r="D1231" s="6" t="s">
        <v>3708</v>
      </c>
      <c r="E1231" s="6" t="s">
        <v>3711</v>
      </c>
      <c r="F1231" s="6" t="s">
        <v>3670</v>
      </c>
      <c r="G1231" s="3" t="s">
        <v>11450</v>
      </c>
      <c r="H1231" s="54">
        <v>0</v>
      </c>
      <c r="I1231" s="16">
        <v>470000000</v>
      </c>
      <c r="J1231" s="157" t="s">
        <v>229</v>
      </c>
      <c r="K1231" s="5" t="s">
        <v>8950</v>
      </c>
      <c r="L1231" s="6" t="s">
        <v>231</v>
      </c>
      <c r="M1231" s="3" t="s">
        <v>230</v>
      </c>
      <c r="N1231" s="6" t="s">
        <v>524</v>
      </c>
      <c r="O1231" s="6" t="s">
        <v>233</v>
      </c>
      <c r="P1231" s="58" t="s">
        <v>248</v>
      </c>
      <c r="Q1231" s="6" t="s">
        <v>249</v>
      </c>
      <c r="R1231" s="4">
        <v>65</v>
      </c>
      <c r="S1231" s="2">
        <v>1860</v>
      </c>
      <c r="T1231" s="4">
        <v>0</v>
      </c>
      <c r="U1231" s="4">
        <f t="shared" si="43"/>
        <v>0</v>
      </c>
      <c r="V1231" s="3" t="s">
        <v>362</v>
      </c>
      <c r="W1231" s="3">
        <v>2014</v>
      </c>
      <c r="X1231" s="3" t="s">
        <v>12076</v>
      </c>
    </row>
    <row r="1232" spans="1:24" ht="102">
      <c r="A1232" s="3" t="s">
        <v>1084</v>
      </c>
      <c r="B1232" s="6" t="s">
        <v>361</v>
      </c>
      <c r="C1232" s="6" t="s">
        <v>3707</v>
      </c>
      <c r="D1232" s="6" t="s">
        <v>3708</v>
      </c>
      <c r="E1232" s="6" t="s">
        <v>3709</v>
      </c>
      <c r="F1232" s="6" t="s">
        <v>3671</v>
      </c>
      <c r="G1232" s="3" t="s">
        <v>11449</v>
      </c>
      <c r="H1232" s="54">
        <v>0</v>
      </c>
      <c r="I1232" s="16">
        <v>470000000</v>
      </c>
      <c r="J1232" s="157" t="s">
        <v>229</v>
      </c>
      <c r="K1232" s="5" t="s">
        <v>210</v>
      </c>
      <c r="L1232" s="6" t="s">
        <v>231</v>
      </c>
      <c r="M1232" s="3" t="s">
        <v>230</v>
      </c>
      <c r="N1232" s="6" t="s">
        <v>524</v>
      </c>
      <c r="O1232" s="6" t="s">
        <v>233</v>
      </c>
      <c r="P1232" s="58" t="s">
        <v>248</v>
      </c>
      <c r="Q1232" s="6" t="s">
        <v>249</v>
      </c>
      <c r="R1232" s="4">
        <v>1500</v>
      </c>
      <c r="S1232" s="2">
        <v>1550</v>
      </c>
      <c r="T1232" s="4">
        <v>0</v>
      </c>
      <c r="U1232" s="4">
        <f t="shared" si="43"/>
        <v>0</v>
      </c>
      <c r="V1232" s="3" t="s">
        <v>362</v>
      </c>
      <c r="W1232" s="3">
        <v>2014</v>
      </c>
      <c r="X1232" s="3" t="s">
        <v>14132</v>
      </c>
    </row>
    <row r="1233" spans="1:24" ht="102">
      <c r="A1233" s="3" t="s">
        <v>14539</v>
      </c>
      <c r="B1233" s="6" t="s">
        <v>361</v>
      </c>
      <c r="C1233" s="6" t="s">
        <v>3707</v>
      </c>
      <c r="D1233" s="6" t="s">
        <v>3708</v>
      </c>
      <c r="E1233" s="6" t="s">
        <v>3709</v>
      </c>
      <c r="F1233" s="6" t="s">
        <v>3671</v>
      </c>
      <c r="G1233" s="3" t="s">
        <v>11449</v>
      </c>
      <c r="H1233" s="54">
        <v>0</v>
      </c>
      <c r="I1233" s="16">
        <v>470000000</v>
      </c>
      <c r="J1233" s="157" t="s">
        <v>229</v>
      </c>
      <c r="K1233" s="5" t="s">
        <v>210</v>
      </c>
      <c r="L1233" s="6" t="s">
        <v>231</v>
      </c>
      <c r="M1233" s="3" t="s">
        <v>230</v>
      </c>
      <c r="N1233" s="6" t="s">
        <v>524</v>
      </c>
      <c r="O1233" s="6" t="s">
        <v>233</v>
      </c>
      <c r="P1233" s="58" t="s">
        <v>248</v>
      </c>
      <c r="Q1233" s="6" t="s">
        <v>249</v>
      </c>
      <c r="R1233" s="4">
        <v>496.3</v>
      </c>
      <c r="S1233" s="2">
        <v>1860</v>
      </c>
      <c r="T1233" s="4">
        <v>0</v>
      </c>
      <c r="U1233" s="4">
        <f t="shared" si="43"/>
        <v>0</v>
      </c>
      <c r="V1233" s="3" t="s">
        <v>362</v>
      </c>
      <c r="W1233" s="3">
        <v>2014</v>
      </c>
      <c r="X1233" s="3">
        <v>7.11</v>
      </c>
    </row>
    <row r="1234" spans="1:24" ht="102">
      <c r="A1234" s="3" t="s">
        <v>18162</v>
      </c>
      <c r="B1234" s="6" t="s">
        <v>361</v>
      </c>
      <c r="C1234" s="6" t="s">
        <v>3707</v>
      </c>
      <c r="D1234" s="6" t="s">
        <v>3708</v>
      </c>
      <c r="E1234" s="6" t="s">
        <v>3709</v>
      </c>
      <c r="F1234" s="6" t="s">
        <v>3671</v>
      </c>
      <c r="G1234" s="3" t="s">
        <v>11450</v>
      </c>
      <c r="H1234" s="54">
        <v>0</v>
      </c>
      <c r="I1234" s="16">
        <v>470000000</v>
      </c>
      <c r="J1234" s="157" t="s">
        <v>229</v>
      </c>
      <c r="K1234" s="5" t="s">
        <v>8950</v>
      </c>
      <c r="L1234" s="6" t="s">
        <v>231</v>
      </c>
      <c r="M1234" s="3" t="s">
        <v>230</v>
      </c>
      <c r="N1234" s="6" t="s">
        <v>524</v>
      </c>
      <c r="O1234" s="6" t="s">
        <v>233</v>
      </c>
      <c r="P1234" s="58" t="s">
        <v>248</v>
      </c>
      <c r="Q1234" s="6" t="s">
        <v>249</v>
      </c>
      <c r="R1234" s="4">
        <v>496.3</v>
      </c>
      <c r="S1234" s="2">
        <v>1860</v>
      </c>
      <c r="T1234" s="4">
        <f>R1234*S1234</f>
        <v>923118</v>
      </c>
      <c r="U1234" s="4">
        <f t="shared" si="43"/>
        <v>1033892.1600000001</v>
      </c>
      <c r="V1234" s="3" t="s">
        <v>362</v>
      </c>
      <c r="W1234" s="3">
        <v>2014</v>
      </c>
      <c r="X1234" s="3"/>
    </row>
    <row r="1235" spans="1:24" ht="102">
      <c r="A1235" s="3" t="s">
        <v>1085</v>
      </c>
      <c r="B1235" s="6" t="s">
        <v>361</v>
      </c>
      <c r="C1235" s="6" t="s">
        <v>3714</v>
      </c>
      <c r="D1235" s="6" t="s">
        <v>3715</v>
      </c>
      <c r="E1235" s="6" t="s">
        <v>3716</v>
      </c>
      <c r="F1235" s="6" t="s">
        <v>171</v>
      </c>
      <c r="G1235" s="3" t="s">
        <v>11450</v>
      </c>
      <c r="H1235" s="54">
        <v>0</v>
      </c>
      <c r="I1235" s="16">
        <v>470000000</v>
      </c>
      <c r="J1235" s="157" t="s">
        <v>229</v>
      </c>
      <c r="K1235" s="5" t="s">
        <v>210</v>
      </c>
      <c r="L1235" s="6" t="s">
        <v>231</v>
      </c>
      <c r="M1235" s="3" t="s">
        <v>230</v>
      </c>
      <c r="N1235" s="6" t="s">
        <v>524</v>
      </c>
      <c r="O1235" s="6" t="s">
        <v>233</v>
      </c>
      <c r="P1235" s="58" t="s">
        <v>243</v>
      </c>
      <c r="Q1235" s="6" t="s">
        <v>244</v>
      </c>
      <c r="R1235" s="22">
        <v>50</v>
      </c>
      <c r="S1235" s="2">
        <v>326</v>
      </c>
      <c r="T1235" s="4">
        <v>0</v>
      </c>
      <c r="U1235" s="4">
        <f t="shared" si="43"/>
        <v>0</v>
      </c>
      <c r="V1235" s="3" t="s">
        <v>362</v>
      </c>
      <c r="W1235" s="3">
        <v>2014</v>
      </c>
      <c r="X1235" s="3" t="s">
        <v>14132</v>
      </c>
    </row>
    <row r="1236" spans="1:24" ht="102">
      <c r="A1236" s="3" t="s">
        <v>14540</v>
      </c>
      <c r="B1236" s="6" t="s">
        <v>361</v>
      </c>
      <c r="C1236" s="6" t="s">
        <v>3714</v>
      </c>
      <c r="D1236" s="6" t="s">
        <v>3715</v>
      </c>
      <c r="E1236" s="6" t="s">
        <v>3716</v>
      </c>
      <c r="F1236" s="6" t="s">
        <v>171</v>
      </c>
      <c r="G1236" s="3" t="s">
        <v>11450</v>
      </c>
      <c r="H1236" s="54">
        <v>0</v>
      </c>
      <c r="I1236" s="16">
        <v>470000000</v>
      </c>
      <c r="J1236" s="157" t="s">
        <v>229</v>
      </c>
      <c r="K1236" s="5" t="s">
        <v>210</v>
      </c>
      <c r="L1236" s="6" t="s">
        <v>231</v>
      </c>
      <c r="M1236" s="3" t="s">
        <v>230</v>
      </c>
      <c r="N1236" s="6" t="s">
        <v>524</v>
      </c>
      <c r="O1236" s="6" t="s">
        <v>233</v>
      </c>
      <c r="P1236" s="58" t="s">
        <v>243</v>
      </c>
      <c r="Q1236" s="6" t="s">
        <v>244</v>
      </c>
      <c r="R1236" s="22">
        <v>222</v>
      </c>
      <c r="S1236" s="2">
        <v>391</v>
      </c>
      <c r="T1236" s="4">
        <f>R1236*S1236</f>
        <v>86802</v>
      </c>
      <c r="U1236" s="4">
        <f t="shared" si="43"/>
        <v>97218.240000000005</v>
      </c>
      <c r="V1236" s="3" t="s">
        <v>362</v>
      </c>
      <c r="W1236" s="3">
        <v>2014</v>
      </c>
      <c r="X1236" s="3"/>
    </row>
    <row r="1237" spans="1:24" ht="102">
      <c r="A1237" s="3" t="s">
        <v>1086</v>
      </c>
      <c r="B1237" s="6" t="s">
        <v>361</v>
      </c>
      <c r="C1237" s="6" t="s">
        <v>3712</v>
      </c>
      <c r="D1237" s="6" t="s">
        <v>172</v>
      </c>
      <c r="E1237" s="6" t="s">
        <v>3713</v>
      </c>
      <c r="F1237" s="6" t="s">
        <v>172</v>
      </c>
      <c r="G1237" s="3" t="s">
        <v>11450</v>
      </c>
      <c r="H1237" s="54">
        <v>0</v>
      </c>
      <c r="I1237" s="16">
        <v>470000000</v>
      </c>
      <c r="J1237" s="157" t="s">
        <v>229</v>
      </c>
      <c r="K1237" s="5" t="s">
        <v>210</v>
      </c>
      <c r="L1237" s="6" t="s">
        <v>231</v>
      </c>
      <c r="M1237" s="3" t="s">
        <v>230</v>
      </c>
      <c r="N1237" s="6" t="s">
        <v>524</v>
      </c>
      <c r="O1237" s="6" t="s">
        <v>233</v>
      </c>
      <c r="P1237" s="58" t="s">
        <v>243</v>
      </c>
      <c r="Q1237" s="6" t="s">
        <v>244</v>
      </c>
      <c r="R1237" s="22">
        <v>500</v>
      </c>
      <c r="S1237" s="2">
        <v>277</v>
      </c>
      <c r="T1237" s="4">
        <v>0</v>
      </c>
      <c r="U1237" s="4">
        <f t="shared" si="43"/>
        <v>0</v>
      </c>
      <c r="V1237" s="3" t="s">
        <v>362</v>
      </c>
      <c r="W1237" s="3">
        <v>2014</v>
      </c>
      <c r="X1237" s="3" t="s">
        <v>12076</v>
      </c>
    </row>
    <row r="1238" spans="1:24" ht="114.75">
      <c r="A1238" s="3" t="s">
        <v>1087</v>
      </c>
      <c r="B1238" s="6" t="s">
        <v>361</v>
      </c>
      <c r="C1238" s="6" t="s">
        <v>3717</v>
      </c>
      <c r="D1238" s="6" t="s">
        <v>3718</v>
      </c>
      <c r="E1238" s="6" t="s">
        <v>3719</v>
      </c>
      <c r="F1238" s="6" t="s">
        <v>173</v>
      </c>
      <c r="G1238" s="3" t="s">
        <v>11450</v>
      </c>
      <c r="H1238" s="54">
        <v>0</v>
      </c>
      <c r="I1238" s="16">
        <v>470000000</v>
      </c>
      <c r="J1238" s="157" t="s">
        <v>229</v>
      </c>
      <c r="K1238" s="5" t="s">
        <v>210</v>
      </c>
      <c r="L1238" s="6" t="s">
        <v>231</v>
      </c>
      <c r="M1238" s="3" t="s">
        <v>230</v>
      </c>
      <c r="N1238" s="6" t="s">
        <v>524</v>
      </c>
      <c r="O1238" s="6" t="s">
        <v>233</v>
      </c>
      <c r="P1238" s="58" t="s">
        <v>243</v>
      </c>
      <c r="Q1238" s="6" t="s">
        <v>244</v>
      </c>
      <c r="R1238" s="4">
        <v>1000</v>
      </c>
      <c r="S1238" s="2">
        <v>918</v>
      </c>
      <c r="T1238" s="4">
        <v>0</v>
      </c>
      <c r="U1238" s="4">
        <f t="shared" si="43"/>
        <v>0</v>
      </c>
      <c r="V1238" s="3" t="s">
        <v>362</v>
      </c>
      <c r="W1238" s="3">
        <v>2014</v>
      </c>
      <c r="X1238" s="3" t="s">
        <v>12076</v>
      </c>
    </row>
    <row r="1239" spans="1:24" ht="102">
      <c r="A1239" s="3" t="s">
        <v>1088</v>
      </c>
      <c r="B1239" s="6" t="s">
        <v>361</v>
      </c>
      <c r="C1239" s="6" t="s">
        <v>3720</v>
      </c>
      <c r="D1239" s="6" t="s">
        <v>3721</v>
      </c>
      <c r="E1239" s="6" t="s">
        <v>3722</v>
      </c>
      <c r="F1239" s="6" t="s">
        <v>3672</v>
      </c>
      <c r="G1239" s="3" t="s">
        <v>11450</v>
      </c>
      <c r="H1239" s="54">
        <v>0</v>
      </c>
      <c r="I1239" s="16">
        <v>470000000</v>
      </c>
      <c r="J1239" s="157" t="s">
        <v>229</v>
      </c>
      <c r="K1239" s="5" t="s">
        <v>210</v>
      </c>
      <c r="L1239" s="6" t="s">
        <v>231</v>
      </c>
      <c r="M1239" s="3" t="s">
        <v>230</v>
      </c>
      <c r="N1239" s="6" t="s">
        <v>524</v>
      </c>
      <c r="O1239" s="6" t="s">
        <v>233</v>
      </c>
      <c r="P1239" s="58" t="s">
        <v>245</v>
      </c>
      <c r="Q1239" s="6" t="s">
        <v>246</v>
      </c>
      <c r="R1239" s="22">
        <v>200</v>
      </c>
      <c r="S1239" s="2">
        <v>1623</v>
      </c>
      <c r="T1239" s="4">
        <v>0</v>
      </c>
      <c r="U1239" s="4">
        <f t="shared" si="43"/>
        <v>0</v>
      </c>
      <c r="V1239" s="3" t="s">
        <v>362</v>
      </c>
      <c r="W1239" s="3">
        <v>2014</v>
      </c>
      <c r="X1239" s="3" t="s">
        <v>14132</v>
      </c>
    </row>
    <row r="1240" spans="1:24" ht="102">
      <c r="A1240" s="3" t="s">
        <v>14541</v>
      </c>
      <c r="B1240" s="6" t="s">
        <v>361</v>
      </c>
      <c r="C1240" s="6" t="s">
        <v>3720</v>
      </c>
      <c r="D1240" s="6" t="s">
        <v>3721</v>
      </c>
      <c r="E1240" s="6" t="s">
        <v>3722</v>
      </c>
      <c r="F1240" s="6" t="s">
        <v>3672</v>
      </c>
      <c r="G1240" s="3" t="s">
        <v>11450</v>
      </c>
      <c r="H1240" s="54">
        <v>0</v>
      </c>
      <c r="I1240" s="16">
        <v>470000000</v>
      </c>
      <c r="J1240" s="157" t="s">
        <v>229</v>
      </c>
      <c r="K1240" s="5" t="s">
        <v>210</v>
      </c>
      <c r="L1240" s="6" t="s">
        <v>231</v>
      </c>
      <c r="M1240" s="3" t="s">
        <v>230</v>
      </c>
      <c r="N1240" s="6" t="s">
        <v>524</v>
      </c>
      <c r="O1240" s="6" t="s">
        <v>233</v>
      </c>
      <c r="P1240" s="58" t="s">
        <v>245</v>
      </c>
      <c r="Q1240" s="6" t="s">
        <v>246</v>
      </c>
      <c r="R1240" s="22">
        <v>101.4</v>
      </c>
      <c r="S1240" s="2">
        <v>1947.6</v>
      </c>
      <c r="T1240" s="4">
        <v>0</v>
      </c>
      <c r="U1240" s="4">
        <f t="shared" si="43"/>
        <v>0</v>
      </c>
      <c r="V1240" s="3" t="s">
        <v>362</v>
      </c>
      <c r="W1240" s="3">
        <v>2014</v>
      </c>
      <c r="X1240" s="3">
        <v>11.14</v>
      </c>
    </row>
    <row r="1241" spans="1:24" ht="102">
      <c r="A1241" s="3" t="s">
        <v>18164</v>
      </c>
      <c r="B1241" s="6" t="s">
        <v>361</v>
      </c>
      <c r="C1241" s="6" t="s">
        <v>3720</v>
      </c>
      <c r="D1241" s="6" t="s">
        <v>3721</v>
      </c>
      <c r="E1241" s="6" t="s">
        <v>3722</v>
      </c>
      <c r="F1241" s="6" t="s">
        <v>3672</v>
      </c>
      <c r="G1241" s="3" t="s">
        <v>11450</v>
      </c>
      <c r="H1241" s="54">
        <v>0</v>
      </c>
      <c r="I1241" s="16">
        <v>470000000</v>
      </c>
      <c r="J1241" s="157" t="s">
        <v>229</v>
      </c>
      <c r="K1241" s="5" t="s">
        <v>8950</v>
      </c>
      <c r="L1241" s="6" t="s">
        <v>231</v>
      </c>
      <c r="M1241" s="3" t="s">
        <v>230</v>
      </c>
      <c r="N1241" s="6" t="s">
        <v>528</v>
      </c>
      <c r="O1241" s="6" t="s">
        <v>233</v>
      </c>
      <c r="P1241" s="58" t="s">
        <v>245</v>
      </c>
      <c r="Q1241" s="6" t="s">
        <v>246</v>
      </c>
      <c r="R1241" s="22">
        <v>101.4</v>
      </c>
      <c r="S1241" s="2">
        <v>1947.6</v>
      </c>
      <c r="T1241" s="4">
        <f>R1241*S1241</f>
        <v>197486.64</v>
      </c>
      <c r="U1241" s="4">
        <f t="shared" si="43"/>
        <v>221185.03680000003</v>
      </c>
      <c r="V1241" s="3" t="s">
        <v>362</v>
      </c>
      <c r="W1241" s="3">
        <v>2014</v>
      </c>
      <c r="X1241" s="3"/>
    </row>
    <row r="1242" spans="1:24" ht="102">
      <c r="A1242" s="3" t="s">
        <v>1089</v>
      </c>
      <c r="B1242" s="6" t="s">
        <v>361</v>
      </c>
      <c r="C1242" s="6" t="s">
        <v>3723</v>
      </c>
      <c r="D1242" s="6" t="s">
        <v>3724</v>
      </c>
      <c r="E1242" s="6" t="s">
        <v>3725</v>
      </c>
      <c r="F1242" s="6" t="s">
        <v>3673</v>
      </c>
      <c r="G1242" s="3" t="s">
        <v>11450</v>
      </c>
      <c r="H1242" s="54">
        <v>0</v>
      </c>
      <c r="I1242" s="16">
        <v>470000000</v>
      </c>
      <c r="J1242" s="157" t="s">
        <v>229</v>
      </c>
      <c r="K1242" s="5" t="s">
        <v>210</v>
      </c>
      <c r="L1242" s="6" t="s">
        <v>231</v>
      </c>
      <c r="M1242" s="3" t="s">
        <v>230</v>
      </c>
      <c r="N1242" s="6" t="s">
        <v>524</v>
      </c>
      <c r="O1242" s="6" t="s">
        <v>233</v>
      </c>
      <c r="P1242" s="58" t="s">
        <v>237</v>
      </c>
      <c r="Q1242" s="6" t="s">
        <v>238</v>
      </c>
      <c r="R1242" s="4">
        <v>1750</v>
      </c>
      <c r="S1242" s="2">
        <v>160</v>
      </c>
      <c r="T1242" s="4">
        <v>0</v>
      </c>
      <c r="U1242" s="4">
        <f t="shared" si="43"/>
        <v>0</v>
      </c>
      <c r="V1242" s="3" t="s">
        <v>362</v>
      </c>
      <c r="W1242" s="3">
        <v>2014</v>
      </c>
      <c r="X1242" s="3" t="s">
        <v>14132</v>
      </c>
    </row>
    <row r="1243" spans="1:24" ht="102">
      <c r="A1243" s="3" t="s">
        <v>14542</v>
      </c>
      <c r="B1243" s="6" t="s">
        <v>361</v>
      </c>
      <c r="C1243" s="6" t="s">
        <v>3723</v>
      </c>
      <c r="D1243" s="6" t="s">
        <v>3724</v>
      </c>
      <c r="E1243" s="6" t="s">
        <v>3725</v>
      </c>
      <c r="F1243" s="6" t="s">
        <v>3673</v>
      </c>
      <c r="G1243" s="3" t="s">
        <v>11450</v>
      </c>
      <c r="H1243" s="54">
        <v>0</v>
      </c>
      <c r="I1243" s="16">
        <v>470000000</v>
      </c>
      <c r="J1243" s="157" t="s">
        <v>229</v>
      </c>
      <c r="K1243" s="5" t="s">
        <v>210</v>
      </c>
      <c r="L1243" s="6" t="s">
        <v>231</v>
      </c>
      <c r="M1243" s="3" t="s">
        <v>230</v>
      </c>
      <c r="N1243" s="6" t="s">
        <v>524</v>
      </c>
      <c r="O1243" s="6" t="s">
        <v>233</v>
      </c>
      <c r="P1243" s="58" t="s">
        <v>237</v>
      </c>
      <c r="Q1243" s="6" t="s">
        <v>238</v>
      </c>
      <c r="R1243" s="4">
        <v>227.5</v>
      </c>
      <c r="S1243" s="2">
        <v>192</v>
      </c>
      <c r="T1243" s="4">
        <v>0</v>
      </c>
      <c r="U1243" s="4">
        <f t="shared" si="43"/>
        <v>0</v>
      </c>
      <c r="V1243" s="3" t="s">
        <v>362</v>
      </c>
      <c r="W1243" s="3">
        <v>2014</v>
      </c>
      <c r="X1243" s="3">
        <v>11.14</v>
      </c>
    </row>
    <row r="1244" spans="1:24" ht="102">
      <c r="A1244" s="3" t="s">
        <v>18165</v>
      </c>
      <c r="B1244" s="6" t="s">
        <v>361</v>
      </c>
      <c r="C1244" s="6" t="s">
        <v>3723</v>
      </c>
      <c r="D1244" s="6" t="s">
        <v>3724</v>
      </c>
      <c r="E1244" s="6" t="s">
        <v>3725</v>
      </c>
      <c r="F1244" s="6" t="s">
        <v>3673</v>
      </c>
      <c r="G1244" s="3" t="s">
        <v>11450</v>
      </c>
      <c r="H1244" s="54">
        <v>0</v>
      </c>
      <c r="I1244" s="16">
        <v>470000000</v>
      </c>
      <c r="J1244" s="157" t="s">
        <v>229</v>
      </c>
      <c r="K1244" s="5" t="s">
        <v>8950</v>
      </c>
      <c r="L1244" s="6" t="s">
        <v>231</v>
      </c>
      <c r="M1244" s="3" t="s">
        <v>230</v>
      </c>
      <c r="N1244" s="6" t="s">
        <v>528</v>
      </c>
      <c r="O1244" s="6" t="s">
        <v>233</v>
      </c>
      <c r="P1244" s="58" t="s">
        <v>237</v>
      </c>
      <c r="Q1244" s="6" t="s">
        <v>238</v>
      </c>
      <c r="R1244" s="4">
        <v>227.5</v>
      </c>
      <c r="S1244" s="2">
        <v>192</v>
      </c>
      <c r="T1244" s="4">
        <f>R1244*S1244</f>
        <v>43680</v>
      </c>
      <c r="U1244" s="4">
        <f t="shared" si="43"/>
        <v>48921.600000000006</v>
      </c>
      <c r="V1244" s="3" t="s">
        <v>362</v>
      </c>
      <c r="W1244" s="3">
        <v>2014</v>
      </c>
      <c r="X1244" s="3"/>
    </row>
    <row r="1245" spans="1:24" ht="102">
      <c r="A1245" s="3" t="s">
        <v>1090</v>
      </c>
      <c r="B1245" s="6" t="s">
        <v>361</v>
      </c>
      <c r="C1245" s="6" t="s">
        <v>3726</v>
      </c>
      <c r="D1245" s="6" t="s">
        <v>456</v>
      </c>
      <c r="E1245" s="6" t="s">
        <v>3727</v>
      </c>
      <c r="F1245" s="6" t="s">
        <v>3674</v>
      </c>
      <c r="G1245" s="3" t="s">
        <v>11450</v>
      </c>
      <c r="H1245" s="54">
        <v>0</v>
      </c>
      <c r="I1245" s="16">
        <v>470000000</v>
      </c>
      <c r="J1245" s="157" t="s">
        <v>229</v>
      </c>
      <c r="K1245" s="5" t="s">
        <v>210</v>
      </c>
      <c r="L1245" s="6" t="s">
        <v>231</v>
      </c>
      <c r="M1245" s="3" t="s">
        <v>230</v>
      </c>
      <c r="N1245" s="6" t="s">
        <v>524</v>
      </c>
      <c r="O1245" s="6" t="s">
        <v>233</v>
      </c>
      <c r="P1245" s="58" t="s">
        <v>248</v>
      </c>
      <c r="Q1245" s="6" t="s">
        <v>249</v>
      </c>
      <c r="R1245" s="22">
        <v>220</v>
      </c>
      <c r="S1245" s="2">
        <v>800</v>
      </c>
      <c r="T1245" s="4">
        <v>0</v>
      </c>
      <c r="U1245" s="4">
        <f t="shared" si="43"/>
        <v>0</v>
      </c>
      <c r="V1245" s="3" t="s">
        <v>362</v>
      </c>
      <c r="W1245" s="3">
        <v>2014</v>
      </c>
      <c r="X1245" s="3" t="s">
        <v>14132</v>
      </c>
    </row>
    <row r="1246" spans="1:24" ht="102">
      <c r="A1246" s="3" t="s">
        <v>14543</v>
      </c>
      <c r="B1246" s="6" t="s">
        <v>361</v>
      </c>
      <c r="C1246" s="6" t="s">
        <v>3726</v>
      </c>
      <c r="D1246" s="6" t="s">
        <v>456</v>
      </c>
      <c r="E1246" s="6" t="s">
        <v>3727</v>
      </c>
      <c r="F1246" s="6" t="s">
        <v>3674</v>
      </c>
      <c r="G1246" s="3" t="s">
        <v>11450</v>
      </c>
      <c r="H1246" s="54">
        <v>0</v>
      </c>
      <c r="I1246" s="16">
        <v>470000000</v>
      </c>
      <c r="J1246" s="157" t="s">
        <v>229</v>
      </c>
      <c r="K1246" s="5" t="s">
        <v>210</v>
      </c>
      <c r="L1246" s="6" t="s">
        <v>231</v>
      </c>
      <c r="M1246" s="3" t="s">
        <v>230</v>
      </c>
      <c r="N1246" s="6" t="s">
        <v>524</v>
      </c>
      <c r="O1246" s="6" t="s">
        <v>233</v>
      </c>
      <c r="P1246" s="58" t="s">
        <v>248</v>
      </c>
      <c r="Q1246" s="6" t="s">
        <v>249</v>
      </c>
      <c r="R1246" s="22">
        <v>140</v>
      </c>
      <c r="S1246" s="2">
        <v>960</v>
      </c>
      <c r="T1246" s="4">
        <v>0</v>
      </c>
      <c r="U1246" s="4">
        <f t="shared" si="43"/>
        <v>0</v>
      </c>
      <c r="V1246" s="3" t="s">
        <v>362</v>
      </c>
      <c r="W1246" s="3">
        <v>2014</v>
      </c>
      <c r="X1246" s="3">
        <v>11.14</v>
      </c>
    </row>
    <row r="1247" spans="1:24" ht="102">
      <c r="A1247" s="3" t="s">
        <v>18166</v>
      </c>
      <c r="B1247" s="6" t="s">
        <v>361</v>
      </c>
      <c r="C1247" s="6" t="s">
        <v>3726</v>
      </c>
      <c r="D1247" s="6" t="s">
        <v>456</v>
      </c>
      <c r="E1247" s="6" t="s">
        <v>3727</v>
      </c>
      <c r="F1247" s="6" t="s">
        <v>3674</v>
      </c>
      <c r="G1247" s="3" t="s">
        <v>11450</v>
      </c>
      <c r="H1247" s="54">
        <v>0</v>
      </c>
      <c r="I1247" s="16">
        <v>470000000</v>
      </c>
      <c r="J1247" s="157" t="s">
        <v>229</v>
      </c>
      <c r="K1247" s="5" t="s">
        <v>8950</v>
      </c>
      <c r="L1247" s="6" t="s">
        <v>231</v>
      </c>
      <c r="M1247" s="3" t="s">
        <v>230</v>
      </c>
      <c r="N1247" s="6" t="s">
        <v>528</v>
      </c>
      <c r="O1247" s="6" t="s">
        <v>233</v>
      </c>
      <c r="P1247" s="58" t="s">
        <v>248</v>
      </c>
      <c r="Q1247" s="6" t="s">
        <v>249</v>
      </c>
      <c r="R1247" s="22">
        <v>140</v>
      </c>
      <c r="S1247" s="2">
        <v>960</v>
      </c>
      <c r="T1247" s="4">
        <f>R1247*S1247</f>
        <v>134400</v>
      </c>
      <c r="U1247" s="4">
        <f t="shared" si="43"/>
        <v>150528</v>
      </c>
      <c r="V1247" s="3" t="s">
        <v>362</v>
      </c>
      <c r="W1247" s="3">
        <v>2014</v>
      </c>
      <c r="X1247" s="3"/>
    </row>
    <row r="1248" spans="1:24" ht="102">
      <c r="A1248" s="3" t="s">
        <v>1091</v>
      </c>
      <c r="B1248" s="6" t="s">
        <v>361</v>
      </c>
      <c r="C1248" s="6" t="s">
        <v>3728</v>
      </c>
      <c r="D1248" s="6" t="s">
        <v>174</v>
      </c>
      <c r="E1248" s="6" t="s">
        <v>3729</v>
      </c>
      <c r="F1248" s="6" t="s">
        <v>3675</v>
      </c>
      <c r="G1248" s="3" t="s">
        <v>11450</v>
      </c>
      <c r="H1248" s="54">
        <v>0</v>
      </c>
      <c r="I1248" s="16">
        <v>470000000</v>
      </c>
      <c r="J1248" s="157" t="s">
        <v>229</v>
      </c>
      <c r="K1248" s="5" t="s">
        <v>211</v>
      </c>
      <c r="L1248" s="6" t="s">
        <v>231</v>
      </c>
      <c r="M1248" s="3" t="s">
        <v>230</v>
      </c>
      <c r="N1248" s="6" t="s">
        <v>524</v>
      </c>
      <c r="O1248" s="6" t="s">
        <v>233</v>
      </c>
      <c r="P1248" s="58" t="s">
        <v>248</v>
      </c>
      <c r="Q1248" s="6" t="s">
        <v>249</v>
      </c>
      <c r="R1248" s="4">
        <v>5600</v>
      </c>
      <c r="S1248" s="2">
        <v>856</v>
      </c>
      <c r="T1248" s="4">
        <v>0</v>
      </c>
      <c r="U1248" s="4">
        <f t="shared" si="43"/>
        <v>0</v>
      </c>
      <c r="V1248" s="3" t="s">
        <v>362</v>
      </c>
      <c r="W1248" s="3">
        <v>2014</v>
      </c>
      <c r="X1248" s="3" t="s">
        <v>14132</v>
      </c>
    </row>
    <row r="1249" spans="1:24" ht="102">
      <c r="A1249" s="3" t="s">
        <v>14547</v>
      </c>
      <c r="B1249" s="6" t="s">
        <v>361</v>
      </c>
      <c r="C1249" s="6" t="s">
        <v>3728</v>
      </c>
      <c r="D1249" s="6" t="s">
        <v>174</v>
      </c>
      <c r="E1249" s="6" t="s">
        <v>3729</v>
      </c>
      <c r="F1249" s="6" t="s">
        <v>3675</v>
      </c>
      <c r="G1249" s="3" t="s">
        <v>11450</v>
      </c>
      <c r="H1249" s="54">
        <v>0</v>
      </c>
      <c r="I1249" s="16">
        <v>470000000</v>
      </c>
      <c r="J1249" s="157" t="s">
        <v>229</v>
      </c>
      <c r="K1249" s="5" t="s">
        <v>211</v>
      </c>
      <c r="L1249" s="6" t="s">
        <v>231</v>
      </c>
      <c r="M1249" s="3" t="s">
        <v>230</v>
      </c>
      <c r="N1249" s="6" t="s">
        <v>524</v>
      </c>
      <c r="O1249" s="6" t="s">
        <v>233</v>
      </c>
      <c r="P1249" s="58" t="s">
        <v>248</v>
      </c>
      <c r="Q1249" s="6" t="s">
        <v>249</v>
      </c>
      <c r="R1249" s="4">
        <v>820</v>
      </c>
      <c r="S1249" s="2">
        <v>1027.2</v>
      </c>
      <c r="T1249" s="4">
        <v>0</v>
      </c>
      <c r="U1249" s="4">
        <f t="shared" si="43"/>
        <v>0</v>
      </c>
      <c r="V1249" s="3" t="s">
        <v>362</v>
      </c>
      <c r="W1249" s="3">
        <v>2014</v>
      </c>
      <c r="X1249" s="3">
        <v>11.14</v>
      </c>
    </row>
    <row r="1250" spans="1:24" ht="102">
      <c r="A1250" s="3" t="s">
        <v>18167</v>
      </c>
      <c r="B1250" s="6" t="s">
        <v>361</v>
      </c>
      <c r="C1250" s="6" t="s">
        <v>3728</v>
      </c>
      <c r="D1250" s="6" t="s">
        <v>174</v>
      </c>
      <c r="E1250" s="6" t="s">
        <v>3729</v>
      </c>
      <c r="F1250" s="6" t="s">
        <v>3675</v>
      </c>
      <c r="G1250" s="3" t="s">
        <v>11450</v>
      </c>
      <c r="H1250" s="54">
        <v>0</v>
      </c>
      <c r="I1250" s="16">
        <v>470000000</v>
      </c>
      <c r="J1250" s="157" t="s">
        <v>229</v>
      </c>
      <c r="K1250" s="5" t="s">
        <v>8950</v>
      </c>
      <c r="L1250" s="6" t="s">
        <v>231</v>
      </c>
      <c r="M1250" s="3" t="s">
        <v>230</v>
      </c>
      <c r="N1250" s="6" t="s">
        <v>528</v>
      </c>
      <c r="O1250" s="6" t="s">
        <v>233</v>
      </c>
      <c r="P1250" s="58" t="s">
        <v>248</v>
      </c>
      <c r="Q1250" s="6" t="s">
        <v>249</v>
      </c>
      <c r="R1250" s="4">
        <v>820</v>
      </c>
      <c r="S1250" s="2">
        <v>1027.2</v>
      </c>
      <c r="T1250" s="4">
        <v>0</v>
      </c>
      <c r="U1250" s="4">
        <f t="shared" si="43"/>
        <v>0</v>
      </c>
      <c r="V1250" s="3" t="s">
        <v>362</v>
      </c>
      <c r="W1250" s="3">
        <v>2014</v>
      </c>
      <c r="X1250" s="3" t="s">
        <v>19038</v>
      </c>
    </row>
    <row r="1251" spans="1:24" ht="63.75">
      <c r="A1251" s="3" t="s">
        <v>18867</v>
      </c>
      <c r="B1251" s="6" t="s">
        <v>361</v>
      </c>
      <c r="C1251" s="6" t="s">
        <v>3728</v>
      </c>
      <c r="D1251" s="6" t="s">
        <v>174</v>
      </c>
      <c r="E1251" s="6" t="s">
        <v>3729</v>
      </c>
      <c r="F1251" s="6" t="s">
        <v>3675</v>
      </c>
      <c r="G1251" s="3" t="s">
        <v>11450</v>
      </c>
      <c r="H1251" s="54">
        <v>0</v>
      </c>
      <c r="I1251" s="16">
        <v>470000000</v>
      </c>
      <c r="J1251" s="157" t="s">
        <v>229</v>
      </c>
      <c r="K1251" s="5" t="s">
        <v>18866</v>
      </c>
      <c r="L1251" s="17" t="s">
        <v>11411</v>
      </c>
      <c r="M1251" s="3" t="s">
        <v>230</v>
      </c>
      <c r="N1251" s="6" t="s">
        <v>528</v>
      </c>
      <c r="O1251" s="6" t="s">
        <v>18864</v>
      </c>
      <c r="P1251" s="58" t="s">
        <v>248</v>
      </c>
      <c r="Q1251" s="6" t="s">
        <v>249</v>
      </c>
      <c r="R1251" s="4">
        <v>2820</v>
      </c>
      <c r="S1251" s="2">
        <v>1227.2</v>
      </c>
      <c r="T1251" s="4">
        <v>0</v>
      </c>
      <c r="U1251" s="4">
        <f t="shared" si="43"/>
        <v>0</v>
      </c>
      <c r="V1251" s="3" t="s">
        <v>362</v>
      </c>
      <c r="W1251" s="3">
        <v>2014</v>
      </c>
      <c r="X1251" s="3">
        <v>15.22</v>
      </c>
    </row>
    <row r="1252" spans="1:24" ht="89.25">
      <c r="A1252" s="3" t="s">
        <v>19364</v>
      </c>
      <c r="B1252" s="6" t="s">
        <v>361</v>
      </c>
      <c r="C1252" s="6" t="s">
        <v>3728</v>
      </c>
      <c r="D1252" s="6" t="s">
        <v>174</v>
      </c>
      <c r="E1252" s="6" t="s">
        <v>3729</v>
      </c>
      <c r="F1252" s="6" t="s">
        <v>3675</v>
      </c>
      <c r="G1252" s="3" t="s">
        <v>11450</v>
      </c>
      <c r="H1252" s="54">
        <v>0</v>
      </c>
      <c r="I1252" s="16">
        <v>470000000</v>
      </c>
      <c r="J1252" s="157" t="s">
        <v>229</v>
      </c>
      <c r="K1252" s="5" t="s">
        <v>18866</v>
      </c>
      <c r="L1252" s="17" t="s">
        <v>11411</v>
      </c>
      <c r="M1252" s="3" t="s">
        <v>230</v>
      </c>
      <c r="N1252" s="6" t="s">
        <v>528</v>
      </c>
      <c r="O1252" s="6" t="s">
        <v>15287</v>
      </c>
      <c r="P1252" s="58" t="s">
        <v>248</v>
      </c>
      <c r="Q1252" s="6" t="s">
        <v>249</v>
      </c>
      <c r="R1252" s="4">
        <v>2820</v>
      </c>
      <c r="S1252" s="2">
        <v>1227.2</v>
      </c>
      <c r="T1252" s="4">
        <f>R1252*S1252</f>
        <v>3460704</v>
      </c>
      <c r="U1252" s="4">
        <f t="shared" ref="U1252" si="44">T1252*1.12</f>
        <v>3875988.4800000004</v>
      </c>
      <c r="V1252" s="3"/>
      <c r="W1252" s="3">
        <v>2014</v>
      </c>
      <c r="X1252" s="3"/>
    </row>
    <row r="1253" spans="1:24" ht="102">
      <c r="A1253" s="3" t="s">
        <v>1092</v>
      </c>
      <c r="B1253" s="6" t="s">
        <v>361</v>
      </c>
      <c r="C1253" s="6" t="s">
        <v>3730</v>
      </c>
      <c r="D1253" s="6" t="s">
        <v>3731</v>
      </c>
      <c r="E1253" s="6" t="s">
        <v>3732</v>
      </c>
      <c r="F1253" s="6" t="s">
        <v>175</v>
      </c>
      <c r="G1253" s="3" t="s">
        <v>11450</v>
      </c>
      <c r="H1253" s="54">
        <v>0</v>
      </c>
      <c r="I1253" s="16">
        <v>470000000</v>
      </c>
      <c r="J1253" s="157" t="s">
        <v>229</v>
      </c>
      <c r="K1253" s="5" t="s">
        <v>211</v>
      </c>
      <c r="L1253" s="6" t="s">
        <v>231</v>
      </c>
      <c r="M1253" s="3" t="s">
        <v>230</v>
      </c>
      <c r="N1253" s="6" t="s">
        <v>524</v>
      </c>
      <c r="O1253" s="6" t="s">
        <v>233</v>
      </c>
      <c r="P1253" s="58" t="s">
        <v>237</v>
      </c>
      <c r="Q1253" s="6" t="s">
        <v>238</v>
      </c>
      <c r="R1253" s="22">
        <v>831</v>
      </c>
      <c r="S1253" s="2">
        <v>925</v>
      </c>
      <c r="T1253" s="4">
        <v>0</v>
      </c>
      <c r="U1253" s="4">
        <f t="shared" si="43"/>
        <v>0</v>
      </c>
      <c r="V1253" s="3" t="s">
        <v>362</v>
      </c>
      <c r="W1253" s="3">
        <v>2014</v>
      </c>
      <c r="X1253" s="3" t="s">
        <v>14132</v>
      </c>
    </row>
    <row r="1254" spans="1:24" ht="102">
      <c r="A1254" s="3" t="s">
        <v>14548</v>
      </c>
      <c r="B1254" s="6" t="s">
        <v>361</v>
      </c>
      <c r="C1254" s="6" t="s">
        <v>3730</v>
      </c>
      <c r="D1254" s="6" t="s">
        <v>3731</v>
      </c>
      <c r="E1254" s="6" t="s">
        <v>3732</v>
      </c>
      <c r="F1254" s="6" t="s">
        <v>175</v>
      </c>
      <c r="G1254" s="3" t="s">
        <v>11450</v>
      </c>
      <c r="H1254" s="54">
        <v>0</v>
      </c>
      <c r="I1254" s="16">
        <v>470000000</v>
      </c>
      <c r="J1254" s="157" t="s">
        <v>229</v>
      </c>
      <c r="K1254" s="5" t="s">
        <v>211</v>
      </c>
      <c r="L1254" s="6" t="s">
        <v>231</v>
      </c>
      <c r="M1254" s="3" t="s">
        <v>230</v>
      </c>
      <c r="N1254" s="6" t="s">
        <v>524</v>
      </c>
      <c r="O1254" s="6" t="s">
        <v>233</v>
      </c>
      <c r="P1254" s="58" t="s">
        <v>237</v>
      </c>
      <c r="Q1254" s="6" t="s">
        <v>238</v>
      </c>
      <c r="R1254" s="22">
        <v>200</v>
      </c>
      <c r="S1254" s="2">
        <v>1110</v>
      </c>
      <c r="T1254" s="4">
        <v>0</v>
      </c>
      <c r="U1254" s="4">
        <f t="shared" si="43"/>
        <v>0</v>
      </c>
      <c r="V1254" s="3" t="s">
        <v>362</v>
      </c>
      <c r="W1254" s="3">
        <v>2014</v>
      </c>
      <c r="X1254" s="3">
        <v>11.14</v>
      </c>
    </row>
    <row r="1255" spans="1:24" ht="102">
      <c r="A1255" s="3" t="s">
        <v>18168</v>
      </c>
      <c r="B1255" s="6" t="s">
        <v>361</v>
      </c>
      <c r="C1255" s="6" t="s">
        <v>3730</v>
      </c>
      <c r="D1255" s="6" t="s">
        <v>3731</v>
      </c>
      <c r="E1255" s="6" t="s">
        <v>3732</v>
      </c>
      <c r="F1255" s="6" t="s">
        <v>175</v>
      </c>
      <c r="G1255" s="3" t="s">
        <v>11450</v>
      </c>
      <c r="H1255" s="54">
        <v>0</v>
      </c>
      <c r="I1255" s="16">
        <v>470000000</v>
      </c>
      <c r="J1255" s="157" t="s">
        <v>229</v>
      </c>
      <c r="K1255" s="5" t="s">
        <v>8950</v>
      </c>
      <c r="L1255" s="6" t="s">
        <v>231</v>
      </c>
      <c r="M1255" s="3" t="s">
        <v>230</v>
      </c>
      <c r="N1255" s="6" t="s">
        <v>528</v>
      </c>
      <c r="O1255" s="6" t="s">
        <v>233</v>
      </c>
      <c r="P1255" s="58" t="s">
        <v>237</v>
      </c>
      <c r="Q1255" s="6" t="s">
        <v>238</v>
      </c>
      <c r="R1255" s="22">
        <v>200</v>
      </c>
      <c r="S1255" s="2">
        <v>1110</v>
      </c>
      <c r="T1255" s="4">
        <v>0</v>
      </c>
      <c r="U1255" s="4">
        <f t="shared" si="43"/>
        <v>0</v>
      </c>
      <c r="V1255" s="3" t="s">
        <v>362</v>
      </c>
      <c r="W1255" s="3">
        <v>2014</v>
      </c>
      <c r="X1255" s="3" t="s">
        <v>19084</v>
      </c>
    </row>
    <row r="1256" spans="1:24" ht="63.75">
      <c r="A1256" s="3" t="s">
        <v>18865</v>
      </c>
      <c r="B1256" s="6" t="s">
        <v>361</v>
      </c>
      <c r="C1256" s="6" t="s">
        <v>3730</v>
      </c>
      <c r="D1256" s="6" t="s">
        <v>3731</v>
      </c>
      <c r="E1256" s="6" t="s">
        <v>3732</v>
      </c>
      <c r="F1256" s="6" t="s">
        <v>175</v>
      </c>
      <c r="G1256" s="3" t="s">
        <v>11450</v>
      </c>
      <c r="H1256" s="54">
        <v>0.2</v>
      </c>
      <c r="I1256" s="16">
        <v>470000000</v>
      </c>
      <c r="J1256" s="157" t="s">
        <v>229</v>
      </c>
      <c r="K1256" s="5" t="s">
        <v>18866</v>
      </c>
      <c r="L1256" s="17" t="s">
        <v>11411</v>
      </c>
      <c r="M1256" s="3" t="s">
        <v>230</v>
      </c>
      <c r="N1256" s="6" t="s">
        <v>528</v>
      </c>
      <c r="O1256" s="6" t="s">
        <v>18864</v>
      </c>
      <c r="P1256" s="58" t="s">
        <v>237</v>
      </c>
      <c r="Q1256" s="6" t="s">
        <v>238</v>
      </c>
      <c r="R1256" s="22">
        <v>400</v>
      </c>
      <c r="S1256" s="2">
        <v>1310</v>
      </c>
      <c r="T1256" s="4">
        <v>0</v>
      </c>
      <c r="U1256" s="4">
        <f t="shared" si="43"/>
        <v>0</v>
      </c>
      <c r="V1256" s="3" t="s">
        <v>362</v>
      </c>
      <c r="W1256" s="3">
        <v>2014</v>
      </c>
      <c r="X1256" s="3" t="s">
        <v>19366</v>
      </c>
    </row>
    <row r="1257" spans="1:24" ht="89.25">
      <c r="A1257" s="3" t="s">
        <v>19365</v>
      </c>
      <c r="B1257" s="6" t="s">
        <v>361</v>
      </c>
      <c r="C1257" s="6" t="s">
        <v>3730</v>
      </c>
      <c r="D1257" s="6" t="s">
        <v>3731</v>
      </c>
      <c r="E1257" s="6" t="s">
        <v>3732</v>
      </c>
      <c r="F1257" s="6" t="s">
        <v>175</v>
      </c>
      <c r="G1257" s="3" t="s">
        <v>11450</v>
      </c>
      <c r="H1257" s="54">
        <v>0</v>
      </c>
      <c r="I1257" s="16">
        <v>470000000</v>
      </c>
      <c r="J1257" s="157" t="s">
        <v>229</v>
      </c>
      <c r="K1257" s="5" t="s">
        <v>18866</v>
      </c>
      <c r="L1257" s="17" t="s">
        <v>11411</v>
      </c>
      <c r="M1257" s="3" t="s">
        <v>230</v>
      </c>
      <c r="N1257" s="6" t="s">
        <v>528</v>
      </c>
      <c r="O1257" s="6" t="s">
        <v>15287</v>
      </c>
      <c r="P1257" s="58" t="s">
        <v>237</v>
      </c>
      <c r="Q1257" s="6" t="s">
        <v>238</v>
      </c>
      <c r="R1257" s="22">
        <v>400</v>
      </c>
      <c r="S1257" s="2">
        <v>1310</v>
      </c>
      <c r="T1257" s="4">
        <f>R1257*S1257</f>
        <v>524000</v>
      </c>
      <c r="U1257" s="4">
        <f t="shared" ref="U1257" si="45">T1257*1.12</f>
        <v>586880</v>
      </c>
      <c r="V1257" s="3"/>
      <c r="W1257" s="3">
        <v>2014</v>
      </c>
      <c r="X1257" s="3"/>
    </row>
    <row r="1258" spans="1:24" ht="102">
      <c r="A1258" s="3" t="s">
        <v>1093</v>
      </c>
      <c r="B1258" s="6" t="s">
        <v>361</v>
      </c>
      <c r="C1258" s="6" t="s">
        <v>3733</v>
      </c>
      <c r="D1258" s="6" t="s">
        <v>3734</v>
      </c>
      <c r="E1258" s="6" t="s">
        <v>3735</v>
      </c>
      <c r="F1258" s="6" t="s">
        <v>3676</v>
      </c>
      <c r="G1258" s="3" t="s">
        <v>11450</v>
      </c>
      <c r="H1258" s="54">
        <v>0</v>
      </c>
      <c r="I1258" s="16">
        <v>470000000</v>
      </c>
      <c r="J1258" s="157" t="s">
        <v>229</v>
      </c>
      <c r="K1258" s="5" t="s">
        <v>211</v>
      </c>
      <c r="L1258" s="6" t="s">
        <v>231</v>
      </c>
      <c r="M1258" s="3" t="s">
        <v>230</v>
      </c>
      <c r="N1258" s="6" t="s">
        <v>524</v>
      </c>
      <c r="O1258" s="6" t="s">
        <v>233</v>
      </c>
      <c r="P1258" s="58" t="s">
        <v>241</v>
      </c>
      <c r="Q1258" s="6" t="s">
        <v>234</v>
      </c>
      <c r="R1258" s="22">
        <v>100</v>
      </c>
      <c r="S1258" s="2">
        <v>600</v>
      </c>
      <c r="T1258" s="4">
        <v>0</v>
      </c>
      <c r="U1258" s="4">
        <f t="shared" si="43"/>
        <v>0</v>
      </c>
      <c r="V1258" s="3" t="s">
        <v>362</v>
      </c>
      <c r="W1258" s="3">
        <v>2014</v>
      </c>
      <c r="X1258" s="3" t="s">
        <v>12076</v>
      </c>
    </row>
    <row r="1259" spans="1:24" ht="102">
      <c r="A1259" s="3" t="s">
        <v>1094</v>
      </c>
      <c r="B1259" s="6" t="s">
        <v>361</v>
      </c>
      <c r="C1259" s="6" t="s">
        <v>3733</v>
      </c>
      <c r="D1259" s="6" t="s">
        <v>3734</v>
      </c>
      <c r="E1259" s="6" t="s">
        <v>3735</v>
      </c>
      <c r="F1259" s="6" t="s">
        <v>3677</v>
      </c>
      <c r="G1259" s="3" t="s">
        <v>11450</v>
      </c>
      <c r="H1259" s="54">
        <v>0</v>
      </c>
      <c r="I1259" s="16">
        <v>470000000</v>
      </c>
      <c r="J1259" s="157" t="s">
        <v>229</v>
      </c>
      <c r="K1259" s="5" t="s">
        <v>211</v>
      </c>
      <c r="L1259" s="6" t="s">
        <v>231</v>
      </c>
      <c r="M1259" s="3" t="s">
        <v>230</v>
      </c>
      <c r="N1259" s="6" t="s">
        <v>524</v>
      </c>
      <c r="O1259" s="6" t="s">
        <v>233</v>
      </c>
      <c r="P1259" s="58" t="s">
        <v>241</v>
      </c>
      <c r="Q1259" s="6" t="s">
        <v>234</v>
      </c>
      <c r="R1259" s="22">
        <v>20</v>
      </c>
      <c r="S1259" s="2">
        <v>600</v>
      </c>
      <c r="T1259" s="4">
        <v>0</v>
      </c>
      <c r="U1259" s="4">
        <f t="shared" si="43"/>
        <v>0</v>
      </c>
      <c r="V1259" s="3" t="s">
        <v>362</v>
      </c>
      <c r="W1259" s="3">
        <v>2014</v>
      </c>
      <c r="X1259" s="3" t="s">
        <v>12076</v>
      </c>
    </row>
    <row r="1260" spans="1:24" ht="127.5">
      <c r="A1260" s="3" t="s">
        <v>1095</v>
      </c>
      <c r="B1260" s="6" t="s">
        <v>361</v>
      </c>
      <c r="C1260" s="6" t="s">
        <v>3736</v>
      </c>
      <c r="D1260" s="6" t="s">
        <v>3737</v>
      </c>
      <c r="E1260" s="6" t="s">
        <v>3737</v>
      </c>
      <c r="F1260" s="6" t="s">
        <v>3678</v>
      </c>
      <c r="G1260" s="3" t="s">
        <v>11450</v>
      </c>
      <c r="H1260" s="54">
        <v>0</v>
      </c>
      <c r="I1260" s="16">
        <v>470000000</v>
      </c>
      <c r="J1260" s="157" t="s">
        <v>229</v>
      </c>
      <c r="K1260" s="5" t="s">
        <v>211</v>
      </c>
      <c r="L1260" s="6" t="s">
        <v>231</v>
      </c>
      <c r="M1260" s="3" t="s">
        <v>230</v>
      </c>
      <c r="N1260" s="6" t="s">
        <v>524</v>
      </c>
      <c r="O1260" s="6" t="s">
        <v>233</v>
      </c>
      <c r="P1260" s="58" t="s">
        <v>237</v>
      </c>
      <c r="Q1260" s="6" t="s">
        <v>238</v>
      </c>
      <c r="R1260" s="22">
        <v>12</v>
      </c>
      <c r="S1260" s="2">
        <v>26760</v>
      </c>
      <c r="T1260" s="4">
        <v>0</v>
      </c>
      <c r="U1260" s="4">
        <f t="shared" si="43"/>
        <v>0</v>
      </c>
      <c r="V1260" s="3" t="s">
        <v>362</v>
      </c>
      <c r="W1260" s="3">
        <v>2014</v>
      </c>
      <c r="X1260" s="3" t="s">
        <v>12076</v>
      </c>
    </row>
    <row r="1261" spans="1:24" ht="102">
      <c r="A1261" s="3" t="s">
        <v>1096</v>
      </c>
      <c r="B1261" s="6" t="s">
        <v>361</v>
      </c>
      <c r="C1261" s="6" t="s">
        <v>3748</v>
      </c>
      <c r="D1261" s="6" t="s">
        <v>3747</v>
      </c>
      <c r="E1261" s="6" t="s">
        <v>3749</v>
      </c>
      <c r="F1261" s="6" t="s">
        <v>3738</v>
      </c>
      <c r="G1261" s="3" t="s">
        <v>11449</v>
      </c>
      <c r="H1261" s="54">
        <v>0</v>
      </c>
      <c r="I1261" s="16">
        <v>470000000</v>
      </c>
      <c r="J1261" s="157" t="s">
        <v>229</v>
      </c>
      <c r="K1261" s="5" t="s">
        <v>215</v>
      </c>
      <c r="L1261" s="6" t="s">
        <v>231</v>
      </c>
      <c r="M1261" s="3" t="s">
        <v>230</v>
      </c>
      <c r="N1261" s="6" t="s">
        <v>524</v>
      </c>
      <c r="O1261" s="6" t="s">
        <v>233</v>
      </c>
      <c r="P1261" s="58" t="s">
        <v>250</v>
      </c>
      <c r="Q1261" s="6" t="s">
        <v>251</v>
      </c>
      <c r="R1261" s="4">
        <v>3000</v>
      </c>
      <c r="S1261" s="2">
        <v>10900</v>
      </c>
      <c r="T1261" s="4">
        <v>0</v>
      </c>
      <c r="U1261" s="4">
        <f t="shared" si="43"/>
        <v>0</v>
      </c>
      <c r="V1261" s="3" t="s">
        <v>362</v>
      </c>
      <c r="W1261" s="3">
        <v>2014</v>
      </c>
      <c r="X1261" s="3">
        <v>11.12</v>
      </c>
    </row>
    <row r="1262" spans="1:24" ht="89.25">
      <c r="A1262" s="3" t="s">
        <v>12240</v>
      </c>
      <c r="B1262" s="6" t="s">
        <v>361</v>
      </c>
      <c r="C1262" s="6" t="s">
        <v>3748</v>
      </c>
      <c r="D1262" s="6" t="s">
        <v>3747</v>
      </c>
      <c r="E1262" s="6" t="s">
        <v>3749</v>
      </c>
      <c r="F1262" s="6" t="s">
        <v>3738</v>
      </c>
      <c r="G1262" s="3" t="s">
        <v>11449</v>
      </c>
      <c r="H1262" s="54">
        <v>0</v>
      </c>
      <c r="I1262" s="16">
        <v>470000000</v>
      </c>
      <c r="J1262" s="157" t="s">
        <v>229</v>
      </c>
      <c r="K1262" s="5" t="s">
        <v>12241</v>
      </c>
      <c r="L1262" s="17" t="s">
        <v>11411</v>
      </c>
      <c r="M1262" s="3" t="s">
        <v>230</v>
      </c>
      <c r="N1262" s="6" t="s">
        <v>524</v>
      </c>
      <c r="O1262" s="6" t="s">
        <v>233</v>
      </c>
      <c r="P1262" s="58" t="s">
        <v>250</v>
      </c>
      <c r="Q1262" s="6" t="s">
        <v>251</v>
      </c>
      <c r="R1262" s="4">
        <v>3000</v>
      </c>
      <c r="S1262" s="2">
        <v>10900</v>
      </c>
      <c r="T1262" s="4">
        <v>0</v>
      </c>
      <c r="U1262" s="4">
        <f t="shared" si="43"/>
        <v>0</v>
      </c>
      <c r="V1262" s="3" t="s">
        <v>362</v>
      </c>
      <c r="W1262" s="3">
        <v>2014</v>
      </c>
      <c r="X1262" s="3" t="s">
        <v>14780</v>
      </c>
    </row>
    <row r="1263" spans="1:24" ht="89.25">
      <c r="A1263" s="3" t="s">
        <v>14549</v>
      </c>
      <c r="B1263" s="6" t="s">
        <v>361</v>
      </c>
      <c r="C1263" s="6" t="s">
        <v>3748</v>
      </c>
      <c r="D1263" s="6" t="s">
        <v>3747</v>
      </c>
      <c r="E1263" s="6" t="s">
        <v>3749</v>
      </c>
      <c r="F1263" s="6" t="s">
        <v>3738</v>
      </c>
      <c r="G1263" s="3" t="s">
        <v>11449</v>
      </c>
      <c r="H1263" s="54">
        <v>0</v>
      </c>
      <c r="I1263" s="16">
        <v>470000000</v>
      </c>
      <c r="J1263" s="157" t="s">
        <v>229</v>
      </c>
      <c r="K1263" s="5" t="s">
        <v>16414</v>
      </c>
      <c r="L1263" s="17" t="s">
        <v>11411</v>
      </c>
      <c r="M1263" s="3" t="s">
        <v>230</v>
      </c>
      <c r="N1263" s="6" t="s">
        <v>524</v>
      </c>
      <c r="O1263" s="6" t="s">
        <v>233</v>
      </c>
      <c r="P1263" s="58" t="s">
        <v>250</v>
      </c>
      <c r="Q1263" s="6" t="s">
        <v>251</v>
      </c>
      <c r="R1263" s="4">
        <v>3500</v>
      </c>
      <c r="S1263" s="2">
        <v>10900</v>
      </c>
      <c r="T1263" s="4">
        <v>0</v>
      </c>
      <c r="U1263" s="4">
        <f t="shared" si="43"/>
        <v>0</v>
      </c>
      <c r="V1263" s="3" t="s">
        <v>362</v>
      </c>
      <c r="W1263" s="3">
        <v>2014</v>
      </c>
      <c r="X1263" s="3">
        <v>11.18</v>
      </c>
    </row>
    <row r="1264" spans="1:24" ht="89.25">
      <c r="A1264" s="3" t="s">
        <v>18105</v>
      </c>
      <c r="B1264" s="6" t="s">
        <v>361</v>
      </c>
      <c r="C1264" s="6" t="s">
        <v>3748</v>
      </c>
      <c r="D1264" s="6" t="s">
        <v>3747</v>
      </c>
      <c r="E1264" s="6" t="s">
        <v>3749</v>
      </c>
      <c r="F1264" s="6" t="s">
        <v>3738</v>
      </c>
      <c r="G1264" s="3" t="s">
        <v>11449</v>
      </c>
      <c r="H1264" s="54">
        <v>0</v>
      </c>
      <c r="I1264" s="16">
        <v>470000000</v>
      </c>
      <c r="J1264" s="157" t="s">
        <v>229</v>
      </c>
      <c r="K1264" s="5" t="s">
        <v>18106</v>
      </c>
      <c r="L1264" s="17" t="s">
        <v>11411</v>
      </c>
      <c r="M1264" s="3" t="s">
        <v>230</v>
      </c>
      <c r="N1264" s="6" t="s">
        <v>524</v>
      </c>
      <c r="O1264" s="6" t="s">
        <v>233</v>
      </c>
      <c r="P1264" s="58" t="s">
        <v>250</v>
      </c>
      <c r="Q1264" s="6" t="s">
        <v>251</v>
      </c>
      <c r="R1264" s="4">
        <v>4020</v>
      </c>
      <c r="S1264" s="2">
        <v>10900</v>
      </c>
      <c r="T1264" s="4">
        <v>0</v>
      </c>
      <c r="U1264" s="4">
        <f t="shared" si="43"/>
        <v>0</v>
      </c>
      <c r="V1264" s="3" t="s">
        <v>362</v>
      </c>
      <c r="W1264" s="3">
        <v>2014</v>
      </c>
      <c r="X1264" s="3" t="s">
        <v>19085</v>
      </c>
    </row>
    <row r="1265" spans="1:24" ht="89.25">
      <c r="A1265" s="3" t="s">
        <v>18863</v>
      </c>
      <c r="B1265" s="6" t="s">
        <v>361</v>
      </c>
      <c r="C1265" s="6" t="s">
        <v>3748</v>
      </c>
      <c r="D1265" s="6" t="s">
        <v>3747</v>
      </c>
      <c r="E1265" s="6" t="s">
        <v>3749</v>
      </c>
      <c r="F1265" s="6" t="s">
        <v>3738</v>
      </c>
      <c r="G1265" s="3" t="s">
        <v>11449</v>
      </c>
      <c r="H1265" s="54">
        <v>0</v>
      </c>
      <c r="I1265" s="16">
        <v>470000000</v>
      </c>
      <c r="J1265" s="157" t="s">
        <v>229</v>
      </c>
      <c r="K1265" s="5" t="s">
        <v>19044</v>
      </c>
      <c r="L1265" s="17" t="s">
        <v>11411</v>
      </c>
      <c r="M1265" s="3" t="s">
        <v>230</v>
      </c>
      <c r="N1265" s="6" t="s">
        <v>528</v>
      </c>
      <c r="O1265" s="6" t="s">
        <v>233</v>
      </c>
      <c r="P1265" s="58" t="s">
        <v>250</v>
      </c>
      <c r="Q1265" s="6" t="s">
        <v>251</v>
      </c>
      <c r="R1265" s="4">
        <v>4100</v>
      </c>
      <c r="S1265" s="2">
        <v>10900</v>
      </c>
      <c r="T1265" s="4">
        <f>R1265*S1265</f>
        <v>44690000</v>
      </c>
      <c r="U1265" s="4">
        <f t="shared" si="43"/>
        <v>50052800.000000007</v>
      </c>
      <c r="V1265" s="3"/>
      <c r="W1265" s="3">
        <v>2014</v>
      </c>
      <c r="X1265" s="3"/>
    </row>
    <row r="1266" spans="1:24" ht="102">
      <c r="A1266" s="3" t="s">
        <v>1097</v>
      </c>
      <c r="B1266" s="6" t="s">
        <v>361</v>
      </c>
      <c r="C1266" s="6" t="s">
        <v>3750</v>
      </c>
      <c r="D1266" s="6" t="s">
        <v>3747</v>
      </c>
      <c r="E1266" s="6" t="s">
        <v>3751</v>
      </c>
      <c r="F1266" s="6" t="s">
        <v>176</v>
      </c>
      <c r="G1266" s="3" t="s">
        <v>11449</v>
      </c>
      <c r="H1266" s="54">
        <v>0</v>
      </c>
      <c r="I1266" s="16">
        <v>470000000</v>
      </c>
      <c r="J1266" s="157" t="s">
        <v>229</v>
      </c>
      <c r="K1266" s="5" t="s">
        <v>210</v>
      </c>
      <c r="L1266" s="6" t="s">
        <v>231</v>
      </c>
      <c r="M1266" s="3" t="s">
        <v>230</v>
      </c>
      <c r="N1266" s="6" t="s">
        <v>524</v>
      </c>
      <c r="O1266" s="6" t="s">
        <v>233</v>
      </c>
      <c r="P1266" s="58" t="s">
        <v>250</v>
      </c>
      <c r="Q1266" s="6" t="s">
        <v>251</v>
      </c>
      <c r="R1266" s="18">
        <v>250</v>
      </c>
      <c r="S1266" s="2">
        <v>19620</v>
      </c>
      <c r="T1266" s="4">
        <v>0</v>
      </c>
      <c r="U1266" s="4">
        <f t="shared" si="43"/>
        <v>0</v>
      </c>
      <c r="V1266" s="3" t="s">
        <v>362</v>
      </c>
      <c r="W1266" s="3">
        <v>2014</v>
      </c>
      <c r="X1266" s="3" t="s">
        <v>12076</v>
      </c>
    </row>
    <row r="1267" spans="1:24" ht="102">
      <c r="A1267" s="3" t="s">
        <v>1098</v>
      </c>
      <c r="B1267" s="6" t="s">
        <v>361</v>
      </c>
      <c r="C1267" s="6" t="s">
        <v>3752</v>
      </c>
      <c r="D1267" s="6" t="s">
        <v>3753</v>
      </c>
      <c r="E1267" s="6" t="s">
        <v>3754</v>
      </c>
      <c r="F1267" s="6" t="s">
        <v>3739</v>
      </c>
      <c r="G1267" s="3" t="s">
        <v>11450</v>
      </c>
      <c r="H1267" s="54">
        <v>0</v>
      </c>
      <c r="I1267" s="16">
        <v>470000000</v>
      </c>
      <c r="J1267" s="157" t="s">
        <v>229</v>
      </c>
      <c r="K1267" s="5" t="s">
        <v>215</v>
      </c>
      <c r="L1267" s="6" t="s">
        <v>231</v>
      </c>
      <c r="M1267" s="3" t="s">
        <v>230</v>
      </c>
      <c r="N1267" s="6" t="s">
        <v>524</v>
      </c>
      <c r="O1267" s="6" t="s">
        <v>233</v>
      </c>
      <c r="P1267" s="58" t="s">
        <v>250</v>
      </c>
      <c r="Q1267" s="6" t="s">
        <v>251</v>
      </c>
      <c r="R1267" s="18">
        <v>150</v>
      </c>
      <c r="S1267" s="2">
        <v>11770</v>
      </c>
      <c r="T1267" s="4">
        <v>0</v>
      </c>
      <c r="U1267" s="4">
        <f t="shared" si="43"/>
        <v>0</v>
      </c>
      <c r="V1267" s="3" t="s">
        <v>362</v>
      </c>
      <c r="W1267" s="3">
        <v>2014</v>
      </c>
      <c r="X1267" s="3">
        <v>11.12</v>
      </c>
    </row>
    <row r="1268" spans="1:24" ht="89.25">
      <c r="A1268" s="3" t="s">
        <v>12242</v>
      </c>
      <c r="B1268" s="6" t="s">
        <v>361</v>
      </c>
      <c r="C1268" s="6" t="s">
        <v>3752</v>
      </c>
      <c r="D1268" s="6" t="s">
        <v>3753</v>
      </c>
      <c r="E1268" s="6" t="s">
        <v>3754</v>
      </c>
      <c r="F1268" s="6" t="s">
        <v>3739</v>
      </c>
      <c r="G1268" s="3" t="s">
        <v>11450</v>
      </c>
      <c r="H1268" s="54">
        <v>0</v>
      </c>
      <c r="I1268" s="16">
        <v>470000000</v>
      </c>
      <c r="J1268" s="157" t="s">
        <v>229</v>
      </c>
      <c r="K1268" s="5" t="s">
        <v>12120</v>
      </c>
      <c r="L1268" s="17" t="s">
        <v>11411</v>
      </c>
      <c r="M1268" s="3" t="s">
        <v>230</v>
      </c>
      <c r="N1268" s="6" t="s">
        <v>524</v>
      </c>
      <c r="O1268" s="6" t="s">
        <v>233</v>
      </c>
      <c r="P1268" s="58" t="s">
        <v>250</v>
      </c>
      <c r="Q1268" s="6" t="s">
        <v>251</v>
      </c>
      <c r="R1268" s="18">
        <v>150</v>
      </c>
      <c r="S1268" s="2">
        <v>11770</v>
      </c>
      <c r="T1268" s="4">
        <v>0</v>
      </c>
      <c r="U1268" s="4">
        <f t="shared" ref="U1268:U1313" si="46">T1268*1.12</f>
        <v>0</v>
      </c>
      <c r="V1268" s="3" t="s">
        <v>362</v>
      </c>
      <c r="W1268" s="3">
        <v>2014</v>
      </c>
      <c r="X1268" s="3" t="s">
        <v>14132</v>
      </c>
    </row>
    <row r="1269" spans="1:24" ht="89.25">
      <c r="A1269" s="3" t="s">
        <v>14550</v>
      </c>
      <c r="B1269" s="6" t="s">
        <v>361</v>
      </c>
      <c r="C1269" s="6" t="s">
        <v>3752</v>
      </c>
      <c r="D1269" s="6" t="s">
        <v>3753</v>
      </c>
      <c r="E1269" s="6" t="s">
        <v>3754</v>
      </c>
      <c r="F1269" s="6" t="s">
        <v>3739</v>
      </c>
      <c r="G1269" s="3" t="s">
        <v>11450</v>
      </c>
      <c r="H1269" s="54">
        <v>0</v>
      </c>
      <c r="I1269" s="16">
        <v>470000000</v>
      </c>
      <c r="J1269" s="157" t="s">
        <v>229</v>
      </c>
      <c r="K1269" s="5" t="s">
        <v>12120</v>
      </c>
      <c r="L1269" s="17" t="s">
        <v>11411</v>
      </c>
      <c r="M1269" s="3" t="s">
        <v>230</v>
      </c>
      <c r="N1269" s="6" t="s">
        <v>524</v>
      </c>
      <c r="O1269" s="6" t="s">
        <v>233</v>
      </c>
      <c r="P1269" s="58" t="s">
        <v>250</v>
      </c>
      <c r="Q1269" s="6" t="s">
        <v>251</v>
      </c>
      <c r="R1269" s="18">
        <v>14.396000000000001</v>
      </c>
      <c r="S1269" s="2">
        <v>14124</v>
      </c>
      <c r="T1269" s="50">
        <v>0</v>
      </c>
      <c r="U1269" s="4">
        <f t="shared" si="46"/>
        <v>0</v>
      </c>
      <c r="V1269" s="3" t="s">
        <v>362</v>
      </c>
      <c r="W1269" s="3">
        <v>2014</v>
      </c>
      <c r="X1269" s="3" t="s">
        <v>12076</v>
      </c>
    </row>
    <row r="1270" spans="1:24" ht="102">
      <c r="A1270" s="3" t="s">
        <v>1099</v>
      </c>
      <c r="B1270" s="6" t="s">
        <v>361</v>
      </c>
      <c r="C1270" s="6" t="s">
        <v>3756</v>
      </c>
      <c r="D1270" s="6" t="s">
        <v>3755</v>
      </c>
      <c r="E1270" s="6" t="s">
        <v>3757</v>
      </c>
      <c r="F1270" s="6" t="s">
        <v>3740</v>
      </c>
      <c r="G1270" s="3" t="s">
        <v>11449</v>
      </c>
      <c r="H1270" s="54">
        <v>0</v>
      </c>
      <c r="I1270" s="16">
        <v>470000000</v>
      </c>
      <c r="J1270" s="157" t="s">
        <v>229</v>
      </c>
      <c r="K1270" s="5" t="s">
        <v>215</v>
      </c>
      <c r="L1270" s="6" t="s">
        <v>231</v>
      </c>
      <c r="M1270" s="3" t="s">
        <v>230</v>
      </c>
      <c r="N1270" s="6" t="s">
        <v>524</v>
      </c>
      <c r="O1270" s="6" t="s">
        <v>233</v>
      </c>
      <c r="P1270" s="58" t="s">
        <v>247</v>
      </c>
      <c r="Q1270" s="6" t="s">
        <v>240</v>
      </c>
      <c r="R1270" s="18">
        <v>75</v>
      </c>
      <c r="S1270" s="2">
        <v>373000</v>
      </c>
      <c r="T1270" s="4">
        <v>0</v>
      </c>
      <c r="U1270" s="4">
        <f t="shared" si="46"/>
        <v>0</v>
      </c>
      <c r="V1270" s="3" t="s">
        <v>362</v>
      </c>
      <c r="W1270" s="3">
        <v>2014</v>
      </c>
      <c r="X1270" s="3">
        <v>11.22</v>
      </c>
    </row>
    <row r="1271" spans="1:24" ht="102">
      <c r="A1271" s="3" t="s">
        <v>12001</v>
      </c>
      <c r="B1271" s="6" t="s">
        <v>361</v>
      </c>
      <c r="C1271" s="6" t="s">
        <v>3756</v>
      </c>
      <c r="D1271" s="6" t="s">
        <v>3755</v>
      </c>
      <c r="E1271" s="6" t="s">
        <v>3757</v>
      </c>
      <c r="F1271" s="6" t="s">
        <v>3740</v>
      </c>
      <c r="G1271" s="3" t="s">
        <v>11449</v>
      </c>
      <c r="H1271" s="54">
        <v>0</v>
      </c>
      <c r="I1271" s="16">
        <v>470000000</v>
      </c>
      <c r="J1271" s="157" t="s">
        <v>229</v>
      </c>
      <c r="K1271" s="5" t="s">
        <v>210</v>
      </c>
      <c r="L1271" s="6" t="s">
        <v>231</v>
      </c>
      <c r="M1271" s="3" t="s">
        <v>230</v>
      </c>
      <c r="N1271" s="6" t="s">
        <v>524</v>
      </c>
      <c r="O1271" s="6" t="s">
        <v>233</v>
      </c>
      <c r="P1271" s="58" t="s">
        <v>247</v>
      </c>
      <c r="Q1271" s="6" t="s">
        <v>240</v>
      </c>
      <c r="R1271" s="18">
        <v>75</v>
      </c>
      <c r="S1271" s="2">
        <v>373000</v>
      </c>
      <c r="T1271" s="4">
        <v>0</v>
      </c>
      <c r="U1271" s="4">
        <f t="shared" si="46"/>
        <v>0</v>
      </c>
      <c r="V1271" s="3"/>
      <c r="W1271" s="3">
        <v>2014</v>
      </c>
      <c r="X1271" s="3" t="s">
        <v>14132</v>
      </c>
    </row>
    <row r="1272" spans="1:24" ht="102">
      <c r="A1272" s="3" t="s">
        <v>14551</v>
      </c>
      <c r="B1272" s="6" t="s">
        <v>361</v>
      </c>
      <c r="C1272" s="6" t="s">
        <v>3756</v>
      </c>
      <c r="D1272" s="6" t="s">
        <v>3755</v>
      </c>
      <c r="E1272" s="6" t="s">
        <v>3757</v>
      </c>
      <c r="F1272" s="6" t="s">
        <v>3740</v>
      </c>
      <c r="G1272" s="3" t="s">
        <v>11449</v>
      </c>
      <c r="H1272" s="54">
        <v>0</v>
      </c>
      <c r="I1272" s="16">
        <v>470000000</v>
      </c>
      <c r="J1272" s="157" t="s">
        <v>229</v>
      </c>
      <c r="K1272" s="5" t="s">
        <v>210</v>
      </c>
      <c r="L1272" s="6" t="s">
        <v>231</v>
      </c>
      <c r="M1272" s="3" t="s">
        <v>230</v>
      </c>
      <c r="N1272" s="6" t="s">
        <v>524</v>
      </c>
      <c r="O1272" s="6" t="s">
        <v>233</v>
      </c>
      <c r="P1272" s="58" t="s">
        <v>247</v>
      </c>
      <c r="Q1272" s="6" t="s">
        <v>240</v>
      </c>
      <c r="R1272" s="18">
        <v>45</v>
      </c>
      <c r="S1272" s="2">
        <v>359000</v>
      </c>
      <c r="T1272" s="4">
        <v>0</v>
      </c>
      <c r="U1272" s="4">
        <f t="shared" si="46"/>
        <v>0</v>
      </c>
      <c r="V1272" s="3"/>
      <c r="W1272" s="3">
        <v>2014</v>
      </c>
      <c r="X1272" s="3" t="s">
        <v>12051</v>
      </c>
    </row>
    <row r="1273" spans="1:24" ht="102">
      <c r="A1273" s="3" t="s">
        <v>18107</v>
      </c>
      <c r="B1273" s="6" t="s">
        <v>361</v>
      </c>
      <c r="C1273" s="6" t="s">
        <v>3756</v>
      </c>
      <c r="D1273" s="6" t="s">
        <v>3755</v>
      </c>
      <c r="E1273" s="6" t="s">
        <v>3757</v>
      </c>
      <c r="F1273" s="6" t="s">
        <v>3740</v>
      </c>
      <c r="G1273" s="3" t="s">
        <v>11449</v>
      </c>
      <c r="H1273" s="54">
        <v>0</v>
      </c>
      <c r="I1273" s="16">
        <v>470000000</v>
      </c>
      <c r="J1273" s="157" t="s">
        <v>229</v>
      </c>
      <c r="K1273" s="5" t="s">
        <v>17401</v>
      </c>
      <c r="L1273" s="6" t="s">
        <v>231</v>
      </c>
      <c r="M1273" s="3" t="s">
        <v>230</v>
      </c>
      <c r="N1273" s="6" t="s">
        <v>18372</v>
      </c>
      <c r="O1273" s="6" t="s">
        <v>233</v>
      </c>
      <c r="P1273" s="58" t="s">
        <v>247</v>
      </c>
      <c r="Q1273" s="6" t="s">
        <v>240</v>
      </c>
      <c r="R1273" s="18">
        <v>90</v>
      </c>
      <c r="S1273" s="2">
        <v>398000</v>
      </c>
      <c r="T1273" s="4">
        <v>0</v>
      </c>
      <c r="U1273" s="4">
        <f t="shared" si="46"/>
        <v>0</v>
      </c>
      <c r="V1273" s="3"/>
      <c r="W1273" s="3">
        <v>2014</v>
      </c>
      <c r="X1273" s="3" t="s">
        <v>18908</v>
      </c>
    </row>
    <row r="1274" spans="1:24" ht="76.5">
      <c r="A1274" s="3" t="s">
        <v>19252</v>
      </c>
      <c r="B1274" s="6" t="s">
        <v>361</v>
      </c>
      <c r="C1274" s="6" t="s">
        <v>3756</v>
      </c>
      <c r="D1274" s="6" t="s">
        <v>3755</v>
      </c>
      <c r="E1274" s="6" t="s">
        <v>3757</v>
      </c>
      <c r="F1274" s="6" t="s">
        <v>3740</v>
      </c>
      <c r="G1274" s="3" t="s">
        <v>11449</v>
      </c>
      <c r="H1274" s="54">
        <v>0</v>
      </c>
      <c r="I1274" s="16">
        <v>470000000</v>
      </c>
      <c r="J1274" s="157" t="s">
        <v>229</v>
      </c>
      <c r="K1274" s="5" t="s">
        <v>19253</v>
      </c>
      <c r="L1274" s="17" t="s">
        <v>11411</v>
      </c>
      <c r="M1274" s="3" t="s">
        <v>230</v>
      </c>
      <c r="N1274" s="6" t="s">
        <v>19254</v>
      </c>
      <c r="O1274" s="6" t="s">
        <v>19407</v>
      </c>
      <c r="P1274" s="58" t="s">
        <v>247</v>
      </c>
      <c r="Q1274" s="6" t="s">
        <v>240</v>
      </c>
      <c r="R1274" s="18">
        <v>135</v>
      </c>
      <c r="S1274" s="2">
        <v>398000</v>
      </c>
      <c r="T1274" s="4">
        <f>R1274*S1274</f>
        <v>53730000</v>
      </c>
      <c r="U1274" s="4">
        <f t="shared" si="46"/>
        <v>60177600.000000007</v>
      </c>
      <c r="V1274" s="3"/>
      <c r="W1274" s="3">
        <v>2014</v>
      </c>
      <c r="X1274" s="3"/>
    </row>
    <row r="1275" spans="1:24" ht="102">
      <c r="A1275" s="3" t="s">
        <v>1100</v>
      </c>
      <c r="B1275" s="6" t="s">
        <v>361</v>
      </c>
      <c r="C1275" s="6" t="s">
        <v>3758</v>
      </c>
      <c r="D1275" s="6" t="s">
        <v>3759</v>
      </c>
      <c r="E1275" s="6" t="s">
        <v>177</v>
      </c>
      <c r="F1275" s="6" t="s">
        <v>3741</v>
      </c>
      <c r="G1275" s="3" t="s">
        <v>11450</v>
      </c>
      <c r="H1275" s="54">
        <v>0.7</v>
      </c>
      <c r="I1275" s="16">
        <v>470000000</v>
      </c>
      <c r="J1275" s="157" t="s">
        <v>229</v>
      </c>
      <c r="K1275" s="5" t="s">
        <v>215</v>
      </c>
      <c r="L1275" s="6" t="s">
        <v>231</v>
      </c>
      <c r="M1275" s="3" t="s">
        <v>230</v>
      </c>
      <c r="N1275" s="6" t="s">
        <v>524</v>
      </c>
      <c r="O1275" s="6" t="s">
        <v>233</v>
      </c>
      <c r="P1275" s="58" t="s">
        <v>248</v>
      </c>
      <c r="Q1275" s="6" t="s">
        <v>249</v>
      </c>
      <c r="R1275" s="4">
        <v>3000</v>
      </c>
      <c r="S1275" s="2">
        <v>200</v>
      </c>
      <c r="T1275" s="4">
        <v>0</v>
      </c>
      <c r="U1275" s="4">
        <f t="shared" si="46"/>
        <v>0</v>
      </c>
      <c r="V1275" s="3" t="s">
        <v>362</v>
      </c>
      <c r="W1275" s="3">
        <v>2014</v>
      </c>
      <c r="X1275" s="3">
        <v>11.12</v>
      </c>
    </row>
    <row r="1276" spans="1:24" ht="89.25">
      <c r="A1276" s="3" t="s">
        <v>12243</v>
      </c>
      <c r="B1276" s="6" t="s">
        <v>361</v>
      </c>
      <c r="C1276" s="6" t="s">
        <v>3758</v>
      </c>
      <c r="D1276" s="6" t="s">
        <v>3759</v>
      </c>
      <c r="E1276" s="6" t="s">
        <v>177</v>
      </c>
      <c r="F1276" s="6" t="s">
        <v>3741</v>
      </c>
      <c r="G1276" s="3" t="s">
        <v>11450</v>
      </c>
      <c r="H1276" s="54">
        <v>0.7</v>
      </c>
      <c r="I1276" s="16">
        <v>470000000</v>
      </c>
      <c r="J1276" s="157" t="s">
        <v>229</v>
      </c>
      <c r="K1276" s="5" t="s">
        <v>12244</v>
      </c>
      <c r="L1276" s="17" t="s">
        <v>11411</v>
      </c>
      <c r="M1276" s="3" t="s">
        <v>230</v>
      </c>
      <c r="N1276" s="6" t="s">
        <v>524</v>
      </c>
      <c r="O1276" s="6" t="s">
        <v>233</v>
      </c>
      <c r="P1276" s="58" t="s">
        <v>248</v>
      </c>
      <c r="Q1276" s="6" t="s">
        <v>249</v>
      </c>
      <c r="R1276" s="4">
        <v>3000</v>
      </c>
      <c r="S1276" s="2">
        <v>200</v>
      </c>
      <c r="T1276" s="4">
        <v>0</v>
      </c>
      <c r="U1276" s="4">
        <f t="shared" si="46"/>
        <v>0</v>
      </c>
      <c r="V1276" s="3" t="s">
        <v>362</v>
      </c>
      <c r="W1276" s="3">
        <v>2014</v>
      </c>
      <c r="X1276" s="3" t="s">
        <v>14132</v>
      </c>
    </row>
    <row r="1277" spans="1:24" ht="89.25">
      <c r="A1277" s="3" t="s">
        <v>14552</v>
      </c>
      <c r="B1277" s="6" t="s">
        <v>361</v>
      </c>
      <c r="C1277" s="6" t="s">
        <v>3758</v>
      </c>
      <c r="D1277" s="6" t="s">
        <v>3759</v>
      </c>
      <c r="E1277" s="6" t="s">
        <v>177</v>
      </c>
      <c r="F1277" s="6" t="s">
        <v>3741</v>
      </c>
      <c r="G1277" s="3" t="s">
        <v>11450</v>
      </c>
      <c r="H1277" s="54">
        <v>0.7</v>
      </c>
      <c r="I1277" s="16">
        <v>470000000</v>
      </c>
      <c r="J1277" s="157" t="s">
        <v>229</v>
      </c>
      <c r="K1277" s="5" t="s">
        <v>12244</v>
      </c>
      <c r="L1277" s="17" t="s">
        <v>11411</v>
      </c>
      <c r="M1277" s="3" t="s">
        <v>230</v>
      </c>
      <c r="N1277" s="6" t="s">
        <v>524</v>
      </c>
      <c r="O1277" s="6" t="s">
        <v>233</v>
      </c>
      <c r="P1277" s="58" t="s">
        <v>248</v>
      </c>
      <c r="Q1277" s="6" t="s">
        <v>249</v>
      </c>
      <c r="R1277" s="4">
        <v>3333</v>
      </c>
      <c r="S1277" s="2">
        <v>240</v>
      </c>
      <c r="T1277" s="4">
        <f>R1277*S1277</f>
        <v>799920</v>
      </c>
      <c r="U1277" s="4">
        <f t="shared" si="46"/>
        <v>895910.40000000014</v>
      </c>
      <c r="V1277" s="3" t="s">
        <v>362</v>
      </c>
      <c r="W1277" s="3">
        <v>2014</v>
      </c>
      <c r="X1277" s="3"/>
    </row>
    <row r="1278" spans="1:24" ht="102">
      <c r="A1278" s="3" t="s">
        <v>1101</v>
      </c>
      <c r="B1278" s="6" t="s">
        <v>361</v>
      </c>
      <c r="C1278" s="6" t="s">
        <v>3760</v>
      </c>
      <c r="D1278" s="6" t="s">
        <v>3759</v>
      </c>
      <c r="E1278" s="6" t="s">
        <v>3761</v>
      </c>
      <c r="F1278" s="6" t="s">
        <v>3742</v>
      </c>
      <c r="G1278" s="3" t="s">
        <v>11450</v>
      </c>
      <c r="H1278" s="54">
        <v>0.7</v>
      </c>
      <c r="I1278" s="16">
        <v>470000000</v>
      </c>
      <c r="J1278" s="157" t="s">
        <v>229</v>
      </c>
      <c r="K1278" s="5" t="s">
        <v>210</v>
      </c>
      <c r="L1278" s="6" t="s">
        <v>231</v>
      </c>
      <c r="M1278" s="3" t="s">
        <v>230</v>
      </c>
      <c r="N1278" s="6" t="s">
        <v>524</v>
      </c>
      <c r="O1278" s="6" t="s">
        <v>233</v>
      </c>
      <c r="P1278" s="58" t="s">
        <v>248</v>
      </c>
      <c r="Q1278" s="6" t="s">
        <v>249</v>
      </c>
      <c r="R1278" s="4">
        <v>6000</v>
      </c>
      <c r="S1278" s="2">
        <v>200</v>
      </c>
      <c r="T1278" s="4">
        <v>0</v>
      </c>
      <c r="U1278" s="4">
        <f t="shared" si="46"/>
        <v>0</v>
      </c>
      <c r="V1278" s="3" t="s">
        <v>362</v>
      </c>
      <c r="W1278" s="3">
        <v>2014</v>
      </c>
      <c r="X1278" s="3" t="s">
        <v>12062</v>
      </c>
    </row>
    <row r="1279" spans="1:24" ht="102">
      <c r="A1279" s="3" t="s">
        <v>14553</v>
      </c>
      <c r="B1279" s="6" t="s">
        <v>361</v>
      </c>
      <c r="C1279" s="6" t="s">
        <v>3760</v>
      </c>
      <c r="D1279" s="6" t="s">
        <v>3759</v>
      </c>
      <c r="E1279" s="6" t="s">
        <v>3761</v>
      </c>
      <c r="F1279" s="6" t="s">
        <v>3742</v>
      </c>
      <c r="G1279" s="3" t="s">
        <v>11450</v>
      </c>
      <c r="H1279" s="54">
        <v>0.7</v>
      </c>
      <c r="I1279" s="16">
        <v>470000000</v>
      </c>
      <c r="J1279" s="157" t="s">
        <v>229</v>
      </c>
      <c r="K1279" s="5" t="s">
        <v>210</v>
      </c>
      <c r="L1279" s="6" t="s">
        <v>231</v>
      </c>
      <c r="M1279" s="3" t="s">
        <v>230</v>
      </c>
      <c r="N1279" s="6" t="s">
        <v>524</v>
      </c>
      <c r="O1279" s="6" t="s">
        <v>233</v>
      </c>
      <c r="P1279" s="58" t="s">
        <v>248</v>
      </c>
      <c r="Q1279" s="6" t="s">
        <v>249</v>
      </c>
      <c r="R1279" s="4">
        <v>3750</v>
      </c>
      <c r="S1279" s="2">
        <v>200</v>
      </c>
      <c r="T1279" s="4">
        <v>0</v>
      </c>
      <c r="U1279" s="4">
        <f t="shared" si="46"/>
        <v>0</v>
      </c>
      <c r="V1279" s="3" t="s">
        <v>362</v>
      </c>
      <c r="W1279" s="3">
        <v>2014</v>
      </c>
      <c r="X1279" s="3" t="s">
        <v>18098</v>
      </c>
    </row>
    <row r="1280" spans="1:24" ht="102">
      <c r="A1280" s="3" t="s">
        <v>18108</v>
      </c>
      <c r="B1280" s="6" t="s">
        <v>361</v>
      </c>
      <c r="C1280" s="6" t="s">
        <v>3760</v>
      </c>
      <c r="D1280" s="6" t="s">
        <v>3759</v>
      </c>
      <c r="E1280" s="6" t="s">
        <v>3761</v>
      </c>
      <c r="F1280" s="6" t="s">
        <v>3742</v>
      </c>
      <c r="G1280" s="3" t="s">
        <v>11450</v>
      </c>
      <c r="H1280" s="54">
        <v>0.7</v>
      </c>
      <c r="I1280" s="16">
        <v>470000000</v>
      </c>
      <c r="J1280" s="157" t="s">
        <v>229</v>
      </c>
      <c r="K1280" s="5" t="s">
        <v>17401</v>
      </c>
      <c r="L1280" s="6" t="s">
        <v>231</v>
      </c>
      <c r="M1280" s="3" t="s">
        <v>230</v>
      </c>
      <c r="N1280" s="6" t="s">
        <v>528</v>
      </c>
      <c r="O1280" s="6" t="s">
        <v>233</v>
      </c>
      <c r="P1280" s="58" t="s">
        <v>248</v>
      </c>
      <c r="Q1280" s="6" t="s">
        <v>249</v>
      </c>
      <c r="R1280" s="4">
        <v>3977</v>
      </c>
      <c r="S1280" s="2">
        <v>200</v>
      </c>
      <c r="T1280" s="4">
        <f>R1280*S1280</f>
        <v>795400</v>
      </c>
      <c r="U1280" s="4">
        <f t="shared" si="46"/>
        <v>890848.00000000012</v>
      </c>
      <c r="V1280" s="3" t="s">
        <v>362</v>
      </c>
      <c r="W1280" s="3">
        <v>2014</v>
      </c>
      <c r="X1280" s="3"/>
    </row>
    <row r="1281" spans="1:24" ht="102">
      <c r="A1281" s="3" t="s">
        <v>1102</v>
      </c>
      <c r="B1281" s="6" t="s">
        <v>361</v>
      </c>
      <c r="C1281" s="6" t="s">
        <v>3762</v>
      </c>
      <c r="D1281" s="6" t="s">
        <v>3763</v>
      </c>
      <c r="E1281" s="6" t="s">
        <v>3764</v>
      </c>
      <c r="F1281" s="6" t="s">
        <v>3743</v>
      </c>
      <c r="G1281" s="3" t="s">
        <v>11450</v>
      </c>
      <c r="H1281" s="54">
        <v>0.7</v>
      </c>
      <c r="I1281" s="16">
        <v>470000000</v>
      </c>
      <c r="J1281" s="157" t="s">
        <v>229</v>
      </c>
      <c r="K1281" s="5" t="s">
        <v>210</v>
      </c>
      <c r="L1281" s="6" t="s">
        <v>231</v>
      </c>
      <c r="M1281" s="3" t="s">
        <v>230</v>
      </c>
      <c r="N1281" s="6" t="s">
        <v>524</v>
      </c>
      <c r="O1281" s="6" t="s">
        <v>233</v>
      </c>
      <c r="P1281" s="58" t="s">
        <v>248</v>
      </c>
      <c r="Q1281" s="6" t="s">
        <v>249</v>
      </c>
      <c r="R1281" s="18">
        <v>500</v>
      </c>
      <c r="S1281" s="2">
        <v>120</v>
      </c>
      <c r="T1281" s="4">
        <v>0</v>
      </c>
      <c r="U1281" s="4">
        <f t="shared" si="46"/>
        <v>0</v>
      </c>
      <c r="V1281" s="3" t="s">
        <v>362</v>
      </c>
      <c r="W1281" s="3">
        <v>2014</v>
      </c>
      <c r="X1281" s="3" t="s">
        <v>14132</v>
      </c>
    </row>
    <row r="1282" spans="1:24" ht="102">
      <c r="A1282" s="3" t="s">
        <v>14555</v>
      </c>
      <c r="B1282" s="6" t="s">
        <v>361</v>
      </c>
      <c r="C1282" s="6" t="s">
        <v>3762</v>
      </c>
      <c r="D1282" s="6" t="s">
        <v>3763</v>
      </c>
      <c r="E1282" s="6" t="s">
        <v>3764</v>
      </c>
      <c r="F1282" s="6" t="s">
        <v>3743</v>
      </c>
      <c r="G1282" s="3" t="s">
        <v>11450</v>
      </c>
      <c r="H1282" s="54">
        <v>0.7</v>
      </c>
      <c r="I1282" s="16">
        <v>470000000</v>
      </c>
      <c r="J1282" s="157" t="s">
        <v>229</v>
      </c>
      <c r="K1282" s="5" t="s">
        <v>210</v>
      </c>
      <c r="L1282" s="6" t="s">
        <v>231</v>
      </c>
      <c r="M1282" s="3" t="s">
        <v>230</v>
      </c>
      <c r="N1282" s="6" t="s">
        <v>524</v>
      </c>
      <c r="O1282" s="6" t="s">
        <v>233</v>
      </c>
      <c r="P1282" s="58" t="s">
        <v>248</v>
      </c>
      <c r="Q1282" s="6" t="s">
        <v>249</v>
      </c>
      <c r="R1282" s="18">
        <v>6250</v>
      </c>
      <c r="S1282" s="2">
        <v>144</v>
      </c>
      <c r="T1282" s="4">
        <f>R1282*S1282</f>
        <v>900000</v>
      </c>
      <c r="U1282" s="4">
        <f t="shared" si="46"/>
        <v>1008000.0000000001</v>
      </c>
      <c r="V1282" s="3" t="s">
        <v>362</v>
      </c>
      <c r="W1282" s="3">
        <v>2014</v>
      </c>
      <c r="X1282" s="3"/>
    </row>
    <row r="1283" spans="1:24" ht="102">
      <c r="A1283" s="3" t="s">
        <v>1103</v>
      </c>
      <c r="B1283" s="6" t="s">
        <v>361</v>
      </c>
      <c r="C1283" s="6" t="s">
        <v>3765</v>
      </c>
      <c r="D1283" s="6" t="s">
        <v>3766</v>
      </c>
      <c r="E1283" s="6" t="s">
        <v>3767</v>
      </c>
      <c r="F1283" s="6" t="s">
        <v>3744</v>
      </c>
      <c r="G1283" s="3" t="s">
        <v>11450</v>
      </c>
      <c r="H1283" s="54">
        <v>0</v>
      </c>
      <c r="I1283" s="16">
        <v>470000000</v>
      </c>
      <c r="J1283" s="157" t="s">
        <v>229</v>
      </c>
      <c r="K1283" s="5" t="s">
        <v>215</v>
      </c>
      <c r="L1283" s="6" t="s">
        <v>231</v>
      </c>
      <c r="M1283" s="3" t="s">
        <v>230</v>
      </c>
      <c r="N1283" s="6" t="s">
        <v>524</v>
      </c>
      <c r="O1283" s="6" t="s">
        <v>233</v>
      </c>
      <c r="P1283" s="58" t="s">
        <v>243</v>
      </c>
      <c r="Q1283" s="6" t="s">
        <v>244</v>
      </c>
      <c r="R1283" s="4">
        <v>900</v>
      </c>
      <c r="S1283" s="2">
        <v>300</v>
      </c>
      <c r="T1283" s="4">
        <v>0</v>
      </c>
      <c r="U1283" s="4">
        <f t="shared" si="46"/>
        <v>0</v>
      </c>
      <c r="V1283" s="3" t="s">
        <v>362</v>
      </c>
      <c r="W1283" s="3">
        <v>2014</v>
      </c>
      <c r="X1283" s="3">
        <v>11.12</v>
      </c>
    </row>
    <row r="1284" spans="1:24" ht="89.25">
      <c r="A1284" s="3" t="s">
        <v>12245</v>
      </c>
      <c r="B1284" s="6" t="s">
        <v>361</v>
      </c>
      <c r="C1284" s="6" t="s">
        <v>3765</v>
      </c>
      <c r="D1284" s="6" t="s">
        <v>3766</v>
      </c>
      <c r="E1284" s="6" t="s">
        <v>3767</v>
      </c>
      <c r="F1284" s="6" t="s">
        <v>3744</v>
      </c>
      <c r="G1284" s="3" t="s">
        <v>11450</v>
      </c>
      <c r="H1284" s="54">
        <v>0</v>
      </c>
      <c r="I1284" s="16">
        <v>470000000</v>
      </c>
      <c r="J1284" s="157" t="s">
        <v>229</v>
      </c>
      <c r="K1284" s="5" t="s">
        <v>12120</v>
      </c>
      <c r="L1284" s="17" t="s">
        <v>11411</v>
      </c>
      <c r="M1284" s="3" t="s">
        <v>230</v>
      </c>
      <c r="N1284" s="6" t="s">
        <v>524</v>
      </c>
      <c r="O1284" s="6" t="s">
        <v>233</v>
      </c>
      <c r="P1284" s="58" t="s">
        <v>243</v>
      </c>
      <c r="Q1284" s="6" t="s">
        <v>244</v>
      </c>
      <c r="R1284" s="4">
        <v>900</v>
      </c>
      <c r="S1284" s="2">
        <v>360</v>
      </c>
      <c r="T1284" s="4">
        <v>0</v>
      </c>
      <c r="U1284" s="4">
        <f t="shared" si="46"/>
        <v>0</v>
      </c>
      <c r="V1284" s="3" t="s">
        <v>362</v>
      </c>
      <c r="W1284" s="3">
        <v>2014</v>
      </c>
      <c r="X1284" s="3" t="s">
        <v>12076</v>
      </c>
    </row>
    <row r="1285" spans="1:24" ht="153">
      <c r="A1285" s="3" t="s">
        <v>1104</v>
      </c>
      <c r="B1285" s="6" t="s">
        <v>361</v>
      </c>
      <c r="C1285" s="6" t="s">
        <v>3768</v>
      </c>
      <c r="D1285" s="6" t="s">
        <v>3769</v>
      </c>
      <c r="E1285" s="6" t="s">
        <v>3770</v>
      </c>
      <c r="F1285" s="6" t="s">
        <v>178</v>
      </c>
      <c r="G1285" s="3" t="s">
        <v>11450</v>
      </c>
      <c r="H1285" s="54">
        <v>0</v>
      </c>
      <c r="I1285" s="16">
        <v>470000000</v>
      </c>
      <c r="J1285" s="157" t="s">
        <v>229</v>
      </c>
      <c r="K1285" s="5" t="s">
        <v>215</v>
      </c>
      <c r="L1285" s="6" t="s">
        <v>231</v>
      </c>
      <c r="M1285" s="3" t="s">
        <v>230</v>
      </c>
      <c r="N1285" s="6" t="s">
        <v>524</v>
      </c>
      <c r="O1285" s="6" t="s">
        <v>233</v>
      </c>
      <c r="P1285" s="58" t="s">
        <v>247</v>
      </c>
      <c r="Q1285" s="6" t="s">
        <v>240</v>
      </c>
      <c r="R1285" s="18">
        <v>8.1</v>
      </c>
      <c r="S1285" s="2">
        <v>610000</v>
      </c>
      <c r="T1285" s="4">
        <v>0</v>
      </c>
      <c r="U1285" s="4">
        <f t="shared" si="46"/>
        <v>0</v>
      </c>
      <c r="V1285" s="3" t="s">
        <v>362</v>
      </c>
      <c r="W1285" s="3">
        <v>2014</v>
      </c>
      <c r="X1285" s="3">
        <v>11.12</v>
      </c>
    </row>
    <row r="1286" spans="1:24" ht="153">
      <c r="A1286" s="3" t="s">
        <v>12246</v>
      </c>
      <c r="B1286" s="6" t="s">
        <v>361</v>
      </c>
      <c r="C1286" s="6" t="s">
        <v>3768</v>
      </c>
      <c r="D1286" s="6" t="s">
        <v>3769</v>
      </c>
      <c r="E1286" s="6" t="s">
        <v>3770</v>
      </c>
      <c r="F1286" s="6" t="s">
        <v>178</v>
      </c>
      <c r="G1286" s="3" t="s">
        <v>11450</v>
      </c>
      <c r="H1286" s="54">
        <v>0</v>
      </c>
      <c r="I1286" s="16">
        <v>470000000</v>
      </c>
      <c r="J1286" s="157" t="s">
        <v>229</v>
      </c>
      <c r="K1286" s="5" t="s">
        <v>12120</v>
      </c>
      <c r="L1286" s="17" t="s">
        <v>11411</v>
      </c>
      <c r="M1286" s="3" t="s">
        <v>230</v>
      </c>
      <c r="N1286" s="6" t="s">
        <v>524</v>
      </c>
      <c r="O1286" s="6" t="s">
        <v>233</v>
      </c>
      <c r="P1286" s="58" t="s">
        <v>247</v>
      </c>
      <c r="Q1286" s="6" t="s">
        <v>240</v>
      </c>
      <c r="R1286" s="18">
        <v>8.1</v>
      </c>
      <c r="S1286" s="2">
        <v>610000</v>
      </c>
      <c r="T1286" s="4">
        <v>0</v>
      </c>
      <c r="U1286" s="4">
        <f t="shared" si="46"/>
        <v>0</v>
      </c>
      <c r="V1286" s="3" t="s">
        <v>362</v>
      </c>
      <c r="W1286" s="3">
        <v>2014</v>
      </c>
      <c r="X1286" s="3" t="s">
        <v>14132</v>
      </c>
    </row>
    <row r="1287" spans="1:24" ht="153">
      <c r="A1287" s="3" t="s">
        <v>14554</v>
      </c>
      <c r="B1287" s="6" t="s">
        <v>361</v>
      </c>
      <c r="C1287" s="6" t="s">
        <v>3768</v>
      </c>
      <c r="D1287" s="6" t="s">
        <v>3769</v>
      </c>
      <c r="E1287" s="6" t="s">
        <v>3770</v>
      </c>
      <c r="F1287" s="6" t="s">
        <v>178</v>
      </c>
      <c r="G1287" s="3" t="s">
        <v>11450</v>
      </c>
      <c r="H1287" s="54">
        <v>0</v>
      </c>
      <c r="I1287" s="16">
        <v>470000000</v>
      </c>
      <c r="J1287" s="157" t="s">
        <v>229</v>
      </c>
      <c r="K1287" s="5" t="s">
        <v>12120</v>
      </c>
      <c r="L1287" s="17" t="s">
        <v>11411</v>
      </c>
      <c r="M1287" s="3" t="s">
        <v>230</v>
      </c>
      <c r="N1287" s="6" t="s">
        <v>524</v>
      </c>
      <c r="O1287" s="6" t="s">
        <v>233</v>
      </c>
      <c r="P1287" s="58" t="s">
        <v>247</v>
      </c>
      <c r="Q1287" s="6" t="s">
        <v>240</v>
      </c>
      <c r="R1287" s="18">
        <v>2</v>
      </c>
      <c r="S1287" s="2">
        <v>732000</v>
      </c>
      <c r="T1287" s="4">
        <v>0</v>
      </c>
      <c r="U1287" s="4">
        <f t="shared" si="46"/>
        <v>0</v>
      </c>
      <c r="V1287" s="3" t="s">
        <v>362</v>
      </c>
      <c r="W1287" s="3">
        <v>2014</v>
      </c>
      <c r="X1287" s="3">
        <v>11.14</v>
      </c>
    </row>
    <row r="1288" spans="1:24" ht="153">
      <c r="A1288" s="3" t="s">
        <v>18324</v>
      </c>
      <c r="B1288" s="6" t="s">
        <v>361</v>
      </c>
      <c r="C1288" s="6" t="s">
        <v>3768</v>
      </c>
      <c r="D1288" s="6" t="s">
        <v>3769</v>
      </c>
      <c r="E1288" s="6" t="s">
        <v>3770</v>
      </c>
      <c r="F1288" s="6" t="s">
        <v>178</v>
      </c>
      <c r="G1288" s="3" t="s">
        <v>11450</v>
      </c>
      <c r="H1288" s="54">
        <v>0</v>
      </c>
      <c r="I1288" s="16">
        <v>470000000</v>
      </c>
      <c r="J1288" s="157" t="s">
        <v>229</v>
      </c>
      <c r="K1288" s="5" t="s">
        <v>8950</v>
      </c>
      <c r="L1288" s="17" t="s">
        <v>11411</v>
      </c>
      <c r="M1288" s="3" t="s">
        <v>230</v>
      </c>
      <c r="N1288" s="6" t="s">
        <v>8914</v>
      </c>
      <c r="O1288" s="6" t="s">
        <v>233</v>
      </c>
      <c r="P1288" s="58" t="s">
        <v>247</v>
      </c>
      <c r="Q1288" s="6" t="s">
        <v>240</v>
      </c>
      <c r="R1288" s="18">
        <v>2</v>
      </c>
      <c r="S1288" s="2">
        <v>732000</v>
      </c>
      <c r="T1288" s="4">
        <f>R1288*S1288</f>
        <v>1464000</v>
      </c>
      <c r="U1288" s="4">
        <f t="shared" si="46"/>
        <v>1639680.0000000002</v>
      </c>
      <c r="V1288" s="3" t="s">
        <v>362</v>
      </c>
      <c r="W1288" s="3">
        <v>2014</v>
      </c>
      <c r="X1288" s="3"/>
    </row>
    <row r="1289" spans="1:24" ht="102">
      <c r="A1289" s="3" t="s">
        <v>1105</v>
      </c>
      <c r="B1289" s="6" t="s">
        <v>361</v>
      </c>
      <c r="C1289" s="6" t="s">
        <v>3771</v>
      </c>
      <c r="D1289" s="6" t="s">
        <v>3585</v>
      </c>
      <c r="E1289" s="6" t="s">
        <v>3772</v>
      </c>
      <c r="F1289" s="6" t="s">
        <v>179</v>
      </c>
      <c r="G1289" s="3" t="s">
        <v>11450</v>
      </c>
      <c r="H1289" s="54">
        <v>0</v>
      </c>
      <c r="I1289" s="16">
        <v>470000000</v>
      </c>
      <c r="J1289" s="157" t="s">
        <v>229</v>
      </c>
      <c r="K1289" s="5" t="s">
        <v>210</v>
      </c>
      <c r="L1289" s="6" t="s">
        <v>231</v>
      </c>
      <c r="M1289" s="3" t="s">
        <v>230</v>
      </c>
      <c r="N1289" s="6" t="s">
        <v>524</v>
      </c>
      <c r="O1289" s="6" t="s">
        <v>233</v>
      </c>
      <c r="P1289" s="58" t="s">
        <v>243</v>
      </c>
      <c r="Q1289" s="6" t="s">
        <v>244</v>
      </c>
      <c r="R1289" s="4">
        <v>1000</v>
      </c>
      <c r="S1289" s="2">
        <v>970</v>
      </c>
      <c r="T1289" s="4">
        <v>0</v>
      </c>
      <c r="U1289" s="4">
        <f t="shared" si="46"/>
        <v>0</v>
      </c>
      <c r="V1289" s="3" t="s">
        <v>362</v>
      </c>
      <c r="W1289" s="3">
        <v>2014</v>
      </c>
      <c r="X1289" s="3" t="s">
        <v>14132</v>
      </c>
    </row>
    <row r="1290" spans="1:24" ht="102">
      <c r="A1290" s="3" t="s">
        <v>14556</v>
      </c>
      <c r="B1290" s="6" t="s">
        <v>361</v>
      </c>
      <c r="C1290" s="6" t="s">
        <v>3771</v>
      </c>
      <c r="D1290" s="6" t="s">
        <v>3585</v>
      </c>
      <c r="E1290" s="6" t="s">
        <v>3772</v>
      </c>
      <c r="F1290" s="6" t="s">
        <v>179</v>
      </c>
      <c r="G1290" s="3" t="s">
        <v>11450</v>
      </c>
      <c r="H1290" s="54">
        <v>0</v>
      </c>
      <c r="I1290" s="16">
        <v>470000000</v>
      </c>
      <c r="J1290" s="157" t="s">
        <v>229</v>
      </c>
      <c r="K1290" s="5" t="s">
        <v>210</v>
      </c>
      <c r="L1290" s="6" t="s">
        <v>231</v>
      </c>
      <c r="M1290" s="3" t="s">
        <v>230</v>
      </c>
      <c r="N1290" s="6" t="s">
        <v>524</v>
      </c>
      <c r="O1290" s="6" t="s">
        <v>233</v>
      </c>
      <c r="P1290" s="58" t="s">
        <v>243</v>
      </c>
      <c r="Q1290" s="6" t="s">
        <v>244</v>
      </c>
      <c r="R1290" s="4">
        <v>6700.3</v>
      </c>
      <c r="S1290" s="2">
        <v>1164</v>
      </c>
      <c r="T1290" s="4">
        <v>0</v>
      </c>
      <c r="U1290" s="4">
        <f t="shared" si="46"/>
        <v>0</v>
      </c>
      <c r="V1290" s="3" t="s">
        <v>362</v>
      </c>
      <c r="W1290" s="3">
        <v>2014</v>
      </c>
      <c r="X1290" s="6" t="s">
        <v>17419</v>
      </c>
    </row>
    <row r="1291" spans="1:24" ht="102">
      <c r="A1291" s="3" t="s">
        <v>18323</v>
      </c>
      <c r="B1291" s="6" t="s">
        <v>361</v>
      </c>
      <c r="C1291" s="6" t="s">
        <v>3771</v>
      </c>
      <c r="D1291" s="6" t="s">
        <v>3585</v>
      </c>
      <c r="E1291" s="6" t="s">
        <v>3772</v>
      </c>
      <c r="F1291" s="6" t="s">
        <v>179</v>
      </c>
      <c r="G1291" s="3" t="s">
        <v>11449</v>
      </c>
      <c r="H1291" s="54">
        <v>0</v>
      </c>
      <c r="I1291" s="16">
        <v>470000000</v>
      </c>
      <c r="J1291" s="157" t="s">
        <v>229</v>
      </c>
      <c r="K1291" s="5" t="s">
        <v>8950</v>
      </c>
      <c r="L1291" s="6" t="s">
        <v>231</v>
      </c>
      <c r="M1291" s="3" t="s">
        <v>230</v>
      </c>
      <c r="N1291" s="6" t="s">
        <v>8914</v>
      </c>
      <c r="O1291" s="6" t="s">
        <v>233</v>
      </c>
      <c r="P1291" s="58" t="s">
        <v>243</v>
      </c>
      <c r="Q1291" s="6" t="s">
        <v>244</v>
      </c>
      <c r="R1291" s="4">
        <v>7100</v>
      </c>
      <c r="S1291" s="2">
        <v>1164</v>
      </c>
      <c r="T1291" s="4">
        <f>R1291*S1291</f>
        <v>8264400</v>
      </c>
      <c r="U1291" s="4">
        <f t="shared" si="46"/>
        <v>9256128</v>
      </c>
      <c r="V1291" s="3" t="s">
        <v>362</v>
      </c>
      <c r="W1291" s="3">
        <v>2014</v>
      </c>
      <c r="X1291" s="3"/>
    </row>
    <row r="1292" spans="1:24" ht="102">
      <c r="A1292" s="3" t="s">
        <v>1106</v>
      </c>
      <c r="B1292" s="6" t="s">
        <v>361</v>
      </c>
      <c r="C1292" s="6" t="s">
        <v>3773</v>
      </c>
      <c r="D1292" s="6" t="s">
        <v>3774</v>
      </c>
      <c r="E1292" s="6" t="s">
        <v>11520</v>
      </c>
      <c r="F1292" s="6" t="s">
        <v>3745</v>
      </c>
      <c r="G1292" s="3" t="s">
        <v>11449</v>
      </c>
      <c r="H1292" s="54">
        <v>0</v>
      </c>
      <c r="I1292" s="16">
        <v>470000000</v>
      </c>
      <c r="J1292" s="157" t="s">
        <v>229</v>
      </c>
      <c r="K1292" s="5" t="s">
        <v>214</v>
      </c>
      <c r="L1292" s="6" t="s">
        <v>231</v>
      </c>
      <c r="M1292" s="3" t="s">
        <v>230</v>
      </c>
      <c r="N1292" s="6" t="s">
        <v>524</v>
      </c>
      <c r="O1292" s="6" t="s">
        <v>233</v>
      </c>
      <c r="P1292" s="58" t="s">
        <v>247</v>
      </c>
      <c r="Q1292" s="6" t="s">
        <v>240</v>
      </c>
      <c r="R1292" s="18">
        <v>250</v>
      </c>
      <c r="S1292" s="2">
        <v>85600</v>
      </c>
      <c r="T1292" s="4">
        <v>0</v>
      </c>
      <c r="U1292" s="4">
        <f t="shared" si="46"/>
        <v>0</v>
      </c>
      <c r="V1292" s="3" t="s">
        <v>362</v>
      </c>
      <c r="W1292" s="3">
        <v>2014</v>
      </c>
      <c r="X1292" s="3" t="s">
        <v>12037</v>
      </c>
    </row>
    <row r="1293" spans="1:24" ht="102">
      <c r="A1293" s="3" t="s">
        <v>12247</v>
      </c>
      <c r="B1293" s="6" t="s">
        <v>361</v>
      </c>
      <c r="C1293" s="6" t="s">
        <v>3773</v>
      </c>
      <c r="D1293" s="6" t="s">
        <v>3774</v>
      </c>
      <c r="E1293" s="6" t="s">
        <v>11520</v>
      </c>
      <c r="F1293" s="6" t="s">
        <v>3745</v>
      </c>
      <c r="G1293" s="3" t="s">
        <v>11449</v>
      </c>
      <c r="H1293" s="54">
        <v>0</v>
      </c>
      <c r="I1293" s="16">
        <v>470000000</v>
      </c>
      <c r="J1293" s="157" t="s">
        <v>229</v>
      </c>
      <c r="K1293" s="5" t="s">
        <v>12248</v>
      </c>
      <c r="L1293" s="17" t="s">
        <v>11411</v>
      </c>
      <c r="M1293" s="3" t="s">
        <v>230</v>
      </c>
      <c r="N1293" s="6" t="s">
        <v>524</v>
      </c>
      <c r="O1293" s="6" t="s">
        <v>233</v>
      </c>
      <c r="P1293" s="58" t="s">
        <v>247</v>
      </c>
      <c r="Q1293" s="6" t="s">
        <v>240</v>
      </c>
      <c r="R1293" s="18">
        <v>250</v>
      </c>
      <c r="S1293" s="2">
        <v>85600</v>
      </c>
      <c r="T1293" s="4">
        <v>0</v>
      </c>
      <c r="U1293" s="4">
        <f t="shared" si="46"/>
        <v>0</v>
      </c>
      <c r="V1293" s="3"/>
      <c r="W1293" s="3">
        <v>2014</v>
      </c>
      <c r="X1293" s="6" t="s">
        <v>18371</v>
      </c>
    </row>
    <row r="1294" spans="1:24" ht="102">
      <c r="A1294" s="3" t="s">
        <v>18322</v>
      </c>
      <c r="B1294" s="6" t="s">
        <v>361</v>
      </c>
      <c r="C1294" s="6" t="s">
        <v>3773</v>
      </c>
      <c r="D1294" s="6" t="s">
        <v>3774</v>
      </c>
      <c r="E1294" s="6" t="s">
        <v>11520</v>
      </c>
      <c r="F1294" s="6" t="s">
        <v>3745</v>
      </c>
      <c r="G1294" s="3" t="s">
        <v>11449</v>
      </c>
      <c r="H1294" s="54">
        <v>0</v>
      </c>
      <c r="I1294" s="16">
        <v>470000000</v>
      </c>
      <c r="J1294" s="157" t="s">
        <v>229</v>
      </c>
      <c r="K1294" s="5" t="s">
        <v>8950</v>
      </c>
      <c r="L1294" s="17" t="s">
        <v>11411</v>
      </c>
      <c r="M1294" s="3" t="s">
        <v>230</v>
      </c>
      <c r="N1294" s="6" t="s">
        <v>8914</v>
      </c>
      <c r="O1294" s="6" t="s">
        <v>233</v>
      </c>
      <c r="P1294" s="58" t="s">
        <v>247</v>
      </c>
      <c r="Q1294" s="6" t="s">
        <v>240</v>
      </c>
      <c r="R1294" s="18">
        <v>187.5</v>
      </c>
      <c r="S1294" s="2">
        <v>140000</v>
      </c>
      <c r="T1294" s="4">
        <v>0</v>
      </c>
      <c r="U1294" s="4">
        <f t="shared" si="46"/>
        <v>0</v>
      </c>
      <c r="V1294" s="3"/>
      <c r="W1294" s="3">
        <v>2014</v>
      </c>
      <c r="X1294" s="3">
        <v>11</v>
      </c>
    </row>
    <row r="1295" spans="1:24" ht="102">
      <c r="A1295" s="3" t="s">
        <v>19290</v>
      </c>
      <c r="B1295" s="6" t="s">
        <v>361</v>
      </c>
      <c r="C1295" s="6" t="s">
        <v>3773</v>
      </c>
      <c r="D1295" s="6" t="s">
        <v>3774</v>
      </c>
      <c r="E1295" s="6" t="s">
        <v>11520</v>
      </c>
      <c r="F1295" s="6" t="s">
        <v>3745</v>
      </c>
      <c r="G1295" s="3" t="s">
        <v>11449</v>
      </c>
      <c r="H1295" s="54">
        <v>0</v>
      </c>
      <c r="I1295" s="16">
        <v>470000000</v>
      </c>
      <c r="J1295" s="157" t="s">
        <v>229</v>
      </c>
      <c r="K1295" s="5" t="s">
        <v>19291</v>
      </c>
      <c r="L1295" s="17" t="s">
        <v>11411</v>
      </c>
      <c r="M1295" s="3" t="s">
        <v>230</v>
      </c>
      <c r="N1295" s="6" t="s">
        <v>8914</v>
      </c>
      <c r="O1295" s="6" t="s">
        <v>233</v>
      </c>
      <c r="P1295" s="58" t="s">
        <v>247</v>
      </c>
      <c r="Q1295" s="6" t="s">
        <v>240</v>
      </c>
      <c r="R1295" s="18">
        <v>187.5</v>
      </c>
      <c r="S1295" s="2">
        <v>140000</v>
      </c>
      <c r="T1295" s="4">
        <f>R1295*S1295</f>
        <v>26250000</v>
      </c>
      <c r="U1295" s="4">
        <f t="shared" ref="U1295" si="47">T1295*1.12</f>
        <v>29400000.000000004</v>
      </c>
      <c r="V1295" s="3"/>
      <c r="W1295" s="3">
        <v>2014</v>
      </c>
      <c r="X1295" s="3"/>
    </row>
    <row r="1296" spans="1:24" ht="127.5">
      <c r="A1296" s="3" t="s">
        <v>1107</v>
      </c>
      <c r="B1296" s="6" t="s">
        <v>361</v>
      </c>
      <c r="C1296" s="6" t="s">
        <v>3775</v>
      </c>
      <c r="D1296" s="6" t="s">
        <v>3774</v>
      </c>
      <c r="E1296" s="6" t="s">
        <v>3776</v>
      </c>
      <c r="F1296" s="6" t="s">
        <v>3746</v>
      </c>
      <c r="G1296" s="3" t="s">
        <v>11449</v>
      </c>
      <c r="H1296" s="54">
        <v>0</v>
      </c>
      <c r="I1296" s="16">
        <v>470000000</v>
      </c>
      <c r="J1296" s="157" t="s">
        <v>229</v>
      </c>
      <c r="K1296" s="5" t="s">
        <v>210</v>
      </c>
      <c r="L1296" s="6" t="s">
        <v>231</v>
      </c>
      <c r="M1296" s="3" t="s">
        <v>230</v>
      </c>
      <c r="N1296" s="6" t="s">
        <v>524</v>
      </c>
      <c r="O1296" s="6" t="s">
        <v>233</v>
      </c>
      <c r="P1296" s="58" t="s">
        <v>247</v>
      </c>
      <c r="Q1296" s="6" t="s">
        <v>240</v>
      </c>
      <c r="R1296" s="4">
        <v>2000</v>
      </c>
      <c r="S1296" s="2">
        <v>71000</v>
      </c>
      <c r="T1296" s="4">
        <v>0</v>
      </c>
      <c r="U1296" s="4">
        <f t="shared" si="46"/>
        <v>0</v>
      </c>
      <c r="V1296" s="3" t="s">
        <v>362</v>
      </c>
      <c r="W1296" s="3">
        <v>2014</v>
      </c>
      <c r="X1296" s="3" t="s">
        <v>12253</v>
      </c>
    </row>
    <row r="1297" spans="1:24" ht="127.5">
      <c r="A1297" s="3" t="s">
        <v>12249</v>
      </c>
      <c r="B1297" s="6" t="s">
        <v>361</v>
      </c>
      <c r="C1297" s="6" t="s">
        <v>3775</v>
      </c>
      <c r="D1297" s="6" t="s">
        <v>3774</v>
      </c>
      <c r="E1297" s="6" t="s">
        <v>3776</v>
      </c>
      <c r="F1297" s="6" t="s">
        <v>3746</v>
      </c>
      <c r="G1297" s="3" t="s">
        <v>11449</v>
      </c>
      <c r="H1297" s="54">
        <v>0</v>
      </c>
      <c r="I1297" s="16">
        <v>470000000</v>
      </c>
      <c r="J1297" s="157" t="s">
        <v>229</v>
      </c>
      <c r="K1297" s="5" t="s">
        <v>12252</v>
      </c>
      <c r="L1297" s="6" t="s">
        <v>12251</v>
      </c>
      <c r="M1297" s="3" t="s">
        <v>12250</v>
      </c>
      <c r="N1297" s="6" t="s">
        <v>524</v>
      </c>
      <c r="O1297" s="6" t="s">
        <v>233</v>
      </c>
      <c r="P1297" s="58" t="s">
        <v>247</v>
      </c>
      <c r="Q1297" s="6" t="s">
        <v>240</v>
      </c>
      <c r="R1297" s="4">
        <v>2000</v>
      </c>
      <c r="S1297" s="2">
        <v>71000</v>
      </c>
      <c r="T1297" s="4">
        <v>0</v>
      </c>
      <c r="U1297" s="4">
        <f t="shared" si="46"/>
        <v>0</v>
      </c>
      <c r="V1297" s="3"/>
      <c r="W1297" s="3">
        <v>2014</v>
      </c>
      <c r="X1297" s="6" t="s">
        <v>18762</v>
      </c>
    </row>
    <row r="1298" spans="1:24" ht="127.5">
      <c r="A1298" s="3" t="s">
        <v>18109</v>
      </c>
      <c r="B1298" s="6" t="s">
        <v>361</v>
      </c>
      <c r="C1298" s="6" t="s">
        <v>3775</v>
      </c>
      <c r="D1298" s="6" t="s">
        <v>3774</v>
      </c>
      <c r="E1298" s="6" t="s">
        <v>3776</v>
      </c>
      <c r="F1298" s="6" t="s">
        <v>3746</v>
      </c>
      <c r="G1298" s="3" t="s">
        <v>11449</v>
      </c>
      <c r="H1298" s="54">
        <v>0</v>
      </c>
      <c r="I1298" s="16">
        <v>470000000</v>
      </c>
      <c r="J1298" s="157" t="s">
        <v>229</v>
      </c>
      <c r="K1298" s="5" t="s">
        <v>17401</v>
      </c>
      <c r="L1298" s="6" t="s">
        <v>12251</v>
      </c>
      <c r="M1298" s="3" t="s">
        <v>12250</v>
      </c>
      <c r="N1298" s="6" t="s">
        <v>528</v>
      </c>
      <c r="O1298" s="6" t="s">
        <v>233</v>
      </c>
      <c r="P1298" s="58" t="s">
        <v>247</v>
      </c>
      <c r="Q1298" s="6" t="s">
        <v>240</v>
      </c>
      <c r="R1298" s="4">
        <v>2600</v>
      </c>
      <c r="S1298" s="2">
        <v>85200</v>
      </c>
      <c r="T1298" s="4">
        <f>R1298*S1298</f>
        <v>221520000</v>
      </c>
      <c r="U1298" s="4">
        <f t="shared" si="46"/>
        <v>248102400.00000003</v>
      </c>
      <c r="V1298" s="3"/>
      <c r="W1298" s="3">
        <v>2014</v>
      </c>
      <c r="X1298" s="3" t="s">
        <v>14132</v>
      </c>
    </row>
    <row r="1299" spans="1:24" ht="127.5">
      <c r="A1299" s="3" t="s">
        <v>18763</v>
      </c>
      <c r="B1299" s="6" t="s">
        <v>361</v>
      </c>
      <c r="C1299" s="6" t="s">
        <v>3775</v>
      </c>
      <c r="D1299" s="6" t="s">
        <v>3774</v>
      </c>
      <c r="E1299" s="6" t="s">
        <v>3776</v>
      </c>
      <c r="F1299" s="6" t="s">
        <v>3746</v>
      </c>
      <c r="G1299" s="3" t="s">
        <v>11449</v>
      </c>
      <c r="H1299" s="54">
        <v>0</v>
      </c>
      <c r="I1299" s="16">
        <v>470000000</v>
      </c>
      <c r="J1299" s="157" t="s">
        <v>229</v>
      </c>
      <c r="K1299" s="5" t="s">
        <v>8950</v>
      </c>
      <c r="L1299" s="6" t="s">
        <v>12251</v>
      </c>
      <c r="M1299" s="3" t="s">
        <v>12250</v>
      </c>
      <c r="N1299" s="6" t="s">
        <v>528</v>
      </c>
      <c r="O1299" s="6" t="s">
        <v>233</v>
      </c>
      <c r="P1299" s="58" t="s">
        <v>247</v>
      </c>
      <c r="Q1299" s="6" t="s">
        <v>240</v>
      </c>
      <c r="R1299" s="4">
        <v>2000</v>
      </c>
      <c r="S1299" s="2">
        <v>71000</v>
      </c>
      <c r="T1299" s="4">
        <f>R1299*S1299</f>
        <v>142000000</v>
      </c>
      <c r="U1299" s="4">
        <f t="shared" si="46"/>
        <v>159040000.00000003</v>
      </c>
      <c r="V1299" s="3"/>
      <c r="W1299" s="3">
        <v>2014</v>
      </c>
      <c r="X1299" s="3"/>
    </row>
    <row r="1300" spans="1:24" ht="102">
      <c r="A1300" s="3" t="s">
        <v>1108</v>
      </c>
      <c r="B1300" s="6" t="s">
        <v>361</v>
      </c>
      <c r="C1300" s="6" t="s">
        <v>3842</v>
      </c>
      <c r="D1300" s="6" t="s">
        <v>3835</v>
      </c>
      <c r="E1300" s="6" t="s">
        <v>3843</v>
      </c>
      <c r="F1300" s="6" t="s">
        <v>3777</v>
      </c>
      <c r="G1300" s="3" t="s">
        <v>11449</v>
      </c>
      <c r="H1300" s="54">
        <v>0</v>
      </c>
      <c r="I1300" s="16">
        <v>470000000</v>
      </c>
      <c r="J1300" s="157" t="s">
        <v>229</v>
      </c>
      <c r="K1300" s="5" t="s">
        <v>215</v>
      </c>
      <c r="L1300" s="6" t="s">
        <v>231</v>
      </c>
      <c r="M1300" s="3" t="s">
        <v>230</v>
      </c>
      <c r="N1300" s="6" t="s">
        <v>524</v>
      </c>
      <c r="O1300" s="6" t="s">
        <v>233</v>
      </c>
      <c r="P1300" s="58" t="s">
        <v>247</v>
      </c>
      <c r="Q1300" s="6" t="s">
        <v>240</v>
      </c>
      <c r="R1300" s="1">
        <v>4.54</v>
      </c>
      <c r="S1300" s="2">
        <v>159925</v>
      </c>
      <c r="T1300" s="4">
        <v>0</v>
      </c>
      <c r="U1300" s="4">
        <f t="shared" si="46"/>
        <v>0</v>
      </c>
      <c r="V1300" s="3" t="s">
        <v>362</v>
      </c>
      <c r="W1300" s="3">
        <v>2014</v>
      </c>
      <c r="X1300" s="3">
        <v>11.12</v>
      </c>
    </row>
    <row r="1301" spans="1:24" ht="89.25">
      <c r="A1301" s="3" t="s">
        <v>12254</v>
      </c>
      <c r="B1301" s="6" t="s">
        <v>361</v>
      </c>
      <c r="C1301" s="6" t="s">
        <v>3842</v>
      </c>
      <c r="D1301" s="6" t="s">
        <v>3835</v>
      </c>
      <c r="E1301" s="6" t="s">
        <v>3843</v>
      </c>
      <c r="F1301" s="6" t="s">
        <v>3777</v>
      </c>
      <c r="G1301" s="3" t="s">
        <v>11449</v>
      </c>
      <c r="H1301" s="54">
        <v>0</v>
      </c>
      <c r="I1301" s="16">
        <v>470000000</v>
      </c>
      <c r="J1301" s="157" t="s">
        <v>229</v>
      </c>
      <c r="K1301" s="5" t="s">
        <v>12255</v>
      </c>
      <c r="L1301" s="17" t="s">
        <v>11411</v>
      </c>
      <c r="M1301" s="3" t="s">
        <v>230</v>
      </c>
      <c r="N1301" s="6" t="s">
        <v>524</v>
      </c>
      <c r="O1301" s="6" t="s">
        <v>233</v>
      </c>
      <c r="P1301" s="58" t="s">
        <v>247</v>
      </c>
      <c r="Q1301" s="6" t="s">
        <v>240</v>
      </c>
      <c r="R1301" s="1">
        <v>4.54</v>
      </c>
      <c r="S1301" s="2">
        <v>159925</v>
      </c>
      <c r="T1301" s="4">
        <v>0</v>
      </c>
      <c r="U1301" s="4">
        <f t="shared" si="46"/>
        <v>0</v>
      </c>
      <c r="V1301" s="3" t="s">
        <v>362</v>
      </c>
      <c r="W1301" s="3">
        <v>2014</v>
      </c>
      <c r="X1301" s="3" t="s">
        <v>12051</v>
      </c>
    </row>
    <row r="1302" spans="1:24" ht="89.25">
      <c r="A1302" s="3" t="s">
        <v>14929</v>
      </c>
      <c r="B1302" s="6" t="s">
        <v>361</v>
      </c>
      <c r="C1302" s="6" t="s">
        <v>3842</v>
      </c>
      <c r="D1302" s="6" t="s">
        <v>3835</v>
      </c>
      <c r="E1302" s="6" t="s">
        <v>3843</v>
      </c>
      <c r="F1302" s="6" t="s">
        <v>3777</v>
      </c>
      <c r="G1302" s="3" t="s">
        <v>11449</v>
      </c>
      <c r="H1302" s="54">
        <v>0</v>
      </c>
      <c r="I1302" s="16">
        <v>470000000</v>
      </c>
      <c r="J1302" s="157" t="s">
        <v>229</v>
      </c>
      <c r="K1302" s="5" t="s">
        <v>14930</v>
      </c>
      <c r="L1302" s="17" t="s">
        <v>11411</v>
      </c>
      <c r="M1302" s="3" t="s">
        <v>230</v>
      </c>
      <c r="N1302" s="6" t="s">
        <v>524</v>
      </c>
      <c r="O1302" s="6" t="s">
        <v>233</v>
      </c>
      <c r="P1302" s="58" t="s">
        <v>247</v>
      </c>
      <c r="Q1302" s="6" t="s">
        <v>240</v>
      </c>
      <c r="R1302" s="1">
        <v>51.255000000000003</v>
      </c>
      <c r="S1302" s="2">
        <v>191910</v>
      </c>
      <c r="T1302" s="4">
        <v>0</v>
      </c>
      <c r="U1302" s="4">
        <f t="shared" si="46"/>
        <v>0</v>
      </c>
      <c r="V1302" s="3" t="s">
        <v>362</v>
      </c>
      <c r="W1302" s="3">
        <v>2014</v>
      </c>
      <c r="X1302" s="3">
        <v>11.14</v>
      </c>
    </row>
    <row r="1303" spans="1:24" ht="89.25">
      <c r="A1303" s="3" t="s">
        <v>17957</v>
      </c>
      <c r="B1303" s="6" t="s">
        <v>361</v>
      </c>
      <c r="C1303" s="6" t="s">
        <v>3842</v>
      </c>
      <c r="D1303" s="6" t="s">
        <v>3835</v>
      </c>
      <c r="E1303" s="6" t="s">
        <v>3843</v>
      </c>
      <c r="F1303" s="6" t="s">
        <v>3777</v>
      </c>
      <c r="G1303" s="3" t="s">
        <v>11449</v>
      </c>
      <c r="H1303" s="54">
        <v>0</v>
      </c>
      <c r="I1303" s="16">
        <v>470000000</v>
      </c>
      <c r="J1303" s="157" t="s">
        <v>229</v>
      </c>
      <c r="K1303" s="5" t="s">
        <v>9041</v>
      </c>
      <c r="L1303" s="17" t="s">
        <v>11411</v>
      </c>
      <c r="M1303" s="3" t="s">
        <v>230</v>
      </c>
      <c r="N1303" s="6" t="s">
        <v>521</v>
      </c>
      <c r="O1303" s="6" t="s">
        <v>233</v>
      </c>
      <c r="P1303" s="58" t="s">
        <v>247</v>
      </c>
      <c r="Q1303" s="6" t="s">
        <v>240</v>
      </c>
      <c r="R1303" s="1">
        <v>51.255000000000003</v>
      </c>
      <c r="S1303" s="2">
        <v>191910</v>
      </c>
      <c r="T1303" s="4">
        <v>0</v>
      </c>
      <c r="U1303" s="4">
        <f t="shared" si="46"/>
        <v>0</v>
      </c>
      <c r="V1303" s="3" t="s">
        <v>362</v>
      </c>
      <c r="W1303" s="3">
        <v>2014</v>
      </c>
      <c r="X1303" s="3">
        <v>11.22</v>
      </c>
    </row>
    <row r="1304" spans="1:24" ht="89.25">
      <c r="A1304" s="3" t="s">
        <v>19059</v>
      </c>
      <c r="B1304" s="6" t="s">
        <v>361</v>
      </c>
      <c r="C1304" s="6" t="s">
        <v>3842</v>
      </c>
      <c r="D1304" s="6" t="s">
        <v>3835</v>
      </c>
      <c r="E1304" s="6" t="s">
        <v>3843</v>
      </c>
      <c r="F1304" s="6" t="s">
        <v>3777</v>
      </c>
      <c r="G1304" s="3" t="s">
        <v>11449</v>
      </c>
      <c r="H1304" s="54">
        <v>0</v>
      </c>
      <c r="I1304" s="16">
        <v>470000000</v>
      </c>
      <c r="J1304" s="157" t="s">
        <v>229</v>
      </c>
      <c r="K1304" s="5" t="s">
        <v>18748</v>
      </c>
      <c r="L1304" s="17" t="s">
        <v>11411</v>
      </c>
      <c r="M1304" s="3" t="s">
        <v>230</v>
      </c>
      <c r="N1304" s="6" t="s">
        <v>521</v>
      </c>
      <c r="O1304" s="6" t="s">
        <v>233</v>
      </c>
      <c r="P1304" s="58" t="s">
        <v>247</v>
      </c>
      <c r="Q1304" s="6" t="s">
        <v>240</v>
      </c>
      <c r="R1304" s="1">
        <v>51.255000000000003</v>
      </c>
      <c r="S1304" s="2">
        <v>191910</v>
      </c>
      <c r="T1304" s="4">
        <f>R1304*S1304</f>
        <v>9836347.0500000007</v>
      </c>
      <c r="U1304" s="4">
        <f t="shared" ref="U1304" si="48">T1304*1.12</f>
        <v>11016708.696000002</v>
      </c>
      <c r="V1304" s="3"/>
      <c r="W1304" s="3">
        <v>2014</v>
      </c>
      <c r="X1304" s="3"/>
    </row>
    <row r="1305" spans="1:24" ht="102">
      <c r="A1305" s="3" t="s">
        <v>1109</v>
      </c>
      <c r="B1305" s="6" t="s">
        <v>361</v>
      </c>
      <c r="C1305" s="6" t="s">
        <v>7700</v>
      </c>
      <c r="D1305" s="6" t="s">
        <v>3835</v>
      </c>
      <c r="E1305" s="6" t="s">
        <v>7701</v>
      </c>
      <c r="F1305" s="6" t="s">
        <v>3778</v>
      </c>
      <c r="G1305" s="3" t="s">
        <v>11449</v>
      </c>
      <c r="H1305" s="54">
        <v>0</v>
      </c>
      <c r="I1305" s="16">
        <v>470000000</v>
      </c>
      <c r="J1305" s="157" t="s">
        <v>229</v>
      </c>
      <c r="K1305" s="5" t="s">
        <v>215</v>
      </c>
      <c r="L1305" s="6" t="s">
        <v>231</v>
      </c>
      <c r="M1305" s="3" t="s">
        <v>230</v>
      </c>
      <c r="N1305" s="6" t="s">
        <v>524</v>
      </c>
      <c r="O1305" s="6" t="s">
        <v>233</v>
      </c>
      <c r="P1305" s="58" t="s">
        <v>247</v>
      </c>
      <c r="Q1305" s="6" t="s">
        <v>240</v>
      </c>
      <c r="R1305" s="50">
        <v>0.6</v>
      </c>
      <c r="S1305" s="2">
        <v>159925</v>
      </c>
      <c r="T1305" s="4">
        <v>0</v>
      </c>
      <c r="U1305" s="4">
        <f t="shared" si="46"/>
        <v>0</v>
      </c>
      <c r="V1305" s="3" t="s">
        <v>362</v>
      </c>
      <c r="W1305" s="3">
        <v>2014</v>
      </c>
      <c r="X1305" s="3">
        <v>11.12</v>
      </c>
    </row>
    <row r="1306" spans="1:24" ht="89.25">
      <c r="A1306" s="3" t="s">
        <v>12256</v>
      </c>
      <c r="B1306" s="6" t="s">
        <v>361</v>
      </c>
      <c r="C1306" s="6" t="s">
        <v>7700</v>
      </c>
      <c r="D1306" s="6" t="s">
        <v>3835</v>
      </c>
      <c r="E1306" s="6" t="s">
        <v>7701</v>
      </c>
      <c r="F1306" s="6" t="s">
        <v>3778</v>
      </c>
      <c r="G1306" s="3" t="s">
        <v>11449</v>
      </c>
      <c r="H1306" s="54">
        <v>0</v>
      </c>
      <c r="I1306" s="16">
        <v>470000000</v>
      </c>
      <c r="J1306" s="157" t="s">
        <v>229</v>
      </c>
      <c r="K1306" s="5" t="s">
        <v>211</v>
      </c>
      <c r="L1306" s="17" t="s">
        <v>11411</v>
      </c>
      <c r="M1306" s="3" t="s">
        <v>230</v>
      </c>
      <c r="N1306" s="6" t="s">
        <v>524</v>
      </c>
      <c r="O1306" s="6" t="s">
        <v>233</v>
      </c>
      <c r="P1306" s="58" t="s">
        <v>247</v>
      </c>
      <c r="Q1306" s="6" t="s">
        <v>240</v>
      </c>
      <c r="R1306" s="50">
        <v>0.6</v>
      </c>
      <c r="S1306" s="2">
        <v>191910</v>
      </c>
      <c r="T1306" s="4">
        <v>0</v>
      </c>
      <c r="U1306" s="4">
        <f t="shared" si="46"/>
        <v>0</v>
      </c>
      <c r="V1306" s="3" t="s">
        <v>362</v>
      </c>
      <c r="W1306" s="3">
        <v>2014</v>
      </c>
      <c r="X1306" s="3" t="s">
        <v>12076</v>
      </c>
    </row>
    <row r="1307" spans="1:24" ht="102">
      <c r="A1307" s="3" t="s">
        <v>1110</v>
      </c>
      <c r="B1307" s="6" t="s">
        <v>361</v>
      </c>
      <c r="C1307" s="6" t="s">
        <v>3844</v>
      </c>
      <c r="D1307" s="6" t="s">
        <v>3835</v>
      </c>
      <c r="E1307" s="6" t="s">
        <v>3845</v>
      </c>
      <c r="F1307" s="6" t="s">
        <v>3779</v>
      </c>
      <c r="G1307" s="3" t="s">
        <v>11449</v>
      </c>
      <c r="H1307" s="54">
        <v>0</v>
      </c>
      <c r="I1307" s="16">
        <v>470000000</v>
      </c>
      <c r="J1307" s="157" t="s">
        <v>229</v>
      </c>
      <c r="K1307" s="5" t="s">
        <v>214</v>
      </c>
      <c r="L1307" s="6" t="s">
        <v>231</v>
      </c>
      <c r="M1307" s="3" t="s">
        <v>230</v>
      </c>
      <c r="N1307" s="6" t="s">
        <v>524</v>
      </c>
      <c r="O1307" s="6" t="s">
        <v>233</v>
      </c>
      <c r="P1307" s="58" t="s">
        <v>247</v>
      </c>
      <c r="Q1307" s="6" t="s">
        <v>240</v>
      </c>
      <c r="R1307" s="18">
        <v>35</v>
      </c>
      <c r="S1307" s="2">
        <v>130774</v>
      </c>
      <c r="T1307" s="4">
        <v>0</v>
      </c>
      <c r="U1307" s="4">
        <f t="shared" si="46"/>
        <v>0</v>
      </c>
      <c r="V1307" s="3" t="s">
        <v>362</v>
      </c>
      <c r="W1307" s="3">
        <v>2014</v>
      </c>
      <c r="X1307" s="3">
        <v>11.12</v>
      </c>
    </row>
    <row r="1308" spans="1:24" ht="89.25">
      <c r="A1308" s="3" t="s">
        <v>12257</v>
      </c>
      <c r="B1308" s="6" t="s">
        <v>361</v>
      </c>
      <c r="C1308" s="6" t="s">
        <v>3844</v>
      </c>
      <c r="D1308" s="6" t="s">
        <v>3835</v>
      </c>
      <c r="E1308" s="6" t="s">
        <v>3845</v>
      </c>
      <c r="F1308" s="6" t="s">
        <v>3779</v>
      </c>
      <c r="G1308" s="3" t="s">
        <v>11449</v>
      </c>
      <c r="H1308" s="54">
        <v>0</v>
      </c>
      <c r="I1308" s="6">
        <v>470000000</v>
      </c>
      <c r="J1308" s="243" t="s">
        <v>229</v>
      </c>
      <c r="K1308" s="5" t="s">
        <v>12255</v>
      </c>
      <c r="L1308" s="17" t="s">
        <v>11411</v>
      </c>
      <c r="M1308" s="3" t="s">
        <v>230</v>
      </c>
      <c r="N1308" s="6" t="s">
        <v>524</v>
      </c>
      <c r="O1308" s="6" t="s">
        <v>233</v>
      </c>
      <c r="P1308" s="58" t="s">
        <v>247</v>
      </c>
      <c r="Q1308" s="6" t="s">
        <v>240</v>
      </c>
      <c r="R1308" s="18">
        <v>35</v>
      </c>
      <c r="S1308" s="2">
        <v>130774</v>
      </c>
      <c r="T1308" s="4">
        <v>0</v>
      </c>
      <c r="U1308" s="4">
        <f t="shared" si="46"/>
        <v>0</v>
      </c>
      <c r="V1308" s="3" t="s">
        <v>362</v>
      </c>
      <c r="W1308" s="3">
        <v>2014</v>
      </c>
      <c r="X1308" s="3" t="s">
        <v>12051</v>
      </c>
    </row>
    <row r="1309" spans="1:24" ht="89.25">
      <c r="A1309" s="3" t="s">
        <v>14931</v>
      </c>
      <c r="B1309" s="6" t="s">
        <v>361</v>
      </c>
      <c r="C1309" s="6" t="s">
        <v>3844</v>
      </c>
      <c r="D1309" s="6" t="s">
        <v>3835</v>
      </c>
      <c r="E1309" s="6" t="s">
        <v>3845</v>
      </c>
      <c r="F1309" s="6" t="s">
        <v>3779</v>
      </c>
      <c r="G1309" s="3" t="s">
        <v>11449</v>
      </c>
      <c r="H1309" s="54">
        <v>0</v>
      </c>
      <c r="I1309" s="6">
        <v>470000000</v>
      </c>
      <c r="J1309" s="243" t="s">
        <v>229</v>
      </c>
      <c r="K1309" s="5" t="s">
        <v>14930</v>
      </c>
      <c r="L1309" s="17" t="s">
        <v>11411</v>
      </c>
      <c r="M1309" s="3" t="s">
        <v>230</v>
      </c>
      <c r="N1309" s="6" t="s">
        <v>524</v>
      </c>
      <c r="O1309" s="6" t="s">
        <v>233</v>
      </c>
      <c r="P1309" s="58" t="s">
        <v>247</v>
      </c>
      <c r="Q1309" s="6" t="s">
        <v>240</v>
      </c>
      <c r="R1309" s="18">
        <v>12.224</v>
      </c>
      <c r="S1309" s="2">
        <v>156929</v>
      </c>
      <c r="T1309" s="4">
        <v>0</v>
      </c>
      <c r="U1309" s="4">
        <f t="shared" si="46"/>
        <v>0</v>
      </c>
      <c r="V1309" s="3" t="s">
        <v>362</v>
      </c>
      <c r="W1309" s="3">
        <v>2014</v>
      </c>
      <c r="X1309" s="3" t="s">
        <v>14230</v>
      </c>
    </row>
    <row r="1310" spans="1:24" ht="89.25">
      <c r="A1310" s="3" t="s">
        <v>17958</v>
      </c>
      <c r="B1310" s="6" t="s">
        <v>361</v>
      </c>
      <c r="C1310" s="6" t="s">
        <v>3844</v>
      </c>
      <c r="D1310" s="6" t="s">
        <v>3835</v>
      </c>
      <c r="E1310" s="6" t="s">
        <v>3845</v>
      </c>
      <c r="F1310" s="6" t="s">
        <v>3779</v>
      </c>
      <c r="G1310" s="3" t="s">
        <v>11449</v>
      </c>
      <c r="H1310" s="54">
        <v>0</v>
      </c>
      <c r="I1310" s="6">
        <v>470000000</v>
      </c>
      <c r="J1310" s="243" t="s">
        <v>229</v>
      </c>
      <c r="K1310" s="5" t="s">
        <v>17942</v>
      </c>
      <c r="L1310" s="17" t="s">
        <v>11411</v>
      </c>
      <c r="M1310" s="3" t="s">
        <v>230</v>
      </c>
      <c r="N1310" s="6" t="s">
        <v>524</v>
      </c>
      <c r="O1310" s="6" t="s">
        <v>233</v>
      </c>
      <c r="P1310" s="58" t="s">
        <v>247</v>
      </c>
      <c r="Q1310" s="6" t="s">
        <v>240</v>
      </c>
      <c r="R1310" s="18">
        <v>12.224000000000004</v>
      </c>
      <c r="S1310" s="2">
        <v>127678.57</v>
      </c>
      <c r="T1310" s="4">
        <f>R1310*S1310</f>
        <v>1560742.8396800007</v>
      </c>
      <c r="U1310" s="4">
        <f t="shared" si="46"/>
        <v>1748031.980441601</v>
      </c>
      <c r="V1310" s="3" t="s">
        <v>362</v>
      </c>
      <c r="W1310" s="3">
        <v>2014</v>
      </c>
      <c r="X1310" s="3"/>
    </row>
    <row r="1311" spans="1:24" ht="102">
      <c r="A1311" s="3" t="s">
        <v>1111</v>
      </c>
      <c r="B1311" s="6" t="s">
        <v>361</v>
      </c>
      <c r="C1311" s="6" t="s">
        <v>3846</v>
      </c>
      <c r="D1311" s="6" t="s">
        <v>3835</v>
      </c>
      <c r="E1311" s="6" t="s">
        <v>3847</v>
      </c>
      <c r="F1311" s="6" t="s">
        <v>3780</v>
      </c>
      <c r="G1311" s="3" t="s">
        <v>11449</v>
      </c>
      <c r="H1311" s="54">
        <v>0</v>
      </c>
      <c r="I1311" s="16">
        <v>470000000</v>
      </c>
      <c r="J1311" s="157" t="s">
        <v>229</v>
      </c>
      <c r="K1311" s="5" t="s">
        <v>214</v>
      </c>
      <c r="L1311" s="6" t="s">
        <v>231</v>
      </c>
      <c r="M1311" s="3" t="s">
        <v>230</v>
      </c>
      <c r="N1311" s="6" t="s">
        <v>524</v>
      </c>
      <c r="O1311" s="6" t="s">
        <v>233</v>
      </c>
      <c r="P1311" s="58" t="s">
        <v>247</v>
      </c>
      <c r="Q1311" s="6" t="s">
        <v>240</v>
      </c>
      <c r="R1311" s="50">
        <v>11.5</v>
      </c>
      <c r="S1311" s="2">
        <v>122768</v>
      </c>
      <c r="T1311" s="4">
        <v>0</v>
      </c>
      <c r="U1311" s="4">
        <f t="shared" si="46"/>
        <v>0</v>
      </c>
      <c r="V1311" s="3" t="s">
        <v>362</v>
      </c>
      <c r="W1311" s="3">
        <v>2014</v>
      </c>
      <c r="X1311" s="3">
        <v>11.12</v>
      </c>
    </row>
    <row r="1312" spans="1:24" ht="89.25">
      <c r="A1312" s="3" t="s">
        <v>12258</v>
      </c>
      <c r="B1312" s="6" t="s">
        <v>361</v>
      </c>
      <c r="C1312" s="6" t="s">
        <v>3846</v>
      </c>
      <c r="D1312" s="6" t="s">
        <v>3835</v>
      </c>
      <c r="E1312" s="6" t="s">
        <v>3847</v>
      </c>
      <c r="F1312" s="6" t="s">
        <v>3780</v>
      </c>
      <c r="G1312" s="3" t="s">
        <v>11449</v>
      </c>
      <c r="H1312" s="54">
        <v>0</v>
      </c>
      <c r="I1312" s="16">
        <v>470000000</v>
      </c>
      <c r="J1312" s="157" t="s">
        <v>229</v>
      </c>
      <c r="K1312" s="5" t="s">
        <v>211</v>
      </c>
      <c r="L1312" s="17" t="s">
        <v>11411</v>
      </c>
      <c r="M1312" s="3" t="s">
        <v>230</v>
      </c>
      <c r="N1312" s="6" t="s">
        <v>524</v>
      </c>
      <c r="O1312" s="6" t="s">
        <v>233</v>
      </c>
      <c r="P1312" s="58" t="s">
        <v>247</v>
      </c>
      <c r="Q1312" s="6" t="s">
        <v>240</v>
      </c>
      <c r="R1312" s="50">
        <v>11.5</v>
      </c>
      <c r="S1312" s="2">
        <v>147322</v>
      </c>
      <c r="T1312" s="4">
        <v>0</v>
      </c>
      <c r="U1312" s="4">
        <f t="shared" si="46"/>
        <v>0</v>
      </c>
      <c r="V1312" s="3" t="s">
        <v>362</v>
      </c>
      <c r="W1312" s="3">
        <v>2014</v>
      </c>
      <c r="X1312" s="3" t="s">
        <v>12076</v>
      </c>
    </row>
    <row r="1313" spans="1:24" ht="102">
      <c r="A1313" s="3" t="s">
        <v>1112</v>
      </c>
      <c r="B1313" s="6" t="s">
        <v>361</v>
      </c>
      <c r="C1313" s="6" t="s">
        <v>3839</v>
      </c>
      <c r="D1313" s="6" t="s">
        <v>3835</v>
      </c>
      <c r="E1313" s="6" t="s">
        <v>3840</v>
      </c>
      <c r="F1313" s="6" t="s">
        <v>3781</v>
      </c>
      <c r="G1313" s="3" t="s">
        <v>11449</v>
      </c>
      <c r="H1313" s="54">
        <v>0</v>
      </c>
      <c r="I1313" s="16">
        <v>470000000</v>
      </c>
      <c r="J1313" s="157" t="s">
        <v>229</v>
      </c>
      <c r="K1313" s="5" t="s">
        <v>214</v>
      </c>
      <c r="L1313" s="6" t="s">
        <v>231</v>
      </c>
      <c r="M1313" s="3" t="s">
        <v>230</v>
      </c>
      <c r="N1313" s="6" t="s">
        <v>524</v>
      </c>
      <c r="O1313" s="6" t="s">
        <v>233</v>
      </c>
      <c r="P1313" s="58" t="s">
        <v>247</v>
      </c>
      <c r="Q1313" s="6" t="s">
        <v>240</v>
      </c>
      <c r="R1313" s="18">
        <v>50</v>
      </c>
      <c r="S1313" s="2">
        <v>130774</v>
      </c>
      <c r="T1313" s="4">
        <v>0</v>
      </c>
      <c r="U1313" s="4">
        <f t="shared" si="46"/>
        <v>0</v>
      </c>
      <c r="V1313" s="3" t="s">
        <v>362</v>
      </c>
      <c r="W1313" s="3">
        <v>2014</v>
      </c>
      <c r="X1313" s="3">
        <v>11.12</v>
      </c>
    </row>
    <row r="1314" spans="1:24" ht="89.25">
      <c r="A1314" s="3" t="s">
        <v>12259</v>
      </c>
      <c r="B1314" s="6" t="s">
        <v>361</v>
      </c>
      <c r="C1314" s="6" t="s">
        <v>3839</v>
      </c>
      <c r="D1314" s="6" t="s">
        <v>3835</v>
      </c>
      <c r="E1314" s="6" t="s">
        <v>3840</v>
      </c>
      <c r="F1314" s="6" t="s">
        <v>3781</v>
      </c>
      <c r="G1314" s="3" t="s">
        <v>11449</v>
      </c>
      <c r="H1314" s="54">
        <v>0</v>
      </c>
      <c r="I1314" s="16">
        <v>470000000</v>
      </c>
      <c r="J1314" s="157" t="s">
        <v>229</v>
      </c>
      <c r="K1314" s="5" t="s">
        <v>211</v>
      </c>
      <c r="L1314" s="17" t="s">
        <v>11411</v>
      </c>
      <c r="M1314" s="3" t="s">
        <v>230</v>
      </c>
      <c r="N1314" s="6" t="s">
        <v>524</v>
      </c>
      <c r="O1314" s="6" t="s">
        <v>233</v>
      </c>
      <c r="P1314" s="58" t="s">
        <v>247</v>
      </c>
      <c r="Q1314" s="6" t="s">
        <v>240</v>
      </c>
      <c r="R1314" s="18">
        <v>50</v>
      </c>
      <c r="S1314" s="2">
        <v>156929</v>
      </c>
      <c r="T1314" s="4">
        <v>0</v>
      </c>
      <c r="U1314" s="4">
        <v>0</v>
      </c>
      <c r="V1314" s="3" t="s">
        <v>362</v>
      </c>
      <c r="W1314" s="3">
        <v>2014</v>
      </c>
      <c r="X1314" s="3" t="s">
        <v>12076</v>
      </c>
    </row>
    <row r="1315" spans="1:24" ht="102">
      <c r="A1315" s="3" t="s">
        <v>1113</v>
      </c>
      <c r="B1315" s="6" t="s">
        <v>361</v>
      </c>
      <c r="C1315" s="6" t="s">
        <v>3839</v>
      </c>
      <c r="D1315" s="6" t="s">
        <v>3835</v>
      </c>
      <c r="E1315" s="6" t="s">
        <v>3840</v>
      </c>
      <c r="F1315" s="6" t="s">
        <v>3782</v>
      </c>
      <c r="G1315" s="3" t="s">
        <v>11449</v>
      </c>
      <c r="H1315" s="54">
        <v>0</v>
      </c>
      <c r="I1315" s="16">
        <v>470000000</v>
      </c>
      <c r="J1315" s="157" t="s">
        <v>229</v>
      </c>
      <c r="K1315" s="5" t="s">
        <v>210</v>
      </c>
      <c r="L1315" s="6" t="s">
        <v>231</v>
      </c>
      <c r="M1315" s="3" t="s">
        <v>230</v>
      </c>
      <c r="N1315" s="6" t="s">
        <v>524</v>
      </c>
      <c r="O1315" s="6" t="s">
        <v>233</v>
      </c>
      <c r="P1315" s="58" t="s">
        <v>247</v>
      </c>
      <c r="Q1315" s="6" t="s">
        <v>240</v>
      </c>
      <c r="R1315" s="18">
        <v>23</v>
      </c>
      <c r="S1315" s="2">
        <v>130774</v>
      </c>
      <c r="T1315" s="4">
        <v>0</v>
      </c>
      <c r="U1315" s="4">
        <f t="shared" ref="U1315:U1380" si="49">T1315*1.12</f>
        <v>0</v>
      </c>
      <c r="V1315" s="3" t="s">
        <v>362</v>
      </c>
      <c r="W1315" s="3">
        <v>2014</v>
      </c>
      <c r="X1315" s="3">
        <v>11.12</v>
      </c>
    </row>
    <row r="1316" spans="1:24" ht="89.25">
      <c r="A1316" s="3" t="s">
        <v>12263</v>
      </c>
      <c r="B1316" s="6" t="s">
        <v>361</v>
      </c>
      <c r="C1316" s="6" t="s">
        <v>3839</v>
      </c>
      <c r="D1316" s="6" t="s">
        <v>3835</v>
      </c>
      <c r="E1316" s="6" t="s">
        <v>3840</v>
      </c>
      <c r="F1316" s="6" t="s">
        <v>3782</v>
      </c>
      <c r="G1316" s="3" t="s">
        <v>11449</v>
      </c>
      <c r="H1316" s="54">
        <v>0</v>
      </c>
      <c r="I1316" s="16">
        <v>470000000</v>
      </c>
      <c r="J1316" s="157" t="s">
        <v>229</v>
      </c>
      <c r="K1316" s="5" t="s">
        <v>12128</v>
      </c>
      <c r="L1316" s="17" t="s">
        <v>11411</v>
      </c>
      <c r="M1316" s="3" t="s">
        <v>230</v>
      </c>
      <c r="N1316" s="6" t="s">
        <v>524</v>
      </c>
      <c r="O1316" s="6" t="s">
        <v>233</v>
      </c>
      <c r="P1316" s="58" t="s">
        <v>247</v>
      </c>
      <c r="Q1316" s="6" t="s">
        <v>240</v>
      </c>
      <c r="R1316" s="18">
        <v>23</v>
      </c>
      <c r="S1316" s="2">
        <v>130774</v>
      </c>
      <c r="T1316" s="4">
        <v>0</v>
      </c>
      <c r="U1316" s="4">
        <f t="shared" si="49"/>
        <v>0</v>
      </c>
      <c r="V1316" s="3" t="s">
        <v>362</v>
      </c>
      <c r="W1316" s="3">
        <v>2014</v>
      </c>
      <c r="X1316" s="3" t="s">
        <v>12051</v>
      </c>
    </row>
    <row r="1317" spans="1:24" ht="89.25">
      <c r="A1317" s="3" t="s">
        <v>14932</v>
      </c>
      <c r="B1317" s="6" t="s">
        <v>361</v>
      </c>
      <c r="C1317" s="6" t="s">
        <v>3839</v>
      </c>
      <c r="D1317" s="6" t="s">
        <v>3835</v>
      </c>
      <c r="E1317" s="6" t="s">
        <v>3840</v>
      </c>
      <c r="F1317" s="6" t="s">
        <v>3782</v>
      </c>
      <c r="G1317" s="3" t="s">
        <v>11449</v>
      </c>
      <c r="H1317" s="54">
        <v>0</v>
      </c>
      <c r="I1317" s="16">
        <v>470000000</v>
      </c>
      <c r="J1317" s="157" t="s">
        <v>229</v>
      </c>
      <c r="K1317" s="5" t="s">
        <v>14670</v>
      </c>
      <c r="L1317" s="17" t="s">
        <v>11411</v>
      </c>
      <c r="M1317" s="3" t="s">
        <v>230</v>
      </c>
      <c r="N1317" s="6" t="s">
        <v>524</v>
      </c>
      <c r="O1317" s="6" t="s">
        <v>233</v>
      </c>
      <c r="P1317" s="58" t="s">
        <v>247</v>
      </c>
      <c r="Q1317" s="6" t="s">
        <v>240</v>
      </c>
      <c r="R1317" s="249">
        <v>17.742999999999999</v>
      </c>
      <c r="S1317" s="2">
        <v>156929</v>
      </c>
      <c r="T1317" s="4">
        <v>0</v>
      </c>
      <c r="U1317" s="4">
        <f t="shared" si="49"/>
        <v>0</v>
      </c>
      <c r="V1317" s="3" t="s">
        <v>362</v>
      </c>
      <c r="W1317" s="3">
        <v>2014</v>
      </c>
      <c r="X1317" s="6" t="s">
        <v>17321</v>
      </c>
    </row>
    <row r="1318" spans="1:24" ht="89.25">
      <c r="A1318" s="3" t="s">
        <v>17959</v>
      </c>
      <c r="B1318" s="6" t="s">
        <v>361</v>
      </c>
      <c r="C1318" s="6" t="s">
        <v>3839</v>
      </c>
      <c r="D1318" s="6" t="s">
        <v>3835</v>
      </c>
      <c r="E1318" s="6" t="s">
        <v>3840</v>
      </c>
      <c r="F1318" s="6" t="s">
        <v>3782</v>
      </c>
      <c r="G1318" s="3" t="s">
        <v>11449</v>
      </c>
      <c r="H1318" s="54">
        <v>0</v>
      </c>
      <c r="I1318" s="16">
        <v>470000000</v>
      </c>
      <c r="J1318" s="157" t="s">
        <v>229</v>
      </c>
      <c r="K1318" s="5" t="s">
        <v>9041</v>
      </c>
      <c r="L1318" s="17" t="s">
        <v>11411</v>
      </c>
      <c r="M1318" s="3" t="s">
        <v>230</v>
      </c>
      <c r="N1318" s="6" t="s">
        <v>521</v>
      </c>
      <c r="O1318" s="6" t="s">
        <v>233</v>
      </c>
      <c r="P1318" s="58" t="s">
        <v>247</v>
      </c>
      <c r="Q1318" s="6" t="s">
        <v>240</v>
      </c>
      <c r="R1318" s="249">
        <v>17.993000000000002</v>
      </c>
      <c r="S1318" s="2">
        <v>156928.79999999999</v>
      </c>
      <c r="T1318" s="4">
        <v>0</v>
      </c>
      <c r="U1318" s="4">
        <f t="shared" si="49"/>
        <v>0</v>
      </c>
      <c r="V1318" s="3" t="s">
        <v>362</v>
      </c>
      <c r="W1318" s="3">
        <v>2014</v>
      </c>
      <c r="X1318" s="3" t="s">
        <v>14780</v>
      </c>
    </row>
    <row r="1319" spans="1:24" ht="89.25">
      <c r="A1319" s="3" t="s">
        <v>18860</v>
      </c>
      <c r="B1319" s="6" t="s">
        <v>361</v>
      </c>
      <c r="C1319" s="6" t="s">
        <v>3839</v>
      </c>
      <c r="D1319" s="6" t="s">
        <v>3835</v>
      </c>
      <c r="E1319" s="6" t="s">
        <v>3840</v>
      </c>
      <c r="F1319" s="6" t="s">
        <v>3782</v>
      </c>
      <c r="G1319" s="3" t="s">
        <v>11449</v>
      </c>
      <c r="H1319" s="54">
        <v>0</v>
      </c>
      <c r="I1319" s="16">
        <v>470000000</v>
      </c>
      <c r="J1319" s="157" t="s">
        <v>229</v>
      </c>
      <c r="K1319" s="5" t="s">
        <v>18861</v>
      </c>
      <c r="L1319" s="17" t="s">
        <v>11411</v>
      </c>
      <c r="M1319" s="3" t="s">
        <v>230</v>
      </c>
      <c r="N1319" s="6" t="s">
        <v>521</v>
      </c>
      <c r="O1319" s="6" t="s">
        <v>233</v>
      </c>
      <c r="P1319" s="58" t="s">
        <v>247</v>
      </c>
      <c r="Q1319" s="6" t="s">
        <v>240</v>
      </c>
      <c r="R1319" s="249">
        <v>35.912999999999997</v>
      </c>
      <c r="S1319" s="2">
        <v>156928.79999999999</v>
      </c>
      <c r="T1319" s="4">
        <f>R1319*S1319</f>
        <v>5635783.9943999993</v>
      </c>
      <c r="U1319" s="4">
        <f t="shared" si="49"/>
        <v>6312078.0737279998</v>
      </c>
      <c r="V1319" s="3"/>
      <c r="W1319" s="3">
        <v>2014</v>
      </c>
      <c r="X1319" s="3"/>
    </row>
    <row r="1320" spans="1:24" ht="102">
      <c r="A1320" s="3" t="s">
        <v>1114</v>
      </c>
      <c r="B1320" s="6" t="s">
        <v>361</v>
      </c>
      <c r="C1320" s="6" t="s">
        <v>3837</v>
      </c>
      <c r="D1320" s="6" t="s">
        <v>3835</v>
      </c>
      <c r="E1320" s="6" t="s">
        <v>3838</v>
      </c>
      <c r="F1320" s="6" t="s">
        <v>3783</v>
      </c>
      <c r="G1320" s="3" t="s">
        <v>11449</v>
      </c>
      <c r="H1320" s="54">
        <v>0</v>
      </c>
      <c r="I1320" s="16">
        <v>470000000</v>
      </c>
      <c r="J1320" s="157" t="s">
        <v>229</v>
      </c>
      <c r="K1320" s="5" t="s">
        <v>210</v>
      </c>
      <c r="L1320" s="6" t="s">
        <v>231</v>
      </c>
      <c r="M1320" s="3" t="s">
        <v>230</v>
      </c>
      <c r="N1320" s="6" t="s">
        <v>524</v>
      </c>
      <c r="O1320" s="6" t="s">
        <v>233</v>
      </c>
      <c r="P1320" s="58" t="s">
        <v>247</v>
      </c>
      <c r="Q1320" s="6" t="s">
        <v>240</v>
      </c>
      <c r="R1320" s="18">
        <v>17</v>
      </c>
      <c r="S1320" s="2">
        <v>128970</v>
      </c>
      <c r="T1320" s="4">
        <v>0</v>
      </c>
      <c r="U1320" s="4">
        <f t="shared" si="49"/>
        <v>0</v>
      </c>
      <c r="V1320" s="3" t="s">
        <v>362</v>
      </c>
      <c r="W1320" s="3">
        <v>2014</v>
      </c>
      <c r="X1320" s="3">
        <v>11.12</v>
      </c>
    </row>
    <row r="1321" spans="1:24" ht="89.25">
      <c r="A1321" s="3" t="s">
        <v>12264</v>
      </c>
      <c r="B1321" s="6" t="s">
        <v>361</v>
      </c>
      <c r="C1321" s="6" t="s">
        <v>3837</v>
      </c>
      <c r="D1321" s="6" t="s">
        <v>3835</v>
      </c>
      <c r="E1321" s="6" t="s">
        <v>3838</v>
      </c>
      <c r="F1321" s="6" t="s">
        <v>3783</v>
      </c>
      <c r="G1321" s="3" t="s">
        <v>11449</v>
      </c>
      <c r="H1321" s="54">
        <v>0</v>
      </c>
      <c r="I1321" s="16">
        <v>470000000</v>
      </c>
      <c r="J1321" s="157" t="s">
        <v>229</v>
      </c>
      <c r="K1321" s="5" t="s">
        <v>12128</v>
      </c>
      <c r="L1321" s="17" t="s">
        <v>11411</v>
      </c>
      <c r="M1321" s="3" t="s">
        <v>230</v>
      </c>
      <c r="N1321" s="6" t="s">
        <v>524</v>
      </c>
      <c r="O1321" s="6" t="s">
        <v>233</v>
      </c>
      <c r="P1321" s="58" t="s">
        <v>247</v>
      </c>
      <c r="Q1321" s="6" t="s">
        <v>240</v>
      </c>
      <c r="R1321" s="18">
        <v>17</v>
      </c>
      <c r="S1321" s="2">
        <v>128970</v>
      </c>
      <c r="T1321" s="4">
        <v>0</v>
      </c>
      <c r="U1321" s="4">
        <f t="shared" si="49"/>
        <v>0</v>
      </c>
      <c r="V1321" s="3" t="s">
        <v>362</v>
      </c>
      <c r="W1321" s="3">
        <v>2014</v>
      </c>
      <c r="X1321" s="3" t="s">
        <v>14785</v>
      </c>
    </row>
    <row r="1322" spans="1:24" ht="89.25">
      <c r="A1322" s="3" t="s">
        <v>14933</v>
      </c>
      <c r="B1322" s="6" t="s">
        <v>361</v>
      </c>
      <c r="C1322" s="6" t="s">
        <v>3837</v>
      </c>
      <c r="D1322" s="6" t="s">
        <v>3835</v>
      </c>
      <c r="E1322" s="6" t="s">
        <v>3838</v>
      </c>
      <c r="F1322" s="6" t="s">
        <v>3783</v>
      </c>
      <c r="G1322" s="3" t="s">
        <v>11449</v>
      </c>
      <c r="H1322" s="54">
        <v>0</v>
      </c>
      <c r="I1322" s="16">
        <v>470000000</v>
      </c>
      <c r="J1322" s="157" t="s">
        <v>229</v>
      </c>
      <c r="K1322" s="5" t="s">
        <v>14934</v>
      </c>
      <c r="L1322" s="17" t="s">
        <v>11411</v>
      </c>
      <c r="M1322" s="3" t="s">
        <v>230</v>
      </c>
      <c r="N1322" s="6" t="s">
        <v>524</v>
      </c>
      <c r="O1322" s="6" t="s">
        <v>233</v>
      </c>
      <c r="P1322" s="58" t="s">
        <v>247</v>
      </c>
      <c r="Q1322" s="6" t="s">
        <v>240</v>
      </c>
      <c r="R1322" s="18">
        <v>17</v>
      </c>
      <c r="S1322" s="2">
        <v>120550</v>
      </c>
      <c r="T1322" s="4">
        <f>R1322*S1322</f>
        <v>2049350</v>
      </c>
      <c r="U1322" s="4">
        <f t="shared" si="49"/>
        <v>2295272</v>
      </c>
      <c r="V1322" s="3" t="s">
        <v>362</v>
      </c>
      <c r="W1322" s="3">
        <v>2014</v>
      </c>
      <c r="X1322" s="3"/>
    </row>
    <row r="1323" spans="1:24" ht="102">
      <c r="A1323" s="3" t="s">
        <v>1115</v>
      </c>
      <c r="B1323" s="6" t="s">
        <v>361</v>
      </c>
      <c r="C1323" s="6" t="s">
        <v>3834</v>
      </c>
      <c r="D1323" s="6" t="s">
        <v>3835</v>
      </c>
      <c r="E1323" s="6" t="s">
        <v>3836</v>
      </c>
      <c r="F1323" s="6" t="s">
        <v>3784</v>
      </c>
      <c r="G1323" s="3" t="s">
        <v>11449</v>
      </c>
      <c r="H1323" s="54">
        <v>0</v>
      </c>
      <c r="I1323" s="16">
        <v>470000000</v>
      </c>
      <c r="J1323" s="157" t="s">
        <v>229</v>
      </c>
      <c r="K1323" s="5" t="s">
        <v>210</v>
      </c>
      <c r="L1323" s="6" t="s">
        <v>231</v>
      </c>
      <c r="M1323" s="3" t="s">
        <v>230</v>
      </c>
      <c r="N1323" s="6" t="s">
        <v>524</v>
      </c>
      <c r="O1323" s="6" t="s">
        <v>233</v>
      </c>
      <c r="P1323" s="58" t="s">
        <v>247</v>
      </c>
      <c r="Q1323" s="6" t="s">
        <v>240</v>
      </c>
      <c r="R1323" s="18">
        <v>25</v>
      </c>
      <c r="S1323" s="2">
        <v>130774</v>
      </c>
      <c r="T1323" s="4">
        <v>0</v>
      </c>
      <c r="U1323" s="4">
        <f t="shared" si="49"/>
        <v>0</v>
      </c>
      <c r="V1323" s="3" t="s">
        <v>362</v>
      </c>
      <c r="W1323" s="3">
        <v>2014</v>
      </c>
      <c r="X1323" s="3">
        <v>11.12</v>
      </c>
    </row>
    <row r="1324" spans="1:24" ht="89.25">
      <c r="A1324" s="3" t="s">
        <v>12265</v>
      </c>
      <c r="B1324" s="6" t="s">
        <v>361</v>
      </c>
      <c r="C1324" s="6" t="s">
        <v>3834</v>
      </c>
      <c r="D1324" s="6" t="s">
        <v>3835</v>
      </c>
      <c r="E1324" s="6" t="s">
        <v>3836</v>
      </c>
      <c r="F1324" s="6" t="s">
        <v>3784</v>
      </c>
      <c r="G1324" s="3" t="s">
        <v>11449</v>
      </c>
      <c r="H1324" s="54">
        <v>0</v>
      </c>
      <c r="I1324" s="16">
        <v>470000000</v>
      </c>
      <c r="J1324" s="157" t="s">
        <v>229</v>
      </c>
      <c r="K1324" s="5" t="s">
        <v>12128</v>
      </c>
      <c r="L1324" s="17" t="s">
        <v>11411</v>
      </c>
      <c r="M1324" s="3" t="s">
        <v>230</v>
      </c>
      <c r="N1324" s="6" t="s">
        <v>524</v>
      </c>
      <c r="O1324" s="6" t="s">
        <v>233</v>
      </c>
      <c r="P1324" s="58" t="s">
        <v>247</v>
      </c>
      <c r="Q1324" s="6" t="s">
        <v>240</v>
      </c>
      <c r="R1324" s="18">
        <v>25</v>
      </c>
      <c r="S1324" s="2">
        <v>130774</v>
      </c>
      <c r="T1324" s="4">
        <v>0</v>
      </c>
      <c r="U1324" s="4">
        <f t="shared" si="49"/>
        <v>0</v>
      </c>
      <c r="V1324" s="3" t="s">
        <v>362</v>
      </c>
      <c r="W1324" s="3">
        <v>2014</v>
      </c>
      <c r="X1324" s="3" t="s">
        <v>12051</v>
      </c>
    </row>
    <row r="1325" spans="1:24" ht="89.25">
      <c r="A1325" s="3" t="s">
        <v>14935</v>
      </c>
      <c r="B1325" s="6" t="s">
        <v>361</v>
      </c>
      <c r="C1325" s="6" t="s">
        <v>3834</v>
      </c>
      <c r="D1325" s="6" t="s">
        <v>3835</v>
      </c>
      <c r="E1325" s="6" t="s">
        <v>3836</v>
      </c>
      <c r="F1325" s="6" t="s">
        <v>3784</v>
      </c>
      <c r="G1325" s="3" t="s">
        <v>11449</v>
      </c>
      <c r="H1325" s="54">
        <v>0</v>
      </c>
      <c r="I1325" s="16">
        <v>470000000</v>
      </c>
      <c r="J1325" s="157" t="s">
        <v>229</v>
      </c>
      <c r="K1325" s="5" t="s">
        <v>14934</v>
      </c>
      <c r="L1325" s="17" t="s">
        <v>11411</v>
      </c>
      <c r="M1325" s="3" t="s">
        <v>230</v>
      </c>
      <c r="N1325" s="6" t="s">
        <v>524</v>
      </c>
      <c r="O1325" s="6" t="s">
        <v>233</v>
      </c>
      <c r="P1325" s="58" t="s">
        <v>247</v>
      </c>
      <c r="Q1325" s="6" t="s">
        <v>240</v>
      </c>
      <c r="R1325" s="249">
        <v>22.681000000000001</v>
      </c>
      <c r="S1325" s="2">
        <v>156929</v>
      </c>
      <c r="T1325" s="4">
        <v>0</v>
      </c>
      <c r="U1325" s="4">
        <f t="shared" si="49"/>
        <v>0</v>
      </c>
      <c r="V1325" s="3" t="s">
        <v>362</v>
      </c>
      <c r="W1325" s="3">
        <v>2014</v>
      </c>
      <c r="X1325" s="6" t="s">
        <v>17317</v>
      </c>
    </row>
    <row r="1326" spans="1:24" ht="89.25">
      <c r="A1326" s="3" t="s">
        <v>17960</v>
      </c>
      <c r="B1326" s="6" t="s">
        <v>361</v>
      </c>
      <c r="C1326" s="6" t="s">
        <v>3834</v>
      </c>
      <c r="D1326" s="6" t="s">
        <v>3835</v>
      </c>
      <c r="E1326" s="6" t="s">
        <v>3836</v>
      </c>
      <c r="F1326" s="6" t="s">
        <v>3784</v>
      </c>
      <c r="G1326" s="3" t="s">
        <v>11449</v>
      </c>
      <c r="H1326" s="54">
        <v>0</v>
      </c>
      <c r="I1326" s="16">
        <v>470000000</v>
      </c>
      <c r="J1326" s="157" t="s">
        <v>229</v>
      </c>
      <c r="K1326" s="5" t="s">
        <v>9041</v>
      </c>
      <c r="L1326" s="17" t="s">
        <v>11411</v>
      </c>
      <c r="M1326" s="3" t="s">
        <v>230</v>
      </c>
      <c r="N1326" s="6" t="s">
        <v>521</v>
      </c>
      <c r="O1326" s="6" t="s">
        <v>233</v>
      </c>
      <c r="P1326" s="58" t="s">
        <v>247</v>
      </c>
      <c r="Q1326" s="6" t="s">
        <v>240</v>
      </c>
      <c r="R1326" s="249">
        <v>23.68</v>
      </c>
      <c r="S1326" s="2">
        <v>156928.79999999999</v>
      </c>
      <c r="T1326" s="4">
        <v>0</v>
      </c>
      <c r="U1326" s="4">
        <f t="shared" si="49"/>
        <v>0</v>
      </c>
      <c r="V1326" s="3" t="s">
        <v>362</v>
      </c>
      <c r="W1326" s="3">
        <v>2014</v>
      </c>
      <c r="X1326" s="3">
        <v>11.22</v>
      </c>
    </row>
    <row r="1327" spans="1:24" ht="89.25">
      <c r="A1327" s="3" t="s">
        <v>19060</v>
      </c>
      <c r="B1327" s="6" t="s">
        <v>361</v>
      </c>
      <c r="C1327" s="6" t="s">
        <v>3834</v>
      </c>
      <c r="D1327" s="6" t="s">
        <v>3835</v>
      </c>
      <c r="E1327" s="6" t="s">
        <v>3836</v>
      </c>
      <c r="F1327" s="6" t="s">
        <v>3784</v>
      </c>
      <c r="G1327" s="3" t="s">
        <v>11449</v>
      </c>
      <c r="H1327" s="54">
        <v>0</v>
      </c>
      <c r="I1327" s="16">
        <v>470000000</v>
      </c>
      <c r="J1327" s="157" t="s">
        <v>229</v>
      </c>
      <c r="K1327" s="5" t="s">
        <v>18748</v>
      </c>
      <c r="L1327" s="17" t="s">
        <v>11411</v>
      </c>
      <c r="M1327" s="3" t="s">
        <v>230</v>
      </c>
      <c r="N1327" s="6" t="s">
        <v>521</v>
      </c>
      <c r="O1327" s="6" t="s">
        <v>233</v>
      </c>
      <c r="P1327" s="58" t="s">
        <v>247</v>
      </c>
      <c r="Q1327" s="6" t="s">
        <v>240</v>
      </c>
      <c r="R1327" s="249">
        <v>23.68</v>
      </c>
      <c r="S1327" s="2">
        <v>156928.79999999999</v>
      </c>
      <c r="T1327" s="4">
        <f>R1327*S1327</f>
        <v>3716073.9839999997</v>
      </c>
      <c r="U1327" s="4">
        <f t="shared" ref="U1327" si="50">T1327*1.12</f>
        <v>4162002.8620799999</v>
      </c>
      <c r="V1327" s="3"/>
      <c r="W1327" s="3">
        <v>2014</v>
      </c>
      <c r="X1327" s="3"/>
    </row>
    <row r="1328" spans="1:24" ht="102">
      <c r="A1328" s="3" t="s">
        <v>1116</v>
      </c>
      <c r="B1328" s="6" t="s">
        <v>361</v>
      </c>
      <c r="C1328" s="6" t="s">
        <v>3848</v>
      </c>
      <c r="D1328" s="6" t="s">
        <v>3835</v>
      </c>
      <c r="E1328" s="6" t="s">
        <v>3849</v>
      </c>
      <c r="F1328" s="6" t="s">
        <v>3841</v>
      </c>
      <c r="G1328" s="3" t="s">
        <v>11449</v>
      </c>
      <c r="H1328" s="54">
        <v>0</v>
      </c>
      <c r="I1328" s="16">
        <v>470000000</v>
      </c>
      <c r="J1328" s="157" t="s">
        <v>229</v>
      </c>
      <c r="K1328" s="5" t="s">
        <v>210</v>
      </c>
      <c r="L1328" s="6" t="s">
        <v>231</v>
      </c>
      <c r="M1328" s="3" t="s">
        <v>230</v>
      </c>
      <c r="N1328" s="6" t="s">
        <v>524</v>
      </c>
      <c r="O1328" s="6" t="s">
        <v>233</v>
      </c>
      <c r="P1328" s="58" t="s">
        <v>247</v>
      </c>
      <c r="Q1328" s="6" t="s">
        <v>240</v>
      </c>
      <c r="R1328" s="50">
        <v>1.2</v>
      </c>
      <c r="S1328" s="2">
        <v>159925</v>
      </c>
      <c r="T1328" s="4">
        <v>0</v>
      </c>
      <c r="U1328" s="4">
        <f t="shared" si="49"/>
        <v>0</v>
      </c>
      <c r="V1328" s="3" t="s">
        <v>362</v>
      </c>
      <c r="W1328" s="3">
        <v>2014</v>
      </c>
      <c r="X1328" s="3">
        <v>11.12</v>
      </c>
    </row>
    <row r="1329" spans="1:24" ht="89.25">
      <c r="A1329" s="3" t="s">
        <v>12262</v>
      </c>
      <c r="B1329" s="6" t="s">
        <v>361</v>
      </c>
      <c r="C1329" s="6" t="s">
        <v>3848</v>
      </c>
      <c r="D1329" s="6" t="s">
        <v>3835</v>
      </c>
      <c r="E1329" s="6" t="s">
        <v>3849</v>
      </c>
      <c r="F1329" s="6" t="s">
        <v>3841</v>
      </c>
      <c r="G1329" s="3" t="s">
        <v>11449</v>
      </c>
      <c r="H1329" s="54">
        <v>0</v>
      </c>
      <c r="I1329" s="16">
        <v>470000000</v>
      </c>
      <c r="J1329" s="157" t="s">
        <v>229</v>
      </c>
      <c r="K1329" s="5" t="s">
        <v>12128</v>
      </c>
      <c r="L1329" s="17" t="s">
        <v>11411</v>
      </c>
      <c r="M1329" s="3" t="s">
        <v>230</v>
      </c>
      <c r="N1329" s="6" t="s">
        <v>524</v>
      </c>
      <c r="O1329" s="6" t="s">
        <v>233</v>
      </c>
      <c r="P1329" s="58" t="s">
        <v>247</v>
      </c>
      <c r="Q1329" s="6" t="s">
        <v>240</v>
      </c>
      <c r="R1329" s="50">
        <v>1.2</v>
      </c>
      <c r="S1329" s="2">
        <v>159925</v>
      </c>
      <c r="T1329" s="4">
        <v>0</v>
      </c>
      <c r="U1329" s="4">
        <f t="shared" si="49"/>
        <v>0</v>
      </c>
      <c r="V1329" s="3" t="s">
        <v>362</v>
      </c>
      <c r="W1329" s="3">
        <v>2014</v>
      </c>
      <c r="X1329" s="3" t="s">
        <v>12051</v>
      </c>
    </row>
    <row r="1330" spans="1:24" ht="89.25">
      <c r="A1330" s="3" t="s">
        <v>14928</v>
      </c>
      <c r="B1330" s="6" t="s">
        <v>361</v>
      </c>
      <c r="C1330" s="6" t="s">
        <v>3848</v>
      </c>
      <c r="D1330" s="6" t="s">
        <v>3835</v>
      </c>
      <c r="E1330" s="6" t="s">
        <v>3849</v>
      </c>
      <c r="F1330" s="6" t="s">
        <v>3841</v>
      </c>
      <c r="G1330" s="3" t="s">
        <v>11449</v>
      </c>
      <c r="H1330" s="54">
        <v>0</v>
      </c>
      <c r="I1330" s="16">
        <v>470000000</v>
      </c>
      <c r="J1330" s="157" t="s">
        <v>229</v>
      </c>
      <c r="K1330" s="5" t="s">
        <v>14670</v>
      </c>
      <c r="L1330" s="17" t="s">
        <v>11411</v>
      </c>
      <c r="M1330" s="3" t="s">
        <v>230</v>
      </c>
      <c r="N1330" s="6" t="s">
        <v>524</v>
      </c>
      <c r="O1330" s="6" t="s">
        <v>233</v>
      </c>
      <c r="P1330" s="58" t="s">
        <v>247</v>
      </c>
      <c r="Q1330" s="6" t="s">
        <v>240</v>
      </c>
      <c r="R1330" s="1">
        <v>1.17</v>
      </c>
      <c r="S1330" s="2">
        <v>191910</v>
      </c>
      <c r="T1330" s="4">
        <v>0</v>
      </c>
      <c r="U1330" s="4">
        <f t="shared" si="49"/>
        <v>0</v>
      </c>
      <c r="V1330" s="3" t="s">
        <v>362</v>
      </c>
      <c r="W1330" s="3">
        <v>2014</v>
      </c>
      <c r="X1330" s="3">
        <v>11</v>
      </c>
    </row>
    <row r="1331" spans="1:24" ht="89.25">
      <c r="A1331" s="3" t="s">
        <v>17961</v>
      </c>
      <c r="B1331" s="6" t="s">
        <v>361</v>
      </c>
      <c r="C1331" s="6" t="s">
        <v>3848</v>
      </c>
      <c r="D1331" s="6" t="s">
        <v>3835</v>
      </c>
      <c r="E1331" s="6" t="s">
        <v>3849</v>
      </c>
      <c r="F1331" s="6" t="s">
        <v>3841</v>
      </c>
      <c r="G1331" s="3" t="s">
        <v>11449</v>
      </c>
      <c r="H1331" s="54">
        <v>0</v>
      </c>
      <c r="I1331" s="16">
        <v>470000000</v>
      </c>
      <c r="J1331" s="157" t="s">
        <v>229</v>
      </c>
      <c r="K1331" s="5" t="s">
        <v>8950</v>
      </c>
      <c r="L1331" s="17" t="s">
        <v>11411</v>
      </c>
      <c r="M1331" s="3" t="s">
        <v>230</v>
      </c>
      <c r="N1331" s="6" t="s">
        <v>524</v>
      </c>
      <c r="O1331" s="6" t="s">
        <v>233</v>
      </c>
      <c r="P1331" s="58" t="s">
        <v>247</v>
      </c>
      <c r="Q1331" s="6" t="s">
        <v>240</v>
      </c>
      <c r="R1331" s="1">
        <v>1.17</v>
      </c>
      <c r="S1331" s="2">
        <v>191910</v>
      </c>
      <c r="T1331" s="4">
        <v>0</v>
      </c>
      <c r="U1331" s="4">
        <f t="shared" si="49"/>
        <v>0</v>
      </c>
      <c r="V1331" s="3" t="s">
        <v>362</v>
      </c>
      <c r="W1331" s="3">
        <v>2014</v>
      </c>
      <c r="X1331" s="3" t="s">
        <v>12076</v>
      </c>
    </row>
    <row r="1332" spans="1:24" ht="102">
      <c r="A1332" s="3" t="s">
        <v>1117</v>
      </c>
      <c r="B1332" s="6" t="s">
        <v>361</v>
      </c>
      <c r="C1332" s="6" t="s">
        <v>3850</v>
      </c>
      <c r="D1332" s="6" t="s">
        <v>3851</v>
      </c>
      <c r="E1332" s="6" t="s">
        <v>11521</v>
      </c>
      <c r="F1332" s="6" t="s">
        <v>3785</v>
      </c>
      <c r="G1332" s="3" t="s">
        <v>11449</v>
      </c>
      <c r="H1332" s="54">
        <v>0</v>
      </c>
      <c r="I1332" s="16">
        <v>470000000</v>
      </c>
      <c r="J1332" s="157" t="s">
        <v>229</v>
      </c>
      <c r="K1332" s="5" t="s">
        <v>210</v>
      </c>
      <c r="L1332" s="6" t="s">
        <v>231</v>
      </c>
      <c r="M1332" s="3" t="s">
        <v>230</v>
      </c>
      <c r="N1332" s="6" t="s">
        <v>524</v>
      </c>
      <c r="O1332" s="6" t="s">
        <v>233</v>
      </c>
      <c r="P1332" s="58" t="s">
        <v>247</v>
      </c>
      <c r="Q1332" s="6" t="s">
        <v>240</v>
      </c>
      <c r="R1332" s="18">
        <v>14</v>
      </c>
      <c r="S1332" s="2">
        <v>185856</v>
      </c>
      <c r="T1332" s="4">
        <v>0</v>
      </c>
      <c r="U1332" s="4">
        <f t="shared" si="49"/>
        <v>0</v>
      </c>
      <c r="V1332" s="3" t="s">
        <v>362</v>
      </c>
      <c r="W1332" s="3">
        <v>2014</v>
      </c>
      <c r="X1332" s="3">
        <v>11.12</v>
      </c>
    </row>
    <row r="1333" spans="1:24" ht="89.25">
      <c r="A1333" s="3" t="s">
        <v>12266</v>
      </c>
      <c r="B1333" s="6" t="s">
        <v>361</v>
      </c>
      <c r="C1333" s="6" t="s">
        <v>3850</v>
      </c>
      <c r="D1333" s="6" t="s">
        <v>3851</v>
      </c>
      <c r="E1333" s="6" t="s">
        <v>11521</v>
      </c>
      <c r="F1333" s="6" t="s">
        <v>3785</v>
      </c>
      <c r="G1333" s="3" t="s">
        <v>11449</v>
      </c>
      <c r="H1333" s="54">
        <v>0</v>
      </c>
      <c r="I1333" s="16">
        <v>470000000</v>
      </c>
      <c r="J1333" s="157" t="s">
        <v>229</v>
      </c>
      <c r="K1333" s="5" t="s">
        <v>12128</v>
      </c>
      <c r="L1333" s="17" t="s">
        <v>11411</v>
      </c>
      <c r="M1333" s="3" t="s">
        <v>230</v>
      </c>
      <c r="N1333" s="6" t="s">
        <v>524</v>
      </c>
      <c r="O1333" s="6" t="s">
        <v>233</v>
      </c>
      <c r="P1333" s="58" t="s">
        <v>247</v>
      </c>
      <c r="Q1333" s="6" t="s">
        <v>240</v>
      </c>
      <c r="R1333" s="18">
        <v>14</v>
      </c>
      <c r="S1333" s="2">
        <v>185856</v>
      </c>
      <c r="T1333" s="4">
        <v>0</v>
      </c>
      <c r="U1333" s="4">
        <f t="shared" si="49"/>
        <v>0</v>
      </c>
      <c r="V1333" s="3" t="s">
        <v>362</v>
      </c>
      <c r="W1333" s="3">
        <v>2014</v>
      </c>
      <c r="X1333" s="3" t="s">
        <v>12051</v>
      </c>
    </row>
    <row r="1334" spans="1:24" ht="89.25">
      <c r="A1334" s="3" t="s">
        <v>14950</v>
      </c>
      <c r="B1334" s="6" t="s">
        <v>361</v>
      </c>
      <c r="C1334" s="6" t="s">
        <v>3850</v>
      </c>
      <c r="D1334" s="6" t="s">
        <v>3851</v>
      </c>
      <c r="E1334" s="6" t="s">
        <v>11521</v>
      </c>
      <c r="F1334" s="6" t="s">
        <v>3785</v>
      </c>
      <c r="G1334" s="3" t="s">
        <v>11449</v>
      </c>
      <c r="H1334" s="54">
        <v>0</v>
      </c>
      <c r="I1334" s="16">
        <v>470000000</v>
      </c>
      <c r="J1334" s="157" t="s">
        <v>229</v>
      </c>
      <c r="K1334" s="5" t="s">
        <v>14934</v>
      </c>
      <c r="L1334" s="17" t="s">
        <v>11411</v>
      </c>
      <c r="M1334" s="3" t="s">
        <v>230</v>
      </c>
      <c r="N1334" s="6" t="s">
        <v>524</v>
      </c>
      <c r="O1334" s="6" t="s">
        <v>233</v>
      </c>
      <c r="P1334" s="58" t="s">
        <v>247</v>
      </c>
      <c r="Q1334" s="6" t="s">
        <v>240</v>
      </c>
      <c r="R1334" s="18">
        <v>32</v>
      </c>
      <c r="S1334" s="2">
        <v>223027</v>
      </c>
      <c r="T1334" s="4">
        <v>0</v>
      </c>
      <c r="U1334" s="4">
        <f t="shared" si="49"/>
        <v>0</v>
      </c>
      <c r="V1334" s="3" t="s">
        <v>362</v>
      </c>
      <c r="W1334" s="3">
        <v>2014</v>
      </c>
      <c r="X1334" s="3" t="s">
        <v>14785</v>
      </c>
    </row>
    <row r="1335" spans="1:24" ht="89.25">
      <c r="A1335" s="3" t="s">
        <v>17962</v>
      </c>
      <c r="B1335" s="6" t="s">
        <v>361</v>
      </c>
      <c r="C1335" s="6" t="s">
        <v>3850</v>
      </c>
      <c r="D1335" s="6" t="s">
        <v>3851</v>
      </c>
      <c r="E1335" s="6" t="s">
        <v>11521</v>
      </c>
      <c r="F1335" s="6" t="s">
        <v>3785</v>
      </c>
      <c r="G1335" s="3" t="s">
        <v>11449</v>
      </c>
      <c r="H1335" s="54">
        <v>0</v>
      </c>
      <c r="I1335" s="16">
        <v>470000000</v>
      </c>
      <c r="J1335" s="157" t="s">
        <v>229</v>
      </c>
      <c r="K1335" s="5" t="s">
        <v>8950</v>
      </c>
      <c r="L1335" s="17" t="s">
        <v>11411</v>
      </c>
      <c r="M1335" s="3" t="s">
        <v>230</v>
      </c>
      <c r="N1335" s="6" t="s">
        <v>524</v>
      </c>
      <c r="O1335" s="6" t="s">
        <v>233</v>
      </c>
      <c r="P1335" s="58" t="s">
        <v>247</v>
      </c>
      <c r="Q1335" s="6" t="s">
        <v>240</v>
      </c>
      <c r="R1335" s="18">
        <v>32</v>
      </c>
      <c r="S1335" s="2">
        <v>223027.19999999998</v>
      </c>
      <c r="T1335" s="4">
        <v>0</v>
      </c>
      <c r="U1335" s="4">
        <f t="shared" si="49"/>
        <v>0</v>
      </c>
      <c r="V1335" s="3" t="s">
        <v>362</v>
      </c>
      <c r="W1335" s="3">
        <v>2014</v>
      </c>
      <c r="X1335" s="3">
        <v>11.22</v>
      </c>
    </row>
    <row r="1336" spans="1:24" ht="89.25">
      <c r="A1336" s="3" t="s">
        <v>19056</v>
      </c>
      <c r="B1336" s="6" t="s">
        <v>361</v>
      </c>
      <c r="C1336" s="6" t="s">
        <v>3850</v>
      </c>
      <c r="D1336" s="6" t="s">
        <v>3851</v>
      </c>
      <c r="E1336" s="6" t="s">
        <v>11521</v>
      </c>
      <c r="F1336" s="6" t="s">
        <v>3785</v>
      </c>
      <c r="G1336" s="3" t="s">
        <v>11449</v>
      </c>
      <c r="H1336" s="54">
        <v>0</v>
      </c>
      <c r="I1336" s="16">
        <v>470000000</v>
      </c>
      <c r="J1336" s="157" t="s">
        <v>229</v>
      </c>
      <c r="K1336" s="5" t="s">
        <v>18748</v>
      </c>
      <c r="L1336" s="17" t="s">
        <v>11411</v>
      </c>
      <c r="M1336" s="3" t="s">
        <v>230</v>
      </c>
      <c r="N1336" s="6" t="s">
        <v>524</v>
      </c>
      <c r="O1336" s="6" t="s">
        <v>233</v>
      </c>
      <c r="P1336" s="58" t="s">
        <v>247</v>
      </c>
      <c r="Q1336" s="6" t="s">
        <v>240</v>
      </c>
      <c r="R1336" s="18">
        <v>32</v>
      </c>
      <c r="S1336" s="2">
        <v>223027.19999999998</v>
      </c>
      <c r="T1336" s="4">
        <f>R1336*S1336</f>
        <v>7136870.3999999994</v>
      </c>
      <c r="U1336" s="4">
        <f t="shared" ref="U1336" si="51">T1336*1.12</f>
        <v>7993294.8480000002</v>
      </c>
      <c r="V1336" s="3"/>
      <c r="W1336" s="3">
        <v>2014</v>
      </c>
      <c r="X1336" s="3"/>
    </row>
    <row r="1337" spans="1:24" ht="102">
      <c r="A1337" s="3" t="s">
        <v>1118</v>
      </c>
      <c r="B1337" s="6" t="s">
        <v>361</v>
      </c>
      <c r="C1337" s="6" t="s">
        <v>3850</v>
      </c>
      <c r="D1337" s="6" t="s">
        <v>3851</v>
      </c>
      <c r="E1337" s="6" t="s">
        <v>11521</v>
      </c>
      <c r="F1337" s="6" t="s">
        <v>3786</v>
      </c>
      <c r="G1337" s="3" t="s">
        <v>11449</v>
      </c>
      <c r="H1337" s="54">
        <v>0</v>
      </c>
      <c r="I1337" s="16">
        <v>470000000</v>
      </c>
      <c r="J1337" s="157" t="s">
        <v>229</v>
      </c>
      <c r="K1337" s="5" t="s">
        <v>210</v>
      </c>
      <c r="L1337" s="6" t="s">
        <v>231</v>
      </c>
      <c r="M1337" s="3" t="s">
        <v>230</v>
      </c>
      <c r="N1337" s="6" t="s">
        <v>524</v>
      </c>
      <c r="O1337" s="6" t="s">
        <v>233</v>
      </c>
      <c r="P1337" s="58" t="s">
        <v>247</v>
      </c>
      <c r="Q1337" s="6" t="s">
        <v>240</v>
      </c>
      <c r="R1337" s="18">
        <v>21</v>
      </c>
      <c r="S1337" s="2">
        <v>185856</v>
      </c>
      <c r="T1337" s="4">
        <v>0</v>
      </c>
      <c r="U1337" s="4">
        <f t="shared" si="49"/>
        <v>0</v>
      </c>
      <c r="V1337" s="3" t="s">
        <v>362</v>
      </c>
      <c r="W1337" s="3">
        <v>2014</v>
      </c>
      <c r="X1337" s="3">
        <v>11.12</v>
      </c>
    </row>
    <row r="1338" spans="1:24" ht="89.25">
      <c r="A1338" s="3" t="s">
        <v>12267</v>
      </c>
      <c r="B1338" s="6" t="s">
        <v>361</v>
      </c>
      <c r="C1338" s="6" t="s">
        <v>3850</v>
      </c>
      <c r="D1338" s="6" t="s">
        <v>3851</v>
      </c>
      <c r="E1338" s="6" t="s">
        <v>11521</v>
      </c>
      <c r="F1338" s="6" t="s">
        <v>3786</v>
      </c>
      <c r="G1338" s="3" t="s">
        <v>11449</v>
      </c>
      <c r="H1338" s="54">
        <v>0</v>
      </c>
      <c r="I1338" s="16">
        <v>470000000</v>
      </c>
      <c r="J1338" s="157" t="s">
        <v>229</v>
      </c>
      <c r="K1338" s="5" t="s">
        <v>12128</v>
      </c>
      <c r="L1338" s="17" t="s">
        <v>11411</v>
      </c>
      <c r="M1338" s="3" t="s">
        <v>230</v>
      </c>
      <c r="N1338" s="6" t="s">
        <v>524</v>
      </c>
      <c r="O1338" s="6" t="s">
        <v>233</v>
      </c>
      <c r="P1338" s="58" t="s">
        <v>247</v>
      </c>
      <c r="Q1338" s="6" t="s">
        <v>240</v>
      </c>
      <c r="R1338" s="18">
        <v>21</v>
      </c>
      <c r="S1338" s="2">
        <v>223027</v>
      </c>
      <c r="T1338" s="4">
        <v>0</v>
      </c>
      <c r="U1338" s="4">
        <f t="shared" si="49"/>
        <v>0</v>
      </c>
      <c r="V1338" s="3" t="s">
        <v>362</v>
      </c>
      <c r="W1338" s="3">
        <v>2014</v>
      </c>
      <c r="X1338" s="3" t="s">
        <v>12076</v>
      </c>
    </row>
    <row r="1339" spans="1:24" ht="102">
      <c r="A1339" s="3" t="s">
        <v>1119</v>
      </c>
      <c r="B1339" s="6" t="s">
        <v>361</v>
      </c>
      <c r="C1339" s="6" t="s">
        <v>3853</v>
      </c>
      <c r="D1339" s="6" t="s">
        <v>3851</v>
      </c>
      <c r="E1339" s="6" t="s">
        <v>3854</v>
      </c>
      <c r="F1339" s="6" t="s">
        <v>3787</v>
      </c>
      <c r="G1339" s="3" t="s">
        <v>11449</v>
      </c>
      <c r="H1339" s="54">
        <v>0</v>
      </c>
      <c r="I1339" s="16">
        <v>470000000</v>
      </c>
      <c r="J1339" s="157" t="s">
        <v>229</v>
      </c>
      <c r="K1339" s="5" t="s">
        <v>211</v>
      </c>
      <c r="L1339" s="6" t="s">
        <v>231</v>
      </c>
      <c r="M1339" s="3" t="s">
        <v>230</v>
      </c>
      <c r="N1339" s="6" t="s">
        <v>524</v>
      </c>
      <c r="O1339" s="6" t="s">
        <v>233</v>
      </c>
      <c r="P1339" s="58" t="s">
        <v>247</v>
      </c>
      <c r="Q1339" s="6" t="s">
        <v>240</v>
      </c>
      <c r="R1339" s="18">
        <v>7</v>
      </c>
      <c r="S1339" s="2">
        <v>185856</v>
      </c>
      <c r="T1339" s="4">
        <v>0</v>
      </c>
      <c r="U1339" s="4">
        <f t="shared" si="49"/>
        <v>0</v>
      </c>
      <c r="V1339" s="3" t="s">
        <v>362</v>
      </c>
      <c r="W1339" s="3">
        <v>2014</v>
      </c>
      <c r="X1339" s="3">
        <v>11.12</v>
      </c>
    </row>
    <row r="1340" spans="1:24" ht="89.25">
      <c r="A1340" s="3" t="s">
        <v>12268</v>
      </c>
      <c r="B1340" s="6" t="s">
        <v>361</v>
      </c>
      <c r="C1340" s="6" t="s">
        <v>3853</v>
      </c>
      <c r="D1340" s="6" t="s">
        <v>3851</v>
      </c>
      <c r="E1340" s="6" t="s">
        <v>3854</v>
      </c>
      <c r="F1340" s="6" t="s">
        <v>3787</v>
      </c>
      <c r="G1340" s="3" t="s">
        <v>11449</v>
      </c>
      <c r="H1340" s="54">
        <v>0</v>
      </c>
      <c r="I1340" s="16">
        <v>470000000</v>
      </c>
      <c r="J1340" s="157" t="s">
        <v>229</v>
      </c>
      <c r="K1340" s="5" t="s">
        <v>12128</v>
      </c>
      <c r="L1340" s="17" t="s">
        <v>11411</v>
      </c>
      <c r="M1340" s="3" t="s">
        <v>230</v>
      </c>
      <c r="N1340" s="6" t="s">
        <v>524</v>
      </c>
      <c r="O1340" s="6" t="s">
        <v>233</v>
      </c>
      <c r="P1340" s="58" t="s">
        <v>247</v>
      </c>
      <c r="Q1340" s="6" t="s">
        <v>240</v>
      </c>
      <c r="R1340" s="18">
        <v>7</v>
      </c>
      <c r="S1340" s="2">
        <v>185856</v>
      </c>
      <c r="T1340" s="4">
        <v>0</v>
      </c>
      <c r="U1340" s="4">
        <f t="shared" si="49"/>
        <v>0</v>
      </c>
      <c r="V1340" s="3" t="s">
        <v>362</v>
      </c>
      <c r="W1340" s="3">
        <v>2014</v>
      </c>
      <c r="X1340" s="3" t="s">
        <v>12051</v>
      </c>
    </row>
    <row r="1341" spans="1:24" ht="89.25">
      <c r="A1341" s="3" t="s">
        <v>14951</v>
      </c>
      <c r="B1341" s="6" t="s">
        <v>361</v>
      </c>
      <c r="C1341" s="6" t="s">
        <v>3853</v>
      </c>
      <c r="D1341" s="6" t="s">
        <v>3851</v>
      </c>
      <c r="E1341" s="6" t="s">
        <v>3854</v>
      </c>
      <c r="F1341" s="6" t="s">
        <v>3787</v>
      </c>
      <c r="G1341" s="3" t="s">
        <v>11449</v>
      </c>
      <c r="H1341" s="54">
        <v>0</v>
      </c>
      <c r="I1341" s="16">
        <v>470000000</v>
      </c>
      <c r="J1341" s="157" t="s">
        <v>229</v>
      </c>
      <c r="K1341" s="5" t="s">
        <v>14670</v>
      </c>
      <c r="L1341" s="17" t="s">
        <v>11411</v>
      </c>
      <c r="M1341" s="3" t="s">
        <v>230</v>
      </c>
      <c r="N1341" s="6" t="s">
        <v>524</v>
      </c>
      <c r="O1341" s="6" t="s">
        <v>233</v>
      </c>
      <c r="P1341" s="58" t="s">
        <v>247</v>
      </c>
      <c r="Q1341" s="6" t="s">
        <v>240</v>
      </c>
      <c r="R1341" s="18">
        <v>12.1</v>
      </c>
      <c r="S1341" s="2">
        <v>480925</v>
      </c>
      <c r="T1341" s="4">
        <v>0</v>
      </c>
      <c r="U1341" s="4">
        <f t="shared" si="49"/>
        <v>0</v>
      </c>
      <c r="V1341" s="3" t="s">
        <v>362</v>
      </c>
      <c r="W1341" s="3">
        <v>2014</v>
      </c>
      <c r="X1341" s="3">
        <v>7.11</v>
      </c>
    </row>
    <row r="1342" spans="1:24" ht="89.25">
      <c r="A1342" s="3" t="s">
        <v>17964</v>
      </c>
      <c r="B1342" s="6" t="s">
        <v>361</v>
      </c>
      <c r="C1342" s="6" t="s">
        <v>3853</v>
      </c>
      <c r="D1342" s="6" t="s">
        <v>3851</v>
      </c>
      <c r="E1342" s="6" t="s">
        <v>3854</v>
      </c>
      <c r="F1342" s="6" t="s">
        <v>3787</v>
      </c>
      <c r="G1342" s="3" t="s">
        <v>11450</v>
      </c>
      <c r="H1342" s="54">
        <v>0</v>
      </c>
      <c r="I1342" s="16">
        <v>470000000</v>
      </c>
      <c r="J1342" s="157" t="s">
        <v>229</v>
      </c>
      <c r="K1342" s="5" t="s">
        <v>8950</v>
      </c>
      <c r="L1342" s="17" t="s">
        <v>11411</v>
      </c>
      <c r="M1342" s="3" t="s">
        <v>230</v>
      </c>
      <c r="N1342" s="6" t="s">
        <v>524</v>
      </c>
      <c r="O1342" s="6" t="s">
        <v>233</v>
      </c>
      <c r="P1342" s="58" t="s">
        <v>247</v>
      </c>
      <c r="Q1342" s="6" t="s">
        <v>240</v>
      </c>
      <c r="R1342" s="18">
        <v>12.1</v>
      </c>
      <c r="S1342" s="2">
        <v>480925</v>
      </c>
      <c r="T1342" s="4">
        <f>R1342*S1342</f>
        <v>5819192.5</v>
      </c>
      <c r="U1342" s="4">
        <f t="shared" si="49"/>
        <v>6517495.6000000006</v>
      </c>
      <c r="V1342" s="3" t="s">
        <v>362</v>
      </c>
      <c r="W1342" s="3">
        <v>2014</v>
      </c>
      <c r="X1342" s="3"/>
    </row>
    <row r="1343" spans="1:24" ht="102">
      <c r="A1343" s="3" t="s">
        <v>1120</v>
      </c>
      <c r="B1343" s="6" t="s">
        <v>361</v>
      </c>
      <c r="C1343" s="6" t="s">
        <v>3852</v>
      </c>
      <c r="D1343" s="6" t="s">
        <v>3851</v>
      </c>
      <c r="E1343" s="6" t="s">
        <v>11522</v>
      </c>
      <c r="F1343" s="6" t="s">
        <v>3788</v>
      </c>
      <c r="G1343" s="3" t="s">
        <v>11449</v>
      </c>
      <c r="H1343" s="54">
        <v>0</v>
      </c>
      <c r="I1343" s="16">
        <v>470000000</v>
      </c>
      <c r="J1343" s="157" t="s">
        <v>229</v>
      </c>
      <c r="K1343" s="5" t="s">
        <v>210</v>
      </c>
      <c r="L1343" s="6" t="s">
        <v>231</v>
      </c>
      <c r="M1343" s="3" t="s">
        <v>230</v>
      </c>
      <c r="N1343" s="6" t="s">
        <v>524</v>
      </c>
      <c r="O1343" s="6" t="s">
        <v>233</v>
      </c>
      <c r="P1343" s="58" t="s">
        <v>247</v>
      </c>
      <c r="Q1343" s="6" t="s">
        <v>240</v>
      </c>
      <c r="R1343" s="50">
        <v>4.2</v>
      </c>
      <c r="S1343" s="2">
        <v>185856</v>
      </c>
      <c r="T1343" s="4">
        <v>0</v>
      </c>
      <c r="U1343" s="4">
        <f t="shared" si="49"/>
        <v>0</v>
      </c>
      <c r="V1343" s="3" t="s">
        <v>362</v>
      </c>
      <c r="W1343" s="3">
        <v>2014</v>
      </c>
      <c r="X1343" s="3">
        <v>11.12</v>
      </c>
    </row>
    <row r="1344" spans="1:24" ht="89.25">
      <c r="A1344" s="3" t="s">
        <v>12269</v>
      </c>
      <c r="B1344" s="6" t="s">
        <v>361</v>
      </c>
      <c r="C1344" s="6" t="s">
        <v>3852</v>
      </c>
      <c r="D1344" s="6" t="s">
        <v>3851</v>
      </c>
      <c r="E1344" s="6" t="s">
        <v>11522</v>
      </c>
      <c r="F1344" s="6" t="s">
        <v>3788</v>
      </c>
      <c r="G1344" s="3" t="s">
        <v>11449</v>
      </c>
      <c r="H1344" s="54">
        <v>0</v>
      </c>
      <c r="I1344" s="16">
        <v>470000000</v>
      </c>
      <c r="J1344" s="157" t="s">
        <v>229</v>
      </c>
      <c r="K1344" s="5" t="s">
        <v>211</v>
      </c>
      <c r="L1344" s="17" t="s">
        <v>11411</v>
      </c>
      <c r="M1344" s="3" t="s">
        <v>230</v>
      </c>
      <c r="N1344" s="6" t="s">
        <v>524</v>
      </c>
      <c r="O1344" s="6" t="s">
        <v>233</v>
      </c>
      <c r="P1344" s="58" t="s">
        <v>247</v>
      </c>
      <c r="Q1344" s="6" t="s">
        <v>240</v>
      </c>
      <c r="R1344" s="50">
        <v>4.2</v>
      </c>
      <c r="S1344" s="2">
        <v>185856</v>
      </c>
      <c r="T1344" s="4">
        <v>0</v>
      </c>
      <c r="U1344" s="4">
        <f t="shared" si="49"/>
        <v>0</v>
      </c>
      <c r="V1344" s="3" t="s">
        <v>362</v>
      </c>
      <c r="W1344" s="3">
        <v>2014</v>
      </c>
      <c r="X1344" s="3" t="s">
        <v>14747</v>
      </c>
    </row>
    <row r="1345" spans="1:24" ht="89.25">
      <c r="A1345" s="3" t="s">
        <v>16350</v>
      </c>
      <c r="B1345" s="6" t="s">
        <v>361</v>
      </c>
      <c r="C1345" s="6" t="s">
        <v>14748</v>
      </c>
      <c r="D1345" s="6" t="s">
        <v>14201</v>
      </c>
      <c r="E1345" s="6" t="s">
        <v>14749</v>
      </c>
      <c r="F1345" s="6" t="s">
        <v>3788</v>
      </c>
      <c r="G1345" s="3" t="s">
        <v>11449</v>
      </c>
      <c r="H1345" s="54">
        <v>0</v>
      </c>
      <c r="I1345" s="16">
        <v>470000000</v>
      </c>
      <c r="J1345" s="157" t="s">
        <v>229</v>
      </c>
      <c r="K1345" s="5" t="s">
        <v>14750</v>
      </c>
      <c r="L1345" s="17" t="s">
        <v>11411</v>
      </c>
      <c r="M1345" s="3" t="s">
        <v>230</v>
      </c>
      <c r="N1345" s="6" t="s">
        <v>524</v>
      </c>
      <c r="O1345" s="6" t="s">
        <v>233</v>
      </c>
      <c r="P1345" s="58" t="s">
        <v>247</v>
      </c>
      <c r="Q1345" s="6" t="s">
        <v>240</v>
      </c>
      <c r="R1345" s="50">
        <v>4.2</v>
      </c>
      <c r="S1345" s="2">
        <v>187027</v>
      </c>
      <c r="T1345" s="4">
        <v>0</v>
      </c>
      <c r="U1345" s="4">
        <f t="shared" si="49"/>
        <v>0</v>
      </c>
      <c r="V1345" s="3" t="s">
        <v>362</v>
      </c>
      <c r="W1345" s="3">
        <v>2014</v>
      </c>
      <c r="X1345" s="3">
        <v>7.11</v>
      </c>
    </row>
    <row r="1346" spans="1:24" ht="89.25">
      <c r="A1346" s="3" t="s">
        <v>17965</v>
      </c>
      <c r="B1346" s="6" t="s">
        <v>361</v>
      </c>
      <c r="C1346" s="6" t="s">
        <v>14748</v>
      </c>
      <c r="D1346" s="6" t="s">
        <v>14201</v>
      </c>
      <c r="E1346" s="6" t="s">
        <v>14749</v>
      </c>
      <c r="F1346" s="6" t="s">
        <v>3788</v>
      </c>
      <c r="G1346" s="3" t="s">
        <v>11450</v>
      </c>
      <c r="H1346" s="54">
        <v>0</v>
      </c>
      <c r="I1346" s="16">
        <v>470000000</v>
      </c>
      <c r="J1346" s="157" t="s">
        <v>229</v>
      </c>
      <c r="K1346" s="5" t="s">
        <v>8950</v>
      </c>
      <c r="L1346" s="17" t="s">
        <v>11411</v>
      </c>
      <c r="M1346" s="3" t="s">
        <v>230</v>
      </c>
      <c r="N1346" s="6" t="s">
        <v>524</v>
      </c>
      <c r="O1346" s="6" t="s">
        <v>233</v>
      </c>
      <c r="P1346" s="58" t="s">
        <v>247</v>
      </c>
      <c r="Q1346" s="6" t="s">
        <v>240</v>
      </c>
      <c r="R1346" s="50">
        <v>4.2</v>
      </c>
      <c r="S1346" s="2">
        <v>187027.19999999998</v>
      </c>
      <c r="T1346" s="4">
        <f>R1346*S1346</f>
        <v>785514.24</v>
      </c>
      <c r="U1346" s="4">
        <f t="shared" si="49"/>
        <v>879775.94880000013</v>
      </c>
      <c r="V1346" s="3" t="s">
        <v>362</v>
      </c>
      <c r="W1346" s="3">
        <v>2014</v>
      </c>
      <c r="X1346" s="3"/>
    </row>
    <row r="1347" spans="1:24" ht="102">
      <c r="A1347" s="3" t="s">
        <v>1121</v>
      </c>
      <c r="B1347" s="6" t="s">
        <v>361</v>
      </c>
      <c r="C1347" s="6" t="s">
        <v>3856</v>
      </c>
      <c r="D1347" s="6" t="s">
        <v>3851</v>
      </c>
      <c r="E1347" s="6" t="s">
        <v>3857</v>
      </c>
      <c r="F1347" s="6" t="s">
        <v>3789</v>
      </c>
      <c r="G1347" s="3" t="s">
        <v>11449</v>
      </c>
      <c r="H1347" s="54">
        <v>0</v>
      </c>
      <c r="I1347" s="16">
        <v>470000000</v>
      </c>
      <c r="J1347" s="157" t="s">
        <v>229</v>
      </c>
      <c r="K1347" s="5" t="s">
        <v>211</v>
      </c>
      <c r="L1347" s="6" t="s">
        <v>231</v>
      </c>
      <c r="M1347" s="3" t="s">
        <v>230</v>
      </c>
      <c r="N1347" s="6" t="s">
        <v>524</v>
      </c>
      <c r="O1347" s="6" t="s">
        <v>233</v>
      </c>
      <c r="P1347" s="58" t="s">
        <v>247</v>
      </c>
      <c r="Q1347" s="6" t="s">
        <v>240</v>
      </c>
      <c r="R1347" s="51">
        <v>5.6</v>
      </c>
      <c r="S1347" s="2">
        <v>185856</v>
      </c>
      <c r="T1347" s="4">
        <v>0</v>
      </c>
      <c r="U1347" s="4">
        <f t="shared" si="49"/>
        <v>0</v>
      </c>
      <c r="V1347" s="3" t="s">
        <v>362</v>
      </c>
      <c r="W1347" s="3">
        <v>2014</v>
      </c>
      <c r="X1347" s="3" t="s">
        <v>14751</v>
      </c>
    </row>
    <row r="1348" spans="1:24" ht="89.25">
      <c r="A1348" s="3" t="s">
        <v>14752</v>
      </c>
      <c r="B1348" s="6" t="s">
        <v>361</v>
      </c>
      <c r="C1348" s="6" t="s">
        <v>3856</v>
      </c>
      <c r="D1348" s="6" t="s">
        <v>3851</v>
      </c>
      <c r="E1348" s="6" t="s">
        <v>3857</v>
      </c>
      <c r="F1348" s="6" t="s">
        <v>3789</v>
      </c>
      <c r="G1348" s="3" t="s">
        <v>11449</v>
      </c>
      <c r="H1348" s="54">
        <v>0</v>
      </c>
      <c r="I1348" s="16">
        <v>470000000</v>
      </c>
      <c r="J1348" s="157" t="s">
        <v>229</v>
      </c>
      <c r="K1348" s="5" t="s">
        <v>14750</v>
      </c>
      <c r="L1348" s="17" t="s">
        <v>11411</v>
      </c>
      <c r="M1348" s="3" t="s">
        <v>230</v>
      </c>
      <c r="N1348" s="6" t="s">
        <v>524</v>
      </c>
      <c r="O1348" s="6" t="s">
        <v>233</v>
      </c>
      <c r="P1348" s="58" t="s">
        <v>247</v>
      </c>
      <c r="Q1348" s="6" t="s">
        <v>240</v>
      </c>
      <c r="R1348" s="51">
        <v>5.476</v>
      </c>
      <c r="S1348" s="2">
        <v>187027</v>
      </c>
      <c r="T1348" s="4">
        <v>0</v>
      </c>
      <c r="U1348" s="4">
        <f t="shared" si="49"/>
        <v>0</v>
      </c>
      <c r="V1348" s="3" t="s">
        <v>362</v>
      </c>
      <c r="W1348" s="3">
        <v>2014</v>
      </c>
      <c r="X1348" s="6" t="s">
        <v>17410</v>
      </c>
    </row>
    <row r="1349" spans="1:24" ht="89.25">
      <c r="A1349" s="3" t="s">
        <v>16393</v>
      </c>
      <c r="B1349" s="6" t="s">
        <v>361</v>
      </c>
      <c r="C1349" s="6" t="s">
        <v>3856</v>
      </c>
      <c r="D1349" s="6" t="s">
        <v>3851</v>
      </c>
      <c r="E1349" s="6" t="s">
        <v>3857</v>
      </c>
      <c r="F1349" s="6" t="s">
        <v>3789</v>
      </c>
      <c r="G1349" s="3" t="s">
        <v>11450</v>
      </c>
      <c r="H1349" s="54">
        <v>0</v>
      </c>
      <c r="I1349" s="16">
        <v>470000000</v>
      </c>
      <c r="J1349" s="157" t="s">
        <v>229</v>
      </c>
      <c r="K1349" s="5" t="s">
        <v>9041</v>
      </c>
      <c r="L1349" s="17" t="s">
        <v>11411</v>
      </c>
      <c r="M1349" s="3" t="s">
        <v>230</v>
      </c>
      <c r="N1349" s="6" t="s">
        <v>521</v>
      </c>
      <c r="O1349" s="6" t="s">
        <v>233</v>
      </c>
      <c r="P1349" s="58" t="s">
        <v>247</v>
      </c>
      <c r="Q1349" s="6" t="s">
        <v>240</v>
      </c>
      <c r="R1349" s="51">
        <v>8.2840000000000007</v>
      </c>
      <c r="S1349" s="2">
        <v>223027.19999999998</v>
      </c>
      <c r="T1349" s="4">
        <f>R1349*S1349</f>
        <v>1847557.3248000001</v>
      </c>
      <c r="U1349" s="4">
        <f>T1349*1.12</f>
        <v>2069264.2037760003</v>
      </c>
      <c r="V1349" s="3" t="s">
        <v>362</v>
      </c>
      <c r="W1349" s="3">
        <v>2014</v>
      </c>
      <c r="X1349" s="3"/>
    </row>
    <row r="1350" spans="1:24" ht="102">
      <c r="A1350" s="3" t="s">
        <v>1122</v>
      </c>
      <c r="B1350" s="6" t="s">
        <v>361</v>
      </c>
      <c r="C1350" s="6" t="s">
        <v>7702</v>
      </c>
      <c r="D1350" s="6" t="s">
        <v>3851</v>
      </c>
      <c r="E1350" s="6" t="s">
        <v>7703</v>
      </c>
      <c r="F1350" s="6" t="s">
        <v>7704</v>
      </c>
      <c r="G1350" s="3" t="s">
        <v>11449</v>
      </c>
      <c r="H1350" s="54">
        <v>0</v>
      </c>
      <c r="I1350" s="16">
        <v>470000000</v>
      </c>
      <c r="J1350" s="157" t="s">
        <v>229</v>
      </c>
      <c r="K1350" s="5" t="s">
        <v>211</v>
      </c>
      <c r="L1350" s="6" t="s">
        <v>231</v>
      </c>
      <c r="M1350" s="3" t="s">
        <v>230</v>
      </c>
      <c r="N1350" s="6" t="s">
        <v>524</v>
      </c>
      <c r="O1350" s="6" t="s">
        <v>233</v>
      </c>
      <c r="P1350" s="58" t="s">
        <v>247</v>
      </c>
      <c r="Q1350" s="6" t="s">
        <v>240</v>
      </c>
      <c r="R1350" s="51">
        <v>0.25</v>
      </c>
      <c r="S1350" s="2">
        <v>185856</v>
      </c>
      <c r="T1350" s="4">
        <v>0</v>
      </c>
      <c r="U1350" s="4">
        <f t="shared" si="49"/>
        <v>0</v>
      </c>
      <c r="V1350" s="3" t="s">
        <v>362</v>
      </c>
      <c r="W1350" s="3">
        <v>2014</v>
      </c>
      <c r="X1350" s="3" t="s">
        <v>14846</v>
      </c>
    </row>
    <row r="1351" spans="1:24" ht="89.25">
      <c r="A1351" s="3" t="s">
        <v>16351</v>
      </c>
      <c r="B1351" s="6" t="s">
        <v>361</v>
      </c>
      <c r="C1351" s="6" t="s">
        <v>7702</v>
      </c>
      <c r="D1351" s="6" t="s">
        <v>3851</v>
      </c>
      <c r="E1351" s="6" t="s">
        <v>7703</v>
      </c>
      <c r="F1351" s="6" t="s">
        <v>7704</v>
      </c>
      <c r="G1351" s="3" t="s">
        <v>11449</v>
      </c>
      <c r="H1351" s="54">
        <v>0</v>
      </c>
      <c r="I1351" s="16">
        <v>470000000</v>
      </c>
      <c r="J1351" s="157" t="s">
        <v>229</v>
      </c>
      <c r="K1351" s="5" t="s">
        <v>14750</v>
      </c>
      <c r="L1351" s="17" t="s">
        <v>11411</v>
      </c>
      <c r="M1351" s="3" t="s">
        <v>230</v>
      </c>
      <c r="N1351" s="6" t="s">
        <v>524</v>
      </c>
      <c r="O1351" s="6" t="s">
        <v>233</v>
      </c>
      <c r="P1351" s="58" t="s">
        <v>247</v>
      </c>
      <c r="Q1351" s="6" t="s">
        <v>240</v>
      </c>
      <c r="R1351" s="51">
        <v>0.25</v>
      </c>
      <c r="S1351" s="2">
        <v>187027.19999999998</v>
      </c>
      <c r="T1351" s="4">
        <v>0</v>
      </c>
      <c r="U1351" s="4">
        <f>T1351*1.12</f>
        <v>0</v>
      </c>
      <c r="V1351" s="3" t="s">
        <v>362</v>
      </c>
      <c r="W1351" s="3">
        <v>2014</v>
      </c>
      <c r="X1351" s="3">
        <v>7.11</v>
      </c>
    </row>
    <row r="1352" spans="1:24" ht="89.25">
      <c r="A1352" s="3" t="s">
        <v>17966</v>
      </c>
      <c r="B1352" s="6" t="s">
        <v>361</v>
      </c>
      <c r="C1352" s="6" t="s">
        <v>7702</v>
      </c>
      <c r="D1352" s="6" t="s">
        <v>3851</v>
      </c>
      <c r="E1352" s="6" t="s">
        <v>7703</v>
      </c>
      <c r="F1352" s="6" t="s">
        <v>7704</v>
      </c>
      <c r="G1352" s="3" t="s">
        <v>11450</v>
      </c>
      <c r="H1352" s="54">
        <v>0</v>
      </c>
      <c r="I1352" s="16">
        <v>470000000</v>
      </c>
      <c r="J1352" s="157" t="s">
        <v>229</v>
      </c>
      <c r="K1352" s="5" t="s">
        <v>8950</v>
      </c>
      <c r="L1352" s="17" t="s">
        <v>11411</v>
      </c>
      <c r="M1352" s="3" t="s">
        <v>230</v>
      </c>
      <c r="N1352" s="6" t="s">
        <v>524</v>
      </c>
      <c r="O1352" s="6" t="s">
        <v>233</v>
      </c>
      <c r="P1352" s="58" t="s">
        <v>247</v>
      </c>
      <c r="Q1352" s="6" t="s">
        <v>240</v>
      </c>
      <c r="R1352" s="51">
        <v>0.25</v>
      </c>
      <c r="S1352" s="2">
        <v>187027.19999999998</v>
      </c>
      <c r="T1352" s="4">
        <v>0</v>
      </c>
      <c r="U1352" s="4">
        <f>T1352*1.12</f>
        <v>0</v>
      </c>
      <c r="V1352" s="3" t="s">
        <v>362</v>
      </c>
      <c r="W1352" s="3">
        <v>2014</v>
      </c>
      <c r="X1352" s="3" t="s">
        <v>12076</v>
      </c>
    </row>
    <row r="1353" spans="1:24" ht="102">
      <c r="A1353" s="3" t="s">
        <v>1123</v>
      </c>
      <c r="B1353" s="6" t="s">
        <v>361</v>
      </c>
      <c r="C1353" s="6" t="s">
        <v>3858</v>
      </c>
      <c r="D1353" s="6" t="s">
        <v>3851</v>
      </c>
      <c r="E1353" s="6" t="s">
        <v>3855</v>
      </c>
      <c r="F1353" s="6" t="s">
        <v>3790</v>
      </c>
      <c r="G1353" s="3" t="s">
        <v>11449</v>
      </c>
      <c r="H1353" s="54">
        <v>0</v>
      </c>
      <c r="I1353" s="16">
        <v>470000000</v>
      </c>
      <c r="J1353" s="157" t="s">
        <v>229</v>
      </c>
      <c r="K1353" s="5" t="s">
        <v>211</v>
      </c>
      <c r="L1353" s="6" t="s">
        <v>231</v>
      </c>
      <c r="M1353" s="3" t="s">
        <v>230</v>
      </c>
      <c r="N1353" s="6" t="s">
        <v>524</v>
      </c>
      <c r="O1353" s="6" t="s">
        <v>233</v>
      </c>
      <c r="P1353" s="58" t="s">
        <v>247</v>
      </c>
      <c r="Q1353" s="6" t="s">
        <v>240</v>
      </c>
      <c r="R1353" s="51">
        <v>5</v>
      </c>
      <c r="S1353" s="2">
        <v>155856</v>
      </c>
      <c r="T1353" s="4">
        <v>0</v>
      </c>
      <c r="U1353" s="4">
        <f t="shared" si="49"/>
        <v>0</v>
      </c>
      <c r="V1353" s="3" t="s">
        <v>362</v>
      </c>
      <c r="W1353" s="3">
        <v>2014</v>
      </c>
      <c r="X1353" s="3">
        <v>11.12</v>
      </c>
    </row>
    <row r="1354" spans="1:24" ht="89.25">
      <c r="A1354" s="3" t="s">
        <v>12270</v>
      </c>
      <c r="B1354" s="6" t="s">
        <v>361</v>
      </c>
      <c r="C1354" s="6" t="s">
        <v>3858</v>
      </c>
      <c r="D1354" s="6" t="s">
        <v>3851</v>
      </c>
      <c r="E1354" s="6" t="s">
        <v>3855</v>
      </c>
      <c r="F1354" s="6" t="s">
        <v>3790</v>
      </c>
      <c r="G1354" s="3" t="s">
        <v>11449</v>
      </c>
      <c r="H1354" s="54">
        <v>0</v>
      </c>
      <c r="I1354" s="16">
        <v>470000000</v>
      </c>
      <c r="J1354" s="157" t="s">
        <v>229</v>
      </c>
      <c r="K1354" s="5" t="s">
        <v>217</v>
      </c>
      <c r="L1354" s="17" t="s">
        <v>11411</v>
      </c>
      <c r="M1354" s="3" t="s">
        <v>230</v>
      </c>
      <c r="N1354" s="6" t="s">
        <v>524</v>
      </c>
      <c r="O1354" s="6" t="s">
        <v>233</v>
      </c>
      <c r="P1354" s="58" t="s">
        <v>247</v>
      </c>
      <c r="Q1354" s="6" t="s">
        <v>240</v>
      </c>
      <c r="R1354" s="51">
        <v>5</v>
      </c>
      <c r="S1354" s="2">
        <v>155856</v>
      </c>
      <c r="T1354" s="4">
        <v>0</v>
      </c>
      <c r="U1354" s="4">
        <f t="shared" si="49"/>
        <v>0</v>
      </c>
      <c r="V1354" s="3" t="s">
        <v>362</v>
      </c>
      <c r="W1354" s="3">
        <v>2014</v>
      </c>
      <c r="X1354" s="3" t="s">
        <v>14753</v>
      </c>
    </row>
    <row r="1355" spans="1:24" ht="89.25">
      <c r="A1355" s="3" t="s">
        <v>14199</v>
      </c>
      <c r="B1355" s="6" t="s">
        <v>361</v>
      </c>
      <c r="C1355" s="6" t="s">
        <v>14200</v>
      </c>
      <c r="D1355" s="6" t="s">
        <v>14201</v>
      </c>
      <c r="E1355" s="6" t="s">
        <v>14202</v>
      </c>
      <c r="F1355" s="6" t="s">
        <v>3790</v>
      </c>
      <c r="G1355" s="3" t="s">
        <v>11449</v>
      </c>
      <c r="H1355" s="54">
        <v>0</v>
      </c>
      <c r="I1355" s="16">
        <v>470000000</v>
      </c>
      <c r="J1355" s="157" t="s">
        <v>229</v>
      </c>
      <c r="K1355" s="5" t="s">
        <v>14754</v>
      </c>
      <c r="L1355" s="17" t="s">
        <v>11411</v>
      </c>
      <c r="M1355" s="3" t="s">
        <v>230</v>
      </c>
      <c r="N1355" s="6" t="s">
        <v>524</v>
      </c>
      <c r="O1355" s="6" t="s">
        <v>233</v>
      </c>
      <c r="P1355" s="58" t="s">
        <v>247</v>
      </c>
      <c r="Q1355" s="6" t="s">
        <v>240</v>
      </c>
      <c r="R1355" s="51">
        <v>5.22</v>
      </c>
      <c r="S1355" s="2">
        <v>187027.19999999998</v>
      </c>
      <c r="T1355" s="4">
        <v>0</v>
      </c>
      <c r="U1355" s="4">
        <f t="shared" si="49"/>
        <v>0</v>
      </c>
      <c r="V1355" s="3" t="s">
        <v>362</v>
      </c>
      <c r="W1355" s="3">
        <v>2014</v>
      </c>
      <c r="X1355" s="3">
        <v>7.11</v>
      </c>
    </row>
    <row r="1356" spans="1:24" ht="89.25">
      <c r="A1356" s="3" t="s">
        <v>17967</v>
      </c>
      <c r="B1356" s="6" t="s">
        <v>361</v>
      </c>
      <c r="C1356" s="6" t="s">
        <v>14200</v>
      </c>
      <c r="D1356" s="6" t="s">
        <v>14201</v>
      </c>
      <c r="E1356" s="6" t="s">
        <v>14202</v>
      </c>
      <c r="F1356" s="6" t="s">
        <v>3790</v>
      </c>
      <c r="G1356" s="3" t="s">
        <v>11450</v>
      </c>
      <c r="H1356" s="54">
        <v>0</v>
      </c>
      <c r="I1356" s="16">
        <v>470000000</v>
      </c>
      <c r="J1356" s="157" t="s">
        <v>229</v>
      </c>
      <c r="K1356" s="5" t="s">
        <v>8950</v>
      </c>
      <c r="L1356" s="17" t="s">
        <v>11411</v>
      </c>
      <c r="M1356" s="3" t="s">
        <v>230</v>
      </c>
      <c r="N1356" s="6" t="s">
        <v>524</v>
      </c>
      <c r="O1356" s="6" t="s">
        <v>233</v>
      </c>
      <c r="P1356" s="58" t="s">
        <v>247</v>
      </c>
      <c r="Q1356" s="6" t="s">
        <v>240</v>
      </c>
      <c r="R1356" s="51">
        <v>5.22</v>
      </c>
      <c r="S1356" s="2">
        <v>187027.19999999998</v>
      </c>
      <c r="T1356" s="4">
        <f>R1356*S1356</f>
        <v>976281.98399999982</v>
      </c>
      <c r="U1356" s="4">
        <f t="shared" si="49"/>
        <v>1093435.8220799998</v>
      </c>
      <c r="V1356" s="3" t="s">
        <v>362</v>
      </c>
      <c r="W1356" s="3">
        <v>2014</v>
      </c>
      <c r="X1356" s="158"/>
    </row>
    <row r="1357" spans="1:24" ht="102">
      <c r="A1357" s="3" t="s">
        <v>1124</v>
      </c>
      <c r="B1357" s="6" t="s">
        <v>361</v>
      </c>
      <c r="C1357" s="6" t="s">
        <v>3859</v>
      </c>
      <c r="D1357" s="6" t="s">
        <v>3860</v>
      </c>
      <c r="E1357" s="6" t="s">
        <v>3861</v>
      </c>
      <c r="F1357" s="6" t="s">
        <v>3791</v>
      </c>
      <c r="G1357" s="3" t="s">
        <v>11449</v>
      </c>
      <c r="H1357" s="54">
        <v>0</v>
      </c>
      <c r="I1357" s="16">
        <v>470000000</v>
      </c>
      <c r="J1357" s="157" t="s">
        <v>229</v>
      </c>
      <c r="K1357" s="5" t="s">
        <v>210</v>
      </c>
      <c r="L1357" s="6" t="s">
        <v>231</v>
      </c>
      <c r="M1357" s="3" t="s">
        <v>230</v>
      </c>
      <c r="N1357" s="6" t="s">
        <v>524</v>
      </c>
      <c r="O1357" s="6" t="s">
        <v>233</v>
      </c>
      <c r="P1357" s="58" t="s">
        <v>247</v>
      </c>
      <c r="Q1357" s="6" t="s">
        <v>240</v>
      </c>
      <c r="R1357" s="136">
        <v>12.8</v>
      </c>
      <c r="S1357" s="2">
        <v>155856</v>
      </c>
      <c r="T1357" s="4">
        <v>0</v>
      </c>
      <c r="U1357" s="4">
        <f t="shared" si="49"/>
        <v>0</v>
      </c>
      <c r="V1357" s="3" t="s">
        <v>362</v>
      </c>
      <c r="W1357" s="3">
        <v>2014</v>
      </c>
      <c r="X1357" s="3">
        <v>11.12</v>
      </c>
    </row>
    <row r="1358" spans="1:24" ht="89.25">
      <c r="A1358" s="3" t="s">
        <v>12271</v>
      </c>
      <c r="B1358" s="6" t="s">
        <v>361</v>
      </c>
      <c r="C1358" s="6" t="s">
        <v>3859</v>
      </c>
      <c r="D1358" s="6" t="s">
        <v>3860</v>
      </c>
      <c r="E1358" s="6" t="s">
        <v>3861</v>
      </c>
      <c r="F1358" s="6" t="s">
        <v>3791</v>
      </c>
      <c r="G1358" s="3" t="s">
        <v>11449</v>
      </c>
      <c r="H1358" s="54">
        <v>0</v>
      </c>
      <c r="I1358" s="16">
        <v>470000000</v>
      </c>
      <c r="J1358" s="157" t="s">
        <v>229</v>
      </c>
      <c r="K1358" s="5" t="s">
        <v>211</v>
      </c>
      <c r="L1358" s="17" t="s">
        <v>11411</v>
      </c>
      <c r="M1358" s="3" t="s">
        <v>230</v>
      </c>
      <c r="N1358" s="6" t="s">
        <v>524</v>
      </c>
      <c r="O1358" s="6" t="s">
        <v>233</v>
      </c>
      <c r="P1358" s="58" t="s">
        <v>247</v>
      </c>
      <c r="Q1358" s="6" t="s">
        <v>240</v>
      </c>
      <c r="R1358" s="136">
        <v>0</v>
      </c>
      <c r="S1358" s="2">
        <v>155856</v>
      </c>
      <c r="T1358" s="4">
        <f>R1358*S1358</f>
        <v>0</v>
      </c>
      <c r="U1358" s="4">
        <f t="shared" si="49"/>
        <v>0</v>
      </c>
      <c r="V1358" s="3" t="s">
        <v>362</v>
      </c>
      <c r="W1358" s="3">
        <v>2014</v>
      </c>
      <c r="X1358" s="3" t="s">
        <v>12076</v>
      </c>
    </row>
    <row r="1359" spans="1:24" ht="102">
      <c r="A1359" s="3" t="s">
        <v>1125</v>
      </c>
      <c r="B1359" s="6" t="s">
        <v>361</v>
      </c>
      <c r="C1359" s="6" t="s">
        <v>3868</v>
      </c>
      <c r="D1359" s="6" t="s">
        <v>3860</v>
      </c>
      <c r="E1359" s="6" t="s">
        <v>3869</v>
      </c>
      <c r="F1359" s="6" t="s">
        <v>3792</v>
      </c>
      <c r="G1359" s="3" t="s">
        <v>11449</v>
      </c>
      <c r="H1359" s="54">
        <v>0</v>
      </c>
      <c r="I1359" s="16">
        <v>470000000</v>
      </c>
      <c r="J1359" s="157" t="s">
        <v>229</v>
      </c>
      <c r="K1359" s="5" t="s">
        <v>211</v>
      </c>
      <c r="L1359" s="6" t="s">
        <v>231</v>
      </c>
      <c r="M1359" s="3" t="s">
        <v>230</v>
      </c>
      <c r="N1359" s="6" t="s">
        <v>524</v>
      </c>
      <c r="O1359" s="6" t="s">
        <v>233</v>
      </c>
      <c r="P1359" s="58" t="s">
        <v>247</v>
      </c>
      <c r="Q1359" s="6" t="s">
        <v>240</v>
      </c>
      <c r="R1359" s="18">
        <v>32</v>
      </c>
      <c r="S1359" s="2">
        <v>155856</v>
      </c>
      <c r="T1359" s="4">
        <v>0</v>
      </c>
      <c r="U1359" s="4">
        <f t="shared" si="49"/>
        <v>0</v>
      </c>
      <c r="V1359" s="3" t="s">
        <v>362</v>
      </c>
      <c r="W1359" s="3">
        <v>2014</v>
      </c>
      <c r="X1359" s="3">
        <v>11.12</v>
      </c>
    </row>
    <row r="1360" spans="1:24" ht="89.25">
      <c r="A1360" s="3" t="s">
        <v>12272</v>
      </c>
      <c r="B1360" s="6" t="s">
        <v>361</v>
      </c>
      <c r="C1360" s="6" t="s">
        <v>3868</v>
      </c>
      <c r="D1360" s="6" t="s">
        <v>3860</v>
      </c>
      <c r="E1360" s="6" t="s">
        <v>3869</v>
      </c>
      <c r="F1360" s="6" t="s">
        <v>3792</v>
      </c>
      <c r="G1360" s="3" t="s">
        <v>11449</v>
      </c>
      <c r="H1360" s="54">
        <v>0</v>
      </c>
      <c r="I1360" s="16">
        <v>470000000</v>
      </c>
      <c r="J1360" s="157" t="s">
        <v>229</v>
      </c>
      <c r="K1360" s="5" t="s">
        <v>12128</v>
      </c>
      <c r="L1360" s="17" t="s">
        <v>11411</v>
      </c>
      <c r="M1360" s="3" t="s">
        <v>230</v>
      </c>
      <c r="N1360" s="6" t="s">
        <v>524</v>
      </c>
      <c r="O1360" s="6" t="s">
        <v>233</v>
      </c>
      <c r="P1360" s="58" t="s">
        <v>247</v>
      </c>
      <c r="Q1360" s="6" t="s">
        <v>240</v>
      </c>
      <c r="R1360" s="18">
        <v>32</v>
      </c>
      <c r="S1360" s="2">
        <v>155856</v>
      </c>
      <c r="T1360" s="4">
        <v>0</v>
      </c>
      <c r="U1360" s="4">
        <f t="shared" si="49"/>
        <v>0</v>
      </c>
      <c r="V1360" s="3" t="s">
        <v>362</v>
      </c>
      <c r="W1360" s="3">
        <v>2014</v>
      </c>
      <c r="X1360" s="3" t="s">
        <v>12051</v>
      </c>
    </row>
    <row r="1361" spans="1:24" ht="89.25">
      <c r="A1361" s="3" t="s">
        <v>14755</v>
      </c>
      <c r="B1361" s="6" t="s">
        <v>361</v>
      </c>
      <c r="C1361" s="6" t="s">
        <v>3868</v>
      </c>
      <c r="D1361" s="6" t="s">
        <v>3860</v>
      </c>
      <c r="E1361" s="6" t="s">
        <v>3869</v>
      </c>
      <c r="F1361" s="6" t="s">
        <v>3792</v>
      </c>
      <c r="G1361" s="3" t="s">
        <v>11449</v>
      </c>
      <c r="H1361" s="54">
        <v>0</v>
      </c>
      <c r="I1361" s="16">
        <v>470000000</v>
      </c>
      <c r="J1361" s="157" t="s">
        <v>229</v>
      </c>
      <c r="K1361" s="5" t="s">
        <v>14750</v>
      </c>
      <c r="L1361" s="17" t="s">
        <v>11411</v>
      </c>
      <c r="M1361" s="3" t="s">
        <v>230</v>
      </c>
      <c r="N1361" s="6" t="s">
        <v>524</v>
      </c>
      <c r="O1361" s="6" t="s">
        <v>233</v>
      </c>
      <c r="P1361" s="58" t="s">
        <v>247</v>
      </c>
      <c r="Q1361" s="6" t="s">
        <v>240</v>
      </c>
      <c r="R1361" s="18">
        <v>31.648</v>
      </c>
      <c r="S1361" s="2">
        <v>187027.19999999998</v>
      </c>
      <c r="T1361" s="4">
        <v>0</v>
      </c>
      <c r="U1361" s="4">
        <f t="shared" si="49"/>
        <v>0</v>
      </c>
      <c r="V1361" s="3" t="s">
        <v>362</v>
      </c>
      <c r="W1361" s="3">
        <v>2014</v>
      </c>
      <c r="X1361" s="3" t="s">
        <v>17399</v>
      </c>
    </row>
    <row r="1362" spans="1:24" ht="89.25">
      <c r="A1362" s="3" t="s">
        <v>17968</v>
      </c>
      <c r="B1362" s="6" t="s">
        <v>361</v>
      </c>
      <c r="C1362" s="6" t="s">
        <v>3868</v>
      </c>
      <c r="D1362" s="6" t="s">
        <v>3860</v>
      </c>
      <c r="E1362" s="6" t="s">
        <v>3869</v>
      </c>
      <c r="F1362" s="6" t="s">
        <v>3792</v>
      </c>
      <c r="G1362" s="3" t="s">
        <v>11450</v>
      </c>
      <c r="H1362" s="54">
        <v>0</v>
      </c>
      <c r="I1362" s="16">
        <v>470000000</v>
      </c>
      <c r="J1362" s="157" t="s">
        <v>229</v>
      </c>
      <c r="K1362" s="5" t="s">
        <v>9041</v>
      </c>
      <c r="L1362" s="17" t="s">
        <v>11411</v>
      </c>
      <c r="M1362" s="3" t="s">
        <v>230</v>
      </c>
      <c r="N1362" s="6" t="s">
        <v>521</v>
      </c>
      <c r="O1362" s="6" t="s">
        <v>233</v>
      </c>
      <c r="P1362" s="58" t="s">
        <v>247</v>
      </c>
      <c r="Q1362" s="6" t="s">
        <v>240</v>
      </c>
      <c r="R1362" s="18">
        <v>31.648</v>
      </c>
      <c r="S1362" s="2">
        <v>187027.19999999998</v>
      </c>
      <c r="T1362" s="4">
        <f>R1362*S1362</f>
        <v>5919036.8255999992</v>
      </c>
      <c r="U1362" s="4">
        <f t="shared" si="49"/>
        <v>6629321.2446719995</v>
      </c>
      <c r="V1362" s="3" t="s">
        <v>362</v>
      </c>
      <c r="W1362" s="3">
        <v>2014</v>
      </c>
      <c r="X1362" s="158"/>
    </row>
    <row r="1363" spans="1:24" ht="102">
      <c r="A1363" s="3" t="s">
        <v>1126</v>
      </c>
      <c r="B1363" s="6" t="s">
        <v>361</v>
      </c>
      <c r="C1363" s="6" t="s">
        <v>3866</v>
      </c>
      <c r="D1363" s="6" t="s">
        <v>3860</v>
      </c>
      <c r="E1363" s="6" t="s">
        <v>3867</v>
      </c>
      <c r="F1363" s="6" t="s">
        <v>3793</v>
      </c>
      <c r="G1363" s="3" t="s">
        <v>11449</v>
      </c>
      <c r="H1363" s="54">
        <v>0</v>
      </c>
      <c r="I1363" s="16">
        <v>470000000</v>
      </c>
      <c r="J1363" s="157" t="s">
        <v>229</v>
      </c>
      <c r="K1363" s="5" t="s">
        <v>211</v>
      </c>
      <c r="L1363" s="6" t="s">
        <v>231</v>
      </c>
      <c r="M1363" s="3" t="s">
        <v>230</v>
      </c>
      <c r="N1363" s="6" t="s">
        <v>524</v>
      </c>
      <c r="O1363" s="6" t="s">
        <v>233</v>
      </c>
      <c r="P1363" s="58" t="s">
        <v>247</v>
      </c>
      <c r="Q1363" s="6" t="s">
        <v>240</v>
      </c>
      <c r="R1363" s="18">
        <v>0</v>
      </c>
      <c r="S1363" s="2">
        <v>150153</v>
      </c>
      <c r="T1363" s="4">
        <f>R1363*S1363</f>
        <v>0</v>
      </c>
      <c r="U1363" s="4">
        <f t="shared" si="49"/>
        <v>0</v>
      </c>
      <c r="V1363" s="3" t="s">
        <v>362</v>
      </c>
      <c r="W1363" s="3">
        <v>2014</v>
      </c>
      <c r="X1363" s="3" t="s">
        <v>12076</v>
      </c>
    </row>
    <row r="1364" spans="1:24" ht="102">
      <c r="A1364" s="3" t="s">
        <v>1127</v>
      </c>
      <c r="B1364" s="6" t="s">
        <v>361</v>
      </c>
      <c r="C1364" s="6" t="s">
        <v>3864</v>
      </c>
      <c r="D1364" s="6" t="s">
        <v>3860</v>
      </c>
      <c r="E1364" s="6" t="s">
        <v>3865</v>
      </c>
      <c r="F1364" s="6" t="s">
        <v>3794</v>
      </c>
      <c r="G1364" s="3" t="s">
        <v>11449</v>
      </c>
      <c r="H1364" s="54">
        <v>0</v>
      </c>
      <c r="I1364" s="16">
        <v>470000000</v>
      </c>
      <c r="J1364" s="157" t="s">
        <v>229</v>
      </c>
      <c r="K1364" s="5" t="s">
        <v>211</v>
      </c>
      <c r="L1364" s="6" t="s">
        <v>231</v>
      </c>
      <c r="M1364" s="3" t="s">
        <v>230</v>
      </c>
      <c r="N1364" s="6" t="s">
        <v>524</v>
      </c>
      <c r="O1364" s="6" t="s">
        <v>233</v>
      </c>
      <c r="P1364" s="58" t="s">
        <v>247</v>
      </c>
      <c r="Q1364" s="6" t="s">
        <v>240</v>
      </c>
      <c r="R1364" s="50">
        <v>14.5</v>
      </c>
      <c r="S1364" s="2">
        <v>152187</v>
      </c>
      <c r="T1364" s="4">
        <v>0</v>
      </c>
      <c r="U1364" s="4">
        <f t="shared" si="49"/>
        <v>0</v>
      </c>
      <c r="V1364" s="3" t="s">
        <v>362</v>
      </c>
      <c r="W1364" s="3">
        <v>2014</v>
      </c>
      <c r="X1364" s="3">
        <v>11.12</v>
      </c>
    </row>
    <row r="1365" spans="1:24" ht="89.25">
      <c r="A1365" s="3" t="s">
        <v>12273</v>
      </c>
      <c r="B1365" s="6" t="s">
        <v>361</v>
      </c>
      <c r="C1365" s="6" t="s">
        <v>3864</v>
      </c>
      <c r="D1365" s="6" t="s">
        <v>3860</v>
      </c>
      <c r="E1365" s="6" t="s">
        <v>3865</v>
      </c>
      <c r="F1365" s="6" t="s">
        <v>3794</v>
      </c>
      <c r="G1365" s="3" t="s">
        <v>11449</v>
      </c>
      <c r="H1365" s="54">
        <v>0</v>
      </c>
      <c r="I1365" s="16">
        <v>470000000</v>
      </c>
      <c r="J1365" s="157" t="s">
        <v>229</v>
      </c>
      <c r="K1365" s="5" t="s">
        <v>12128</v>
      </c>
      <c r="L1365" s="17" t="s">
        <v>11411</v>
      </c>
      <c r="M1365" s="3" t="s">
        <v>230</v>
      </c>
      <c r="N1365" s="6" t="s">
        <v>524</v>
      </c>
      <c r="O1365" s="6" t="s">
        <v>233</v>
      </c>
      <c r="P1365" s="58" t="s">
        <v>247</v>
      </c>
      <c r="Q1365" s="6" t="s">
        <v>240</v>
      </c>
      <c r="R1365" s="50">
        <v>14.5</v>
      </c>
      <c r="S1365" s="2">
        <v>152187</v>
      </c>
      <c r="T1365" s="4">
        <v>0</v>
      </c>
      <c r="U1365" s="4">
        <f t="shared" si="49"/>
        <v>0</v>
      </c>
      <c r="V1365" s="3" t="s">
        <v>362</v>
      </c>
      <c r="W1365" s="3">
        <v>2014</v>
      </c>
      <c r="X1365" s="3" t="s">
        <v>12051</v>
      </c>
    </row>
    <row r="1366" spans="1:24" ht="89.25">
      <c r="A1366" s="3" t="s">
        <v>14756</v>
      </c>
      <c r="B1366" s="6" t="s">
        <v>361</v>
      </c>
      <c r="C1366" s="6" t="s">
        <v>3864</v>
      </c>
      <c r="D1366" s="6" t="s">
        <v>3860</v>
      </c>
      <c r="E1366" s="6" t="s">
        <v>3865</v>
      </c>
      <c r="F1366" s="6" t="s">
        <v>3794</v>
      </c>
      <c r="G1366" s="3" t="s">
        <v>11449</v>
      </c>
      <c r="H1366" s="54">
        <v>0</v>
      </c>
      <c r="I1366" s="16">
        <v>470000000</v>
      </c>
      <c r="J1366" s="157" t="s">
        <v>229</v>
      </c>
      <c r="K1366" s="5" t="s">
        <v>14754</v>
      </c>
      <c r="L1366" s="17" t="s">
        <v>11411</v>
      </c>
      <c r="M1366" s="3" t="s">
        <v>230</v>
      </c>
      <c r="N1366" s="6" t="s">
        <v>524</v>
      </c>
      <c r="O1366" s="6" t="s">
        <v>233</v>
      </c>
      <c r="P1366" s="58" t="s">
        <v>247</v>
      </c>
      <c r="Q1366" s="6" t="s">
        <v>240</v>
      </c>
      <c r="R1366" s="50">
        <v>15.0289</v>
      </c>
      <c r="S1366" s="2">
        <v>182624.4</v>
      </c>
      <c r="T1366" s="4">
        <v>0</v>
      </c>
      <c r="U1366" s="4">
        <f t="shared" si="49"/>
        <v>0</v>
      </c>
      <c r="V1366" s="3" t="s">
        <v>362</v>
      </c>
      <c r="W1366" s="3">
        <v>2014</v>
      </c>
      <c r="X1366" s="3" t="s">
        <v>17399</v>
      </c>
    </row>
    <row r="1367" spans="1:24" ht="89.25">
      <c r="A1367" s="3" t="s">
        <v>17969</v>
      </c>
      <c r="B1367" s="6" t="s">
        <v>361</v>
      </c>
      <c r="C1367" s="6" t="s">
        <v>3864</v>
      </c>
      <c r="D1367" s="6" t="s">
        <v>3860</v>
      </c>
      <c r="E1367" s="6" t="s">
        <v>3865</v>
      </c>
      <c r="F1367" s="6" t="s">
        <v>3794</v>
      </c>
      <c r="G1367" s="3" t="s">
        <v>11450</v>
      </c>
      <c r="H1367" s="54">
        <v>0</v>
      </c>
      <c r="I1367" s="16">
        <v>470000000</v>
      </c>
      <c r="J1367" s="157" t="s">
        <v>229</v>
      </c>
      <c r="K1367" s="5" t="s">
        <v>9041</v>
      </c>
      <c r="L1367" s="17" t="s">
        <v>11411</v>
      </c>
      <c r="M1367" s="3" t="s">
        <v>230</v>
      </c>
      <c r="N1367" s="6" t="s">
        <v>521</v>
      </c>
      <c r="O1367" s="6" t="s">
        <v>233</v>
      </c>
      <c r="P1367" s="58" t="s">
        <v>247</v>
      </c>
      <c r="Q1367" s="6" t="s">
        <v>240</v>
      </c>
      <c r="R1367" s="50">
        <v>15.0289</v>
      </c>
      <c r="S1367" s="2">
        <v>182624.4</v>
      </c>
      <c r="T1367" s="4">
        <f>R1367*S1367</f>
        <v>2744643.84516</v>
      </c>
      <c r="U1367" s="4">
        <f t="shared" si="49"/>
        <v>3074001.1065792004</v>
      </c>
      <c r="V1367" s="3" t="s">
        <v>362</v>
      </c>
      <c r="W1367" s="3">
        <v>2014</v>
      </c>
      <c r="X1367" s="158"/>
    </row>
    <row r="1368" spans="1:24" ht="102">
      <c r="A1368" s="3" t="s">
        <v>1128</v>
      </c>
      <c r="B1368" s="6" t="s">
        <v>361</v>
      </c>
      <c r="C1368" s="6" t="s">
        <v>3862</v>
      </c>
      <c r="D1368" s="6" t="s">
        <v>3860</v>
      </c>
      <c r="E1368" s="6" t="s">
        <v>3863</v>
      </c>
      <c r="F1368" s="6" t="s">
        <v>3795</v>
      </c>
      <c r="G1368" s="3" t="s">
        <v>11449</v>
      </c>
      <c r="H1368" s="54">
        <v>0</v>
      </c>
      <c r="I1368" s="16">
        <v>470000000</v>
      </c>
      <c r="J1368" s="157" t="s">
        <v>229</v>
      </c>
      <c r="K1368" s="5" t="s">
        <v>211</v>
      </c>
      <c r="L1368" s="6" t="s">
        <v>231</v>
      </c>
      <c r="M1368" s="3" t="s">
        <v>230</v>
      </c>
      <c r="N1368" s="6" t="s">
        <v>524</v>
      </c>
      <c r="O1368" s="6" t="s">
        <v>233</v>
      </c>
      <c r="P1368" s="58" t="s">
        <v>247</v>
      </c>
      <c r="Q1368" s="6" t="s">
        <v>240</v>
      </c>
      <c r="R1368" s="18">
        <v>8</v>
      </c>
      <c r="S1368" s="2">
        <v>152187</v>
      </c>
      <c r="T1368" s="4">
        <v>0</v>
      </c>
      <c r="U1368" s="4">
        <f t="shared" si="49"/>
        <v>0</v>
      </c>
      <c r="V1368" s="3" t="s">
        <v>362</v>
      </c>
      <c r="W1368" s="3">
        <v>2014</v>
      </c>
      <c r="X1368" s="3">
        <v>11.12</v>
      </c>
    </row>
    <row r="1369" spans="1:24" ht="89.25">
      <c r="A1369" s="3" t="s">
        <v>12274</v>
      </c>
      <c r="B1369" s="6" t="s">
        <v>361</v>
      </c>
      <c r="C1369" s="6" t="s">
        <v>3862</v>
      </c>
      <c r="D1369" s="6" t="s">
        <v>3860</v>
      </c>
      <c r="E1369" s="6" t="s">
        <v>3863</v>
      </c>
      <c r="F1369" s="6" t="s">
        <v>3795</v>
      </c>
      <c r="G1369" s="3" t="s">
        <v>11449</v>
      </c>
      <c r="H1369" s="54">
        <v>0</v>
      </c>
      <c r="I1369" s="16">
        <v>470000000</v>
      </c>
      <c r="J1369" s="157" t="s">
        <v>229</v>
      </c>
      <c r="K1369" s="5" t="s">
        <v>12128</v>
      </c>
      <c r="L1369" s="17" t="s">
        <v>11411</v>
      </c>
      <c r="M1369" s="3" t="s">
        <v>230</v>
      </c>
      <c r="N1369" s="6" t="s">
        <v>524</v>
      </c>
      <c r="O1369" s="6" t="s">
        <v>233</v>
      </c>
      <c r="P1369" s="58" t="s">
        <v>247</v>
      </c>
      <c r="Q1369" s="6" t="s">
        <v>240</v>
      </c>
      <c r="R1369" s="18">
        <v>8</v>
      </c>
      <c r="S1369" s="2">
        <v>152187</v>
      </c>
      <c r="T1369" s="4">
        <v>0</v>
      </c>
      <c r="U1369" s="4">
        <f t="shared" si="49"/>
        <v>0</v>
      </c>
      <c r="V1369" s="3" t="s">
        <v>362</v>
      </c>
      <c r="W1369" s="3">
        <v>2014</v>
      </c>
      <c r="X1369" s="3" t="s">
        <v>14757</v>
      </c>
    </row>
    <row r="1370" spans="1:24" ht="89.25">
      <c r="A1370" s="3" t="s">
        <v>14758</v>
      </c>
      <c r="B1370" s="6" t="s">
        <v>361</v>
      </c>
      <c r="C1370" s="6" t="s">
        <v>3862</v>
      </c>
      <c r="D1370" s="6" t="s">
        <v>3860</v>
      </c>
      <c r="E1370" s="6" t="s">
        <v>3863</v>
      </c>
      <c r="F1370" s="6" t="s">
        <v>3795</v>
      </c>
      <c r="G1370" s="3" t="s">
        <v>11449</v>
      </c>
      <c r="H1370" s="54">
        <v>0</v>
      </c>
      <c r="I1370" s="16">
        <v>470000000</v>
      </c>
      <c r="J1370" s="157" t="s">
        <v>229</v>
      </c>
      <c r="K1370" s="5" t="s">
        <v>220</v>
      </c>
      <c r="L1370" s="17" t="s">
        <v>11411</v>
      </c>
      <c r="M1370" s="3" t="s">
        <v>230</v>
      </c>
      <c r="N1370" s="6" t="s">
        <v>524</v>
      </c>
      <c r="O1370" s="6" t="s">
        <v>233</v>
      </c>
      <c r="P1370" s="58" t="s">
        <v>247</v>
      </c>
      <c r="Q1370" s="6" t="s">
        <v>240</v>
      </c>
      <c r="R1370" s="18">
        <v>7.2260000000000009</v>
      </c>
      <c r="S1370" s="2">
        <v>182624.4</v>
      </c>
      <c r="T1370" s="4">
        <v>0</v>
      </c>
      <c r="U1370" s="4">
        <f t="shared" si="49"/>
        <v>0</v>
      </c>
      <c r="V1370" s="3" t="s">
        <v>362</v>
      </c>
      <c r="W1370" s="3">
        <v>2014</v>
      </c>
      <c r="X1370" s="3" t="s">
        <v>17399</v>
      </c>
    </row>
    <row r="1371" spans="1:24" ht="89.25">
      <c r="A1371" s="3" t="s">
        <v>17970</v>
      </c>
      <c r="B1371" s="6" t="s">
        <v>361</v>
      </c>
      <c r="C1371" s="6" t="s">
        <v>3862</v>
      </c>
      <c r="D1371" s="6" t="s">
        <v>3860</v>
      </c>
      <c r="E1371" s="6" t="s">
        <v>3863</v>
      </c>
      <c r="F1371" s="6" t="s">
        <v>3795</v>
      </c>
      <c r="G1371" s="3" t="s">
        <v>11450</v>
      </c>
      <c r="H1371" s="54">
        <v>0</v>
      </c>
      <c r="I1371" s="16">
        <v>470000000</v>
      </c>
      <c r="J1371" s="157" t="s">
        <v>229</v>
      </c>
      <c r="K1371" s="5" t="s">
        <v>9041</v>
      </c>
      <c r="L1371" s="17" t="s">
        <v>11411</v>
      </c>
      <c r="M1371" s="3" t="s">
        <v>230</v>
      </c>
      <c r="N1371" s="6" t="s">
        <v>521</v>
      </c>
      <c r="O1371" s="6" t="s">
        <v>233</v>
      </c>
      <c r="P1371" s="58" t="s">
        <v>247</v>
      </c>
      <c r="Q1371" s="6" t="s">
        <v>240</v>
      </c>
      <c r="R1371" s="18">
        <v>7.2260000000000009</v>
      </c>
      <c r="S1371" s="2">
        <v>182624.4</v>
      </c>
      <c r="T1371" s="4">
        <f t="shared" ref="T1371:T1376" si="52">R1371*S1371</f>
        <v>1319643.9144000001</v>
      </c>
      <c r="U1371" s="4">
        <f t="shared" si="49"/>
        <v>1478001.1841280002</v>
      </c>
      <c r="V1371" s="3" t="s">
        <v>362</v>
      </c>
      <c r="W1371" s="3">
        <v>2014</v>
      </c>
      <c r="X1371" s="158"/>
    </row>
    <row r="1372" spans="1:24" ht="102">
      <c r="A1372" s="3" t="s">
        <v>1129</v>
      </c>
      <c r="B1372" s="6" t="s">
        <v>361</v>
      </c>
      <c r="C1372" s="6" t="s">
        <v>3872</v>
      </c>
      <c r="D1372" s="6" t="s">
        <v>3860</v>
      </c>
      <c r="E1372" s="6" t="s">
        <v>3873</v>
      </c>
      <c r="F1372" s="6" t="s">
        <v>3796</v>
      </c>
      <c r="G1372" s="3" t="s">
        <v>11449</v>
      </c>
      <c r="H1372" s="54">
        <v>0</v>
      </c>
      <c r="I1372" s="16">
        <v>470000000</v>
      </c>
      <c r="J1372" s="157" t="s">
        <v>229</v>
      </c>
      <c r="K1372" s="5" t="s">
        <v>211</v>
      </c>
      <c r="L1372" s="6" t="s">
        <v>231</v>
      </c>
      <c r="M1372" s="3" t="s">
        <v>230</v>
      </c>
      <c r="N1372" s="6" t="s">
        <v>524</v>
      </c>
      <c r="O1372" s="6" t="s">
        <v>233</v>
      </c>
      <c r="P1372" s="58" t="s">
        <v>247</v>
      </c>
      <c r="Q1372" s="6" t="s">
        <v>240</v>
      </c>
      <c r="R1372" s="18">
        <v>0</v>
      </c>
      <c r="S1372" s="2">
        <v>152187</v>
      </c>
      <c r="T1372" s="4">
        <f t="shared" si="52"/>
        <v>0</v>
      </c>
      <c r="U1372" s="4">
        <f t="shared" si="49"/>
        <v>0</v>
      </c>
      <c r="V1372" s="3" t="s">
        <v>362</v>
      </c>
      <c r="W1372" s="3">
        <v>2014</v>
      </c>
      <c r="X1372" s="3" t="s">
        <v>12076</v>
      </c>
    </row>
    <row r="1373" spans="1:24" ht="102">
      <c r="A1373" s="3" t="s">
        <v>1130</v>
      </c>
      <c r="B1373" s="6" t="s">
        <v>361</v>
      </c>
      <c r="C1373" s="6" t="s">
        <v>3870</v>
      </c>
      <c r="D1373" s="6" t="s">
        <v>3860</v>
      </c>
      <c r="E1373" s="6" t="s">
        <v>3871</v>
      </c>
      <c r="F1373" s="6" t="s">
        <v>3797</v>
      </c>
      <c r="G1373" s="3" t="s">
        <v>11449</v>
      </c>
      <c r="H1373" s="54">
        <v>0</v>
      </c>
      <c r="I1373" s="16">
        <v>470000000</v>
      </c>
      <c r="J1373" s="157" t="s">
        <v>229</v>
      </c>
      <c r="K1373" s="5" t="s">
        <v>211</v>
      </c>
      <c r="L1373" s="6" t="s">
        <v>231</v>
      </c>
      <c r="M1373" s="3" t="s">
        <v>230</v>
      </c>
      <c r="N1373" s="6" t="s">
        <v>524</v>
      </c>
      <c r="O1373" s="6" t="s">
        <v>233</v>
      </c>
      <c r="P1373" s="58" t="s">
        <v>247</v>
      </c>
      <c r="Q1373" s="6" t="s">
        <v>240</v>
      </c>
      <c r="R1373" s="18">
        <v>0</v>
      </c>
      <c r="S1373" s="2">
        <v>152187</v>
      </c>
      <c r="T1373" s="4">
        <f t="shared" si="52"/>
        <v>0</v>
      </c>
      <c r="U1373" s="4">
        <f t="shared" si="49"/>
        <v>0</v>
      </c>
      <c r="V1373" s="3" t="s">
        <v>362</v>
      </c>
      <c r="W1373" s="3">
        <v>2014</v>
      </c>
      <c r="X1373" s="3" t="s">
        <v>12076</v>
      </c>
    </row>
    <row r="1374" spans="1:24" ht="102">
      <c r="A1374" s="3" t="s">
        <v>1131</v>
      </c>
      <c r="B1374" s="6" t="s">
        <v>361</v>
      </c>
      <c r="C1374" s="6" t="s">
        <v>3874</v>
      </c>
      <c r="D1374" s="6" t="s">
        <v>3875</v>
      </c>
      <c r="E1374" s="6" t="s">
        <v>3876</v>
      </c>
      <c r="F1374" s="6" t="s">
        <v>3798</v>
      </c>
      <c r="G1374" s="3" t="s">
        <v>11449</v>
      </c>
      <c r="H1374" s="54">
        <v>0</v>
      </c>
      <c r="I1374" s="16">
        <v>470000000</v>
      </c>
      <c r="J1374" s="157" t="s">
        <v>229</v>
      </c>
      <c r="K1374" s="5" t="s">
        <v>211</v>
      </c>
      <c r="L1374" s="6" t="s">
        <v>231</v>
      </c>
      <c r="M1374" s="3" t="s">
        <v>230</v>
      </c>
      <c r="N1374" s="6" t="s">
        <v>524</v>
      </c>
      <c r="O1374" s="6" t="s">
        <v>233</v>
      </c>
      <c r="P1374" s="58" t="s">
        <v>247</v>
      </c>
      <c r="Q1374" s="6" t="s">
        <v>240</v>
      </c>
      <c r="R1374" s="51">
        <v>0</v>
      </c>
      <c r="S1374" s="2">
        <v>145131</v>
      </c>
      <c r="T1374" s="4">
        <f t="shared" si="52"/>
        <v>0</v>
      </c>
      <c r="U1374" s="4">
        <f t="shared" si="49"/>
        <v>0</v>
      </c>
      <c r="V1374" s="3" t="s">
        <v>362</v>
      </c>
      <c r="W1374" s="3">
        <v>2014</v>
      </c>
      <c r="X1374" s="3" t="s">
        <v>12076</v>
      </c>
    </row>
    <row r="1375" spans="1:24" ht="102">
      <c r="A1375" s="3" t="s">
        <v>1132</v>
      </c>
      <c r="B1375" s="6" t="s">
        <v>361</v>
      </c>
      <c r="C1375" s="6" t="s">
        <v>3874</v>
      </c>
      <c r="D1375" s="6" t="s">
        <v>3875</v>
      </c>
      <c r="E1375" s="6" t="s">
        <v>3876</v>
      </c>
      <c r="F1375" s="6" t="s">
        <v>3799</v>
      </c>
      <c r="G1375" s="3" t="s">
        <v>11449</v>
      </c>
      <c r="H1375" s="54">
        <v>0</v>
      </c>
      <c r="I1375" s="16">
        <v>470000000</v>
      </c>
      <c r="J1375" s="157" t="s">
        <v>229</v>
      </c>
      <c r="K1375" s="5" t="s">
        <v>211</v>
      </c>
      <c r="L1375" s="6" t="s">
        <v>231</v>
      </c>
      <c r="M1375" s="3" t="s">
        <v>230</v>
      </c>
      <c r="N1375" s="6" t="s">
        <v>524</v>
      </c>
      <c r="O1375" s="6" t="s">
        <v>233</v>
      </c>
      <c r="P1375" s="58" t="s">
        <v>247</v>
      </c>
      <c r="Q1375" s="6" t="s">
        <v>240</v>
      </c>
      <c r="R1375" s="136">
        <v>0</v>
      </c>
      <c r="S1375" s="2">
        <v>145131</v>
      </c>
      <c r="T1375" s="4">
        <f t="shared" si="52"/>
        <v>0</v>
      </c>
      <c r="U1375" s="4">
        <f t="shared" si="49"/>
        <v>0</v>
      </c>
      <c r="V1375" s="3" t="s">
        <v>362</v>
      </c>
      <c r="W1375" s="3">
        <v>2014</v>
      </c>
      <c r="X1375" s="3" t="s">
        <v>12076</v>
      </c>
    </row>
    <row r="1376" spans="1:24" ht="102">
      <c r="A1376" s="3" t="s">
        <v>1133</v>
      </c>
      <c r="B1376" s="6" t="s">
        <v>361</v>
      </c>
      <c r="C1376" s="6" t="s">
        <v>3874</v>
      </c>
      <c r="D1376" s="6" t="s">
        <v>3875</v>
      </c>
      <c r="E1376" s="6" t="s">
        <v>3876</v>
      </c>
      <c r="F1376" s="6" t="s">
        <v>7705</v>
      </c>
      <c r="G1376" s="3" t="s">
        <v>11449</v>
      </c>
      <c r="H1376" s="54">
        <v>0</v>
      </c>
      <c r="I1376" s="16">
        <v>470000000</v>
      </c>
      <c r="J1376" s="157" t="s">
        <v>229</v>
      </c>
      <c r="K1376" s="5" t="s">
        <v>211</v>
      </c>
      <c r="L1376" s="6" t="s">
        <v>231</v>
      </c>
      <c r="M1376" s="3" t="s">
        <v>230</v>
      </c>
      <c r="N1376" s="6" t="s">
        <v>524</v>
      </c>
      <c r="O1376" s="6" t="s">
        <v>233</v>
      </c>
      <c r="P1376" s="58" t="s">
        <v>247</v>
      </c>
      <c r="Q1376" s="6" t="s">
        <v>240</v>
      </c>
      <c r="R1376" s="50">
        <v>0</v>
      </c>
      <c r="S1376" s="2">
        <v>145131</v>
      </c>
      <c r="T1376" s="4">
        <f t="shared" si="52"/>
        <v>0</v>
      </c>
      <c r="U1376" s="4">
        <f t="shared" si="49"/>
        <v>0</v>
      </c>
      <c r="V1376" s="3" t="s">
        <v>362</v>
      </c>
      <c r="W1376" s="3">
        <v>2014</v>
      </c>
      <c r="X1376" s="3" t="s">
        <v>12076</v>
      </c>
    </row>
    <row r="1377" spans="1:24" ht="102">
      <c r="A1377" s="3" t="s">
        <v>1134</v>
      </c>
      <c r="B1377" s="6" t="s">
        <v>361</v>
      </c>
      <c r="C1377" s="6" t="s">
        <v>3877</v>
      </c>
      <c r="D1377" s="6" t="s">
        <v>3878</v>
      </c>
      <c r="E1377" s="6" t="s">
        <v>3879</v>
      </c>
      <c r="F1377" s="6" t="s">
        <v>3800</v>
      </c>
      <c r="G1377" s="3" t="s">
        <v>11449</v>
      </c>
      <c r="H1377" s="54">
        <v>0</v>
      </c>
      <c r="I1377" s="16">
        <v>470000000</v>
      </c>
      <c r="J1377" s="157" t="s">
        <v>229</v>
      </c>
      <c r="K1377" s="5" t="s">
        <v>215</v>
      </c>
      <c r="L1377" s="6" t="s">
        <v>231</v>
      </c>
      <c r="M1377" s="3" t="s">
        <v>230</v>
      </c>
      <c r="N1377" s="6" t="s">
        <v>524</v>
      </c>
      <c r="O1377" s="6" t="s">
        <v>233</v>
      </c>
      <c r="P1377" s="58" t="s">
        <v>247</v>
      </c>
      <c r="Q1377" s="6" t="s">
        <v>240</v>
      </c>
      <c r="R1377" s="51">
        <v>13.92</v>
      </c>
      <c r="S1377" s="2">
        <v>145131</v>
      </c>
      <c r="T1377" s="4">
        <v>0</v>
      </c>
      <c r="U1377" s="4">
        <f t="shared" si="49"/>
        <v>0</v>
      </c>
      <c r="V1377" s="3" t="s">
        <v>362</v>
      </c>
      <c r="W1377" s="3">
        <v>2014</v>
      </c>
      <c r="X1377" s="3">
        <v>11.12</v>
      </c>
    </row>
    <row r="1378" spans="1:24" ht="89.25">
      <c r="A1378" s="3" t="s">
        <v>12275</v>
      </c>
      <c r="B1378" s="6" t="s">
        <v>361</v>
      </c>
      <c r="C1378" s="6" t="s">
        <v>3877</v>
      </c>
      <c r="D1378" s="6" t="s">
        <v>3878</v>
      </c>
      <c r="E1378" s="6" t="s">
        <v>3879</v>
      </c>
      <c r="F1378" s="6" t="s">
        <v>3800</v>
      </c>
      <c r="G1378" s="3" t="s">
        <v>11449</v>
      </c>
      <c r="H1378" s="54">
        <v>0</v>
      </c>
      <c r="I1378" s="16">
        <v>470000000</v>
      </c>
      <c r="J1378" s="157" t="s">
        <v>229</v>
      </c>
      <c r="K1378" s="5" t="s">
        <v>211</v>
      </c>
      <c r="L1378" s="17" t="s">
        <v>11411</v>
      </c>
      <c r="M1378" s="3" t="s">
        <v>230</v>
      </c>
      <c r="N1378" s="6" t="s">
        <v>524</v>
      </c>
      <c r="O1378" s="6" t="s">
        <v>233</v>
      </c>
      <c r="P1378" s="58" t="s">
        <v>247</v>
      </c>
      <c r="Q1378" s="6" t="s">
        <v>240</v>
      </c>
      <c r="R1378" s="51">
        <v>0</v>
      </c>
      <c r="S1378" s="2">
        <v>145131</v>
      </c>
      <c r="T1378" s="4">
        <f>R1378*S1378</f>
        <v>0</v>
      </c>
      <c r="U1378" s="4">
        <f t="shared" si="49"/>
        <v>0</v>
      </c>
      <c r="V1378" s="3" t="s">
        <v>362</v>
      </c>
      <c r="W1378" s="3">
        <v>2014</v>
      </c>
      <c r="X1378" s="3" t="s">
        <v>12076</v>
      </c>
    </row>
    <row r="1379" spans="1:24" ht="102">
      <c r="A1379" s="3" t="s">
        <v>1135</v>
      </c>
      <c r="B1379" s="6" t="s">
        <v>361</v>
      </c>
      <c r="C1379" s="6" t="s">
        <v>3884</v>
      </c>
      <c r="D1379" s="6" t="s">
        <v>3878</v>
      </c>
      <c r="E1379" s="6" t="s">
        <v>3885</v>
      </c>
      <c r="F1379" s="6" t="s">
        <v>3801</v>
      </c>
      <c r="G1379" s="3" t="s">
        <v>11449</v>
      </c>
      <c r="H1379" s="54">
        <v>0</v>
      </c>
      <c r="I1379" s="16">
        <v>470000000</v>
      </c>
      <c r="J1379" s="157" t="s">
        <v>229</v>
      </c>
      <c r="K1379" s="5" t="s">
        <v>211</v>
      </c>
      <c r="L1379" s="6" t="s">
        <v>231</v>
      </c>
      <c r="M1379" s="3" t="s">
        <v>230</v>
      </c>
      <c r="N1379" s="6" t="s">
        <v>524</v>
      </c>
      <c r="O1379" s="6" t="s">
        <v>233</v>
      </c>
      <c r="P1379" s="58" t="s">
        <v>247</v>
      </c>
      <c r="Q1379" s="6" t="s">
        <v>240</v>
      </c>
      <c r="R1379" s="50">
        <v>5.4</v>
      </c>
      <c r="S1379" s="2">
        <v>138221</v>
      </c>
      <c r="T1379" s="4">
        <v>0</v>
      </c>
      <c r="U1379" s="4">
        <f t="shared" si="49"/>
        <v>0</v>
      </c>
      <c r="V1379" s="3" t="s">
        <v>362</v>
      </c>
      <c r="W1379" s="3">
        <v>2014</v>
      </c>
      <c r="X1379" s="3">
        <v>11.12</v>
      </c>
    </row>
    <row r="1380" spans="1:24" ht="89.25">
      <c r="A1380" s="3" t="s">
        <v>12276</v>
      </c>
      <c r="B1380" s="6" t="s">
        <v>361</v>
      </c>
      <c r="C1380" s="6" t="s">
        <v>3884</v>
      </c>
      <c r="D1380" s="6" t="s">
        <v>3878</v>
      </c>
      <c r="E1380" s="6" t="s">
        <v>3885</v>
      </c>
      <c r="F1380" s="6" t="s">
        <v>3801</v>
      </c>
      <c r="G1380" s="3" t="s">
        <v>11449</v>
      </c>
      <c r="H1380" s="54">
        <v>0</v>
      </c>
      <c r="I1380" s="16">
        <v>470000000</v>
      </c>
      <c r="J1380" s="157" t="s">
        <v>229</v>
      </c>
      <c r="K1380" s="5" t="s">
        <v>12128</v>
      </c>
      <c r="L1380" s="17" t="s">
        <v>11411</v>
      </c>
      <c r="M1380" s="3" t="s">
        <v>230</v>
      </c>
      <c r="N1380" s="6" t="s">
        <v>524</v>
      </c>
      <c r="O1380" s="6" t="s">
        <v>233</v>
      </c>
      <c r="P1380" s="58" t="s">
        <v>247</v>
      </c>
      <c r="Q1380" s="6" t="s">
        <v>240</v>
      </c>
      <c r="R1380" s="50">
        <v>5.4</v>
      </c>
      <c r="S1380" s="2">
        <v>138221</v>
      </c>
      <c r="T1380" s="4">
        <v>0</v>
      </c>
      <c r="U1380" s="4">
        <f t="shared" si="49"/>
        <v>0</v>
      </c>
      <c r="V1380" s="3" t="s">
        <v>362</v>
      </c>
      <c r="W1380" s="3">
        <v>2014</v>
      </c>
      <c r="X1380" s="3" t="s">
        <v>12051</v>
      </c>
    </row>
    <row r="1381" spans="1:24" ht="89.25">
      <c r="A1381" s="3" t="s">
        <v>14759</v>
      </c>
      <c r="B1381" s="6" t="s">
        <v>361</v>
      </c>
      <c r="C1381" s="6" t="s">
        <v>3884</v>
      </c>
      <c r="D1381" s="6" t="s">
        <v>3878</v>
      </c>
      <c r="E1381" s="6" t="s">
        <v>3885</v>
      </c>
      <c r="F1381" s="6" t="s">
        <v>3801</v>
      </c>
      <c r="G1381" s="3" t="s">
        <v>11449</v>
      </c>
      <c r="H1381" s="54">
        <v>0</v>
      </c>
      <c r="I1381" s="16">
        <v>470000000</v>
      </c>
      <c r="J1381" s="157" t="s">
        <v>229</v>
      </c>
      <c r="K1381" s="5" t="s">
        <v>14754</v>
      </c>
      <c r="L1381" s="17" t="s">
        <v>11411</v>
      </c>
      <c r="M1381" s="3" t="s">
        <v>230</v>
      </c>
      <c r="N1381" s="6" t="s">
        <v>524</v>
      </c>
      <c r="O1381" s="6" t="s">
        <v>233</v>
      </c>
      <c r="P1381" s="58" t="s">
        <v>247</v>
      </c>
      <c r="Q1381" s="6" t="s">
        <v>240</v>
      </c>
      <c r="R1381" s="50">
        <v>5.3689999999999998</v>
      </c>
      <c r="S1381" s="2">
        <v>165865.19999999998</v>
      </c>
      <c r="T1381" s="4">
        <v>0</v>
      </c>
      <c r="U1381" s="4">
        <f t="shared" ref="U1381:U1550" si="53">T1381*1.12</f>
        <v>0</v>
      </c>
      <c r="V1381" s="3" t="s">
        <v>362</v>
      </c>
      <c r="W1381" s="3">
        <v>2014</v>
      </c>
      <c r="X1381" s="3">
        <v>7.11</v>
      </c>
    </row>
    <row r="1382" spans="1:24" ht="89.25">
      <c r="A1382" s="3" t="s">
        <v>17971</v>
      </c>
      <c r="B1382" s="6" t="s">
        <v>361</v>
      </c>
      <c r="C1382" s="6" t="s">
        <v>3884</v>
      </c>
      <c r="D1382" s="6" t="s">
        <v>3878</v>
      </c>
      <c r="E1382" s="6" t="s">
        <v>3885</v>
      </c>
      <c r="F1382" s="6" t="s">
        <v>3801</v>
      </c>
      <c r="G1382" s="3" t="s">
        <v>11450</v>
      </c>
      <c r="H1382" s="54">
        <v>0</v>
      </c>
      <c r="I1382" s="16">
        <v>470000000</v>
      </c>
      <c r="J1382" s="157" t="s">
        <v>229</v>
      </c>
      <c r="K1382" s="5" t="s">
        <v>8950</v>
      </c>
      <c r="L1382" s="17" t="s">
        <v>11411</v>
      </c>
      <c r="M1382" s="3" t="s">
        <v>230</v>
      </c>
      <c r="N1382" s="6" t="s">
        <v>524</v>
      </c>
      <c r="O1382" s="6" t="s">
        <v>233</v>
      </c>
      <c r="P1382" s="58" t="s">
        <v>247</v>
      </c>
      <c r="Q1382" s="6" t="s">
        <v>240</v>
      </c>
      <c r="R1382" s="50">
        <v>5.3689999999999998</v>
      </c>
      <c r="S1382" s="2">
        <v>165865.19999999998</v>
      </c>
      <c r="T1382" s="4">
        <f>R1382*S1382</f>
        <v>890530.25879999984</v>
      </c>
      <c r="U1382" s="4">
        <f t="shared" si="53"/>
        <v>997393.88985599997</v>
      </c>
      <c r="V1382" s="3" t="s">
        <v>362</v>
      </c>
      <c r="W1382" s="3">
        <v>2014</v>
      </c>
      <c r="X1382" s="158"/>
    </row>
    <row r="1383" spans="1:24" ht="102">
      <c r="A1383" s="3" t="s">
        <v>1136</v>
      </c>
      <c r="B1383" s="6" t="s">
        <v>361</v>
      </c>
      <c r="C1383" s="6" t="s">
        <v>3882</v>
      </c>
      <c r="D1383" s="6" t="s">
        <v>3878</v>
      </c>
      <c r="E1383" s="6" t="s">
        <v>3883</v>
      </c>
      <c r="F1383" s="6" t="s">
        <v>3802</v>
      </c>
      <c r="G1383" s="3" t="s">
        <v>11449</v>
      </c>
      <c r="H1383" s="54">
        <v>0</v>
      </c>
      <c r="I1383" s="16">
        <v>470000000</v>
      </c>
      <c r="J1383" s="157" t="s">
        <v>229</v>
      </c>
      <c r="K1383" s="5" t="s">
        <v>215</v>
      </c>
      <c r="L1383" s="6" t="s">
        <v>231</v>
      </c>
      <c r="M1383" s="3" t="s">
        <v>230</v>
      </c>
      <c r="N1383" s="6" t="s">
        <v>524</v>
      </c>
      <c r="O1383" s="6" t="s">
        <v>233</v>
      </c>
      <c r="P1383" s="58" t="s">
        <v>247</v>
      </c>
      <c r="Q1383" s="6" t="s">
        <v>240</v>
      </c>
      <c r="R1383" s="18">
        <v>15</v>
      </c>
      <c r="S1383" s="2">
        <v>138221</v>
      </c>
      <c r="T1383" s="4">
        <v>0</v>
      </c>
      <c r="U1383" s="4">
        <f t="shared" si="53"/>
        <v>0</v>
      </c>
      <c r="V1383" s="3" t="s">
        <v>362</v>
      </c>
      <c r="W1383" s="3">
        <v>2014</v>
      </c>
      <c r="X1383" s="3">
        <v>11.12</v>
      </c>
    </row>
    <row r="1384" spans="1:24" ht="89.25">
      <c r="A1384" s="3" t="s">
        <v>12277</v>
      </c>
      <c r="B1384" s="6" t="s">
        <v>361</v>
      </c>
      <c r="C1384" s="6" t="s">
        <v>3882</v>
      </c>
      <c r="D1384" s="6" t="s">
        <v>3878</v>
      </c>
      <c r="E1384" s="6" t="s">
        <v>3883</v>
      </c>
      <c r="F1384" s="6" t="s">
        <v>3802</v>
      </c>
      <c r="G1384" s="3" t="s">
        <v>11449</v>
      </c>
      <c r="H1384" s="54">
        <v>0</v>
      </c>
      <c r="I1384" s="16">
        <v>470000000</v>
      </c>
      <c r="J1384" s="157" t="s">
        <v>229</v>
      </c>
      <c r="K1384" s="5" t="s">
        <v>12128</v>
      </c>
      <c r="L1384" s="17" t="s">
        <v>11411</v>
      </c>
      <c r="M1384" s="3" t="s">
        <v>230</v>
      </c>
      <c r="N1384" s="6" t="s">
        <v>524</v>
      </c>
      <c r="O1384" s="6" t="s">
        <v>233</v>
      </c>
      <c r="P1384" s="58" t="s">
        <v>247</v>
      </c>
      <c r="Q1384" s="6" t="s">
        <v>240</v>
      </c>
      <c r="R1384" s="18">
        <v>15</v>
      </c>
      <c r="S1384" s="2">
        <v>138221</v>
      </c>
      <c r="T1384" s="4">
        <v>0</v>
      </c>
      <c r="U1384" s="4">
        <f t="shared" si="53"/>
        <v>0</v>
      </c>
      <c r="V1384" s="3" t="s">
        <v>362</v>
      </c>
      <c r="W1384" s="3">
        <v>2014</v>
      </c>
      <c r="X1384" s="3" t="s">
        <v>12051</v>
      </c>
    </row>
    <row r="1385" spans="1:24" ht="89.25">
      <c r="A1385" s="3" t="s">
        <v>14760</v>
      </c>
      <c r="B1385" s="6" t="s">
        <v>361</v>
      </c>
      <c r="C1385" s="6" t="s">
        <v>3882</v>
      </c>
      <c r="D1385" s="6" t="s">
        <v>3878</v>
      </c>
      <c r="E1385" s="6" t="s">
        <v>3883</v>
      </c>
      <c r="F1385" s="6" t="s">
        <v>3802</v>
      </c>
      <c r="G1385" s="3" t="s">
        <v>11449</v>
      </c>
      <c r="H1385" s="54">
        <v>0</v>
      </c>
      <c r="I1385" s="16">
        <v>470000000</v>
      </c>
      <c r="J1385" s="157" t="s">
        <v>229</v>
      </c>
      <c r="K1385" s="5" t="s">
        <v>14754</v>
      </c>
      <c r="L1385" s="17" t="s">
        <v>11411</v>
      </c>
      <c r="M1385" s="3" t="s">
        <v>230</v>
      </c>
      <c r="N1385" s="6" t="s">
        <v>524</v>
      </c>
      <c r="O1385" s="6" t="s">
        <v>233</v>
      </c>
      <c r="P1385" s="58" t="s">
        <v>247</v>
      </c>
      <c r="Q1385" s="6" t="s">
        <v>240</v>
      </c>
      <c r="R1385" s="18">
        <v>5.3470000000000013</v>
      </c>
      <c r="S1385" s="2">
        <v>165865.19999999998</v>
      </c>
      <c r="T1385" s="4">
        <v>0</v>
      </c>
      <c r="U1385" s="4">
        <f t="shared" si="53"/>
        <v>0</v>
      </c>
      <c r="V1385" s="3" t="s">
        <v>362</v>
      </c>
      <c r="W1385" s="3">
        <v>2014</v>
      </c>
      <c r="X1385" s="3">
        <v>7.11</v>
      </c>
    </row>
    <row r="1386" spans="1:24" ht="89.25">
      <c r="A1386" s="3" t="s">
        <v>17972</v>
      </c>
      <c r="B1386" s="6" t="s">
        <v>361</v>
      </c>
      <c r="C1386" s="6" t="s">
        <v>3882</v>
      </c>
      <c r="D1386" s="6" t="s">
        <v>3878</v>
      </c>
      <c r="E1386" s="6" t="s">
        <v>3883</v>
      </c>
      <c r="F1386" s="6" t="s">
        <v>3802</v>
      </c>
      <c r="G1386" s="3" t="s">
        <v>11450</v>
      </c>
      <c r="H1386" s="54">
        <v>0</v>
      </c>
      <c r="I1386" s="16">
        <v>470000000</v>
      </c>
      <c r="J1386" s="157" t="s">
        <v>229</v>
      </c>
      <c r="K1386" s="5" t="s">
        <v>8950</v>
      </c>
      <c r="L1386" s="17" t="s">
        <v>11411</v>
      </c>
      <c r="M1386" s="3" t="s">
        <v>230</v>
      </c>
      <c r="N1386" s="6" t="s">
        <v>524</v>
      </c>
      <c r="O1386" s="6" t="s">
        <v>233</v>
      </c>
      <c r="P1386" s="58" t="s">
        <v>247</v>
      </c>
      <c r="Q1386" s="6" t="s">
        <v>240</v>
      </c>
      <c r="R1386" s="18">
        <v>5.3470000000000013</v>
      </c>
      <c r="S1386" s="2">
        <v>165865.19999999998</v>
      </c>
      <c r="T1386" s="4">
        <f>R1386*S1386</f>
        <v>886881.22440000018</v>
      </c>
      <c r="U1386" s="4">
        <f t="shared" si="53"/>
        <v>993306.97132800031</v>
      </c>
      <c r="V1386" s="3" t="s">
        <v>362</v>
      </c>
      <c r="W1386" s="3">
        <v>2014</v>
      </c>
      <c r="X1386" s="158"/>
    </row>
    <row r="1387" spans="1:24" ht="102">
      <c r="A1387" s="3" t="s">
        <v>1137</v>
      </c>
      <c r="B1387" s="6" t="s">
        <v>361</v>
      </c>
      <c r="C1387" s="6" t="s">
        <v>3880</v>
      </c>
      <c r="D1387" s="6" t="s">
        <v>3878</v>
      </c>
      <c r="E1387" s="6" t="s">
        <v>3881</v>
      </c>
      <c r="F1387" s="6" t="s">
        <v>3803</v>
      </c>
      <c r="G1387" s="3" t="s">
        <v>11449</v>
      </c>
      <c r="H1387" s="54">
        <v>0</v>
      </c>
      <c r="I1387" s="16">
        <v>470000000</v>
      </c>
      <c r="J1387" s="157" t="s">
        <v>229</v>
      </c>
      <c r="K1387" s="5" t="s">
        <v>211</v>
      </c>
      <c r="L1387" s="6" t="s">
        <v>231</v>
      </c>
      <c r="M1387" s="3" t="s">
        <v>230</v>
      </c>
      <c r="N1387" s="6" t="s">
        <v>524</v>
      </c>
      <c r="O1387" s="6" t="s">
        <v>233</v>
      </c>
      <c r="P1387" s="58" t="s">
        <v>247</v>
      </c>
      <c r="Q1387" s="6" t="s">
        <v>240</v>
      </c>
      <c r="R1387" s="18">
        <v>4</v>
      </c>
      <c r="S1387" s="2">
        <v>129880</v>
      </c>
      <c r="T1387" s="4">
        <v>0</v>
      </c>
      <c r="U1387" s="4">
        <f t="shared" si="53"/>
        <v>0</v>
      </c>
      <c r="V1387" s="3" t="s">
        <v>362</v>
      </c>
      <c r="W1387" s="3">
        <v>2014</v>
      </c>
      <c r="X1387" s="3">
        <v>11.12</v>
      </c>
    </row>
    <row r="1388" spans="1:24" ht="89.25">
      <c r="A1388" s="3" t="s">
        <v>12278</v>
      </c>
      <c r="B1388" s="6" t="s">
        <v>361</v>
      </c>
      <c r="C1388" s="6" t="s">
        <v>3880</v>
      </c>
      <c r="D1388" s="6" t="s">
        <v>3878</v>
      </c>
      <c r="E1388" s="6" t="s">
        <v>3881</v>
      </c>
      <c r="F1388" s="6" t="s">
        <v>3803</v>
      </c>
      <c r="G1388" s="3" t="s">
        <v>11449</v>
      </c>
      <c r="H1388" s="54">
        <v>0</v>
      </c>
      <c r="I1388" s="16">
        <v>470000000</v>
      </c>
      <c r="J1388" s="157" t="s">
        <v>229</v>
      </c>
      <c r="K1388" s="5" t="s">
        <v>12128</v>
      </c>
      <c r="L1388" s="17" t="s">
        <v>11411</v>
      </c>
      <c r="M1388" s="3" t="s">
        <v>230</v>
      </c>
      <c r="N1388" s="6" t="s">
        <v>524</v>
      </c>
      <c r="O1388" s="6" t="s">
        <v>233</v>
      </c>
      <c r="P1388" s="58" t="s">
        <v>247</v>
      </c>
      <c r="Q1388" s="6" t="s">
        <v>240</v>
      </c>
      <c r="R1388" s="18">
        <v>4</v>
      </c>
      <c r="S1388" s="2">
        <v>129880</v>
      </c>
      <c r="T1388" s="4">
        <v>0</v>
      </c>
      <c r="U1388" s="4">
        <f t="shared" si="53"/>
        <v>0</v>
      </c>
      <c r="V1388" s="3" t="s">
        <v>362</v>
      </c>
      <c r="W1388" s="3">
        <v>2014</v>
      </c>
      <c r="X1388" s="3" t="s">
        <v>12051</v>
      </c>
    </row>
    <row r="1389" spans="1:24" ht="89.25">
      <c r="A1389" s="3" t="s">
        <v>14761</v>
      </c>
      <c r="B1389" s="6" t="s">
        <v>361</v>
      </c>
      <c r="C1389" s="6" t="s">
        <v>3880</v>
      </c>
      <c r="D1389" s="6" t="s">
        <v>3878</v>
      </c>
      <c r="E1389" s="6" t="s">
        <v>3881</v>
      </c>
      <c r="F1389" s="6" t="s">
        <v>3803</v>
      </c>
      <c r="G1389" s="3" t="s">
        <v>11449</v>
      </c>
      <c r="H1389" s="54">
        <v>0</v>
      </c>
      <c r="I1389" s="16">
        <v>470000000</v>
      </c>
      <c r="J1389" s="157" t="s">
        <v>229</v>
      </c>
      <c r="K1389" s="5" t="s">
        <v>220</v>
      </c>
      <c r="L1389" s="17" t="s">
        <v>11411</v>
      </c>
      <c r="M1389" s="3" t="s">
        <v>230</v>
      </c>
      <c r="N1389" s="6" t="s">
        <v>524</v>
      </c>
      <c r="O1389" s="6" t="s">
        <v>233</v>
      </c>
      <c r="P1389" s="58" t="s">
        <v>247</v>
      </c>
      <c r="Q1389" s="6" t="s">
        <v>240</v>
      </c>
      <c r="R1389" s="18">
        <v>4.128000000000001</v>
      </c>
      <c r="S1389" s="2">
        <v>155856</v>
      </c>
      <c r="T1389" s="4">
        <v>0</v>
      </c>
      <c r="U1389" s="4">
        <f t="shared" si="53"/>
        <v>0</v>
      </c>
      <c r="V1389" s="3" t="s">
        <v>362</v>
      </c>
      <c r="W1389" s="3">
        <v>2014</v>
      </c>
      <c r="X1389" s="3" t="s">
        <v>17399</v>
      </c>
    </row>
    <row r="1390" spans="1:24" ht="89.25">
      <c r="A1390" s="3" t="s">
        <v>17973</v>
      </c>
      <c r="B1390" s="6" t="s">
        <v>361</v>
      </c>
      <c r="C1390" s="6" t="s">
        <v>3880</v>
      </c>
      <c r="D1390" s="6" t="s">
        <v>3878</v>
      </c>
      <c r="E1390" s="6" t="s">
        <v>3881</v>
      </c>
      <c r="F1390" s="6" t="s">
        <v>3803</v>
      </c>
      <c r="G1390" s="3" t="s">
        <v>11450</v>
      </c>
      <c r="H1390" s="54">
        <v>0</v>
      </c>
      <c r="I1390" s="16">
        <v>470000000</v>
      </c>
      <c r="J1390" s="157" t="s">
        <v>229</v>
      </c>
      <c r="K1390" s="5" t="s">
        <v>9041</v>
      </c>
      <c r="L1390" s="17" t="s">
        <v>11411</v>
      </c>
      <c r="M1390" s="3" t="s">
        <v>230</v>
      </c>
      <c r="N1390" s="6" t="s">
        <v>521</v>
      </c>
      <c r="O1390" s="6" t="s">
        <v>233</v>
      </c>
      <c r="P1390" s="58" t="s">
        <v>247</v>
      </c>
      <c r="Q1390" s="6" t="s">
        <v>240</v>
      </c>
      <c r="R1390" s="18">
        <v>4.128000000000001</v>
      </c>
      <c r="S1390" s="2">
        <v>155856</v>
      </c>
      <c r="T1390" s="4">
        <f>R1390*S1390</f>
        <v>643373.5680000002</v>
      </c>
      <c r="U1390" s="4">
        <f t="shared" si="53"/>
        <v>720578.39616000035</v>
      </c>
      <c r="V1390" s="3" t="s">
        <v>362</v>
      </c>
      <c r="W1390" s="3">
        <v>2014</v>
      </c>
      <c r="X1390" s="158"/>
    </row>
    <row r="1391" spans="1:24" ht="102">
      <c r="A1391" s="3" t="s">
        <v>1138</v>
      </c>
      <c r="B1391" s="6" t="s">
        <v>361</v>
      </c>
      <c r="C1391" s="6" t="s">
        <v>3886</v>
      </c>
      <c r="D1391" s="6" t="s">
        <v>3887</v>
      </c>
      <c r="E1391" s="6" t="s">
        <v>3888</v>
      </c>
      <c r="F1391" s="6" t="s">
        <v>3804</v>
      </c>
      <c r="G1391" s="3" t="s">
        <v>11449</v>
      </c>
      <c r="H1391" s="54">
        <v>0</v>
      </c>
      <c r="I1391" s="16">
        <v>470000000</v>
      </c>
      <c r="J1391" s="157" t="s">
        <v>229</v>
      </c>
      <c r="K1391" s="5" t="s">
        <v>214</v>
      </c>
      <c r="L1391" s="6" t="s">
        <v>231</v>
      </c>
      <c r="M1391" s="3" t="s">
        <v>230</v>
      </c>
      <c r="N1391" s="6" t="s">
        <v>524</v>
      </c>
      <c r="O1391" s="6" t="s">
        <v>233</v>
      </c>
      <c r="P1391" s="58" t="s">
        <v>247</v>
      </c>
      <c r="Q1391" s="6" t="s">
        <v>240</v>
      </c>
      <c r="R1391" s="18">
        <v>40</v>
      </c>
      <c r="S1391" s="2">
        <v>135660</v>
      </c>
      <c r="T1391" s="4">
        <v>0</v>
      </c>
      <c r="U1391" s="4">
        <f t="shared" si="53"/>
        <v>0</v>
      </c>
      <c r="V1391" s="3" t="s">
        <v>362</v>
      </c>
      <c r="W1391" s="3">
        <v>2014</v>
      </c>
      <c r="X1391" s="3">
        <v>11.12</v>
      </c>
    </row>
    <row r="1392" spans="1:24" ht="89.25">
      <c r="A1392" s="3" t="s">
        <v>11888</v>
      </c>
      <c r="B1392" s="6" t="s">
        <v>361</v>
      </c>
      <c r="C1392" s="6" t="s">
        <v>3886</v>
      </c>
      <c r="D1392" s="6" t="s">
        <v>3887</v>
      </c>
      <c r="E1392" s="6" t="s">
        <v>3888</v>
      </c>
      <c r="F1392" s="6" t="s">
        <v>3804</v>
      </c>
      <c r="G1392" s="3" t="s">
        <v>11449</v>
      </c>
      <c r="H1392" s="54">
        <v>0</v>
      </c>
      <c r="I1392" s="16">
        <v>470000000</v>
      </c>
      <c r="J1392" s="157" t="s">
        <v>229</v>
      </c>
      <c r="K1392" s="5" t="s">
        <v>210</v>
      </c>
      <c r="L1392" s="17" t="s">
        <v>11411</v>
      </c>
      <c r="M1392" s="3" t="s">
        <v>230</v>
      </c>
      <c r="N1392" s="6" t="s">
        <v>524</v>
      </c>
      <c r="O1392" s="6" t="s">
        <v>233</v>
      </c>
      <c r="P1392" s="58" t="s">
        <v>247</v>
      </c>
      <c r="Q1392" s="6" t="s">
        <v>240</v>
      </c>
      <c r="R1392" s="18">
        <v>40</v>
      </c>
      <c r="S1392" s="2">
        <v>135660</v>
      </c>
      <c r="T1392" s="4">
        <v>0</v>
      </c>
      <c r="U1392" s="4">
        <f t="shared" si="53"/>
        <v>0</v>
      </c>
      <c r="V1392" s="3" t="s">
        <v>362</v>
      </c>
      <c r="W1392" s="3">
        <v>2014</v>
      </c>
      <c r="X1392" s="3">
        <v>11</v>
      </c>
    </row>
    <row r="1393" spans="1:24" ht="89.25">
      <c r="A1393" s="3" t="s">
        <v>12279</v>
      </c>
      <c r="B1393" s="6" t="s">
        <v>361</v>
      </c>
      <c r="C1393" s="6" t="s">
        <v>3886</v>
      </c>
      <c r="D1393" s="6" t="s">
        <v>3887</v>
      </c>
      <c r="E1393" s="6" t="s">
        <v>3888</v>
      </c>
      <c r="F1393" s="6" t="s">
        <v>3804</v>
      </c>
      <c r="G1393" s="3" t="s">
        <v>11449</v>
      </c>
      <c r="H1393" s="54">
        <v>0</v>
      </c>
      <c r="I1393" s="16">
        <v>470000000</v>
      </c>
      <c r="J1393" s="157" t="s">
        <v>229</v>
      </c>
      <c r="K1393" s="5" t="s">
        <v>12120</v>
      </c>
      <c r="L1393" s="17" t="s">
        <v>11411</v>
      </c>
      <c r="M1393" s="3" t="s">
        <v>230</v>
      </c>
      <c r="N1393" s="6" t="s">
        <v>524</v>
      </c>
      <c r="O1393" s="6" t="s">
        <v>233</v>
      </c>
      <c r="P1393" s="58" t="s">
        <v>247</v>
      </c>
      <c r="Q1393" s="6" t="s">
        <v>240</v>
      </c>
      <c r="R1393" s="18">
        <v>40</v>
      </c>
      <c r="S1393" s="2">
        <v>135660</v>
      </c>
      <c r="T1393" s="4">
        <v>0</v>
      </c>
      <c r="U1393" s="4">
        <f t="shared" si="53"/>
        <v>0</v>
      </c>
      <c r="V1393" s="3" t="s">
        <v>362</v>
      </c>
      <c r="W1393" s="3">
        <v>2014</v>
      </c>
      <c r="X1393" s="3" t="s">
        <v>12051</v>
      </c>
    </row>
    <row r="1394" spans="1:24" ht="89.25">
      <c r="A1394" s="3" t="s">
        <v>16362</v>
      </c>
      <c r="B1394" s="6" t="s">
        <v>361</v>
      </c>
      <c r="C1394" s="6" t="s">
        <v>3886</v>
      </c>
      <c r="D1394" s="6" t="s">
        <v>3887</v>
      </c>
      <c r="E1394" s="6" t="s">
        <v>3888</v>
      </c>
      <c r="F1394" s="6" t="s">
        <v>3804</v>
      </c>
      <c r="G1394" s="3" t="s">
        <v>11449</v>
      </c>
      <c r="H1394" s="54">
        <v>0</v>
      </c>
      <c r="I1394" s="16">
        <v>470000000</v>
      </c>
      <c r="J1394" s="157" t="s">
        <v>229</v>
      </c>
      <c r="K1394" s="5" t="s">
        <v>220</v>
      </c>
      <c r="L1394" s="17" t="s">
        <v>11411</v>
      </c>
      <c r="M1394" s="3" t="s">
        <v>230</v>
      </c>
      <c r="N1394" s="6" t="s">
        <v>524</v>
      </c>
      <c r="O1394" s="6" t="s">
        <v>233</v>
      </c>
      <c r="P1394" s="58" t="s">
        <v>247</v>
      </c>
      <c r="Q1394" s="6" t="s">
        <v>240</v>
      </c>
      <c r="R1394" s="18">
        <v>22.58</v>
      </c>
      <c r="S1394" s="2">
        <v>162792</v>
      </c>
      <c r="T1394" s="4">
        <v>0</v>
      </c>
      <c r="U1394" s="4">
        <f t="shared" si="53"/>
        <v>0</v>
      </c>
      <c r="V1394" s="3" t="s">
        <v>362</v>
      </c>
      <c r="W1394" s="3">
        <v>2014</v>
      </c>
      <c r="X1394" s="3">
        <v>11.14</v>
      </c>
    </row>
    <row r="1395" spans="1:24" ht="89.25">
      <c r="A1395" s="3" t="s">
        <v>17974</v>
      </c>
      <c r="B1395" s="6" t="s">
        <v>361</v>
      </c>
      <c r="C1395" s="6" t="s">
        <v>3886</v>
      </c>
      <c r="D1395" s="6" t="s">
        <v>3887</v>
      </c>
      <c r="E1395" s="6" t="s">
        <v>3888</v>
      </c>
      <c r="F1395" s="6" t="s">
        <v>3804</v>
      </c>
      <c r="G1395" s="3" t="s">
        <v>11449</v>
      </c>
      <c r="H1395" s="54">
        <v>0</v>
      </c>
      <c r="I1395" s="16">
        <v>470000000</v>
      </c>
      <c r="J1395" s="157" t="s">
        <v>229</v>
      </c>
      <c r="K1395" s="5" t="s">
        <v>9041</v>
      </c>
      <c r="L1395" s="17" t="s">
        <v>11411</v>
      </c>
      <c r="M1395" s="3" t="s">
        <v>230</v>
      </c>
      <c r="N1395" s="6" t="s">
        <v>521</v>
      </c>
      <c r="O1395" s="6" t="s">
        <v>233</v>
      </c>
      <c r="P1395" s="58" t="s">
        <v>247</v>
      </c>
      <c r="Q1395" s="6" t="s">
        <v>240</v>
      </c>
      <c r="R1395" s="18">
        <v>22.58</v>
      </c>
      <c r="S1395" s="2">
        <v>162792</v>
      </c>
      <c r="T1395" s="4">
        <v>0</v>
      </c>
      <c r="U1395" s="4">
        <f t="shared" si="53"/>
        <v>0</v>
      </c>
      <c r="V1395" s="3" t="s">
        <v>362</v>
      </c>
      <c r="W1395" s="3">
        <v>2014</v>
      </c>
      <c r="X1395" s="3">
        <v>11.22</v>
      </c>
    </row>
    <row r="1396" spans="1:24" ht="89.25">
      <c r="A1396" s="3" t="s">
        <v>19061</v>
      </c>
      <c r="B1396" s="6" t="s">
        <v>361</v>
      </c>
      <c r="C1396" s="6" t="s">
        <v>3886</v>
      </c>
      <c r="D1396" s="6" t="s">
        <v>3887</v>
      </c>
      <c r="E1396" s="6" t="s">
        <v>3888</v>
      </c>
      <c r="F1396" s="6" t="s">
        <v>3804</v>
      </c>
      <c r="G1396" s="3" t="s">
        <v>11449</v>
      </c>
      <c r="H1396" s="54">
        <v>0</v>
      </c>
      <c r="I1396" s="16">
        <v>470000000</v>
      </c>
      <c r="J1396" s="157" t="s">
        <v>229</v>
      </c>
      <c r="K1396" s="5" t="s">
        <v>18748</v>
      </c>
      <c r="L1396" s="17" t="s">
        <v>11411</v>
      </c>
      <c r="M1396" s="3" t="s">
        <v>230</v>
      </c>
      <c r="N1396" s="6" t="s">
        <v>521</v>
      </c>
      <c r="O1396" s="6" t="s">
        <v>233</v>
      </c>
      <c r="P1396" s="58" t="s">
        <v>247</v>
      </c>
      <c r="Q1396" s="6" t="s">
        <v>240</v>
      </c>
      <c r="R1396" s="18">
        <v>22.58</v>
      </c>
      <c r="S1396" s="2">
        <v>162792</v>
      </c>
      <c r="T1396" s="4">
        <f>R1396*S1396</f>
        <v>3675843.36</v>
      </c>
      <c r="U1396" s="4">
        <f t="shared" ref="U1396" si="54">T1396*1.12</f>
        <v>4116944.5632000002</v>
      </c>
      <c r="V1396" s="3"/>
      <c r="W1396" s="3">
        <v>2014</v>
      </c>
      <c r="X1396" s="158"/>
    </row>
    <row r="1397" spans="1:24" ht="102">
      <c r="A1397" s="3" t="s">
        <v>1139</v>
      </c>
      <c r="B1397" s="6" t="s">
        <v>361</v>
      </c>
      <c r="C1397" s="6" t="s">
        <v>3897</v>
      </c>
      <c r="D1397" s="6" t="s">
        <v>3891</v>
      </c>
      <c r="E1397" s="6" t="s">
        <v>3898</v>
      </c>
      <c r="F1397" s="6" t="s">
        <v>3889</v>
      </c>
      <c r="G1397" s="3" t="s">
        <v>11449</v>
      </c>
      <c r="H1397" s="54">
        <v>0</v>
      </c>
      <c r="I1397" s="16">
        <v>470000000</v>
      </c>
      <c r="J1397" s="157" t="s">
        <v>229</v>
      </c>
      <c r="K1397" s="5" t="s">
        <v>210</v>
      </c>
      <c r="L1397" s="6" t="s">
        <v>231</v>
      </c>
      <c r="M1397" s="3" t="s">
        <v>230</v>
      </c>
      <c r="N1397" s="6" t="s">
        <v>524</v>
      </c>
      <c r="O1397" s="6" t="s">
        <v>233</v>
      </c>
      <c r="P1397" s="58" t="s">
        <v>247</v>
      </c>
      <c r="Q1397" s="6" t="s">
        <v>240</v>
      </c>
      <c r="R1397" s="18">
        <v>3</v>
      </c>
      <c r="S1397" s="2">
        <v>135660</v>
      </c>
      <c r="T1397" s="4">
        <v>0</v>
      </c>
      <c r="U1397" s="4">
        <f t="shared" si="53"/>
        <v>0</v>
      </c>
      <c r="V1397" s="3" t="s">
        <v>362</v>
      </c>
      <c r="W1397" s="3">
        <v>2014</v>
      </c>
      <c r="X1397" s="3">
        <v>11.12</v>
      </c>
    </row>
    <row r="1398" spans="1:24" ht="89.25">
      <c r="A1398" s="3" t="s">
        <v>12280</v>
      </c>
      <c r="B1398" s="6" t="s">
        <v>361</v>
      </c>
      <c r="C1398" s="6" t="s">
        <v>3897</v>
      </c>
      <c r="D1398" s="6" t="s">
        <v>3891</v>
      </c>
      <c r="E1398" s="6" t="s">
        <v>3898</v>
      </c>
      <c r="F1398" s="6" t="s">
        <v>3889</v>
      </c>
      <c r="G1398" s="3" t="s">
        <v>11449</v>
      </c>
      <c r="H1398" s="54">
        <v>0</v>
      </c>
      <c r="I1398" s="16">
        <v>470000000</v>
      </c>
      <c r="J1398" s="157" t="s">
        <v>229</v>
      </c>
      <c r="K1398" s="5" t="s">
        <v>211</v>
      </c>
      <c r="L1398" s="17" t="s">
        <v>11411</v>
      </c>
      <c r="M1398" s="3" t="s">
        <v>230</v>
      </c>
      <c r="N1398" s="6" t="s">
        <v>524</v>
      </c>
      <c r="O1398" s="6" t="s">
        <v>233</v>
      </c>
      <c r="P1398" s="58" t="s">
        <v>247</v>
      </c>
      <c r="Q1398" s="6" t="s">
        <v>240</v>
      </c>
      <c r="R1398" s="18">
        <v>3</v>
      </c>
      <c r="S1398" s="2">
        <v>135660</v>
      </c>
      <c r="T1398" s="4">
        <v>0</v>
      </c>
      <c r="U1398" s="4">
        <f t="shared" si="53"/>
        <v>0</v>
      </c>
      <c r="V1398" s="3" t="s">
        <v>362</v>
      </c>
      <c r="W1398" s="3">
        <v>2014</v>
      </c>
      <c r="X1398" s="3" t="s">
        <v>12051</v>
      </c>
    </row>
    <row r="1399" spans="1:24" ht="89.25">
      <c r="A1399" s="3" t="s">
        <v>14762</v>
      </c>
      <c r="B1399" s="6" t="s">
        <v>361</v>
      </c>
      <c r="C1399" s="6" t="s">
        <v>3897</v>
      </c>
      <c r="D1399" s="6" t="s">
        <v>3891</v>
      </c>
      <c r="E1399" s="6" t="s">
        <v>3898</v>
      </c>
      <c r="F1399" s="6" t="s">
        <v>3889</v>
      </c>
      <c r="G1399" s="3" t="s">
        <v>11449</v>
      </c>
      <c r="H1399" s="54">
        <v>0</v>
      </c>
      <c r="I1399" s="16">
        <v>470000000</v>
      </c>
      <c r="J1399" s="157" t="s">
        <v>229</v>
      </c>
      <c r="K1399" s="5" t="s">
        <v>14750</v>
      </c>
      <c r="L1399" s="17" t="s">
        <v>11411</v>
      </c>
      <c r="M1399" s="3" t="s">
        <v>230</v>
      </c>
      <c r="N1399" s="6" t="s">
        <v>524</v>
      </c>
      <c r="O1399" s="6" t="s">
        <v>233</v>
      </c>
      <c r="P1399" s="58" t="s">
        <v>247</v>
      </c>
      <c r="Q1399" s="6" t="s">
        <v>240</v>
      </c>
      <c r="R1399" s="136">
        <v>2.6</v>
      </c>
      <c r="S1399" s="2">
        <v>386250</v>
      </c>
      <c r="T1399" s="4">
        <v>0</v>
      </c>
      <c r="U1399" s="4">
        <f t="shared" si="53"/>
        <v>0</v>
      </c>
      <c r="V1399" s="3" t="s">
        <v>362</v>
      </c>
      <c r="W1399" s="3">
        <v>2014</v>
      </c>
      <c r="X1399" s="3" t="s">
        <v>17399</v>
      </c>
    </row>
    <row r="1400" spans="1:24" ht="89.25">
      <c r="A1400" s="3" t="s">
        <v>17975</v>
      </c>
      <c r="B1400" s="6" t="s">
        <v>361</v>
      </c>
      <c r="C1400" s="6" t="s">
        <v>3897</v>
      </c>
      <c r="D1400" s="6" t="s">
        <v>3891</v>
      </c>
      <c r="E1400" s="6" t="s">
        <v>3898</v>
      </c>
      <c r="F1400" s="6" t="s">
        <v>3889</v>
      </c>
      <c r="G1400" s="3" t="s">
        <v>11450</v>
      </c>
      <c r="H1400" s="54">
        <v>0</v>
      </c>
      <c r="I1400" s="16">
        <v>470000000</v>
      </c>
      <c r="J1400" s="157" t="s">
        <v>229</v>
      </c>
      <c r="K1400" s="5" t="s">
        <v>8950</v>
      </c>
      <c r="L1400" s="17" t="s">
        <v>11411</v>
      </c>
      <c r="M1400" s="3" t="s">
        <v>230</v>
      </c>
      <c r="N1400" s="6" t="s">
        <v>528</v>
      </c>
      <c r="O1400" s="6" t="s">
        <v>233</v>
      </c>
      <c r="P1400" s="58" t="s">
        <v>247</v>
      </c>
      <c r="Q1400" s="6" t="s">
        <v>240</v>
      </c>
      <c r="R1400" s="136">
        <v>2.6</v>
      </c>
      <c r="S1400" s="2">
        <v>386250</v>
      </c>
      <c r="T1400" s="4">
        <v>0</v>
      </c>
      <c r="U1400" s="4">
        <f t="shared" si="53"/>
        <v>0</v>
      </c>
      <c r="V1400" s="3" t="s">
        <v>362</v>
      </c>
      <c r="W1400" s="3">
        <v>2014</v>
      </c>
      <c r="X1400" s="3" t="s">
        <v>12076</v>
      </c>
    </row>
    <row r="1401" spans="1:24" ht="102">
      <c r="A1401" s="3" t="s">
        <v>1140</v>
      </c>
      <c r="B1401" s="6" t="s">
        <v>361</v>
      </c>
      <c r="C1401" s="6" t="s">
        <v>3899</v>
      </c>
      <c r="D1401" s="6" t="s">
        <v>3891</v>
      </c>
      <c r="E1401" s="6" t="s">
        <v>3900</v>
      </c>
      <c r="F1401" s="6" t="s">
        <v>3805</v>
      </c>
      <c r="G1401" s="3" t="s">
        <v>11449</v>
      </c>
      <c r="H1401" s="54">
        <v>0</v>
      </c>
      <c r="I1401" s="16">
        <v>470000000</v>
      </c>
      <c r="J1401" s="157" t="s">
        <v>229</v>
      </c>
      <c r="K1401" s="5" t="s">
        <v>210</v>
      </c>
      <c r="L1401" s="6" t="s">
        <v>231</v>
      </c>
      <c r="M1401" s="3" t="s">
        <v>230</v>
      </c>
      <c r="N1401" s="6" t="s">
        <v>524</v>
      </c>
      <c r="O1401" s="6" t="s">
        <v>233</v>
      </c>
      <c r="P1401" s="58" t="s">
        <v>247</v>
      </c>
      <c r="Q1401" s="6" t="s">
        <v>240</v>
      </c>
      <c r="R1401" s="18">
        <v>4</v>
      </c>
      <c r="S1401" s="2">
        <v>135660</v>
      </c>
      <c r="T1401" s="4">
        <v>0</v>
      </c>
      <c r="U1401" s="4">
        <f t="shared" si="53"/>
        <v>0</v>
      </c>
      <c r="V1401" s="3" t="s">
        <v>362</v>
      </c>
      <c r="W1401" s="3">
        <v>2014</v>
      </c>
      <c r="X1401" s="3">
        <v>11.12</v>
      </c>
    </row>
    <row r="1402" spans="1:24" ht="89.25">
      <c r="A1402" s="3" t="s">
        <v>12281</v>
      </c>
      <c r="B1402" s="6" t="s">
        <v>361</v>
      </c>
      <c r="C1402" s="6" t="s">
        <v>3899</v>
      </c>
      <c r="D1402" s="6" t="s">
        <v>3891</v>
      </c>
      <c r="E1402" s="6" t="s">
        <v>3900</v>
      </c>
      <c r="F1402" s="6" t="s">
        <v>3805</v>
      </c>
      <c r="G1402" s="3" t="s">
        <v>11449</v>
      </c>
      <c r="H1402" s="54">
        <v>0</v>
      </c>
      <c r="I1402" s="16">
        <v>470000000</v>
      </c>
      <c r="J1402" s="157" t="s">
        <v>229</v>
      </c>
      <c r="K1402" s="5" t="s">
        <v>211</v>
      </c>
      <c r="L1402" s="17" t="s">
        <v>11411</v>
      </c>
      <c r="M1402" s="3" t="s">
        <v>230</v>
      </c>
      <c r="N1402" s="6" t="s">
        <v>524</v>
      </c>
      <c r="O1402" s="6" t="s">
        <v>233</v>
      </c>
      <c r="P1402" s="58" t="s">
        <v>247</v>
      </c>
      <c r="Q1402" s="6" t="s">
        <v>240</v>
      </c>
      <c r="R1402" s="18">
        <v>4</v>
      </c>
      <c r="S1402" s="2">
        <v>135660</v>
      </c>
      <c r="T1402" s="4">
        <v>0</v>
      </c>
      <c r="U1402" s="4">
        <f t="shared" si="53"/>
        <v>0</v>
      </c>
      <c r="V1402" s="3" t="s">
        <v>362</v>
      </c>
      <c r="W1402" s="3">
        <v>2014</v>
      </c>
      <c r="X1402" s="3" t="s">
        <v>12051</v>
      </c>
    </row>
    <row r="1403" spans="1:24" ht="89.25">
      <c r="A1403" s="3" t="s">
        <v>14763</v>
      </c>
      <c r="B1403" s="6" t="s">
        <v>361</v>
      </c>
      <c r="C1403" s="6" t="s">
        <v>3899</v>
      </c>
      <c r="D1403" s="6" t="s">
        <v>3891</v>
      </c>
      <c r="E1403" s="6" t="s">
        <v>3900</v>
      </c>
      <c r="F1403" s="6" t="s">
        <v>3805</v>
      </c>
      <c r="G1403" s="3" t="s">
        <v>11449</v>
      </c>
      <c r="H1403" s="54">
        <v>0</v>
      </c>
      <c r="I1403" s="16">
        <v>470000000</v>
      </c>
      <c r="J1403" s="157" t="s">
        <v>229</v>
      </c>
      <c r="K1403" s="5" t="s">
        <v>14764</v>
      </c>
      <c r="L1403" s="17" t="s">
        <v>11411</v>
      </c>
      <c r="M1403" s="3" t="s">
        <v>230</v>
      </c>
      <c r="N1403" s="6" t="s">
        <v>524</v>
      </c>
      <c r="O1403" s="6" t="s">
        <v>233</v>
      </c>
      <c r="P1403" s="58" t="s">
        <v>247</v>
      </c>
      <c r="Q1403" s="6" t="s">
        <v>240</v>
      </c>
      <c r="R1403" s="136">
        <v>0.63000000000000034</v>
      </c>
      <c r="S1403" s="2">
        <v>162792</v>
      </c>
      <c r="T1403" s="4">
        <v>0</v>
      </c>
      <c r="U1403" s="4">
        <f t="shared" si="53"/>
        <v>0</v>
      </c>
      <c r="V1403" s="3" t="s">
        <v>362</v>
      </c>
      <c r="W1403" s="3">
        <v>2014</v>
      </c>
      <c r="X1403" s="3" t="s">
        <v>17399</v>
      </c>
    </row>
    <row r="1404" spans="1:24" ht="89.25">
      <c r="A1404" s="3" t="s">
        <v>17976</v>
      </c>
      <c r="B1404" s="6" t="s">
        <v>361</v>
      </c>
      <c r="C1404" s="6" t="s">
        <v>3899</v>
      </c>
      <c r="D1404" s="6" t="s">
        <v>3891</v>
      </c>
      <c r="E1404" s="6" t="s">
        <v>3900</v>
      </c>
      <c r="F1404" s="6" t="s">
        <v>3805</v>
      </c>
      <c r="G1404" s="3" t="s">
        <v>11450</v>
      </c>
      <c r="H1404" s="54">
        <v>0</v>
      </c>
      <c r="I1404" s="16">
        <v>470000000</v>
      </c>
      <c r="J1404" s="157" t="s">
        <v>229</v>
      </c>
      <c r="K1404" s="5" t="s">
        <v>8950</v>
      </c>
      <c r="L1404" s="17" t="s">
        <v>11411</v>
      </c>
      <c r="M1404" s="3" t="s">
        <v>230</v>
      </c>
      <c r="N1404" s="6" t="s">
        <v>528</v>
      </c>
      <c r="O1404" s="6" t="s">
        <v>233</v>
      </c>
      <c r="P1404" s="58" t="s">
        <v>247</v>
      </c>
      <c r="Q1404" s="6" t="s">
        <v>240</v>
      </c>
      <c r="R1404" s="136">
        <v>0.63000000000000034</v>
      </c>
      <c r="S1404" s="2">
        <v>162792</v>
      </c>
      <c r="T1404" s="4">
        <v>0</v>
      </c>
      <c r="U1404" s="4">
        <f t="shared" si="53"/>
        <v>0</v>
      </c>
      <c r="V1404" s="3" t="s">
        <v>362</v>
      </c>
      <c r="W1404" s="3">
        <v>2014</v>
      </c>
      <c r="X1404" s="3" t="s">
        <v>12076</v>
      </c>
    </row>
    <row r="1405" spans="1:24" ht="102">
      <c r="A1405" s="3" t="s">
        <v>1141</v>
      </c>
      <c r="B1405" s="6" t="s">
        <v>361</v>
      </c>
      <c r="C1405" s="6" t="s">
        <v>3909</v>
      </c>
      <c r="D1405" s="6" t="s">
        <v>3891</v>
      </c>
      <c r="E1405" s="6" t="s">
        <v>3910</v>
      </c>
      <c r="F1405" s="6" t="s">
        <v>3806</v>
      </c>
      <c r="G1405" s="3" t="s">
        <v>11449</v>
      </c>
      <c r="H1405" s="54">
        <v>0</v>
      </c>
      <c r="I1405" s="16">
        <v>470000000</v>
      </c>
      <c r="J1405" s="157" t="s">
        <v>229</v>
      </c>
      <c r="K1405" s="5" t="s">
        <v>210</v>
      </c>
      <c r="L1405" s="6" t="s">
        <v>231</v>
      </c>
      <c r="M1405" s="3" t="s">
        <v>230</v>
      </c>
      <c r="N1405" s="6" t="s">
        <v>524</v>
      </c>
      <c r="O1405" s="6" t="s">
        <v>233</v>
      </c>
      <c r="P1405" s="58" t="s">
        <v>247</v>
      </c>
      <c r="Q1405" s="6" t="s">
        <v>240</v>
      </c>
      <c r="R1405" s="18">
        <v>3</v>
      </c>
      <c r="S1405" s="2">
        <v>135660</v>
      </c>
      <c r="T1405" s="4">
        <v>0</v>
      </c>
      <c r="U1405" s="4">
        <f t="shared" si="53"/>
        <v>0</v>
      </c>
      <c r="V1405" s="3" t="s">
        <v>362</v>
      </c>
      <c r="W1405" s="3">
        <v>2014</v>
      </c>
      <c r="X1405" s="3">
        <v>11.12</v>
      </c>
    </row>
    <row r="1406" spans="1:24" ht="89.25">
      <c r="A1406" s="3" t="s">
        <v>12282</v>
      </c>
      <c r="B1406" s="6" t="s">
        <v>361</v>
      </c>
      <c r="C1406" s="6" t="s">
        <v>3909</v>
      </c>
      <c r="D1406" s="6" t="s">
        <v>3891</v>
      </c>
      <c r="E1406" s="6" t="s">
        <v>3910</v>
      </c>
      <c r="F1406" s="6" t="s">
        <v>3806</v>
      </c>
      <c r="G1406" s="3" t="s">
        <v>11449</v>
      </c>
      <c r="H1406" s="54">
        <v>0</v>
      </c>
      <c r="I1406" s="16">
        <v>470000000</v>
      </c>
      <c r="J1406" s="157" t="s">
        <v>229</v>
      </c>
      <c r="K1406" s="5" t="s">
        <v>12120</v>
      </c>
      <c r="L1406" s="17" t="s">
        <v>11411</v>
      </c>
      <c r="M1406" s="3" t="s">
        <v>230</v>
      </c>
      <c r="N1406" s="6" t="s">
        <v>524</v>
      </c>
      <c r="O1406" s="6" t="s">
        <v>233</v>
      </c>
      <c r="P1406" s="58" t="s">
        <v>247</v>
      </c>
      <c r="Q1406" s="6" t="s">
        <v>240</v>
      </c>
      <c r="R1406" s="18">
        <v>3</v>
      </c>
      <c r="S1406" s="2">
        <v>135660</v>
      </c>
      <c r="T1406" s="4">
        <v>0</v>
      </c>
      <c r="U1406" s="4">
        <f t="shared" si="53"/>
        <v>0</v>
      </c>
      <c r="V1406" s="3" t="s">
        <v>362</v>
      </c>
      <c r="W1406" s="3">
        <v>2014</v>
      </c>
      <c r="X1406" s="3" t="s">
        <v>12051</v>
      </c>
    </row>
    <row r="1407" spans="1:24" ht="89.25">
      <c r="A1407" s="3" t="s">
        <v>14765</v>
      </c>
      <c r="B1407" s="6" t="s">
        <v>361</v>
      </c>
      <c r="C1407" s="6" t="s">
        <v>3909</v>
      </c>
      <c r="D1407" s="6" t="s">
        <v>3891</v>
      </c>
      <c r="E1407" s="6" t="s">
        <v>3910</v>
      </c>
      <c r="F1407" s="6" t="s">
        <v>3806</v>
      </c>
      <c r="G1407" s="3" t="s">
        <v>11449</v>
      </c>
      <c r="H1407" s="54">
        <v>0</v>
      </c>
      <c r="I1407" s="16">
        <v>470000000</v>
      </c>
      <c r="J1407" s="157" t="s">
        <v>229</v>
      </c>
      <c r="K1407" s="5" t="s">
        <v>14764</v>
      </c>
      <c r="L1407" s="17" t="s">
        <v>11411</v>
      </c>
      <c r="M1407" s="3" t="s">
        <v>230</v>
      </c>
      <c r="N1407" s="6" t="s">
        <v>524</v>
      </c>
      <c r="O1407" s="6" t="s">
        <v>233</v>
      </c>
      <c r="P1407" s="58" t="s">
        <v>247</v>
      </c>
      <c r="Q1407" s="6" t="s">
        <v>240</v>
      </c>
      <c r="R1407" s="136">
        <v>1.9239999999999999</v>
      </c>
      <c r="S1407" s="2">
        <v>162792</v>
      </c>
      <c r="T1407" s="4">
        <v>0</v>
      </c>
      <c r="U1407" s="4">
        <f t="shared" si="53"/>
        <v>0</v>
      </c>
      <c r="V1407" s="3" t="s">
        <v>362</v>
      </c>
      <c r="W1407" s="3">
        <v>2014</v>
      </c>
      <c r="X1407" s="3" t="s">
        <v>17399</v>
      </c>
    </row>
    <row r="1408" spans="1:24" ht="89.25">
      <c r="A1408" s="3" t="s">
        <v>17977</v>
      </c>
      <c r="B1408" s="6" t="s">
        <v>361</v>
      </c>
      <c r="C1408" s="6" t="s">
        <v>3909</v>
      </c>
      <c r="D1408" s="6" t="s">
        <v>3891</v>
      </c>
      <c r="E1408" s="6" t="s">
        <v>3910</v>
      </c>
      <c r="F1408" s="6" t="s">
        <v>3806</v>
      </c>
      <c r="G1408" s="3" t="s">
        <v>11450</v>
      </c>
      <c r="H1408" s="54">
        <v>0</v>
      </c>
      <c r="I1408" s="16">
        <v>470000000</v>
      </c>
      <c r="J1408" s="157" t="s">
        <v>229</v>
      </c>
      <c r="K1408" s="5" t="s">
        <v>8950</v>
      </c>
      <c r="L1408" s="17" t="s">
        <v>11411</v>
      </c>
      <c r="M1408" s="3" t="s">
        <v>230</v>
      </c>
      <c r="N1408" s="6" t="s">
        <v>528</v>
      </c>
      <c r="O1408" s="6" t="s">
        <v>233</v>
      </c>
      <c r="P1408" s="58" t="s">
        <v>247</v>
      </c>
      <c r="Q1408" s="6" t="s">
        <v>240</v>
      </c>
      <c r="R1408" s="136">
        <v>1.9239999999999999</v>
      </c>
      <c r="S1408" s="2">
        <v>162792</v>
      </c>
      <c r="T1408" s="4">
        <v>0</v>
      </c>
      <c r="U1408" s="4">
        <f t="shared" si="53"/>
        <v>0</v>
      </c>
      <c r="V1408" s="3" t="s">
        <v>362</v>
      </c>
      <c r="W1408" s="3">
        <v>2014</v>
      </c>
      <c r="X1408" s="3" t="s">
        <v>12076</v>
      </c>
    </row>
    <row r="1409" spans="1:24" ht="102">
      <c r="A1409" s="3" t="s">
        <v>1142</v>
      </c>
      <c r="B1409" s="6" t="s">
        <v>361</v>
      </c>
      <c r="C1409" s="6" t="s">
        <v>3909</v>
      </c>
      <c r="D1409" s="6" t="s">
        <v>3891</v>
      </c>
      <c r="E1409" s="6" t="s">
        <v>3910</v>
      </c>
      <c r="F1409" s="6" t="s">
        <v>3807</v>
      </c>
      <c r="G1409" s="3" t="s">
        <v>11449</v>
      </c>
      <c r="H1409" s="54">
        <v>0</v>
      </c>
      <c r="I1409" s="16">
        <v>470000000</v>
      </c>
      <c r="J1409" s="157" t="s">
        <v>229</v>
      </c>
      <c r="K1409" s="5" t="s">
        <v>211</v>
      </c>
      <c r="L1409" s="6" t="s">
        <v>231</v>
      </c>
      <c r="M1409" s="3" t="s">
        <v>230</v>
      </c>
      <c r="N1409" s="6" t="s">
        <v>524</v>
      </c>
      <c r="O1409" s="6" t="s">
        <v>233</v>
      </c>
      <c r="P1409" s="58" t="s">
        <v>247</v>
      </c>
      <c r="Q1409" s="6" t="s">
        <v>240</v>
      </c>
      <c r="R1409" s="18">
        <v>2</v>
      </c>
      <c r="S1409" s="2">
        <v>130885</v>
      </c>
      <c r="T1409" s="4">
        <v>0</v>
      </c>
      <c r="U1409" s="4">
        <f t="shared" si="53"/>
        <v>0</v>
      </c>
      <c r="V1409" s="3" t="s">
        <v>362</v>
      </c>
      <c r="W1409" s="3">
        <v>2014</v>
      </c>
      <c r="X1409" s="3" t="s">
        <v>14751</v>
      </c>
    </row>
    <row r="1410" spans="1:24" ht="89.25">
      <c r="A1410" s="3" t="s">
        <v>14766</v>
      </c>
      <c r="B1410" s="6" t="s">
        <v>361</v>
      </c>
      <c r="C1410" s="6" t="s">
        <v>3909</v>
      </c>
      <c r="D1410" s="6" t="s">
        <v>3891</v>
      </c>
      <c r="E1410" s="6" t="s">
        <v>3910</v>
      </c>
      <c r="F1410" s="6" t="s">
        <v>3807</v>
      </c>
      <c r="G1410" s="3" t="s">
        <v>11449</v>
      </c>
      <c r="H1410" s="54">
        <v>0</v>
      </c>
      <c r="I1410" s="16">
        <v>470000000</v>
      </c>
      <c r="J1410" s="157" t="s">
        <v>229</v>
      </c>
      <c r="K1410" s="5" t="s">
        <v>14764</v>
      </c>
      <c r="L1410" s="17" t="s">
        <v>11411</v>
      </c>
      <c r="M1410" s="3" t="s">
        <v>230</v>
      </c>
      <c r="N1410" s="6" t="s">
        <v>524</v>
      </c>
      <c r="O1410" s="6" t="s">
        <v>233</v>
      </c>
      <c r="P1410" s="58" t="s">
        <v>247</v>
      </c>
      <c r="Q1410" s="6" t="s">
        <v>240</v>
      </c>
      <c r="R1410" s="51">
        <v>0.43499999999999994</v>
      </c>
      <c r="S1410" s="2">
        <v>157062</v>
      </c>
      <c r="T1410" s="4">
        <v>0</v>
      </c>
      <c r="U1410" s="4">
        <f t="shared" si="53"/>
        <v>0</v>
      </c>
      <c r="V1410" s="3" t="s">
        <v>362</v>
      </c>
      <c r="W1410" s="3">
        <v>2014</v>
      </c>
      <c r="X1410" s="3" t="s">
        <v>17399</v>
      </c>
    </row>
    <row r="1411" spans="1:24" ht="89.25">
      <c r="A1411" s="3" t="s">
        <v>17978</v>
      </c>
      <c r="B1411" s="6" t="s">
        <v>361</v>
      </c>
      <c r="C1411" s="6" t="s">
        <v>3909</v>
      </c>
      <c r="D1411" s="6" t="s">
        <v>3891</v>
      </c>
      <c r="E1411" s="6" t="s">
        <v>3910</v>
      </c>
      <c r="F1411" s="6" t="s">
        <v>3807</v>
      </c>
      <c r="G1411" s="3" t="s">
        <v>11450</v>
      </c>
      <c r="H1411" s="54">
        <v>0</v>
      </c>
      <c r="I1411" s="16">
        <v>470000000</v>
      </c>
      <c r="J1411" s="157" t="s">
        <v>229</v>
      </c>
      <c r="K1411" s="5" t="s">
        <v>8950</v>
      </c>
      <c r="L1411" s="17" t="s">
        <v>11411</v>
      </c>
      <c r="M1411" s="3" t="s">
        <v>230</v>
      </c>
      <c r="N1411" s="6" t="s">
        <v>528</v>
      </c>
      <c r="O1411" s="6" t="s">
        <v>233</v>
      </c>
      <c r="P1411" s="58" t="s">
        <v>247</v>
      </c>
      <c r="Q1411" s="6" t="s">
        <v>240</v>
      </c>
      <c r="R1411" s="51">
        <v>0.43499999999999994</v>
      </c>
      <c r="S1411" s="2">
        <v>157062</v>
      </c>
      <c r="T1411" s="4">
        <v>0</v>
      </c>
      <c r="U1411" s="4">
        <f t="shared" si="53"/>
        <v>0</v>
      </c>
      <c r="V1411" s="3" t="s">
        <v>362</v>
      </c>
      <c r="W1411" s="3">
        <v>2014</v>
      </c>
      <c r="X1411" s="3" t="s">
        <v>12076</v>
      </c>
    </row>
    <row r="1412" spans="1:24" ht="102">
      <c r="A1412" s="3" t="s">
        <v>1143</v>
      </c>
      <c r="B1412" s="6" t="s">
        <v>361</v>
      </c>
      <c r="C1412" s="6" t="s">
        <v>3907</v>
      </c>
      <c r="D1412" s="6" t="s">
        <v>3891</v>
      </c>
      <c r="E1412" s="6" t="s">
        <v>3908</v>
      </c>
      <c r="F1412" s="6" t="s">
        <v>3808</v>
      </c>
      <c r="G1412" s="3" t="s">
        <v>11449</v>
      </c>
      <c r="H1412" s="54">
        <v>0</v>
      </c>
      <c r="I1412" s="16">
        <v>470000000</v>
      </c>
      <c r="J1412" s="157" t="s">
        <v>229</v>
      </c>
      <c r="K1412" s="5" t="s">
        <v>211</v>
      </c>
      <c r="L1412" s="6" t="s">
        <v>231</v>
      </c>
      <c r="M1412" s="3" t="s">
        <v>230</v>
      </c>
      <c r="N1412" s="6" t="s">
        <v>524</v>
      </c>
      <c r="O1412" s="6" t="s">
        <v>233</v>
      </c>
      <c r="P1412" s="58" t="s">
        <v>247</v>
      </c>
      <c r="Q1412" s="6" t="s">
        <v>240</v>
      </c>
      <c r="R1412" s="18">
        <v>6</v>
      </c>
      <c r="S1412" s="2">
        <v>130885</v>
      </c>
      <c r="T1412" s="4">
        <v>0</v>
      </c>
      <c r="U1412" s="4">
        <f t="shared" si="53"/>
        <v>0</v>
      </c>
      <c r="V1412" s="3" t="s">
        <v>362</v>
      </c>
      <c r="W1412" s="3">
        <v>2014</v>
      </c>
      <c r="X1412" s="3">
        <v>11.12</v>
      </c>
    </row>
    <row r="1413" spans="1:24" ht="89.25">
      <c r="A1413" s="3" t="s">
        <v>11961</v>
      </c>
      <c r="B1413" s="6" t="s">
        <v>361</v>
      </c>
      <c r="C1413" s="6" t="s">
        <v>3907</v>
      </c>
      <c r="D1413" s="6" t="s">
        <v>3891</v>
      </c>
      <c r="E1413" s="6" t="s">
        <v>3908</v>
      </c>
      <c r="F1413" s="6" t="s">
        <v>3808</v>
      </c>
      <c r="G1413" s="3" t="s">
        <v>11449</v>
      </c>
      <c r="H1413" s="54">
        <v>0</v>
      </c>
      <c r="I1413" s="16">
        <v>470000000</v>
      </c>
      <c r="J1413" s="157" t="s">
        <v>229</v>
      </c>
      <c r="K1413" s="5" t="s">
        <v>209</v>
      </c>
      <c r="L1413" s="17" t="s">
        <v>11411</v>
      </c>
      <c r="M1413" s="3" t="s">
        <v>230</v>
      </c>
      <c r="N1413" s="6" t="s">
        <v>524</v>
      </c>
      <c r="O1413" s="6" t="s">
        <v>233</v>
      </c>
      <c r="P1413" s="58" t="s">
        <v>247</v>
      </c>
      <c r="Q1413" s="6" t="s">
        <v>240</v>
      </c>
      <c r="R1413" s="18">
        <v>6</v>
      </c>
      <c r="S1413" s="2">
        <v>130885</v>
      </c>
      <c r="T1413" s="4">
        <v>0</v>
      </c>
      <c r="U1413" s="4">
        <f t="shared" si="53"/>
        <v>0</v>
      </c>
      <c r="V1413" s="3" t="s">
        <v>362</v>
      </c>
      <c r="W1413" s="3">
        <v>2014</v>
      </c>
      <c r="X1413" s="3">
        <v>11</v>
      </c>
    </row>
    <row r="1414" spans="1:24" ht="89.25">
      <c r="A1414" s="3" t="s">
        <v>12283</v>
      </c>
      <c r="B1414" s="6" t="s">
        <v>361</v>
      </c>
      <c r="C1414" s="6" t="s">
        <v>3907</v>
      </c>
      <c r="D1414" s="6" t="s">
        <v>3891</v>
      </c>
      <c r="E1414" s="6" t="s">
        <v>3908</v>
      </c>
      <c r="F1414" s="6" t="s">
        <v>3808</v>
      </c>
      <c r="G1414" s="3" t="s">
        <v>11449</v>
      </c>
      <c r="H1414" s="54">
        <v>0</v>
      </c>
      <c r="I1414" s="16">
        <v>470000000</v>
      </c>
      <c r="J1414" s="157" t="s">
        <v>229</v>
      </c>
      <c r="K1414" s="5" t="s">
        <v>12120</v>
      </c>
      <c r="L1414" s="17" t="s">
        <v>11411</v>
      </c>
      <c r="M1414" s="3" t="s">
        <v>230</v>
      </c>
      <c r="N1414" s="6" t="s">
        <v>524</v>
      </c>
      <c r="O1414" s="6" t="s">
        <v>233</v>
      </c>
      <c r="P1414" s="58" t="s">
        <v>247</v>
      </c>
      <c r="Q1414" s="6" t="s">
        <v>240</v>
      </c>
      <c r="R1414" s="18">
        <v>6</v>
      </c>
      <c r="S1414" s="2">
        <v>130885</v>
      </c>
      <c r="T1414" s="4">
        <v>0</v>
      </c>
      <c r="U1414" s="4">
        <f t="shared" si="53"/>
        <v>0</v>
      </c>
      <c r="V1414" s="3" t="s">
        <v>362</v>
      </c>
      <c r="W1414" s="3">
        <v>2014</v>
      </c>
      <c r="X1414" s="3" t="s">
        <v>12051</v>
      </c>
    </row>
    <row r="1415" spans="1:24" ht="89.25">
      <c r="A1415" s="3" t="s">
        <v>14767</v>
      </c>
      <c r="B1415" s="6" t="s">
        <v>361</v>
      </c>
      <c r="C1415" s="6" t="s">
        <v>3907</v>
      </c>
      <c r="D1415" s="6" t="s">
        <v>3891</v>
      </c>
      <c r="E1415" s="6" t="s">
        <v>3908</v>
      </c>
      <c r="F1415" s="6" t="s">
        <v>3808</v>
      </c>
      <c r="G1415" s="3" t="s">
        <v>11449</v>
      </c>
      <c r="H1415" s="54">
        <v>0</v>
      </c>
      <c r="I1415" s="16">
        <v>470000000</v>
      </c>
      <c r="J1415" s="157" t="s">
        <v>229</v>
      </c>
      <c r="K1415" s="5" t="s">
        <v>14764</v>
      </c>
      <c r="L1415" s="17" t="s">
        <v>11411</v>
      </c>
      <c r="M1415" s="3" t="s">
        <v>230</v>
      </c>
      <c r="N1415" s="6" t="s">
        <v>524</v>
      </c>
      <c r="O1415" s="6" t="s">
        <v>233</v>
      </c>
      <c r="P1415" s="58" t="s">
        <v>247</v>
      </c>
      <c r="Q1415" s="6" t="s">
        <v>240</v>
      </c>
      <c r="R1415" s="18">
        <v>11.438799999999999</v>
      </c>
      <c r="S1415" s="2">
        <v>157062</v>
      </c>
      <c r="T1415" s="4">
        <v>0</v>
      </c>
      <c r="U1415" s="4">
        <f t="shared" si="53"/>
        <v>0</v>
      </c>
      <c r="V1415" s="3" t="s">
        <v>362</v>
      </c>
      <c r="W1415" s="3">
        <v>2014</v>
      </c>
      <c r="X1415" s="3" t="s">
        <v>14780</v>
      </c>
    </row>
    <row r="1416" spans="1:24" ht="89.25">
      <c r="A1416" s="3" t="s">
        <v>17979</v>
      </c>
      <c r="B1416" s="6" t="s">
        <v>361</v>
      </c>
      <c r="C1416" s="6" t="s">
        <v>3907</v>
      </c>
      <c r="D1416" s="6" t="s">
        <v>3891</v>
      </c>
      <c r="E1416" s="6" t="s">
        <v>3908</v>
      </c>
      <c r="F1416" s="6" t="s">
        <v>3808</v>
      </c>
      <c r="G1416" s="3" t="s">
        <v>11449</v>
      </c>
      <c r="H1416" s="54">
        <v>0</v>
      </c>
      <c r="I1416" s="16">
        <v>470000000</v>
      </c>
      <c r="J1416" s="157" t="s">
        <v>229</v>
      </c>
      <c r="K1416" s="5" t="s">
        <v>8950</v>
      </c>
      <c r="L1416" s="17" t="s">
        <v>11411</v>
      </c>
      <c r="M1416" s="3" t="s">
        <v>230</v>
      </c>
      <c r="N1416" s="6" t="s">
        <v>524</v>
      </c>
      <c r="O1416" s="6" t="s">
        <v>233</v>
      </c>
      <c r="P1416" s="58" t="s">
        <v>247</v>
      </c>
      <c r="Q1416" s="6" t="s">
        <v>240</v>
      </c>
      <c r="R1416" s="18">
        <v>12.35</v>
      </c>
      <c r="S1416" s="2">
        <v>157062</v>
      </c>
      <c r="T1416" s="4">
        <f>R1416*S1416</f>
        <v>1939715.7</v>
      </c>
      <c r="U1416" s="4">
        <f t="shared" si="53"/>
        <v>2172481.5840000003</v>
      </c>
      <c r="V1416" s="3" t="s">
        <v>362</v>
      </c>
      <c r="W1416" s="3">
        <v>2014</v>
      </c>
      <c r="X1416" s="158"/>
    </row>
    <row r="1417" spans="1:24" ht="102">
      <c r="A1417" s="3" t="s">
        <v>1144</v>
      </c>
      <c r="B1417" s="6" t="s">
        <v>361</v>
      </c>
      <c r="C1417" s="6" t="s">
        <v>3905</v>
      </c>
      <c r="D1417" s="6" t="s">
        <v>3891</v>
      </c>
      <c r="E1417" s="6" t="s">
        <v>3906</v>
      </c>
      <c r="F1417" s="6" t="s">
        <v>3809</v>
      </c>
      <c r="G1417" s="3" t="s">
        <v>11449</v>
      </c>
      <c r="H1417" s="54">
        <v>0</v>
      </c>
      <c r="I1417" s="16">
        <v>470000000</v>
      </c>
      <c r="J1417" s="157" t="s">
        <v>229</v>
      </c>
      <c r="K1417" s="5" t="s">
        <v>211</v>
      </c>
      <c r="L1417" s="6" t="s">
        <v>231</v>
      </c>
      <c r="M1417" s="3" t="s">
        <v>230</v>
      </c>
      <c r="N1417" s="6" t="s">
        <v>524</v>
      </c>
      <c r="O1417" s="6" t="s">
        <v>233</v>
      </c>
      <c r="P1417" s="58" t="s">
        <v>247</v>
      </c>
      <c r="Q1417" s="6" t="s">
        <v>240</v>
      </c>
      <c r="R1417" s="18">
        <v>7</v>
      </c>
      <c r="S1417" s="2">
        <v>130885</v>
      </c>
      <c r="T1417" s="4">
        <v>0</v>
      </c>
      <c r="U1417" s="4">
        <f t="shared" si="53"/>
        <v>0</v>
      </c>
      <c r="V1417" s="3" t="s">
        <v>362</v>
      </c>
      <c r="W1417" s="3">
        <v>2014</v>
      </c>
      <c r="X1417" s="3">
        <v>11.12</v>
      </c>
    </row>
    <row r="1418" spans="1:24" ht="89.25">
      <c r="A1418" s="3" t="s">
        <v>11960</v>
      </c>
      <c r="B1418" s="6" t="s">
        <v>361</v>
      </c>
      <c r="C1418" s="6" t="s">
        <v>3905</v>
      </c>
      <c r="D1418" s="6" t="s">
        <v>3891</v>
      </c>
      <c r="E1418" s="6" t="s">
        <v>3906</v>
      </c>
      <c r="F1418" s="6" t="s">
        <v>3809</v>
      </c>
      <c r="G1418" s="3" t="s">
        <v>11449</v>
      </c>
      <c r="H1418" s="54">
        <v>0</v>
      </c>
      <c r="I1418" s="16">
        <v>470000000</v>
      </c>
      <c r="J1418" s="157" t="s">
        <v>229</v>
      </c>
      <c r="K1418" s="5" t="s">
        <v>209</v>
      </c>
      <c r="L1418" s="17" t="s">
        <v>11411</v>
      </c>
      <c r="M1418" s="3" t="s">
        <v>230</v>
      </c>
      <c r="N1418" s="6" t="s">
        <v>524</v>
      </c>
      <c r="O1418" s="6" t="s">
        <v>233</v>
      </c>
      <c r="P1418" s="58" t="s">
        <v>247</v>
      </c>
      <c r="Q1418" s="6" t="s">
        <v>240</v>
      </c>
      <c r="R1418" s="18">
        <v>7</v>
      </c>
      <c r="S1418" s="2">
        <v>130885</v>
      </c>
      <c r="T1418" s="4">
        <v>0</v>
      </c>
      <c r="U1418" s="4">
        <f t="shared" si="53"/>
        <v>0</v>
      </c>
      <c r="V1418" s="3" t="s">
        <v>362</v>
      </c>
      <c r="W1418" s="3">
        <v>2014</v>
      </c>
      <c r="X1418" s="3">
        <v>11</v>
      </c>
    </row>
    <row r="1419" spans="1:24" ht="89.25">
      <c r="A1419" s="3" t="s">
        <v>12284</v>
      </c>
      <c r="B1419" s="6" t="s">
        <v>361</v>
      </c>
      <c r="C1419" s="6" t="s">
        <v>3905</v>
      </c>
      <c r="D1419" s="6" t="s">
        <v>3891</v>
      </c>
      <c r="E1419" s="6" t="s">
        <v>3906</v>
      </c>
      <c r="F1419" s="6" t="s">
        <v>3809</v>
      </c>
      <c r="G1419" s="3" t="s">
        <v>11449</v>
      </c>
      <c r="H1419" s="54">
        <v>0</v>
      </c>
      <c r="I1419" s="16">
        <v>470000000</v>
      </c>
      <c r="J1419" s="157" t="s">
        <v>229</v>
      </c>
      <c r="K1419" s="5" t="s">
        <v>12287</v>
      </c>
      <c r="L1419" s="17" t="s">
        <v>11411</v>
      </c>
      <c r="M1419" s="3" t="s">
        <v>230</v>
      </c>
      <c r="N1419" s="6" t="s">
        <v>524</v>
      </c>
      <c r="O1419" s="6" t="s">
        <v>233</v>
      </c>
      <c r="P1419" s="58" t="s">
        <v>247</v>
      </c>
      <c r="Q1419" s="6" t="s">
        <v>240</v>
      </c>
      <c r="R1419" s="18">
        <v>7</v>
      </c>
      <c r="S1419" s="2">
        <v>130885</v>
      </c>
      <c r="T1419" s="4">
        <v>0</v>
      </c>
      <c r="U1419" s="4">
        <f t="shared" si="53"/>
        <v>0</v>
      </c>
      <c r="V1419" s="3" t="s">
        <v>362</v>
      </c>
      <c r="W1419" s="3">
        <v>2014</v>
      </c>
      <c r="X1419" s="3" t="s">
        <v>12051</v>
      </c>
    </row>
    <row r="1420" spans="1:24" ht="89.25">
      <c r="A1420" s="3" t="s">
        <v>14768</v>
      </c>
      <c r="B1420" s="6" t="s">
        <v>361</v>
      </c>
      <c r="C1420" s="6" t="s">
        <v>3905</v>
      </c>
      <c r="D1420" s="6" t="s">
        <v>3891</v>
      </c>
      <c r="E1420" s="6" t="s">
        <v>3906</v>
      </c>
      <c r="F1420" s="6" t="s">
        <v>3809</v>
      </c>
      <c r="G1420" s="3" t="s">
        <v>11449</v>
      </c>
      <c r="H1420" s="54">
        <v>0</v>
      </c>
      <c r="I1420" s="16">
        <v>470000000</v>
      </c>
      <c r="J1420" s="157" t="s">
        <v>229</v>
      </c>
      <c r="K1420" s="5" t="s">
        <v>14764</v>
      </c>
      <c r="L1420" s="17" t="s">
        <v>11411</v>
      </c>
      <c r="M1420" s="3" t="s">
        <v>230</v>
      </c>
      <c r="N1420" s="6" t="s">
        <v>524</v>
      </c>
      <c r="O1420" s="6" t="s">
        <v>233</v>
      </c>
      <c r="P1420" s="58" t="s">
        <v>247</v>
      </c>
      <c r="Q1420" s="6" t="s">
        <v>240</v>
      </c>
      <c r="R1420" s="18">
        <v>31.303999999999995</v>
      </c>
      <c r="S1420" s="2">
        <v>157062</v>
      </c>
      <c r="T1420" s="4">
        <v>0</v>
      </c>
      <c r="U1420" s="4">
        <f t="shared" si="53"/>
        <v>0</v>
      </c>
      <c r="V1420" s="3" t="s">
        <v>362</v>
      </c>
      <c r="W1420" s="3">
        <v>2014</v>
      </c>
      <c r="X1420" s="3">
        <v>11</v>
      </c>
    </row>
    <row r="1421" spans="1:24" ht="89.25">
      <c r="A1421" s="3" t="s">
        <v>17980</v>
      </c>
      <c r="B1421" s="6" t="s">
        <v>361</v>
      </c>
      <c r="C1421" s="6" t="s">
        <v>3905</v>
      </c>
      <c r="D1421" s="6" t="s">
        <v>3891</v>
      </c>
      <c r="E1421" s="6" t="s">
        <v>3906</v>
      </c>
      <c r="F1421" s="6" t="s">
        <v>3809</v>
      </c>
      <c r="G1421" s="3" t="s">
        <v>11449</v>
      </c>
      <c r="H1421" s="54">
        <v>0</v>
      </c>
      <c r="I1421" s="16">
        <v>470000000</v>
      </c>
      <c r="J1421" s="157" t="s">
        <v>229</v>
      </c>
      <c r="K1421" s="5" t="s">
        <v>8950</v>
      </c>
      <c r="L1421" s="17" t="s">
        <v>11411</v>
      </c>
      <c r="M1421" s="3" t="s">
        <v>230</v>
      </c>
      <c r="N1421" s="6" t="s">
        <v>524</v>
      </c>
      <c r="O1421" s="6" t="s">
        <v>233</v>
      </c>
      <c r="P1421" s="58" t="s">
        <v>247</v>
      </c>
      <c r="Q1421" s="6" t="s">
        <v>240</v>
      </c>
      <c r="R1421" s="18">
        <v>31.3</v>
      </c>
      <c r="S1421" s="2">
        <v>157062</v>
      </c>
      <c r="T1421" s="4">
        <f>R1421*S1421</f>
        <v>4916040.6000000006</v>
      </c>
      <c r="U1421" s="4">
        <f t="shared" si="53"/>
        <v>5505965.472000001</v>
      </c>
      <c r="V1421" s="3" t="s">
        <v>362</v>
      </c>
      <c r="W1421" s="3">
        <v>2014</v>
      </c>
      <c r="X1421" s="158"/>
    </row>
    <row r="1422" spans="1:24" ht="102">
      <c r="A1422" s="3" t="s">
        <v>1145</v>
      </c>
      <c r="B1422" s="6" t="s">
        <v>361</v>
      </c>
      <c r="C1422" s="6" t="s">
        <v>3895</v>
      </c>
      <c r="D1422" s="6" t="s">
        <v>3891</v>
      </c>
      <c r="E1422" s="6" t="s">
        <v>3896</v>
      </c>
      <c r="F1422" s="6" t="s">
        <v>3810</v>
      </c>
      <c r="G1422" s="3" t="s">
        <v>11449</v>
      </c>
      <c r="H1422" s="54">
        <v>0</v>
      </c>
      <c r="I1422" s="16">
        <v>470000000</v>
      </c>
      <c r="J1422" s="157" t="s">
        <v>229</v>
      </c>
      <c r="K1422" s="5" t="s">
        <v>214</v>
      </c>
      <c r="L1422" s="6" t="s">
        <v>231</v>
      </c>
      <c r="M1422" s="3" t="s">
        <v>230</v>
      </c>
      <c r="N1422" s="6" t="s">
        <v>524</v>
      </c>
      <c r="O1422" s="6" t="s">
        <v>233</v>
      </c>
      <c r="P1422" s="58" t="s">
        <v>247</v>
      </c>
      <c r="Q1422" s="6" t="s">
        <v>240</v>
      </c>
      <c r="R1422" s="18">
        <v>8</v>
      </c>
      <c r="S1422" s="2">
        <v>130885</v>
      </c>
      <c r="T1422" s="4">
        <v>0</v>
      </c>
      <c r="U1422" s="4">
        <f t="shared" si="53"/>
        <v>0</v>
      </c>
      <c r="V1422" s="3" t="s">
        <v>362</v>
      </c>
      <c r="W1422" s="3">
        <v>2014</v>
      </c>
      <c r="X1422" s="3">
        <v>11.12</v>
      </c>
    </row>
    <row r="1423" spans="1:24" ht="89.25">
      <c r="A1423" s="3" t="s">
        <v>11889</v>
      </c>
      <c r="B1423" s="6" t="s">
        <v>361</v>
      </c>
      <c r="C1423" s="6" t="s">
        <v>3895</v>
      </c>
      <c r="D1423" s="6" t="s">
        <v>3891</v>
      </c>
      <c r="E1423" s="6" t="s">
        <v>3896</v>
      </c>
      <c r="F1423" s="6" t="s">
        <v>3810</v>
      </c>
      <c r="G1423" s="3" t="s">
        <v>11449</v>
      </c>
      <c r="H1423" s="54">
        <v>0</v>
      </c>
      <c r="I1423" s="16">
        <v>470000000</v>
      </c>
      <c r="J1423" s="157" t="s">
        <v>229</v>
      </c>
      <c r="K1423" s="5" t="s">
        <v>210</v>
      </c>
      <c r="L1423" s="17" t="s">
        <v>11411</v>
      </c>
      <c r="M1423" s="3" t="s">
        <v>230</v>
      </c>
      <c r="N1423" s="6" t="s">
        <v>524</v>
      </c>
      <c r="O1423" s="6" t="s">
        <v>233</v>
      </c>
      <c r="P1423" s="58" t="s">
        <v>247</v>
      </c>
      <c r="Q1423" s="6" t="s">
        <v>240</v>
      </c>
      <c r="R1423" s="18">
        <v>8</v>
      </c>
      <c r="S1423" s="2">
        <v>130885</v>
      </c>
      <c r="T1423" s="4">
        <v>0</v>
      </c>
      <c r="U1423" s="4">
        <f t="shared" si="53"/>
        <v>0</v>
      </c>
      <c r="V1423" s="3" t="s">
        <v>362</v>
      </c>
      <c r="W1423" s="3">
        <v>2014</v>
      </c>
      <c r="X1423" s="3">
        <v>11</v>
      </c>
    </row>
    <row r="1424" spans="1:24" ht="89.25">
      <c r="A1424" s="3" t="s">
        <v>12285</v>
      </c>
      <c r="B1424" s="6" t="s">
        <v>361</v>
      </c>
      <c r="C1424" s="6" t="s">
        <v>3895</v>
      </c>
      <c r="D1424" s="6" t="s">
        <v>3891</v>
      </c>
      <c r="E1424" s="6" t="s">
        <v>3896</v>
      </c>
      <c r="F1424" s="6" t="s">
        <v>3810</v>
      </c>
      <c r="G1424" s="3" t="s">
        <v>11449</v>
      </c>
      <c r="H1424" s="54">
        <v>0</v>
      </c>
      <c r="I1424" s="16">
        <v>470000000</v>
      </c>
      <c r="J1424" s="157" t="s">
        <v>229</v>
      </c>
      <c r="K1424" s="5" t="s">
        <v>211</v>
      </c>
      <c r="L1424" s="17" t="s">
        <v>11411</v>
      </c>
      <c r="M1424" s="3" t="s">
        <v>230</v>
      </c>
      <c r="N1424" s="6" t="s">
        <v>524</v>
      </c>
      <c r="O1424" s="6" t="s">
        <v>233</v>
      </c>
      <c r="P1424" s="58" t="s">
        <v>247</v>
      </c>
      <c r="Q1424" s="6" t="s">
        <v>240</v>
      </c>
      <c r="R1424" s="18">
        <v>0</v>
      </c>
      <c r="S1424" s="2">
        <v>130885</v>
      </c>
      <c r="T1424" s="4">
        <f>R1424*S1424</f>
        <v>0</v>
      </c>
      <c r="U1424" s="4">
        <f t="shared" si="53"/>
        <v>0</v>
      </c>
      <c r="V1424" s="3" t="s">
        <v>362</v>
      </c>
      <c r="W1424" s="3">
        <v>2014</v>
      </c>
      <c r="X1424" s="3" t="s">
        <v>12076</v>
      </c>
    </row>
    <row r="1425" spans="1:24" ht="102">
      <c r="A1425" s="3" t="s">
        <v>1146</v>
      </c>
      <c r="B1425" s="6" t="s">
        <v>361</v>
      </c>
      <c r="C1425" s="6" t="s">
        <v>3893</v>
      </c>
      <c r="D1425" s="6" t="s">
        <v>3891</v>
      </c>
      <c r="E1425" s="6" t="s">
        <v>3894</v>
      </c>
      <c r="F1425" s="6" t="s">
        <v>3811</v>
      </c>
      <c r="G1425" s="3" t="s">
        <v>11449</v>
      </c>
      <c r="H1425" s="54">
        <v>0</v>
      </c>
      <c r="I1425" s="16">
        <v>470000000</v>
      </c>
      <c r="J1425" s="157" t="s">
        <v>229</v>
      </c>
      <c r="K1425" s="5" t="s">
        <v>211</v>
      </c>
      <c r="L1425" s="6" t="s">
        <v>231</v>
      </c>
      <c r="M1425" s="3" t="s">
        <v>230</v>
      </c>
      <c r="N1425" s="6" t="s">
        <v>524</v>
      </c>
      <c r="O1425" s="6" t="s">
        <v>233</v>
      </c>
      <c r="P1425" s="58" t="s">
        <v>247</v>
      </c>
      <c r="Q1425" s="6" t="s">
        <v>240</v>
      </c>
      <c r="R1425" s="18">
        <v>16</v>
      </c>
      <c r="S1425" s="2">
        <v>116950</v>
      </c>
      <c r="T1425" s="4">
        <v>0</v>
      </c>
      <c r="U1425" s="4">
        <f t="shared" si="53"/>
        <v>0</v>
      </c>
      <c r="V1425" s="3" t="s">
        <v>362</v>
      </c>
      <c r="W1425" s="3">
        <v>2014</v>
      </c>
      <c r="X1425" s="3">
        <v>11.12</v>
      </c>
    </row>
    <row r="1426" spans="1:24" ht="89.25">
      <c r="A1426" s="3" t="s">
        <v>11959</v>
      </c>
      <c r="B1426" s="6" t="s">
        <v>361</v>
      </c>
      <c r="C1426" s="6" t="s">
        <v>3893</v>
      </c>
      <c r="D1426" s="6" t="s">
        <v>3891</v>
      </c>
      <c r="E1426" s="6" t="s">
        <v>3894</v>
      </c>
      <c r="F1426" s="6" t="s">
        <v>3811</v>
      </c>
      <c r="G1426" s="3" t="s">
        <v>11449</v>
      </c>
      <c r="H1426" s="54">
        <v>0</v>
      </c>
      <c r="I1426" s="16">
        <v>470000000</v>
      </c>
      <c r="J1426" s="157" t="s">
        <v>229</v>
      </c>
      <c r="K1426" s="5" t="s">
        <v>209</v>
      </c>
      <c r="L1426" s="17" t="s">
        <v>11411</v>
      </c>
      <c r="M1426" s="3" t="s">
        <v>230</v>
      </c>
      <c r="N1426" s="6" t="s">
        <v>524</v>
      </c>
      <c r="O1426" s="6" t="s">
        <v>233</v>
      </c>
      <c r="P1426" s="58" t="s">
        <v>247</v>
      </c>
      <c r="Q1426" s="6" t="s">
        <v>240</v>
      </c>
      <c r="R1426" s="18">
        <v>16</v>
      </c>
      <c r="S1426" s="2">
        <v>116950</v>
      </c>
      <c r="T1426" s="4">
        <v>0</v>
      </c>
      <c r="U1426" s="4">
        <f t="shared" si="53"/>
        <v>0</v>
      </c>
      <c r="V1426" s="3" t="s">
        <v>362</v>
      </c>
      <c r="W1426" s="3">
        <v>2014</v>
      </c>
      <c r="X1426" s="3">
        <v>11</v>
      </c>
    </row>
    <row r="1427" spans="1:24" ht="89.25">
      <c r="A1427" s="3" t="s">
        <v>12286</v>
      </c>
      <c r="B1427" s="6" t="s">
        <v>361</v>
      </c>
      <c r="C1427" s="6" t="s">
        <v>3893</v>
      </c>
      <c r="D1427" s="6" t="s">
        <v>3891</v>
      </c>
      <c r="E1427" s="6" t="s">
        <v>3894</v>
      </c>
      <c r="F1427" s="6" t="s">
        <v>3811</v>
      </c>
      <c r="G1427" s="3" t="s">
        <v>11449</v>
      </c>
      <c r="H1427" s="54">
        <v>0</v>
      </c>
      <c r="I1427" s="16">
        <v>470000000</v>
      </c>
      <c r="J1427" s="157" t="s">
        <v>229</v>
      </c>
      <c r="K1427" s="5" t="s">
        <v>12120</v>
      </c>
      <c r="L1427" s="17" t="s">
        <v>11411</v>
      </c>
      <c r="M1427" s="3" t="s">
        <v>230</v>
      </c>
      <c r="N1427" s="6" t="s">
        <v>524</v>
      </c>
      <c r="O1427" s="6" t="s">
        <v>233</v>
      </c>
      <c r="P1427" s="58" t="s">
        <v>247</v>
      </c>
      <c r="Q1427" s="6" t="s">
        <v>240</v>
      </c>
      <c r="R1427" s="18">
        <v>16</v>
      </c>
      <c r="S1427" s="2">
        <v>116950</v>
      </c>
      <c r="T1427" s="4">
        <v>0</v>
      </c>
      <c r="U1427" s="4">
        <f t="shared" si="53"/>
        <v>0</v>
      </c>
      <c r="V1427" s="3" t="s">
        <v>362</v>
      </c>
      <c r="W1427" s="3">
        <v>2014</v>
      </c>
      <c r="X1427" s="3" t="s">
        <v>12051</v>
      </c>
    </row>
    <row r="1428" spans="1:24" ht="89.25">
      <c r="A1428" s="3" t="s">
        <v>14769</v>
      </c>
      <c r="B1428" s="6" t="s">
        <v>361</v>
      </c>
      <c r="C1428" s="6" t="s">
        <v>3893</v>
      </c>
      <c r="D1428" s="6" t="s">
        <v>3891</v>
      </c>
      <c r="E1428" s="6" t="s">
        <v>3894</v>
      </c>
      <c r="F1428" s="6" t="s">
        <v>3811</v>
      </c>
      <c r="G1428" s="3" t="s">
        <v>11449</v>
      </c>
      <c r="H1428" s="54">
        <v>0</v>
      </c>
      <c r="I1428" s="16">
        <v>470000000</v>
      </c>
      <c r="J1428" s="157" t="s">
        <v>229</v>
      </c>
      <c r="K1428" s="5" t="s">
        <v>14764</v>
      </c>
      <c r="L1428" s="17" t="s">
        <v>11411</v>
      </c>
      <c r="M1428" s="3" t="s">
        <v>230</v>
      </c>
      <c r="N1428" s="6" t="s">
        <v>524</v>
      </c>
      <c r="O1428" s="6" t="s">
        <v>233</v>
      </c>
      <c r="P1428" s="58" t="s">
        <v>247</v>
      </c>
      <c r="Q1428" s="6" t="s">
        <v>240</v>
      </c>
      <c r="R1428" s="51">
        <v>8.4890000000000043</v>
      </c>
      <c r="S1428" s="2">
        <v>140340</v>
      </c>
      <c r="T1428" s="4">
        <v>0</v>
      </c>
      <c r="U1428" s="4">
        <f t="shared" si="53"/>
        <v>0</v>
      </c>
      <c r="V1428" s="3" t="s">
        <v>362</v>
      </c>
      <c r="W1428" s="3">
        <v>2014</v>
      </c>
      <c r="X1428" s="3" t="s">
        <v>12051</v>
      </c>
    </row>
    <row r="1429" spans="1:24" ht="89.25">
      <c r="A1429" s="3" t="s">
        <v>17981</v>
      </c>
      <c r="B1429" s="6" t="s">
        <v>361</v>
      </c>
      <c r="C1429" s="6" t="s">
        <v>3893</v>
      </c>
      <c r="D1429" s="6" t="s">
        <v>3891</v>
      </c>
      <c r="E1429" s="6" t="s">
        <v>3894</v>
      </c>
      <c r="F1429" s="6" t="s">
        <v>3811</v>
      </c>
      <c r="G1429" s="3" t="s">
        <v>11449</v>
      </c>
      <c r="H1429" s="54">
        <v>0</v>
      </c>
      <c r="I1429" s="16">
        <v>470000000</v>
      </c>
      <c r="J1429" s="157" t="s">
        <v>229</v>
      </c>
      <c r="K1429" s="5" t="s">
        <v>8950</v>
      </c>
      <c r="L1429" s="17" t="s">
        <v>11411</v>
      </c>
      <c r="M1429" s="3" t="s">
        <v>230</v>
      </c>
      <c r="N1429" s="6" t="s">
        <v>524</v>
      </c>
      <c r="O1429" s="6" t="s">
        <v>233</v>
      </c>
      <c r="P1429" s="58" t="s">
        <v>247</v>
      </c>
      <c r="Q1429" s="6" t="s">
        <v>240</v>
      </c>
      <c r="R1429" s="51">
        <v>8.5399999999999991</v>
      </c>
      <c r="S1429" s="2">
        <v>130000</v>
      </c>
      <c r="T1429" s="4">
        <f>R1429*S1429</f>
        <v>1110200</v>
      </c>
      <c r="U1429" s="4">
        <f t="shared" si="53"/>
        <v>1243424.0000000002</v>
      </c>
      <c r="V1429" s="3" t="s">
        <v>362</v>
      </c>
      <c r="W1429" s="3">
        <v>2014</v>
      </c>
      <c r="X1429" s="158"/>
    </row>
    <row r="1430" spans="1:24" ht="102">
      <c r="A1430" s="3" t="s">
        <v>1147</v>
      </c>
      <c r="B1430" s="6" t="s">
        <v>361</v>
      </c>
      <c r="C1430" s="6" t="s">
        <v>3890</v>
      </c>
      <c r="D1430" s="6" t="s">
        <v>3891</v>
      </c>
      <c r="E1430" s="6" t="s">
        <v>3892</v>
      </c>
      <c r="F1430" s="6" t="s">
        <v>3812</v>
      </c>
      <c r="G1430" s="3" t="s">
        <v>11449</v>
      </c>
      <c r="H1430" s="54">
        <v>0</v>
      </c>
      <c r="I1430" s="16">
        <v>470000000</v>
      </c>
      <c r="J1430" s="157" t="s">
        <v>229</v>
      </c>
      <c r="K1430" s="5" t="s">
        <v>215</v>
      </c>
      <c r="L1430" s="6" t="s">
        <v>231</v>
      </c>
      <c r="M1430" s="3" t="s">
        <v>230</v>
      </c>
      <c r="N1430" s="6" t="s">
        <v>524</v>
      </c>
      <c r="O1430" s="6" t="s">
        <v>233</v>
      </c>
      <c r="P1430" s="58" t="s">
        <v>247</v>
      </c>
      <c r="Q1430" s="6" t="s">
        <v>240</v>
      </c>
      <c r="R1430" s="18">
        <v>9</v>
      </c>
      <c r="S1430" s="2">
        <v>119420</v>
      </c>
      <c r="T1430" s="4">
        <v>0</v>
      </c>
      <c r="U1430" s="4">
        <f t="shared" si="53"/>
        <v>0</v>
      </c>
      <c r="V1430" s="3" t="s">
        <v>362</v>
      </c>
      <c r="W1430" s="3">
        <v>2014</v>
      </c>
      <c r="X1430" s="3">
        <v>11.12</v>
      </c>
    </row>
    <row r="1431" spans="1:24" ht="89.25">
      <c r="A1431" s="3" t="s">
        <v>11976</v>
      </c>
      <c r="B1431" s="6" t="s">
        <v>361</v>
      </c>
      <c r="C1431" s="6" t="s">
        <v>3890</v>
      </c>
      <c r="D1431" s="6" t="s">
        <v>3891</v>
      </c>
      <c r="E1431" s="6" t="s">
        <v>3892</v>
      </c>
      <c r="F1431" s="6" t="s">
        <v>3812</v>
      </c>
      <c r="G1431" s="3" t="s">
        <v>11449</v>
      </c>
      <c r="H1431" s="54">
        <v>0</v>
      </c>
      <c r="I1431" s="16">
        <v>470000000</v>
      </c>
      <c r="J1431" s="157" t="s">
        <v>229</v>
      </c>
      <c r="K1431" s="5" t="s">
        <v>209</v>
      </c>
      <c r="L1431" s="17" t="s">
        <v>11411</v>
      </c>
      <c r="M1431" s="3" t="s">
        <v>230</v>
      </c>
      <c r="N1431" s="6" t="s">
        <v>524</v>
      </c>
      <c r="O1431" s="6" t="s">
        <v>233</v>
      </c>
      <c r="P1431" s="58" t="s">
        <v>247</v>
      </c>
      <c r="Q1431" s="6" t="s">
        <v>240</v>
      </c>
      <c r="R1431" s="18">
        <v>9</v>
      </c>
      <c r="S1431" s="2">
        <v>119420</v>
      </c>
      <c r="T1431" s="4">
        <v>0</v>
      </c>
      <c r="U1431" s="4">
        <f t="shared" si="53"/>
        <v>0</v>
      </c>
      <c r="V1431" s="3" t="s">
        <v>362</v>
      </c>
      <c r="W1431" s="3">
        <v>2014</v>
      </c>
      <c r="X1431" s="3">
        <v>11</v>
      </c>
    </row>
    <row r="1432" spans="1:24" ht="89.25">
      <c r="A1432" s="3" t="s">
        <v>12288</v>
      </c>
      <c r="B1432" s="6" t="s">
        <v>361</v>
      </c>
      <c r="C1432" s="6" t="s">
        <v>3890</v>
      </c>
      <c r="D1432" s="6" t="s">
        <v>3891</v>
      </c>
      <c r="E1432" s="6" t="s">
        <v>3892</v>
      </c>
      <c r="F1432" s="6" t="s">
        <v>3812</v>
      </c>
      <c r="G1432" s="3" t="s">
        <v>11449</v>
      </c>
      <c r="H1432" s="54">
        <v>0</v>
      </c>
      <c r="I1432" s="16">
        <v>470000000</v>
      </c>
      <c r="J1432" s="157" t="s">
        <v>229</v>
      </c>
      <c r="K1432" s="5" t="s">
        <v>12289</v>
      </c>
      <c r="L1432" s="17" t="s">
        <v>11411</v>
      </c>
      <c r="M1432" s="3" t="s">
        <v>230</v>
      </c>
      <c r="N1432" s="6" t="s">
        <v>524</v>
      </c>
      <c r="O1432" s="6" t="s">
        <v>233</v>
      </c>
      <c r="P1432" s="58" t="s">
        <v>247</v>
      </c>
      <c r="Q1432" s="6" t="s">
        <v>240</v>
      </c>
      <c r="R1432" s="18">
        <v>9</v>
      </c>
      <c r="S1432" s="2">
        <v>119420</v>
      </c>
      <c r="T1432" s="4">
        <v>0</v>
      </c>
      <c r="U1432" s="4">
        <f t="shared" si="53"/>
        <v>0</v>
      </c>
      <c r="V1432" s="3" t="s">
        <v>362</v>
      </c>
      <c r="W1432" s="3">
        <v>2014</v>
      </c>
      <c r="X1432" s="3" t="s">
        <v>12051</v>
      </c>
    </row>
    <row r="1433" spans="1:24" ht="89.25">
      <c r="A1433" s="3" t="s">
        <v>14770</v>
      </c>
      <c r="B1433" s="6" t="s">
        <v>361</v>
      </c>
      <c r="C1433" s="6" t="s">
        <v>3890</v>
      </c>
      <c r="D1433" s="6" t="s">
        <v>3891</v>
      </c>
      <c r="E1433" s="6" t="s">
        <v>3892</v>
      </c>
      <c r="F1433" s="6" t="s">
        <v>3812</v>
      </c>
      <c r="G1433" s="3" t="s">
        <v>11449</v>
      </c>
      <c r="H1433" s="54">
        <v>0</v>
      </c>
      <c r="I1433" s="16">
        <v>470000000</v>
      </c>
      <c r="J1433" s="157" t="s">
        <v>229</v>
      </c>
      <c r="K1433" s="5" t="s">
        <v>14750</v>
      </c>
      <c r="L1433" s="17" t="s">
        <v>11411</v>
      </c>
      <c r="M1433" s="3" t="s">
        <v>230</v>
      </c>
      <c r="N1433" s="6" t="s">
        <v>524</v>
      </c>
      <c r="O1433" s="6" t="s">
        <v>233</v>
      </c>
      <c r="P1433" s="58" t="s">
        <v>247</v>
      </c>
      <c r="Q1433" s="6" t="s">
        <v>240</v>
      </c>
      <c r="R1433" s="136">
        <v>4.8661699999999986</v>
      </c>
      <c r="S1433" s="2">
        <v>143304</v>
      </c>
      <c r="T1433" s="4">
        <v>0</v>
      </c>
      <c r="U1433" s="4">
        <f t="shared" si="53"/>
        <v>0</v>
      </c>
      <c r="V1433" s="3" t="s">
        <v>362</v>
      </c>
      <c r="W1433" s="3">
        <v>2014</v>
      </c>
      <c r="X1433" s="3" t="s">
        <v>12051</v>
      </c>
    </row>
    <row r="1434" spans="1:24" ht="89.25">
      <c r="A1434" s="3" t="s">
        <v>17982</v>
      </c>
      <c r="B1434" s="6" t="s">
        <v>361</v>
      </c>
      <c r="C1434" s="6" t="s">
        <v>3890</v>
      </c>
      <c r="D1434" s="6" t="s">
        <v>3891</v>
      </c>
      <c r="E1434" s="6" t="s">
        <v>3892</v>
      </c>
      <c r="F1434" s="6" t="s">
        <v>3812</v>
      </c>
      <c r="G1434" s="3" t="s">
        <v>11449</v>
      </c>
      <c r="H1434" s="54">
        <v>0</v>
      </c>
      <c r="I1434" s="16">
        <v>470000000</v>
      </c>
      <c r="J1434" s="157" t="s">
        <v>229</v>
      </c>
      <c r="K1434" s="5" t="s">
        <v>8950</v>
      </c>
      <c r="L1434" s="17" t="s">
        <v>11411</v>
      </c>
      <c r="M1434" s="3" t="s">
        <v>230</v>
      </c>
      <c r="N1434" s="6" t="s">
        <v>524</v>
      </c>
      <c r="O1434" s="6" t="s">
        <v>233</v>
      </c>
      <c r="P1434" s="58" t="s">
        <v>247</v>
      </c>
      <c r="Q1434" s="6" t="s">
        <v>240</v>
      </c>
      <c r="R1434" s="136">
        <v>6.86</v>
      </c>
      <c r="S1434" s="2">
        <v>130000</v>
      </c>
      <c r="T1434" s="4">
        <f>R1434*S1434</f>
        <v>891800</v>
      </c>
      <c r="U1434" s="4">
        <f t="shared" si="53"/>
        <v>998816.00000000012</v>
      </c>
      <c r="V1434" s="3" t="s">
        <v>362</v>
      </c>
      <c r="W1434" s="3">
        <v>2014</v>
      </c>
      <c r="X1434" s="158"/>
    </row>
    <row r="1435" spans="1:24" ht="102">
      <c r="A1435" s="3" t="s">
        <v>1148</v>
      </c>
      <c r="B1435" s="6" t="s">
        <v>361</v>
      </c>
      <c r="C1435" s="6" t="s">
        <v>3903</v>
      </c>
      <c r="D1435" s="6" t="s">
        <v>3891</v>
      </c>
      <c r="E1435" s="6" t="s">
        <v>3904</v>
      </c>
      <c r="F1435" s="6" t="s">
        <v>3813</v>
      </c>
      <c r="G1435" s="3" t="s">
        <v>11449</v>
      </c>
      <c r="H1435" s="54">
        <v>0</v>
      </c>
      <c r="I1435" s="16">
        <v>470000000</v>
      </c>
      <c r="J1435" s="157" t="s">
        <v>229</v>
      </c>
      <c r="K1435" s="5" t="s">
        <v>211</v>
      </c>
      <c r="L1435" s="6" t="s">
        <v>231</v>
      </c>
      <c r="M1435" s="3" t="s">
        <v>230</v>
      </c>
      <c r="N1435" s="6" t="s">
        <v>524</v>
      </c>
      <c r="O1435" s="6" t="s">
        <v>233</v>
      </c>
      <c r="P1435" s="58" t="s">
        <v>247</v>
      </c>
      <c r="Q1435" s="6" t="s">
        <v>240</v>
      </c>
      <c r="R1435" s="18">
        <v>8</v>
      </c>
      <c r="S1435" s="2">
        <v>120375</v>
      </c>
      <c r="T1435" s="4">
        <v>0</v>
      </c>
      <c r="U1435" s="4">
        <f t="shared" si="53"/>
        <v>0</v>
      </c>
      <c r="V1435" s="3" t="s">
        <v>362</v>
      </c>
      <c r="W1435" s="3">
        <v>2014</v>
      </c>
      <c r="X1435" s="3">
        <v>11.12</v>
      </c>
    </row>
    <row r="1436" spans="1:24" ht="89.25">
      <c r="A1436" s="3" t="s">
        <v>12290</v>
      </c>
      <c r="B1436" s="6" t="s">
        <v>361</v>
      </c>
      <c r="C1436" s="6" t="s">
        <v>3903</v>
      </c>
      <c r="D1436" s="6" t="s">
        <v>3891</v>
      </c>
      <c r="E1436" s="6" t="s">
        <v>3904</v>
      </c>
      <c r="F1436" s="6" t="s">
        <v>3813</v>
      </c>
      <c r="G1436" s="3" t="s">
        <v>11449</v>
      </c>
      <c r="H1436" s="54">
        <v>0</v>
      </c>
      <c r="I1436" s="16">
        <v>470000000</v>
      </c>
      <c r="J1436" s="157" t="s">
        <v>229</v>
      </c>
      <c r="K1436" s="5" t="s">
        <v>12289</v>
      </c>
      <c r="L1436" s="17" t="s">
        <v>11411</v>
      </c>
      <c r="M1436" s="3" t="s">
        <v>230</v>
      </c>
      <c r="N1436" s="6" t="s">
        <v>524</v>
      </c>
      <c r="O1436" s="6" t="s">
        <v>233</v>
      </c>
      <c r="P1436" s="58" t="s">
        <v>247</v>
      </c>
      <c r="Q1436" s="6" t="s">
        <v>240</v>
      </c>
      <c r="R1436" s="18">
        <v>8</v>
      </c>
      <c r="S1436" s="2">
        <v>120375</v>
      </c>
      <c r="T1436" s="4">
        <v>0</v>
      </c>
      <c r="U1436" s="4">
        <f t="shared" si="53"/>
        <v>0</v>
      </c>
      <c r="V1436" s="3" t="s">
        <v>362</v>
      </c>
      <c r="W1436" s="3">
        <v>2014</v>
      </c>
      <c r="X1436" s="3" t="s">
        <v>12051</v>
      </c>
    </row>
    <row r="1437" spans="1:24" ht="89.25">
      <c r="A1437" s="3" t="s">
        <v>14771</v>
      </c>
      <c r="B1437" s="6" t="s">
        <v>361</v>
      </c>
      <c r="C1437" s="6" t="s">
        <v>3903</v>
      </c>
      <c r="D1437" s="6" t="s">
        <v>3891</v>
      </c>
      <c r="E1437" s="6" t="s">
        <v>3904</v>
      </c>
      <c r="F1437" s="6" t="s">
        <v>3813</v>
      </c>
      <c r="G1437" s="3" t="s">
        <v>11449</v>
      </c>
      <c r="H1437" s="54">
        <v>0</v>
      </c>
      <c r="I1437" s="16">
        <v>470000000</v>
      </c>
      <c r="J1437" s="157" t="s">
        <v>229</v>
      </c>
      <c r="K1437" s="5" t="s">
        <v>14764</v>
      </c>
      <c r="L1437" s="17" t="s">
        <v>11411</v>
      </c>
      <c r="M1437" s="3" t="s">
        <v>230</v>
      </c>
      <c r="N1437" s="6" t="s">
        <v>524</v>
      </c>
      <c r="O1437" s="6" t="s">
        <v>233</v>
      </c>
      <c r="P1437" s="58" t="s">
        <v>247</v>
      </c>
      <c r="Q1437" s="6" t="s">
        <v>240</v>
      </c>
      <c r="R1437" s="18">
        <v>3.116659999999996</v>
      </c>
      <c r="S1437" s="2">
        <v>144450</v>
      </c>
      <c r="T1437" s="4">
        <v>0</v>
      </c>
      <c r="U1437" s="4">
        <f t="shared" si="53"/>
        <v>0</v>
      </c>
      <c r="V1437" s="3" t="s">
        <v>362</v>
      </c>
      <c r="W1437" s="3">
        <v>2014</v>
      </c>
      <c r="X1437" s="3" t="s">
        <v>17399</v>
      </c>
    </row>
    <row r="1438" spans="1:24" ht="89.25">
      <c r="A1438" s="3" t="s">
        <v>17983</v>
      </c>
      <c r="B1438" s="6" t="s">
        <v>361</v>
      </c>
      <c r="C1438" s="6" t="s">
        <v>3903</v>
      </c>
      <c r="D1438" s="6" t="s">
        <v>3891</v>
      </c>
      <c r="E1438" s="6" t="s">
        <v>3904</v>
      </c>
      <c r="F1438" s="6" t="s">
        <v>3813</v>
      </c>
      <c r="G1438" s="3" t="s">
        <v>11450</v>
      </c>
      <c r="H1438" s="54">
        <v>0</v>
      </c>
      <c r="I1438" s="16">
        <v>470000000</v>
      </c>
      <c r="J1438" s="157" t="s">
        <v>229</v>
      </c>
      <c r="K1438" s="5" t="s">
        <v>8950</v>
      </c>
      <c r="L1438" s="17" t="s">
        <v>11411</v>
      </c>
      <c r="M1438" s="3" t="s">
        <v>230</v>
      </c>
      <c r="N1438" s="6" t="s">
        <v>528</v>
      </c>
      <c r="O1438" s="6" t="s">
        <v>233</v>
      </c>
      <c r="P1438" s="58" t="s">
        <v>247</v>
      </c>
      <c r="Q1438" s="6" t="s">
        <v>240</v>
      </c>
      <c r="R1438" s="18">
        <v>3.12</v>
      </c>
      <c r="S1438" s="2">
        <v>130000</v>
      </c>
      <c r="T1438" s="4">
        <f>R1438*S1438</f>
        <v>405600</v>
      </c>
      <c r="U1438" s="4">
        <f t="shared" si="53"/>
        <v>454272.00000000006</v>
      </c>
      <c r="V1438" s="3" t="s">
        <v>362</v>
      </c>
      <c r="W1438" s="3">
        <v>2014</v>
      </c>
      <c r="X1438" s="158"/>
    </row>
    <row r="1439" spans="1:24" ht="102">
      <c r="A1439" s="3" t="s">
        <v>1149</v>
      </c>
      <c r="B1439" s="6" t="s">
        <v>361</v>
      </c>
      <c r="C1439" s="6" t="s">
        <v>3901</v>
      </c>
      <c r="D1439" s="6" t="s">
        <v>3891</v>
      </c>
      <c r="E1439" s="6" t="s">
        <v>3902</v>
      </c>
      <c r="F1439" s="6" t="s">
        <v>3814</v>
      </c>
      <c r="G1439" s="3" t="s">
        <v>11449</v>
      </c>
      <c r="H1439" s="54">
        <v>0</v>
      </c>
      <c r="I1439" s="16">
        <v>470000000</v>
      </c>
      <c r="J1439" s="157" t="s">
        <v>229</v>
      </c>
      <c r="K1439" s="5" t="s">
        <v>210</v>
      </c>
      <c r="L1439" s="6" t="s">
        <v>231</v>
      </c>
      <c r="M1439" s="3" t="s">
        <v>230</v>
      </c>
      <c r="N1439" s="6" t="s">
        <v>524</v>
      </c>
      <c r="O1439" s="6" t="s">
        <v>233</v>
      </c>
      <c r="P1439" s="58" t="s">
        <v>247</v>
      </c>
      <c r="Q1439" s="6" t="s">
        <v>240</v>
      </c>
      <c r="R1439" s="18">
        <v>15</v>
      </c>
      <c r="S1439" s="2">
        <v>118304</v>
      </c>
      <c r="T1439" s="4">
        <v>0</v>
      </c>
      <c r="U1439" s="4">
        <f t="shared" si="53"/>
        <v>0</v>
      </c>
      <c r="V1439" s="3" t="s">
        <v>362</v>
      </c>
      <c r="W1439" s="3">
        <v>2014</v>
      </c>
      <c r="X1439" s="3">
        <v>11.12</v>
      </c>
    </row>
    <row r="1440" spans="1:24" ht="89.25">
      <c r="A1440" s="3" t="s">
        <v>12291</v>
      </c>
      <c r="B1440" s="6" t="s">
        <v>361</v>
      </c>
      <c r="C1440" s="6" t="s">
        <v>3901</v>
      </c>
      <c r="D1440" s="6" t="s">
        <v>3891</v>
      </c>
      <c r="E1440" s="6" t="s">
        <v>3902</v>
      </c>
      <c r="F1440" s="6" t="s">
        <v>3814</v>
      </c>
      <c r="G1440" s="3" t="s">
        <v>11449</v>
      </c>
      <c r="H1440" s="54">
        <v>0</v>
      </c>
      <c r="I1440" s="16">
        <v>470000000</v>
      </c>
      <c r="J1440" s="157" t="s">
        <v>229</v>
      </c>
      <c r="K1440" s="5" t="s">
        <v>12289</v>
      </c>
      <c r="L1440" s="17" t="s">
        <v>11411</v>
      </c>
      <c r="M1440" s="3" t="s">
        <v>230</v>
      </c>
      <c r="N1440" s="6" t="s">
        <v>524</v>
      </c>
      <c r="O1440" s="6" t="s">
        <v>233</v>
      </c>
      <c r="P1440" s="58" t="s">
        <v>247</v>
      </c>
      <c r="Q1440" s="6" t="s">
        <v>240</v>
      </c>
      <c r="R1440" s="18">
        <v>15</v>
      </c>
      <c r="S1440" s="2">
        <v>118304</v>
      </c>
      <c r="T1440" s="4">
        <v>0</v>
      </c>
      <c r="U1440" s="4">
        <f t="shared" si="53"/>
        <v>0</v>
      </c>
      <c r="V1440" s="3" t="s">
        <v>362</v>
      </c>
      <c r="W1440" s="3">
        <v>2014</v>
      </c>
      <c r="X1440" s="3" t="s">
        <v>12051</v>
      </c>
    </row>
    <row r="1441" spans="1:24" ht="89.25">
      <c r="A1441" s="3" t="s">
        <v>14772</v>
      </c>
      <c r="B1441" s="6" t="s">
        <v>361</v>
      </c>
      <c r="C1441" s="6" t="s">
        <v>3901</v>
      </c>
      <c r="D1441" s="6" t="s">
        <v>3891</v>
      </c>
      <c r="E1441" s="6" t="s">
        <v>3902</v>
      </c>
      <c r="F1441" s="6" t="s">
        <v>3814</v>
      </c>
      <c r="G1441" s="3" t="s">
        <v>11449</v>
      </c>
      <c r="H1441" s="54">
        <v>0</v>
      </c>
      <c r="I1441" s="16">
        <v>470000000</v>
      </c>
      <c r="J1441" s="157" t="s">
        <v>229</v>
      </c>
      <c r="K1441" s="5" t="s">
        <v>14764</v>
      </c>
      <c r="L1441" s="17" t="s">
        <v>11411</v>
      </c>
      <c r="M1441" s="3" t="s">
        <v>230</v>
      </c>
      <c r="N1441" s="6" t="s">
        <v>524</v>
      </c>
      <c r="O1441" s="6" t="s">
        <v>233</v>
      </c>
      <c r="P1441" s="58" t="s">
        <v>247</v>
      </c>
      <c r="Q1441" s="6" t="s">
        <v>240</v>
      </c>
      <c r="R1441" s="18">
        <v>16.658000000000001</v>
      </c>
      <c r="S1441" s="2">
        <v>141964.79999999999</v>
      </c>
      <c r="T1441" s="4">
        <v>0</v>
      </c>
      <c r="U1441" s="4">
        <f t="shared" si="53"/>
        <v>0</v>
      </c>
      <c r="V1441" s="3" t="s">
        <v>362</v>
      </c>
      <c r="W1441" s="3">
        <v>2014</v>
      </c>
      <c r="X1441" s="6" t="s">
        <v>17321</v>
      </c>
    </row>
    <row r="1442" spans="1:24" ht="89.25">
      <c r="A1442" s="3" t="s">
        <v>17984</v>
      </c>
      <c r="B1442" s="6" t="s">
        <v>361</v>
      </c>
      <c r="C1442" s="6" t="s">
        <v>3901</v>
      </c>
      <c r="D1442" s="6" t="s">
        <v>3891</v>
      </c>
      <c r="E1442" s="6" t="s">
        <v>3902</v>
      </c>
      <c r="F1442" s="6" t="s">
        <v>3814</v>
      </c>
      <c r="G1442" s="3" t="s">
        <v>11449</v>
      </c>
      <c r="H1442" s="54">
        <v>0</v>
      </c>
      <c r="I1442" s="16">
        <v>470000000</v>
      </c>
      <c r="J1442" s="157" t="s">
        <v>229</v>
      </c>
      <c r="K1442" s="5" t="s">
        <v>9041</v>
      </c>
      <c r="L1442" s="17" t="s">
        <v>11411</v>
      </c>
      <c r="M1442" s="3" t="s">
        <v>230</v>
      </c>
      <c r="N1442" s="6" t="s">
        <v>521</v>
      </c>
      <c r="O1442" s="6" t="s">
        <v>233</v>
      </c>
      <c r="P1442" s="58" t="s">
        <v>247</v>
      </c>
      <c r="Q1442" s="6" t="s">
        <v>240</v>
      </c>
      <c r="R1442" s="18">
        <v>20.21</v>
      </c>
      <c r="S1442" s="2">
        <v>130000</v>
      </c>
      <c r="T1442" s="4">
        <f>R1442*S1442</f>
        <v>2627300</v>
      </c>
      <c r="U1442" s="4">
        <f t="shared" si="53"/>
        <v>2942576.0000000005</v>
      </c>
      <c r="V1442" s="3" t="s">
        <v>362</v>
      </c>
      <c r="W1442" s="3">
        <v>2014</v>
      </c>
      <c r="X1442" s="158"/>
    </row>
    <row r="1443" spans="1:24" ht="102">
      <c r="A1443" s="3" t="s">
        <v>1150</v>
      </c>
      <c r="B1443" s="6" t="s">
        <v>361</v>
      </c>
      <c r="C1443" s="6" t="s">
        <v>3911</v>
      </c>
      <c r="D1443" s="6" t="s">
        <v>3912</v>
      </c>
      <c r="E1443" s="6" t="s">
        <v>3913</v>
      </c>
      <c r="F1443" s="6" t="s">
        <v>3815</v>
      </c>
      <c r="G1443" s="3" t="s">
        <v>11449</v>
      </c>
      <c r="H1443" s="54">
        <v>0</v>
      </c>
      <c r="I1443" s="16">
        <v>470000000</v>
      </c>
      <c r="J1443" s="157" t="s">
        <v>229</v>
      </c>
      <c r="K1443" s="5" t="s">
        <v>211</v>
      </c>
      <c r="L1443" s="6" t="s">
        <v>231</v>
      </c>
      <c r="M1443" s="3" t="s">
        <v>230</v>
      </c>
      <c r="N1443" s="6" t="s">
        <v>524</v>
      </c>
      <c r="O1443" s="6" t="s">
        <v>233</v>
      </c>
      <c r="P1443" s="58" t="s">
        <v>247</v>
      </c>
      <c r="Q1443" s="6" t="s">
        <v>240</v>
      </c>
      <c r="R1443" s="18">
        <v>5</v>
      </c>
      <c r="S1443" s="2">
        <v>128975</v>
      </c>
      <c r="T1443" s="4">
        <v>0</v>
      </c>
      <c r="U1443" s="4">
        <f t="shared" si="53"/>
        <v>0</v>
      </c>
      <c r="V1443" s="3" t="s">
        <v>362</v>
      </c>
      <c r="W1443" s="3">
        <v>2014</v>
      </c>
      <c r="X1443" s="3">
        <v>11.12</v>
      </c>
    </row>
    <row r="1444" spans="1:24" ht="89.25">
      <c r="A1444" s="3" t="s">
        <v>11975</v>
      </c>
      <c r="B1444" s="6" t="s">
        <v>361</v>
      </c>
      <c r="C1444" s="6" t="s">
        <v>3911</v>
      </c>
      <c r="D1444" s="6" t="s">
        <v>3912</v>
      </c>
      <c r="E1444" s="6" t="s">
        <v>3913</v>
      </c>
      <c r="F1444" s="6" t="s">
        <v>3815</v>
      </c>
      <c r="G1444" s="3" t="s">
        <v>11449</v>
      </c>
      <c r="H1444" s="54">
        <v>0</v>
      </c>
      <c r="I1444" s="16">
        <v>470000000</v>
      </c>
      <c r="J1444" s="157" t="s">
        <v>229</v>
      </c>
      <c r="K1444" s="5" t="s">
        <v>209</v>
      </c>
      <c r="L1444" s="17" t="s">
        <v>11411</v>
      </c>
      <c r="M1444" s="3" t="s">
        <v>230</v>
      </c>
      <c r="N1444" s="6" t="s">
        <v>524</v>
      </c>
      <c r="O1444" s="6" t="s">
        <v>233</v>
      </c>
      <c r="P1444" s="58" t="s">
        <v>247</v>
      </c>
      <c r="Q1444" s="6" t="s">
        <v>240</v>
      </c>
      <c r="R1444" s="18">
        <v>5</v>
      </c>
      <c r="S1444" s="2">
        <v>128975</v>
      </c>
      <c r="T1444" s="4">
        <v>0</v>
      </c>
      <c r="U1444" s="4">
        <f t="shared" si="53"/>
        <v>0</v>
      </c>
      <c r="V1444" s="3" t="s">
        <v>362</v>
      </c>
      <c r="W1444" s="3">
        <v>2014</v>
      </c>
      <c r="X1444" s="3">
        <v>11</v>
      </c>
    </row>
    <row r="1445" spans="1:24" ht="89.25">
      <c r="A1445" s="3" t="s">
        <v>12292</v>
      </c>
      <c r="B1445" s="6" t="s">
        <v>361</v>
      </c>
      <c r="C1445" s="6" t="s">
        <v>3911</v>
      </c>
      <c r="D1445" s="6" t="s">
        <v>3912</v>
      </c>
      <c r="E1445" s="6" t="s">
        <v>3913</v>
      </c>
      <c r="F1445" s="6" t="s">
        <v>3815</v>
      </c>
      <c r="G1445" s="3" t="s">
        <v>11449</v>
      </c>
      <c r="H1445" s="54">
        <v>0</v>
      </c>
      <c r="I1445" s="16">
        <v>470000000</v>
      </c>
      <c r="J1445" s="157" t="s">
        <v>229</v>
      </c>
      <c r="K1445" s="5" t="s">
        <v>12289</v>
      </c>
      <c r="L1445" s="17" t="s">
        <v>11411</v>
      </c>
      <c r="M1445" s="3" t="s">
        <v>230</v>
      </c>
      <c r="N1445" s="6" t="s">
        <v>524</v>
      </c>
      <c r="O1445" s="6" t="s">
        <v>233</v>
      </c>
      <c r="P1445" s="58" t="s">
        <v>247</v>
      </c>
      <c r="Q1445" s="6" t="s">
        <v>240</v>
      </c>
      <c r="R1445" s="18">
        <v>5</v>
      </c>
      <c r="S1445" s="2">
        <v>128975</v>
      </c>
      <c r="T1445" s="4">
        <v>0</v>
      </c>
      <c r="U1445" s="4">
        <f t="shared" si="53"/>
        <v>0</v>
      </c>
      <c r="V1445" s="3" t="s">
        <v>362</v>
      </c>
      <c r="W1445" s="3">
        <v>2014</v>
      </c>
      <c r="X1445" s="3" t="s">
        <v>12051</v>
      </c>
    </row>
    <row r="1446" spans="1:24" ht="89.25">
      <c r="A1446" s="3" t="s">
        <v>14773</v>
      </c>
      <c r="B1446" s="6" t="s">
        <v>361</v>
      </c>
      <c r="C1446" s="6" t="s">
        <v>3911</v>
      </c>
      <c r="D1446" s="6" t="s">
        <v>3912</v>
      </c>
      <c r="E1446" s="6" t="s">
        <v>3913</v>
      </c>
      <c r="F1446" s="6" t="s">
        <v>3815</v>
      </c>
      <c r="G1446" s="3" t="s">
        <v>11449</v>
      </c>
      <c r="H1446" s="54">
        <v>0</v>
      </c>
      <c r="I1446" s="16">
        <v>470000000</v>
      </c>
      <c r="J1446" s="157" t="s">
        <v>229</v>
      </c>
      <c r="K1446" s="5" t="s">
        <v>14750</v>
      </c>
      <c r="L1446" s="17" t="s">
        <v>11411</v>
      </c>
      <c r="M1446" s="3" t="s">
        <v>230</v>
      </c>
      <c r="N1446" s="6" t="s">
        <v>524</v>
      </c>
      <c r="O1446" s="6" t="s">
        <v>233</v>
      </c>
      <c r="P1446" s="58" t="s">
        <v>247</v>
      </c>
      <c r="Q1446" s="6" t="s">
        <v>240</v>
      </c>
      <c r="R1446" s="249">
        <v>41.155999999999999</v>
      </c>
      <c r="S1446" s="2">
        <v>154770</v>
      </c>
      <c r="T1446" s="4">
        <v>0</v>
      </c>
      <c r="U1446" s="4">
        <f t="shared" si="53"/>
        <v>0</v>
      </c>
      <c r="V1446" s="3" t="s">
        <v>362</v>
      </c>
      <c r="W1446" s="3">
        <v>2014</v>
      </c>
      <c r="X1446" s="3" t="s">
        <v>12051</v>
      </c>
    </row>
    <row r="1447" spans="1:24" ht="89.25">
      <c r="A1447" s="3" t="s">
        <v>17985</v>
      </c>
      <c r="B1447" s="6" t="s">
        <v>361</v>
      </c>
      <c r="C1447" s="6" t="s">
        <v>3911</v>
      </c>
      <c r="D1447" s="6" t="s">
        <v>3912</v>
      </c>
      <c r="E1447" s="6" t="s">
        <v>3913</v>
      </c>
      <c r="F1447" s="6" t="s">
        <v>3815</v>
      </c>
      <c r="G1447" s="3" t="s">
        <v>11449</v>
      </c>
      <c r="H1447" s="54">
        <v>0</v>
      </c>
      <c r="I1447" s="16">
        <v>470000000</v>
      </c>
      <c r="J1447" s="157" t="s">
        <v>229</v>
      </c>
      <c r="K1447" s="5" t="s">
        <v>8950</v>
      </c>
      <c r="L1447" s="17" t="s">
        <v>11411</v>
      </c>
      <c r="M1447" s="3" t="s">
        <v>230</v>
      </c>
      <c r="N1447" s="6" t="s">
        <v>524</v>
      </c>
      <c r="O1447" s="6" t="s">
        <v>233</v>
      </c>
      <c r="P1447" s="58" t="s">
        <v>247</v>
      </c>
      <c r="Q1447" s="6" t="s">
        <v>240</v>
      </c>
      <c r="R1447" s="249">
        <v>41.16</v>
      </c>
      <c r="S1447" s="2">
        <v>141000</v>
      </c>
      <c r="T1447" s="4">
        <v>0</v>
      </c>
      <c r="U1447" s="4">
        <f t="shared" si="53"/>
        <v>0</v>
      </c>
      <c r="V1447" s="3" t="s">
        <v>362</v>
      </c>
      <c r="W1447" s="3">
        <v>2014</v>
      </c>
      <c r="X1447" s="3">
        <v>11.22</v>
      </c>
    </row>
    <row r="1448" spans="1:24" ht="89.25">
      <c r="A1448" s="3" t="s">
        <v>19058</v>
      </c>
      <c r="B1448" s="6" t="s">
        <v>361</v>
      </c>
      <c r="C1448" s="6" t="s">
        <v>3911</v>
      </c>
      <c r="D1448" s="6" t="s">
        <v>3912</v>
      </c>
      <c r="E1448" s="6" t="s">
        <v>3913</v>
      </c>
      <c r="F1448" s="6" t="s">
        <v>3815</v>
      </c>
      <c r="G1448" s="3" t="s">
        <v>11449</v>
      </c>
      <c r="H1448" s="54">
        <v>0</v>
      </c>
      <c r="I1448" s="16">
        <v>470000000</v>
      </c>
      <c r="J1448" s="157" t="s">
        <v>229</v>
      </c>
      <c r="K1448" s="5" t="s">
        <v>18748</v>
      </c>
      <c r="L1448" s="17" t="s">
        <v>11411</v>
      </c>
      <c r="M1448" s="3" t="s">
        <v>230</v>
      </c>
      <c r="N1448" s="6" t="s">
        <v>524</v>
      </c>
      <c r="O1448" s="6" t="s">
        <v>233</v>
      </c>
      <c r="P1448" s="58" t="s">
        <v>247</v>
      </c>
      <c r="Q1448" s="6" t="s">
        <v>240</v>
      </c>
      <c r="R1448" s="249">
        <v>41.16</v>
      </c>
      <c r="S1448" s="2">
        <v>141000</v>
      </c>
      <c r="T1448" s="4">
        <f>R1448*S1448</f>
        <v>5803559.9999999991</v>
      </c>
      <c r="U1448" s="4">
        <f t="shared" ref="U1448" si="55">T1448*1.12</f>
        <v>6499987.1999999993</v>
      </c>
      <c r="V1448" s="3"/>
      <c r="W1448" s="3">
        <v>2014</v>
      </c>
      <c r="X1448" s="158"/>
    </row>
    <row r="1449" spans="1:24" ht="102">
      <c r="A1449" s="3" t="s">
        <v>1151</v>
      </c>
      <c r="B1449" s="6" t="s">
        <v>361</v>
      </c>
      <c r="C1449" s="6" t="s">
        <v>3911</v>
      </c>
      <c r="D1449" s="6" t="s">
        <v>3912</v>
      </c>
      <c r="E1449" s="6" t="s">
        <v>3913</v>
      </c>
      <c r="F1449" s="6" t="s">
        <v>3816</v>
      </c>
      <c r="G1449" s="3" t="s">
        <v>11449</v>
      </c>
      <c r="H1449" s="54">
        <v>0</v>
      </c>
      <c r="I1449" s="16">
        <v>470000000</v>
      </c>
      <c r="J1449" s="157" t="s">
        <v>229</v>
      </c>
      <c r="K1449" s="5" t="s">
        <v>215</v>
      </c>
      <c r="L1449" s="6" t="s">
        <v>231</v>
      </c>
      <c r="M1449" s="3" t="s">
        <v>230</v>
      </c>
      <c r="N1449" s="6" t="s">
        <v>524</v>
      </c>
      <c r="O1449" s="6" t="s">
        <v>233</v>
      </c>
      <c r="P1449" s="58" t="s">
        <v>247</v>
      </c>
      <c r="Q1449" s="6" t="s">
        <v>240</v>
      </c>
      <c r="R1449" s="18">
        <v>19</v>
      </c>
      <c r="S1449" s="2">
        <v>128975</v>
      </c>
      <c r="T1449" s="4">
        <v>0</v>
      </c>
      <c r="U1449" s="4">
        <f t="shared" si="53"/>
        <v>0</v>
      </c>
      <c r="V1449" s="3" t="s">
        <v>362</v>
      </c>
      <c r="W1449" s="3">
        <v>2014</v>
      </c>
      <c r="X1449" s="3">
        <v>11.12</v>
      </c>
    </row>
    <row r="1450" spans="1:24" ht="89.25">
      <c r="A1450" s="3" t="s">
        <v>12293</v>
      </c>
      <c r="B1450" s="6" t="s">
        <v>361</v>
      </c>
      <c r="C1450" s="6" t="s">
        <v>3911</v>
      </c>
      <c r="D1450" s="6" t="s">
        <v>3912</v>
      </c>
      <c r="E1450" s="6" t="s">
        <v>3913</v>
      </c>
      <c r="F1450" s="6" t="s">
        <v>3816</v>
      </c>
      <c r="G1450" s="3" t="s">
        <v>11449</v>
      </c>
      <c r="H1450" s="54">
        <v>0</v>
      </c>
      <c r="I1450" s="16">
        <v>470000000</v>
      </c>
      <c r="J1450" s="157" t="s">
        <v>229</v>
      </c>
      <c r="K1450" s="5" t="s">
        <v>12289</v>
      </c>
      <c r="L1450" s="17" t="s">
        <v>11411</v>
      </c>
      <c r="M1450" s="3" t="s">
        <v>230</v>
      </c>
      <c r="N1450" s="6" t="s">
        <v>524</v>
      </c>
      <c r="O1450" s="6" t="s">
        <v>233</v>
      </c>
      <c r="P1450" s="58" t="s">
        <v>247</v>
      </c>
      <c r="Q1450" s="6" t="s">
        <v>240</v>
      </c>
      <c r="R1450" s="18">
        <v>19</v>
      </c>
      <c r="S1450" s="2">
        <v>128975</v>
      </c>
      <c r="T1450" s="4">
        <v>0</v>
      </c>
      <c r="U1450" s="4">
        <f t="shared" si="53"/>
        <v>0</v>
      </c>
      <c r="V1450" s="3" t="s">
        <v>362</v>
      </c>
      <c r="W1450" s="3">
        <v>2014</v>
      </c>
      <c r="X1450" s="3" t="s">
        <v>12051</v>
      </c>
    </row>
    <row r="1451" spans="1:24" ht="89.25">
      <c r="A1451" s="3" t="s">
        <v>14774</v>
      </c>
      <c r="B1451" s="6" t="s">
        <v>361</v>
      </c>
      <c r="C1451" s="6" t="s">
        <v>3911</v>
      </c>
      <c r="D1451" s="6" t="s">
        <v>3912</v>
      </c>
      <c r="E1451" s="6" t="s">
        <v>3913</v>
      </c>
      <c r="F1451" s="6" t="s">
        <v>3816</v>
      </c>
      <c r="G1451" s="3" t="s">
        <v>11449</v>
      </c>
      <c r="H1451" s="54">
        <v>0</v>
      </c>
      <c r="I1451" s="16">
        <v>470000000</v>
      </c>
      <c r="J1451" s="157" t="s">
        <v>229</v>
      </c>
      <c r="K1451" s="5" t="s">
        <v>14750</v>
      </c>
      <c r="L1451" s="17" t="s">
        <v>11411</v>
      </c>
      <c r="M1451" s="3" t="s">
        <v>230</v>
      </c>
      <c r="N1451" s="6" t="s">
        <v>524</v>
      </c>
      <c r="O1451" s="6" t="s">
        <v>233</v>
      </c>
      <c r="P1451" s="58" t="s">
        <v>247</v>
      </c>
      <c r="Q1451" s="6" t="s">
        <v>240</v>
      </c>
      <c r="R1451" s="136">
        <v>0.64429999999999987</v>
      </c>
      <c r="S1451" s="2">
        <v>154770</v>
      </c>
      <c r="T1451" s="4">
        <v>0</v>
      </c>
      <c r="U1451" s="4">
        <f t="shared" si="53"/>
        <v>0</v>
      </c>
      <c r="V1451" s="3" t="s">
        <v>362</v>
      </c>
      <c r="W1451" s="3">
        <v>2014</v>
      </c>
      <c r="X1451" s="3" t="s">
        <v>16395</v>
      </c>
    </row>
    <row r="1452" spans="1:24" ht="89.25">
      <c r="A1452" s="3" t="s">
        <v>17986</v>
      </c>
      <c r="B1452" s="6" t="s">
        <v>361</v>
      </c>
      <c r="C1452" s="6" t="s">
        <v>3911</v>
      </c>
      <c r="D1452" s="6" t="s">
        <v>3912</v>
      </c>
      <c r="E1452" s="6" t="s">
        <v>3913</v>
      </c>
      <c r="F1452" s="6" t="s">
        <v>3816</v>
      </c>
      <c r="G1452" s="3" t="s">
        <v>11450</v>
      </c>
      <c r="H1452" s="54">
        <v>0</v>
      </c>
      <c r="I1452" s="16">
        <v>470000000</v>
      </c>
      <c r="J1452" s="157" t="s">
        <v>229</v>
      </c>
      <c r="K1452" s="5" t="s">
        <v>8950</v>
      </c>
      <c r="L1452" s="17" t="s">
        <v>11411</v>
      </c>
      <c r="M1452" s="3" t="s">
        <v>230</v>
      </c>
      <c r="N1452" s="6" t="s">
        <v>524</v>
      </c>
      <c r="O1452" s="6" t="s">
        <v>233</v>
      </c>
      <c r="P1452" s="58" t="s">
        <v>247</v>
      </c>
      <c r="Q1452" s="6" t="s">
        <v>240</v>
      </c>
      <c r="R1452" s="136">
        <v>6.8</v>
      </c>
      <c r="S1452" s="2">
        <v>141000</v>
      </c>
      <c r="T1452" s="4">
        <f>R1452*S1452</f>
        <v>958800</v>
      </c>
      <c r="U1452" s="4">
        <f t="shared" si="53"/>
        <v>1073856</v>
      </c>
      <c r="V1452" s="3" t="s">
        <v>362</v>
      </c>
      <c r="W1452" s="3">
        <v>2014</v>
      </c>
      <c r="X1452" s="158"/>
    </row>
    <row r="1453" spans="1:24" ht="102">
      <c r="A1453" s="3" t="s">
        <v>1152</v>
      </c>
      <c r="B1453" s="6" t="s">
        <v>361</v>
      </c>
      <c r="C1453" s="6" t="s">
        <v>3911</v>
      </c>
      <c r="D1453" s="6" t="s">
        <v>3912</v>
      </c>
      <c r="E1453" s="6" t="s">
        <v>3913</v>
      </c>
      <c r="F1453" s="6" t="s">
        <v>3817</v>
      </c>
      <c r="G1453" s="3" t="s">
        <v>11449</v>
      </c>
      <c r="H1453" s="54">
        <v>0</v>
      </c>
      <c r="I1453" s="16">
        <v>470000000</v>
      </c>
      <c r="J1453" s="157" t="s">
        <v>229</v>
      </c>
      <c r="K1453" s="5" t="s">
        <v>215</v>
      </c>
      <c r="L1453" s="6" t="s">
        <v>231</v>
      </c>
      <c r="M1453" s="3" t="s">
        <v>230</v>
      </c>
      <c r="N1453" s="6" t="s">
        <v>524</v>
      </c>
      <c r="O1453" s="6" t="s">
        <v>233</v>
      </c>
      <c r="P1453" s="58" t="s">
        <v>247</v>
      </c>
      <c r="Q1453" s="6" t="s">
        <v>240</v>
      </c>
      <c r="R1453" s="18">
        <v>15</v>
      </c>
      <c r="S1453" s="2">
        <v>128975</v>
      </c>
      <c r="T1453" s="4">
        <v>0</v>
      </c>
      <c r="U1453" s="4">
        <f t="shared" si="53"/>
        <v>0</v>
      </c>
      <c r="V1453" s="3" t="s">
        <v>362</v>
      </c>
      <c r="W1453" s="3">
        <v>2014</v>
      </c>
      <c r="X1453" s="3">
        <v>11.12</v>
      </c>
    </row>
    <row r="1454" spans="1:24" ht="89.25">
      <c r="A1454" s="3" t="s">
        <v>11974</v>
      </c>
      <c r="B1454" s="6" t="s">
        <v>361</v>
      </c>
      <c r="C1454" s="6" t="s">
        <v>3911</v>
      </c>
      <c r="D1454" s="6" t="s">
        <v>3912</v>
      </c>
      <c r="E1454" s="6" t="s">
        <v>3913</v>
      </c>
      <c r="F1454" s="6" t="s">
        <v>3817</v>
      </c>
      <c r="G1454" s="3" t="s">
        <v>11449</v>
      </c>
      <c r="H1454" s="54">
        <v>0</v>
      </c>
      <c r="I1454" s="16">
        <v>470000000</v>
      </c>
      <c r="J1454" s="157" t="s">
        <v>229</v>
      </c>
      <c r="K1454" s="5" t="s">
        <v>209</v>
      </c>
      <c r="L1454" s="17" t="s">
        <v>11411</v>
      </c>
      <c r="M1454" s="3" t="s">
        <v>230</v>
      </c>
      <c r="N1454" s="6" t="s">
        <v>524</v>
      </c>
      <c r="O1454" s="6" t="s">
        <v>233</v>
      </c>
      <c r="P1454" s="58" t="s">
        <v>247</v>
      </c>
      <c r="Q1454" s="6" t="s">
        <v>240</v>
      </c>
      <c r="R1454" s="18">
        <v>15</v>
      </c>
      <c r="S1454" s="2">
        <v>128975</v>
      </c>
      <c r="T1454" s="4">
        <v>0</v>
      </c>
      <c r="U1454" s="4">
        <f t="shared" si="53"/>
        <v>0</v>
      </c>
      <c r="V1454" s="3" t="s">
        <v>362</v>
      </c>
      <c r="W1454" s="3">
        <v>2014</v>
      </c>
      <c r="X1454" s="3">
        <v>11</v>
      </c>
    </row>
    <row r="1455" spans="1:24" ht="89.25">
      <c r="A1455" s="3" t="s">
        <v>12294</v>
      </c>
      <c r="B1455" s="6" t="s">
        <v>361</v>
      </c>
      <c r="C1455" s="6" t="s">
        <v>3911</v>
      </c>
      <c r="D1455" s="6" t="s">
        <v>3912</v>
      </c>
      <c r="E1455" s="6" t="s">
        <v>3913</v>
      </c>
      <c r="F1455" s="6" t="s">
        <v>3817</v>
      </c>
      <c r="G1455" s="3" t="s">
        <v>11449</v>
      </c>
      <c r="H1455" s="54">
        <v>0</v>
      </c>
      <c r="I1455" s="16">
        <v>470000000</v>
      </c>
      <c r="J1455" s="157" t="s">
        <v>229</v>
      </c>
      <c r="K1455" s="5" t="s">
        <v>12289</v>
      </c>
      <c r="L1455" s="17" t="s">
        <v>11411</v>
      </c>
      <c r="M1455" s="3" t="s">
        <v>230</v>
      </c>
      <c r="N1455" s="6" t="s">
        <v>524</v>
      </c>
      <c r="O1455" s="6" t="s">
        <v>233</v>
      </c>
      <c r="P1455" s="58" t="s">
        <v>247</v>
      </c>
      <c r="Q1455" s="6" t="s">
        <v>240</v>
      </c>
      <c r="R1455" s="18">
        <v>15</v>
      </c>
      <c r="S1455" s="2">
        <v>128975</v>
      </c>
      <c r="T1455" s="4">
        <v>0</v>
      </c>
      <c r="U1455" s="4">
        <f t="shared" si="53"/>
        <v>0</v>
      </c>
      <c r="V1455" s="3" t="s">
        <v>362</v>
      </c>
      <c r="W1455" s="3">
        <v>2014</v>
      </c>
      <c r="X1455" s="3" t="s">
        <v>12051</v>
      </c>
    </row>
    <row r="1456" spans="1:24" ht="89.25">
      <c r="A1456" s="3" t="s">
        <v>14775</v>
      </c>
      <c r="B1456" s="6" t="s">
        <v>361</v>
      </c>
      <c r="C1456" s="6" t="s">
        <v>3911</v>
      </c>
      <c r="D1456" s="6" t="s">
        <v>3912</v>
      </c>
      <c r="E1456" s="6" t="s">
        <v>3913</v>
      </c>
      <c r="F1456" s="6" t="s">
        <v>3817</v>
      </c>
      <c r="G1456" s="3" t="s">
        <v>11449</v>
      </c>
      <c r="H1456" s="54">
        <v>0</v>
      </c>
      <c r="I1456" s="16">
        <v>470000000</v>
      </c>
      <c r="J1456" s="157" t="s">
        <v>229</v>
      </c>
      <c r="K1456" s="5" t="s">
        <v>14750</v>
      </c>
      <c r="L1456" s="17" t="s">
        <v>11411</v>
      </c>
      <c r="M1456" s="3" t="s">
        <v>230</v>
      </c>
      <c r="N1456" s="6" t="s">
        <v>524</v>
      </c>
      <c r="O1456" s="6" t="s">
        <v>233</v>
      </c>
      <c r="P1456" s="58" t="s">
        <v>247</v>
      </c>
      <c r="Q1456" s="6" t="s">
        <v>240</v>
      </c>
      <c r="R1456" s="136">
        <v>15.599388888888893</v>
      </c>
      <c r="S1456" s="2">
        <v>154770</v>
      </c>
      <c r="T1456" s="4">
        <v>0</v>
      </c>
      <c r="U1456" s="4">
        <f t="shared" si="53"/>
        <v>0</v>
      </c>
      <c r="V1456" s="3" t="s">
        <v>362</v>
      </c>
      <c r="W1456" s="3">
        <v>2014</v>
      </c>
      <c r="X1456" s="3" t="s">
        <v>12051</v>
      </c>
    </row>
    <row r="1457" spans="1:24" ht="89.25">
      <c r="A1457" s="3" t="s">
        <v>17987</v>
      </c>
      <c r="B1457" s="6" t="s">
        <v>361</v>
      </c>
      <c r="C1457" s="6" t="s">
        <v>3911</v>
      </c>
      <c r="D1457" s="6" t="s">
        <v>3912</v>
      </c>
      <c r="E1457" s="6" t="s">
        <v>3913</v>
      </c>
      <c r="F1457" s="6" t="s">
        <v>3817</v>
      </c>
      <c r="G1457" s="3" t="s">
        <v>11449</v>
      </c>
      <c r="H1457" s="54">
        <v>0</v>
      </c>
      <c r="I1457" s="16">
        <v>470000000</v>
      </c>
      <c r="J1457" s="157" t="s">
        <v>229</v>
      </c>
      <c r="K1457" s="5" t="s">
        <v>8950</v>
      </c>
      <c r="L1457" s="17" t="s">
        <v>11411</v>
      </c>
      <c r="M1457" s="3" t="s">
        <v>230</v>
      </c>
      <c r="N1457" s="6" t="s">
        <v>524</v>
      </c>
      <c r="O1457" s="6" t="s">
        <v>233</v>
      </c>
      <c r="P1457" s="58" t="s">
        <v>247</v>
      </c>
      <c r="Q1457" s="6" t="s">
        <v>240</v>
      </c>
      <c r="R1457" s="136">
        <v>18</v>
      </c>
      <c r="S1457" s="2">
        <v>121250</v>
      </c>
      <c r="T1457" s="4">
        <f>R1457*S1457</f>
        <v>2182500</v>
      </c>
      <c r="U1457" s="4">
        <f t="shared" si="53"/>
        <v>2444400</v>
      </c>
      <c r="V1457" s="3" t="s">
        <v>362</v>
      </c>
      <c r="W1457" s="3">
        <v>2014</v>
      </c>
      <c r="X1457" s="158"/>
    </row>
    <row r="1458" spans="1:24" ht="102">
      <c r="A1458" s="3" t="s">
        <v>1153</v>
      </c>
      <c r="B1458" s="6" t="s">
        <v>361</v>
      </c>
      <c r="C1458" s="6" t="s">
        <v>3914</v>
      </c>
      <c r="D1458" s="6" t="s">
        <v>3915</v>
      </c>
      <c r="E1458" s="6" t="s">
        <v>3916</v>
      </c>
      <c r="F1458" s="6" t="s">
        <v>3818</v>
      </c>
      <c r="G1458" s="3" t="s">
        <v>11449</v>
      </c>
      <c r="H1458" s="54">
        <v>0</v>
      </c>
      <c r="I1458" s="16">
        <v>470000000</v>
      </c>
      <c r="J1458" s="157" t="s">
        <v>229</v>
      </c>
      <c r="K1458" s="5" t="s">
        <v>215</v>
      </c>
      <c r="L1458" s="6" t="s">
        <v>231</v>
      </c>
      <c r="M1458" s="3" t="s">
        <v>230</v>
      </c>
      <c r="N1458" s="6" t="s">
        <v>524</v>
      </c>
      <c r="O1458" s="6" t="s">
        <v>233</v>
      </c>
      <c r="P1458" s="58" t="s">
        <v>247</v>
      </c>
      <c r="Q1458" s="6" t="s">
        <v>240</v>
      </c>
      <c r="R1458" s="18">
        <v>4</v>
      </c>
      <c r="S1458" s="2">
        <v>146170</v>
      </c>
      <c r="T1458" s="4">
        <v>0</v>
      </c>
      <c r="U1458" s="4">
        <f t="shared" si="53"/>
        <v>0</v>
      </c>
      <c r="V1458" s="3" t="s">
        <v>362</v>
      </c>
      <c r="W1458" s="3">
        <v>2014</v>
      </c>
      <c r="X1458" s="3">
        <v>11.12</v>
      </c>
    </row>
    <row r="1459" spans="1:24" ht="89.25">
      <c r="A1459" s="3" t="s">
        <v>11973</v>
      </c>
      <c r="B1459" s="6" t="s">
        <v>361</v>
      </c>
      <c r="C1459" s="6" t="s">
        <v>3914</v>
      </c>
      <c r="D1459" s="6" t="s">
        <v>3915</v>
      </c>
      <c r="E1459" s="6" t="s">
        <v>3916</v>
      </c>
      <c r="F1459" s="6" t="s">
        <v>3818</v>
      </c>
      <c r="G1459" s="3" t="s">
        <v>11449</v>
      </c>
      <c r="H1459" s="54">
        <v>0</v>
      </c>
      <c r="I1459" s="16">
        <v>470000000</v>
      </c>
      <c r="J1459" s="157" t="s">
        <v>229</v>
      </c>
      <c r="K1459" s="5" t="s">
        <v>209</v>
      </c>
      <c r="L1459" s="17" t="s">
        <v>11411</v>
      </c>
      <c r="M1459" s="3" t="s">
        <v>230</v>
      </c>
      <c r="N1459" s="6" t="s">
        <v>524</v>
      </c>
      <c r="O1459" s="6" t="s">
        <v>233</v>
      </c>
      <c r="P1459" s="58" t="s">
        <v>247</v>
      </c>
      <c r="Q1459" s="6" t="s">
        <v>240</v>
      </c>
      <c r="R1459" s="18">
        <v>4</v>
      </c>
      <c r="S1459" s="2">
        <v>146170</v>
      </c>
      <c r="T1459" s="4">
        <v>0</v>
      </c>
      <c r="U1459" s="4">
        <f t="shared" si="53"/>
        <v>0</v>
      </c>
      <c r="V1459" s="3" t="s">
        <v>362</v>
      </c>
      <c r="W1459" s="3">
        <v>2014</v>
      </c>
      <c r="X1459" s="3">
        <v>11</v>
      </c>
    </row>
    <row r="1460" spans="1:24" ht="89.25">
      <c r="A1460" s="3" t="s">
        <v>12295</v>
      </c>
      <c r="B1460" s="6" t="s">
        <v>361</v>
      </c>
      <c r="C1460" s="6" t="s">
        <v>3914</v>
      </c>
      <c r="D1460" s="6" t="s">
        <v>3915</v>
      </c>
      <c r="E1460" s="6" t="s">
        <v>3916</v>
      </c>
      <c r="F1460" s="6" t="s">
        <v>3818</v>
      </c>
      <c r="G1460" s="3" t="s">
        <v>11449</v>
      </c>
      <c r="H1460" s="54">
        <v>0</v>
      </c>
      <c r="I1460" s="16">
        <v>470000000</v>
      </c>
      <c r="J1460" s="157" t="s">
        <v>229</v>
      </c>
      <c r="K1460" s="5" t="s">
        <v>12289</v>
      </c>
      <c r="L1460" s="17" t="s">
        <v>11411</v>
      </c>
      <c r="M1460" s="3" t="s">
        <v>230</v>
      </c>
      <c r="N1460" s="6" t="s">
        <v>524</v>
      </c>
      <c r="O1460" s="6" t="s">
        <v>233</v>
      </c>
      <c r="P1460" s="58" t="s">
        <v>247</v>
      </c>
      <c r="Q1460" s="6" t="s">
        <v>240</v>
      </c>
      <c r="R1460" s="18">
        <v>4</v>
      </c>
      <c r="S1460" s="2">
        <v>146170</v>
      </c>
      <c r="T1460" s="4">
        <v>0</v>
      </c>
      <c r="U1460" s="4">
        <f t="shared" si="53"/>
        <v>0</v>
      </c>
      <c r="V1460" s="3" t="s">
        <v>362</v>
      </c>
      <c r="W1460" s="3">
        <v>2014</v>
      </c>
      <c r="X1460" s="3" t="s">
        <v>12051</v>
      </c>
    </row>
    <row r="1461" spans="1:24" ht="89.25">
      <c r="A1461" s="3" t="s">
        <v>14776</v>
      </c>
      <c r="B1461" s="6" t="s">
        <v>361</v>
      </c>
      <c r="C1461" s="6" t="s">
        <v>3914</v>
      </c>
      <c r="D1461" s="6" t="s">
        <v>3915</v>
      </c>
      <c r="E1461" s="6" t="s">
        <v>3916</v>
      </c>
      <c r="F1461" s="6" t="s">
        <v>3818</v>
      </c>
      <c r="G1461" s="3" t="s">
        <v>11449</v>
      </c>
      <c r="H1461" s="54">
        <v>0</v>
      </c>
      <c r="I1461" s="16">
        <v>470000000</v>
      </c>
      <c r="J1461" s="157" t="s">
        <v>229</v>
      </c>
      <c r="K1461" s="5" t="s">
        <v>14777</v>
      </c>
      <c r="L1461" s="17" t="s">
        <v>11411</v>
      </c>
      <c r="M1461" s="3" t="s">
        <v>230</v>
      </c>
      <c r="N1461" s="6" t="s">
        <v>524</v>
      </c>
      <c r="O1461" s="6" t="s">
        <v>233</v>
      </c>
      <c r="P1461" s="58" t="s">
        <v>247</v>
      </c>
      <c r="Q1461" s="6" t="s">
        <v>240</v>
      </c>
      <c r="R1461" s="18">
        <v>12.060999999999998</v>
      </c>
      <c r="S1461" s="2">
        <v>175404</v>
      </c>
      <c r="T1461" s="4">
        <v>0</v>
      </c>
      <c r="U1461" s="4">
        <f t="shared" si="53"/>
        <v>0</v>
      </c>
      <c r="V1461" s="3" t="s">
        <v>362</v>
      </c>
      <c r="W1461" s="3">
        <v>2014</v>
      </c>
      <c r="X1461" s="3" t="s">
        <v>16521</v>
      </c>
    </row>
    <row r="1462" spans="1:24" ht="89.25">
      <c r="A1462" s="3" t="s">
        <v>17988</v>
      </c>
      <c r="B1462" s="6" t="s">
        <v>361</v>
      </c>
      <c r="C1462" s="6" t="s">
        <v>3914</v>
      </c>
      <c r="D1462" s="6" t="s">
        <v>3915</v>
      </c>
      <c r="E1462" s="6" t="s">
        <v>3916</v>
      </c>
      <c r="F1462" s="6" t="s">
        <v>3818</v>
      </c>
      <c r="G1462" s="3" t="s">
        <v>11449</v>
      </c>
      <c r="H1462" s="54">
        <v>0</v>
      </c>
      <c r="I1462" s="16">
        <v>470000000</v>
      </c>
      <c r="J1462" s="157" t="s">
        <v>229</v>
      </c>
      <c r="K1462" s="5" t="s">
        <v>9041</v>
      </c>
      <c r="L1462" s="17" t="s">
        <v>11411</v>
      </c>
      <c r="M1462" s="3" t="s">
        <v>230</v>
      </c>
      <c r="N1462" s="6" t="s">
        <v>521</v>
      </c>
      <c r="O1462" s="6" t="s">
        <v>233</v>
      </c>
      <c r="P1462" s="58" t="s">
        <v>247</v>
      </c>
      <c r="Q1462" s="6" t="s">
        <v>240</v>
      </c>
      <c r="R1462" s="18">
        <v>12.06</v>
      </c>
      <c r="S1462" s="2">
        <v>154770</v>
      </c>
      <c r="T1462" s="4">
        <v>0</v>
      </c>
      <c r="U1462" s="4">
        <f t="shared" si="53"/>
        <v>0</v>
      </c>
      <c r="V1462" s="3" t="s">
        <v>362</v>
      </c>
      <c r="W1462" s="3">
        <v>2014</v>
      </c>
      <c r="X1462" s="3">
        <v>11.22</v>
      </c>
    </row>
    <row r="1463" spans="1:24" ht="89.25">
      <c r="A1463" s="3" t="s">
        <v>19063</v>
      </c>
      <c r="B1463" s="6" t="s">
        <v>361</v>
      </c>
      <c r="C1463" s="6" t="s">
        <v>3914</v>
      </c>
      <c r="D1463" s="6" t="s">
        <v>3915</v>
      </c>
      <c r="E1463" s="6" t="s">
        <v>3916</v>
      </c>
      <c r="F1463" s="6" t="s">
        <v>3818</v>
      </c>
      <c r="G1463" s="3" t="s">
        <v>11449</v>
      </c>
      <c r="H1463" s="54">
        <v>0</v>
      </c>
      <c r="I1463" s="16">
        <v>470000000</v>
      </c>
      <c r="J1463" s="157" t="s">
        <v>229</v>
      </c>
      <c r="K1463" s="5" t="s">
        <v>18748</v>
      </c>
      <c r="L1463" s="17" t="s">
        <v>11411</v>
      </c>
      <c r="M1463" s="3" t="s">
        <v>230</v>
      </c>
      <c r="N1463" s="6" t="s">
        <v>521</v>
      </c>
      <c r="O1463" s="6" t="s">
        <v>233</v>
      </c>
      <c r="P1463" s="58" t="s">
        <v>247</v>
      </c>
      <c r="Q1463" s="6" t="s">
        <v>240</v>
      </c>
      <c r="R1463" s="18">
        <v>12.06</v>
      </c>
      <c r="S1463" s="2">
        <v>154770</v>
      </c>
      <c r="T1463" s="4">
        <f>R1463*S1463</f>
        <v>1866526.2000000002</v>
      </c>
      <c r="U1463" s="4">
        <f t="shared" ref="U1463" si="56">T1463*1.12</f>
        <v>2090509.3440000005</v>
      </c>
      <c r="V1463" s="3"/>
      <c r="W1463" s="3">
        <v>2014</v>
      </c>
      <c r="X1463" s="158"/>
    </row>
    <row r="1464" spans="1:24" ht="102">
      <c r="A1464" s="3" t="s">
        <v>1154</v>
      </c>
      <c r="B1464" s="6" t="s">
        <v>361</v>
      </c>
      <c r="C1464" s="6" t="s">
        <v>3917</v>
      </c>
      <c r="D1464" s="6" t="s">
        <v>3891</v>
      </c>
      <c r="E1464" s="6" t="s">
        <v>3918</v>
      </c>
      <c r="F1464" s="6" t="s">
        <v>3819</v>
      </c>
      <c r="G1464" s="3" t="s">
        <v>11449</v>
      </c>
      <c r="H1464" s="54">
        <v>0</v>
      </c>
      <c r="I1464" s="16">
        <v>470000000</v>
      </c>
      <c r="J1464" s="157" t="s">
        <v>229</v>
      </c>
      <c r="K1464" s="5" t="s">
        <v>215</v>
      </c>
      <c r="L1464" s="6" t="s">
        <v>231</v>
      </c>
      <c r="M1464" s="3" t="s">
        <v>230</v>
      </c>
      <c r="N1464" s="6" t="s">
        <v>524</v>
      </c>
      <c r="O1464" s="6" t="s">
        <v>233</v>
      </c>
      <c r="P1464" s="58" t="s">
        <v>247</v>
      </c>
      <c r="Q1464" s="6" t="s">
        <v>240</v>
      </c>
      <c r="R1464" s="18">
        <v>300</v>
      </c>
      <c r="S1464" s="2">
        <v>167190</v>
      </c>
      <c r="T1464" s="4">
        <v>0</v>
      </c>
      <c r="U1464" s="4">
        <f t="shared" si="53"/>
        <v>0</v>
      </c>
      <c r="V1464" s="3" t="s">
        <v>362</v>
      </c>
      <c r="W1464" s="3">
        <v>2014</v>
      </c>
      <c r="X1464" s="3">
        <v>11.12</v>
      </c>
    </row>
    <row r="1465" spans="1:24" ht="89.25">
      <c r="A1465" s="3" t="s">
        <v>12296</v>
      </c>
      <c r="B1465" s="6" t="s">
        <v>361</v>
      </c>
      <c r="C1465" s="6" t="s">
        <v>3917</v>
      </c>
      <c r="D1465" s="6" t="s">
        <v>3891</v>
      </c>
      <c r="E1465" s="6" t="s">
        <v>3918</v>
      </c>
      <c r="F1465" s="6" t="s">
        <v>3819</v>
      </c>
      <c r="G1465" s="3" t="s">
        <v>11449</v>
      </c>
      <c r="H1465" s="54">
        <v>0</v>
      </c>
      <c r="I1465" s="16">
        <v>470000000</v>
      </c>
      <c r="J1465" s="157" t="s">
        <v>229</v>
      </c>
      <c r="K1465" s="5" t="s">
        <v>12289</v>
      </c>
      <c r="L1465" s="17" t="s">
        <v>11411</v>
      </c>
      <c r="M1465" s="3" t="s">
        <v>230</v>
      </c>
      <c r="N1465" s="6" t="s">
        <v>524</v>
      </c>
      <c r="O1465" s="6" t="s">
        <v>233</v>
      </c>
      <c r="P1465" s="58" t="s">
        <v>247</v>
      </c>
      <c r="Q1465" s="6" t="s">
        <v>240</v>
      </c>
      <c r="R1465" s="18">
        <v>300</v>
      </c>
      <c r="S1465" s="2">
        <v>167190</v>
      </c>
      <c r="T1465" s="4">
        <v>0</v>
      </c>
      <c r="U1465" s="4">
        <f t="shared" si="53"/>
        <v>0</v>
      </c>
      <c r="V1465" s="3" t="s">
        <v>362</v>
      </c>
      <c r="W1465" s="3">
        <v>2014</v>
      </c>
      <c r="X1465" s="3" t="s">
        <v>12051</v>
      </c>
    </row>
    <row r="1466" spans="1:24" ht="89.25">
      <c r="A1466" s="3" t="s">
        <v>14778</v>
      </c>
      <c r="B1466" s="6" t="s">
        <v>361</v>
      </c>
      <c r="C1466" s="6" t="s">
        <v>3917</v>
      </c>
      <c r="D1466" s="6" t="s">
        <v>3891</v>
      </c>
      <c r="E1466" s="6" t="s">
        <v>3918</v>
      </c>
      <c r="F1466" s="6" t="s">
        <v>3819</v>
      </c>
      <c r="G1466" s="3" t="s">
        <v>11449</v>
      </c>
      <c r="H1466" s="54">
        <v>0</v>
      </c>
      <c r="I1466" s="16">
        <v>470000000</v>
      </c>
      <c r="J1466" s="157" t="s">
        <v>229</v>
      </c>
      <c r="K1466" s="5" t="s">
        <v>14779</v>
      </c>
      <c r="L1466" s="17" t="s">
        <v>11411</v>
      </c>
      <c r="M1466" s="3" t="s">
        <v>230</v>
      </c>
      <c r="N1466" s="6" t="s">
        <v>524</v>
      </c>
      <c r="O1466" s="6" t="s">
        <v>233</v>
      </c>
      <c r="P1466" s="58" t="s">
        <v>247</v>
      </c>
      <c r="Q1466" s="6" t="s">
        <v>240</v>
      </c>
      <c r="R1466" s="136">
        <v>356.6</v>
      </c>
      <c r="S1466" s="2">
        <v>161904.14000000001</v>
      </c>
      <c r="T1466" s="4">
        <v>0</v>
      </c>
      <c r="U1466" s="4">
        <f t="shared" si="53"/>
        <v>0</v>
      </c>
      <c r="V1466" s="3" t="s">
        <v>362</v>
      </c>
      <c r="W1466" s="3">
        <v>2014</v>
      </c>
      <c r="X1466" s="3" t="s">
        <v>14785</v>
      </c>
    </row>
    <row r="1467" spans="1:24" ht="89.25">
      <c r="A1467" s="3" t="s">
        <v>17989</v>
      </c>
      <c r="B1467" s="6" t="s">
        <v>361</v>
      </c>
      <c r="C1467" s="6" t="s">
        <v>3917</v>
      </c>
      <c r="D1467" s="6" t="s">
        <v>3891</v>
      </c>
      <c r="E1467" s="6" t="s">
        <v>3918</v>
      </c>
      <c r="F1467" s="6" t="s">
        <v>3819</v>
      </c>
      <c r="G1467" s="3" t="s">
        <v>11449</v>
      </c>
      <c r="H1467" s="54">
        <v>0</v>
      </c>
      <c r="I1467" s="16">
        <v>470000000</v>
      </c>
      <c r="J1467" s="157" t="s">
        <v>229</v>
      </c>
      <c r="K1467" s="5" t="s">
        <v>8950</v>
      </c>
      <c r="L1467" s="17" t="s">
        <v>11411</v>
      </c>
      <c r="M1467" s="3" t="s">
        <v>230</v>
      </c>
      <c r="N1467" s="6" t="s">
        <v>524</v>
      </c>
      <c r="O1467" s="6" t="s">
        <v>233</v>
      </c>
      <c r="P1467" s="58" t="s">
        <v>247</v>
      </c>
      <c r="Q1467" s="6" t="s">
        <v>240</v>
      </c>
      <c r="R1467" s="136">
        <v>356.6</v>
      </c>
      <c r="S1467" s="2">
        <v>167190</v>
      </c>
      <c r="T1467" s="4">
        <v>0</v>
      </c>
      <c r="U1467" s="4">
        <f t="shared" si="53"/>
        <v>0</v>
      </c>
      <c r="V1467" s="3" t="s">
        <v>362</v>
      </c>
      <c r="W1467" s="3">
        <v>2014</v>
      </c>
      <c r="X1467" s="3" t="s">
        <v>18756</v>
      </c>
    </row>
    <row r="1468" spans="1:24" ht="89.25">
      <c r="A1468" s="3" t="s">
        <v>19251</v>
      </c>
      <c r="B1468" s="6" t="s">
        <v>361</v>
      </c>
      <c r="C1468" s="6" t="s">
        <v>3917</v>
      </c>
      <c r="D1468" s="6" t="s">
        <v>3891</v>
      </c>
      <c r="E1468" s="6" t="s">
        <v>3918</v>
      </c>
      <c r="F1468" s="6" t="s">
        <v>3819</v>
      </c>
      <c r="G1468" s="3" t="s">
        <v>11449</v>
      </c>
      <c r="H1468" s="54">
        <v>0.2</v>
      </c>
      <c r="I1468" s="16">
        <v>470000000</v>
      </c>
      <c r="J1468" s="157" t="s">
        <v>229</v>
      </c>
      <c r="K1468" s="5" t="s">
        <v>18861</v>
      </c>
      <c r="L1468" s="17" t="s">
        <v>11411</v>
      </c>
      <c r="M1468" s="3" t="s">
        <v>230</v>
      </c>
      <c r="N1468" s="6" t="s">
        <v>528</v>
      </c>
      <c r="O1468" s="16" t="s">
        <v>8915</v>
      </c>
      <c r="P1468" s="58" t="s">
        <v>247</v>
      </c>
      <c r="Q1468" s="6" t="s">
        <v>240</v>
      </c>
      <c r="R1468" s="136">
        <v>506.6</v>
      </c>
      <c r="S1468" s="2">
        <v>167190</v>
      </c>
      <c r="T1468" s="4">
        <f>R1468*S1468</f>
        <v>84698454</v>
      </c>
      <c r="U1468" s="4">
        <f t="shared" si="53"/>
        <v>94862268.480000004</v>
      </c>
      <c r="V1468" s="3" t="s">
        <v>362</v>
      </c>
      <c r="W1468" s="3">
        <v>2014</v>
      </c>
      <c r="X1468" s="158"/>
    </row>
    <row r="1469" spans="1:24" ht="102">
      <c r="A1469" s="3" t="s">
        <v>1155</v>
      </c>
      <c r="B1469" s="6" t="s">
        <v>361</v>
      </c>
      <c r="C1469" s="6" t="s">
        <v>3917</v>
      </c>
      <c r="D1469" s="6" t="s">
        <v>3891</v>
      </c>
      <c r="E1469" s="6" t="s">
        <v>3918</v>
      </c>
      <c r="F1469" s="6" t="s">
        <v>3820</v>
      </c>
      <c r="G1469" s="3" t="s">
        <v>11449</v>
      </c>
      <c r="H1469" s="54">
        <v>0</v>
      </c>
      <c r="I1469" s="16">
        <v>470000000</v>
      </c>
      <c r="J1469" s="157" t="s">
        <v>229</v>
      </c>
      <c r="K1469" s="5" t="s">
        <v>215</v>
      </c>
      <c r="L1469" s="6" t="s">
        <v>231</v>
      </c>
      <c r="M1469" s="3" t="s">
        <v>230</v>
      </c>
      <c r="N1469" s="6" t="s">
        <v>524</v>
      </c>
      <c r="O1469" s="6" t="s">
        <v>233</v>
      </c>
      <c r="P1469" s="58" t="s">
        <v>247</v>
      </c>
      <c r="Q1469" s="6" t="s">
        <v>240</v>
      </c>
      <c r="R1469" s="50">
        <v>4.5</v>
      </c>
      <c r="S1469" s="2">
        <v>204475</v>
      </c>
      <c r="T1469" s="4">
        <v>0</v>
      </c>
      <c r="U1469" s="4">
        <f t="shared" si="53"/>
        <v>0</v>
      </c>
      <c r="V1469" s="3" t="s">
        <v>362</v>
      </c>
      <c r="W1469" s="3">
        <v>2014</v>
      </c>
      <c r="X1469" s="3">
        <v>11.12</v>
      </c>
    </row>
    <row r="1470" spans="1:24" ht="89.25">
      <c r="A1470" s="3" t="s">
        <v>12297</v>
      </c>
      <c r="B1470" s="6" t="s">
        <v>361</v>
      </c>
      <c r="C1470" s="6" t="s">
        <v>3917</v>
      </c>
      <c r="D1470" s="6" t="s">
        <v>3891</v>
      </c>
      <c r="E1470" s="6" t="s">
        <v>3918</v>
      </c>
      <c r="F1470" s="6" t="s">
        <v>3820</v>
      </c>
      <c r="G1470" s="3" t="s">
        <v>11449</v>
      </c>
      <c r="H1470" s="54">
        <v>0</v>
      </c>
      <c r="I1470" s="16">
        <v>470000000</v>
      </c>
      <c r="J1470" s="157" t="s">
        <v>229</v>
      </c>
      <c r="K1470" s="5" t="s">
        <v>12289</v>
      </c>
      <c r="L1470" s="17" t="s">
        <v>11411</v>
      </c>
      <c r="M1470" s="3" t="s">
        <v>230</v>
      </c>
      <c r="N1470" s="6" t="s">
        <v>524</v>
      </c>
      <c r="O1470" s="6" t="s">
        <v>233</v>
      </c>
      <c r="P1470" s="58" t="s">
        <v>247</v>
      </c>
      <c r="Q1470" s="6" t="s">
        <v>240</v>
      </c>
      <c r="R1470" s="50">
        <v>4.5</v>
      </c>
      <c r="S1470" s="2">
        <v>204475</v>
      </c>
      <c r="T1470" s="4">
        <v>0</v>
      </c>
      <c r="U1470" s="4">
        <f t="shared" si="53"/>
        <v>0</v>
      </c>
      <c r="V1470" s="3" t="s">
        <v>362</v>
      </c>
      <c r="W1470" s="3">
        <v>2014</v>
      </c>
      <c r="X1470" s="3" t="s">
        <v>14780</v>
      </c>
    </row>
    <row r="1471" spans="1:24" ht="89.25">
      <c r="A1471" s="3" t="s">
        <v>14781</v>
      </c>
      <c r="B1471" s="6" t="s">
        <v>361</v>
      </c>
      <c r="C1471" s="6" t="s">
        <v>3917</v>
      </c>
      <c r="D1471" s="6" t="s">
        <v>3891</v>
      </c>
      <c r="E1471" s="6" t="s">
        <v>3918</v>
      </c>
      <c r="F1471" s="6" t="s">
        <v>3820</v>
      </c>
      <c r="G1471" s="3" t="s">
        <v>11449</v>
      </c>
      <c r="H1471" s="54">
        <v>0</v>
      </c>
      <c r="I1471" s="16">
        <v>470000000</v>
      </c>
      <c r="J1471" s="157" t="s">
        <v>229</v>
      </c>
      <c r="K1471" s="5" t="s">
        <v>14750</v>
      </c>
      <c r="L1471" s="17" t="s">
        <v>11411</v>
      </c>
      <c r="M1471" s="3" t="s">
        <v>230</v>
      </c>
      <c r="N1471" s="6" t="s">
        <v>524</v>
      </c>
      <c r="O1471" s="6" t="s">
        <v>233</v>
      </c>
      <c r="P1471" s="58" t="s">
        <v>247</v>
      </c>
      <c r="Q1471" s="6" t="s">
        <v>240</v>
      </c>
      <c r="R1471" s="50">
        <v>7.0613699999999993</v>
      </c>
      <c r="S1471" s="2">
        <v>204475</v>
      </c>
      <c r="T1471" s="4">
        <v>0</v>
      </c>
      <c r="U1471" s="4">
        <f t="shared" si="53"/>
        <v>0</v>
      </c>
      <c r="V1471" s="3" t="s">
        <v>362</v>
      </c>
      <c r="W1471" s="3">
        <v>2014</v>
      </c>
      <c r="X1471" s="3">
        <v>11</v>
      </c>
    </row>
    <row r="1472" spans="1:24" ht="89.25">
      <c r="A1472" s="3" t="s">
        <v>17990</v>
      </c>
      <c r="B1472" s="6" t="s">
        <v>361</v>
      </c>
      <c r="C1472" s="6" t="s">
        <v>3917</v>
      </c>
      <c r="D1472" s="6" t="s">
        <v>3891</v>
      </c>
      <c r="E1472" s="6" t="s">
        <v>3918</v>
      </c>
      <c r="F1472" s="6" t="s">
        <v>3820</v>
      </c>
      <c r="G1472" s="3" t="s">
        <v>11449</v>
      </c>
      <c r="H1472" s="54">
        <v>0</v>
      </c>
      <c r="I1472" s="16">
        <v>470000000</v>
      </c>
      <c r="J1472" s="157" t="s">
        <v>229</v>
      </c>
      <c r="K1472" s="5" t="s">
        <v>8950</v>
      </c>
      <c r="L1472" s="17" t="s">
        <v>11411</v>
      </c>
      <c r="M1472" s="3" t="s">
        <v>230</v>
      </c>
      <c r="N1472" s="6" t="s">
        <v>524</v>
      </c>
      <c r="O1472" s="6" t="s">
        <v>233</v>
      </c>
      <c r="P1472" s="58" t="s">
        <v>247</v>
      </c>
      <c r="Q1472" s="6" t="s">
        <v>240</v>
      </c>
      <c r="R1472" s="50">
        <v>7.0613699999999993</v>
      </c>
      <c r="S1472" s="2">
        <v>204475</v>
      </c>
      <c r="T1472" s="4">
        <v>0</v>
      </c>
      <c r="U1472" s="4">
        <f t="shared" si="53"/>
        <v>0</v>
      </c>
      <c r="V1472" s="3" t="s">
        <v>362</v>
      </c>
      <c r="W1472" s="3">
        <v>2014</v>
      </c>
      <c r="X1472" s="3" t="s">
        <v>12076</v>
      </c>
    </row>
    <row r="1473" spans="1:24" ht="102">
      <c r="A1473" s="3" t="s">
        <v>1156</v>
      </c>
      <c r="B1473" s="6" t="s">
        <v>361</v>
      </c>
      <c r="C1473" s="6" t="s">
        <v>3874</v>
      </c>
      <c r="D1473" s="6" t="s">
        <v>3875</v>
      </c>
      <c r="E1473" s="6" t="s">
        <v>3876</v>
      </c>
      <c r="F1473" s="6" t="s">
        <v>3821</v>
      </c>
      <c r="G1473" s="3" t="s">
        <v>11449</v>
      </c>
      <c r="H1473" s="54">
        <v>0</v>
      </c>
      <c r="I1473" s="16">
        <v>470000000</v>
      </c>
      <c r="J1473" s="157" t="s">
        <v>229</v>
      </c>
      <c r="K1473" s="5" t="s">
        <v>210</v>
      </c>
      <c r="L1473" s="6" t="s">
        <v>231</v>
      </c>
      <c r="M1473" s="3" t="s">
        <v>230</v>
      </c>
      <c r="N1473" s="6" t="s">
        <v>524</v>
      </c>
      <c r="O1473" s="6" t="s">
        <v>233</v>
      </c>
      <c r="P1473" s="58" t="s">
        <v>247</v>
      </c>
      <c r="Q1473" s="6" t="s">
        <v>240</v>
      </c>
      <c r="R1473" s="18">
        <v>75</v>
      </c>
      <c r="S1473" s="2">
        <v>214535</v>
      </c>
      <c r="T1473" s="4">
        <v>0</v>
      </c>
      <c r="U1473" s="4">
        <f t="shared" si="53"/>
        <v>0</v>
      </c>
      <c r="V1473" s="3" t="s">
        <v>362</v>
      </c>
      <c r="W1473" s="3">
        <v>2014</v>
      </c>
      <c r="X1473" s="3">
        <v>11.12</v>
      </c>
    </row>
    <row r="1474" spans="1:24" ht="89.25">
      <c r="A1474" s="3" t="s">
        <v>12298</v>
      </c>
      <c r="B1474" s="6" t="s">
        <v>361</v>
      </c>
      <c r="C1474" s="6" t="s">
        <v>3874</v>
      </c>
      <c r="D1474" s="6" t="s">
        <v>3875</v>
      </c>
      <c r="E1474" s="6" t="s">
        <v>3876</v>
      </c>
      <c r="F1474" s="6" t="s">
        <v>3821</v>
      </c>
      <c r="G1474" s="3" t="s">
        <v>11449</v>
      </c>
      <c r="H1474" s="54">
        <v>0</v>
      </c>
      <c r="I1474" s="16">
        <v>470000000</v>
      </c>
      <c r="J1474" s="157" t="s">
        <v>229</v>
      </c>
      <c r="K1474" s="5" t="s">
        <v>12289</v>
      </c>
      <c r="L1474" s="17" t="s">
        <v>11411</v>
      </c>
      <c r="M1474" s="3" t="s">
        <v>230</v>
      </c>
      <c r="N1474" s="6" t="s">
        <v>524</v>
      </c>
      <c r="O1474" s="6" t="s">
        <v>233</v>
      </c>
      <c r="P1474" s="58" t="s">
        <v>247</v>
      </c>
      <c r="Q1474" s="6" t="s">
        <v>240</v>
      </c>
      <c r="R1474" s="18">
        <v>75</v>
      </c>
      <c r="S1474" s="2">
        <v>214535</v>
      </c>
      <c r="T1474" s="4">
        <v>0</v>
      </c>
      <c r="U1474" s="4">
        <f t="shared" si="53"/>
        <v>0</v>
      </c>
      <c r="V1474" s="3" t="s">
        <v>362</v>
      </c>
      <c r="W1474" s="3">
        <v>2014</v>
      </c>
      <c r="X1474" s="3" t="s">
        <v>12051</v>
      </c>
    </row>
    <row r="1475" spans="1:24" ht="89.25">
      <c r="A1475" s="3" t="s">
        <v>14782</v>
      </c>
      <c r="B1475" s="6" t="s">
        <v>361</v>
      </c>
      <c r="C1475" s="6" t="s">
        <v>3874</v>
      </c>
      <c r="D1475" s="6" t="s">
        <v>3875</v>
      </c>
      <c r="E1475" s="6" t="s">
        <v>3876</v>
      </c>
      <c r="F1475" s="6" t="s">
        <v>3821</v>
      </c>
      <c r="G1475" s="3" t="s">
        <v>11449</v>
      </c>
      <c r="H1475" s="54">
        <v>0</v>
      </c>
      <c r="I1475" s="16">
        <v>470000000</v>
      </c>
      <c r="J1475" s="157" t="s">
        <v>229</v>
      </c>
      <c r="K1475" s="5" t="s">
        <v>14750</v>
      </c>
      <c r="L1475" s="17" t="s">
        <v>11411</v>
      </c>
      <c r="M1475" s="3" t="s">
        <v>230</v>
      </c>
      <c r="N1475" s="6" t="s">
        <v>524</v>
      </c>
      <c r="O1475" s="6" t="s">
        <v>233</v>
      </c>
      <c r="P1475" s="58" t="s">
        <v>247</v>
      </c>
      <c r="Q1475" s="6" t="s">
        <v>240</v>
      </c>
      <c r="R1475" s="136">
        <v>11.5</v>
      </c>
      <c r="S1475" s="2">
        <v>257442</v>
      </c>
      <c r="T1475" s="4">
        <v>0</v>
      </c>
      <c r="U1475" s="4">
        <f t="shared" si="53"/>
        <v>0</v>
      </c>
      <c r="V1475" s="3" t="s">
        <v>362</v>
      </c>
      <c r="W1475" s="3">
        <v>2014</v>
      </c>
      <c r="X1475" s="3">
        <v>11</v>
      </c>
    </row>
    <row r="1476" spans="1:24" ht="89.25">
      <c r="A1476" s="3" t="s">
        <v>17991</v>
      </c>
      <c r="B1476" s="6" t="s">
        <v>361</v>
      </c>
      <c r="C1476" s="6" t="s">
        <v>3874</v>
      </c>
      <c r="D1476" s="6" t="s">
        <v>3875</v>
      </c>
      <c r="E1476" s="6" t="s">
        <v>3876</v>
      </c>
      <c r="F1476" s="6" t="s">
        <v>3821</v>
      </c>
      <c r="G1476" s="3" t="s">
        <v>11449</v>
      </c>
      <c r="H1476" s="54">
        <v>0</v>
      </c>
      <c r="I1476" s="16">
        <v>470000000</v>
      </c>
      <c r="J1476" s="157" t="s">
        <v>229</v>
      </c>
      <c r="K1476" s="5" t="s">
        <v>8950</v>
      </c>
      <c r="L1476" s="17" t="s">
        <v>11411</v>
      </c>
      <c r="M1476" s="3" t="s">
        <v>230</v>
      </c>
      <c r="N1476" s="6" t="s">
        <v>524</v>
      </c>
      <c r="O1476" s="6" t="s">
        <v>233</v>
      </c>
      <c r="P1476" s="58" t="s">
        <v>247</v>
      </c>
      <c r="Q1476" s="6" t="s">
        <v>240</v>
      </c>
      <c r="R1476" s="136">
        <v>11.5</v>
      </c>
      <c r="S1476" s="2">
        <v>257442</v>
      </c>
      <c r="T1476" s="4">
        <v>0</v>
      </c>
      <c r="U1476" s="4">
        <f t="shared" si="53"/>
        <v>0</v>
      </c>
      <c r="V1476" s="3" t="s">
        <v>362</v>
      </c>
      <c r="W1476" s="3">
        <v>2014</v>
      </c>
      <c r="X1476" s="3" t="s">
        <v>12076</v>
      </c>
    </row>
    <row r="1477" spans="1:24" ht="102">
      <c r="A1477" s="3" t="s">
        <v>1157</v>
      </c>
      <c r="B1477" s="6" t="s">
        <v>361</v>
      </c>
      <c r="C1477" s="6" t="s">
        <v>3874</v>
      </c>
      <c r="D1477" s="6" t="s">
        <v>3875</v>
      </c>
      <c r="E1477" s="6" t="s">
        <v>3876</v>
      </c>
      <c r="F1477" s="6" t="s">
        <v>3822</v>
      </c>
      <c r="G1477" s="3" t="s">
        <v>11449</v>
      </c>
      <c r="H1477" s="54">
        <v>0</v>
      </c>
      <c r="I1477" s="16">
        <v>470000000</v>
      </c>
      <c r="J1477" s="157" t="s">
        <v>229</v>
      </c>
      <c r="K1477" s="5" t="s">
        <v>210</v>
      </c>
      <c r="L1477" s="6" t="s">
        <v>231</v>
      </c>
      <c r="M1477" s="3" t="s">
        <v>230</v>
      </c>
      <c r="N1477" s="6" t="s">
        <v>524</v>
      </c>
      <c r="O1477" s="6" t="s">
        <v>233</v>
      </c>
      <c r="P1477" s="58" t="s">
        <v>247</v>
      </c>
      <c r="Q1477" s="6" t="s">
        <v>240</v>
      </c>
      <c r="R1477" s="18">
        <v>16</v>
      </c>
      <c r="S1477" s="2">
        <v>214535</v>
      </c>
      <c r="T1477" s="4">
        <v>0</v>
      </c>
      <c r="U1477" s="4">
        <f t="shared" si="53"/>
        <v>0</v>
      </c>
      <c r="V1477" s="3" t="s">
        <v>362</v>
      </c>
      <c r="W1477" s="3">
        <v>2014</v>
      </c>
      <c r="X1477" s="3">
        <v>11.12</v>
      </c>
    </row>
    <row r="1478" spans="1:24" ht="89.25">
      <c r="A1478" s="3" t="s">
        <v>12299</v>
      </c>
      <c r="B1478" s="6" t="s">
        <v>361</v>
      </c>
      <c r="C1478" s="6" t="s">
        <v>3874</v>
      </c>
      <c r="D1478" s="6" t="s">
        <v>3875</v>
      </c>
      <c r="E1478" s="6" t="s">
        <v>3876</v>
      </c>
      <c r="F1478" s="6" t="s">
        <v>3822</v>
      </c>
      <c r="G1478" s="3" t="s">
        <v>11449</v>
      </c>
      <c r="H1478" s="54">
        <v>0</v>
      </c>
      <c r="I1478" s="16">
        <v>470000000</v>
      </c>
      <c r="J1478" s="157" t="s">
        <v>229</v>
      </c>
      <c r="K1478" s="5" t="s">
        <v>12289</v>
      </c>
      <c r="L1478" s="17" t="s">
        <v>11411</v>
      </c>
      <c r="M1478" s="3" t="s">
        <v>230</v>
      </c>
      <c r="N1478" s="6" t="s">
        <v>524</v>
      </c>
      <c r="O1478" s="6" t="s">
        <v>233</v>
      </c>
      <c r="P1478" s="58" t="s">
        <v>247</v>
      </c>
      <c r="Q1478" s="6" t="s">
        <v>240</v>
      </c>
      <c r="R1478" s="18">
        <v>16</v>
      </c>
      <c r="S1478" s="2">
        <v>214535</v>
      </c>
      <c r="T1478" s="4">
        <v>0</v>
      </c>
      <c r="U1478" s="4">
        <f t="shared" si="53"/>
        <v>0</v>
      </c>
      <c r="V1478" s="3" t="s">
        <v>362</v>
      </c>
      <c r="W1478" s="3">
        <v>2014</v>
      </c>
      <c r="X1478" s="3" t="s">
        <v>12051</v>
      </c>
    </row>
    <row r="1479" spans="1:24" ht="89.25">
      <c r="A1479" s="3" t="s">
        <v>14783</v>
      </c>
      <c r="B1479" s="6" t="s">
        <v>361</v>
      </c>
      <c r="C1479" s="6" t="s">
        <v>3874</v>
      </c>
      <c r="D1479" s="6" t="s">
        <v>3875</v>
      </c>
      <c r="E1479" s="6" t="s">
        <v>3876</v>
      </c>
      <c r="F1479" s="6" t="s">
        <v>3822</v>
      </c>
      <c r="G1479" s="3" t="s">
        <v>11449</v>
      </c>
      <c r="H1479" s="54">
        <v>0</v>
      </c>
      <c r="I1479" s="16">
        <v>470000000</v>
      </c>
      <c r="J1479" s="157" t="s">
        <v>229</v>
      </c>
      <c r="K1479" s="5" t="s">
        <v>14750</v>
      </c>
      <c r="L1479" s="17" t="s">
        <v>11411</v>
      </c>
      <c r="M1479" s="3" t="s">
        <v>230</v>
      </c>
      <c r="N1479" s="6" t="s">
        <v>524</v>
      </c>
      <c r="O1479" s="6" t="s">
        <v>233</v>
      </c>
      <c r="P1479" s="58" t="s">
        <v>247</v>
      </c>
      <c r="Q1479" s="6" t="s">
        <v>240</v>
      </c>
      <c r="R1479" s="18">
        <v>15</v>
      </c>
      <c r="S1479" s="2">
        <v>257442</v>
      </c>
      <c r="T1479" s="4">
        <v>0</v>
      </c>
      <c r="U1479" s="4">
        <f t="shared" si="53"/>
        <v>0</v>
      </c>
      <c r="V1479" s="3" t="s">
        <v>362</v>
      </c>
      <c r="W1479" s="3">
        <v>2014</v>
      </c>
      <c r="X1479" s="3">
        <v>11</v>
      </c>
    </row>
    <row r="1480" spans="1:24" ht="89.25">
      <c r="A1480" s="3" t="s">
        <v>17992</v>
      </c>
      <c r="B1480" s="6" t="s">
        <v>361</v>
      </c>
      <c r="C1480" s="6" t="s">
        <v>3874</v>
      </c>
      <c r="D1480" s="6" t="s">
        <v>3875</v>
      </c>
      <c r="E1480" s="6" t="s">
        <v>3876</v>
      </c>
      <c r="F1480" s="6" t="s">
        <v>3822</v>
      </c>
      <c r="G1480" s="3" t="s">
        <v>11449</v>
      </c>
      <c r="H1480" s="54">
        <v>0</v>
      </c>
      <c r="I1480" s="16">
        <v>470000000</v>
      </c>
      <c r="J1480" s="157" t="s">
        <v>229</v>
      </c>
      <c r="K1480" s="5" t="s">
        <v>8950</v>
      </c>
      <c r="L1480" s="17" t="s">
        <v>11411</v>
      </c>
      <c r="M1480" s="3" t="s">
        <v>230</v>
      </c>
      <c r="N1480" s="6" t="s">
        <v>524</v>
      </c>
      <c r="O1480" s="6" t="s">
        <v>233</v>
      </c>
      <c r="P1480" s="58" t="s">
        <v>247</v>
      </c>
      <c r="Q1480" s="6" t="s">
        <v>240</v>
      </c>
      <c r="R1480" s="18">
        <v>15</v>
      </c>
      <c r="S1480" s="2">
        <v>257442</v>
      </c>
      <c r="T1480" s="4">
        <f>R1480*S1480</f>
        <v>3861630</v>
      </c>
      <c r="U1480" s="4">
        <f t="shared" si="53"/>
        <v>4325025.6000000006</v>
      </c>
      <c r="V1480" s="3" t="s">
        <v>362</v>
      </c>
      <c r="W1480" s="3">
        <v>2014</v>
      </c>
      <c r="X1480" s="158"/>
    </row>
    <row r="1481" spans="1:24" ht="102">
      <c r="A1481" s="3" t="s">
        <v>1158</v>
      </c>
      <c r="B1481" s="6" t="s">
        <v>361</v>
      </c>
      <c r="C1481" s="6" t="s">
        <v>3922</v>
      </c>
      <c r="D1481" s="6" t="s">
        <v>3923</v>
      </c>
      <c r="E1481" s="6" t="s">
        <v>3238</v>
      </c>
      <c r="F1481" s="6" t="s">
        <v>3823</v>
      </c>
      <c r="G1481" s="3" t="s">
        <v>11450</v>
      </c>
      <c r="H1481" s="54">
        <v>0</v>
      </c>
      <c r="I1481" s="16">
        <v>470000000</v>
      </c>
      <c r="J1481" s="157" t="s">
        <v>229</v>
      </c>
      <c r="K1481" s="5" t="s">
        <v>210</v>
      </c>
      <c r="L1481" s="6" t="s">
        <v>231</v>
      </c>
      <c r="M1481" s="3" t="s">
        <v>230</v>
      </c>
      <c r="N1481" s="6" t="s">
        <v>524</v>
      </c>
      <c r="O1481" s="6" t="s">
        <v>233</v>
      </c>
      <c r="P1481" s="58" t="s">
        <v>248</v>
      </c>
      <c r="Q1481" s="6" t="s">
        <v>249</v>
      </c>
      <c r="R1481" s="4">
        <v>0</v>
      </c>
      <c r="S1481" s="2">
        <v>425</v>
      </c>
      <c r="T1481" s="4">
        <f>R1481*S1481</f>
        <v>0</v>
      </c>
      <c r="U1481" s="4">
        <f t="shared" si="53"/>
        <v>0</v>
      </c>
      <c r="V1481" s="3" t="s">
        <v>362</v>
      </c>
      <c r="W1481" s="3">
        <v>2014</v>
      </c>
      <c r="X1481" s="3" t="s">
        <v>12076</v>
      </c>
    </row>
    <row r="1482" spans="1:24" ht="102">
      <c r="A1482" s="3" t="s">
        <v>1159</v>
      </c>
      <c r="B1482" s="6" t="s">
        <v>361</v>
      </c>
      <c r="C1482" s="6" t="s">
        <v>3922</v>
      </c>
      <c r="D1482" s="6" t="s">
        <v>3923</v>
      </c>
      <c r="E1482" s="6" t="s">
        <v>3238</v>
      </c>
      <c r="F1482" s="6" t="s">
        <v>3824</v>
      </c>
      <c r="G1482" s="3" t="s">
        <v>11450</v>
      </c>
      <c r="H1482" s="54">
        <v>0</v>
      </c>
      <c r="I1482" s="16">
        <v>470000000</v>
      </c>
      <c r="J1482" s="157" t="s">
        <v>229</v>
      </c>
      <c r="K1482" s="5" t="s">
        <v>210</v>
      </c>
      <c r="L1482" s="6" t="s">
        <v>231</v>
      </c>
      <c r="M1482" s="3" t="s">
        <v>230</v>
      </c>
      <c r="N1482" s="6" t="s">
        <v>524</v>
      </c>
      <c r="O1482" s="6" t="s">
        <v>233</v>
      </c>
      <c r="P1482" s="58" t="s">
        <v>248</v>
      </c>
      <c r="Q1482" s="6" t="s">
        <v>249</v>
      </c>
      <c r="R1482" s="4">
        <v>0</v>
      </c>
      <c r="S1482" s="2">
        <v>425</v>
      </c>
      <c r="T1482" s="4">
        <f>R1482*S1482</f>
        <v>0</v>
      </c>
      <c r="U1482" s="4">
        <f t="shared" si="53"/>
        <v>0</v>
      </c>
      <c r="V1482" s="3" t="s">
        <v>362</v>
      </c>
      <c r="W1482" s="3">
        <v>2014</v>
      </c>
      <c r="X1482" s="3" t="s">
        <v>12076</v>
      </c>
    </row>
    <row r="1483" spans="1:24" ht="102">
      <c r="A1483" s="3" t="s">
        <v>1160</v>
      </c>
      <c r="B1483" s="6" t="s">
        <v>361</v>
      </c>
      <c r="C1483" s="6" t="s">
        <v>11632</v>
      </c>
      <c r="D1483" s="6" t="s">
        <v>11525</v>
      </c>
      <c r="E1483" s="6" t="s">
        <v>11633</v>
      </c>
      <c r="F1483" s="10" t="s">
        <v>180</v>
      </c>
      <c r="G1483" s="3" t="s">
        <v>11449</v>
      </c>
      <c r="H1483" s="54">
        <v>0</v>
      </c>
      <c r="I1483" s="16">
        <v>470000000</v>
      </c>
      <c r="J1483" s="157" t="s">
        <v>229</v>
      </c>
      <c r="K1483" s="5" t="s">
        <v>215</v>
      </c>
      <c r="L1483" s="6" t="s">
        <v>231</v>
      </c>
      <c r="M1483" s="3" t="s">
        <v>230</v>
      </c>
      <c r="N1483" s="6" t="s">
        <v>524</v>
      </c>
      <c r="O1483" s="6" t="s">
        <v>233</v>
      </c>
      <c r="P1483" s="58" t="s">
        <v>237</v>
      </c>
      <c r="Q1483" s="6" t="s">
        <v>238</v>
      </c>
      <c r="R1483" s="4">
        <v>3000</v>
      </c>
      <c r="S1483" s="2">
        <v>8500</v>
      </c>
      <c r="T1483" s="4">
        <v>0</v>
      </c>
      <c r="U1483" s="4">
        <f t="shared" si="53"/>
        <v>0</v>
      </c>
      <c r="V1483" s="3" t="s">
        <v>362</v>
      </c>
      <c r="W1483" s="3">
        <v>2014</v>
      </c>
      <c r="X1483" s="3">
        <v>11.12</v>
      </c>
    </row>
    <row r="1484" spans="1:24" ht="89.25">
      <c r="A1484" s="3" t="s">
        <v>12300</v>
      </c>
      <c r="B1484" s="6" t="s">
        <v>361</v>
      </c>
      <c r="C1484" s="6" t="s">
        <v>11632</v>
      </c>
      <c r="D1484" s="6" t="s">
        <v>11525</v>
      </c>
      <c r="E1484" s="6" t="s">
        <v>11633</v>
      </c>
      <c r="F1484" s="10" t="s">
        <v>180</v>
      </c>
      <c r="G1484" s="3" t="s">
        <v>11449</v>
      </c>
      <c r="H1484" s="54">
        <v>0</v>
      </c>
      <c r="I1484" s="16">
        <v>470000000</v>
      </c>
      <c r="J1484" s="157" t="s">
        <v>229</v>
      </c>
      <c r="K1484" s="5" t="s">
        <v>216</v>
      </c>
      <c r="L1484" s="17" t="s">
        <v>11411</v>
      </c>
      <c r="M1484" s="3" t="s">
        <v>230</v>
      </c>
      <c r="N1484" s="6" t="s">
        <v>524</v>
      </c>
      <c r="O1484" s="6" t="s">
        <v>233</v>
      </c>
      <c r="P1484" s="58" t="s">
        <v>237</v>
      </c>
      <c r="Q1484" s="6" t="s">
        <v>238</v>
      </c>
      <c r="R1484" s="4">
        <v>3000</v>
      </c>
      <c r="S1484" s="2">
        <v>8500</v>
      </c>
      <c r="T1484" s="4">
        <v>0</v>
      </c>
      <c r="U1484" s="4">
        <f t="shared" si="53"/>
        <v>0</v>
      </c>
      <c r="V1484" s="3" t="s">
        <v>362</v>
      </c>
      <c r="W1484" s="3">
        <v>2014</v>
      </c>
      <c r="X1484" s="3" t="s">
        <v>12051</v>
      </c>
    </row>
    <row r="1485" spans="1:24" ht="89.25">
      <c r="A1485" s="3" t="s">
        <v>14784</v>
      </c>
      <c r="B1485" s="6" t="s">
        <v>361</v>
      </c>
      <c r="C1485" s="6" t="s">
        <v>11632</v>
      </c>
      <c r="D1485" s="6" t="s">
        <v>11525</v>
      </c>
      <c r="E1485" s="6" t="s">
        <v>11633</v>
      </c>
      <c r="F1485" s="10" t="s">
        <v>180</v>
      </c>
      <c r="G1485" s="3" t="s">
        <v>11449</v>
      </c>
      <c r="H1485" s="54">
        <v>0</v>
      </c>
      <c r="I1485" s="16">
        <v>470000000</v>
      </c>
      <c r="J1485" s="157" t="s">
        <v>229</v>
      </c>
      <c r="K1485" s="5" t="s">
        <v>14750</v>
      </c>
      <c r="L1485" s="17" t="s">
        <v>11411</v>
      </c>
      <c r="M1485" s="3" t="s">
        <v>230</v>
      </c>
      <c r="N1485" s="6" t="s">
        <v>524</v>
      </c>
      <c r="O1485" s="6" t="s">
        <v>233</v>
      </c>
      <c r="P1485" s="58" t="s">
        <v>237</v>
      </c>
      <c r="Q1485" s="6" t="s">
        <v>238</v>
      </c>
      <c r="R1485" s="4">
        <v>1800</v>
      </c>
      <c r="S1485" s="2">
        <v>10200</v>
      </c>
      <c r="T1485" s="4">
        <v>0</v>
      </c>
      <c r="U1485" s="4">
        <f t="shared" si="53"/>
        <v>0</v>
      </c>
      <c r="V1485" s="3" t="s">
        <v>362</v>
      </c>
      <c r="W1485" s="3">
        <v>2014</v>
      </c>
      <c r="X1485" s="3">
        <v>11.14</v>
      </c>
    </row>
    <row r="1486" spans="1:24" ht="89.25">
      <c r="A1486" s="3" t="s">
        <v>17993</v>
      </c>
      <c r="B1486" s="6" t="s">
        <v>361</v>
      </c>
      <c r="C1486" s="6" t="s">
        <v>11632</v>
      </c>
      <c r="D1486" s="6" t="s">
        <v>11525</v>
      </c>
      <c r="E1486" s="6" t="s">
        <v>11633</v>
      </c>
      <c r="F1486" s="10" t="s">
        <v>180</v>
      </c>
      <c r="G1486" s="3" t="s">
        <v>11449</v>
      </c>
      <c r="H1486" s="54">
        <v>0</v>
      </c>
      <c r="I1486" s="16">
        <v>470000000</v>
      </c>
      <c r="J1486" s="157" t="s">
        <v>229</v>
      </c>
      <c r="K1486" s="5" t="s">
        <v>8950</v>
      </c>
      <c r="L1486" s="17" t="s">
        <v>11411</v>
      </c>
      <c r="M1486" s="3" t="s">
        <v>230</v>
      </c>
      <c r="N1486" s="6" t="s">
        <v>528</v>
      </c>
      <c r="O1486" s="6" t="s">
        <v>233</v>
      </c>
      <c r="P1486" s="58" t="s">
        <v>237</v>
      </c>
      <c r="Q1486" s="6" t="s">
        <v>238</v>
      </c>
      <c r="R1486" s="4">
        <v>1800</v>
      </c>
      <c r="S1486" s="2">
        <v>10200</v>
      </c>
      <c r="T1486" s="4">
        <f>R1486*S1486</f>
        <v>18360000</v>
      </c>
      <c r="U1486" s="4">
        <f t="shared" si="53"/>
        <v>20563200.000000004</v>
      </c>
      <c r="V1486" s="3" t="s">
        <v>362</v>
      </c>
      <c r="W1486" s="3">
        <v>2014</v>
      </c>
      <c r="X1486" s="158"/>
    </row>
    <row r="1487" spans="1:24" ht="102">
      <c r="A1487" s="3" t="s">
        <v>1161</v>
      </c>
      <c r="B1487" s="6" t="s">
        <v>361</v>
      </c>
      <c r="C1487" s="6" t="s">
        <v>3924</v>
      </c>
      <c r="D1487" s="6" t="s">
        <v>3925</v>
      </c>
      <c r="E1487" s="6" t="s">
        <v>3926</v>
      </c>
      <c r="F1487" s="6" t="s">
        <v>3825</v>
      </c>
      <c r="G1487" s="3" t="s">
        <v>11449</v>
      </c>
      <c r="H1487" s="54">
        <v>0</v>
      </c>
      <c r="I1487" s="16">
        <v>470000000</v>
      </c>
      <c r="J1487" s="157" t="s">
        <v>229</v>
      </c>
      <c r="K1487" s="5" t="s">
        <v>210</v>
      </c>
      <c r="L1487" s="6" t="s">
        <v>231</v>
      </c>
      <c r="M1487" s="3" t="s">
        <v>230</v>
      </c>
      <c r="N1487" s="6" t="s">
        <v>524</v>
      </c>
      <c r="O1487" s="6" t="s">
        <v>233</v>
      </c>
      <c r="P1487" s="58" t="s">
        <v>247</v>
      </c>
      <c r="Q1487" s="6" t="s">
        <v>240</v>
      </c>
      <c r="R1487" s="18">
        <v>2</v>
      </c>
      <c r="S1487" s="2">
        <v>125000</v>
      </c>
      <c r="T1487" s="4">
        <v>0</v>
      </c>
      <c r="U1487" s="4">
        <f t="shared" si="53"/>
        <v>0</v>
      </c>
      <c r="V1487" s="3" t="s">
        <v>362</v>
      </c>
      <c r="W1487" s="3">
        <v>2014</v>
      </c>
      <c r="X1487" s="3">
        <v>11.12</v>
      </c>
    </row>
    <row r="1488" spans="1:24" ht="89.25">
      <c r="A1488" s="3" t="s">
        <v>12301</v>
      </c>
      <c r="B1488" s="6" t="s">
        <v>361</v>
      </c>
      <c r="C1488" s="6" t="s">
        <v>3924</v>
      </c>
      <c r="D1488" s="6" t="s">
        <v>3925</v>
      </c>
      <c r="E1488" s="6" t="s">
        <v>3926</v>
      </c>
      <c r="F1488" s="6" t="s">
        <v>3825</v>
      </c>
      <c r="G1488" s="3" t="s">
        <v>11449</v>
      </c>
      <c r="H1488" s="54">
        <v>0</v>
      </c>
      <c r="I1488" s="16">
        <v>470000000</v>
      </c>
      <c r="J1488" s="157" t="s">
        <v>229</v>
      </c>
      <c r="K1488" s="5" t="s">
        <v>211</v>
      </c>
      <c r="L1488" s="17" t="s">
        <v>11411</v>
      </c>
      <c r="M1488" s="3" t="s">
        <v>230</v>
      </c>
      <c r="N1488" s="6" t="s">
        <v>524</v>
      </c>
      <c r="O1488" s="6" t="s">
        <v>233</v>
      </c>
      <c r="P1488" s="58" t="s">
        <v>247</v>
      </c>
      <c r="Q1488" s="6" t="s">
        <v>240</v>
      </c>
      <c r="R1488" s="18">
        <v>0</v>
      </c>
      <c r="S1488" s="2">
        <v>125000</v>
      </c>
      <c r="T1488" s="4">
        <f>R1488*S1488</f>
        <v>0</v>
      </c>
      <c r="U1488" s="4">
        <f t="shared" si="53"/>
        <v>0</v>
      </c>
      <c r="V1488" s="3" t="s">
        <v>362</v>
      </c>
      <c r="W1488" s="3">
        <v>2014</v>
      </c>
      <c r="X1488" s="3" t="s">
        <v>12076</v>
      </c>
    </row>
    <row r="1489" spans="1:24" ht="102">
      <c r="A1489" s="3" t="s">
        <v>1162</v>
      </c>
      <c r="B1489" s="6" t="s">
        <v>361</v>
      </c>
      <c r="C1489" s="6" t="s">
        <v>3924</v>
      </c>
      <c r="D1489" s="6" t="s">
        <v>3925</v>
      </c>
      <c r="E1489" s="6" t="s">
        <v>3926</v>
      </c>
      <c r="F1489" s="6" t="s">
        <v>3826</v>
      </c>
      <c r="G1489" s="3" t="s">
        <v>11449</v>
      </c>
      <c r="H1489" s="54">
        <v>0</v>
      </c>
      <c r="I1489" s="16">
        <v>470000000</v>
      </c>
      <c r="J1489" s="157" t="s">
        <v>229</v>
      </c>
      <c r="K1489" s="5" t="s">
        <v>210</v>
      </c>
      <c r="L1489" s="6" t="s">
        <v>231</v>
      </c>
      <c r="M1489" s="3" t="s">
        <v>230</v>
      </c>
      <c r="N1489" s="6" t="s">
        <v>524</v>
      </c>
      <c r="O1489" s="6" t="s">
        <v>233</v>
      </c>
      <c r="P1489" s="58" t="s">
        <v>247</v>
      </c>
      <c r="Q1489" s="6" t="s">
        <v>240</v>
      </c>
      <c r="R1489" s="50">
        <v>1.6</v>
      </c>
      <c r="S1489" s="2">
        <v>125000</v>
      </c>
      <c r="T1489" s="4">
        <v>0</v>
      </c>
      <c r="U1489" s="4">
        <f t="shared" si="53"/>
        <v>0</v>
      </c>
      <c r="V1489" s="3" t="s">
        <v>362</v>
      </c>
      <c r="W1489" s="3">
        <v>2014</v>
      </c>
      <c r="X1489" s="3">
        <v>11.12</v>
      </c>
    </row>
    <row r="1490" spans="1:24" ht="89.25">
      <c r="A1490" s="3" t="s">
        <v>12302</v>
      </c>
      <c r="B1490" s="6" t="s">
        <v>361</v>
      </c>
      <c r="C1490" s="6" t="s">
        <v>3924</v>
      </c>
      <c r="D1490" s="6" t="s">
        <v>3925</v>
      </c>
      <c r="E1490" s="6" t="s">
        <v>3926</v>
      </c>
      <c r="F1490" s="6" t="s">
        <v>3826</v>
      </c>
      <c r="G1490" s="3" t="s">
        <v>11449</v>
      </c>
      <c r="H1490" s="54">
        <v>0</v>
      </c>
      <c r="I1490" s="16">
        <v>470000000</v>
      </c>
      <c r="J1490" s="157" t="s">
        <v>229</v>
      </c>
      <c r="K1490" s="5" t="s">
        <v>211</v>
      </c>
      <c r="L1490" s="17" t="s">
        <v>11411</v>
      </c>
      <c r="M1490" s="3" t="s">
        <v>230</v>
      </c>
      <c r="N1490" s="6" t="s">
        <v>524</v>
      </c>
      <c r="O1490" s="6" t="s">
        <v>233</v>
      </c>
      <c r="P1490" s="58" t="s">
        <v>247</v>
      </c>
      <c r="Q1490" s="6" t="s">
        <v>240</v>
      </c>
      <c r="R1490" s="50">
        <v>0</v>
      </c>
      <c r="S1490" s="2">
        <v>125000</v>
      </c>
      <c r="T1490" s="4">
        <f>R1490*S1490</f>
        <v>0</v>
      </c>
      <c r="U1490" s="4">
        <f t="shared" si="53"/>
        <v>0</v>
      </c>
      <c r="V1490" s="3" t="s">
        <v>362</v>
      </c>
      <c r="W1490" s="3">
        <v>2014</v>
      </c>
      <c r="X1490" s="3" t="s">
        <v>12076</v>
      </c>
    </row>
    <row r="1491" spans="1:24" ht="102">
      <c r="A1491" s="3" t="s">
        <v>1163</v>
      </c>
      <c r="B1491" s="6" t="s">
        <v>361</v>
      </c>
      <c r="C1491" s="6" t="s">
        <v>3924</v>
      </c>
      <c r="D1491" s="6" t="s">
        <v>3925</v>
      </c>
      <c r="E1491" s="6" t="s">
        <v>3926</v>
      </c>
      <c r="F1491" s="6" t="s">
        <v>3827</v>
      </c>
      <c r="G1491" s="3" t="s">
        <v>11449</v>
      </c>
      <c r="H1491" s="54">
        <v>0</v>
      </c>
      <c r="I1491" s="16">
        <v>470000000</v>
      </c>
      <c r="J1491" s="157" t="s">
        <v>229</v>
      </c>
      <c r="K1491" s="5" t="s">
        <v>210</v>
      </c>
      <c r="L1491" s="6" t="s">
        <v>231</v>
      </c>
      <c r="M1491" s="3" t="s">
        <v>230</v>
      </c>
      <c r="N1491" s="6" t="s">
        <v>524</v>
      </c>
      <c r="O1491" s="6" t="s">
        <v>233</v>
      </c>
      <c r="P1491" s="58" t="s">
        <v>247</v>
      </c>
      <c r="Q1491" s="6" t="s">
        <v>240</v>
      </c>
      <c r="R1491" s="18">
        <v>8</v>
      </c>
      <c r="S1491" s="2">
        <v>125000</v>
      </c>
      <c r="T1491" s="4">
        <v>0</v>
      </c>
      <c r="U1491" s="4">
        <f t="shared" si="53"/>
        <v>0</v>
      </c>
      <c r="V1491" s="3" t="s">
        <v>362</v>
      </c>
      <c r="W1491" s="3">
        <v>2014</v>
      </c>
      <c r="X1491" s="3">
        <v>11.12</v>
      </c>
    </row>
    <row r="1492" spans="1:24" ht="89.25">
      <c r="A1492" s="3" t="s">
        <v>12303</v>
      </c>
      <c r="B1492" s="6" t="s">
        <v>361</v>
      </c>
      <c r="C1492" s="6" t="s">
        <v>3924</v>
      </c>
      <c r="D1492" s="6" t="s">
        <v>3925</v>
      </c>
      <c r="E1492" s="6" t="s">
        <v>3926</v>
      </c>
      <c r="F1492" s="6" t="s">
        <v>3827</v>
      </c>
      <c r="G1492" s="3" t="s">
        <v>11449</v>
      </c>
      <c r="H1492" s="54">
        <v>0</v>
      </c>
      <c r="I1492" s="16">
        <v>470000000</v>
      </c>
      <c r="J1492" s="157" t="s">
        <v>229</v>
      </c>
      <c r="K1492" s="5" t="s">
        <v>12120</v>
      </c>
      <c r="L1492" s="17" t="s">
        <v>11411</v>
      </c>
      <c r="M1492" s="3" t="s">
        <v>230</v>
      </c>
      <c r="N1492" s="6" t="s">
        <v>524</v>
      </c>
      <c r="O1492" s="6" t="s">
        <v>233</v>
      </c>
      <c r="P1492" s="58" t="s">
        <v>247</v>
      </c>
      <c r="Q1492" s="6" t="s">
        <v>240</v>
      </c>
      <c r="R1492" s="18">
        <v>8</v>
      </c>
      <c r="S1492" s="2">
        <v>125000</v>
      </c>
      <c r="T1492" s="4">
        <v>0</v>
      </c>
      <c r="U1492" s="4">
        <f t="shared" si="53"/>
        <v>0</v>
      </c>
      <c r="V1492" s="3" t="s">
        <v>362</v>
      </c>
      <c r="W1492" s="3">
        <v>2014</v>
      </c>
      <c r="X1492" s="3" t="s">
        <v>14230</v>
      </c>
    </row>
    <row r="1493" spans="1:24" ht="89.25">
      <c r="A1493" s="3" t="s">
        <v>17994</v>
      </c>
      <c r="B1493" s="6" t="s">
        <v>361</v>
      </c>
      <c r="C1493" s="6" t="s">
        <v>3924</v>
      </c>
      <c r="D1493" s="6" t="s">
        <v>3925</v>
      </c>
      <c r="E1493" s="6" t="s">
        <v>3926</v>
      </c>
      <c r="F1493" s="6" t="s">
        <v>3827</v>
      </c>
      <c r="G1493" s="3" t="s">
        <v>11449</v>
      </c>
      <c r="H1493" s="54">
        <v>0</v>
      </c>
      <c r="I1493" s="16">
        <v>470000000</v>
      </c>
      <c r="J1493" s="157" t="s">
        <v>229</v>
      </c>
      <c r="K1493" s="5" t="s">
        <v>12120</v>
      </c>
      <c r="L1493" s="17" t="s">
        <v>11411</v>
      </c>
      <c r="M1493" s="3" t="s">
        <v>230</v>
      </c>
      <c r="N1493" s="6" t="s">
        <v>524</v>
      </c>
      <c r="O1493" s="6" t="s">
        <v>233</v>
      </c>
      <c r="P1493" s="58" t="s">
        <v>247</v>
      </c>
      <c r="Q1493" s="6" t="s">
        <v>240</v>
      </c>
      <c r="R1493" s="18">
        <v>8</v>
      </c>
      <c r="S1493" s="2">
        <v>108928.57</v>
      </c>
      <c r="T1493" s="4">
        <f>R1493*S1493</f>
        <v>871428.56</v>
      </c>
      <c r="U1493" s="4">
        <f t="shared" si="53"/>
        <v>975999.98720000021</v>
      </c>
      <c r="V1493" s="3" t="s">
        <v>362</v>
      </c>
      <c r="W1493" s="3">
        <v>2014</v>
      </c>
      <c r="X1493" s="158"/>
    </row>
    <row r="1494" spans="1:24" ht="102">
      <c r="A1494" s="3" t="s">
        <v>1164</v>
      </c>
      <c r="B1494" s="6" t="s">
        <v>361</v>
      </c>
      <c r="C1494" s="6" t="s">
        <v>3924</v>
      </c>
      <c r="D1494" s="6" t="s">
        <v>3925</v>
      </c>
      <c r="E1494" s="6" t="s">
        <v>3926</v>
      </c>
      <c r="F1494" s="6" t="s">
        <v>3828</v>
      </c>
      <c r="G1494" s="3" t="s">
        <v>11449</v>
      </c>
      <c r="H1494" s="54">
        <v>0</v>
      </c>
      <c r="I1494" s="16">
        <v>470000000</v>
      </c>
      <c r="J1494" s="157" t="s">
        <v>229</v>
      </c>
      <c r="K1494" s="5" t="s">
        <v>222</v>
      </c>
      <c r="L1494" s="6" t="s">
        <v>231</v>
      </c>
      <c r="M1494" s="3" t="s">
        <v>230</v>
      </c>
      <c r="N1494" s="6" t="s">
        <v>524</v>
      </c>
      <c r="O1494" s="6" t="s">
        <v>233</v>
      </c>
      <c r="P1494" s="58" t="s">
        <v>247</v>
      </c>
      <c r="Q1494" s="6" t="s">
        <v>240</v>
      </c>
      <c r="R1494" s="18">
        <v>4</v>
      </c>
      <c r="S1494" s="2">
        <v>125000</v>
      </c>
      <c r="T1494" s="4">
        <v>0</v>
      </c>
      <c r="U1494" s="4">
        <f t="shared" si="53"/>
        <v>0</v>
      </c>
      <c r="V1494" s="3" t="s">
        <v>362</v>
      </c>
      <c r="W1494" s="3">
        <v>2014</v>
      </c>
      <c r="X1494" s="3">
        <v>11.12</v>
      </c>
    </row>
    <row r="1495" spans="1:24" ht="89.25">
      <c r="A1495" s="3" t="s">
        <v>12304</v>
      </c>
      <c r="B1495" s="6" t="s">
        <v>361</v>
      </c>
      <c r="C1495" s="6" t="s">
        <v>3924</v>
      </c>
      <c r="D1495" s="6" t="s">
        <v>3925</v>
      </c>
      <c r="E1495" s="6" t="s">
        <v>3926</v>
      </c>
      <c r="F1495" s="6" t="s">
        <v>3828</v>
      </c>
      <c r="G1495" s="3" t="s">
        <v>11449</v>
      </c>
      <c r="H1495" s="54">
        <v>0</v>
      </c>
      <c r="I1495" s="16">
        <v>470000000</v>
      </c>
      <c r="J1495" s="157" t="s">
        <v>229</v>
      </c>
      <c r="K1495" s="5" t="s">
        <v>12120</v>
      </c>
      <c r="L1495" s="17" t="s">
        <v>11411</v>
      </c>
      <c r="M1495" s="3" t="s">
        <v>230</v>
      </c>
      <c r="N1495" s="6" t="s">
        <v>524</v>
      </c>
      <c r="O1495" s="6" t="s">
        <v>233</v>
      </c>
      <c r="P1495" s="58" t="s">
        <v>247</v>
      </c>
      <c r="Q1495" s="6" t="s">
        <v>240</v>
      </c>
      <c r="R1495" s="18">
        <v>4</v>
      </c>
      <c r="S1495" s="2">
        <v>125000</v>
      </c>
      <c r="T1495" s="4">
        <v>0</v>
      </c>
      <c r="U1495" s="4">
        <f t="shared" si="53"/>
        <v>0</v>
      </c>
      <c r="V1495" s="3" t="s">
        <v>362</v>
      </c>
      <c r="W1495" s="3">
        <v>2014</v>
      </c>
      <c r="X1495" s="3" t="s">
        <v>14230</v>
      </c>
    </row>
    <row r="1496" spans="1:24" ht="89.25">
      <c r="A1496" s="3" t="s">
        <v>17995</v>
      </c>
      <c r="B1496" s="6" t="s">
        <v>361</v>
      </c>
      <c r="C1496" s="6" t="s">
        <v>3924</v>
      </c>
      <c r="D1496" s="6" t="s">
        <v>3925</v>
      </c>
      <c r="E1496" s="6" t="s">
        <v>3926</v>
      </c>
      <c r="F1496" s="6" t="s">
        <v>3828</v>
      </c>
      <c r="G1496" s="3" t="s">
        <v>11449</v>
      </c>
      <c r="H1496" s="54">
        <v>0</v>
      </c>
      <c r="I1496" s="16">
        <v>470000000</v>
      </c>
      <c r="J1496" s="157" t="s">
        <v>229</v>
      </c>
      <c r="K1496" s="5" t="s">
        <v>12120</v>
      </c>
      <c r="L1496" s="17" t="s">
        <v>11411</v>
      </c>
      <c r="M1496" s="3" t="s">
        <v>230</v>
      </c>
      <c r="N1496" s="6" t="s">
        <v>524</v>
      </c>
      <c r="O1496" s="6" t="s">
        <v>233</v>
      </c>
      <c r="P1496" s="58" t="s">
        <v>247</v>
      </c>
      <c r="Q1496" s="6" t="s">
        <v>240</v>
      </c>
      <c r="R1496" s="18">
        <v>4</v>
      </c>
      <c r="S1496" s="2">
        <v>108928.57</v>
      </c>
      <c r="T1496" s="4">
        <f>R1496*S1496</f>
        <v>435714.28</v>
      </c>
      <c r="U1496" s="4">
        <f t="shared" si="53"/>
        <v>487999.9936000001</v>
      </c>
      <c r="V1496" s="3" t="s">
        <v>362</v>
      </c>
      <c r="W1496" s="3">
        <v>2014</v>
      </c>
      <c r="X1496" s="158"/>
    </row>
    <row r="1497" spans="1:24" ht="102">
      <c r="A1497" s="3" t="s">
        <v>1165</v>
      </c>
      <c r="B1497" s="6" t="s">
        <v>361</v>
      </c>
      <c r="C1497" s="6" t="s">
        <v>3927</v>
      </c>
      <c r="D1497" s="6" t="s">
        <v>3925</v>
      </c>
      <c r="E1497" s="6" t="s">
        <v>3928</v>
      </c>
      <c r="F1497" s="6" t="s">
        <v>3829</v>
      </c>
      <c r="G1497" s="3" t="s">
        <v>11449</v>
      </c>
      <c r="H1497" s="54">
        <v>0</v>
      </c>
      <c r="I1497" s="16">
        <v>470000000</v>
      </c>
      <c r="J1497" s="157" t="s">
        <v>229</v>
      </c>
      <c r="K1497" s="5" t="s">
        <v>215</v>
      </c>
      <c r="L1497" s="6" t="s">
        <v>231</v>
      </c>
      <c r="M1497" s="3" t="s">
        <v>230</v>
      </c>
      <c r="N1497" s="6" t="s">
        <v>524</v>
      </c>
      <c r="O1497" s="6" t="s">
        <v>233</v>
      </c>
      <c r="P1497" s="58" t="s">
        <v>247</v>
      </c>
      <c r="Q1497" s="6" t="s">
        <v>240</v>
      </c>
      <c r="R1497" s="18">
        <v>18</v>
      </c>
      <c r="S1497" s="2">
        <v>113688</v>
      </c>
      <c r="T1497" s="4">
        <v>0</v>
      </c>
      <c r="U1497" s="4">
        <f t="shared" si="53"/>
        <v>0</v>
      </c>
      <c r="V1497" s="3" t="s">
        <v>362</v>
      </c>
      <c r="W1497" s="3">
        <v>2014</v>
      </c>
      <c r="X1497" s="3">
        <v>11.12</v>
      </c>
    </row>
    <row r="1498" spans="1:24" ht="89.25">
      <c r="A1498" s="3" t="s">
        <v>12305</v>
      </c>
      <c r="B1498" s="6" t="s">
        <v>361</v>
      </c>
      <c r="C1498" s="6" t="s">
        <v>3927</v>
      </c>
      <c r="D1498" s="6" t="s">
        <v>3925</v>
      </c>
      <c r="E1498" s="6" t="s">
        <v>3928</v>
      </c>
      <c r="F1498" s="6" t="s">
        <v>3829</v>
      </c>
      <c r="G1498" s="3" t="s">
        <v>11449</v>
      </c>
      <c r="H1498" s="54">
        <v>0</v>
      </c>
      <c r="I1498" s="16">
        <v>470000000</v>
      </c>
      <c r="J1498" s="157" t="s">
        <v>229</v>
      </c>
      <c r="K1498" s="5" t="s">
        <v>12120</v>
      </c>
      <c r="L1498" s="17" t="s">
        <v>11411</v>
      </c>
      <c r="M1498" s="3" t="s">
        <v>230</v>
      </c>
      <c r="N1498" s="6" t="s">
        <v>524</v>
      </c>
      <c r="O1498" s="6" t="s">
        <v>233</v>
      </c>
      <c r="P1498" s="58" t="s">
        <v>247</v>
      </c>
      <c r="Q1498" s="6" t="s">
        <v>240</v>
      </c>
      <c r="R1498" s="18">
        <v>18</v>
      </c>
      <c r="S1498" s="2">
        <v>113688</v>
      </c>
      <c r="T1498" s="4">
        <v>0</v>
      </c>
      <c r="U1498" s="4">
        <f t="shared" si="53"/>
        <v>0</v>
      </c>
      <c r="V1498" s="3" t="s">
        <v>362</v>
      </c>
      <c r="W1498" s="3">
        <v>2014</v>
      </c>
      <c r="X1498" s="3" t="s">
        <v>14132</v>
      </c>
    </row>
    <row r="1499" spans="1:24" ht="89.25">
      <c r="A1499" s="3" t="s">
        <v>17996</v>
      </c>
      <c r="B1499" s="6" t="s">
        <v>361</v>
      </c>
      <c r="C1499" s="6" t="s">
        <v>3927</v>
      </c>
      <c r="D1499" s="6" t="s">
        <v>3925</v>
      </c>
      <c r="E1499" s="6" t="s">
        <v>3928</v>
      </c>
      <c r="F1499" s="6" t="s">
        <v>3829</v>
      </c>
      <c r="G1499" s="3" t="s">
        <v>11449</v>
      </c>
      <c r="H1499" s="54">
        <v>0</v>
      </c>
      <c r="I1499" s="16">
        <v>470000000</v>
      </c>
      <c r="J1499" s="157" t="s">
        <v>229</v>
      </c>
      <c r="K1499" s="5" t="s">
        <v>12120</v>
      </c>
      <c r="L1499" s="17" t="s">
        <v>11411</v>
      </c>
      <c r="M1499" s="3" t="s">
        <v>230</v>
      </c>
      <c r="N1499" s="6" t="s">
        <v>524</v>
      </c>
      <c r="O1499" s="6" t="s">
        <v>233</v>
      </c>
      <c r="P1499" s="58" t="s">
        <v>247</v>
      </c>
      <c r="Q1499" s="6" t="s">
        <v>240</v>
      </c>
      <c r="R1499" s="18">
        <v>18.850000000000001</v>
      </c>
      <c r="S1499" s="2">
        <v>108928.57</v>
      </c>
      <c r="T1499" s="4">
        <f>R1499*S1499</f>
        <v>2053303.5445000003</v>
      </c>
      <c r="U1499" s="4">
        <f t="shared" si="53"/>
        <v>2299699.9698400004</v>
      </c>
      <c r="V1499" s="3" t="s">
        <v>362</v>
      </c>
      <c r="W1499" s="3">
        <v>2014</v>
      </c>
      <c r="X1499" s="158"/>
    </row>
    <row r="1500" spans="1:24" ht="102">
      <c r="A1500" s="3" t="s">
        <v>1166</v>
      </c>
      <c r="B1500" s="6" t="s">
        <v>361</v>
      </c>
      <c r="C1500" s="6" t="s">
        <v>3927</v>
      </c>
      <c r="D1500" s="6" t="s">
        <v>3925</v>
      </c>
      <c r="E1500" s="6" t="s">
        <v>3928</v>
      </c>
      <c r="F1500" s="6" t="s">
        <v>3830</v>
      </c>
      <c r="G1500" s="3" t="s">
        <v>11449</v>
      </c>
      <c r="H1500" s="54">
        <v>0</v>
      </c>
      <c r="I1500" s="16">
        <v>470000000</v>
      </c>
      <c r="J1500" s="157" t="s">
        <v>229</v>
      </c>
      <c r="K1500" s="5" t="s">
        <v>222</v>
      </c>
      <c r="L1500" s="6" t="s">
        <v>231</v>
      </c>
      <c r="M1500" s="3" t="s">
        <v>230</v>
      </c>
      <c r="N1500" s="6" t="s">
        <v>524</v>
      </c>
      <c r="O1500" s="6" t="s">
        <v>233</v>
      </c>
      <c r="P1500" s="58" t="s">
        <v>247</v>
      </c>
      <c r="Q1500" s="6" t="s">
        <v>240</v>
      </c>
      <c r="R1500" s="18">
        <v>3</v>
      </c>
      <c r="S1500" s="2">
        <v>113688</v>
      </c>
      <c r="T1500" s="4">
        <v>0</v>
      </c>
      <c r="U1500" s="4">
        <f t="shared" si="53"/>
        <v>0</v>
      </c>
      <c r="V1500" s="3" t="s">
        <v>362</v>
      </c>
      <c r="W1500" s="3">
        <v>2014</v>
      </c>
      <c r="X1500" s="3">
        <v>11.12</v>
      </c>
    </row>
    <row r="1501" spans="1:24" ht="89.25">
      <c r="A1501" s="3" t="s">
        <v>12306</v>
      </c>
      <c r="B1501" s="6" t="s">
        <v>361</v>
      </c>
      <c r="C1501" s="6" t="s">
        <v>3927</v>
      </c>
      <c r="D1501" s="6" t="s">
        <v>3925</v>
      </c>
      <c r="E1501" s="6" t="s">
        <v>3928</v>
      </c>
      <c r="F1501" s="6" t="s">
        <v>3830</v>
      </c>
      <c r="G1501" s="3" t="s">
        <v>11449</v>
      </c>
      <c r="H1501" s="54">
        <v>0</v>
      </c>
      <c r="I1501" s="16">
        <v>470000000</v>
      </c>
      <c r="J1501" s="157" t="s">
        <v>229</v>
      </c>
      <c r="K1501" s="5" t="s">
        <v>12120</v>
      </c>
      <c r="L1501" s="17" t="s">
        <v>11411</v>
      </c>
      <c r="M1501" s="3" t="s">
        <v>230</v>
      </c>
      <c r="N1501" s="6" t="s">
        <v>524</v>
      </c>
      <c r="O1501" s="6" t="s">
        <v>233</v>
      </c>
      <c r="P1501" s="58" t="s">
        <v>247</v>
      </c>
      <c r="Q1501" s="6" t="s">
        <v>240</v>
      </c>
      <c r="R1501" s="18">
        <v>3</v>
      </c>
      <c r="S1501" s="2">
        <v>113688</v>
      </c>
      <c r="T1501" s="4">
        <v>0</v>
      </c>
      <c r="U1501" s="4">
        <f t="shared" si="53"/>
        <v>0</v>
      </c>
      <c r="V1501" s="3" t="s">
        <v>362</v>
      </c>
      <c r="W1501" s="3">
        <v>2014</v>
      </c>
      <c r="X1501" s="3" t="s">
        <v>14785</v>
      </c>
    </row>
    <row r="1502" spans="1:24" ht="89.25">
      <c r="A1502" s="3" t="s">
        <v>14786</v>
      </c>
      <c r="B1502" s="6" t="s">
        <v>361</v>
      </c>
      <c r="C1502" s="6" t="s">
        <v>3927</v>
      </c>
      <c r="D1502" s="6" t="s">
        <v>3925</v>
      </c>
      <c r="E1502" s="6" t="s">
        <v>3928</v>
      </c>
      <c r="F1502" s="6" t="s">
        <v>3830</v>
      </c>
      <c r="G1502" s="3" t="s">
        <v>11449</v>
      </c>
      <c r="H1502" s="54">
        <v>0</v>
      </c>
      <c r="I1502" s="16">
        <v>470000000</v>
      </c>
      <c r="J1502" s="157" t="s">
        <v>229</v>
      </c>
      <c r="K1502" s="5" t="s">
        <v>14764</v>
      </c>
      <c r="L1502" s="17" t="s">
        <v>11411</v>
      </c>
      <c r="M1502" s="3" t="s">
        <v>230</v>
      </c>
      <c r="N1502" s="6" t="s">
        <v>524</v>
      </c>
      <c r="O1502" s="6" t="s">
        <v>233</v>
      </c>
      <c r="P1502" s="58" t="s">
        <v>247</v>
      </c>
      <c r="Q1502" s="6" t="s">
        <v>240</v>
      </c>
      <c r="R1502" s="18">
        <v>3</v>
      </c>
      <c r="S1502" s="2">
        <v>136425.60000000001</v>
      </c>
      <c r="T1502" s="4">
        <v>0</v>
      </c>
      <c r="U1502" s="4">
        <f t="shared" si="53"/>
        <v>0</v>
      </c>
      <c r="V1502" s="3" t="s">
        <v>362</v>
      </c>
      <c r="W1502" s="3">
        <v>2014</v>
      </c>
      <c r="X1502" s="3" t="s">
        <v>17399</v>
      </c>
    </row>
    <row r="1503" spans="1:24" ht="89.25">
      <c r="A1503" s="3" t="s">
        <v>17997</v>
      </c>
      <c r="B1503" s="6" t="s">
        <v>361</v>
      </c>
      <c r="C1503" s="6" t="s">
        <v>3927</v>
      </c>
      <c r="D1503" s="6" t="s">
        <v>3925</v>
      </c>
      <c r="E1503" s="6" t="s">
        <v>3928</v>
      </c>
      <c r="F1503" s="6" t="s">
        <v>3830</v>
      </c>
      <c r="G1503" s="3" t="s">
        <v>11450</v>
      </c>
      <c r="H1503" s="54">
        <v>0</v>
      </c>
      <c r="I1503" s="16">
        <v>470000000</v>
      </c>
      <c r="J1503" s="157" t="s">
        <v>229</v>
      </c>
      <c r="K1503" s="5" t="s">
        <v>8950</v>
      </c>
      <c r="L1503" s="17" t="s">
        <v>11411</v>
      </c>
      <c r="M1503" s="3" t="s">
        <v>230</v>
      </c>
      <c r="N1503" s="6" t="s">
        <v>528</v>
      </c>
      <c r="O1503" s="6" t="s">
        <v>233</v>
      </c>
      <c r="P1503" s="58" t="s">
        <v>247</v>
      </c>
      <c r="Q1503" s="6" t="s">
        <v>240</v>
      </c>
      <c r="R1503" s="18">
        <v>3</v>
      </c>
      <c r="S1503" s="2">
        <v>136425.60000000001</v>
      </c>
      <c r="T1503" s="4">
        <f>R1503*S1503</f>
        <v>409276.80000000005</v>
      </c>
      <c r="U1503" s="4">
        <f t="shared" si="53"/>
        <v>458390.01600000012</v>
      </c>
      <c r="V1503" s="3" t="s">
        <v>362</v>
      </c>
      <c r="W1503" s="3">
        <v>2014</v>
      </c>
      <c r="X1503" s="158"/>
    </row>
    <row r="1504" spans="1:24" ht="102">
      <c r="A1504" s="3" t="s">
        <v>1167</v>
      </c>
      <c r="B1504" s="6" t="s">
        <v>361</v>
      </c>
      <c r="C1504" s="6" t="s">
        <v>3927</v>
      </c>
      <c r="D1504" s="6" t="s">
        <v>3925</v>
      </c>
      <c r="E1504" s="6" t="s">
        <v>3928</v>
      </c>
      <c r="F1504" s="6" t="s">
        <v>3831</v>
      </c>
      <c r="G1504" s="3" t="s">
        <v>11449</v>
      </c>
      <c r="H1504" s="54">
        <v>0</v>
      </c>
      <c r="I1504" s="16">
        <v>470000000</v>
      </c>
      <c r="J1504" s="157" t="s">
        <v>229</v>
      </c>
      <c r="K1504" s="5" t="s">
        <v>215</v>
      </c>
      <c r="L1504" s="6" t="s">
        <v>231</v>
      </c>
      <c r="M1504" s="3" t="s">
        <v>230</v>
      </c>
      <c r="N1504" s="6" t="s">
        <v>524</v>
      </c>
      <c r="O1504" s="6" t="s">
        <v>233</v>
      </c>
      <c r="P1504" s="58" t="s">
        <v>247</v>
      </c>
      <c r="Q1504" s="6" t="s">
        <v>240</v>
      </c>
      <c r="R1504" s="18">
        <v>25</v>
      </c>
      <c r="S1504" s="2">
        <v>113688</v>
      </c>
      <c r="T1504" s="4">
        <v>0</v>
      </c>
      <c r="U1504" s="4">
        <f t="shared" si="53"/>
        <v>0</v>
      </c>
      <c r="V1504" s="3" t="s">
        <v>362</v>
      </c>
      <c r="W1504" s="3">
        <v>2014</v>
      </c>
      <c r="X1504" s="3">
        <v>11.12</v>
      </c>
    </row>
    <row r="1505" spans="1:24" ht="89.25">
      <c r="A1505" s="3" t="s">
        <v>12307</v>
      </c>
      <c r="B1505" s="6" t="s">
        <v>361</v>
      </c>
      <c r="C1505" s="6" t="s">
        <v>3927</v>
      </c>
      <c r="D1505" s="6" t="s">
        <v>3925</v>
      </c>
      <c r="E1505" s="6" t="s">
        <v>3928</v>
      </c>
      <c r="F1505" s="6" t="s">
        <v>3831</v>
      </c>
      <c r="G1505" s="3" t="s">
        <v>11449</v>
      </c>
      <c r="H1505" s="54">
        <v>0</v>
      </c>
      <c r="I1505" s="16">
        <v>470000000</v>
      </c>
      <c r="J1505" s="157" t="s">
        <v>229</v>
      </c>
      <c r="K1505" s="5" t="s">
        <v>12120</v>
      </c>
      <c r="L1505" s="17" t="s">
        <v>11411</v>
      </c>
      <c r="M1505" s="3" t="s">
        <v>230</v>
      </c>
      <c r="N1505" s="6" t="s">
        <v>524</v>
      </c>
      <c r="O1505" s="6" t="s">
        <v>233</v>
      </c>
      <c r="P1505" s="58" t="s">
        <v>247</v>
      </c>
      <c r="Q1505" s="6" t="s">
        <v>240</v>
      </c>
      <c r="R1505" s="18">
        <v>25</v>
      </c>
      <c r="S1505" s="2">
        <v>113688</v>
      </c>
      <c r="T1505" s="4">
        <v>0</v>
      </c>
      <c r="U1505" s="4">
        <f t="shared" si="53"/>
        <v>0</v>
      </c>
      <c r="V1505" s="3" t="s">
        <v>362</v>
      </c>
      <c r="W1505" s="3">
        <v>2014</v>
      </c>
      <c r="X1505" s="3" t="s">
        <v>12051</v>
      </c>
    </row>
    <row r="1506" spans="1:24" ht="89.25">
      <c r="A1506" s="3" t="s">
        <v>14787</v>
      </c>
      <c r="B1506" s="6" t="s">
        <v>361</v>
      </c>
      <c r="C1506" s="6" t="s">
        <v>3927</v>
      </c>
      <c r="D1506" s="6" t="s">
        <v>3925</v>
      </c>
      <c r="E1506" s="6" t="s">
        <v>3928</v>
      </c>
      <c r="F1506" s="6" t="s">
        <v>3831</v>
      </c>
      <c r="G1506" s="3" t="s">
        <v>11449</v>
      </c>
      <c r="H1506" s="54">
        <v>0</v>
      </c>
      <c r="I1506" s="16">
        <v>470000000</v>
      </c>
      <c r="J1506" s="157" t="s">
        <v>229</v>
      </c>
      <c r="K1506" s="5" t="s">
        <v>14764</v>
      </c>
      <c r="L1506" s="17" t="s">
        <v>11411</v>
      </c>
      <c r="M1506" s="3" t="s">
        <v>230</v>
      </c>
      <c r="N1506" s="6" t="s">
        <v>524</v>
      </c>
      <c r="O1506" s="6" t="s">
        <v>233</v>
      </c>
      <c r="P1506" s="58" t="s">
        <v>247</v>
      </c>
      <c r="Q1506" s="6" t="s">
        <v>240</v>
      </c>
      <c r="R1506" s="18">
        <v>22</v>
      </c>
      <c r="S1506" s="2">
        <v>136425.60000000001</v>
      </c>
      <c r="T1506" s="4">
        <v>0</v>
      </c>
      <c r="U1506" s="4">
        <f t="shared" si="53"/>
        <v>0</v>
      </c>
      <c r="V1506" s="3" t="s">
        <v>362</v>
      </c>
      <c r="W1506" s="3">
        <v>2014</v>
      </c>
      <c r="X1506" s="3" t="s">
        <v>14785</v>
      </c>
    </row>
    <row r="1507" spans="1:24" ht="89.25">
      <c r="A1507" s="3" t="s">
        <v>17998</v>
      </c>
      <c r="B1507" s="6" t="s">
        <v>361</v>
      </c>
      <c r="C1507" s="6" t="s">
        <v>3927</v>
      </c>
      <c r="D1507" s="6" t="s">
        <v>3925</v>
      </c>
      <c r="E1507" s="6" t="s">
        <v>3928</v>
      </c>
      <c r="F1507" s="6" t="s">
        <v>3831</v>
      </c>
      <c r="G1507" s="3" t="s">
        <v>11449</v>
      </c>
      <c r="H1507" s="54">
        <v>0</v>
      </c>
      <c r="I1507" s="16">
        <v>470000000</v>
      </c>
      <c r="J1507" s="157" t="s">
        <v>229</v>
      </c>
      <c r="K1507" s="5" t="s">
        <v>8950</v>
      </c>
      <c r="L1507" s="17" t="s">
        <v>11411</v>
      </c>
      <c r="M1507" s="3" t="s">
        <v>230</v>
      </c>
      <c r="N1507" s="6" t="s">
        <v>524</v>
      </c>
      <c r="O1507" s="6" t="s">
        <v>233</v>
      </c>
      <c r="P1507" s="58" t="s">
        <v>247</v>
      </c>
      <c r="Q1507" s="6" t="s">
        <v>240</v>
      </c>
      <c r="R1507" s="18">
        <v>22</v>
      </c>
      <c r="S1507" s="2">
        <v>125200</v>
      </c>
      <c r="T1507" s="4">
        <f>R1507*S1507</f>
        <v>2754400</v>
      </c>
      <c r="U1507" s="4">
        <f t="shared" si="53"/>
        <v>3084928.0000000005</v>
      </c>
      <c r="V1507" s="3" t="s">
        <v>362</v>
      </c>
      <c r="W1507" s="3">
        <v>2014</v>
      </c>
      <c r="X1507" s="158"/>
    </row>
    <row r="1508" spans="1:24" ht="102">
      <c r="A1508" s="3" t="s">
        <v>1168</v>
      </c>
      <c r="B1508" s="6" t="s">
        <v>361</v>
      </c>
      <c r="C1508" s="6" t="s">
        <v>3929</v>
      </c>
      <c r="D1508" s="6" t="s">
        <v>3930</v>
      </c>
      <c r="E1508" s="6" t="s">
        <v>3931</v>
      </c>
      <c r="F1508" s="6" t="s">
        <v>3832</v>
      </c>
      <c r="G1508" s="3" t="s">
        <v>11450</v>
      </c>
      <c r="H1508" s="54">
        <v>0</v>
      </c>
      <c r="I1508" s="16">
        <v>470000000</v>
      </c>
      <c r="J1508" s="157" t="s">
        <v>229</v>
      </c>
      <c r="K1508" s="5" t="s">
        <v>210</v>
      </c>
      <c r="L1508" s="6" t="s">
        <v>231</v>
      </c>
      <c r="M1508" s="3" t="s">
        <v>230</v>
      </c>
      <c r="N1508" s="6" t="s">
        <v>524</v>
      </c>
      <c r="O1508" s="6" t="s">
        <v>233</v>
      </c>
      <c r="P1508" s="58" t="s">
        <v>247</v>
      </c>
      <c r="Q1508" s="6" t="s">
        <v>240</v>
      </c>
      <c r="R1508" s="1">
        <v>8.61</v>
      </c>
      <c r="S1508" s="2">
        <v>123458</v>
      </c>
      <c r="T1508" s="4">
        <v>0</v>
      </c>
      <c r="U1508" s="4">
        <f t="shared" si="53"/>
        <v>0</v>
      </c>
      <c r="V1508" s="3" t="s">
        <v>362</v>
      </c>
      <c r="W1508" s="3">
        <v>2014</v>
      </c>
      <c r="X1508" s="3" t="s">
        <v>12051</v>
      </c>
    </row>
    <row r="1509" spans="1:24" ht="102">
      <c r="A1509" s="3" t="s">
        <v>14788</v>
      </c>
      <c r="B1509" s="6" t="s">
        <v>361</v>
      </c>
      <c r="C1509" s="6" t="s">
        <v>3929</v>
      </c>
      <c r="D1509" s="6" t="s">
        <v>3930</v>
      </c>
      <c r="E1509" s="6" t="s">
        <v>3931</v>
      </c>
      <c r="F1509" s="6" t="s">
        <v>3832</v>
      </c>
      <c r="G1509" s="3" t="s">
        <v>11450</v>
      </c>
      <c r="H1509" s="54">
        <v>0</v>
      </c>
      <c r="I1509" s="16">
        <v>470000000</v>
      </c>
      <c r="J1509" s="157" t="s">
        <v>229</v>
      </c>
      <c r="K1509" s="5" t="s">
        <v>14764</v>
      </c>
      <c r="L1509" s="6" t="s">
        <v>231</v>
      </c>
      <c r="M1509" s="3" t="s">
        <v>230</v>
      </c>
      <c r="N1509" s="6" t="s">
        <v>524</v>
      </c>
      <c r="O1509" s="6" t="s">
        <v>233</v>
      </c>
      <c r="P1509" s="58" t="s">
        <v>247</v>
      </c>
      <c r="Q1509" s="6" t="s">
        <v>240</v>
      </c>
      <c r="R1509" s="1">
        <v>2.0569999999999999</v>
      </c>
      <c r="S1509" s="2">
        <v>148149.6</v>
      </c>
      <c r="T1509" s="4">
        <v>0</v>
      </c>
      <c r="U1509" s="4">
        <f t="shared" si="53"/>
        <v>0</v>
      </c>
      <c r="V1509" s="3" t="s">
        <v>362</v>
      </c>
      <c r="W1509" s="3">
        <v>2014</v>
      </c>
      <c r="X1509" s="3">
        <v>11.14</v>
      </c>
    </row>
    <row r="1510" spans="1:24" ht="102">
      <c r="A1510" s="3" t="s">
        <v>18055</v>
      </c>
      <c r="B1510" s="6" t="s">
        <v>361</v>
      </c>
      <c r="C1510" s="6" t="s">
        <v>3929</v>
      </c>
      <c r="D1510" s="6" t="s">
        <v>3930</v>
      </c>
      <c r="E1510" s="6" t="s">
        <v>3931</v>
      </c>
      <c r="F1510" s="6" t="s">
        <v>3832</v>
      </c>
      <c r="G1510" s="3" t="s">
        <v>11450</v>
      </c>
      <c r="H1510" s="54">
        <v>0</v>
      </c>
      <c r="I1510" s="16">
        <v>470000000</v>
      </c>
      <c r="J1510" s="157" t="s">
        <v>229</v>
      </c>
      <c r="K1510" s="5" t="s">
        <v>8950</v>
      </c>
      <c r="L1510" s="6" t="s">
        <v>231</v>
      </c>
      <c r="M1510" s="3" t="s">
        <v>230</v>
      </c>
      <c r="N1510" s="6" t="s">
        <v>528</v>
      </c>
      <c r="O1510" s="6" t="s">
        <v>233</v>
      </c>
      <c r="P1510" s="58" t="s">
        <v>247</v>
      </c>
      <c r="Q1510" s="6" t="s">
        <v>240</v>
      </c>
      <c r="R1510" s="1">
        <v>2.0569999999999999</v>
      </c>
      <c r="S1510" s="2">
        <v>148149.6</v>
      </c>
      <c r="T1510" s="4">
        <v>0</v>
      </c>
      <c r="U1510" s="4">
        <f t="shared" si="53"/>
        <v>0</v>
      </c>
      <c r="V1510" s="3" t="s">
        <v>362</v>
      </c>
      <c r="W1510" s="3">
        <v>2014</v>
      </c>
      <c r="X1510" s="3" t="s">
        <v>12076</v>
      </c>
    </row>
    <row r="1511" spans="1:24" ht="102">
      <c r="A1511" s="3" t="s">
        <v>1169</v>
      </c>
      <c r="B1511" s="6" t="s">
        <v>361</v>
      </c>
      <c r="C1511" s="6" t="s">
        <v>3919</v>
      </c>
      <c r="D1511" s="6" t="s">
        <v>3920</v>
      </c>
      <c r="E1511" s="6" t="s">
        <v>3921</v>
      </c>
      <c r="F1511" s="6" t="s">
        <v>3833</v>
      </c>
      <c r="G1511" s="3" t="s">
        <v>11450</v>
      </c>
      <c r="H1511" s="54">
        <v>0</v>
      </c>
      <c r="I1511" s="16">
        <v>470000000</v>
      </c>
      <c r="J1511" s="157" t="s">
        <v>229</v>
      </c>
      <c r="K1511" s="5" t="s">
        <v>215</v>
      </c>
      <c r="L1511" s="6" t="s">
        <v>231</v>
      </c>
      <c r="M1511" s="3" t="s">
        <v>230</v>
      </c>
      <c r="N1511" s="6" t="s">
        <v>524</v>
      </c>
      <c r="O1511" s="6" t="s">
        <v>233</v>
      </c>
      <c r="P1511" s="58" t="s">
        <v>247</v>
      </c>
      <c r="Q1511" s="6" t="s">
        <v>240</v>
      </c>
      <c r="R1511" s="18">
        <v>12</v>
      </c>
      <c r="S1511" s="2">
        <v>180706</v>
      </c>
      <c r="T1511" s="4">
        <v>0</v>
      </c>
      <c r="U1511" s="4">
        <f t="shared" si="53"/>
        <v>0</v>
      </c>
      <c r="V1511" s="3" t="s">
        <v>362</v>
      </c>
      <c r="W1511" s="3">
        <v>2014</v>
      </c>
      <c r="X1511" s="3">
        <v>11.12</v>
      </c>
    </row>
    <row r="1512" spans="1:24" ht="89.25">
      <c r="A1512" s="3" t="s">
        <v>12308</v>
      </c>
      <c r="B1512" s="6" t="s">
        <v>361</v>
      </c>
      <c r="C1512" s="6" t="s">
        <v>3919</v>
      </c>
      <c r="D1512" s="6" t="s">
        <v>3920</v>
      </c>
      <c r="E1512" s="6" t="s">
        <v>3921</v>
      </c>
      <c r="F1512" s="6" t="s">
        <v>3833</v>
      </c>
      <c r="G1512" s="3" t="s">
        <v>11450</v>
      </c>
      <c r="H1512" s="54">
        <v>0</v>
      </c>
      <c r="I1512" s="16">
        <v>470000000</v>
      </c>
      <c r="J1512" s="157" t="s">
        <v>229</v>
      </c>
      <c r="K1512" s="5" t="s">
        <v>12120</v>
      </c>
      <c r="L1512" s="17" t="s">
        <v>11411</v>
      </c>
      <c r="M1512" s="3" t="s">
        <v>230</v>
      </c>
      <c r="N1512" s="6" t="s">
        <v>524</v>
      </c>
      <c r="O1512" s="6" t="s">
        <v>233</v>
      </c>
      <c r="P1512" s="58" t="s">
        <v>247</v>
      </c>
      <c r="Q1512" s="6" t="s">
        <v>240</v>
      </c>
      <c r="R1512" s="18">
        <v>0</v>
      </c>
      <c r="S1512" s="2">
        <v>180706</v>
      </c>
      <c r="T1512" s="4">
        <f>R1512*S1512</f>
        <v>0</v>
      </c>
      <c r="U1512" s="4">
        <f t="shared" si="53"/>
        <v>0</v>
      </c>
      <c r="V1512" s="3" t="s">
        <v>362</v>
      </c>
      <c r="W1512" s="3">
        <v>2014</v>
      </c>
      <c r="X1512" s="3" t="s">
        <v>12076</v>
      </c>
    </row>
    <row r="1513" spans="1:24" ht="102">
      <c r="A1513" s="3" t="s">
        <v>1170</v>
      </c>
      <c r="B1513" s="6" t="s">
        <v>361</v>
      </c>
      <c r="C1513" s="6" t="s">
        <v>3936</v>
      </c>
      <c r="D1513" s="6" t="s">
        <v>3937</v>
      </c>
      <c r="E1513" s="6" t="s">
        <v>3938</v>
      </c>
      <c r="F1513" s="6" t="s">
        <v>3932</v>
      </c>
      <c r="G1513" s="3" t="s">
        <v>11449</v>
      </c>
      <c r="H1513" s="54">
        <v>0</v>
      </c>
      <c r="I1513" s="16">
        <v>470000000</v>
      </c>
      <c r="J1513" s="157" t="s">
        <v>229</v>
      </c>
      <c r="K1513" s="5" t="s">
        <v>214</v>
      </c>
      <c r="L1513" s="6" t="s">
        <v>231</v>
      </c>
      <c r="M1513" s="3" t="s">
        <v>230</v>
      </c>
      <c r="N1513" s="6" t="s">
        <v>524</v>
      </c>
      <c r="O1513" s="6" t="s">
        <v>233</v>
      </c>
      <c r="P1513" s="58" t="s">
        <v>250</v>
      </c>
      <c r="Q1513" s="6" t="s">
        <v>251</v>
      </c>
      <c r="R1513" s="18">
        <v>122</v>
      </c>
      <c r="S1513" s="2">
        <v>39000</v>
      </c>
      <c r="T1513" s="4">
        <v>0</v>
      </c>
      <c r="U1513" s="4">
        <f t="shared" si="53"/>
        <v>0</v>
      </c>
      <c r="V1513" s="3" t="s">
        <v>362</v>
      </c>
      <c r="W1513" s="3">
        <v>2014</v>
      </c>
      <c r="X1513" s="3" t="s">
        <v>12316</v>
      </c>
    </row>
    <row r="1514" spans="1:24" ht="89.25">
      <c r="A1514" s="3" t="s">
        <v>12309</v>
      </c>
      <c r="B1514" s="6" t="s">
        <v>361</v>
      </c>
      <c r="C1514" s="6" t="s">
        <v>3936</v>
      </c>
      <c r="D1514" s="6" t="s">
        <v>3937</v>
      </c>
      <c r="E1514" s="6" t="s">
        <v>3938</v>
      </c>
      <c r="F1514" s="6" t="s">
        <v>3932</v>
      </c>
      <c r="G1514" s="3" t="s">
        <v>11449</v>
      </c>
      <c r="H1514" s="54">
        <v>0</v>
      </c>
      <c r="I1514" s="16">
        <v>470000000</v>
      </c>
      <c r="J1514" s="157" t="s">
        <v>229</v>
      </c>
      <c r="K1514" s="5" t="s">
        <v>12120</v>
      </c>
      <c r="L1514" s="17" t="s">
        <v>11411</v>
      </c>
      <c r="M1514" s="3" t="s">
        <v>230</v>
      </c>
      <c r="N1514" s="6" t="s">
        <v>12315</v>
      </c>
      <c r="O1514" s="6" t="s">
        <v>233</v>
      </c>
      <c r="P1514" s="58" t="s">
        <v>250</v>
      </c>
      <c r="Q1514" s="6" t="s">
        <v>251</v>
      </c>
      <c r="R1514" s="18">
        <v>122</v>
      </c>
      <c r="S1514" s="2">
        <v>39000</v>
      </c>
      <c r="T1514" s="4">
        <v>0</v>
      </c>
      <c r="U1514" s="4">
        <f t="shared" si="53"/>
        <v>0</v>
      </c>
      <c r="V1514" s="3"/>
      <c r="W1514" s="3">
        <v>2014</v>
      </c>
      <c r="X1514" s="3" t="s">
        <v>12051</v>
      </c>
    </row>
    <row r="1515" spans="1:24" ht="89.25">
      <c r="A1515" s="3" t="s">
        <v>14789</v>
      </c>
      <c r="B1515" s="6" t="s">
        <v>361</v>
      </c>
      <c r="C1515" s="6" t="s">
        <v>3936</v>
      </c>
      <c r="D1515" s="6" t="s">
        <v>3937</v>
      </c>
      <c r="E1515" s="6" t="s">
        <v>3938</v>
      </c>
      <c r="F1515" s="6" t="s">
        <v>3932</v>
      </c>
      <c r="G1515" s="3" t="s">
        <v>11449</v>
      </c>
      <c r="H1515" s="54">
        <v>0</v>
      </c>
      <c r="I1515" s="16">
        <v>470000000</v>
      </c>
      <c r="J1515" s="157" t="s">
        <v>229</v>
      </c>
      <c r="K1515" s="5" t="s">
        <v>14764</v>
      </c>
      <c r="L1515" s="17" t="s">
        <v>11411</v>
      </c>
      <c r="M1515" s="3" t="s">
        <v>230</v>
      </c>
      <c r="N1515" s="6" t="s">
        <v>12315</v>
      </c>
      <c r="O1515" s="6" t="s">
        <v>233</v>
      </c>
      <c r="P1515" s="58" t="s">
        <v>250</v>
      </c>
      <c r="Q1515" s="6" t="s">
        <v>251</v>
      </c>
      <c r="R1515" s="18">
        <v>73.180000000000007</v>
      </c>
      <c r="S1515" s="2">
        <v>46800</v>
      </c>
      <c r="T1515" s="4">
        <v>0</v>
      </c>
      <c r="U1515" s="4">
        <f t="shared" si="53"/>
        <v>0</v>
      </c>
      <c r="V1515" s="3"/>
      <c r="W1515" s="3">
        <v>2014</v>
      </c>
      <c r="X1515" s="3" t="s">
        <v>17419</v>
      </c>
    </row>
    <row r="1516" spans="1:24" ht="89.25">
      <c r="A1516" s="3" t="s">
        <v>17938</v>
      </c>
      <c r="B1516" s="6" t="s">
        <v>361</v>
      </c>
      <c r="C1516" s="6" t="s">
        <v>3936</v>
      </c>
      <c r="D1516" s="6" t="s">
        <v>3937</v>
      </c>
      <c r="E1516" s="6" t="s">
        <v>3938</v>
      </c>
      <c r="F1516" s="6" t="s">
        <v>3932</v>
      </c>
      <c r="G1516" s="3" t="s">
        <v>11450</v>
      </c>
      <c r="H1516" s="54">
        <v>0</v>
      </c>
      <c r="I1516" s="16">
        <v>470000000</v>
      </c>
      <c r="J1516" s="157" t="s">
        <v>229</v>
      </c>
      <c r="K1516" s="5" t="s">
        <v>222</v>
      </c>
      <c r="L1516" s="17" t="s">
        <v>11411</v>
      </c>
      <c r="M1516" s="3" t="s">
        <v>230</v>
      </c>
      <c r="N1516" s="6" t="s">
        <v>8914</v>
      </c>
      <c r="O1516" s="6" t="s">
        <v>233</v>
      </c>
      <c r="P1516" s="58" t="s">
        <v>250</v>
      </c>
      <c r="Q1516" s="6" t="s">
        <v>251</v>
      </c>
      <c r="R1516" s="18">
        <v>80.959999999999994</v>
      </c>
      <c r="S1516" s="2">
        <v>46800</v>
      </c>
      <c r="T1516" s="4">
        <v>0</v>
      </c>
      <c r="U1516" s="4">
        <f t="shared" si="53"/>
        <v>0</v>
      </c>
      <c r="V1516" s="3"/>
      <c r="W1516" s="3">
        <v>2014</v>
      </c>
      <c r="X1516" s="345" t="s">
        <v>19076</v>
      </c>
    </row>
    <row r="1517" spans="1:24" ht="76.5">
      <c r="A1517" s="3" t="s">
        <v>19629</v>
      </c>
      <c r="B1517" s="6" t="s">
        <v>361</v>
      </c>
      <c r="C1517" s="6" t="s">
        <v>3936</v>
      </c>
      <c r="D1517" s="6" t="s">
        <v>3937</v>
      </c>
      <c r="E1517" s="6" t="s">
        <v>3938</v>
      </c>
      <c r="F1517" s="6" t="s">
        <v>3932</v>
      </c>
      <c r="G1517" s="3" t="s">
        <v>11450</v>
      </c>
      <c r="H1517" s="54">
        <v>0.2</v>
      </c>
      <c r="I1517" s="16">
        <v>470000000</v>
      </c>
      <c r="J1517" s="157" t="s">
        <v>229</v>
      </c>
      <c r="K1517" s="5" t="s">
        <v>9956</v>
      </c>
      <c r="L1517" s="17" t="s">
        <v>11411</v>
      </c>
      <c r="M1517" s="3" t="s">
        <v>230</v>
      </c>
      <c r="N1517" s="6" t="s">
        <v>528</v>
      </c>
      <c r="O1517" s="6" t="s">
        <v>19545</v>
      </c>
      <c r="P1517" s="58" t="s">
        <v>250</v>
      </c>
      <c r="Q1517" s="6" t="s">
        <v>251</v>
      </c>
      <c r="R1517" s="18">
        <v>101.5</v>
      </c>
      <c r="S1517" s="2">
        <v>46800</v>
      </c>
      <c r="T1517" s="4">
        <f>R1517*S1517</f>
        <v>4750200</v>
      </c>
      <c r="U1517" s="4">
        <f t="shared" si="53"/>
        <v>5320224.0000000009</v>
      </c>
      <c r="V1517" s="3" t="s">
        <v>362</v>
      </c>
      <c r="W1517" s="3">
        <v>2014</v>
      </c>
      <c r="X1517" s="158"/>
    </row>
    <row r="1518" spans="1:24" ht="102">
      <c r="A1518" s="3" t="s">
        <v>1171</v>
      </c>
      <c r="B1518" s="6" t="s">
        <v>361</v>
      </c>
      <c r="C1518" s="6" t="s">
        <v>3936</v>
      </c>
      <c r="D1518" s="6" t="s">
        <v>3937</v>
      </c>
      <c r="E1518" s="6" t="s">
        <v>3938</v>
      </c>
      <c r="F1518" s="6" t="s">
        <v>7706</v>
      </c>
      <c r="G1518" s="3" t="s">
        <v>11449</v>
      </c>
      <c r="H1518" s="54">
        <v>0</v>
      </c>
      <c r="I1518" s="16">
        <v>470000000</v>
      </c>
      <c r="J1518" s="157" t="s">
        <v>229</v>
      </c>
      <c r="K1518" s="5" t="s">
        <v>215</v>
      </c>
      <c r="L1518" s="6" t="s">
        <v>231</v>
      </c>
      <c r="M1518" s="3" t="s">
        <v>230</v>
      </c>
      <c r="N1518" s="6" t="s">
        <v>524</v>
      </c>
      <c r="O1518" s="6" t="s">
        <v>233</v>
      </c>
      <c r="P1518" s="58" t="s">
        <v>250</v>
      </c>
      <c r="Q1518" s="6" t="s">
        <v>251</v>
      </c>
      <c r="R1518" s="1">
        <v>198</v>
      </c>
      <c r="S1518" s="2">
        <v>39000</v>
      </c>
      <c r="T1518" s="4">
        <v>0</v>
      </c>
      <c r="U1518" s="4">
        <f t="shared" si="53"/>
        <v>0</v>
      </c>
      <c r="V1518" s="3" t="s">
        <v>362</v>
      </c>
      <c r="W1518" s="3">
        <v>2014</v>
      </c>
      <c r="X1518" s="3" t="s">
        <v>12316</v>
      </c>
    </row>
    <row r="1519" spans="1:24" ht="89.25">
      <c r="A1519" s="3" t="s">
        <v>12310</v>
      </c>
      <c r="B1519" s="6" t="s">
        <v>361</v>
      </c>
      <c r="C1519" s="6" t="s">
        <v>3936</v>
      </c>
      <c r="D1519" s="6" t="s">
        <v>3937</v>
      </c>
      <c r="E1519" s="6" t="s">
        <v>3938</v>
      </c>
      <c r="F1519" s="6" t="s">
        <v>7706</v>
      </c>
      <c r="G1519" s="3" t="s">
        <v>11449</v>
      </c>
      <c r="H1519" s="54">
        <v>0</v>
      </c>
      <c r="I1519" s="16">
        <v>470000000</v>
      </c>
      <c r="J1519" s="157" t="s">
        <v>229</v>
      </c>
      <c r="K1519" s="5" t="s">
        <v>12120</v>
      </c>
      <c r="L1519" s="17" t="s">
        <v>11411</v>
      </c>
      <c r="M1519" s="3" t="s">
        <v>230</v>
      </c>
      <c r="N1519" s="6" t="s">
        <v>12315</v>
      </c>
      <c r="O1519" s="6" t="s">
        <v>233</v>
      </c>
      <c r="P1519" s="58" t="s">
        <v>250</v>
      </c>
      <c r="Q1519" s="6" t="s">
        <v>251</v>
      </c>
      <c r="R1519" s="1">
        <v>198</v>
      </c>
      <c r="S1519" s="2">
        <v>39000</v>
      </c>
      <c r="T1519" s="4">
        <v>0</v>
      </c>
      <c r="U1519" s="4">
        <f t="shared" si="53"/>
        <v>0</v>
      </c>
      <c r="V1519" s="3"/>
      <c r="W1519" s="3">
        <v>2014</v>
      </c>
      <c r="X1519" s="3" t="s">
        <v>11811</v>
      </c>
    </row>
    <row r="1520" spans="1:24" ht="89.25">
      <c r="A1520" s="3" t="s">
        <v>14203</v>
      </c>
      <c r="B1520" s="6" t="s">
        <v>361</v>
      </c>
      <c r="C1520" s="6" t="s">
        <v>14204</v>
      </c>
      <c r="D1520" s="6" t="s">
        <v>3937</v>
      </c>
      <c r="E1520" s="6" t="s">
        <v>14205</v>
      </c>
      <c r="F1520" s="6" t="s">
        <v>7706</v>
      </c>
      <c r="G1520" s="3" t="s">
        <v>11449</v>
      </c>
      <c r="H1520" s="54">
        <v>0</v>
      </c>
      <c r="I1520" s="16">
        <v>470000000</v>
      </c>
      <c r="J1520" s="157" t="s">
        <v>229</v>
      </c>
      <c r="K1520" s="5" t="s">
        <v>12120</v>
      </c>
      <c r="L1520" s="17" t="s">
        <v>11411</v>
      </c>
      <c r="M1520" s="3" t="s">
        <v>230</v>
      </c>
      <c r="N1520" s="6" t="s">
        <v>12315</v>
      </c>
      <c r="O1520" s="6" t="s">
        <v>233</v>
      </c>
      <c r="P1520" s="58" t="s">
        <v>250</v>
      </c>
      <c r="Q1520" s="6" t="s">
        <v>251</v>
      </c>
      <c r="R1520" s="1">
        <v>198</v>
      </c>
      <c r="S1520" s="2">
        <v>39000</v>
      </c>
      <c r="T1520" s="4">
        <v>0</v>
      </c>
      <c r="U1520" s="4">
        <f t="shared" si="53"/>
        <v>0</v>
      </c>
      <c r="V1520" s="3"/>
      <c r="W1520" s="3">
        <v>2014</v>
      </c>
      <c r="X1520" s="3" t="s">
        <v>14588</v>
      </c>
    </row>
    <row r="1521" spans="1:24" ht="89.25">
      <c r="A1521" s="3" t="s">
        <v>14790</v>
      </c>
      <c r="B1521" s="6" t="s">
        <v>361</v>
      </c>
      <c r="C1521" s="6" t="s">
        <v>14204</v>
      </c>
      <c r="D1521" s="6" t="s">
        <v>3937</v>
      </c>
      <c r="E1521" s="6" t="s">
        <v>14205</v>
      </c>
      <c r="F1521" s="6" t="s">
        <v>7706</v>
      </c>
      <c r="G1521" s="3" t="s">
        <v>11449</v>
      </c>
      <c r="H1521" s="54">
        <v>0</v>
      </c>
      <c r="I1521" s="16">
        <v>470000000</v>
      </c>
      <c r="J1521" s="157" t="s">
        <v>229</v>
      </c>
      <c r="K1521" s="5" t="s">
        <v>14791</v>
      </c>
      <c r="L1521" s="17" t="s">
        <v>11411</v>
      </c>
      <c r="M1521" s="3" t="s">
        <v>230</v>
      </c>
      <c r="N1521" s="6" t="s">
        <v>12315</v>
      </c>
      <c r="O1521" s="6" t="s">
        <v>233</v>
      </c>
      <c r="P1521" s="58" t="s">
        <v>250</v>
      </c>
      <c r="Q1521" s="6" t="s">
        <v>251</v>
      </c>
      <c r="R1521" s="1">
        <v>92.21</v>
      </c>
      <c r="S1521" s="2">
        <v>46800</v>
      </c>
      <c r="T1521" s="4">
        <v>0</v>
      </c>
      <c r="U1521" s="4">
        <f t="shared" si="53"/>
        <v>0</v>
      </c>
      <c r="V1521" s="3"/>
      <c r="W1521" s="3">
        <v>2014</v>
      </c>
      <c r="X1521" s="3" t="s">
        <v>17419</v>
      </c>
    </row>
    <row r="1522" spans="1:24" ht="89.25">
      <c r="A1522" s="3" t="s">
        <v>17939</v>
      </c>
      <c r="B1522" s="6" t="s">
        <v>361</v>
      </c>
      <c r="C1522" s="6" t="s">
        <v>14204</v>
      </c>
      <c r="D1522" s="6" t="s">
        <v>3937</v>
      </c>
      <c r="E1522" s="6" t="s">
        <v>14205</v>
      </c>
      <c r="F1522" s="6" t="s">
        <v>7706</v>
      </c>
      <c r="G1522" s="3" t="s">
        <v>11450</v>
      </c>
      <c r="H1522" s="54">
        <v>0</v>
      </c>
      <c r="I1522" s="16">
        <v>470000000</v>
      </c>
      <c r="J1522" s="157" t="s">
        <v>229</v>
      </c>
      <c r="K1522" s="5" t="s">
        <v>222</v>
      </c>
      <c r="L1522" s="17" t="s">
        <v>11411</v>
      </c>
      <c r="M1522" s="3" t="s">
        <v>230</v>
      </c>
      <c r="N1522" s="6" t="s">
        <v>8914</v>
      </c>
      <c r="O1522" s="6" t="s">
        <v>233</v>
      </c>
      <c r="P1522" s="58" t="s">
        <v>250</v>
      </c>
      <c r="Q1522" s="6" t="s">
        <v>251</v>
      </c>
      <c r="R1522" s="1">
        <v>95.21</v>
      </c>
      <c r="S1522" s="2">
        <v>46800</v>
      </c>
      <c r="T1522" s="4">
        <f>R1522*S1522</f>
        <v>4455828</v>
      </c>
      <c r="U1522" s="4">
        <f t="shared" si="53"/>
        <v>4990527.3600000003</v>
      </c>
      <c r="V1522" s="3"/>
      <c r="W1522" s="3">
        <v>2014</v>
      </c>
      <c r="X1522" s="3"/>
    </row>
    <row r="1523" spans="1:24" ht="102">
      <c r="A1523" s="3" t="s">
        <v>1172</v>
      </c>
      <c r="B1523" s="6" t="s">
        <v>361</v>
      </c>
      <c r="C1523" s="6" t="s">
        <v>3939</v>
      </c>
      <c r="D1523" s="6" t="s">
        <v>3937</v>
      </c>
      <c r="E1523" s="6" t="s">
        <v>3940</v>
      </c>
      <c r="F1523" s="6" t="s">
        <v>3933</v>
      </c>
      <c r="G1523" s="3" t="s">
        <v>11449</v>
      </c>
      <c r="H1523" s="54">
        <v>0</v>
      </c>
      <c r="I1523" s="16">
        <v>470000000</v>
      </c>
      <c r="J1523" s="157" t="s">
        <v>229</v>
      </c>
      <c r="K1523" s="5" t="s">
        <v>211</v>
      </c>
      <c r="L1523" s="6" t="s">
        <v>231</v>
      </c>
      <c r="M1523" s="3" t="s">
        <v>230</v>
      </c>
      <c r="N1523" s="6" t="s">
        <v>524</v>
      </c>
      <c r="O1523" s="6" t="s">
        <v>233</v>
      </c>
      <c r="P1523" s="58" t="s">
        <v>250</v>
      </c>
      <c r="Q1523" s="6" t="s">
        <v>251</v>
      </c>
      <c r="R1523" s="1">
        <v>41</v>
      </c>
      <c r="S1523" s="2">
        <v>41750</v>
      </c>
      <c r="T1523" s="4">
        <v>0</v>
      </c>
      <c r="U1523" s="4">
        <f t="shared" si="53"/>
        <v>0</v>
      </c>
      <c r="V1523" s="3" t="s">
        <v>362</v>
      </c>
      <c r="W1523" s="3">
        <v>2014</v>
      </c>
      <c r="X1523" s="3">
        <v>11.12</v>
      </c>
    </row>
    <row r="1524" spans="1:24" ht="89.25">
      <c r="A1524" s="3" t="s">
        <v>11970</v>
      </c>
      <c r="B1524" s="6" t="s">
        <v>361</v>
      </c>
      <c r="C1524" s="6" t="s">
        <v>3939</v>
      </c>
      <c r="D1524" s="6" t="s">
        <v>3937</v>
      </c>
      <c r="E1524" s="6" t="s">
        <v>3940</v>
      </c>
      <c r="F1524" s="6" t="s">
        <v>3933</v>
      </c>
      <c r="G1524" s="3" t="s">
        <v>11449</v>
      </c>
      <c r="H1524" s="54">
        <v>0</v>
      </c>
      <c r="I1524" s="16">
        <v>470000000</v>
      </c>
      <c r="J1524" s="157" t="s">
        <v>229</v>
      </c>
      <c r="K1524" s="5" t="s">
        <v>209</v>
      </c>
      <c r="L1524" s="17" t="s">
        <v>11411</v>
      </c>
      <c r="M1524" s="3" t="s">
        <v>230</v>
      </c>
      <c r="N1524" s="6" t="s">
        <v>524</v>
      </c>
      <c r="O1524" s="6" t="s">
        <v>233</v>
      </c>
      <c r="P1524" s="58" t="s">
        <v>250</v>
      </c>
      <c r="Q1524" s="6" t="s">
        <v>251</v>
      </c>
      <c r="R1524" s="1">
        <v>41</v>
      </c>
      <c r="S1524" s="2">
        <v>41750</v>
      </c>
      <c r="T1524" s="4">
        <v>0</v>
      </c>
      <c r="U1524" s="4">
        <f t="shared" si="53"/>
        <v>0</v>
      </c>
      <c r="V1524" s="3" t="s">
        <v>362</v>
      </c>
      <c r="W1524" s="3">
        <v>2014</v>
      </c>
      <c r="X1524" s="3" t="s">
        <v>12318</v>
      </c>
    </row>
    <row r="1525" spans="1:24" ht="89.25">
      <c r="A1525" s="3" t="s">
        <v>12317</v>
      </c>
      <c r="B1525" s="6" t="s">
        <v>361</v>
      </c>
      <c r="C1525" s="6" t="s">
        <v>3939</v>
      </c>
      <c r="D1525" s="6" t="s">
        <v>3937</v>
      </c>
      <c r="E1525" s="6" t="s">
        <v>3940</v>
      </c>
      <c r="F1525" s="6" t="s">
        <v>3933</v>
      </c>
      <c r="G1525" s="3" t="s">
        <v>11449</v>
      </c>
      <c r="H1525" s="54">
        <v>0</v>
      </c>
      <c r="I1525" s="16">
        <v>470000000</v>
      </c>
      <c r="J1525" s="157" t="s">
        <v>229</v>
      </c>
      <c r="K1525" s="5" t="s">
        <v>12120</v>
      </c>
      <c r="L1525" s="17" t="s">
        <v>11411</v>
      </c>
      <c r="M1525" s="3" t="s">
        <v>230</v>
      </c>
      <c r="N1525" s="6" t="s">
        <v>12315</v>
      </c>
      <c r="O1525" s="6" t="s">
        <v>233</v>
      </c>
      <c r="P1525" s="58" t="s">
        <v>250</v>
      </c>
      <c r="Q1525" s="6" t="s">
        <v>251</v>
      </c>
      <c r="R1525" s="1">
        <v>41</v>
      </c>
      <c r="S1525" s="2">
        <v>41750</v>
      </c>
      <c r="T1525" s="4">
        <v>0</v>
      </c>
      <c r="U1525" s="4">
        <f t="shared" si="53"/>
        <v>0</v>
      </c>
      <c r="V1525" s="3"/>
      <c r="W1525" s="3">
        <v>2014</v>
      </c>
      <c r="X1525" s="3" t="s">
        <v>14588</v>
      </c>
    </row>
    <row r="1526" spans="1:24" ht="89.25">
      <c r="A1526" s="3" t="s">
        <v>14792</v>
      </c>
      <c r="B1526" s="6" t="s">
        <v>361</v>
      </c>
      <c r="C1526" s="6" t="s">
        <v>3939</v>
      </c>
      <c r="D1526" s="6" t="s">
        <v>3937</v>
      </c>
      <c r="E1526" s="6" t="s">
        <v>3940</v>
      </c>
      <c r="F1526" s="6" t="s">
        <v>3933</v>
      </c>
      <c r="G1526" s="3" t="s">
        <v>11449</v>
      </c>
      <c r="H1526" s="54">
        <v>0</v>
      </c>
      <c r="I1526" s="16">
        <v>470000000</v>
      </c>
      <c r="J1526" s="157" t="s">
        <v>229</v>
      </c>
      <c r="K1526" s="5" t="s">
        <v>14793</v>
      </c>
      <c r="L1526" s="17" t="s">
        <v>11411</v>
      </c>
      <c r="M1526" s="3" t="s">
        <v>230</v>
      </c>
      <c r="N1526" s="6" t="s">
        <v>12315</v>
      </c>
      <c r="O1526" s="6" t="s">
        <v>233</v>
      </c>
      <c r="P1526" s="58" t="s">
        <v>250</v>
      </c>
      <c r="Q1526" s="6" t="s">
        <v>251</v>
      </c>
      <c r="R1526" s="1">
        <v>41</v>
      </c>
      <c r="S1526" s="2">
        <v>50100</v>
      </c>
      <c r="T1526" s="4">
        <v>0</v>
      </c>
      <c r="U1526" s="4">
        <f t="shared" si="53"/>
        <v>0</v>
      </c>
      <c r="V1526" s="3"/>
      <c r="W1526" s="3">
        <v>2014</v>
      </c>
      <c r="X1526" s="3" t="s">
        <v>17419</v>
      </c>
    </row>
    <row r="1527" spans="1:24" ht="89.25">
      <c r="A1527" s="3" t="s">
        <v>17940</v>
      </c>
      <c r="B1527" s="6" t="s">
        <v>361</v>
      </c>
      <c r="C1527" s="6" t="s">
        <v>3939</v>
      </c>
      <c r="D1527" s="6" t="s">
        <v>3937</v>
      </c>
      <c r="E1527" s="6" t="s">
        <v>3940</v>
      </c>
      <c r="F1527" s="6" t="s">
        <v>3933</v>
      </c>
      <c r="G1527" s="3" t="s">
        <v>11450</v>
      </c>
      <c r="H1527" s="54">
        <v>0</v>
      </c>
      <c r="I1527" s="16">
        <v>470000000</v>
      </c>
      <c r="J1527" s="157" t="s">
        <v>229</v>
      </c>
      <c r="K1527" s="5" t="s">
        <v>222</v>
      </c>
      <c r="L1527" s="17" t="s">
        <v>11411</v>
      </c>
      <c r="M1527" s="3" t="s">
        <v>230</v>
      </c>
      <c r="N1527" s="6" t="s">
        <v>8914</v>
      </c>
      <c r="O1527" s="6" t="s">
        <v>233</v>
      </c>
      <c r="P1527" s="58" t="s">
        <v>250</v>
      </c>
      <c r="Q1527" s="6" t="s">
        <v>251</v>
      </c>
      <c r="R1527" s="1">
        <v>42.56</v>
      </c>
      <c r="S1527" s="2">
        <v>50100</v>
      </c>
      <c r="T1527" s="4">
        <f>R1527*S1527</f>
        <v>2132256</v>
      </c>
      <c r="U1527" s="4">
        <f t="shared" si="53"/>
        <v>2388126.7200000002</v>
      </c>
      <c r="V1527" s="3"/>
      <c r="W1527" s="3">
        <v>2014</v>
      </c>
      <c r="X1527" s="3"/>
    </row>
    <row r="1528" spans="1:24" ht="102">
      <c r="A1528" s="3" t="s">
        <v>1173</v>
      </c>
      <c r="B1528" s="6" t="s">
        <v>361</v>
      </c>
      <c r="C1528" s="6" t="s">
        <v>3941</v>
      </c>
      <c r="D1528" s="6" t="s">
        <v>3937</v>
      </c>
      <c r="E1528" s="6" t="s">
        <v>3942</v>
      </c>
      <c r="F1528" s="6" t="s">
        <v>3934</v>
      </c>
      <c r="G1528" s="3" t="s">
        <v>11449</v>
      </c>
      <c r="H1528" s="54">
        <v>0</v>
      </c>
      <c r="I1528" s="16">
        <v>470000000</v>
      </c>
      <c r="J1528" s="157" t="s">
        <v>229</v>
      </c>
      <c r="K1528" s="5" t="s">
        <v>211</v>
      </c>
      <c r="L1528" s="6" t="s">
        <v>231</v>
      </c>
      <c r="M1528" s="3" t="s">
        <v>230</v>
      </c>
      <c r="N1528" s="6" t="s">
        <v>524</v>
      </c>
      <c r="O1528" s="6" t="s">
        <v>233</v>
      </c>
      <c r="P1528" s="58" t="s">
        <v>250</v>
      </c>
      <c r="Q1528" s="6" t="s">
        <v>251</v>
      </c>
      <c r="R1528" s="1">
        <v>58</v>
      </c>
      <c r="S1528" s="2">
        <v>41750</v>
      </c>
      <c r="T1528" s="4">
        <v>0</v>
      </c>
      <c r="U1528" s="4">
        <f t="shared" si="53"/>
        <v>0</v>
      </c>
      <c r="V1528" s="3" t="s">
        <v>362</v>
      </c>
      <c r="W1528" s="3">
        <v>2014</v>
      </c>
      <c r="X1528" s="3" t="s">
        <v>12076</v>
      </c>
    </row>
    <row r="1529" spans="1:24" ht="102">
      <c r="A1529" s="3" t="s">
        <v>1174</v>
      </c>
      <c r="B1529" s="6" t="s">
        <v>361</v>
      </c>
      <c r="C1529" s="6" t="s">
        <v>3936</v>
      </c>
      <c r="D1529" s="6" t="s">
        <v>3937</v>
      </c>
      <c r="E1529" s="6" t="s">
        <v>3938</v>
      </c>
      <c r="F1529" s="6" t="s">
        <v>3935</v>
      </c>
      <c r="G1529" s="3" t="s">
        <v>11449</v>
      </c>
      <c r="H1529" s="54">
        <v>0</v>
      </c>
      <c r="I1529" s="16">
        <v>470000000</v>
      </c>
      <c r="J1529" s="157" t="s">
        <v>229</v>
      </c>
      <c r="K1529" s="5" t="s">
        <v>211</v>
      </c>
      <c r="L1529" s="6" t="s">
        <v>231</v>
      </c>
      <c r="M1529" s="3" t="s">
        <v>230</v>
      </c>
      <c r="N1529" s="6" t="s">
        <v>524</v>
      </c>
      <c r="O1529" s="6" t="s">
        <v>233</v>
      </c>
      <c r="P1529" s="58" t="s">
        <v>250</v>
      </c>
      <c r="Q1529" s="6" t="s">
        <v>251</v>
      </c>
      <c r="R1529" s="1">
        <v>10</v>
      </c>
      <c r="S1529" s="2">
        <v>44400</v>
      </c>
      <c r="T1529" s="4">
        <v>0</v>
      </c>
      <c r="U1529" s="4">
        <f t="shared" si="53"/>
        <v>0</v>
      </c>
      <c r="V1529" s="3" t="s">
        <v>362</v>
      </c>
      <c r="W1529" s="3">
        <v>2014</v>
      </c>
      <c r="X1529" s="3" t="s">
        <v>11811</v>
      </c>
    </row>
    <row r="1530" spans="1:24" ht="102">
      <c r="A1530" s="3" t="s">
        <v>14208</v>
      </c>
      <c r="B1530" s="6" t="s">
        <v>361</v>
      </c>
      <c r="C1530" s="6" t="s">
        <v>14209</v>
      </c>
      <c r="D1530" s="3" t="s">
        <v>14210</v>
      </c>
      <c r="E1530" s="6" t="s">
        <v>14211</v>
      </c>
      <c r="F1530" s="6" t="s">
        <v>3935</v>
      </c>
      <c r="G1530" s="3" t="s">
        <v>11449</v>
      </c>
      <c r="H1530" s="54">
        <v>0</v>
      </c>
      <c r="I1530" s="16">
        <v>470000000</v>
      </c>
      <c r="J1530" s="157" t="s">
        <v>229</v>
      </c>
      <c r="K1530" s="5" t="s">
        <v>211</v>
      </c>
      <c r="L1530" s="6" t="s">
        <v>231</v>
      </c>
      <c r="M1530" s="3" t="s">
        <v>230</v>
      </c>
      <c r="N1530" s="6" t="s">
        <v>524</v>
      </c>
      <c r="O1530" s="6" t="s">
        <v>233</v>
      </c>
      <c r="P1530" s="58" t="s">
        <v>250</v>
      </c>
      <c r="Q1530" s="6" t="s">
        <v>251</v>
      </c>
      <c r="R1530" s="1">
        <v>10</v>
      </c>
      <c r="S1530" s="2">
        <v>44400</v>
      </c>
      <c r="T1530" s="4">
        <v>0</v>
      </c>
      <c r="U1530" s="4">
        <f t="shared" si="53"/>
        <v>0</v>
      </c>
      <c r="V1530" s="3" t="s">
        <v>362</v>
      </c>
      <c r="W1530" s="3">
        <v>2014</v>
      </c>
      <c r="X1530" s="3" t="s">
        <v>12076</v>
      </c>
    </row>
    <row r="1531" spans="1:24" ht="102">
      <c r="A1531" s="3" t="s">
        <v>1175</v>
      </c>
      <c r="B1531" s="6" t="s">
        <v>361</v>
      </c>
      <c r="C1531" s="6" t="s">
        <v>3966</v>
      </c>
      <c r="D1531" s="6" t="s">
        <v>3967</v>
      </c>
      <c r="E1531" s="6" t="s">
        <v>3968</v>
      </c>
      <c r="F1531" s="6" t="s">
        <v>3943</v>
      </c>
      <c r="G1531" s="3" t="s">
        <v>11449</v>
      </c>
      <c r="H1531" s="54">
        <v>0</v>
      </c>
      <c r="I1531" s="16">
        <v>470000000</v>
      </c>
      <c r="J1531" s="157" t="s">
        <v>229</v>
      </c>
      <c r="K1531" s="5" t="s">
        <v>211</v>
      </c>
      <c r="L1531" s="6" t="s">
        <v>231</v>
      </c>
      <c r="M1531" s="3" t="s">
        <v>230</v>
      </c>
      <c r="N1531" s="6" t="s">
        <v>7685</v>
      </c>
      <c r="O1531" s="6" t="s">
        <v>233</v>
      </c>
      <c r="P1531" s="58" t="s">
        <v>248</v>
      </c>
      <c r="Q1531" s="6" t="s">
        <v>249</v>
      </c>
      <c r="R1531" s="1">
        <v>1100</v>
      </c>
      <c r="S1531" s="2">
        <v>13110</v>
      </c>
      <c r="T1531" s="4">
        <v>0</v>
      </c>
      <c r="U1531" s="4">
        <f t="shared" si="53"/>
        <v>0</v>
      </c>
      <c r="V1531" s="3" t="s">
        <v>362</v>
      </c>
      <c r="W1531" s="3">
        <v>2014</v>
      </c>
      <c r="X1531" s="3">
        <v>11.12</v>
      </c>
    </row>
    <row r="1532" spans="1:24" ht="89.25">
      <c r="A1532" s="3" t="s">
        <v>12311</v>
      </c>
      <c r="B1532" s="6" t="s">
        <v>361</v>
      </c>
      <c r="C1532" s="6" t="s">
        <v>3966</v>
      </c>
      <c r="D1532" s="6" t="s">
        <v>3967</v>
      </c>
      <c r="E1532" s="6" t="s">
        <v>3968</v>
      </c>
      <c r="F1532" s="6" t="s">
        <v>3943</v>
      </c>
      <c r="G1532" s="3" t="s">
        <v>11449</v>
      </c>
      <c r="H1532" s="54">
        <v>0</v>
      </c>
      <c r="I1532" s="16">
        <v>470000000</v>
      </c>
      <c r="J1532" s="157" t="s">
        <v>229</v>
      </c>
      <c r="K1532" s="5" t="s">
        <v>12120</v>
      </c>
      <c r="L1532" s="17" t="s">
        <v>14212</v>
      </c>
      <c r="M1532" s="3" t="s">
        <v>230</v>
      </c>
      <c r="N1532" s="6" t="s">
        <v>7685</v>
      </c>
      <c r="O1532" s="6" t="s">
        <v>233</v>
      </c>
      <c r="P1532" s="58" t="s">
        <v>248</v>
      </c>
      <c r="Q1532" s="6" t="s">
        <v>249</v>
      </c>
      <c r="R1532" s="1">
        <v>1100</v>
      </c>
      <c r="S1532" s="2">
        <v>13110</v>
      </c>
      <c r="T1532" s="4">
        <v>0</v>
      </c>
      <c r="U1532" s="4">
        <f t="shared" si="53"/>
        <v>0</v>
      </c>
      <c r="V1532" s="3" t="s">
        <v>362</v>
      </c>
      <c r="W1532" s="3">
        <v>2014</v>
      </c>
      <c r="X1532" s="3" t="s">
        <v>14588</v>
      </c>
    </row>
    <row r="1533" spans="1:24" ht="89.25">
      <c r="A1533" s="3" t="s">
        <v>14794</v>
      </c>
      <c r="B1533" s="6" t="s">
        <v>361</v>
      </c>
      <c r="C1533" s="6" t="s">
        <v>3966</v>
      </c>
      <c r="D1533" s="6" t="s">
        <v>3967</v>
      </c>
      <c r="E1533" s="6" t="s">
        <v>3968</v>
      </c>
      <c r="F1533" s="6" t="s">
        <v>3943</v>
      </c>
      <c r="G1533" s="3" t="s">
        <v>11449</v>
      </c>
      <c r="H1533" s="54">
        <v>0</v>
      </c>
      <c r="I1533" s="16">
        <v>470000000</v>
      </c>
      <c r="J1533" s="157" t="s">
        <v>229</v>
      </c>
      <c r="K1533" s="5" t="s">
        <v>14795</v>
      </c>
      <c r="L1533" s="17" t="s">
        <v>14212</v>
      </c>
      <c r="M1533" s="3" t="s">
        <v>230</v>
      </c>
      <c r="N1533" s="6" t="s">
        <v>7685</v>
      </c>
      <c r="O1533" s="6" t="s">
        <v>233</v>
      </c>
      <c r="P1533" s="58" t="s">
        <v>248</v>
      </c>
      <c r="Q1533" s="6" t="s">
        <v>249</v>
      </c>
      <c r="R1533" s="1">
        <v>273.39</v>
      </c>
      <c r="S1533" s="2">
        <v>15732</v>
      </c>
      <c r="T1533" s="4">
        <v>0</v>
      </c>
      <c r="U1533" s="4">
        <f t="shared" si="53"/>
        <v>0</v>
      </c>
      <c r="V1533" s="3" t="s">
        <v>362</v>
      </c>
      <c r="W1533" s="3">
        <v>2014</v>
      </c>
      <c r="X1533" s="3" t="s">
        <v>14230</v>
      </c>
    </row>
    <row r="1534" spans="1:24" ht="89.25">
      <c r="A1534" s="3" t="s">
        <v>17941</v>
      </c>
      <c r="B1534" s="6" t="s">
        <v>361</v>
      </c>
      <c r="C1534" s="6" t="s">
        <v>3966</v>
      </c>
      <c r="D1534" s="6" t="s">
        <v>3967</v>
      </c>
      <c r="E1534" s="6" t="s">
        <v>3968</v>
      </c>
      <c r="F1534" s="6" t="s">
        <v>3943</v>
      </c>
      <c r="G1534" s="3" t="s">
        <v>11449</v>
      </c>
      <c r="H1534" s="54">
        <v>0</v>
      </c>
      <c r="I1534" s="16">
        <v>470000000</v>
      </c>
      <c r="J1534" s="157" t="s">
        <v>229</v>
      </c>
      <c r="K1534" s="5" t="s">
        <v>17942</v>
      </c>
      <c r="L1534" s="17" t="s">
        <v>14212</v>
      </c>
      <c r="M1534" s="3" t="s">
        <v>230</v>
      </c>
      <c r="N1534" s="6" t="s">
        <v>7685</v>
      </c>
      <c r="O1534" s="6" t="s">
        <v>233</v>
      </c>
      <c r="P1534" s="58" t="s">
        <v>248</v>
      </c>
      <c r="Q1534" s="6" t="s">
        <v>249</v>
      </c>
      <c r="R1534" s="1">
        <v>273.39</v>
      </c>
      <c r="S1534" s="2">
        <v>13110</v>
      </c>
      <c r="T1534" s="4">
        <v>0</v>
      </c>
      <c r="U1534" s="4">
        <f t="shared" si="53"/>
        <v>0</v>
      </c>
      <c r="V1534" s="3" t="s">
        <v>362</v>
      </c>
      <c r="W1534" s="3">
        <v>2014</v>
      </c>
      <c r="X1534" s="3" t="s">
        <v>18881</v>
      </c>
    </row>
    <row r="1535" spans="1:24" ht="76.5">
      <c r="A1535" s="3" t="s">
        <v>18833</v>
      </c>
      <c r="B1535" s="6" t="s">
        <v>361</v>
      </c>
      <c r="C1535" s="6" t="s">
        <v>3966</v>
      </c>
      <c r="D1535" s="6" t="s">
        <v>3967</v>
      </c>
      <c r="E1535" s="6" t="s">
        <v>3968</v>
      </c>
      <c r="F1535" s="6" t="s">
        <v>3943</v>
      </c>
      <c r="G1535" s="3" t="s">
        <v>11449</v>
      </c>
      <c r="H1535" s="54">
        <v>0.2</v>
      </c>
      <c r="I1535" s="16">
        <v>470000000</v>
      </c>
      <c r="J1535" s="157" t="s">
        <v>229</v>
      </c>
      <c r="K1535" s="5" t="s">
        <v>18748</v>
      </c>
      <c r="L1535" s="17" t="s">
        <v>14212</v>
      </c>
      <c r="M1535" s="3" t="s">
        <v>230</v>
      </c>
      <c r="N1535" s="6" t="s">
        <v>7685</v>
      </c>
      <c r="O1535" s="6" t="s">
        <v>18828</v>
      </c>
      <c r="P1535" s="58" t="s">
        <v>248</v>
      </c>
      <c r="Q1535" s="6" t="s">
        <v>249</v>
      </c>
      <c r="R1535" s="1">
        <v>471</v>
      </c>
      <c r="S1535" s="2">
        <v>13110</v>
      </c>
      <c r="T1535" s="4">
        <f>R1535*S1535</f>
        <v>6174810</v>
      </c>
      <c r="U1535" s="4">
        <f t="shared" si="53"/>
        <v>6915787.2000000011</v>
      </c>
      <c r="V1535" s="3" t="s">
        <v>362</v>
      </c>
      <c r="W1535" s="3">
        <v>2014</v>
      </c>
      <c r="X1535" s="3"/>
    </row>
    <row r="1536" spans="1:24" ht="102">
      <c r="A1536" s="3" t="s">
        <v>1176</v>
      </c>
      <c r="B1536" s="6" t="s">
        <v>361</v>
      </c>
      <c r="C1536" s="6" t="s">
        <v>3964</v>
      </c>
      <c r="D1536" s="6" t="s">
        <v>3963</v>
      </c>
      <c r="E1536" s="6" t="s">
        <v>3965</v>
      </c>
      <c r="F1536" s="6" t="s">
        <v>3944</v>
      </c>
      <c r="G1536" s="3" t="s">
        <v>11450</v>
      </c>
      <c r="H1536" s="54">
        <v>0</v>
      </c>
      <c r="I1536" s="16">
        <v>470000000</v>
      </c>
      <c r="J1536" s="157" t="s">
        <v>229</v>
      </c>
      <c r="K1536" s="5" t="s">
        <v>211</v>
      </c>
      <c r="L1536" s="6" t="s">
        <v>231</v>
      </c>
      <c r="M1536" s="3" t="s">
        <v>230</v>
      </c>
      <c r="N1536" s="6" t="s">
        <v>524</v>
      </c>
      <c r="O1536" s="6" t="s">
        <v>233</v>
      </c>
      <c r="P1536" s="58" t="s">
        <v>248</v>
      </c>
      <c r="Q1536" s="6" t="s">
        <v>249</v>
      </c>
      <c r="R1536" s="1">
        <v>80</v>
      </c>
      <c r="S1536" s="2">
        <v>8560</v>
      </c>
      <c r="T1536" s="4">
        <v>0</v>
      </c>
      <c r="U1536" s="4">
        <f t="shared" si="53"/>
        <v>0</v>
      </c>
      <c r="V1536" s="3" t="s">
        <v>362</v>
      </c>
      <c r="W1536" s="3">
        <v>2014</v>
      </c>
      <c r="X1536" s="3" t="s">
        <v>12076</v>
      </c>
    </row>
    <row r="1537" spans="1:24" ht="102">
      <c r="A1537" s="3" t="s">
        <v>1177</v>
      </c>
      <c r="B1537" s="6" t="s">
        <v>361</v>
      </c>
      <c r="C1537" s="6" t="s">
        <v>3960</v>
      </c>
      <c r="D1537" s="6" t="s">
        <v>3961</v>
      </c>
      <c r="E1537" s="6" t="s">
        <v>3962</v>
      </c>
      <c r="F1537" s="6" t="s">
        <v>3945</v>
      </c>
      <c r="G1537" s="3" t="s">
        <v>11449</v>
      </c>
      <c r="H1537" s="54">
        <v>0</v>
      </c>
      <c r="I1537" s="16">
        <v>470000000</v>
      </c>
      <c r="J1537" s="157" t="s">
        <v>229</v>
      </c>
      <c r="K1537" s="5" t="s">
        <v>211</v>
      </c>
      <c r="L1537" s="6" t="s">
        <v>231</v>
      </c>
      <c r="M1537" s="3" t="s">
        <v>230</v>
      </c>
      <c r="N1537" s="6" t="s">
        <v>7685</v>
      </c>
      <c r="O1537" s="6" t="s">
        <v>233</v>
      </c>
      <c r="P1537" s="58" t="s">
        <v>248</v>
      </c>
      <c r="Q1537" s="6" t="s">
        <v>249</v>
      </c>
      <c r="R1537" s="1">
        <v>944</v>
      </c>
      <c r="S1537" s="2">
        <v>17086</v>
      </c>
      <c r="T1537" s="4">
        <v>0</v>
      </c>
      <c r="U1537" s="4">
        <f t="shared" si="53"/>
        <v>0</v>
      </c>
      <c r="V1537" s="3" t="s">
        <v>362</v>
      </c>
      <c r="W1537" s="3">
        <v>2014</v>
      </c>
      <c r="X1537" s="3" t="s">
        <v>15860</v>
      </c>
    </row>
    <row r="1538" spans="1:24" ht="89.25">
      <c r="A1538" s="3" t="s">
        <v>14796</v>
      </c>
      <c r="B1538" s="6" t="s">
        <v>361</v>
      </c>
      <c r="C1538" s="6" t="s">
        <v>3960</v>
      </c>
      <c r="D1538" s="6" t="s">
        <v>3961</v>
      </c>
      <c r="E1538" s="6" t="s">
        <v>3962</v>
      </c>
      <c r="F1538" s="6" t="s">
        <v>3945</v>
      </c>
      <c r="G1538" s="3" t="s">
        <v>11450</v>
      </c>
      <c r="H1538" s="54">
        <v>0</v>
      </c>
      <c r="I1538" s="16">
        <v>470000000</v>
      </c>
      <c r="J1538" s="157" t="s">
        <v>229</v>
      </c>
      <c r="K1538" s="5" t="s">
        <v>14662</v>
      </c>
      <c r="L1538" s="6" t="s">
        <v>15861</v>
      </c>
      <c r="M1538" s="3" t="s">
        <v>230</v>
      </c>
      <c r="N1538" s="6" t="s">
        <v>7685</v>
      </c>
      <c r="O1538" s="6" t="s">
        <v>233</v>
      </c>
      <c r="P1538" s="58" t="s">
        <v>248</v>
      </c>
      <c r="Q1538" s="6" t="s">
        <v>249</v>
      </c>
      <c r="R1538" s="1">
        <v>65</v>
      </c>
      <c r="S1538" s="2">
        <v>20503</v>
      </c>
      <c r="T1538" s="4">
        <v>0</v>
      </c>
      <c r="U1538" s="4">
        <f t="shared" si="53"/>
        <v>0</v>
      </c>
      <c r="V1538" s="3" t="s">
        <v>362</v>
      </c>
      <c r="W1538" s="3">
        <v>2014</v>
      </c>
      <c r="X1538" s="3" t="s">
        <v>14230</v>
      </c>
    </row>
    <row r="1539" spans="1:24" ht="89.25">
      <c r="A1539" s="3" t="s">
        <v>17943</v>
      </c>
      <c r="B1539" s="6" t="s">
        <v>361</v>
      </c>
      <c r="C1539" s="6" t="s">
        <v>3960</v>
      </c>
      <c r="D1539" s="6" t="s">
        <v>3961</v>
      </c>
      <c r="E1539" s="6" t="s">
        <v>3962</v>
      </c>
      <c r="F1539" s="6" t="s">
        <v>3945</v>
      </c>
      <c r="G1539" s="3" t="s">
        <v>11450</v>
      </c>
      <c r="H1539" s="54">
        <v>0</v>
      </c>
      <c r="I1539" s="16">
        <v>470000000</v>
      </c>
      <c r="J1539" s="157" t="s">
        <v>229</v>
      </c>
      <c r="K1539" s="5" t="s">
        <v>17944</v>
      </c>
      <c r="L1539" s="6" t="s">
        <v>15861</v>
      </c>
      <c r="M1539" s="3" t="s">
        <v>230</v>
      </c>
      <c r="N1539" s="6" t="s">
        <v>7685</v>
      </c>
      <c r="O1539" s="6" t="s">
        <v>233</v>
      </c>
      <c r="P1539" s="58" t="s">
        <v>248</v>
      </c>
      <c r="Q1539" s="6" t="s">
        <v>249</v>
      </c>
      <c r="R1539" s="1">
        <v>65</v>
      </c>
      <c r="S1539" s="2">
        <v>20160</v>
      </c>
      <c r="T1539" s="4">
        <v>0</v>
      </c>
      <c r="U1539" s="4">
        <f t="shared" si="53"/>
        <v>0</v>
      </c>
      <c r="V1539" s="3" t="s">
        <v>362</v>
      </c>
      <c r="W1539" s="3">
        <v>2014</v>
      </c>
      <c r="X1539" s="3" t="s">
        <v>18881</v>
      </c>
    </row>
    <row r="1540" spans="1:24" ht="76.5">
      <c r="A1540" s="3" t="s">
        <v>18835</v>
      </c>
      <c r="B1540" s="6" t="s">
        <v>361</v>
      </c>
      <c r="C1540" s="6" t="s">
        <v>3960</v>
      </c>
      <c r="D1540" s="6" t="s">
        <v>3961</v>
      </c>
      <c r="E1540" s="6" t="s">
        <v>3962</v>
      </c>
      <c r="F1540" s="6" t="s">
        <v>3945</v>
      </c>
      <c r="G1540" s="3" t="s">
        <v>11450</v>
      </c>
      <c r="H1540" s="54">
        <v>0.2</v>
      </c>
      <c r="I1540" s="16">
        <v>470000000</v>
      </c>
      <c r="J1540" s="157" t="s">
        <v>229</v>
      </c>
      <c r="K1540" s="5" t="s">
        <v>18748</v>
      </c>
      <c r="L1540" s="6" t="s">
        <v>15861</v>
      </c>
      <c r="M1540" s="3" t="s">
        <v>230</v>
      </c>
      <c r="N1540" s="6" t="s">
        <v>7685</v>
      </c>
      <c r="O1540" s="6" t="s">
        <v>18828</v>
      </c>
      <c r="P1540" s="58" t="s">
        <v>248</v>
      </c>
      <c r="Q1540" s="6" t="s">
        <v>249</v>
      </c>
      <c r="R1540" s="1">
        <v>100</v>
      </c>
      <c r="S1540" s="2">
        <v>20160</v>
      </c>
      <c r="T1540" s="4">
        <f>R1540*S1540</f>
        <v>2016000</v>
      </c>
      <c r="U1540" s="4">
        <f t="shared" si="53"/>
        <v>2257920</v>
      </c>
      <c r="V1540" s="3" t="s">
        <v>362</v>
      </c>
      <c r="W1540" s="3">
        <v>2014</v>
      </c>
      <c r="X1540" s="3"/>
    </row>
    <row r="1541" spans="1:24" ht="102">
      <c r="A1541" s="3" t="s">
        <v>1178</v>
      </c>
      <c r="B1541" s="6" t="s">
        <v>361</v>
      </c>
      <c r="C1541" s="6" t="s">
        <v>3957</v>
      </c>
      <c r="D1541" s="6" t="s">
        <v>3958</v>
      </c>
      <c r="E1541" s="6" t="s">
        <v>3959</v>
      </c>
      <c r="F1541" s="6" t="s">
        <v>3946</v>
      </c>
      <c r="G1541" s="3" t="s">
        <v>11449</v>
      </c>
      <c r="H1541" s="54">
        <v>0</v>
      </c>
      <c r="I1541" s="16">
        <v>470000000</v>
      </c>
      <c r="J1541" s="157" t="s">
        <v>229</v>
      </c>
      <c r="K1541" s="5" t="s">
        <v>8308</v>
      </c>
      <c r="L1541" s="6" t="s">
        <v>231</v>
      </c>
      <c r="M1541" s="3" t="s">
        <v>230</v>
      </c>
      <c r="N1541" s="6" t="s">
        <v>524</v>
      </c>
      <c r="O1541" s="6" t="s">
        <v>233</v>
      </c>
      <c r="P1541" s="58" t="s">
        <v>241</v>
      </c>
      <c r="Q1541" s="6" t="s">
        <v>234</v>
      </c>
      <c r="R1541" s="1">
        <v>13</v>
      </c>
      <c r="S1541" s="2">
        <v>21278</v>
      </c>
      <c r="T1541" s="4">
        <v>0</v>
      </c>
      <c r="U1541" s="4">
        <f t="shared" si="53"/>
        <v>0</v>
      </c>
      <c r="V1541" s="3"/>
      <c r="W1541" s="3">
        <v>2014</v>
      </c>
      <c r="X1541" s="3" t="s">
        <v>12076</v>
      </c>
    </row>
    <row r="1542" spans="1:24" ht="102">
      <c r="A1542" s="3" t="s">
        <v>1179</v>
      </c>
      <c r="B1542" s="6" t="s">
        <v>361</v>
      </c>
      <c r="C1542" s="6" t="s">
        <v>3957</v>
      </c>
      <c r="D1542" s="6" t="s">
        <v>3958</v>
      </c>
      <c r="E1542" s="6" t="s">
        <v>3959</v>
      </c>
      <c r="F1542" s="6" t="s">
        <v>3947</v>
      </c>
      <c r="G1542" s="3" t="s">
        <v>11449</v>
      </c>
      <c r="H1542" s="54">
        <v>0</v>
      </c>
      <c r="I1542" s="16">
        <v>470000000</v>
      </c>
      <c r="J1542" s="157" t="s">
        <v>229</v>
      </c>
      <c r="K1542" s="5" t="s">
        <v>8308</v>
      </c>
      <c r="L1542" s="6" t="s">
        <v>231</v>
      </c>
      <c r="M1542" s="3" t="s">
        <v>230</v>
      </c>
      <c r="N1542" s="6" t="s">
        <v>524</v>
      </c>
      <c r="O1542" s="6" t="s">
        <v>233</v>
      </c>
      <c r="P1542" s="58" t="s">
        <v>241</v>
      </c>
      <c r="Q1542" s="6" t="s">
        <v>234</v>
      </c>
      <c r="R1542" s="1">
        <v>30</v>
      </c>
      <c r="S1542" s="2">
        <v>21278</v>
      </c>
      <c r="T1542" s="4">
        <v>0</v>
      </c>
      <c r="U1542" s="4">
        <f t="shared" si="53"/>
        <v>0</v>
      </c>
      <c r="V1542" s="3"/>
      <c r="W1542" s="3">
        <v>2014</v>
      </c>
      <c r="X1542" s="3" t="s">
        <v>12076</v>
      </c>
    </row>
    <row r="1543" spans="1:24" ht="102">
      <c r="A1543" s="3" t="s">
        <v>1180</v>
      </c>
      <c r="B1543" s="6" t="s">
        <v>361</v>
      </c>
      <c r="C1543" s="6" t="s">
        <v>3957</v>
      </c>
      <c r="D1543" s="6" t="s">
        <v>3958</v>
      </c>
      <c r="E1543" s="6" t="s">
        <v>3959</v>
      </c>
      <c r="F1543" s="6" t="s">
        <v>3948</v>
      </c>
      <c r="G1543" s="3" t="s">
        <v>11449</v>
      </c>
      <c r="H1543" s="54">
        <v>0</v>
      </c>
      <c r="I1543" s="16">
        <v>470000000</v>
      </c>
      <c r="J1543" s="157" t="s">
        <v>229</v>
      </c>
      <c r="K1543" s="5" t="s">
        <v>211</v>
      </c>
      <c r="L1543" s="6" t="s">
        <v>231</v>
      </c>
      <c r="M1543" s="3" t="s">
        <v>230</v>
      </c>
      <c r="N1543" s="6" t="s">
        <v>524</v>
      </c>
      <c r="O1543" s="6" t="s">
        <v>233</v>
      </c>
      <c r="P1543" s="58" t="s">
        <v>241</v>
      </c>
      <c r="Q1543" s="6" t="s">
        <v>234</v>
      </c>
      <c r="R1543" s="1">
        <v>29</v>
      </c>
      <c r="S1543" s="2">
        <v>21278</v>
      </c>
      <c r="T1543" s="4">
        <v>0</v>
      </c>
      <c r="U1543" s="4">
        <f t="shared" si="53"/>
        <v>0</v>
      </c>
      <c r="V1543" s="3"/>
      <c r="W1543" s="3">
        <v>2014</v>
      </c>
      <c r="X1543" s="3" t="s">
        <v>12076</v>
      </c>
    </row>
    <row r="1544" spans="1:24" ht="102">
      <c r="A1544" s="3" t="s">
        <v>1181</v>
      </c>
      <c r="B1544" s="6" t="s">
        <v>361</v>
      </c>
      <c r="C1544" s="6" t="s">
        <v>3957</v>
      </c>
      <c r="D1544" s="6" t="s">
        <v>3958</v>
      </c>
      <c r="E1544" s="6" t="s">
        <v>3959</v>
      </c>
      <c r="F1544" s="6" t="s">
        <v>3949</v>
      </c>
      <c r="G1544" s="3" t="s">
        <v>11449</v>
      </c>
      <c r="H1544" s="54">
        <v>0</v>
      </c>
      <c r="I1544" s="16">
        <v>470000000</v>
      </c>
      <c r="J1544" s="157" t="s">
        <v>229</v>
      </c>
      <c r="K1544" s="5" t="s">
        <v>211</v>
      </c>
      <c r="L1544" s="6" t="s">
        <v>231</v>
      </c>
      <c r="M1544" s="3" t="s">
        <v>230</v>
      </c>
      <c r="N1544" s="6" t="s">
        <v>524</v>
      </c>
      <c r="O1544" s="6" t="s">
        <v>233</v>
      </c>
      <c r="P1544" s="58" t="s">
        <v>241</v>
      </c>
      <c r="Q1544" s="6" t="s">
        <v>234</v>
      </c>
      <c r="R1544" s="1">
        <v>3</v>
      </c>
      <c r="S1544" s="2">
        <v>21278</v>
      </c>
      <c r="T1544" s="4">
        <v>0</v>
      </c>
      <c r="U1544" s="4">
        <f t="shared" si="53"/>
        <v>0</v>
      </c>
      <c r="V1544" s="3"/>
      <c r="W1544" s="3">
        <v>2014</v>
      </c>
      <c r="X1544" s="3" t="s">
        <v>12076</v>
      </c>
    </row>
    <row r="1545" spans="1:24" ht="102">
      <c r="A1545" s="3" t="s">
        <v>1182</v>
      </c>
      <c r="B1545" s="6" t="s">
        <v>361</v>
      </c>
      <c r="C1545" s="6" t="s">
        <v>3957</v>
      </c>
      <c r="D1545" s="6" t="s">
        <v>3958</v>
      </c>
      <c r="E1545" s="6" t="s">
        <v>3959</v>
      </c>
      <c r="F1545" s="6" t="s">
        <v>3950</v>
      </c>
      <c r="G1545" s="3" t="s">
        <v>11449</v>
      </c>
      <c r="H1545" s="54">
        <v>0</v>
      </c>
      <c r="I1545" s="16">
        <v>470000000</v>
      </c>
      <c r="J1545" s="157" t="s">
        <v>229</v>
      </c>
      <c r="K1545" s="5" t="s">
        <v>211</v>
      </c>
      <c r="L1545" s="6" t="s">
        <v>231</v>
      </c>
      <c r="M1545" s="3" t="s">
        <v>230</v>
      </c>
      <c r="N1545" s="6" t="s">
        <v>524</v>
      </c>
      <c r="O1545" s="6" t="s">
        <v>233</v>
      </c>
      <c r="P1545" s="58" t="s">
        <v>241</v>
      </c>
      <c r="Q1545" s="6" t="s">
        <v>234</v>
      </c>
      <c r="R1545" s="1">
        <v>36</v>
      </c>
      <c r="S1545" s="2">
        <v>25850</v>
      </c>
      <c r="T1545" s="4">
        <v>0</v>
      </c>
      <c r="U1545" s="4">
        <f t="shared" si="53"/>
        <v>0</v>
      </c>
      <c r="V1545" s="3"/>
      <c r="W1545" s="3">
        <v>2014</v>
      </c>
      <c r="X1545" s="3" t="s">
        <v>12076</v>
      </c>
    </row>
    <row r="1546" spans="1:24" ht="102">
      <c r="A1546" s="3" t="s">
        <v>1183</v>
      </c>
      <c r="B1546" s="6" t="s">
        <v>361</v>
      </c>
      <c r="C1546" s="6" t="s">
        <v>3957</v>
      </c>
      <c r="D1546" s="6" t="s">
        <v>3958</v>
      </c>
      <c r="E1546" s="6" t="s">
        <v>3959</v>
      </c>
      <c r="F1546" s="6" t="s">
        <v>3951</v>
      </c>
      <c r="G1546" s="3" t="s">
        <v>11449</v>
      </c>
      <c r="H1546" s="54">
        <v>0</v>
      </c>
      <c r="I1546" s="16">
        <v>470000000</v>
      </c>
      <c r="J1546" s="157" t="s">
        <v>229</v>
      </c>
      <c r="K1546" s="5" t="s">
        <v>211</v>
      </c>
      <c r="L1546" s="6" t="s">
        <v>231</v>
      </c>
      <c r="M1546" s="3" t="s">
        <v>230</v>
      </c>
      <c r="N1546" s="6" t="s">
        <v>524</v>
      </c>
      <c r="O1546" s="6" t="s">
        <v>233</v>
      </c>
      <c r="P1546" s="58" t="s">
        <v>241</v>
      </c>
      <c r="Q1546" s="6" t="s">
        <v>234</v>
      </c>
      <c r="R1546" s="1">
        <v>200</v>
      </c>
      <c r="S1546" s="2">
        <v>25850</v>
      </c>
      <c r="T1546" s="4">
        <v>0</v>
      </c>
      <c r="U1546" s="4">
        <f t="shared" si="53"/>
        <v>0</v>
      </c>
      <c r="V1546" s="3"/>
      <c r="W1546" s="3">
        <v>2014</v>
      </c>
      <c r="X1546" s="3" t="s">
        <v>12076</v>
      </c>
    </row>
    <row r="1547" spans="1:24" ht="102">
      <c r="A1547" s="3" t="s">
        <v>1184</v>
      </c>
      <c r="B1547" s="6" t="s">
        <v>361</v>
      </c>
      <c r="C1547" s="6" t="s">
        <v>3957</v>
      </c>
      <c r="D1547" s="6" t="s">
        <v>3958</v>
      </c>
      <c r="E1547" s="6" t="s">
        <v>3959</v>
      </c>
      <c r="F1547" s="6" t="s">
        <v>3952</v>
      </c>
      <c r="G1547" s="3" t="s">
        <v>11449</v>
      </c>
      <c r="H1547" s="54">
        <v>0</v>
      </c>
      <c r="I1547" s="16">
        <v>470000000</v>
      </c>
      <c r="J1547" s="157" t="s">
        <v>229</v>
      </c>
      <c r="K1547" s="5" t="s">
        <v>211</v>
      </c>
      <c r="L1547" s="6" t="s">
        <v>231</v>
      </c>
      <c r="M1547" s="3" t="s">
        <v>230</v>
      </c>
      <c r="N1547" s="6" t="s">
        <v>524</v>
      </c>
      <c r="O1547" s="6" t="s">
        <v>233</v>
      </c>
      <c r="P1547" s="58" t="s">
        <v>241</v>
      </c>
      <c r="Q1547" s="6" t="s">
        <v>234</v>
      </c>
      <c r="R1547" s="1">
        <v>7</v>
      </c>
      <c r="S1547" s="2">
        <v>25850</v>
      </c>
      <c r="T1547" s="4">
        <v>0</v>
      </c>
      <c r="U1547" s="4">
        <f t="shared" si="53"/>
        <v>0</v>
      </c>
      <c r="V1547" s="3"/>
      <c r="W1547" s="3">
        <v>2014</v>
      </c>
      <c r="X1547" s="3" t="s">
        <v>12076</v>
      </c>
    </row>
    <row r="1548" spans="1:24" ht="102">
      <c r="A1548" s="3" t="s">
        <v>1185</v>
      </c>
      <c r="B1548" s="6" t="s">
        <v>361</v>
      </c>
      <c r="C1548" s="6" t="s">
        <v>3969</v>
      </c>
      <c r="D1548" s="6" t="s">
        <v>3040</v>
      </c>
      <c r="E1548" s="6" t="s">
        <v>3970</v>
      </c>
      <c r="F1548" s="6" t="s">
        <v>3953</v>
      </c>
      <c r="G1548" s="3" t="s">
        <v>11450</v>
      </c>
      <c r="H1548" s="54">
        <v>0</v>
      </c>
      <c r="I1548" s="16">
        <v>470000000</v>
      </c>
      <c r="J1548" s="157" t="s">
        <v>229</v>
      </c>
      <c r="K1548" s="5" t="s">
        <v>211</v>
      </c>
      <c r="L1548" s="6" t="s">
        <v>231</v>
      </c>
      <c r="M1548" s="3" t="s">
        <v>230</v>
      </c>
      <c r="N1548" s="6" t="s">
        <v>524</v>
      </c>
      <c r="O1548" s="6" t="s">
        <v>233</v>
      </c>
      <c r="P1548" s="58" t="s">
        <v>241</v>
      </c>
      <c r="Q1548" s="6" t="s">
        <v>234</v>
      </c>
      <c r="R1548" s="1">
        <v>300</v>
      </c>
      <c r="S1548" s="2">
        <v>3500</v>
      </c>
      <c r="T1548" s="4">
        <v>0</v>
      </c>
      <c r="U1548" s="4">
        <f t="shared" si="53"/>
        <v>0</v>
      </c>
      <c r="V1548" s="3"/>
      <c r="W1548" s="3">
        <v>2014</v>
      </c>
      <c r="X1548" s="3" t="s">
        <v>12076</v>
      </c>
    </row>
    <row r="1549" spans="1:24" ht="102">
      <c r="A1549" s="3" t="s">
        <v>1186</v>
      </c>
      <c r="B1549" s="6" t="s">
        <v>361</v>
      </c>
      <c r="C1549" s="6" t="s">
        <v>3971</v>
      </c>
      <c r="D1549" s="6" t="s">
        <v>3972</v>
      </c>
      <c r="E1549" s="6" t="s">
        <v>3973</v>
      </c>
      <c r="F1549" s="6" t="s">
        <v>3954</v>
      </c>
      <c r="G1549" s="3" t="s">
        <v>11450</v>
      </c>
      <c r="H1549" s="54">
        <v>0</v>
      </c>
      <c r="I1549" s="16">
        <v>470000000</v>
      </c>
      <c r="J1549" s="157" t="s">
        <v>229</v>
      </c>
      <c r="K1549" s="5" t="s">
        <v>211</v>
      </c>
      <c r="L1549" s="6" t="s">
        <v>231</v>
      </c>
      <c r="M1549" s="3" t="s">
        <v>230</v>
      </c>
      <c r="N1549" s="6" t="s">
        <v>524</v>
      </c>
      <c r="O1549" s="6" t="s">
        <v>233</v>
      </c>
      <c r="P1549" s="58" t="s">
        <v>241</v>
      </c>
      <c r="Q1549" s="6" t="s">
        <v>234</v>
      </c>
      <c r="R1549" s="1">
        <v>12</v>
      </c>
      <c r="S1549" s="2">
        <v>3943</v>
      </c>
      <c r="T1549" s="4">
        <v>0</v>
      </c>
      <c r="U1549" s="4">
        <f t="shared" si="53"/>
        <v>0</v>
      </c>
      <c r="V1549" s="3"/>
      <c r="W1549" s="3">
        <v>2014</v>
      </c>
      <c r="X1549" s="3" t="s">
        <v>12076</v>
      </c>
    </row>
    <row r="1550" spans="1:24" ht="102">
      <c r="A1550" s="3" t="s">
        <v>1187</v>
      </c>
      <c r="B1550" s="6" t="s">
        <v>361</v>
      </c>
      <c r="C1550" s="6" t="s">
        <v>7709</v>
      </c>
      <c r="D1550" s="6" t="s">
        <v>7710</v>
      </c>
      <c r="E1550" s="6" t="s">
        <v>7711</v>
      </c>
      <c r="F1550" s="6" t="s">
        <v>3955</v>
      </c>
      <c r="G1550" s="3" t="s">
        <v>11450</v>
      </c>
      <c r="H1550" s="54">
        <v>0</v>
      </c>
      <c r="I1550" s="16">
        <v>470000000</v>
      </c>
      <c r="J1550" s="157" t="s">
        <v>229</v>
      </c>
      <c r="K1550" s="5" t="s">
        <v>211</v>
      </c>
      <c r="L1550" s="6" t="s">
        <v>231</v>
      </c>
      <c r="M1550" s="3" t="s">
        <v>230</v>
      </c>
      <c r="N1550" s="6" t="s">
        <v>524</v>
      </c>
      <c r="O1550" s="6" t="s">
        <v>233</v>
      </c>
      <c r="P1550" s="58" t="s">
        <v>241</v>
      </c>
      <c r="Q1550" s="6" t="s">
        <v>234</v>
      </c>
      <c r="R1550" s="1">
        <v>1</v>
      </c>
      <c r="S1550" s="2">
        <v>120000</v>
      </c>
      <c r="T1550" s="4">
        <v>0</v>
      </c>
      <c r="U1550" s="4">
        <f t="shared" si="53"/>
        <v>0</v>
      </c>
      <c r="V1550" s="3"/>
      <c r="W1550" s="3">
        <v>2014</v>
      </c>
      <c r="X1550" s="3" t="s">
        <v>12076</v>
      </c>
    </row>
    <row r="1551" spans="1:24" ht="102">
      <c r="A1551" s="3" t="s">
        <v>1188</v>
      </c>
      <c r="B1551" s="6" t="s">
        <v>361</v>
      </c>
      <c r="C1551" s="6" t="s">
        <v>7709</v>
      </c>
      <c r="D1551" s="6" t="s">
        <v>7710</v>
      </c>
      <c r="E1551" s="6" t="s">
        <v>7711</v>
      </c>
      <c r="F1551" s="6" t="s">
        <v>3956</v>
      </c>
      <c r="G1551" s="3" t="s">
        <v>11450</v>
      </c>
      <c r="H1551" s="54">
        <v>0</v>
      </c>
      <c r="I1551" s="16">
        <v>470000000</v>
      </c>
      <c r="J1551" s="157" t="s">
        <v>229</v>
      </c>
      <c r="K1551" s="5" t="s">
        <v>211</v>
      </c>
      <c r="L1551" s="6" t="s">
        <v>231</v>
      </c>
      <c r="M1551" s="3" t="s">
        <v>230</v>
      </c>
      <c r="N1551" s="6" t="s">
        <v>524</v>
      </c>
      <c r="O1551" s="6" t="s">
        <v>233</v>
      </c>
      <c r="P1551" s="58" t="s">
        <v>241</v>
      </c>
      <c r="Q1551" s="6" t="s">
        <v>234</v>
      </c>
      <c r="R1551" s="1">
        <v>4</v>
      </c>
      <c r="S1551" s="2">
        <v>120000</v>
      </c>
      <c r="T1551" s="4">
        <v>0</v>
      </c>
      <c r="U1551" s="4">
        <f t="shared" ref="U1551:U1614" si="57">T1551*1.12</f>
        <v>0</v>
      </c>
      <c r="V1551" s="3"/>
      <c r="W1551" s="3">
        <v>2014</v>
      </c>
      <c r="X1551" s="3" t="s">
        <v>12076</v>
      </c>
    </row>
    <row r="1552" spans="1:24" ht="102">
      <c r="A1552" s="3" t="s">
        <v>1189</v>
      </c>
      <c r="B1552" s="6" t="s">
        <v>361</v>
      </c>
      <c r="C1552" s="6" t="s">
        <v>3976</v>
      </c>
      <c r="D1552" s="6" t="s">
        <v>3977</v>
      </c>
      <c r="E1552" s="6" t="s">
        <v>3978</v>
      </c>
      <c r="F1552" s="6" t="s">
        <v>3974</v>
      </c>
      <c r="G1552" s="3" t="s">
        <v>11449</v>
      </c>
      <c r="H1552" s="54">
        <v>1</v>
      </c>
      <c r="I1552" s="16">
        <v>470000000</v>
      </c>
      <c r="J1552" s="157" t="s">
        <v>229</v>
      </c>
      <c r="K1552" s="5" t="s">
        <v>214</v>
      </c>
      <c r="L1552" s="6" t="s">
        <v>231</v>
      </c>
      <c r="M1552" s="3" t="s">
        <v>230</v>
      </c>
      <c r="N1552" s="6" t="s">
        <v>7685</v>
      </c>
      <c r="O1552" s="6" t="s">
        <v>233</v>
      </c>
      <c r="P1552" s="58" t="s">
        <v>241</v>
      </c>
      <c r="Q1552" s="6" t="s">
        <v>234</v>
      </c>
      <c r="R1552" s="1">
        <v>5800</v>
      </c>
      <c r="S1552" s="2">
        <v>32200</v>
      </c>
      <c r="T1552" s="4">
        <v>0</v>
      </c>
      <c r="U1552" s="4">
        <f t="shared" si="57"/>
        <v>0</v>
      </c>
      <c r="V1552" s="3" t="s">
        <v>362</v>
      </c>
      <c r="W1552" s="3">
        <v>2014</v>
      </c>
      <c r="X1552" s="3" t="s">
        <v>12313</v>
      </c>
    </row>
    <row r="1553" spans="1:24" ht="89.25">
      <c r="A1553" s="3" t="s">
        <v>12312</v>
      </c>
      <c r="B1553" s="6" t="s">
        <v>361</v>
      </c>
      <c r="C1553" s="6" t="s">
        <v>3976</v>
      </c>
      <c r="D1553" s="6" t="s">
        <v>3977</v>
      </c>
      <c r="E1553" s="6" t="s">
        <v>3978</v>
      </c>
      <c r="F1553" s="6" t="s">
        <v>3974</v>
      </c>
      <c r="G1553" s="3" t="s">
        <v>11449</v>
      </c>
      <c r="H1553" s="54">
        <v>1</v>
      </c>
      <c r="I1553" s="16">
        <v>470000000</v>
      </c>
      <c r="J1553" s="157" t="s">
        <v>229</v>
      </c>
      <c r="K1553" s="5" t="s">
        <v>12314</v>
      </c>
      <c r="L1553" s="6" t="s">
        <v>12251</v>
      </c>
      <c r="M1553" s="3" t="s">
        <v>12250</v>
      </c>
      <c r="N1553" s="6" t="s">
        <v>7685</v>
      </c>
      <c r="O1553" s="6" t="s">
        <v>233</v>
      </c>
      <c r="P1553" s="58" t="s">
        <v>241</v>
      </c>
      <c r="Q1553" s="6" t="s">
        <v>234</v>
      </c>
      <c r="R1553" s="1">
        <v>5800</v>
      </c>
      <c r="S1553" s="2">
        <v>32200</v>
      </c>
      <c r="T1553" s="4">
        <v>0</v>
      </c>
      <c r="U1553" s="4">
        <f t="shared" si="57"/>
        <v>0</v>
      </c>
      <c r="V1553" s="3" t="s">
        <v>362</v>
      </c>
      <c r="W1553" s="3">
        <v>2014</v>
      </c>
      <c r="X1553" s="3" t="s">
        <v>14588</v>
      </c>
    </row>
    <row r="1554" spans="1:24" ht="89.25">
      <c r="A1554" s="3" t="s">
        <v>14797</v>
      </c>
      <c r="B1554" s="6" t="s">
        <v>361</v>
      </c>
      <c r="C1554" s="6" t="s">
        <v>3976</v>
      </c>
      <c r="D1554" s="6" t="s">
        <v>3977</v>
      </c>
      <c r="E1554" s="6" t="s">
        <v>3978</v>
      </c>
      <c r="F1554" s="6" t="s">
        <v>3974</v>
      </c>
      <c r="G1554" s="3" t="s">
        <v>11449</v>
      </c>
      <c r="H1554" s="54">
        <v>1</v>
      </c>
      <c r="I1554" s="16">
        <v>470000000</v>
      </c>
      <c r="J1554" s="157" t="s">
        <v>229</v>
      </c>
      <c r="K1554" s="5" t="s">
        <v>14798</v>
      </c>
      <c r="L1554" s="6" t="s">
        <v>12251</v>
      </c>
      <c r="M1554" s="3" t="s">
        <v>12250</v>
      </c>
      <c r="N1554" s="6" t="s">
        <v>7685</v>
      </c>
      <c r="O1554" s="6" t="s">
        <v>233</v>
      </c>
      <c r="P1554" s="58" t="s">
        <v>241</v>
      </c>
      <c r="Q1554" s="6" t="s">
        <v>234</v>
      </c>
      <c r="R1554" s="1">
        <v>6448</v>
      </c>
      <c r="S1554" s="2">
        <v>32200</v>
      </c>
      <c r="T1554" s="4">
        <v>0</v>
      </c>
      <c r="U1554" s="4">
        <f t="shared" si="57"/>
        <v>0</v>
      </c>
      <c r="V1554" s="3" t="s">
        <v>362</v>
      </c>
      <c r="W1554" s="3">
        <v>2014</v>
      </c>
      <c r="X1554" s="3" t="s">
        <v>12051</v>
      </c>
    </row>
    <row r="1555" spans="1:24" ht="89.25">
      <c r="A1555" s="3" t="s">
        <v>17901</v>
      </c>
      <c r="B1555" s="6" t="s">
        <v>361</v>
      </c>
      <c r="C1555" s="6" t="s">
        <v>3976</v>
      </c>
      <c r="D1555" s="6" t="s">
        <v>3977</v>
      </c>
      <c r="E1555" s="6" t="s">
        <v>3978</v>
      </c>
      <c r="F1555" s="6" t="s">
        <v>3974</v>
      </c>
      <c r="G1555" s="3" t="s">
        <v>11449</v>
      </c>
      <c r="H1555" s="54">
        <v>1</v>
      </c>
      <c r="I1555" s="16">
        <v>470000000</v>
      </c>
      <c r="J1555" s="157" t="s">
        <v>229</v>
      </c>
      <c r="K1555" s="5" t="s">
        <v>222</v>
      </c>
      <c r="L1555" s="6" t="s">
        <v>12251</v>
      </c>
      <c r="M1555" s="3" t="s">
        <v>12250</v>
      </c>
      <c r="N1555" s="6" t="s">
        <v>7685</v>
      </c>
      <c r="O1555" s="6" t="s">
        <v>233</v>
      </c>
      <c r="P1555" s="58" t="s">
        <v>241</v>
      </c>
      <c r="Q1555" s="6" t="s">
        <v>234</v>
      </c>
      <c r="R1555" s="1">
        <v>6896</v>
      </c>
      <c r="S1555" s="2">
        <v>38640</v>
      </c>
      <c r="T1555" s="4">
        <f>R1555*S1555</f>
        <v>266461440</v>
      </c>
      <c r="U1555" s="4">
        <f t="shared" si="57"/>
        <v>298436812.80000001</v>
      </c>
      <c r="V1555" s="3" t="s">
        <v>362</v>
      </c>
      <c r="W1555" s="3">
        <v>2014</v>
      </c>
      <c r="X1555" s="3"/>
    </row>
    <row r="1556" spans="1:24" ht="102">
      <c r="A1556" s="3" t="s">
        <v>1190</v>
      </c>
      <c r="B1556" s="6" t="s">
        <v>361</v>
      </c>
      <c r="C1556" s="6" t="s">
        <v>3979</v>
      </c>
      <c r="D1556" s="6" t="s">
        <v>3980</v>
      </c>
      <c r="E1556" s="6" t="s">
        <v>3981</v>
      </c>
      <c r="F1556" s="6" t="s">
        <v>3975</v>
      </c>
      <c r="G1556" s="3" t="s">
        <v>11449</v>
      </c>
      <c r="H1556" s="54">
        <v>1</v>
      </c>
      <c r="I1556" s="16">
        <v>470000000</v>
      </c>
      <c r="J1556" s="157" t="s">
        <v>229</v>
      </c>
      <c r="K1556" s="5" t="s">
        <v>214</v>
      </c>
      <c r="L1556" s="6" t="s">
        <v>231</v>
      </c>
      <c r="M1556" s="3" t="s">
        <v>230</v>
      </c>
      <c r="N1556" s="6" t="s">
        <v>7685</v>
      </c>
      <c r="O1556" s="6" t="s">
        <v>233</v>
      </c>
      <c r="P1556" s="58" t="s">
        <v>241</v>
      </c>
      <c r="Q1556" s="6" t="s">
        <v>234</v>
      </c>
      <c r="R1556" s="1">
        <v>4500</v>
      </c>
      <c r="S1556" s="2">
        <v>9660</v>
      </c>
      <c r="T1556" s="4">
        <v>0</v>
      </c>
      <c r="U1556" s="4">
        <f t="shared" si="57"/>
        <v>0</v>
      </c>
      <c r="V1556" s="3" t="s">
        <v>362</v>
      </c>
      <c r="W1556" s="3">
        <v>2014</v>
      </c>
      <c r="X1556" s="3" t="s">
        <v>12313</v>
      </c>
    </row>
    <row r="1557" spans="1:24" ht="89.25">
      <c r="A1557" s="3" t="s">
        <v>12319</v>
      </c>
      <c r="B1557" s="6" t="s">
        <v>361</v>
      </c>
      <c r="C1557" s="6" t="s">
        <v>3979</v>
      </c>
      <c r="D1557" s="6" t="s">
        <v>3980</v>
      </c>
      <c r="E1557" s="6" t="s">
        <v>3981</v>
      </c>
      <c r="F1557" s="6" t="s">
        <v>3975</v>
      </c>
      <c r="G1557" s="3" t="s">
        <v>11449</v>
      </c>
      <c r="H1557" s="54">
        <v>1</v>
      </c>
      <c r="I1557" s="16">
        <v>470000000</v>
      </c>
      <c r="J1557" s="157" t="s">
        <v>229</v>
      </c>
      <c r="K1557" s="5" t="s">
        <v>12314</v>
      </c>
      <c r="L1557" s="6" t="s">
        <v>12251</v>
      </c>
      <c r="M1557" s="3" t="s">
        <v>12250</v>
      </c>
      <c r="N1557" s="6" t="s">
        <v>7685</v>
      </c>
      <c r="O1557" s="6" t="s">
        <v>233</v>
      </c>
      <c r="P1557" s="58" t="s">
        <v>241</v>
      </c>
      <c r="Q1557" s="6" t="s">
        <v>234</v>
      </c>
      <c r="R1557" s="1">
        <v>4500</v>
      </c>
      <c r="S1557" s="2">
        <v>9660</v>
      </c>
      <c r="T1557" s="4">
        <v>0</v>
      </c>
      <c r="U1557" s="4">
        <f t="shared" si="57"/>
        <v>0</v>
      </c>
      <c r="V1557" s="3" t="s">
        <v>362</v>
      </c>
      <c r="W1557" s="3">
        <v>2014</v>
      </c>
      <c r="X1557" s="3" t="s">
        <v>14588</v>
      </c>
    </row>
    <row r="1558" spans="1:24" ht="89.25">
      <c r="A1558" s="3" t="s">
        <v>14799</v>
      </c>
      <c r="B1558" s="6" t="s">
        <v>361</v>
      </c>
      <c r="C1558" s="6" t="s">
        <v>3979</v>
      </c>
      <c r="D1558" s="6" t="s">
        <v>3980</v>
      </c>
      <c r="E1558" s="6" t="s">
        <v>3981</v>
      </c>
      <c r="F1558" s="6" t="s">
        <v>3975</v>
      </c>
      <c r="G1558" s="3" t="s">
        <v>11449</v>
      </c>
      <c r="H1558" s="54">
        <v>1</v>
      </c>
      <c r="I1558" s="16">
        <v>470000000</v>
      </c>
      <c r="J1558" s="157" t="s">
        <v>229</v>
      </c>
      <c r="K1558" s="5" t="s">
        <v>14798</v>
      </c>
      <c r="L1558" s="6" t="s">
        <v>12251</v>
      </c>
      <c r="M1558" s="3" t="s">
        <v>12250</v>
      </c>
      <c r="N1558" s="6" t="s">
        <v>7685</v>
      </c>
      <c r="O1558" s="6" t="s">
        <v>233</v>
      </c>
      <c r="P1558" s="58" t="s">
        <v>241</v>
      </c>
      <c r="Q1558" s="6" t="s">
        <v>234</v>
      </c>
      <c r="R1558" s="1">
        <v>5000</v>
      </c>
      <c r="S1558" s="2">
        <v>9532.6</v>
      </c>
      <c r="T1558" s="4">
        <v>0</v>
      </c>
      <c r="U1558" s="4">
        <f t="shared" si="57"/>
        <v>0</v>
      </c>
      <c r="V1558" s="3" t="s">
        <v>362</v>
      </c>
      <c r="W1558" s="3">
        <v>2014</v>
      </c>
      <c r="X1558" s="3" t="s">
        <v>12051</v>
      </c>
    </row>
    <row r="1559" spans="1:24" ht="89.25">
      <c r="A1559" s="3" t="s">
        <v>17902</v>
      </c>
      <c r="B1559" s="6" t="s">
        <v>361</v>
      </c>
      <c r="C1559" s="6" t="s">
        <v>3979</v>
      </c>
      <c r="D1559" s="6" t="s">
        <v>3980</v>
      </c>
      <c r="E1559" s="6" t="s">
        <v>3981</v>
      </c>
      <c r="F1559" s="6" t="s">
        <v>3975</v>
      </c>
      <c r="G1559" s="3" t="s">
        <v>11449</v>
      </c>
      <c r="H1559" s="54">
        <v>1</v>
      </c>
      <c r="I1559" s="16">
        <v>470000000</v>
      </c>
      <c r="J1559" s="157" t="s">
        <v>229</v>
      </c>
      <c r="K1559" s="5" t="s">
        <v>222</v>
      </c>
      <c r="L1559" s="6" t="s">
        <v>12251</v>
      </c>
      <c r="M1559" s="3" t="s">
        <v>12250</v>
      </c>
      <c r="N1559" s="6" t="s">
        <v>7685</v>
      </c>
      <c r="O1559" s="6" t="s">
        <v>233</v>
      </c>
      <c r="P1559" s="58" t="s">
        <v>241</v>
      </c>
      <c r="Q1559" s="6" t="s">
        <v>234</v>
      </c>
      <c r="R1559" s="1">
        <v>6000</v>
      </c>
      <c r="S1559" s="2">
        <v>9660</v>
      </c>
      <c r="T1559" s="4">
        <v>0</v>
      </c>
      <c r="U1559" s="4">
        <f t="shared" si="57"/>
        <v>0</v>
      </c>
      <c r="V1559" s="3" t="s">
        <v>362</v>
      </c>
      <c r="W1559" s="3">
        <v>2014</v>
      </c>
      <c r="X1559" s="3" t="s">
        <v>18825</v>
      </c>
    </row>
    <row r="1560" spans="1:24" ht="76.5">
      <c r="A1560" s="3" t="s">
        <v>18832</v>
      </c>
      <c r="B1560" s="6" t="s">
        <v>361</v>
      </c>
      <c r="C1560" s="6" t="s">
        <v>3979</v>
      </c>
      <c r="D1560" s="6" t="s">
        <v>3980</v>
      </c>
      <c r="E1560" s="6" t="s">
        <v>3981</v>
      </c>
      <c r="F1560" s="6" t="s">
        <v>3975</v>
      </c>
      <c r="G1560" s="3" t="s">
        <v>11449</v>
      </c>
      <c r="H1560" s="54">
        <v>1</v>
      </c>
      <c r="I1560" s="16">
        <v>470000000</v>
      </c>
      <c r="J1560" s="157" t="s">
        <v>229</v>
      </c>
      <c r="K1560" s="5" t="s">
        <v>18748</v>
      </c>
      <c r="L1560" s="6" t="s">
        <v>12251</v>
      </c>
      <c r="M1560" s="3" t="s">
        <v>12250</v>
      </c>
      <c r="N1560" s="6" t="s">
        <v>7685</v>
      </c>
      <c r="O1560" s="6" t="s">
        <v>18828</v>
      </c>
      <c r="P1560" s="58" t="s">
        <v>241</v>
      </c>
      <c r="Q1560" s="6" t="s">
        <v>234</v>
      </c>
      <c r="R1560" s="1">
        <v>8800</v>
      </c>
      <c r="S1560" s="2">
        <v>9660</v>
      </c>
      <c r="T1560" s="4">
        <f>R1560*S1560</f>
        <v>85008000</v>
      </c>
      <c r="U1560" s="4">
        <f t="shared" si="57"/>
        <v>95208960.000000015</v>
      </c>
      <c r="V1560" s="3" t="s">
        <v>362</v>
      </c>
      <c r="W1560" s="3">
        <v>2014</v>
      </c>
      <c r="X1560" s="3"/>
    </row>
    <row r="1561" spans="1:24" ht="102">
      <c r="A1561" s="3" t="s">
        <v>1191</v>
      </c>
      <c r="B1561" s="6" t="s">
        <v>361</v>
      </c>
      <c r="C1561" s="6" t="s">
        <v>3986</v>
      </c>
      <c r="D1561" s="6" t="s">
        <v>3980</v>
      </c>
      <c r="E1561" s="6" t="s">
        <v>3987</v>
      </c>
      <c r="F1561" s="6" t="s">
        <v>181</v>
      </c>
      <c r="G1561" s="3" t="s">
        <v>11449</v>
      </c>
      <c r="H1561" s="54">
        <v>1</v>
      </c>
      <c r="I1561" s="16">
        <v>470000000</v>
      </c>
      <c r="J1561" s="157" t="s">
        <v>229</v>
      </c>
      <c r="K1561" s="5" t="s">
        <v>215</v>
      </c>
      <c r="L1561" s="6" t="s">
        <v>231</v>
      </c>
      <c r="M1561" s="3" t="s">
        <v>230</v>
      </c>
      <c r="N1561" s="6" t="s">
        <v>7685</v>
      </c>
      <c r="O1561" s="6" t="s">
        <v>233</v>
      </c>
      <c r="P1561" s="58" t="s">
        <v>241</v>
      </c>
      <c r="Q1561" s="6" t="s">
        <v>234</v>
      </c>
      <c r="R1561" s="1">
        <v>1800</v>
      </c>
      <c r="S1561" s="2">
        <v>18250</v>
      </c>
      <c r="T1561" s="4">
        <v>0</v>
      </c>
      <c r="U1561" s="4">
        <f t="shared" si="57"/>
        <v>0</v>
      </c>
      <c r="V1561" s="3" t="s">
        <v>362</v>
      </c>
      <c r="W1561" s="3">
        <v>2014</v>
      </c>
      <c r="X1561" s="3" t="s">
        <v>12313</v>
      </c>
    </row>
    <row r="1562" spans="1:24" ht="89.25">
      <c r="A1562" s="3" t="s">
        <v>12320</v>
      </c>
      <c r="B1562" s="6" t="s">
        <v>361</v>
      </c>
      <c r="C1562" s="6" t="s">
        <v>3986</v>
      </c>
      <c r="D1562" s="6" t="s">
        <v>3980</v>
      </c>
      <c r="E1562" s="6" t="s">
        <v>3987</v>
      </c>
      <c r="F1562" s="6" t="s">
        <v>181</v>
      </c>
      <c r="G1562" s="3" t="s">
        <v>11449</v>
      </c>
      <c r="H1562" s="54">
        <v>1</v>
      </c>
      <c r="I1562" s="16">
        <v>470000000</v>
      </c>
      <c r="J1562" s="157" t="s">
        <v>229</v>
      </c>
      <c r="K1562" s="5" t="s">
        <v>217</v>
      </c>
      <c r="L1562" s="6" t="s">
        <v>12251</v>
      </c>
      <c r="M1562" s="3" t="s">
        <v>12250</v>
      </c>
      <c r="N1562" s="6" t="s">
        <v>7685</v>
      </c>
      <c r="O1562" s="6" t="s">
        <v>233</v>
      </c>
      <c r="P1562" s="58" t="s">
        <v>241</v>
      </c>
      <c r="Q1562" s="6" t="s">
        <v>234</v>
      </c>
      <c r="R1562" s="1">
        <v>1800</v>
      </c>
      <c r="S1562" s="2">
        <v>18250</v>
      </c>
      <c r="T1562" s="4">
        <v>0</v>
      </c>
      <c r="U1562" s="4">
        <f t="shared" si="57"/>
        <v>0</v>
      </c>
      <c r="V1562" s="3" t="s">
        <v>362</v>
      </c>
      <c r="W1562" s="3">
        <v>2014</v>
      </c>
      <c r="X1562" s="3">
        <v>11.18</v>
      </c>
    </row>
    <row r="1563" spans="1:24" ht="89.25">
      <c r="A1563" s="3" t="s">
        <v>14800</v>
      </c>
      <c r="B1563" s="6" t="s">
        <v>361</v>
      </c>
      <c r="C1563" s="6" t="s">
        <v>3986</v>
      </c>
      <c r="D1563" s="6" t="s">
        <v>3980</v>
      </c>
      <c r="E1563" s="6" t="s">
        <v>3987</v>
      </c>
      <c r="F1563" s="6" t="s">
        <v>181</v>
      </c>
      <c r="G1563" s="3" t="s">
        <v>11449</v>
      </c>
      <c r="H1563" s="54">
        <v>1</v>
      </c>
      <c r="I1563" s="16">
        <v>470000000</v>
      </c>
      <c r="J1563" s="157" t="s">
        <v>229</v>
      </c>
      <c r="K1563" s="5" t="s">
        <v>14801</v>
      </c>
      <c r="L1563" s="6" t="s">
        <v>12251</v>
      </c>
      <c r="M1563" s="3" t="s">
        <v>12250</v>
      </c>
      <c r="N1563" s="6" t="s">
        <v>7685</v>
      </c>
      <c r="O1563" s="6" t="s">
        <v>233</v>
      </c>
      <c r="P1563" s="58" t="s">
        <v>241</v>
      </c>
      <c r="Q1563" s="6" t="s">
        <v>234</v>
      </c>
      <c r="R1563" s="1">
        <v>850</v>
      </c>
      <c r="S1563" s="2">
        <v>18250</v>
      </c>
      <c r="T1563" s="4">
        <v>0</v>
      </c>
      <c r="U1563" s="4">
        <f t="shared" si="57"/>
        <v>0</v>
      </c>
      <c r="V1563" s="3" t="s">
        <v>362</v>
      </c>
      <c r="W1563" s="3">
        <v>2014</v>
      </c>
      <c r="X1563" s="3" t="s">
        <v>14780</v>
      </c>
    </row>
    <row r="1564" spans="1:24" ht="89.25">
      <c r="A1564" s="3" t="s">
        <v>17903</v>
      </c>
      <c r="B1564" s="6" t="s">
        <v>361</v>
      </c>
      <c r="C1564" s="6" t="s">
        <v>3986</v>
      </c>
      <c r="D1564" s="6" t="s">
        <v>3980</v>
      </c>
      <c r="E1564" s="6" t="s">
        <v>3987</v>
      </c>
      <c r="F1564" s="6" t="s">
        <v>181</v>
      </c>
      <c r="G1564" s="3" t="s">
        <v>11449</v>
      </c>
      <c r="H1564" s="54">
        <v>1</v>
      </c>
      <c r="I1564" s="16">
        <v>470000000</v>
      </c>
      <c r="J1564" s="157" t="s">
        <v>229</v>
      </c>
      <c r="K1564" s="5" t="s">
        <v>222</v>
      </c>
      <c r="L1564" s="6" t="s">
        <v>12251</v>
      </c>
      <c r="M1564" s="3" t="s">
        <v>12250</v>
      </c>
      <c r="N1564" s="6" t="s">
        <v>7685</v>
      </c>
      <c r="O1564" s="6" t="s">
        <v>233</v>
      </c>
      <c r="P1564" s="58" t="s">
        <v>241</v>
      </c>
      <c r="Q1564" s="6" t="s">
        <v>234</v>
      </c>
      <c r="R1564" s="1">
        <v>1800</v>
      </c>
      <c r="S1564" s="2">
        <v>18250</v>
      </c>
      <c r="T1564" s="4">
        <v>0</v>
      </c>
      <c r="U1564" s="4">
        <f t="shared" si="57"/>
        <v>0</v>
      </c>
      <c r="V1564" s="3" t="s">
        <v>362</v>
      </c>
      <c r="W1564" s="3">
        <v>2014</v>
      </c>
      <c r="X1564" s="3" t="s">
        <v>18825</v>
      </c>
    </row>
    <row r="1565" spans="1:24" ht="76.5">
      <c r="A1565" s="3" t="s">
        <v>18831</v>
      </c>
      <c r="B1565" s="6" t="s">
        <v>361</v>
      </c>
      <c r="C1565" s="6" t="s">
        <v>3986</v>
      </c>
      <c r="D1565" s="6" t="s">
        <v>3980</v>
      </c>
      <c r="E1565" s="6" t="s">
        <v>3987</v>
      </c>
      <c r="F1565" s="6" t="s">
        <v>181</v>
      </c>
      <c r="G1565" s="3" t="s">
        <v>11449</v>
      </c>
      <c r="H1565" s="54">
        <v>1</v>
      </c>
      <c r="I1565" s="16">
        <v>470000000</v>
      </c>
      <c r="J1565" s="157" t="s">
        <v>229</v>
      </c>
      <c r="K1565" s="5" t="s">
        <v>18748</v>
      </c>
      <c r="L1565" s="6" t="s">
        <v>12251</v>
      </c>
      <c r="M1565" s="3" t="s">
        <v>12250</v>
      </c>
      <c r="N1565" s="6" t="s">
        <v>7685</v>
      </c>
      <c r="O1565" s="6" t="s">
        <v>18828</v>
      </c>
      <c r="P1565" s="58" t="s">
        <v>241</v>
      </c>
      <c r="Q1565" s="6" t="s">
        <v>234</v>
      </c>
      <c r="R1565" s="1">
        <v>2300</v>
      </c>
      <c r="S1565" s="2">
        <v>18250</v>
      </c>
      <c r="T1565" s="4">
        <f>R1565*S1565</f>
        <v>41975000</v>
      </c>
      <c r="U1565" s="4">
        <f t="shared" si="57"/>
        <v>47012000.000000007</v>
      </c>
      <c r="V1565" s="3" t="s">
        <v>362</v>
      </c>
      <c r="W1565" s="3">
        <v>2014</v>
      </c>
      <c r="X1565" s="3"/>
    </row>
    <row r="1566" spans="1:24" ht="102">
      <c r="A1566" s="3" t="s">
        <v>1192</v>
      </c>
      <c r="B1566" s="6" t="s">
        <v>361</v>
      </c>
      <c r="C1566" s="6" t="s">
        <v>3984</v>
      </c>
      <c r="D1566" s="6" t="s">
        <v>3980</v>
      </c>
      <c r="E1566" s="6" t="s">
        <v>3985</v>
      </c>
      <c r="F1566" s="6" t="s">
        <v>182</v>
      </c>
      <c r="G1566" s="3" t="s">
        <v>11449</v>
      </c>
      <c r="H1566" s="54">
        <v>1</v>
      </c>
      <c r="I1566" s="16">
        <v>470000000</v>
      </c>
      <c r="J1566" s="157" t="s">
        <v>229</v>
      </c>
      <c r="K1566" s="5" t="s">
        <v>215</v>
      </c>
      <c r="L1566" s="6" t="s">
        <v>231</v>
      </c>
      <c r="M1566" s="3" t="s">
        <v>230</v>
      </c>
      <c r="N1566" s="6" t="s">
        <v>7685</v>
      </c>
      <c r="O1566" s="6" t="s">
        <v>233</v>
      </c>
      <c r="P1566" s="58" t="s">
        <v>241</v>
      </c>
      <c r="Q1566" s="6" t="s">
        <v>234</v>
      </c>
      <c r="R1566" s="1">
        <v>350</v>
      </c>
      <c r="S1566" s="2">
        <v>12080</v>
      </c>
      <c r="T1566" s="4">
        <v>0</v>
      </c>
      <c r="U1566" s="4">
        <f t="shared" si="57"/>
        <v>0</v>
      </c>
      <c r="V1566" s="3" t="s">
        <v>362</v>
      </c>
      <c r="W1566" s="3">
        <v>2014</v>
      </c>
      <c r="X1566" s="3" t="s">
        <v>12313</v>
      </c>
    </row>
    <row r="1567" spans="1:24" ht="89.25">
      <c r="A1567" s="3" t="s">
        <v>12321</v>
      </c>
      <c r="B1567" s="6" t="s">
        <v>361</v>
      </c>
      <c r="C1567" s="6" t="s">
        <v>3984</v>
      </c>
      <c r="D1567" s="6" t="s">
        <v>3980</v>
      </c>
      <c r="E1567" s="6" t="s">
        <v>3985</v>
      </c>
      <c r="F1567" s="6" t="s">
        <v>182</v>
      </c>
      <c r="G1567" s="3" t="s">
        <v>11449</v>
      </c>
      <c r="H1567" s="54">
        <v>1</v>
      </c>
      <c r="I1567" s="16">
        <v>470000000</v>
      </c>
      <c r="J1567" s="157" t="s">
        <v>229</v>
      </c>
      <c r="K1567" s="5" t="s">
        <v>217</v>
      </c>
      <c r="L1567" s="6" t="s">
        <v>12251</v>
      </c>
      <c r="M1567" s="3" t="s">
        <v>12250</v>
      </c>
      <c r="N1567" s="6" t="s">
        <v>7685</v>
      </c>
      <c r="O1567" s="6" t="s">
        <v>233</v>
      </c>
      <c r="P1567" s="58" t="s">
        <v>241</v>
      </c>
      <c r="Q1567" s="6" t="s">
        <v>234</v>
      </c>
      <c r="R1567" s="1">
        <v>350</v>
      </c>
      <c r="S1567" s="2">
        <v>12080</v>
      </c>
      <c r="T1567" s="4">
        <v>0</v>
      </c>
      <c r="U1567" s="4">
        <f t="shared" si="57"/>
        <v>0</v>
      </c>
      <c r="V1567" s="3" t="s">
        <v>362</v>
      </c>
      <c r="W1567" s="3">
        <v>2014</v>
      </c>
      <c r="X1567" s="3" t="s">
        <v>14588</v>
      </c>
    </row>
    <row r="1568" spans="1:24" ht="89.25">
      <c r="A1568" s="3" t="s">
        <v>14802</v>
      </c>
      <c r="B1568" s="6" t="s">
        <v>361</v>
      </c>
      <c r="C1568" s="6" t="s">
        <v>3984</v>
      </c>
      <c r="D1568" s="6" t="s">
        <v>3980</v>
      </c>
      <c r="E1568" s="6" t="s">
        <v>3985</v>
      </c>
      <c r="F1568" s="6" t="s">
        <v>182</v>
      </c>
      <c r="G1568" s="3" t="s">
        <v>11449</v>
      </c>
      <c r="H1568" s="54">
        <v>1</v>
      </c>
      <c r="I1568" s="16">
        <v>470000000</v>
      </c>
      <c r="J1568" s="157" t="s">
        <v>229</v>
      </c>
      <c r="K1568" s="5" t="s">
        <v>14801</v>
      </c>
      <c r="L1568" s="6" t="s">
        <v>12251</v>
      </c>
      <c r="M1568" s="3" t="s">
        <v>12250</v>
      </c>
      <c r="N1568" s="6" t="s">
        <v>7685</v>
      </c>
      <c r="O1568" s="6" t="s">
        <v>233</v>
      </c>
      <c r="P1568" s="58" t="s">
        <v>241</v>
      </c>
      <c r="Q1568" s="6" t="s">
        <v>234</v>
      </c>
      <c r="R1568" s="1">
        <v>250</v>
      </c>
      <c r="S1568" s="2">
        <v>15554</v>
      </c>
      <c r="T1568" s="4">
        <v>0</v>
      </c>
      <c r="U1568" s="4">
        <f t="shared" si="57"/>
        <v>0</v>
      </c>
      <c r="V1568" s="3" t="s">
        <v>362</v>
      </c>
      <c r="W1568" s="3">
        <v>2014</v>
      </c>
      <c r="X1568" s="3" t="s">
        <v>14780</v>
      </c>
    </row>
    <row r="1569" spans="1:24" ht="89.25">
      <c r="A1569" s="3" t="s">
        <v>17904</v>
      </c>
      <c r="B1569" s="6" t="s">
        <v>361</v>
      </c>
      <c r="C1569" s="6" t="s">
        <v>3984</v>
      </c>
      <c r="D1569" s="6" t="s">
        <v>3980</v>
      </c>
      <c r="E1569" s="6" t="s">
        <v>3985</v>
      </c>
      <c r="F1569" s="6" t="s">
        <v>182</v>
      </c>
      <c r="G1569" s="3" t="s">
        <v>11449</v>
      </c>
      <c r="H1569" s="54">
        <v>1</v>
      </c>
      <c r="I1569" s="16">
        <v>470000000</v>
      </c>
      <c r="J1569" s="157" t="s">
        <v>229</v>
      </c>
      <c r="K1569" s="5" t="s">
        <v>222</v>
      </c>
      <c r="L1569" s="6" t="s">
        <v>12251</v>
      </c>
      <c r="M1569" s="3" t="s">
        <v>12250</v>
      </c>
      <c r="N1569" s="6" t="s">
        <v>7685</v>
      </c>
      <c r="O1569" s="6" t="s">
        <v>233</v>
      </c>
      <c r="P1569" s="58" t="s">
        <v>241</v>
      </c>
      <c r="Q1569" s="6" t="s">
        <v>234</v>
      </c>
      <c r="R1569" s="1">
        <v>500</v>
      </c>
      <c r="S1569" s="2">
        <v>15554</v>
      </c>
      <c r="T1569" s="4">
        <f>R1569*S1569</f>
        <v>7777000</v>
      </c>
      <c r="U1569" s="4">
        <f t="shared" si="57"/>
        <v>8710240</v>
      </c>
      <c r="V1569" s="3" t="s">
        <v>362</v>
      </c>
      <c r="W1569" s="3">
        <v>2014</v>
      </c>
      <c r="X1569" s="3"/>
    </row>
    <row r="1570" spans="1:24" ht="102">
      <c r="A1570" s="3" t="s">
        <v>1193</v>
      </c>
      <c r="B1570" s="6" t="s">
        <v>361</v>
      </c>
      <c r="C1570" s="6" t="s">
        <v>3982</v>
      </c>
      <c r="D1570" s="6" t="s">
        <v>3980</v>
      </c>
      <c r="E1570" s="6" t="s">
        <v>3983</v>
      </c>
      <c r="F1570" s="6" t="s">
        <v>183</v>
      </c>
      <c r="G1570" s="3" t="s">
        <v>11449</v>
      </c>
      <c r="H1570" s="54">
        <v>1</v>
      </c>
      <c r="I1570" s="16">
        <v>470000000</v>
      </c>
      <c r="J1570" s="157" t="s">
        <v>229</v>
      </c>
      <c r="K1570" s="5" t="s">
        <v>215</v>
      </c>
      <c r="L1570" s="6" t="s">
        <v>231</v>
      </c>
      <c r="M1570" s="3" t="s">
        <v>230</v>
      </c>
      <c r="N1570" s="6" t="s">
        <v>7685</v>
      </c>
      <c r="O1570" s="6" t="s">
        <v>233</v>
      </c>
      <c r="P1570" s="58" t="s">
        <v>241</v>
      </c>
      <c r="Q1570" s="6" t="s">
        <v>234</v>
      </c>
      <c r="R1570" s="1">
        <v>1260</v>
      </c>
      <c r="S1570" s="2">
        <v>6313</v>
      </c>
      <c r="T1570" s="4">
        <v>0</v>
      </c>
      <c r="U1570" s="4">
        <f t="shared" si="57"/>
        <v>0</v>
      </c>
      <c r="V1570" s="3" t="s">
        <v>362</v>
      </c>
      <c r="W1570" s="3">
        <v>2014</v>
      </c>
      <c r="X1570" s="3" t="s">
        <v>12313</v>
      </c>
    </row>
    <row r="1571" spans="1:24" ht="89.25">
      <c r="A1571" s="3" t="s">
        <v>12322</v>
      </c>
      <c r="B1571" s="6" t="s">
        <v>361</v>
      </c>
      <c r="C1571" s="6" t="s">
        <v>3982</v>
      </c>
      <c r="D1571" s="6" t="s">
        <v>3980</v>
      </c>
      <c r="E1571" s="6" t="s">
        <v>3983</v>
      </c>
      <c r="F1571" s="6" t="s">
        <v>183</v>
      </c>
      <c r="G1571" s="3" t="s">
        <v>11449</v>
      </c>
      <c r="H1571" s="54">
        <v>1</v>
      </c>
      <c r="I1571" s="16">
        <v>470000000</v>
      </c>
      <c r="J1571" s="157" t="s">
        <v>229</v>
      </c>
      <c r="K1571" s="5" t="s">
        <v>217</v>
      </c>
      <c r="L1571" s="6" t="s">
        <v>12251</v>
      </c>
      <c r="M1571" s="3" t="s">
        <v>12250</v>
      </c>
      <c r="N1571" s="6" t="s">
        <v>7685</v>
      </c>
      <c r="O1571" s="6" t="s">
        <v>233</v>
      </c>
      <c r="P1571" s="58" t="s">
        <v>241</v>
      </c>
      <c r="Q1571" s="6" t="s">
        <v>234</v>
      </c>
      <c r="R1571" s="1">
        <v>1260</v>
      </c>
      <c r="S1571" s="2">
        <v>6313</v>
      </c>
      <c r="T1571" s="4">
        <v>0</v>
      </c>
      <c r="U1571" s="4">
        <f t="shared" si="57"/>
        <v>0</v>
      </c>
      <c r="V1571" s="3" t="s">
        <v>362</v>
      </c>
      <c r="W1571" s="3">
        <v>2014</v>
      </c>
      <c r="X1571" s="3" t="s">
        <v>14588</v>
      </c>
    </row>
    <row r="1572" spans="1:24" ht="89.25">
      <c r="A1572" s="3" t="s">
        <v>14803</v>
      </c>
      <c r="B1572" s="6" t="s">
        <v>361</v>
      </c>
      <c r="C1572" s="6" t="s">
        <v>3982</v>
      </c>
      <c r="D1572" s="6" t="s">
        <v>3980</v>
      </c>
      <c r="E1572" s="6" t="s">
        <v>3983</v>
      </c>
      <c r="F1572" s="6" t="s">
        <v>183</v>
      </c>
      <c r="G1572" s="3" t="s">
        <v>11449</v>
      </c>
      <c r="H1572" s="54">
        <v>1</v>
      </c>
      <c r="I1572" s="16">
        <v>470000000</v>
      </c>
      <c r="J1572" s="157" t="s">
        <v>229</v>
      </c>
      <c r="K1572" s="5" t="s">
        <v>14801</v>
      </c>
      <c r="L1572" s="6" t="s">
        <v>12251</v>
      </c>
      <c r="M1572" s="3" t="s">
        <v>12250</v>
      </c>
      <c r="N1572" s="6" t="s">
        <v>7685</v>
      </c>
      <c r="O1572" s="6" t="s">
        <v>233</v>
      </c>
      <c r="P1572" s="58" t="s">
        <v>241</v>
      </c>
      <c r="Q1572" s="6" t="s">
        <v>234</v>
      </c>
      <c r="R1572" s="1">
        <v>200</v>
      </c>
      <c r="S1572" s="2">
        <v>12420</v>
      </c>
      <c r="T1572" s="4">
        <v>0</v>
      </c>
      <c r="U1572" s="4">
        <f t="shared" si="57"/>
        <v>0</v>
      </c>
      <c r="V1572" s="3" t="s">
        <v>362</v>
      </c>
      <c r="W1572" s="3">
        <v>2014</v>
      </c>
      <c r="X1572" s="3" t="s">
        <v>14780</v>
      </c>
    </row>
    <row r="1573" spans="1:24" ht="89.25">
      <c r="A1573" s="3" t="s">
        <v>17905</v>
      </c>
      <c r="B1573" s="6" t="s">
        <v>361</v>
      </c>
      <c r="C1573" s="6" t="s">
        <v>3982</v>
      </c>
      <c r="D1573" s="6" t="s">
        <v>3980</v>
      </c>
      <c r="E1573" s="6" t="s">
        <v>3983</v>
      </c>
      <c r="F1573" s="6" t="s">
        <v>183</v>
      </c>
      <c r="G1573" s="3" t="s">
        <v>11449</v>
      </c>
      <c r="H1573" s="54">
        <v>1</v>
      </c>
      <c r="I1573" s="16">
        <v>470000000</v>
      </c>
      <c r="J1573" s="157" t="s">
        <v>229</v>
      </c>
      <c r="K1573" s="5" t="s">
        <v>222</v>
      </c>
      <c r="L1573" s="6" t="s">
        <v>12251</v>
      </c>
      <c r="M1573" s="3" t="s">
        <v>12250</v>
      </c>
      <c r="N1573" s="6" t="s">
        <v>7685</v>
      </c>
      <c r="O1573" s="6" t="s">
        <v>233</v>
      </c>
      <c r="P1573" s="58" t="s">
        <v>241</v>
      </c>
      <c r="Q1573" s="6" t="s">
        <v>234</v>
      </c>
      <c r="R1573" s="1">
        <v>700</v>
      </c>
      <c r="S1573" s="2">
        <v>12420</v>
      </c>
      <c r="T1573" s="4">
        <v>0</v>
      </c>
      <c r="U1573" s="4">
        <f t="shared" si="57"/>
        <v>0</v>
      </c>
      <c r="V1573" s="3" t="s">
        <v>362</v>
      </c>
      <c r="W1573" s="3">
        <v>2014</v>
      </c>
      <c r="X1573" s="3" t="s">
        <v>18825</v>
      </c>
    </row>
    <row r="1574" spans="1:24" ht="76.5">
      <c r="A1574" s="3" t="s">
        <v>18830</v>
      </c>
      <c r="B1574" s="6" t="s">
        <v>361</v>
      </c>
      <c r="C1574" s="6" t="s">
        <v>3982</v>
      </c>
      <c r="D1574" s="6" t="s">
        <v>3980</v>
      </c>
      <c r="E1574" s="6" t="s">
        <v>3983</v>
      </c>
      <c r="F1574" s="6" t="s">
        <v>183</v>
      </c>
      <c r="G1574" s="3" t="s">
        <v>11449</v>
      </c>
      <c r="H1574" s="54">
        <v>1</v>
      </c>
      <c r="I1574" s="16">
        <v>470000000</v>
      </c>
      <c r="J1574" s="157" t="s">
        <v>229</v>
      </c>
      <c r="K1574" s="5" t="s">
        <v>18748</v>
      </c>
      <c r="L1574" s="6" t="s">
        <v>12251</v>
      </c>
      <c r="M1574" s="3" t="s">
        <v>12250</v>
      </c>
      <c r="N1574" s="6" t="s">
        <v>7685</v>
      </c>
      <c r="O1574" s="6" t="s">
        <v>18828</v>
      </c>
      <c r="P1574" s="58" t="s">
        <v>241</v>
      </c>
      <c r="Q1574" s="6" t="s">
        <v>234</v>
      </c>
      <c r="R1574" s="1">
        <v>1150</v>
      </c>
      <c r="S1574" s="2">
        <v>12420</v>
      </c>
      <c r="T1574" s="4">
        <f>R1574*S1574</f>
        <v>14283000</v>
      </c>
      <c r="U1574" s="4">
        <f t="shared" si="57"/>
        <v>15996960.000000002</v>
      </c>
      <c r="V1574" s="3" t="s">
        <v>362</v>
      </c>
      <c r="W1574" s="3">
        <v>2014</v>
      </c>
      <c r="X1574" s="3"/>
    </row>
    <row r="1575" spans="1:24" ht="102">
      <c r="A1575" s="3" t="s">
        <v>1194</v>
      </c>
      <c r="B1575" s="6" t="s">
        <v>361</v>
      </c>
      <c r="C1575" s="6" t="s">
        <v>3989</v>
      </c>
      <c r="D1575" s="6" t="s">
        <v>3980</v>
      </c>
      <c r="E1575" s="6" t="s">
        <v>3990</v>
      </c>
      <c r="F1575" s="6" t="s">
        <v>184</v>
      </c>
      <c r="G1575" s="3" t="s">
        <v>11449</v>
      </c>
      <c r="H1575" s="54">
        <v>1</v>
      </c>
      <c r="I1575" s="16">
        <v>470000000</v>
      </c>
      <c r="J1575" s="157" t="s">
        <v>229</v>
      </c>
      <c r="K1575" s="5" t="s">
        <v>215</v>
      </c>
      <c r="L1575" s="6" t="s">
        <v>231</v>
      </c>
      <c r="M1575" s="3" t="s">
        <v>230</v>
      </c>
      <c r="N1575" s="6" t="s">
        <v>7685</v>
      </c>
      <c r="O1575" s="6" t="s">
        <v>233</v>
      </c>
      <c r="P1575" s="58" t="s">
        <v>241</v>
      </c>
      <c r="Q1575" s="6" t="s">
        <v>234</v>
      </c>
      <c r="R1575" s="18">
        <v>50</v>
      </c>
      <c r="S1575" s="2">
        <v>4869</v>
      </c>
      <c r="T1575" s="4">
        <v>0</v>
      </c>
      <c r="U1575" s="4">
        <f t="shared" si="57"/>
        <v>0</v>
      </c>
      <c r="V1575" s="3" t="s">
        <v>362</v>
      </c>
      <c r="W1575" s="3">
        <v>2014</v>
      </c>
      <c r="X1575" s="3" t="s">
        <v>12313</v>
      </c>
    </row>
    <row r="1576" spans="1:24" ht="89.25">
      <c r="A1576" s="3" t="s">
        <v>12323</v>
      </c>
      <c r="B1576" s="6" t="s">
        <v>361</v>
      </c>
      <c r="C1576" s="6" t="s">
        <v>3989</v>
      </c>
      <c r="D1576" s="6" t="s">
        <v>3980</v>
      </c>
      <c r="E1576" s="6" t="s">
        <v>3990</v>
      </c>
      <c r="F1576" s="6" t="s">
        <v>184</v>
      </c>
      <c r="G1576" s="3" t="s">
        <v>11449</v>
      </c>
      <c r="H1576" s="54">
        <v>1</v>
      </c>
      <c r="I1576" s="16">
        <v>470000000</v>
      </c>
      <c r="J1576" s="157" t="s">
        <v>229</v>
      </c>
      <c r="K1576" s="5" t="s">
        <v>217</v>
      </c>
      <c r="L1576" s="6" t="s">
        <v>12251</v>
      </c>
      <c r="M1576" s="3" t="s">
        <v>12250</v>
      </c>
      <c r="N1576" s="6" t="s">
        <v>7685</v>
      </c>
      <c r="O1576" s="6" t="s">
        <v>233</v>
      </c>
      <c r="P1576" s="58" t="s">
        <v>241</v>
      </c>
      <c r="Q1576" s="6" t="s">
        <v>234</v>
      </c>
      <c r="R1576" s="18">
        <v>50</v>
      </c>
      <c r="S1576" s="2">
        <v>4869</v>
      </c>
      <c r="T1576" s="4">
        <v>0</v>
      </c>
      <c r="U1576" s="4">
        <f t="shared" si="57"/>
        <v>0</v>
      </c>
      <c r="V1576" s="3" t="s">
        <v>362</v>
      </c>
      <c r="W1576" s="3">
        <v>2014</v>
      </c>
      <c r="X1576" s="3" t="s">
        <v>14132</v>
      </c>
    </row>
    <row r="1577" spans="1:24" ht="89.25">
      <c r="A1577" s="3" t="s">
        <v>14804</v>
      </c>
      <c r="B1577" s="6" t="s">
        <v>361</v>
      </c>
      <c r="C1577" s="6" t="s">
        <v>3989</v>
      </c>
      <c r="D1577" s="6" t="s">
        <v>3980</v>
      </c>
      <c r="E1577" s="6" t="s">
        <v>3990</v>
      </c>
      <c r="F1577" s="6" t="s">
        <v>184</v>
      </c>
      <c r="G1577" s="3" t="s">
        <v>11449</v>
      </c>
      <c r="H1577" s="54">
        <v>1</v>
      </c>
      <c r="I1577" s="16">
        <v>470000000</v>
      </c>
      <c r="J1577" s="157" t="s">
        <v>229</v>
      </c>
      <c r="K1577" s="5" t="s">
        <v>221</v>
      </c>
      <c r="L1577" s="6" t="s">
        <v>12251</v>
      </c>
      <c r="M1577" s="3" t="s">
        <v>12250</v>
      </c>
      <c r="N1577" s="6" t="s">
        <v>7685</v>
      </c>
      <c r="O1577" s="6" t="s">
        <v>233</v>
      </c>
      <c r="P1577" s="58" t="s">
        <v>241</v>
      </c>
      <c r="Q1577" s="6" t="s">
        <v>234</v>
      </c>
      <c r="R1577" s="18">
        <v>127</v>
      </c>
      <c r="S1577" s="2">
        <v>6491</v>
      </c>
      <c r="T1577" s="4">
        <v>0</v>
      </c>
      <c r="U1577" s="4">
        <f t="shared" si="57"/>
        <v>0</v>
      </c>
      <c r="V1577" s="3" t="s">
        <v>362</v>
      </c>
      <c r="W1577" s="3">
        <v>2014</v>
      </c>
      <c r="X1577" s="3" t="s">
        <v>17399</v>
      </c>
    </row>
    <row r="1578" spans="1:24" ht="89.25">
      <c r="A1578" s="3" t="s">
        <v>17906</v>
      </c>
      <c r="B1578" s="6" t="s">
        <v>361</v>
      </c>
      <c r="C1578" s="6" t="s">
        <v>3989</v>
      </c>
      <c r="D1578" s="6" t="s">
        <v>3980</v>
      </c>
      <c r="E1578" s="6" t="s">
        <v>3990</v>
      </c>
      <c r="F1578" s="6" t="s">
        <v>184</v>
      </c>
      <c r="G1578" s="3" t="s">
        <v>11450</v>
      </c>
      <c r="H1578" s="54">
        <v>1</v>
      </c>
      <c r="I1578" s="16">
        <v>470000000</v>
      </c>
      <c r="J1578" s="157" t="s">
        <v>229</v>
      </c>
      <c r="K1578" s="5" t="s">
        <v>222</v>
      </c>
      <c r="L1578" s="6" t="s">
        <v>12251</v>
      </c>
      <c r="M1578" s="3" t="s">
        <v>12250</v>
      </c>
      <c r="N1578" s="6" t="s">
        <v>8914</v>
      </c>
      <c r="O1578" s="6" t="s">
        <v>233</v>
      </c>
      <c r="P1578" s="58" t="s">
        <v>241</v>
      </c>
      <c r="Q1578" s="6" t="s">
        <v>234</v>
      </c>
      <c r="R1578" s="18">
        <v>127</v>
      </c>
      <c r="S1578" s="2">
        <v>6491</v>
      </c>
      <c r="T1578" s="4">
        <f>R1578*S1578</f>
        <v>824357</v>
      </c>
      <c r="U1578" s="4">
        <f t="shared" si="57"/>
        <v>923279.84000000008</v>
      </c>
      <c r="V1578" s="3" t="s">
        <v>362</v>
      </c>
      <c r="W1578" s="3">
        <v>2014</v>
      </c>
      <c r="X1578" s="158"/>
    </row>
    <row r="1579" spans="1:24" ht="102">
      <c r="A1579" s="3" t="s">
        <v>1195</v>
      </c>
      <c r="B1579" s="6" t="s">
        <v>361</v>
      </c>
      <c r="C1579" s="6" t="s">
        <v>3979</v>
      </c>
      <c r="D1579" s="6" t="s">
        <v>3980</v>
      </c>
      <c r="E1579" s="6" t="s">
        <v>3981</v>
      </c>
      <c r="F1579" s="6" t="s">
        <v>185</v>
      </c>
      <c r="G1579" s="3" t="s">
        <v>11449</v>
      </c>
      <c r="H1579" s="54">
        <v>1</v>
      </c>
      <c r="I1579" s="16">
        <v>470000000</v>
      </c>
      <c r="J1579" s="157" t="s">
        <v>229</v>
      </c>
      <c r="K1579" s="5" t="s">
        <v>210</v>
      </c>
      <c r="L1579" s="6" t="s">
        <v>231</v>
      </c>
      <c r="M1579" s="3" t="s">
        <v>230</v>
      </c>
      <c r="N1579" s="6" t="s">
        <v>7685</v>
      </c>
      <c r="O1579" s="6" t="s">
        <v>233</v>
      </c>
      <c r="P1579" s="58" t="s">
        <v>241</v>
      </c>
      <c r="Q1579" s="6" t="s">
        <v>234</v>
      </c>
      <c r="R1579" s="18">
        <v>120</v>
      </c>
      <c r="S1579" s="2">
        <v>5072</v>
      </c>
      <c r="T1579" s="4">
        <v>0</v>
      </c>
      <c r="U1579" s="4">
        <f t="shared" si="57"/>
        <v>0</v>
      </c>
      <c r="V1579" s="3" t="s">
        <v>362</v>
      </c>
      <c r="W1579" s="3">
        <v>2014</v>
      </c>
      <c r="X1579" s="3" t="s">
        <v>12313</v>
      </c>
    </row>
    <row r="1580" spans="1:24" ht="89.25">
      <c r="A1580" s="3" t="s">
        <v>12324</v>
      </c>
      <c r="B1580" s="6" t="s">
        <v>361</v>
      </c>
      <c r="C1580" s="6" t="s">
        <v>3979</v>
      </c>
      <c r="D1580" s="6" t="s">
        <v>3980</v>
      </c>
      <c r="E1580" s="6" t="s">
        <v>3981</v>
      </c>
      <c r="F1580" s="6" t="s">
        <v>185</v>
      </c>
      <c r="G1580" s="3" t="s">
        <v>11449</v>
      </c>
      <c r="H1580" s="54">
        <v>1</v>
      </c>
      <c r="I1580" s="16">
        <v>470000000</v>
      </c>
      <c r="J1580" s="157" t="s">
        <v>229</v>
      </c>
      <c r="K1580" s="5" t="s">
        <v>217</v>
      </c>
      <c r="L1580" s="6" t="s">
        <v>12251</v>
      </c>
      <c r="M1580" s="3" t="s">
        <v>12250</v>
      </c>
      <c r="N1580" s="6" t="s">
        <v>7685</v>
      </c>
      <c r="O1580" s="6" t="s">
        <v>233</v>
      </c>
      <c r="P1580" s="58" t="s">
        <v>241</v>
      </c>
      <c r="Q1580" s="6" t="s">
        <v>234</v>
      </c>
      <c r="R1580" s="18">
        <v>120</v>
      </c>
      <c r="S1580" s="2">
        <v>5072</v>
      </c>
      <c r="T1580" s="4">
        <v>0</v>
      </c>
      <c r="U1580" s="4">
        <f t="shared" si="57"/>
        <v>0</v>
      </c>
      <c r="V1580" s="3" t="s">
        <v>362</v>
      </c>
      <c r="W1580" s="3">
        <v>2014</v>
      </c>
      <c r="X1580" s="3" t="s">
        <v>14230</v>
      </c>
    </row>
    <row r="1581" spans="1:24" ht="89.25">
      <c r="A1581" s="3" t="s">
        <v>14805</v>
      </c>
      <c r="B1581" s="6" t="s">
        <v>361</v>
      </c>
      <c r="C1581" s="6" t="s">
        <v>3979</v>
      </c>
      <c r="D1581" s="6" t="s">
        <v>3980</v>
      </c>
      <c r="E1581" s="6" t="s">
        <v>3981</v>
      </c>
      <c r="F1581" s="6" t="s">
        <v>185</v>
      </c>
      <c r="G1581" s="3" t="s">
        <v>11449</v>
      </c>
      <c r="H1581" s="54">
        <v>1</v>
      </c>
      <c r="I1581" s="16">
        <v>470000000</v>
      </c>
      <c r="J1581" s="157" t="s">
        <v>229</v>
      </c>
      <c r="K1581" s="5" t="s">
        <v>217</v>
      </c>
      <c r="L1581" s="6" t="s">
        <v>12251</v>
      </c>
      <c r="M1581" s="3" t="s">
        <v>12250</v>
      </c>
      <c r="N1581" s="6" t="s">
        <v>7685</v>
      </c>
      <c r="O1581" s="6" t="s">
        <v>233</v>
      </c>
      <c r="P1581" s="58" t="s">
        <v>241</v>
      </c>
      <c r="Q1581" s="6" t="s">
        <v>234</v>
      </c>
      <c r="R1581" s="18">
        <v>120</v>
      </c>
      <c r="S1581" s="2">
        <v>5005</v>
      </c>
      <c r="T1581" s="4">
        <v>0</v>
      </c>
      <c r="U1581" s="4">
        <f t="shared" si="57"/>
        <v>0</v>
      </c>
      <c r="V1581" s="3" t="s">
        <v>362</v>
      </c>
      <c r="W1581" s="3">
        <v>2014</v>
      </c>
      <c r="X1581" s="3" t="s">
        <v>17399</v>
      </c>
    </row>
    <row r="1582" spans="1:24" ht="89.25">
      <c r="A1582" s="3" t="s">
        <v>17909</v>
      </c>
      <c r="B1582" s="6" t="s">
        <v>361</v>
      </c>
      <c r="C1582" s="6" t="s">
        <v>3979</v>
      </c>
      <c r="D1582" s="6" t="s">
        <v>3980</v>
      </c>
      <c r="E1582" s="6" t="s">
        <v>3981</v>
      </c>
      <c r="F1582" s="6" t="s">
        <v>185</v>
      </c>
      <c r="G1582" s="3" t="s">
        <v>11450</v>
      </c>
      <c r="H1582" s="54">
        <v>1</v>
      </c>
      <c r="I1582" s="16">
        <v>470000000</v>
      </c>
      <c r="J1582" s="157" t="s">
        <v>229</v>
      </c>
      <c r="K1582" s="5" t="s">
        <v>222</v>
      </c>
      <c r="L1582" s="6" t="s">
        <v>12251</v>
      </c>
      <c r="M1582" s="3" t="s">
        <v>12250</v>
      </c>
      <c r="N1582" s="6" t="s">
        <v>8914</v>
      </c>
      <c r="O1582" s="6" t="s">
        <v>233</v>
      </c>
      <c r="P1582" s="58" t="s">
        <v>241</v>
      </c>
      <c r="Q1582" s="6" t="s">
        <v>234</v>
      </c>
      <c r="R1582" s="18">
        <v>120</v>
      </c>
      <c r="S1582" s="2">
        <v>5005</v>
      </c>
      <c r="T1582" s="4">
        <f>R1582*S1582</f>
        <v>600600</v>
      </c>
      <c r="U1582" s="4">
        <f t="shared" si="57"/>
        <v>672672.00000000012</v>
      </c>
      <c r="V1582" s="3" t="s">
        <v>362</v>
      </c>
      <c r="W1582" s="3">
        <v>2014</v>
      </c>
      <c r="X1582" s="158"/>
    </row>
    <row r="1583" spans="1:24" ht="102">
      <c r="A1583" s="3" t="s">
        <v>1196</v>
      </c>
      <c r="B1583" s="6" t="s">
        <v>361</v>
      </c>
      <c r="C1583" s="6" t="s">
        <v>3991</v>
      </c>
      <c r="D1583" s="6" t="s">
        <v>3980</v>
      </c>
      <c r="E1583" s="6" t="s">
        <v>3992</v>
      </c>
      <c r="F1583" s="6" t="s">
        <v>3988</v>
      </c>
      <c r="G1583" s="3" t="s">
        <v>11449</v>
      </c>
      <c r="H1583" s="54">
        <v>1</v>
      </c>
      <c r="I1583" s="16">
        <v>470000000</v>
      </c>
      <c r="J1583" s="157" t="s">
        <v>229</v>
      </c>
      <c r="K1583" s="5" t="s">
        <v>210</v>
      </c>
      <c r="L1583" s="6" t="s">
        <v>231</v>
      </c>
      <c r="M1583" s="3" t="s">
        <v>230</v>
      </c>
      <c r="N1583" s="6" t="s">
        <v>7685</v>
      </c>
      <c r="O1583" s="6" t="s">
        <v>233</v>
      </c>
      <c r="P1583" s="58" t="s">
        <v>241</v>
      </c>
      <c r="Q1583" s="6" t="s">
        <v>234</v>
      </c>
      <c r="R1583" s="18">
        <v>800</v>
      </c>
      <c r="S1583" s="2">
        <v>4850</v>
      </c>
      <c r="T1583" s="4">
        <v>0</v>
      </c>
      <c r="U1583" s="4">
        <f t="shared" si="57"/>
        <v>0</v>
      </c>
      <c r="V1583" s="3" t="s">
        <v>362</v>
      </c>
      <c r="W1583" s="3">
        <v>2014</v>
      </c>
      <c r="X1583" s="3" t="s">
        <v>12313</v>
      </c>
    </row>
    <row r="1584" spans="1:24" ht="89.25">
      <c r="A1584" s="3" t="s">
        <v>12325</v>
      </c>
      <c r="B1584" s="6" t="s">
        <v>361</v>
      </c>
      <c r="C1584" s="6" t="s">
        <v>3991</v>
      </c>
      <c r="D1584" s="6" t="s">
        <v>3980</v>
      </c>
      <c r="E1584" s="6" t="s">
        <v>3992</v>
      </c>
      <c r="F1584" s="6" t="s">
        <v>3988</v>
      </c>
      <c r="G1584" s="3" t="s">
        <v>11449</v>
      </c>
      <c r="H1584" s="54">
        <v>1</v>
      </c>
      <c r="I1584" s="16">
        <v>470000000</v>
      </c>
      <c r="J1584" s="157" t="s">
        <v>229</v>
      </c>
      <c r="K1584" s="5" t="s">
        <v>12314</v>
      </c>
      <c r="L1584" s="6" t="s">
        <v>12251</v>
      </c>
      <c r="M1584" s="3" t="s">
        <v>12250</v>
      </c>
      <c r="N1584" s="6" t="s">
        <v>7685</v>
      </c>
      <c r="O1584" s="6" t="s">
        <v>233</v>
      </c>
      <c r="P1584" s="58" t="s">
        <v>241</v>
      </c>
      <c r="Q1584" s="6" t="s">
        <v>234</v>
      </c>
      <c r="R1584" s="18">
        <v>800</v>
      </c>
      <c r="S1584" s="2">
        <v>4850</v>
      </c>
      <c r="T1584" s="4">
        <v>0</v>
      </c>
      <c r="U1584" s="4">
        <f t="shared" si="57"/>
        <v>0</v>
      </c>
      <c r="V1584" s="3" t="s">
        <v>362</v>
      </c>
      <c r="W1584" s="3">
        <v>2014</v>
      </c>
      <c r="X1584" s="3" t="s">
        <v>12051</v>
      </c>
    </row>
    <row r="1585" spans="1:24" ht="89.25">
      <c r="A1585" s="3" t="s">
        <v>14806</v>
      </c>
      <c r="B1585" s="6" t="s">
        <v>361</v>
      </c>
      <c r="C1585" s="6" t="s">
        <v>3991</v>
      </c>
      <c r="D1585" s="6" t="s">
        <v>3980</v>
      </c>
      <c r="E1585" s="6" t="s">
        <v>3992</v>
      </c>
      <c r="F1585" s="6" t="s">
        <v>3988</v>
      </c>
      <c r="G1585" s="3" t="s">
        <v>11449</v>
      </c>
      <c r="H1585" s="54">
        <v>1</v>
      </c>
      <c r="I1585" s="16">
        <v>470000000</v>
      </c>
      <c r="J1585" s="157" t="s">
        <v>229</v>
      </c>
      <c r="K1585" s="5" t="s">
        <v>14807</v>
      </c>
      <c r="L1585" s="6" t="s">
        <v>12251</v>
      </c>
      <c r="M1585" s="3" t="s">
        <v>12250</v>
      </c>
      <c r="N1585" s="6" t="s">
        <v>7685</v>
      </c>
      <c r="O1585" s="6" t="s">
        <v>233</v>
      </c>
      <c r="P1585" s="58" t="s">
        <v>241</v>
      </c>
      <c r="Q1585" s="6" t="s">
        <v>234</v>
      </c>
      <c r="R1585" s="18">
        <v>600</v>
      </c>
      <c r="S1585" s="2">
        <v>5173.3</v>
      </c>
      <c r="T1585" s="4">
        <v>0</v>
      </c>
      <c r="U1585" s="4">
        <f t="shared" si="57"/>
        <v>0</v>
      </c>
      <c r="V1585" s="3" t="s">
        <v>362</v>
      </c>
      <c r="W1585" s="3">
        <v>2014</v>
      </c>
      <c r="X1585" s="3" t="s">
        <v>14785</v>
      </c>
    </row>
    <row r="1586" spans="1:24" ht="89.25">
      <c r="A1586" s="3" t="s">
        <v>17910</v>
      </c>
      <c r="B1586" s="6" t="s">
        <v>361</v>
      </c>
      <c r="C1586" s="6" t="s">
        <v>3991</v>
      </c>
      <c r="D1586" s="6" t="s">
        <v>3980</v>
      </c>
      <c r="E1586" s="6" t="s">
        <v>3992</v>
      </c>
      <c r="F1586" s="6" t="s">
        <v>3988</v>
      </c>
      <c r="G1586" s="3" t="s">
        <v>11449</v>
      </c>
      <c r="H1586" s="54">
        <v>1</v>
      </c>
      <c r="I1586" s="16">
        <v>470000000</v>
      </c>
      <c r="J1586" s="157" t="s">
        <v>229</v>
      </c>
      <c r="K1586" s="5" t="s">
        <v>222</v>
      </c>
      <c r="L1586" s="6" t="s">
        <v>12251</v>
      </c>
      <c r="M1586" s="3" t="s">
        <v>12250</v>
      </c>
      <c r="N1586" s="6" t="s">
        <v>7685</v>
      </c>
      <c r="O1586" s="6" t="s">
        <v>233</v>
      </c>
      <c r="P1586" s="58" t="s">
        <v>241</v>
      </c>
      <c r="Q1586" s="6" t="s">
        <v>234</v>
      </c>
      <c r="R1586" s="18">
        <v>600</v>
      </c>
      <c r="S1586" s="2">
        <v>5820</v>
      </c>
      <c r="T1586" s="4">
        <f>R1586*S1586</f>
        <v>3492000</v>
      </c>
      <c r="U1586" s="4">
        <f t="shared" si="57"/>
        <v>3911040.0000000005</v>
      </c>
      <c r="V1586" s="3" t="s">
        <v>362</v>
      </c>
      <c r="W1586" s="3">
        <v>2014</v>
      </c>
      <c r="X1586" s="158"/>
    </row>
    <row r="1587" spans="1:24" ht="102">
      <c r="A1587" s="3" t="s">
        <v>1197</v>
      </c>
      <c r="B1587" s="6" t="s">
        <v>361</v>
      </c>
      <c r="C1587" s="6" t="s">
        <v>3997</v>
      </c>
      <c r="D1587" s="6" t="s">
        <v>3747</v>
      </c>
      <c r="E1587" s="6" t="s">
        <v>3998</v>
      </c>
      <c r="F1587" s="6" t="s">
        <v>186</v>
      </c>
      <c r="G1587" s="3" t="s">
        <v>11449</v>
      </c>
      <c r="H1587" s="54">
        <v>1</v>
      </c>
      <c r="I1587" s="16">
        <v>470000000</v>
      </c>
      <c r="J1587" s="157" t="s">
        <v>229</v>
      </c>
      <c r="K1587" s="5" t="s">
        <v>210</v>
      </c>
      <c r="L1587" s="6" t="s">
        <v>231</v>
      </c>
      <c r="M1587" s="3" t="s">
        <v>230</v>
      </c>
      <c r="N1587" s="6" t="s">
        <v>7685</v>
      </c>
      <c r="O1587" s="6" t="s">
        <v>233</v>
      </c>
      <c r="P1587" s="58" t="s">
        <v>241</v>
      </c>
      <c r="Q1587" s="6" t="s">
        <v>234</v>
      </c>
      <c r="R1587" s="18">
        <v>114</v>
      </c>
      <c r="S1587" s="2">
        <v>42210</v>
      </c>
      <c r="T1587" s="4">
        <v>0</v>
      </c>
      <c r="U1587" s="4">
        <f t="shared" si="57"/>
        <v>0</v>
      </c>
      <c r="V1587" s="3" t="s">
        <v>362</v>
      </c>
      <c r="W1587" s="3">
        <v>2014</v>
      </c>
      <c r="X1587" s="3" t="s">
        <v>12313</v>
      </c>
    </row>
    <row r="1588" spans="1:24" ht="89.25">
      <c r="A1588" s="3" t="s">
        <v>12326</v>
      </c>
      <c r="B1588" s="6" t="s">
        <v>361</v>
      </c>
      <c r="C1588" s="6" t="s">
        <v>3997</v>
      </c>
      <c r="D1588" s="6" t="s">
        <v>3747</v>
      </c>
      <c r="E1588" s="6" t="s">
        <v>3998</v>
      </c>
      <c r="F1588" s="6" t="s">
        <v>186</v>
      </c>
      <c r="G1588" s="3" t="s">
        <v>11449</v>
      </c>
      <c r="H1588" s="54">
        <v>1</v>
      </c>
      <c r="I1588" s="16">
        <v>470000000</v>
      </c>
      <c r="J1588" s="157" t="s">
        <v>229</v>
      </c>
      <c r="K1588" s="5" t="s">
        <v>12314</v>
      </c>
      <c r="L1588" s="6" t="s">
        <v>12251</v>
      </c>
      <c r="M1588" s="3" t="s">
        <v>12250</v>
      </c>
      <c r="N1588" s="6" t="s">
        <v>7685</v>
      </c>
      <c r="O1588" s="6" t="s">
        <v>233</v>
      </c>
      <c r="P1588" s="58" t="s">
        <v>241</v>
      </c>
      <c r="Q1588" s="6" t="s">
        <v>234</v>
      </c>
      <c r="R1588" s="18">
        <v>114</v>
      </c>
      <c r="S1588" s="2">
        <v>42210</v>
      </c>
      <c r="T1588" s="4">
        <v>0</v>
      </c>
      <c r="U1588" s="4">
        <f t="shared" si="57"/>
        <v>0</v>
      </c>
      <c r="V1588" s="3" t="s">
        <v>362</v>
      </c>
      <c r="W1588" s="3">
        <v>2014</v>
      </c>
      <c r="X1588" s="3" t="s">
        <v>12051</v>
      </c>
    </row>
    <row r="1589" spans="1:24" ht="89.25">
      <c r="A1589" s="3" t="s">
        <v>14808</v>
      </c>
      <c r="B1589" s="6" t="s">
        <v>361</v>
      </c>
      <c r="C1589" s="6" t="s">
        <v>3997</v>
      </c>
      <c r="D1589" s="6" t="s">
        <v>3747</v>
      </c>
      <c r="E1589" s="6" t="s">
        <v>3998</v>
      </c>
      <c r="F1589" s="6" t="s">
        <v>186</v>
      </c>
      <c r="G1589" s="3" t="s">
        <v>11449</v>
      </c>
      <c r="H1589" s="54">
        <v>1</v>
      </c>
      <c r="I1589" s="16">
        <v>470000000</v>
      </c>
      <c r="J1589" s="157" t="s">
        <v>229</v>
      </c>
      <c r="K1589" s="5" t="s">
        <v>14807</v>
      </c>
      <c r="L1589" s="6" t="s">
        <v>12251</v>
      </c>
      <c r="M1589" s="3" t="s">
        <v>12250</v>
      </c>
      <c r="N1589" s="6" t="s">
        <v>7685</v>
      </c>
      <c r="O1589" s="6" t="s">
        <v>233</v>
      </c>
      <c r="P1589" s="58" t="s">
        <v>241</v>
      </c>
      <c r="Q1589" s="6" t="s">
        <v>234</v>
      </c>
      <c r="R1589" s="18">
        <v>108</v>
      </c>
      <c r="S1589" s="2">
        <v>42830.879999999997</v>
      </c>
      <c r="T1589" s="4">
        <v>0</v>
      </c>
      <c r="U1589" s="4">
        <f t="shared" si="57"/>
        <v>0</v>
      </c>
      <c r="V1589" s="3" t="s">
        <v>362</v>
      </c>
      <c r="W1589" s="3">
        <v>2014</v>
      </c>
      <c r="X1589" s="3" t="s">
        <v>14785</v>
      </c>
    </row>
    <row r="1590" spans="1:24" ht="89.25">
      <c r="A1590" s="3" t="s">
        <v>17911</v>
      </c>
      <c r="B1590" s="6" t="s">
        <v>361</v>
      </c>
      <c r="C1590" s="6" t="s">
        <v>3997</v>
      </c>
      <c r="D1590" s="6" t="s">
        <v>3747</v>
      </c>
      <c r="E1590" s="6" t="s">
        <v>3998</v>
      </c>
      <c r="F1590" s="6" t="s">
        <v>186</v>
      </c>
      <c r="G1590" s="3" t="s">
        <v>11449</v>
      </c>
      <c r="H1590" s="54">
        <v>1</v>
      </c>
      <c r="I1590" s="16">
        <v>470000000</v>
      </c>
      <c r="J1590" s="157" t="s">
        <v>229</v>
      </c>
      <c r="K1590" s="5" t="s">
        <v>222</v>
      </c>
      <c r="L1590" s="6" t="s">
        <v>12251</v>
      </c>
      <c r="M1590" s="3" t="s">
        <v>12250</v>
      </c>
      <c r="N1590" s="6" t="s">
        <v>7685</v>
      </c>
      <c r="O1590" s="6" t="s">
        <v>233</v>
      </c>
      <c r="P1590" s="58" t="s">
        <v>241</v>
      </c>
      <c r="Q1590" s="6" t="s">
        <v>234</v>
      </c>
      <c r="R1590" s="18">
        <v>108</v>
      </c>
      <c r="S1590" s="2">
        <v>43607</v>
      </c>
      <c r="T1590" s="4">
        <v>0</v>
      </c>
      <c r="U1590" s="4">
        <f t="shared" si="57"/>
        <v>0</v>
      </c>
      <c r="V1590" s="3" t="s">
        <v>362</v>
      </c>
      <c r="W1590" s="3">
        <v>2014</v>
      </c>
      <c r="X1590" s="3">
        <v>11.15</v>
      </c>
    </row>
    <row r="1591" spans="1:24" ht="76.5">
      <c r="A1591" s="3" t="s">
        <v>18928</v>
      </c>
      <c r="B1591" s="6" t="s">
        <v>361</v>
      </c>
      <c r="C1591" s="6" t="s">
        <v>3997</v>
      </c>
      <c r="D1591" s="6" t="s">
        <v>3747</v>
      </c>
      <c r="E1591" s="6" t="s">
        <v>3998</v>
      </c>
      <c r="F1591" s="6" t="s">
        <v>186</v>
      </c>
      <c r="G1591" s="3" t="s">
        <v>11449</v>
      </c>
      <c r="H1591" s="54">
        <v>1</v>
      </c>
      <c r="I1591" s="16">
        <v>470000000</v>
      </c>
      <c r="J1591" s="157" t="s">
        <v>229</v>
      </c>
      <c r="K1591" s="5" t="s">
        <v>8308</v>
      </c>
      <c r="L1591" s="6" t="s">
        <v>12251</v>
      </c>
      <c r="M1591" s="3" t="s">
        <v>12250</v>
      </c>
      <c r="N1591" s="6" t="s">
        <v>7685</v>
      </c>
      <c r="O1591" s="6" t="s">
        <v>18864</v>
      </c>
      <c r="P1591" s="58" t="s">
        <v>241</v>
      </c>
      <c r="Q1591" s="6" t="s">
        <v>234</v>
      </c>
      <c r="R1591" s="18">
        <v>108</v>
      </c>
      <c r="S1591" s="2">
        <v>43607</v>
      </c>
      <c r="T1591" s="4">
        <f>R1591*S1591</f>
        <v>4709556</v>
      </c>
      <c r="U1591" s="4">
        <f t="shared" si="57"/>
        <v>5274702.7200000007</v>
      </c>
      <c r="V1591" s="3" t="s">
        <v>362</v>
      </c>
      <c r="W1591" s="3">
        <v>2014</v>
      </c>
      <c r="X1591" s="158"/>
    </row>
    <row r="1592" spans="1:24" ht="102">
      <c r="A1592" s="3" t="s">
        <v>1198</v>
      </c>
      <c r="B1592" s="6" t="s">
        <v>361</v>
      </c>
      <c r="C1592" s="6" t="s">
        <v>3995</v>
      </c>
      <c r="D1592" s="6" t="s">
        <v>3747</v>
      </c>
      <c r="E1592" s="6" t="s">
        <v>3996</v>
      </c>
      <c r="F1592" s="6" t="s">
        <v>187</v>
      </c>
      <c r="G1592" s="3" t="s">
        <v>11449</v>
      </c>
      <c r="H1592" s="54">
        <v>1</v>
      </c>
      <c r="I1592" s="16">
        <v>470000000</v>
      </c>
      <c r="J1592" s="157" t="s">
        <v>229</v>
      </c>
      <c r="K1592" s="5" t="s">
        <v>210</v>
      </c>
      <c r="L1592" s="6" t="s">
        <v>231</v>
      </c>
      <c r="M1592" s="3" t="s">
        <v>230</v>
      </c>
      <c r="N1592" s="6" t="s">
        <v>7685</v>
      </c>
      <c r="O1592" s="6" t="s">
        <v>233</v>
      </c>
      <c r="P1592" s="58" t="s">
        <v>241</v>
      </c>
      <c r="Q1592" s="6" t="s">
        <v>234</v>
      </c>
      <c r="R1592" s="18">
        <v>119</v>
      </c>
      <c r="S1592" s="2">
        <v>36240</v>
      </c>
      <c r="T1592" s="4">
        <v>0</v>
      </c>
      <c r="U1592" s="4">
        <f t="shared" si="57"/>
        <v>0</v>
      </c>
      <c r="V1592" s="3" t="s">
        <v>362</v>
      </c>
      <c r="W1592" s="3">
        <v>2014</v>
      </c>
      <c r="X1592" s="3" t="s">
        <v>12313</v>
      </c>
    </row>
    <row r="1593" spans="1:24" ht="89.25">
      <c r="A1593" s="3" t="s">
        <v>12327</v>
      </c>
      <c r="B1593" s="6" t="s">
        <v>361</v>
      </c>
      <c r="C1593" s="6" t="s">
        <v>3995</v>
      </c>
      <c r="D1593" s="6" t="s">
        <v>3747</v>
      </c>
      <c r="E1593" s="6" t="s">
        <v>3996</v>
      </c>
      <c r="F1593" s="6" t="s">
        <v>187</v>
      </c>
      <c r="G1593" s="3" t="s">
        <v>11449</v>
      </c>
      <c r="H1593" s="54">
        <v>1</v>
      </c>
      <c r="I1593" s="16">
        <v>470000000</v>
      </c>
      <c r="J1593" s="157" t="s">
        <v>229</v>
      </c>
      <c r="K1593" s="5" t="s">
        <v>12314</v>
      </c>
      <c r="L1593" s="6" t="s">
        <v>12251</v>
      </c>
      <c r="M1593" s="3" t="s">
        <v>12250</v>
      </c>
      <c r="N1593" s="6" t="s">
        <v>7685</v>
      </c>
      <c r="O1593" s="6" t="s">
        <v>233</v>
      </c>
      <c r="P1593" s="58" t="s">
        <v>241</v>
      </c>
      <c r="Q1593" s="6" t="s">
        <v>234</v>
      </c>
      <c r="R1593" s="18">
        <v>119</v>
      </c>
      <c r="S1593" s="2">
        <v>36240</v>
      </c>
      <c r="T1593" s="4">
        <v>0</v>
      </c>
      <c r="U1593" s="4">
        <f t="shared" si="57"/>
        <v>0</v>
      </c>
      <c r="V1593" s="3" t="s">
        <v>362</v>
      </c>
      <c r="W1593" s="3">
        <v>2014</v>
      </c>
      <c r="X1593" s="3" t="s">
        <v>12051</v>
      </c>
    </row>
    <row r="1594" spans="1:24" ht="89.25">
      <c r="A1594" s="3" t="s">
        <v>14809</v>
      </c>
      <c r="B1594" s="6" t="s">
        <v>361</v>
      </c>
      <c r="C1594" s="6" t="s">
        <v>3995</v>
      </c>
      <c r="D1594" s="6" t="s">
        <v>3747</v>
      </c>
      <c r="E1594" s="6" t="s">
        <v>3996</v>
      </c>
      <c r="F1594" s="6" t="s">
        <v>187</v>
      </c>
      <c r="G1594" s="3" t="s">
        <v>11449</v>
      </c>
      <c r="H1594" s="54">
        <v>1</v>
      </c>
      <c r="I1594" s="16">
        <v>470000000</v>
      </c>
      <c r="J1594" s="157" t="s">
        <v>229</v>
      </c>
      <c r="K1594" s="5" t="s">
        <v>14807</v>
      </c>
      <c r="L1594" s="6" t="s">
        <v>12251</v>
      </c>
      <c r="M1594" s="3" t="s">
        <v>12250</v>
      </c>
      <c r="N1594" s="6" t="s">
        <v>7685</v>
      </c>
      <c r="O1594" s="6" t="s">
        <v>233</v>
      </c>
      <c r="P1594" s="58" t="s">
        <v>241</v>
      </c>
      <c r="Q1594" s="6" t="s">
        <v>234</v>
      </c>
      <c r="R1594" s="18">
        <v>107</v>
      </c>
      <c r="S1594" s="2">
        <v>37373.269999999997</v>
      </c>
      <c r="T1594" s="4">
        <v>0</v>
      </c>
      <c r="U1594" s="4">
        <f t="shared" si="57"/>
        <v>0</v>
      </c>
      <c r="V1594" s="3" t="s">
        <v>362</v>
      </c>
      <c r="W1594" s="3">
        <v>2014</v>
      </c>
      <c r="X1594" s="3" t="s">
        <v>14785</v>
      </c>
    </row>
    <row r="1595" spans="1:24" ht="89.25">
      <c r="A1595" s="3" t="s">
        <v>17912</v>
      </c>
      <c r="B1595" s="6" t="s">
        <v>361</v>
      </c>
      <c r="C1595" s="6" t="s">
        <v>3995</v>
      </c>
      <c r="D1595" s="6" t="s">
        <v>3747</v>
      </c>
      <c r="E1595" s="6" t="s">
        <v>3996</v>
      </c>
      <c r="F1595" s="6" t="s">
        <v>187</v>
      </c>
      <c r="G1595" s="3" t="s">
        <v>11449</v>
      </c>
      <c r="H1595" s="54">
        <v>1</v>
      </c>
      <c r="I1595" s="16">
        <v>470000000</v>
      </c>
      <c r="J1595" s="157" t="s">
        <v>229</v>
      </c>
      <c r="K1595" s="5" t="s">
        <v>222</v>
      </c>
      <c r="L1595" s="6" t="s">
        <v>12251</v>
      </c>
      <c r="M1595" s="3" t="s">
        <v>12250</v>
      </c>
      <c r="N1595" s="6" t="s">
        <v>7685</v>
      </c>
      <c r="O1595" s="6" t="s">
        <v>233</v>
      </c>
      <c r="P1595" s="58" t="s">
        <v>241</v>
      </c>
      <c r="Q1595" s="6" t="s">
        <v>234</v>
      </c>
      <c r="R1595" s="18">
        <v>107</v>
      </c>
      <c r="S1595" s="2">
        <v>38820</v>
      </c>
      <c r="T1595" s="4">
        <v>0</v>
      </c>
      <c r="U1595" s="4">
        <f t="shared" si="57"/>
        <v>0</v>
      </c>
      <c r="V1595" s="3" t="s">
        <v>362</v>
      </c>
      <c r="W1595" s="3">
        <v>2014</v>
      </c>
      <c r="X1595" s="3">
        <v>11.15</v>
      </c>
    </row>
    <row r="1596" spans="1:24" ht="76.5">
      <c r="A1596" s="3" t="s">
        <v>18929</v>
      </c>
      <c r="B1596" s="6" t="s">
        <v>361</v>
      </c>
      <c r="C1596" s="6" t="s">
        <v>3995</v>
      </c>
      <c r="D1596" s="6" t="s">
        <v>3747</v>
      </c>
      <c r="E1596" s="6" t="s">
        <v>3996</v>
      </c>
      <c r="F1596" s="6" t="s">
        <v>187</v>
      </c>
      <c r="G1596" s="3" t="s">
        <v>11449</v>
      </c>
      <c r="H1596" s="54">
        <v>1</v>
      </c>
      <c r="I1596" s="16">
        <v>470000000</v>
      </c>
      <c r="J1596" s="157" t="s">
        <v>229</v>
      </c>
      <c r="K1596" s="5" t="s">
        <v>8308</v>
      </c>
      <c r="L1596" s="6" t="s">
        <v>12251</v>
      </c>
      <c r="M1596" s="3" t="s">
        <v>12250</v>
      </c>
      <c r="N1596" s="6" t="s">
        <v>7685</v>
      </c>
      <c r="O1596" s="6" t="s">
        <v>18864</v>
      </c>
      <c r="P1596" s="58" t="s">
        <v>241</v>
      </c>
      <c r="Q1596" s="6" t="s">
        <v>234</v>
      </c>
      <c r="R1596" s="18">
        <v>107</v>
      </c>
      <c r="S1596" s="2">
        <v>38820</v>
      </c>
      <c r="T1596" s="4">
        <f>R1596*S1596</f>
        <v>4153740</v>
      </c>
      <c r="U1596" s="4">
        <f t="shared" si="57"/>
        <v>4652188.8000000007</v>
      </c>
      <c r="V1596" s="3" t="s">
        <v>362</v>
      </c>
      <c r="W1596" s="3">
        <v>2014</v>
      </c>
      <c r="X1596" s="158"/>
    </row>
    <row r="1597" spans="1:24" ht="102">
      <c r="A1597" s="3" t="s">
        <v>1199</v>
      </c>
      <c r="B1597" s="6" t="s">
        <v>361</v>
      </c>
      <c r="C1597" s="6" t="s">
        <v>3993</v>
      </c>
      <c r="D1597" s="6" t="s">
        <v>3747</v>
      </c>
      <c r="E1597" s="6" t="s">
        <v>3994</v>
      </c>
      <c r="F1597" s="6" t="s">
        <v>188</v>
      </c>
      <c r="G1597" s="3" t="s">
        <v>11449</v>
      </c>
      <c r="H1597" s="54">
        <v>1</v>
      </c>
      <c r="I1597" s="16">
        <v>470000000</v>
      </c>
      <c r="J1597" s="157" t="s">
        <v>229</v>
      </c>
      <c r="K1597" s="5" t="s">
        <v>210</v>
      </c>
      <c r="L1597" s="6" t="s">
        <v>231</v>
      </c>
      <c r="M1597" s="3" t="s">
        <v>230</v>
      </c>
      <c r="N1597" s="6" t="s">
        <v>7685</v>
      </c>
      <c r="O1597" s="6" t="s">
        <v>233</v>
      </c>
      <c r="P1597" s="58" t="s">
        <v>241</v>
      </c>
      <c r="Q1597" s="6" t="s">
        <v>234</v>
      </c>
      <c r="R1597" s="18">
        <v>23</v>
      </c>
      <c r="S1597" s="2">
        <v>18800</v>
      </c>
      <c r="T1597" s="4">
        <v>0</v>
      </c>
      <c r="U1597" s="4">
        <f t="shared" si="57"/>
        <v>0</v>
      </c>
      <c r="V1597" s="3" t="s">
        <v>362</v>
      </c>
      <c r="W1597" s="3">
        <v>2014</v>
      </c>
      <c r="X1597" s="3" t="s">
        <v>12313</v>
      </c>
    </row>
    <row r="1598" spans="1:24" ht="89.25">
      <c r="A1598" s="3" t="s">
        <v>12328</v>
      </c>
      <c r="B1598" s="6" t="s">
        <v>361</v>
      </c>
      <c r="C1598" s="6" t="s">
        <v>3993</v>
      </c>
      <c r="D1598" s="6" t="s">
        <v>3747</v>
      </c>
      <c r="E1598" s="6" t="s">
        <v>3994</v>
      </c>
      <c r="F1598" s="6" t="s">
        <v>188</v>
      </c>
      <c r="G1598" s="3" t="s">
        <v>11449</v>
      </c>
      <c r="H1598" s="54">
        <v>1</v>
      </c>
      <c r="I1598" s="16">
        <v>470000000</v>
      </c>
      <c r="J1598" s="157" t="s">
        <v>229</v>
      </c>
      <c r="K1598" s="5" t="s">
        <v>12255</v>
      </c>
      <c r="L1598" s="6" t="s">
        <v>12251</v>
      </c>
      <c r="M1598" s="3" t="s">
        <v>12250</v>
      </c>
      <c r="N1598" s="6" t="s">
        <v>7685</v>
      </c>
      <c r="O1598" s="6" t="s">
        <v>233</v>
      </c>
      <c r="P1598" s="58" t="s">
        <v>241</v>
      </c>
      <c r="Q1598" s="6" t="s">
        <v>234</v>
      </c>
      <c r="R1598" s="18">
        <v>23</v>
      </c>
      <c r="S1598" s="2">
        <v>18800</v>
      </c>
      <c r="T1598" s="4">
        <v>0</v>
      </c>
      <c r="U1598" s="4">
        <f t="shared" si="57"/>
        <v>0</v>
      </c>
      <c r="V1598" s="3" t="s">
        <v>362</v>
      </c>
      <c r="W1598" s="3">
        <v>2014</v>
      </c>
      <c r="X1598" s="3" t="s">
        <v>12051</v>
      </c>
    </row>
    <row r="1599" spans="1:24" ht="89.25">
      <c r="A1599" s="3" t="s">
        <v>14810</v>
      </c>
      <c r="B1599" s="6" t="s">
        <v>361</v>
      </c>
      <c r="C1599" s="6" t="s">
        <v>3993</v>
      </c>
      <c r="D1599" s="6" t="s">
        <v>3747</v>
      </c>
      <c r="E1599" s="6" t="s">
        <v>3994</v>
      </c>
      <c r="F1599" s="6" t="s">
        <v>188</v>
      </c>
      <c r="G1599" s="3" t="s">
        <v>11449</v>
      </c>
      <c r="H1599" s="54">
        <v>1</v>
      </c>
      <c r="I1599" s="16">
        <v>470000000</v>
      </c>
      <c r="J1599" s="157" t="s">
        <v>229</v>
      </c>
      <c r="K1599" s="5" t="s">
        <v>14811</v>
      </c>
      <c r="L1599" s="6" t="s">
        <v>12251</v>
      </c>
      <c r="M1599" s="3" t="s">
        <v>12250</v>
      </c>
      <c r="N1599" s="6" t="s">
        <v>7685</v>
      </c>
      <c r="O1599" s="6" t="s">
        <v>233</v>
      </c>
      <c r="P1599" s="58" t="s">
        <v>241</v>
      </c>
      <c r="Q1599" s="6" t="s">
        <v>234</v>
      </c>
      <c r="R1599" s="18">
        <v>6</v>
      </c>
      <c r="S1599" s="2">
        <v>19340</v>
      </c>
      <c r="T1599" s="4">
        <v>0</v>
      </c>
      <c r="U1599" s="4">
        <f t="shared" si="57"/>
        <v>0</v>
      </c>
      <c r="V1599" s="3" t="s">
        <v>362</v>
      </c>
      <c r="W1599" s="3">
        <v>2014</v>
      </c>
      <c r="X1599" s="3" t="s">
        <v>17399</v>
      </c>
    </row>
    <row r="1600" spans="1:24" ht="89.25">
      <c r="A1600" s="3" t="s">
        <v>17913</v>
      </c>
      <c r="B1600" s="6" t="s">
        <v>361</v>
      </c>
      <c r="C1600" s="6" t="s">
        <v>3993</v>
      </c>
      <c r="D1600" s="6" t="s">
        <v>3747</v>
      </c>
      <c r="E1600" s="6" t="s">
        <v>3994</v>
      </c>
      <c r="F1600" s="6" t="s">
        <v>188</v>
      </c>
      <c r="G1600" s="3" t="s">
        <v>11450</v>
      </c>
      <c r="H1600" s="54">
        <v>1</v>
      </c>
      <c r="I1600" s="16">
        <v>470000000</v>
      </c>
      <c r="J1600" s="157" t="s">
        <v>229</v>
      </c>
      <c r="K1600" s="5" t="s">
        <v>222</v>
      </c>
      <c r="L1600" s="6" t="s">
        <v>12251</v>
      </c>
      <c r="M1600" s="3" t="s">
        <v>12250</v>
      </c>
      <c r="N1600" s="6" t="s">
        <v>17921</v>
      </c>
      <c r="O1600" s="6" t="s">
        <v>233</v>
      </c>
      <c r="P1600" s="58" t="s">
        <v>241</v>
      </c>
      <c r="Q1600" s="6" t="s">
        <v>234</v>
      </c>
      <c r="R1600" s="18">
        <v>6</v>
      </c>
      <c r="S1600" s="2">
        <v>19340</v>
      </c>
      <c r="T1600" s="4">
        <f>R1600*S1600</f>
        <v>116040</v>
      </c>
      <c r="U1600" s="4">
        <f t="shared" si="57"/>
        <v>129964.80000000002</v>
      </c>
      <c r="V1600" s="3" t="s">
        <v>362</v>
      </c>
      <c r="W1600" s="3">
        <v>2014</v>
      </c>
      <c r="X1600" s="158"/>
    </row>
    <row r="1601" spans="1:24" ht="102">
      <c r="A1601" s="3" t="s">
        <v>1200</v>
      </c>
      <c r="B1601" s="6" t="s">
        <v>361</v>
      </c>
      <c r="C1601" s="6" t="s">
        <v>4000</v>
      </c>
      <c r="D1601" s="6" t="s">
        <v>3999</v>
      </c>
      <c r="E1601" s="6" t="s">
        <v>4001</v>
      </c>
      <c r="F1601" s="6" t="s">
        <v>189</v>
      </c>
      <c r="G1601" s="3" t="s">
        <v>11449</v>
      </c>
      <c r="H1601" s="54">
        <v>1</v>
      </c>
      <c r="I1601" s="16">
        <v>470000000</v>
      </c>
      <c r="J1601" s="157" t="s">
        <v>229</v>
      </c>
      <c r="K1601" s="5" t="s">
        <v>210</v>
      </c>
      <c r="L1601" s="6" t="s">
        <v>231</v>
      </c>
      <c r="M1601" s="3" t="s">
        <v>230</v>
      </c>
      <c r="N1601" s="6" t="s">
        <v>7685</v>
      </c>
      <c r="O1601" s="6" t="s">
        <v>233</v>
      </c>
      <c r="P1601" s="58" t="s">
        <v>241</v>
      </c>
      <c r="Q1601" s="6" t="s">
        <v>234</v>
      </c>
      <c r="R1601" s="18">
        <v>42</v>
      </c>
      <c r="S1601" s="2">
        <v>2422</v>
      </c>
      <c r="T1601" s="4">
        <v>0</v>
      </c>
      <c r="U1601" s="4">
        <f t="shared" si="57"/>
        <v>0</v>
      </c>
      <c r="V1601" s="3" t="s">
        <v>362</v>
      </c>
      <c r="W1601" s="3">
        <v>2014</v>
      </c>
      <c r="X1601" s="3" t="s">
        <v>12313</v>
      </c>
    </row>
    <row r="1602" spans="1:24" ht="89.25">
      <c r="A1602" s="3" t="s">
        <v>12329</v>
      </c>
      <c r="B1602" s="6" t="s">
        <v>361</v>
      </c>
      <c r="C1602" s="6" t="s">
        <v>4000</v>
      </c>
      <c r="D1602" s="6" t="s">
        <v>3999</v>
      </c>
      <c r="E1602" s="6" t="s">
        <v>4001</v>
      </c>
      <c r="F1602" s="6" t="s">
        <v>189</v>
      </c>
      <c r="G1602" s="3" t="s">
        <v>11449</v>
      </c>
      <c r="H1602" s="54">
        <v>1</v>
      </c>
      <c r="I1602" s="16">
        <v>470000000</v>
      </c>
      <c r="J1602" s="157" t="s">
        <v>229</v>
      </c>
      <c r="K1602" s="5" t="s">
        <v>12255</v>
      </c>
      <c r="L1602" s="6" t="s">
        <v>12251</v>
      </c>
      <c r="M1602" s="3" t="s">
        <v>12250</v>
      </c>
      <c r="N1602" s="6" t="s">
        <v>7685</v>
      </c>
      <c r="O1602" s="6" t="s">
        <v>233</v>
      </c>
      <c r="P1602" s="58" t="s">
        <v>241</v>
      </c>
      <c r="Q1602" s="6" t="s">
        <v>234</v>
      </c>
      <c r="R1602" s="18">
        <v>42</v>
      </c>
      <c r="S1602" s="2">
        <v>2422</v>
      </c>
      <c r="T1602" s="4">
        <f>R1602*S1602</f>
        <v>101724</v>
      </c>
      <c r="U1602" s="4">
        <f t="shared" si="57"/>
        <v>113930.88</v>
      </c>
      <c r="V1602" s="3" t="s">
        <v>362</v>
      </c>
      <c r="W1602" s="3">
        <v>2014</v>
      </c>
      <c r="X1602" s="158"/>
    </row>
    <row r="1603" spans="1:24" ht="102">
      <c r="A1603" s="3" t="s">
        <v>1201</v>
      </c>
      <c r="B1603" s="6" t="s">
        <v>361</v>
      </c>
      <c r="C1603" s="6" t="s">
        <v>4002</v>
      </c>
      <c r="D1603" s="6" t="s">
        <v>3999</v>
      </c>
      <c r="E1603" s="6" t="s">
        <v>4003</v>
      </c>
      <c r="F1603" s="6" t="s">
        <v>190</v>
      </c>
      <c r="G1603" s="3" t="s">
        <v>11449</v>
      </c>
      <c r="H1603" s="54">
        <v>1</v>
      </c>
      <c r="I1603" s="16">
        <v>470000000</v>
      </c>
      <c r="J1603" s="157" t="s">
        <v>229</v>
      </c>
      <c r="K1603" s="5" t="s">
        <v>210</v>
      </c>
      <c r="L1603" s="6" t="s">
        <v>231</v>
      </c>
      <c r="M1603" s="3" t="s">
        <v>230</v>
      </c>
      <c r="N1603" s="6" t="s">
        <v>7685</v>
      </c>
      <c r="O1603" s="6" t="s">
        <v>233</v>
      </c>
      <c r="P1603" s="58" t="s">
        <v>241</v>
      </c>
      <c r="Q1603" s="6" t="s">
        <v>234</v>
      </c>
      <c r="R1603" s="18">
        <v>119</v>
      </c>
      <c r="S1603" s="2">
        <v>2110</v>
      </c>
      <c r="T1603" s="4">
        <v>0</v>
      </c>
      <c r="U1603" s="4">
        <f t="shared" si="57"/>
        <v>0</v>
      </c>
      <c r="V1603" s="3" t="s">
        <v>362</v>
      </c>
      <c r="W1603" s="3">
        <v>2014</v>
      </c>
      <c r="X1603" s="3" t="s">
        <v>12313</v>
      </c>
    </row>
    <row r="1604" spans="1:24" ht="89.25">
      <c r="A1604" s="3" t="s">
        <v>12330</v>
      </c>
      <c r="B1604" s="6" t="s">
        <v>361</v>
      </c>
      <c r="C1604" s="6" t="s">
        <v>4002</v>
      </c>
      <c r="D1604" s="6" t="s">
        <v>3999</v>
      </c>
      <c r="E1604" s="6" t="s">
        <v>4003</v>
      </c>
      <c r="F1604" s="6" t="s">
        <v>190</v>
      </c>
      <c r="G1604" s="3" t="s">
        <v>11449</v>
      </c>
      <c r="H1604" s="54">
        <v>1</v>
      </c>
      <c r="I1604" s="16">
        <v>470000000</v>
      </c>
      <c r="J1604" s="157" t="s">
        <v>229</v>
      </c>
      <c r="K1604" s="5" t="s">
        <v>12255</v>
      </c>
      <c r="L1604" s="6" t="s">
        <v>12251</v>
      </c>
      <c r="M1604" s="3" t="s">
        <v>12250</v>
      </c>
      <c r="N1604" s="6" t="s">
        <v>7685</v>
      </c>
      <c r="O1604" s="6" t="s">
        <v>233</v>
      </c>
      <c r="P1604" s="58" t="s">
        <v>241</v>
      </c>
      <c r="Q1604" s="6" t="s">
        <v>234</v>
      </c>
      <c r="R1604" s="18">
        <v>119</v>
      </c>
      <c r="S1604" s="2">
        <v>2110</v>
      </c>
      <c r="T1604" s="4">
        <v>0</v>
      </c>
      <c r="U1604" s="4">
        <f t="shared" si="57"/>
        <v>0</v>
      </c>
      <c r="V1604" s="3" t="s">
        <v>362</v>
      </c>
      <c r="W1604" s="3">
        <v>2014</v>
      </c>
      <c r="X1604" s="3" t="s">
        <v>12051</v>
      </c>
    </row>
    <row r="1605" spans="1:24" ht="89.25">
      <c r="A1605" s="3" t="s">
        <v>14812</v>
      </c>
      <c r="B1605" s="6" t="s">
        <v>361</v>
      </c>
      <c r="C1605" s="6" t="s">
        <v>4002</v>
      </c>
      <c r="D1605" s="6" t="s">
        <v>3999</v>
      </c>
      <c r="E1605" s="6" t="s">
        <v>4003</v>
      </c>
      <c r="F1605" s="6" t="s">
        <v>190</v>
      </c>
      <c r="G1605" s="3" t="s">
        <v>11449</v>
      </c>
      <c r="H1605" s="54">
        <v>1</v>
      </c>
      <c r="I1605" s="16">
        <v>470000000</v>
      </c>
      <c r="J1605" s="157" t="s">
        <v>229</v>
      </c>
      <c r="K1605" s="5" t="s">
        <v>14813</v>
      </c>
      <c r="L1605" s="6" t="s">
        <v>12251</v>
      </c>
      <c r="M1605" s="3" t="s">
        <v>12250</v>
      </c>
      <c r="N1605" s="6" t="s">
        <v>7685</v>
      </c>
      <c r="O1605" s="6" t="s">
        <v>233</v>
      </c>
      <c r="P1605" s="58" t="s">
        <v>241</v>
      </c>
      <c r="Q1605" s="6" t="s">
        <v>234</v>
      </c>
      <c r="R1605" s="18">
        <v>127</v>
      </c>
      <c r="S1605" s="2">
        <v>2143.0700000000002</v>
      </c>
      <c r="T1605" s="4">
        <v>0</v>
      </c>
      <c r="U1605" s="4">
        <f t="shared" si="57"/>
        <v>0</v>
      </c>
      <c r="V1605" s="3" t="s">
        <v>362</v>
      </c>
      <c r="W1605" s="3">
        <v>2014</v>
      </c>
      <c r="X1605" s="3" t="s">
        <v>14785</v>
      </c>
    </row>
    <row r="1606" spans="1:24" ht="89.25">
      <c r="A1606" s="3" t="s">
        <v>17914</v>
      </c>
      <c r="B1606" s="6" t="s">
        <v>361</v>
      </c>
      <c r="C1606" s="6" t="s">
        <v>4002</v>
      </c>
      <c r="D1606" s="6" t="s">
        <v>3999</v>
      </c>
      <c r="E1606" s="6" t="s">
        <v>4003</v>
      </c>
      <c r="F1606" s="6" t="s">
        <v>190</v>
      </c>
      <c r="G1606" s="3" t="s">
        <v>11449</v>
      </c>
      <c r="H1606" s="54">
        <v>1</v>
      </c>
      <c r="I1606" s="16">
        <v>470000000</v>
      </c>
      <c r="J1606" s="157" t="s">
        <v>229</v>
      </c>
      <c r="K1606" s="5" t="s">
        <v>222</v>
      </c>
      <c r="L1606" s="6" t="s">
        <v>12251</v>
      </c>
      <c r="M1606" s="3" t="s">
        <v>12250</v>
      </c>
      <c r="N1606" s="6" t="s">
        <v>7685</v>
      </c>
      <c r="O1606" s="6" t="s">
        <v>233</v>
      </c>
      <c r="P1606" s="58" t="s">
        <v>241</v>
      </c>
      <c r="Q1606" s="6" t="s">
        <v>234</v>
      </c>
      <c r="R1606" s="18">
        <v>127</v>
      </c>
      <c r="S1606" s="2">
        <v>2166</v>
      </c>
      <c r="T1606" s="4">
        <f>R1606*S1606</f>
        <v>275082</v>
      </c>
      <c r="U1606" s="4">
        <f t="shared" si="57"/>
        <v>308091.84000000003</v>
      </c>
      <c r="V1606" s="3" t="s">
        <v>362</v>
      </c>
      <c r="W1606" s="3">
        <v>2014</v>
      </c>
      <c r="X1606" s="158"/>
    </row>
    <row r="1607" spans="1:24" ht="102">
      <c r="A1607" s="3" t="s">
        <v>1202</v>
      </c>
      <c r="B1607" s="6" t="s">
        <v>361</v>
      </c>
      <c r="C1607" s="6" t="s">
        <v>4004</v>
      </c>
      <c r="D1607" s="6" t="s">
        <v>3999</v>
      </c>
      <c r="E1607" s="6" t="s">
        <v>4005</v>
      </c>
      <c r="F1607" s="6" t="s">
        <v>191</v>
      </c>
      <c r="G1607" s="3" t="s">
        <v>11449</v>
      </c>
      <c r="H1607" s="54">
        <v>1</v>
      </c>
      <c r="I1607" s="16">
        <v>470000000</v>
      </c>
      <c r="J1607" s="157" t="s">
        <v>229</v>
      </c>
      <c r="K1607" s="5" t="s">
        <v>210</v>
      </c>
      <c r="L1607" s="6" t="s">
        <v>231</v>
      </c>
      <c r="M1607" s="3" t="s">
        <v>230</v>
      </c>
      <c r="N1607" s="6" t="s">
        <v>7685</v>
      </c>
      <c r="O1607" s="6" t="s">
        <v>233</v>
      </c>
      <c r="P1607" s="58" t="s">
        <v>241</v>
      </c>
      <c r="Q1607" s="6" t="s">
        <v>234</v>
      </c>
      <c r="R1607" s="18">
        <v>135</v>
      </c>
      <c r="S1607" s="2">
        <v>1840</v>
      </c>
      <c r="T1607" s="4">
        <v>0</v>
      </c>
      <c r="U1607" s="4">
        <f t="shared" si="57"/>
        <v>0</v>
      </c>
      <c r="V1607" s="3" t="s">
        <v>362</v>
      </c>
      <c r="W1607" s="3">
        <v>2014</v>
      </c>
      <c r="X1607" s="3" t="s">
        <v>12313</v>
      </c>
    </row>
    <row r="1608" spans="1:24" ht="89.25">
      <c r="A1608" s="3" t="s">
        <v>12331</v>
      </c>
      <c r="B1608" s="6" t="s">
        <v>361</v>
      </c>
      <c r="C1608" s="6" t="s">
        <v>4004</v>
      </c>
      <c r="D1608" s="6" t="s">
        <v>3999</v>
      </c>
      <c r="E1608" s="6" t="s">
        <v>4005</v>
      </c>
      <c r="F1608" s="6" t="s">
        <v>191</v>
      </c>
      <c r="G1608" s="3" t="s">
        <v>11449</v>
      </c>
      <c r="H1608" s="54">
        <v>1</v>
      </c>
      <c r="I1608" s="16">
        <v>470000000</v>
      </c>
      <c r="J1608" s="157" t="s">
        <v>229</v>
      </c>
      <c r="K1608" s="5" t="s">
        <v>12255</v>
      </c>
      <c r="L1608" s="6" t="s">
        <v>12251</v>
      </c>
      <c r="M1608" s="3" t="s">
        <v>12250</v>
      </c>
      <c r="N1608" s="6" t="s">
        <v>7685</v>
      </c>
      <c r="O1608" s="6" t="s">
        <v>233</v>
      </c>
      <c r="P1608" s="58" t="s">
        <v>241</v>
      </c>
      <c r="Q1608" s="6" t="s">
        <v>234</v>
      </c>
      <c r="R1608" s="18">
        <v>135</v>
      </c>
      <c r="S1608" s="2">
        <v>1840</v>
      </c>
      <c r="T1608" s="4">
        <v>0</v>
      </c>
      <c r="U1608" s="4">
        <f t="shared" si="57"/>
        <v>0</v>
      </c>
      <c r="V1608" s="3" t="s">
        <v>362</v>
      </c>
      <c r="W1608" s="3">
        <v>2014</v>
      </c>
      <c r="X1608" s="3" t="s">
        <v>14785</v>
      </c>
    </row>
    <row r="1609" spans="1:24" ht="89.25">
      <c r="A1609" s="3" t="s">
        <v>14814</v>
      </c>
      <c r="B1609" s="6" t="s">
        <v>361</v>
      </c>
      <c r="C1609" s="6" t="s">
        <v>4004</v>
      </c>
      <c r="D1609" s="6" t="s">
        <v>3999</v>
      </c>
      <c r="E1609" s="6" t="s">
        <v>4005</v>
      </c>
      <c r="F1609" s="6" t="s">
        <v>191</v>
      </c>
      <c r="G1609" s="3" t="s">
        <v>11449</v>
      </c>
      <c r="H1609" s="54">
        <v>1</v>
      </c>
      <c r="I1609" s="16">
        <v>470000000</v>
      </c>
      <c r="J1609" s="157" t="s">
        <v>229</v>
      </c>
      <c r="K1609" s="5" t="s">
        <v>14815</v>
      </c>
      <c r="L1609" s="6" t="s">
        <v>12251</v>
      </c>
      <c r="M1609" s="3" t="s">
        <v>12250</v>
      </c>
      <c r="N1609" s="6" t="s">
        <v>7685</v>
      </c>
      <c r="O1609" s="6" t="s">
        <v>233</v>
      </c>
      <c r="P1609" s="58" t="s">
        <v>241</v>
      </c>
      <c r="Q1609" s="6" t="s">
        <v>234</v>
      </c>
      <c r="R1609" s="18">
        <v>135</v>
      </c>
      <c r="S1609" s="2">
        <v>1871.94</v>
      </c>
      <c r="T1609" s="4">
        <v>0</v>
      </c>
      <c r="U1609" s="4">
        <f t="shared" si="57"/>
        <v>0</v>
      </c>
      <c r="V1609" s="3" t="s">
        <v>362</v>
      </c>
      <c r="W1609" s="3">
        <v>2014</v>
      </c>
      <c r="X1609" s="3" t="s">
        <v>14785</v>
      </c>
    </row>
    <row r="1610" spans="1:24" ht="89.25">
      <c r="A1610" s="3" t="s">
        <v>17915</v>
      </c>
      <c r="B1610" s="6" t="s">
        <v>361</v>
      </c>
      <c r="C1610" s="6" t="s">
        <v>4004</v>
      </c>
      <c r="D1610" s="6" t="s">
        <v>3999</v>
      </c>
      <c r="E1610" s="6" t="s">
        <v>4005</v>
      </c>
      <c r="F1610" s="6" t="s">
        <v>191</v>
      </c>
      <c r="G1610" s="3" t="s">
        <v>11449</v>
      </c>
      <c r="H1610" s="54">
        <v>1</v>
      </c>
      <c r="I1610" s="16">
        <v>470000000</v>
      </c>
      <c r="J1610" s="157" t="s">
        <v>229</v>
      </c>
      <c r="K1610" s="5" t="s">
        <v>222</v>
      </c>
      <c r="L1610" s="6" t="s">
        <v>12251</v>
      </c>
      <c r="M1610" s="3" t="s">
        <v>12250</v>
      </c>
      <c r="N1610" s="6" t="s">
        <v>7685</v>
      </c>
      <c r="O1610" s="6" t="s">
        <v>233</v>
      </c>
      <c r="P1610" s="58" t="s">
        <v>241</v>
      </c>
      <c r="Q1610" s="6" t="s">
        <v>234</v>
      </c>
      <c r="R1610" s="18">
        <v>135</v>
      </c>
      <c r="S1610" s="2">
        <v>1896</v>
      </c>
      <c r="T1610" s="4">
        <f>R1610*S1610</f>
        <v>255960</v>
      </c>
      <c r="U1610" s="4">
        <f t="shared" si="57"/>
        <v>286675.20000000001</v>
      </c>
      <c r="V1610" s="3" t="s">
        <v>362</v>
      </c>
      <c r="W1610" s="3">
        <v>2014</v>
      </c>
      <c r="X1610" s="158"/>
    </row>
    <row r="1611" spans="1:24" ht="102">
      <c r="A1611" s="3" t="s">
        <v>1203</v>
      </c>
      <c r="B1611" s="6" t="s">
        <v>361</v>
      </c>
      <c r="C1611" s="6" t="s">
        <v>4006</v>
      </c>
      <c r="D1611" s="6" t="s">
        <v>3999</v>
      </c>
      <c r="E1611" s="6" t="s">
        <v>4007</v>
      </c>
      <c r="F1611" s="6" t="s">
        <v>192</v>
      </c>
      <c r="G1611" s="3" t="s">
        <v>11449</v>
      </c>
      <c r="H1611" s="54">
        <v>1</v>
      </c>
      <c r="I1611" s="16">
        <v>470000000</v>
      </c>
      <c r="J1611" s="157" t="s">
        <v>229</v>
      </c>
      <c r="K1611" s="5" t="s">
        <v>210</v>
      </c>
      <c r="L1611" s="6" t="s">
        <v>231</v>
      </c>
      <c r="M1611" s="3" t="s">
        <v>230</v>
      </c>
      <c r="N1611" s="6" t="s">
        <v>7685</v>
      </c>
      <c r="O1611" s="6" t="s">
        <v>233</v>
      </c>
      <c r="P1611" s="58" t="s">
        <v>241</v>
      </c>
      <c r="Q1611" s="6" t="s">
        <v>234</v>
      </c>
      <c r="R1611" s="18">
        <v>290</v>
      </c>
      <c r="S1611" s="2">
        <v>1750</v>
      </c>
      <c r="T1611" s="4">
        <v>0</v>
      </c>
      <c r="U1611" s="4">
        <f t="shared" si="57"/>
        <v>0</v>
      </c>
      <c r="V1611" s="3" t="s">
        <v>362</v>
      </c>
      <c r="W1611" s="3">
        <v>2014</v>
      </c>
      <c r="X1611" s="3" t="s">
        <v>12313</v>
      </c>
    </row>
    <row r="1612" spans="1:24" ht="89.25">
      <c r="A1612" s="3" t="s">
        <v>12332</v>
      </c>
      <c r="B1612" s="6" t="s">
        <v>361</v>
      </c>
      <c r="C1612" s="6" t="s">
        <v>4006</v>
      </c>
      <c r="D1612" s="6" t="s">
        <v>3999</v>
      </c>
      <c r="E1612" s="6" t="s">
        <v>4007</v>
      </c>
      <c r="F1612" s="6" t="s">
        <v>192</v>
      </c>
      <c r="G1612" s="3" t="s">
        <v>11449</v>
      </c>
      <c r="H1612" s="54">
        <v>1</v>
      </c>
      <c r="I1612" s="16">
        <v>470000000</v>
      </c>
      <c r="J1612" s="157" t="s">
        <v>229</v>
      </c>
      <c r="K1612" s="5" t="s">
        <v>12255</v>
      </c>
      <c r="L1612" s="6" t="s">
        <v>12251</v>
      </c>
      <c r="M1612" s="3" t="s">
        <v>12250</v>
      </c>
      <c r="N1612" s="6" t="s">
        <v>7685</v>
      </c>
      <c r="O1612" s="6" t="s">
        <v>233</v>
      </c>
      <c r="P1612" s="58" t="s">
        <v>241</v>
      </c>
      <c r="Q1612" s="6" t="s">
        <v>234</v>
      </c>
      <c r="R1612" s="18">
        <v>290</v>
      </c>
      <c r="S1612" s="2">
        <v>1750</v>
      </c>
      <c r="T1612" s="4">
        <v>0</v>
      </c>
      <c r="U1612" s="4">
        <f t="shared" si="57"/>
        <v>0</v>
      </c>
      <c r="V1612" s="3" t="s">
        <v>362</v>
      </c>
      <c r="W1612" s="3">
        <v>2014</v>
      </c>
      <c r="X1612" s="3" t="s">
        <v>12051</v>
      </c>
    </row>
    <row r="1613" spans="1:24" ht="89.25">
      <c r="A1613" s="3" t="s">
        <v>14816</v>
      </c>
      <c r="B1613" s="6" t="s">
        <v>361</v>
      </c>
      <c r="C1613" s="6" t="s">
        <v>4006</v>
      </c>
      <c r="D1613" s="6" t="s">
        <v>3999</v>
      </c>
      <c r="E1613" s="6" t="s">
        <v>4007</v>
      </c>
      <c r="F1613" s="6" t="s">
        <v>192</v>
      </c>
      <c r="G1613" s="3" t="s">
        <v>11449</v>
      </c>
      <c r="H1613" s="54">
        <v>1</v>
      </c>
      <c r="I1613" s="16">
        <v>470000000</v>
      </c>
      <c r="J1613" s="157" t="s">
        <v>229</v>
      </c>
      <c r="K1613" s="5" t="s">
        <v>14815</v>
      </c>
      <c r="L1613" s="6" t="s">
        <v>12251</v>
      </c>
      <c r="M1613" s="3" t="s">
        <v>12250</v>
      </c>
      <c r="N1613" s="6" t="s">
        <v>7685</v>
      </c>
      <c r="O1613" s="6" t="s">
        <v>233</v>
      </c>
      <c r="P1613" s="58" t="s">
        <v>241</v>
      </c>
      <c r="Q1613" s="6" t="s">
        <v>234</v>
      </c>
      <c r="R1613" s="18">
        <v>288</v>
      </c>
      <c r="S1613" s="2">
        <v>1777.47</v>
      </c>
      <c r="T1613" s="4">
        <v>0</v>
      </c>
      <c r="U1613" s="4">
        <f t="shared" si="57"/>
        <v>0</v>
      </c>
      <c r="V1613" s="3" t="s">
        <v>362</v>
      </c>
      <c r="W1613" s="3">
        <v>2014</v>
      </c>
      <c r="X1613" s="3" t="s">
        <v>14785</v>
      </c>
    </row>
    <row r="1614" spans="1:24" ht="89.25">
      <c r="A1614" s="3" t="s">
        <v>17916</v>
      </c>
      <c r="B1614" s="6" t="s">
        <v>361</v>
      </c>
      <c r="C1614" s="6" t="s">
        <v>4006</v>
      </c>
      <c r="D1614" s="6" t="s">
        <v>3999</v>
      </c>
      <c r="E1614" s="6" t="s">
        <v>4007</v>
      </c>
      <c r="F1614" s="6" t="s">
        <v>192</v>
      </c>
      <c r="G1614" s="3" t="s">
        <v>11449</v>
      </c>
      <c r="H1614" s="54">
        <v>1</v>
      </c>
      <c r="I1614" s="16">
        <v>470000000</v>
      </c>
      <c r="J1614" s="157" t="s">
        <v>229</v>
      </c>
      <c r="K1614" s="5" t="s">
        <v>222</v>
      </c>
      <c r="L1614" s="6" t="s">
        <v>12251</v>
      </c>
      <c r="M1614" s="3" t="s">
        <v>12250</v>
      </c>
      <c r="N1614" s="6" t="s">
        <v>7685</v>
      </c>
      <c r="O1614" s="6" t="s">
        <v>233</v>
      </c>
      <c r="P1614" s="58" t="s">
        <v>241</v>
      </c>
      <c r="Q1614" s="6" t="s">
        <v>234</v>
      </c>
      <c r="R1614" s="18">
        <v>288</v>
      </c>
      <c r="S1614" s="2">
        <v>1796</v>
      </c>
      <c r="T1614" s="4">
        <f>R1614*S1614</f>
        <v>517248</v>
      </c>
      <c r="U1614" s="4">
        <f t="shared" si="57"/>
        <v>579317.76000000001</v>
      </c>
      <c r="V1614" s="3" t="s">
        <v>362</v>
      </c>
      <c r="W1614" s="3">
        <v>2014</v>
      </c>
      <c r="X1614" s="158"/>
    </row>
    <row r="1615" spans="1:24" ht="102">
      <c r="A1615" s="3" t="s">
        <v>1204</v>
      </c>
      <c r="B1615" s="6" t="s">
        <v>361</v>
      </c>
      <c r="C1615" s="6" t="s">
        <v>4008</v>
      </c>
      <c r="D1615" s="6" t="s">
        <v>3999</v>
      </c>
      <c r="E1615" s="6" t="s">
        <v>4009</v>
      </c>
      <c r="F1615" s="6" t="s">
        <v>193</v>
      </c>
      <c r="G1615" s="3" t="s">
        <v>11449</v>
      </c>
      <c r="H1615" s="54">
        <v>1</v>
      </c>
      <c r="I1615" s="16">
        <v>470000000</v>
      </c>
      <c r="J1615" s="157" t="s">
        <v>229</v>
      </c>
      <c r="K1615" s="5" t="s">
        <v>210</v>
      </c>
      <c r="L1615" s="6" t="s">
        <v>231</v>
      </c>
      <c r="M1615" s="3" t="s">
        <v>230</v>
      </c>
      <c r="N1615" s="6" t="s">
        <v>7685</v>
      </c>
      <c r="O1615" s="6" t="s">
        <v>233</v>
      </c>
      <c r="P1615" s="58" t="s">
        <v>241</v>
      </c>
      <c r="Q1615" s="6" t="s">
        <v>234</v>
      </c>
      <c r="R1615" s="18">
        <v>6</v>
      </c>
      <c r="S1615" s="2">
        <v>10480</v>
      </c>
      <c r="T1615" s="4">
        <v>0</v>
      </c>
      <c r="U1615" s="4">
        <f t="shared" ref="U1615:U1810" si="58">T1615*1.12</f>
        <v>0</v>
      </c>
      <c r="V1615" s="3" t="s">
        <v>362</v>
      </c>
      <c r="W1615" s="3">
        <v>2014</v>
      </c>
      <c r="X1615" s="3" t="s">
        <v>12313</v>
      </c>
    </row>
    <row r="1616" spans="1:24" ht="89.25">
      <c r="A1616" s="3" t="s">
        <v>12333</v>
      </c>
      <c r="B1616" s="6" t="s">
        <v>361</v>
      </c>
      <c r="C1616" s="6" t="s">
        <v>4008</v>
      </c>
      <c r="D1616" s="6" t="s">
        <v>3999</v>
      </c>
      <c r="E1616" s="6" t="s">
        <v>4009</v>
      </c>
      <c r="F1616" s="6" t="s">
        <v>193</v>
      </c>
      <c r="G1616" s="3" t="s">
        <v>11449</v>
      </c>
      <c r="H1616" s="54">
        <v>1</v>
      </c>
      <c r="I1616" s="16">
        <v>470000000</v>
      </c>
      <c r="J1616" s="157" t="s">
        <v>229</v>
      </c>
      <c r="K1616" s="5" t="s">
        <v>12255</v>
      </c>
      <c r="L1616" s="6" t="s">
        <v>12251</v>
      </c>
      <c r="M1616" s="3" t="s">
        <v>12250</v>
      </c>
      <c r="N1616" s="6" t="s">
        <v>7685</v>
      </c>
      <c r="O1616" s="6" t="s">
        <v>233</v>
      </c>
      <c r="P1616" s="58" t="s">
        <v>241</v>
      </c>
      <c r="Q1616" s="6" t="s">
        <v>234</v>
      </c>
      <c r="R1616" s="18">
        <v>0</v>
      </c>
      <c r="S1616" s="2">
        <v>10480</v>
      </c>
      <c r="T1616" s="4">
        <f>R1616*S1616</f>
        <v>0</v>
      </c>
      <c r="U1616" s="4">
        <f t="shared" si="58"/>
        <v>0</v>
      </c>
      <c r="V1616" s="3" t="s">
        <v>362</v>
      </c>
      <c r="W1616" s="3">
        <v>2014</v>
      </c>
      <c r="X1616" s="3" t="s">
        <v>12076</v>
      </c>
    </row>
    <row r="1617" spans="1:24" ht="102">
      <c r="A1617" s="3" t="s">
        <v>1205</v>
      </c>
      <c r="B1617" s="6" t="s">
        <v>361</v>
      </c>
      <c r="C1617" s="6" t="s">
        <v>4022</v>
      </c>
      <c r="D1617" s="6" t="s">
        <v>4018</v>
      </c>
      <c r="E1617" s="6" t="s">
        <v>4023</v>
      </c>
      <c r="F1617" s="6" t="s">
        <v>4010</v>
      </c>
      <c r="G1617" s="3" t="s">
        <v>11449</v>
      </c>
      <c r="H1617" s="54">
        <v>1</v>
      </c>
      <c r="I1617" s="16">
        <v>470000000</v>
      </c>
      <c r="J1617" s="157" t="s">
        <v>229</v>
      </c>
      <c r="K1617" s="5" t="s">
        <v>211</v>
      </c>
      <c r="L1617" s="6" t="s">
        <v>231</v>
      </c>
      <c r="M1617" s="3" t="s">
        <v>230</v>
      </c>
      <c r="N1617" s="6" t="s">
        <v>7685</v>
      </c>
      <c r="O1617" s="6" t="s">
        <v>233</v>
      </c>
      <c r="P1617" s="58" t="s">
        <v>241</v>
      </c>
      <c r="Q1617" s="6" t="s">
        <v>234</v>
      </c>
      <c r="R1617" s="4">
        <v>5200</v>
      </c>
      <c r="S1617" s="2">
        <v>990</v>
      </c>
      <c r="T1617" s="4">
        <v>0</v>
      </c>
      <c r="U1617" s="4">
        <f t="shared" si="58"/>
        <v>0</v>
      </c>
      <c r="V1617" s="3" t="s">
        <v>362</v>
      </c>
      <c r="W1617" s="3">
        <v>2014</v>
      </c>
      <c r="X1617" s="3">
        <v>11.12</v>
      </c>
    </row>
    <row r="1618" spans="1:24" ht="89.25">
      <c r="A1618" s="3" t="s">
        <v>11971</v>
      </c>
      <c r="B1618" s="6" t="s">
        <v>361</v>
      </c>
      <c r="C1618" s="6" t="s">
        <v>4022</v>
      </c>
      <c r="D1618" s="6" t="s">
        <v>4018</v>
      </c>
      <c r="E1618" s="6" t="s">
        <v>4023</v>
      </c>
      <c r="F1618" s="6" t="s">
        <v>4010</v>
      </c>
      <c r="G1618" s="3" t="s">
        <v>11449</v>
      </c>
      <c r="H1618" s="54">
        <v>1</v>
      </c>
      <c r="I1618" s="16">
        <v>470000000</v>
      </c>
      <c r="J1618" s="157" t="s">
        <v>229</v>
      </c>
      <c r="K1618" s="5" t="s">
        <v>210</v>
      </c>
      <c r="L1618" s="6" t="s">
        <v>11972</v>
      </c>
      <c r="M1618" s="3" t="s">
        <v>230</v>
      </c>
      <c r="N1618" s="6" t="s">
        <v>7685</v>
      </c>
      <c r="O1618" s="6" t="s">
        <v>233</v>
      </c>
      <c r="P1618" s="58" t="s">
        <v>241</v>
      </c>
      <c r="Q1618" s="6" t="s">
        <v>234</v>
      </c>
      <c r="R1618" s="4">
        <v>5200</v>
      </c>
      <c r="S1618" s="2">
        <v>990</v>
      </c>
      <c r="T1618" s="4">
        <v>0</v>
      </c>
      <c r="U1618" s="4">
        <f t="shared" si="58"/>
        <v>0</v>
      </c>
      <c r="V1618" s="3" t="s">
        <v>362</v>
      </c>
      <c r="W1618" s="3">
        <v>2014</v>
      </c>
      <c r="X1618" s="3" t="s">
        <v>12313</v>
      </c>
    </row>
    <row r="1619" spans="1:24" ht="89.25">
      <c r="A1619" s="3" t="s">
        <v>12334</v>
      </c>
      <c r="B1619" s="6" t="s">
        <v>361</v>
      </c>
      <c r="C1619" s="6" t="s">
        <v>4022</v>
      </c>
      <c r="D1619" s="6" t="s">
        <v>4018</v>
      </c>
      <c r="E1619" s="6" t="s">
        <v>4023</v>
      </c>
      <c r="F1619" s="6" t="s">
        <v>4010</v>
      </c>
      <c r="G1619" s="3" t="s">
        <v>11449</v>
      </c>
      <c r="H1619" s="54">
        <v>1</v>
      </c>
      <c r="I1619" s="16">
        <v>470000000</v>
      </c>
      <c r="J1619" s="157" t="s">
        <v>229</v>
      </c>
      <c r="K1619" s="5" t="s">
        <v>12255</v>
      </c>
      <c r="L1619" s="6" t="s">
        <v>12251</v>
      </c>
      <c r="M1619" s="3" t="s">
        <v>12250</v>
      </c>
      <c r="N1619" s="6" t="s">
        <v>7685</v>
      </c>
      <c r="O1619" s="6" t="s">
        <v>233</v>
      </c>
      <c r="P1619" s="58" t="s">
        <v>241</v>
      </c>
      <c r="Q1619" s="6" t="s">
        <v>234</v>
      </c>
      <c r="R1619" s="4">
        <v>5200</v>
      </c>
      <c r="S1619" s="2">
        <v>990</v>
      </c>
      <c r="T1619" s="4">
        <v>0</v>
      </c>
      <c r="U1619" s="4">
        <f t="shared" si="58"/>
        <v>0</v>
      </c>
      <c r="V1619" s="3" t="s">
        <v>362</v>
      </c>
      <c r="W1619" s="3">
        <v>2014</v>
      </c>
      <c r="X1619" s="3" t="s">
        <v>12051</v>
      </c>
    </row>
    <row r="1620" spans="1:24" ht="89.25">
      <c r="A1620" s="3" t="s">
        <v>14817</v>
      </c>
      <c r="B1620" s="6" t="s">
        <v>361</v>
      </c>
      <c r="C1620" s="6" t="s">
        <v>4022</v>
      </c>
      <c r="D1620" s="6" t="s">
        <v>4018</v>
      </c>
      <c r="E1620" s="6" t="s">
        <v>4023</v>
      </c>
      <c r="F1620" s="6" t="s">
        <v>4010</v>
      </c>
      <c r="G1620" s="3" t="s">
        <v>11449</v>
      </c>
      <c r="H1620" s="54">
        <v>1</v>
      </c>
      <c r="I1620" s="16">
        <v>470000000</v>
      </c>
      <c r="J1620" s="157" t="s">
        <v>229</v>
      </c>
      <c r="K1620" s="5" t="s">
        <v>14815</v>
      </c>
      <c r="L1620" s="6" t="s">
        <v>12251</v>
      </c>
      <c r="M1620" s="3" t="s">
        <v>12250</v>
      </c>
      <c r="N1620" s="6" t="s">
        <v>7685</v>
      </c>
      <c r="O1620" s="6" t="s">
        <v>233</v>
      </c>
      <c r="P1620" s="58" t="s">
        <v>241</v>
      </c>
      <c r="Q1620" s="6" t="s">
        <v>234</v>
      </c>
      <c r="R1620" s="4">
        <v>11785</v>
      </c>
      <c r="S1620" s="2">
        <v>978.45989999999995</v>
      </c>
      <c r="T1620" s="4">
        <v>0</v>
      </c>
      <c r="U1620" s="4">
        <f t="shared" si="58"/>
        <v>0</v>
      </c>
      <c r="V1620" s="3" t="s">
        <v>362</v>
      </c>
      <c r="W1620" s="3">
        <v>2014</v>
      </c>
      <c r="X1620" s="3" t="s">
        <v>12051</v>
      </c>
    </row>
    <row r="1621" spans="1:24" ht="89.25">
      <c r="A1621" s="3" t="s">
        <v>17917</v>
      </c>
      <c r="B1621" s="6" t="s">
        <v>361</v>
      </c>
      <c r="C1621" s="6" t="s">
        <v>4022</v>
      </c>
      <c r="D1621" s="6" t="s">
        <v>4018</v>
      </c>
      <c r="E1621" s="6" t="s">
        <v>4023</v>
      </c>
      <c r="F1621" s="6" t="s">
        <v>4010</v>
      </c>
      <c r="G1621" s="3" t="s">
        <v>11449</v>
      </c>
      <c r="H1621" s="54">
        <v>1</v>
      </c>
      <c r="I1621" s="16">
        <v>470000000</v>
      </c>
      <c r="J1621" s="157" t="s">
        <v>229</v>
      </c>
      <c r="K1621" s="5" t="s">
        <v>222</v>
      </c>
      <c r="L1621" s="6" t="s">
        <v>12251</v>
      </c>
      <c r="M1621" s="3" t="s">
        <v>12250</v>
      </c>
      <c r="N1621" s="6" t="s">
        <v>7685</v>
      </c>
      <c r="O1621" s="6" t="s">
        <v>233</v>
      </c>
      <c r="P1621" s="58" t="s">
        <v>241</v>
      </c>
      <c r="Q1621" s="6" t="s">
        <v>234</v>
      </c>
      <c r="R1621" s="4">
        <v>20000</v>
      </c>
      <c r="S1621" s="2">
        <v>990</v>
      </c>
      <c r="T1621" s="4">
        <v>0</v>
      </c>
      <c r="U1621" s="4">
        <f t="shared" si="58"/>
        <v>0</v>
      </c>
      <c r="V1621" s="3" t="s">
        <v>362</v>
      </c>
      <c r="W1621" s="3">
        <v>2014</v>
      </c>
      <c r="X1621" s="3">
        <v>11.15</v>
      </c>
    </row>
    <row r="1622" spans="1:24" ht="76.5">
      <c r="A1622" s="3" t="s">
        <v>18930</v>
      </c>
      <c r="B1622" s="6" t="s">
        <v>361</v>
      </c>
      <c r="C1622" s="6" t="s">
        <v>4022</v>
      </c>
      <c r="D1622" s="6" t="s">
        <v>4018</v>
      </c>
      <c r="E1622" s="6" t="s">
        <v>4023</v>
      </c>
      <c r="F1622" s="6" t="s">
        <v>4010</v>
      </c>
      <c r="G1622" s="3" t="s">
        <v>11449</v>
      </c>
      <c r="H1622" s="54">
        <v>1</v>
      </c>
      <c r="I1622" s="16">
        <v>470000000</v>
      </c>
      <c r="J1622" s="157" t="s">
        <v>229</v>
      </c>
      <c r="K1622" s="5" t="s">
        <v>8308</v>
      </c>
      <c r="L1622" s="6" t="s">
        <v>12251</v>
      </c>
      <c r="M1622" s="3" t="s">
        <v>12250</v>
      </c>
      <c r="N1622" s="6" t="s">
        <v>7685</v>
      </c>
      <c r="O1622" s="6" t="s">
        <v>18862</v>
      </c>
      <c r="P1622" s="58" t="s">
        <v>241</v>
      </c>
      <c r="Q1622" s="6" t="s">
        <v>234</v>
      </c>
      <c r="R1622" s="4">
        <v>20000</v>
      </c>
      <c r="S1622" s="2">
        <v>990</v>
      </c>
      <c r="T1622" s="4">
        <f>R1622*S1622</f>
        <v>19800000</v>
      </c>
      <c r="U1622" s="4">
        <f t="shared" si="58"/>
        <v>22176000.000000004</v>
      </c>
      <c r="V1622" s="3" t="s">
        <v>362</v>
      </c>
      <c r="W1622" s="3">
        <v>2014</v>
      </c>
      <c r="X1622" s="158"/>
    </row>
    <row r="1623" spans="1:24" ht="102">
      <c r="A1623" s="3" t="s">
        <v>1206</v>
      </c>
      <c r="B1623" s="6" t="s">
        <v>361</v>
      </c>
      <c r="C1623" s="6" t="s">
        <v>4017</v>
      </c>
      <c r="D1623" s="6" t="s">
        <v>4018</v>
      </c>
      <c r="E1623" s="6" t="s">
        <v>4019</v>
      </c>
      <c r="F1623" s="6" t="s">
        <v>4011</v>
      </c>
      <c r="G1623" s="3" t="s">
        <v>11449</v>
      </c>
      <c r="H1623" s="54">
        <v>1</v>
      </c>
      <c r="I1623" s="16">
        <v>470000000</v>
      </c>
      <c r="J1623" s="157" t="s">
        <v>229</v>
      </c>
      <c r="K1623" s="5" t="s">
        <v>211</v>
      </c>
      <c r="L1623" s="6" t="s">
        <v>231</v>
      </c>
      <c r="M1623" s="3" t="s">
        <v>230</v>
      </c>
      <c r="N1623" s="6" t="s">
        <v>7685</v>
      </c>
      <c r="O1623" s="6" t="s">
        <v>233</v>
      </c>
      <c r="P1623" s="58" t="s">
        <v>241</v>
      </c>
      <c r="Q1623" s="6" t="s">
        <v>234</v>
      </c>
      <c r="R1623" s="4">
        <v>1800</v>
      </c>
      <c r="S1623" s="2">
        <v>2160</v>
      </c>
      <c r="T1623" s="4">
        <v>0</v>
      </c>
      <c r="U1623" s="4">
        <f t="shared" si="58"/>
        <v>0</v>
      </c>
      <c r="V1623" s="3" t="s">
        <v>362</v>
      </c>
      <c r="W1623" s="3">
        <v>2014</v>
      </c>
      <c r="X1623" s="3" t="s">
        <v>12313</v>
      </c>
    </row>
    <row r="1624" spans="1:24" ht="89.25">
      <c r="A1624" s="3" t="s">
        <v>12335</v>
      </c>
      <c r="B1624" s="6" t="s">
        <v>361</v>
      </c>
      <c r="C1624" s="6" t="s">
        <v>4017</v>
      </c>
      <c r="D1624" s="6" t="s">
        <v>4018</v>
      </c>
      <c r="E1624" s="6" t="s">
        <v>4019</v>
      </c>
      <c r="F1624" s="6" t="s">
        <v>4011</v>
      </c>
      <c r="G1624" s="3" t="s">
        <v>11449</v>
      </c>
      <c r="H1624" s="54">
        <v>1</v>
      </c>
      <c r="I1624" s="16">
        <v>470000000</v>
      </c>
      <c r="J1624" s="157" t="s">
        <v>229</v>
      </c>
      <c r="K1624" s="5" t="s">
        <v>12255</v>
      </c>
      <c r="L1624" s="6" t="s">
        <v>12251</v>
      </c>
      <c r="M1624" s="3" t="s">
        <v>12250</v>
      </c>
      <c r="N1624" s="6" t="s">
        <v>7685</v>
      </c>
      <c r="O1624" s="6" t="s">
        <v>233</v>
      </c>
      <c r="P1624" s="58" t="s">
        <v>241</v>
      </c>
      <c r="Q1624" s="6" t="s">
        <v>234</v>
      </c>
      <c r="R1624" s="4">
        <v>1800</v>
      </c>
      <c r="S1624" s="2">
        <v>2160</v>
      </c>
      <c r="T1624" s="4">
        <v>0</v>
      </c>
      <c r="U1624" s="4">
        <f t="shared" si="58"/>
        <v>0</v>
      </c>
      <c r="V1624" s="3" t="s">
        <v>362</v>
      </c>
      <c r="W1624" s="3">
        <v>2014</v>
      </c>
      <c r="X1624" s="3" t="s">
        <v>12051</v>
      </c>
    </row>
    <row r="1625" spans="1:24" ht="89.25">
      <c r="A1625" s="3" t="s">
        <v>14818</v>
      </c>
      <c r="B1625" s="6" t="s">
        <v>361</v>
      </c>
      <c r="C1625" s="6" t="s">
        <v>4017</v>
      </c>
      <c r="D1625" s="6" t="s">
        <v>4018</v>
      </c>
      <c r="E1625" s="6" t="s">
        <v>4019</v>
      </c>
      <c r="F1625" s="6" t="s">
        <v>4011</v>
      </c>
      <c r="G1625" s="3" t="s">
        <v>11449</v>
      </c>
      <c r="H1625" s="54">
        <v>1</v>
      </c>
      <c r="I1625" s="16">
        <v>470000000</v>
      </c>
      <c r="J1625" s="157" t="s">
        <v>229</v>
      </c>
      <c r="K1625" s="5" t="s">
        <v>14815</v>
      </c>
      <c r="L1625" s="6" t="s">
        <v>12251</v>
      </c>
      <c r="M1625" s="3" t="s">
        <v>12250</v>
      </c>
      <c r="N1625" s="6" t="s">
        <v>7685</v>
      </c>
      <c r="O1625" s="6" t="s">
        <v>233</v>
      </c>
      <c r="P1625" s="58" t="s">
        <v>241</v>
      </c>
      <c r="Q1625" s="6" t="s">
        <v>234</v>
      </c>
      <c r="R1625" s="4">
        <v>1913</v>
      </c>
      <c r="S1625" s="2">
        <v>2530.107</v>
      </c>
      <c r="T1625" s="4">
        <v>0</v>
      </c>
      <c r="U1625" s="4">
        <f t="shared" si="58"/>
        <v>0</v>
      </c>
      <c r="V1625" s="3" t="s">
        <v>362</v>
      </c>
      <c r="W1625" s="3">
        <v>2014</v>
      </c>
      <c r="X1625" s="3" t="s">
        <v>12051</v>
      </c>
    </row>
    <row r="1626" spans="1:24" ht="89.25">
      <c r="A1626" s="3" t="s">
        <v>17918</v>
      </c>
      <c r="B1626" s="6" t="s">
        <v>361</v>
      </c>
      <c r="C1626" s="6" t="s">
        <v>4017</v>
      </c>
      <c r="D1626" s="6" t="s">
        <v>4018</v>
      </c>
      <c r="E1626" s="6" t="s">
        <v>4019</v>
      </c>
      <c r="F1626" s="6" t="s">
        <v>4011</v>
      </c>
      <c r="G1626" s="3" t="s">
        <v>11449</v>
      </c>
      <c r="H1626" s="54">
        <v>1</v>
      </c>
      <c r="I1626" s="16">
        <v>470000000</v>
      </c>
      <c r="J1626" s="157" t="s">
        <v>229</v>
      </c>
      <c r="K1626" s="5" t="s">
        <v>222</v>
      </c>
      <c r="L1626" s="6" t="s">
        <v>12251</v>
      </c>
      <c r="M1626" s="3" t="s">
        <v>12250</v>
      </c>
      <c r="N1626" s="6" t="s">
        <v>7685</v>
      </c>
      <c r="O1626" s="6" t="s">
        <v>233</v>
      </c>
      <c r="P1626" s="58" t="s">
        <v>241</v>
      </c>
      <c r="Q1626" s="6" t="s">
        <v>234</v>
      </c>
      <c r="R1626" s="4">
        <v>2013</v>
      </c>
      <c r="S1626" s="2">
        <v>2592</v>
      </c>
      <c r="T1626" s="4">
        <v>0</v>
      </c>
      <c r="U1626" s="4">
        <f t="shared" si="58"/>
        <v>0</v>
      </c>
      <c r="V1626" s="3" t="s">
        <v>362</v>
      </c>
      <c r="W1626" s="3">
        <v>2014</v>
      </c>
      <c r="X1626" s="3">
        <v>11.15</v>
      </c>
    </row>
    <row r="1627" spans="1:24" ht="76.5">
      <c r="A1627" s="3" t="s">
        <v>18931</v>
      </c>
      <c r="B1627" s="6" t="s">
        <v>361</v>
      </c>
      <c r="C1627" s="6" t="s">
        <v>4017</v>
      </c>
      <c r="D1627" s="6" t="s">
        <v>4018</v>
      </c>
      <c r="E1627" s="6" t="s">
        <v>4019</v>
      </c>
      <c r="F1627" s="6" t="s">
        <v>4011</v>
      </c>
      <c r="G1627" s="3" t="s">
        <v>11449</v>
      </c>
      <c r="H1627" s="54">
        <v>1</v>
      </c>
      <c r="I1627" s="16">
        <v>470000000</v>
      </c>
      <c r="J1627" s="157" t="s">
        <v>229</v>
      </c>
      <c r="K1627" s="5" t="s">
        <v>8308</v>
      </c>
      <c r="L1627" s="6" t="s">
        <v>12251</v>
      </c>
      <c r="M1627" s="3" t="s">
        <v>12250</v>
      </c>
      <c r="N1627" s="6" t="s">
        <v>7685</v>
      </c>
      <c r="O1627" s="6" t="s">
        <v>18864</v>
      </c>
      <c r="P1627" s="58" t="s">
        <v>241</v>
      </c>
      <c r="Q1627" s="6" t="s">
        <v>234</v>
      </c>
      <c r="R1627" s="4">
        <v>2013</v>
      </c>
      <c r="S1627" s="2">
        <v>2592</v>
      </c>
      <c r="T1627" s="4">
        <f>R1627*S1627</f>
        <v>5217696</v>
      </c>
      <c r="U1627" s="4">
        <f t="shared" si="58"/>
        <v>5843819.5200000005</v>
      </c>
      <c r="V1627" s="3" t="s">
        <v>362</v>
      </c>
      <c r="W1627" s="3">
        <v>2014</v>
      </c>
      <c r="X1627" s="3"/>
    </row>
    <row r="1628" spans="1:24" ht="102">
      <c r="A1628" s="3" t="s">
        <v>1207</v>
      </c>
      <c r="B1628" s="6" t="s">
        <v>361</v>
      </c>
      <c r="C1628" s="6" t="s">
        <v>4020</v>
      </c>
      <c r="D1628" s="6" t="s">
        <v>4018</v>
      </c>
      <c r="E1628" s="6" t="s">
        <v>4021</v>
      </c>
      <c r="F1628" s="6" t="s">
        <v>194</v>
      </c>
      <c r="G1628" s="3" t="s">
        <v>11449</v>
      </c>
      <c r="H1628" s="54">
        <v>1</v>
      </c>
      <c r="I1628" s="16">
        <v>470000000</v>
      </c>
      <c r="J1628" s="157" t="s">
        <v>229</v>
      </c>
      <c r="K1628" s="5" t="s">
        <v>211</v>
      </c>
      <c r="L1628" s="6" t="s">
        <v>231</v>
      </c>
      <c r="M1628" s="3" t="s">
        <v>230</v>
      </c>
      <c r="N1628" s="6" t="s">
        <v>7685</v>
      </c>
      <c r="O1628" s="6" t="s">
        <v>233</v>
      </c>
      <c r="P1628" s="58" t="s">
        <v>241</v>
      </c>
      <c r="Q1628" s="6" t="s">
        <v>234</v>
      </c>
      <c r="R1628" s="4">
        <v>3100</v>
      </c>
      <c r="S1628" s="2">
        <v>6850</v>
      </c>
      <c r="T1628" s="4">
        <v>0</v>
      </c>
      <c r="U1628" s="4">
        <f t="shared" si="58"/>
        <v>0</v>
      </c>
      <c r="V1628" s="3" t="s">
        <v>362</v>
      </c>
      <c r="W1628" s="3">
        <v>2014</v>
      </c>
      <c r="X1628" s="3" t="s">
        <v>12313</v>
      </c>
    </row>
    <row r="1629" spans="1:24" ht="89.25">
      <c r="A1629" s="3" t="s">
        <v>12336</v>
      </c>
      <c r="B1629" s="6" t="s">
        <v>361</v>
      </c>
      <c r="C1629" s="6" t="s">
        <v>4020</v>
      </c>
      <c r="D1629" s="6" t="s">
        <v>4018</v>
      </c>
      <c r="E1629" s="6" t="s">
        <v>4021</v>
      </c>
      <c r="F1629" s="6" t="s">
        <v>194</v>
      </c>
      <c r="G1629" s="3" t="s">
        <v>11449</v>
      </c>
      <c r="H1629" s="54">
        <v>1</v>
      </c>
      <c r="I1629" s="16">
        <v>470000000</v>
      </c>
      <c r="J1629" s="157" t="s">
        <v>229</v>
      </c>
      <c r="K1629" s="5" t="s">
        <v>12255</v>
      </c>
      <c r="L1629" s="6" t="s">
        <v>12251</v>
      </c>
      <c r="M1629" s="3" t="s">
        <v>12250</v>
      </c>
      <c r="N1629" s="6" t="s">
        <v>7685</v>
      </c>
      <c r="O1629" s="6" t="s">
        <v>233</v>
      </c>
      <c r="P1629" s="58" t="s">
        <v>241</v>
      </c>
      <c r="Q1629" s="6" t="s">
        <v>234</v>
      </c>
      <c r="R1629" s="4">
        <v>3100</v>
      </c>
      <c r="S1629" s="2">
        <v>6850</v>
      </c>
      <c r="T1629" s="4">
        <v>0</v>
      </c>
      <c r="U1629" s="4">
        <f t="shared" si="58"/>
        <v>0</v>
      </c>
      <c r="V1629" s="3" t="s">
        <v>362</v>
      </c>
      <c r="W1629" s="3">
        <v>2014</v>
      </c>
      <c r="X1629" s="3" t="s">
        <v>12051</v>
      </c>
    </row>
    <row r="1630" spans="1:24" ht="89.25">
      <c r="A1630" s="3" t="s">
        <v>14819</v>
      </c>
      <c r="B1630" s="6" t="s">
        <v>361</v>
      </c>
      <c r="C1630" s="6" t="s">
        <v>4020</v>
      </c>
      <c r="D1630" s="6" t="s">
        <v>4018</v>
      </c>
      <c r="E1630" s="6" t="s">
        <v>4021</v>
      </c>
      <c r="F1630" s="6" t="s">
        <v>194</v>
      </c>
      <c r="G1630" s="3" t="s">
        <v>11449</v>
      </c>
      <c r="H1630" s="54">
        <v>1</v>
      </c>
      <c r="I1630" s="16">
        <v>470000000</v>
      </c>
      <c r="J1630" s="157" t="s">
        <v>229</v>
      </c>
      <c r="K1630" s="5" t="s">
        <v>14815</v>
      </c>
      <c r="L1630" s="6" t="s">
        <v>12251</v>
      </c>
      <c r="M1630" s="3" t="s">
        <v>12250</v>
      </c>
      <c r="N1630" s="6" t="s">
        <v>7685</v>
      </c>
      <c r="O1630" s="6" t="s">
        <v>233</v>
      </c>
      <c r="P1630" s="58" t="s">
        <v>241</v>
      </c>
      <c r="Q1630" s="6" t="s">
        <v>234</v>
      </c>
      <c r="R1630" s="4">
        <v>4037</v>
      </c>
      <c r="S1630" s="2">
        <v>7204.0876799999996</v>
      </c>
      <c r="T1630" s="4">
        <v>0</v>
      </c>
      <c r="U1630" s="4">
        <f t="shared" si="58"/>
        <v>0</v>
      </c>
      <c r="V1630" s="3" t="s">
        <v>362</v>
      </c>
      <c r="W1630" s="3">
        <v>2014</v>
      </c>
      <c r="X1630" s="3" t="s">
        <v>14785</v>
      </c>
    </row>
    <row r="1631" spans="1:24" ht="89.25">
      <c r="A1631" s="3" t="s">
        <v>17919</v>
      </c>
      <c r="B1631" s="6" t="s">
        <v>361</v>
      </c>
      <c r="C1631" s="6" t="s">
        <v>4020</v>
      </c>
      <c r="D1631" s="6" t="s">
        <v>4018</v>
      </c>
      <c r="E1631" s="6" t="s">
        <v>4021</v>
      </c>
      <c r="F1631" s="6" t="s">
        <v>194</v>
      </c>
      <c r="G1631" s="3" t="s">
        <v>11449</v>
      </c>
      <c r="H1631" s="54">
        <v>1</v>
      </c>
      <c r="I1631" s="16">
        <v>470000000</v>
      </c>
      <c r="J1631" s="157" t="s">
        <v>229</v>
      </c>
      <c r="K1631" s="5" t="s">
        <v>222</v>
      </c>
      <c r="L1631" s="6" t="s">
        <v>12251</v>
      </c>
      <c r="M1631" s="3" t="s">
        <v>12250</v>
      </c>
      <c r="N1631" s="6" t="s">
        <v>7685</v>
      </c>
      <c r="O1631" s="6" t="s">
        <v>233</v>
      </c>
      <c r="P1631" s="58" t="s">
        <v>241</v>
      </c>
      <c r="Q1631" s="6" t="s">
        <v>234</v>
      </c>
      <c r="R1631" s="4">
        <v>4037</v>
      </c>
      <c r="S1631" s="2">
        <v>8196</v>
      </c>
      <c r="T1631" s="4">
        <v>0</v>
      </c>
      <c r="U1631" s="4">
        <f t="shared" si="58"/>
        <v>0</v>
      </c>
      <c r="V1631" s="3" t="s">
        <v>362</v>
      </c>
      <c r="W1631" s="3">
        <v>2014</v>
      </c>
      <c r="X1631" s="3">
        <v>11.15</v>
      </c>
    </row>
    <row r="1632" spans="1:24" ht="76.5">
      <c r="A1632" s="3" t="s">
        <v>18932</v>
      </c>
      <c r="B1632" s="6" t="s">
        <v>361</v>
      </c>
      <c r="C1632" s="6" t="s">
        <v>4020</v>
      </c>
      <c r="D1632" s="6" t="s">
        <v>4018</v>
      </c>
      <c r="E1632" s="6" t="s">
        <v>4021</v>
      </c>
      <c r="F1632" s="6" t="s">
        <v>194</v>
      </c>
      <c r="G1632" s="3" t="s">
        <v>11449</v>
      </c>
      <c r="H1632" s="54">
        <v>1</v>
      </c>
      <c r="I1632" s="16">
        <v>470000000</v>
      </c>
      <c r="J1632" s="157" t="s">
        <v>229</v>
      </c>
      <c r="K1632" s="5" t="s">
        <v>8308</v>
      </c>
      <c r="L1632" s="6" t="s">
        <v>12251</v>
      </c>
      <c r="M1632" s="3" t="s">
        <v>12250</v>
      </c>
      <c r="N1632" s="6" t="s">
        <v>7685</v>
      </c>
      <c r="O1632" s="6" t="s">
        <v>18864</v>
      </c>
      <c r="P1632" s="58" t="s">
        <v>241</v>
      </c>
      <c r="Q1632" s="6" t="s">
        <v>234</v>
      </c>
      <c r="R1632" s="4">
        <v>4037</v>
      </c>
      <c r="S1632" s="2">
        <v>8196</v>
      </c>
      <c r="T1632" s="4">
        <f>R1632*S1632</f>
        <v>33087252</v>
      </c>
      <c r="U1632" s="4">
        <f t="shared" si="58"/>
        <v>37057722.240000002</v>
      </c>
      <c r="V1632" s="3" t="s">
        <v>362</v>
      </c>
      <c r="W1632" s="3">
        <v>2014</v>
      </c>
      <c r="X1632" s="158"/>
    </row>
    <row r="1633" spans="1:24" ht="102">
      <c r="A1633" s="3" t="s">
        <v>1208</v>
      </c>
      <c r="B1633" s="6" t="s">
        <v>361</v>
      </c>
      <c r="C1633" s="6" t="s">
        <v>4024</v>
      </c>
      <c r="D1633" s="6" t="s">
        <v>4025</v>
      </c>
      <c r="E1633" s="6" t="s">
        <v>4026</v>
      </c>
      <c r="F1633" s="6" t="s">
        <v>4012</v>
      </c>
      <c r="G1633" s="3" t="s">
        <v>11449</v>
      </c>
      <c r="H1633" s="54">
        <v>1</v>
      </c>
      <c r="I1633" s="16">
        <v>470000000</v>
      </c>
      <c r="J1633" s="157" t="s">
        <v>229</v>
      </c>
      <c r="K1633" s="5" t="s">
        <v>211</v>
      </c>
      <c r="L1633" s="6" t="s">
        <v>231</v>
      </c>
      <c r="M1633" s="3" t="s">
        <v>230</v>
      </c>
      <c r="N1633" s="6" t="s">
        <v>7685</v>
      </c>
      <c r="O1633" s="6" t="s">
        <v>233</v>
      </c>
      <c r="P1633" s="58" t="s">
        <v>241</v>
      </c>
      <c r="Q1633" s="6" t="s">
        <v>234</v>
      </c>
      <c r="R1633" s="18">
        <v>17</v>
      </c>
      <c r="S1633" s="2">
        <v>9810</v>
      </c>
      <c r="T1633" s="4">
        <v>0</v>
      </c>
      <c r="U1633" s="4">
        <f t="shared" si="58"/>
        <v>0</v>
      </c>
      <c r="V1633" s="3" t="s">
        <v>362</v>
      </c>
      <c r="W1633" s="3">
        <v>2014</v>
      </c>
      <c r="X1633" s="3" t="s">
        <v>12313</v>
      </c>
    </row>
    <row r="1634" spans="1:24" ht="89.25">
      <c r="A1634" s="3" t="s">
        <v>12337</v>
      </c>
      <c r="B1634" s="6" t="s">
        <v>361</v>
      </c>
      <c r="C1634" s="6" t="s">
        <v>4024</v>
      </c>
      <c r="D1634" s="6" t="s">
        <v>4025</v>
      </c>
      <c r="E1634" s="6" t="s">
        <v>4026</v>
      </c>
      <c r="F1634" s="6" t="s">
        <v>4012</v>
      </c>
      <c r="G1634" s="3" t="s">
        <v>11449</v>
      </c>
      <c r="H1634" s="54">
        <v>1</v>
      </c>
      <c r="I1634" s="16">
        <v>470000000</v>
      </c>
      <c r="J1634" s="157" t="s">
        <v>229</v>
      </c>
      <c r="K1634" s="5" t="s">
        <v>12255</v>
      </c>
      <c r="L1634" s="6" t="s">
        <v>12251</v>
      </c>
      <c r="M1634" s="3" t="s">
        <v>12250</v>
      </c>
      <c r="N1634" s="6" t="s">
        <v>7685</v>
      </c>
      <c r="O1634" s="6" t="s">
        <v>233</v>
      </c>
      <c r="P1634" s="58" t="s">
        <v>241</v>
      </c>
      <c r="Q1634" s="6" t="s">
        <v>234</v>
      </c>
      <c r="R1634" s="18">
        <v>17</v>
      </c>
      <c r="S1634" s="2">
        <v>9810</v>
      </c>
      <c r="T1634" s="4">
        <v>0</v>
      </c>
      <c r="U1634" s="4">
        <f t="shared" si="58"/>
        <v>0</v>
      </c>
      <c r="V1634" s="3" t="s">
        <v>362</v>
      </c>
      <c r="W1634" s="3">
        <v>2014</v>
      </c>
      <c r="X1634" s="3" t="s">
        <v>14588</v>
      </c>
    </row>
    <row r="1635" spans="1:24" ht="89.25">
      <c r="A1635" s="3" t="s">
        <v>14820</v>
      </c>
      <c r="B1635" s="6" t="s">
        <v>361</v>
      </c>
      <c r="C1635" s="6" t="s">
        <v>4024</v>
      </c>
      <c r="D1635" s="6" t="s">
        <v>4025</v>
      </c>
      <c r="E1635" s="6" t="s">
        <v>4026</v>
      </c>
      <c r="F1635" s="6" t="s">
        <v>4012</v>
      </c>
      <c r="G1635" s="3" t="s">
        <v>11449</v>
      </c>
      <c r="H1635" s="54">
        <v>1</v>
      </c>
      <c r="I1635" s="16">
        <v>470000000</v>
      </c>
      <c r="J1635" s="157" t="s">
        <v>229</v>
      </c>
      <c r="K1635" s="5" t="s">
        <v>14754</v>
      </c>
      <c r="L1635" s="6" t="s">
        <v>12251</v>
      </c>
      <c r="M1635" s="3" t="s">
        <v>12250</v>
      </c>
      <c r="N1635" s="6" t="s">
        <v>7685</v>
      </c>
      <c r="O1635" s="6" t="s">
        <v>233</v>
      </c>
      <c r="P1635" s="58" t="s">
        <v>241</v>
      </c>
      <c r="Q1635" s="6" t="s">
        <v>234</v>
      </c>
      <c r="R1635" s="18">
        <v>13</v>
      </c>
      <c r="S1635" s="2">
        <v>11831</v>
      </c>
      <c r="T1635" s="4">
        <v>0</v>
      </c>
      <c r="U1635" s="4">
        <f t="shared" si="58"/>
        <v>0</v>
      </c>
      <c r="V1635" s="3" t="s">
        <v>362</v>
      </c>
      <c r="W1635" s="3">
        <v>2014</v>
      </c>
      <c r="X1635" s="3" t="s">
        <v>17399</v>
      </c>
    </row>
    <row r="1636" spans="1:24" ht="89.25">
      <c r="A1636" s="3" t="s">
        <v>17920</v>
      </c>
      <c r="B1636" s="6" t="s">
        <v>361</v>
      </c>
      <c r="C1636" s="6" t="s">
        <v>4024</v>
      </c>
      <c r="D1636" s="6" t="s">
        <v>4025</v>
      </c>
      <c r="E1636" s="6" t="s">
        <v>4026</v>
      </c>
      <c r="F1636" s="6" t="s">
        <v>4012</v>
      </c>
      <c r="G1636" s="3" t="s">
        <v>11450</v>
      </c>
      <c r="H1636" s="54">
        <v>1</v>
      </c>
      <c r="I1636" s="16">
        <v>470000000</v>
      </c>
      <c r="J1636" s="157" t="s">
        <v>229</v>
      </c>
      <c r="K1636" s="5" t="s">
        <v>222</v>
      </c>
      <c r="L1636" s="6" t="s">
        <v>12251</v>
      </c>
      <c r="M1636" s="3" t="s">
        <v>12250</v>
      </c>
      <c r="N1636" s="6" t="s">
        <v>17921</v>
      </c>
      <c r="O1636" s="6" t="s">
        <v>233</v>
      </c>
      <c r="P1636" s="58" t="s">
        <v>241</v>
      </c>
      <c r="Q1636" s="6" t="s">
        <v>234</v>
      </c>
      <c r="R1636" s="18">
        <v>13</v>
      </c>
      <c r="S1636" s="2">
        <v>11831</v>
      </c>
      <c r="T1636" s="4">
        <f>R1636*S1636</f>
        <v>153803</v>
      </c>
      <c r="U1636" s="4">
        <f t="shared" si="58"/>
        <v>172259.36000000002</v>
      </c>
      <c r="V1636" s="3" t="s">
        <v>362</v>
      </c>
      <c r="W1636" s="3">
        <v>2014</v>
      </c>
      <c r="X1636" s="158"/>
    </row>
    <row r="1637" spans="1:24" ht="102">
      <c r="A1637" s="3" t="s">
        <v>1209</v>
      </c>
      <c r="B1637" s="6" t="s">
        <v>361</v>
      </c>
      <c r="C1637" s="6" t="s">
        <v>4027</v>
      </c>
      <c r="D1637" s="6" t="s">
        <v>4025</v>
      </c>
      <c r="E1637" s="6" t="s">
        <v>4028</v>
      </c>
      <c r="F1637" s="6" t="s">
        <v>4013</v>
      </c>
      <c r="G1637" s="3" t="s">
        <v>11449</v>
      </c>
      <c r="H1637" s="54">
        <v>1</v>
      </c>
      <c r="I1637" s="16">
        <v>470000000</v>
      </c>
      <c r="J1637" s="157" t="s">
        <v>229</v>
      </c>
      <c r="K1637" s="5" t="s">
        <v>211</v>
      </c>
      <c r="L1637" s="6" t="s">
        <v>231</v>
      </c>
      <c r="M1637" s="3" t="s">
        <v>230</v>
      </c>
      <c r="N1637" s="6" t="s">
        <v>7685</v>
      </c>
      <c r="O1637" s="6" t="s">
        <v>233</v>
      </c>
      <c r="P1637" s="58" t="s">
        <v>241</v>
      </c>
      <c r="Q1637" s="6" t="s">
        <v>234</v>
      </c>
      <c r="R1637" s="18">
        <v>36</v>
      </c>
      <c r="S1637" s="2">
        <v>18030</v>
      </c>
      <c r="T1637" s="4">
        <v>0</v>
      </c>
      <c r="U1637" s="4">
        <f t="shared" si="58"/>
        <v>0</v>
      </c>
      <c r="V1637" s="3" t="s">
        <v>362</v>
      </c>
      <c r="W1637" s="3">
        <v>2014</v>
      </c>
      <c r="X1637" s="3" t="s">
        <v>12313</v>
      </c>
    </row>
    <row r="1638" spans="1:24" ht="89.25">
      <c r="A1638" s="3" t="s">
        <v>12338</v>
      </c>
      <c r="B1638" s="6" t="s">
        <v>361</v>
      </c>
      <c r="C1638" s="6" t="s">
        <v>4027</v>
      </c>
      <c r="D1638" s="6" t="s">
        <v>4025</v>
      </c>
      <c r="E1638" s="6" t="s">
        <v>4028</v>
      </c>
      <c r="F1638" s="6" t="s">
        <v>4013</v>
      </c>
      <c r="G1638" s="3" t="s">
        <v>11449</v>
      </c>
      <c r="H1638" s="54">
        <v>1</v>
      </c>
      <c r="I1638" s="16">
        <v>470000000</v>
      </c>
      <c r="J1638" s="157" t="s">
        <v>229</v>
      </c>
      <c r="K1638" s="5" t="s">
        <v>12255</v>
      </c>
      <c r="L1638" s="6" t="s">
        <v>12251</v>
      </c>
      <c r="M1638" s="3" t="s">
        <v>12250</v>
      </c>
      <c r="N1638" s="6" t="s">
        <v>7685</v>
      </c>
      <c r="O1638" s="6" t="s">
        <v>233</v>
      </c>
      <c r="P1638" s="58" t="s">
        <v>241</v>
      </c>
      <c r="Q1638" s="6" t="s">
        <v>234</v>
      </c>
      <c r="R1638" s="18">
        <v>0</v>
      </c>
      <c r="S1638" s="2">
        <v>18030</v>
      </c>
      <c r="T1638" s="4">
        <f>R1638*S1638</f>
        <v>0</v>
      </c>
      <c r="U1638" s="4">
        <f t="shared" si="58"/>
        <v>0</v>
      </c>
      <c r="V1638" s="3" t="s">
        <v>362</v>
      </c>
      <c r="W1638" s="3">
        <v>2014</v>
      </c>
      <c r="X1638" s="3" t="s">
        <v>12076</v>
      </c>
    </row>
    <row r="1639" spans="1:24" ht="102">
      <c r="A1639" s="3" t="s">
        <v>1210</v>
      </c>
      <c r="B1639" s="6" t="s">
        <v>361</v>
      </c>
      <c r="C1639" s="6" t="s">
        <v>4029</v>
      </c>
      <c r="D1639" s="6" t="s">
        <v>4025</v>
      </c>
      <c r="E1639" s="6" t="s">
        <v>4030</v>
      </c>
      <c r="F1639" s="6" t="s">
        <v>4014</v>
      </c>
      <c r="G1639" s="3" t="s">
        <v>11449</v>
      </c>
      <c r="H1639" s="54">
        <v>1</v>
      </c>
      <c r="I1639" s="16">
        <v>470000000</v>
      </c>
      <c r="J1639" s="157" t="s">
        <v>229</v>
      </c>
      <c r="K1639" s="5" t="s">
        <v>211</v>
      </c>
      <c r="L1639" s="6" t="s">
        <v>231</v>
      </c>
      <c r="M1639" s="3" t="s">
        <v>230</v>
      </c>
      <c r="N1639" s="6" t="s">
        <v>7685</v>
      </c>
      <c r="O1639" s="6" t="s">
        <v>233</v>
      </c>
      <c r="P1639" s="58" t="s">
        <v>241</v>
      </c>
      <c r="Q1639" s="6" t="s">
        <v>234</v>
      </c>
      <c r="R1639" s="18">
        <v>20</v>
      </c>
      <c r="S1639" s="2">
        <v>11930</v>
      </c>
      <c r="T1639" s="4">
        <v>0</v>
      </c>
      <c r="U1639" s="4">
        <f t="shared" si="58"/>
        <v>0</v>
      </c>
      <c r="V1639" s="3" t="s">
        <v>362</v>
      </c>
      <c r="W1639" s="3">
        <v>2014</v>
      </c>
      <c r="X1639" s="3" t="s">
        <v>12313</v>
      </c>
    </row>
    <row r="1640" spans="1:24" ht="89.25">
      <c r="A1640" s="3" t="s">
        <v>12339</v>
      </c>
      <c r="B1640" s="6" t="s">
        <v>361</v>
      </c>
      <c r="C1640" s="6" t="s">
        <v>4029</v>
      </c>
      <c r="D1640" s="6" t="s">
        <v>4025</v>
      </c>
      <c r="E1640" s="6" t="s">
        <v>4030</v>
      </c>
      <c r="F1640" s="6" t="s">
        <v>4014</v>
      </c>
      <c r="G1640" s="3" t="s">
        <v>11449</v>
      </c>
      <c r="H1640" s="54">
        <v>1</v>
      </c>
      <c r="I1640" s="16">
        <v>470000000</v>
      </c>
      <c r="J1640" s="157" t="s">
        <v>229</v>
      </c>
      <c r="K1640" s="5" t="s">
        <v>12255</v>
      </c>
      <c r="L1640" s="6" t="s">
        <v>12251</v>
      </c>
      <c r="M1640" s="3" t="s">
        <v>12250</v>
      </c>
      <c r="N1640" s="6" t="s">
        <v>7685</v>
      </c>
      <c r="O1640" s="6" t="s">
        <v>233</v>
      </c>
      <c r="P1640" s="58" t="s">
        <v>241</v>
      </c>
      <c r="Q1640" s="6" t="s">
        <v>234</v>
      </c>
      <c r="R1640" s="18">
        <v>20</v>
      </c>
      <c r="S1640" s="2">
        <v>11930</v>
      </c>
      <c r="T1640" s="4">
        <v>0</v>
      </c>
      <c r="U1640" s="4">
        <f t="shared" si="58"/>
        <v>0</v>
      </c>
      <c r="V1640" s="3" t="s">
        <v>362</v>
      </c>
      <c r="W1640" s="3">
        <v>2014</v>
      </c>
      <c r="X1640" s="3" t="s">
        <v>12051</v>
      </c>
    </row>
    <row r="1641" spans="1:24" ht="89.25">
      <c r="A1641" s="3" t="s">
        <v>14821</v>
      </c>
      <c r="B1641" s="6" t="s">
        <v>361</v>
      </c>
      <c r="C1641" s="6" t="s">
        <v>4029</v>
      </c>
      <c r="D1641" s="6" t="s">
        <v>4025</v>
      </c>
      <c r="E1641" s="6" t="s">
        <v>4030</v>
      </c>
      <c r="F1641" s="6" t="s">
        <v>4014</v>
      </c>
      <c r="G1641" s="3" t="s">
        <v>11449</v>
      </c>
      <c r="H1641" s="54">
        <v>1</v>
      </c>
      <c r="I1641" s="16">
        <v>470000000</v>
      </c>
      <c r="J1641" s="157" t="s">
        <v>229</v>
      </c>
      <c r="K1641" s="5" t="s">
        <v>14754</v>
      </c>
      <c r="L1641" s="6" t="s">
        <v>12251</v>
      </c>
      <c r="M1641" s="3" t="s">
        <v>12250</v>
      </c>
      <c r="N1641" s="6" t="s">
        <v>7685</v>
      </c>
      <c r="O1641" s="6" t="s">
        <v>233</v>
      </c>
      <c r="P1641" s="58" t="s">
        <v>241</v>
      </c>
      <c r="Q1641" s="6" t="s">
        <v>234</v>
      </c>
      <c r="R1641" s="18">
        <v>10</v>
      </c>
      <c r="S1641" s="2">
        <v>14114</v>
      </c>
      <c r="T1641" s="4">
        <v>0</v>
      </c>
      <c r="U1641" s="4">
        <f t="shared" si="58"/>
        <v>0</v>
      </c>
      <c r="V1641" s="3" t="s">
        <v>362</v>
      </c>
      <c r="W1641" s="3">
        <v>2014</v>
      </c>
      <c r="X1641" s="3" t="s">
        <v>17419</v>
      </c>
    </row>
    <row r="1642" spans="1:24" ht="89.25">
      <c r="A1642" s="3" t="s">
        <v>17922</v>
      </c>
      <c r="B1642" s="6" t="s">
        <v>361</v>
      </c>
      <c r="C1642" s="6" t="s">
        <v>4029</v>
      </c>
      <c r="D1642" s="6" t="s">
        <v>4025</v>
      </c>
      <c r="E1642" s="6" t="s">
        <v>4030</v>
      </c>
      <c r="F1642" s="6" t="s">
        <v>4014</v>
      </c>
      <c r="G1642" s="3" t="s">
        <v>11450</v>
      </c>
      <c r="H1642" s="54">
        <v>1</v>
      </c>
      <c r="I1642" s="16">
        <v>470000000</v>
      </c>
      <c r="J1642" s="157" t="s">
        <v>229</v>
      </c>
      <c r="K1642" s="5" t="s">
        <v>222</v>
      </c>
      <c r="L1642" s="6" t="s">
        <v>12251</v>
      </c>
      <c r="M1642" s="3" t="s">
        <v>12250</v>
      </c>
      <c r="N1642" s="6" t="s">
        <v>17921</v>
      </c>
      <c r="O1642" s="6" t="s">
        <v>233</v>
      </c>
      <c r="P1642" s="58" t="s">
        <v>241</v>
      </c>
      <c r="Q1642" s="6" t="s">
        <v>234</v>
      </c>
      <c r="R1642" s="18">
        <v>19</v>
      </c>
      <c r="S1642" s="2">
        <v>14114</v>
      </c>
      <c r="T1642" s="4">
        <f>R1642*S1642</f>
        <v>268166</v>
      </c>
      <c r="U1642" s="4">
        <f t="shared" si="58"/>
        <v>300345.92000000004</v>
      </c>
      <c r="V1642" s="3" t="s">
        <v>362</v>
      </c>
      <c r="W1642" s="3">
        <v>2014</v>
      </c>
      <c r="X1642" s="158"/>
    </row>
    <row r="1643" spans="1:24" ht="102">
      <c r="A1643" s="3" t="s">
        <v>1211</v>
      </c>
      <c r="B1643" s="6" t="s">
        <v>361</v>
      </c>
      <c r="C1643" s="6" t="s">
        <v>4031</v>
      </c>
      <c r="D1643" s="6" t="s">
        <v>4025</v>
      </c>
      <c r="E1643" s="6" t="s">
        <v>4032</v>
      </c>
      <c r="F1643" s="6" t="s">
        <v>4015</v>
      </c>
      <c r="G1643" s="3" t="s">
        <v>11449</v>
      </c>
      <c r="H1643" s="54">
        <v>1</v>
      </c>
      <c r="I1643" s="16">
        <v>470000000</v>
      </c>
      <c r="J1643" s="157" t="s">
        <v>229</v>
      </c>
      <c r="K1643" s="5" t="s">
        <v>211</v>
      </c>
      <c r="L1643" s="6" t="s">
        <v>231</v>
      </c>
      <c r="M1643" s="3" t="s">
        <v>230</v>
      </c>
      <c r="N1643" s="6" t="s">
        <v>7685</v>
      </c>
      <c r="O1643" s="6" t="s">
        <v>233</v>
      </c>
      <c r="P1643" s="58" t="s">
        <v>241</v>
      </c>
      <c r="Q1643" s="6" t="s">
        <v>234</v>
      </c>
      <c r="R1643" s="18">
        <v>196</v>
      </c>
      <c r="S1643" s="2">
        <v>20360</v>
      </c>
      <c r="T1643" s="4">
        <v>0</v>
      </c>
      <c r="U1643" s="4">
        <f t="shared" si="58"/>
        <v>0</v>
      </c>
      <c r="V1643" s="3" t="s">
        <v>362</v>
      </c>
      <c r="W1643" s="3">
        <v>2014</v>
      </c>
      <c r="X1643" s="3" t="s">
        <v>12313</v>
      </c>
    </row>
    <row r="1644" spans="1:24" ht="89.25">
      <c r="A1644" s="3" t="s">
        <v>12340</v>
      </c>
      <c r="B1644" s="6" t="s">
        <v>361</v>
      </c>
      <c r="C1644" s="6" t="s">
        <v>4031</v>
      </c>
      <c r="D1644" s="6" t="s">
        <v>4025</v>
      </c>
      <c r="E1644" s="6" t="s">
        <v>4032</v>
      </c>
      <c r="F1644" s="6" t="s">
        <v>4015</v>
      </c>
      <c r="G1644" s="3" t="s">
        <v>11449</v>
      </c>
      <c r="H1644" s="54">
        <v>1</v>
      </c>
      <c r="I1644" s="16">
        <v>470000000</v>
      </c>
      <c r="J1644" s="157" t="s">
        <v>229</v>
      </c>
      <c r="K1644" s="5" t="s">
        <v>12314</v>
      </c>
      <c r="L1644" s="6" t="s">
        <v>12251</v>
      </c>
      <c r="M1644" s="3" t="s">
        <v>12250</v>
      </c>
      <c r="N1644" s="6" t="s">
        <v>7685</v>
      </c>
      <c r="O1644" s="6" t="s">
        <v>233</v>
      </c>
      <c r="P1644" s="58" t="s">
        <v>241</v>
      </c>
      <c r="Q1644" s="6" t="s">
        <v>234</v>
      </c>
      <c r="R1644" s="18">
        <v>196</v>
      </c>
      <c r="S1644" s="2">
        <v>20360</v>
      </c>
      <c r="T1644" s="4">
        <v>0</v>
      </c>
      <c r="U1644" s="4">
        <f t="shared" si="58"/>
        <v>0</v>
      </c>
      <c r="V1644" s="3" t="s">
        <v>362</v>
      </c>
      <c r="W1644" s="3">
        <v>2014</v>
      </c>
      <c r="X1644" s="3" t="s">
        <v>12051</v>
      </c>
    </row>
    <row r="1645" spans="1:24" ht="89.25">
      <c r="A1645" s="3" t="s">
        <v>14822</v>
      </c>
      <c r="B1645" s="6" t="s">
        <v>361</v>
      </c>
      <c r="C1645" s="6" t="s">
        <v>4031</v>
      </c>
      <c r="D1645" s="6" t="s">
        <v>4025</v>
      </c>
      <c r="E1645" s="6" t="s">
        <v>4032</v>
      </c>
      <c r="F1645" s="6" t="s">
        <v>4015</v>
      </c>
      <c r="G1645" s="3" t="s">
        <v>11449</v>
      </c>
      <c r="H1645" s="54">
        <v>1</v>
      </c>
      <c r="I1645" s="16">
        <v>470000000</v>
      </c>
      <c r="J1645" s="157" t="s">
        <v>229</v>
      </c>
      <c r="K1645" s="5" t="s">
        <v>14823</v>
      </c>
      <c r="L1645" s="6" t="s">
        <v>12251</v>
      </c>
      <c r="M1645" s="3" t="s">
        <v>12250</v>
      </c>
      <c r="N1645" s="6" t="s">
        <v>7685</v>
      </c>
      <c r="O1645" s="6" t="s">
        <v>233</v>
      </c>
      <c r="P1645" s="58" t="s">
        <v>241</v>
      </c>
      <c r="Q1645" s="6" t="s">
        <v>234</v>
      </c>
      <c r="R1645" s="18">
        <v>451</v>
      </c>
      <c r="S1645" s="2">
        <v>20651.817999999999</v>
      </c>
      <c r="T1645" s="4">
        <v>0</v>
      </c>
      <c r="U1645" s="4">
        <f t="shared" si="58"/>
        <v>0</v>
      </c>
      <c r="V1645" s="3" t="s">
        <v>362</v>
      </c>
      <c r="W1645" s="3">
        <v>2014</v>
      </c>
      <c r="X1645" s="3" t="s">
        <v>14785</v>
      </c>
    </row>
    <row r="1646" spans="1:24" ht="89.25">
      <c r="A1646" s="3" t="s">
        <v>17923</v>
      </c>
      <c r="B1646" s="6" t="s">
        <v>361</v>
      </c>
      <c r="C1646" s="6" t="s">
        <v>4031</v>
      </c>
      <c r="D1646" s="6" t="s">
        <v>4025</v>
      </c>
      <c r="E1646" s="6" t="s">
        <v>4032</v>
      </c>
      <c r="F1646" s="6" t="s">
        <v>4015</v>
      </c>
      <c r="G1646" s="3" t="s">
        <v>11449</v>
      </c>
      <c r="H1646" s="54">
        <v>1</v>
      </c>
      <c r="I1646" s="16">
        <v>470000000</v>
      </c>
      <c r="J1646" s="157" t="s">
        <v>229</v>
      </c>
      <c r="K1646" s="5" t="s">
        <v>222</v>
      </c>
      <c r="L1646" s="6" t="s">
        <v>12251</v>
      </c>
      <c r="M1646" s="3" t="s">
        <v>12250</v>
      </c>
      <c r="N1646" s="6" t="s">
        <v>7685</v>
      </c>
      <c r="O1646" s="6" t="s">
        <v>233</v>
      </c>
      <c r="P1646" s="58" t="s">
        <v>241</v>
      </c>
      <c r="Q1646" s="6" t="s">
        <v>234</v>
      </c>
      <c r="R1646" s="18">
        <v>451</v>
      </c>
      <c r="S1646" s="2">
        <v>20930</v>
      </c>
      <c r="T1646" s="4">
        <v>0</v>
      </c>
      <c r="U1646" s="4">
        <f t="shared" si="58"/>
        <v>0</v>
      </c>
      <c r="V1646" s="3" t="s">
        <v>362</v>
      </c>
      <c r="W1646" s="3">
        <v>2014</v>
      </c>
      <c r="X1646" s="3">
        <v>11.15</v>
      </c>
    </row>
    <row r="1647" spans="1:24" ht="76.5">
      <c r="A1647" s="3" t="s">
        <v>18933</v>
      </c>
      <c r="B1647" s="6" t="s">
        <v>361</v>
      </c>
      <c r="C1647" s="6" t="s">
        <v>4031</v>
      </c>
      <c r="D1647" s="6" t="s">
        <v>4025</v>
      </c>
      <c r="E1647" s="6" t="s">
        <v>4032</v>
      </c>
      <c r="F1647" s="6" t="s">
        <v>4015</v>
      </c>
      <c r="G1647" s="3" t="s">
        <v>11449</v>
      </c>
      <c r="H1647" s="54">
        <v>1</v>
      </c>
      <c r="I1647" s="16">
        <v>470000000</v>
      </c>
      <c r="J1647" s="157" t="s">
        <v>229</v>
      </c>
      <c r="K1647" s="5" t="s">
        <v>8308</v>
      </c>
      <c r="L1647" s="6" t="s">
        <v>12251</v>
      </c>
      <c r="M1647" s="3" t="s">
        <v>12250</v>
      </c>
      <c r="N1647" s="6" t="s">
        <v>7685</v>
      </c>
      <c r="O1647" s="6" t="s">
        <v>18864</v>
      </c>
      <c r="P1647" s="58" t="s">
        <v>241</v>
      </c>
      <c r="Q1647" s="6" t="s">
        <v>234</v>
      </c>
      <c r="R1647" s="18">
        <v>451</v>
      </c>
      <c r="S1647" s="2">
        <v>20930</v>
      </c>
      <c r="T1647" s="4">
        <f>R1647*S1647</f>
        <v>9439430</v>
      </c>
      <c r="U1647" s="4">
        <f t="shared" si="58"/>
        <v>10572161.600000001</v>
      </c>
      <c r="V1647" s="3" t="s">
        <v>362</v>
      </c>
      <c r="W1647" s="3">
        <v>2014</v>
      </c>
      <c r="X1647" s="158"/>
    </row>
    <row r="1648" spans="1:24" ht="102">
      <c r="A1648" s="3" t="s">
        <v>1212</v>
      </c>
      <c r="B1648" s="6" t="s">
        <v>361</v>
      </c>
      <c r="C1648" s="6" t="s">
        <v>4033</v>
      </c>
      <c r="D1648" s="6" t="s">
        <v>4025</v>
      </c>
      <c r="E1648" s="6" t="s">
        <v>4034</v>
      </c>
      <c r="F1648" s="6" t="s">
        <v>4016</v>
      </c>
      <c r="G1648" s="3" t="s">
        <v>11449</v>
      </c>
      <c r="H1648" s="54">
        <v>1</v>
      </c>
      <c r="I1648" s="16">
        <v>470000000</v>
      </c>
      <c r="J1648" s="157" t="s">
        <v>229</v>
      </c>
      <c r="K1648" s="5" t="s">
        <v>211</v>
      </c>
      <c r="L1648" s="6" t="s">
        <v>231</v>
      </c>
      <c r="M1648" s="3" t="s">
        <v>230</v>
      </c>
      <c r="N1648" s="6" t="s">
        <v>7685</v>
      </c>
      <c r="O1648" s="6" t="s">
        <v>233</v>
      </c>
      <c r="P1648" s="58" t="s">
        <v>241</v>
      </c>
      <c r="Q1648" s="6" t="s">
        <v>234</v>
      </c>
      <c r="R1648" s="18">
        <v>270</v>
      </c>
      <c r="S1648" s="2">
        <v>24020</v>
      </c>
      <c r="T1648" s="4">
        <v>0</v>
      </c>
      <c r="U1648" s="4">
        <f t="shared" si="58"/>
        <v>0</v>
      </c>
      <c r="V1648" s="3" t="s">
        <v>362</v>
      </c>
      <c r="W1648" s="3">
        <v>2014</v>
      </c>
      <c r="X1648" s="3" t="s">
        <v>12313</v>
      </c>
    </row>
    <row r="1649" spans="1:24" ht="89.25">
      <c r="A1649" s="3" t="s">
        <v>12341</v>
      </c>
      <c r="B1649" s="6" t="s">
        <v>361</v>
      </c>
      <c r="C1649" s="6" t="s">
        <v>4033</v>
      </c>
      <c r="D1649" s="6" t="s">
        <v>4025</v>
      </c>
      <c r="E1649" s="6" t="s">
        <v>4034</v>
      </c>
      <c r="F1649" s="6" t="s">
        <v>4016</v>
      </c>
      <c r="G1649" s="3" t="s">
        <v>11449</v>
      </c>
      <c r="H1649" s="54">
        <v>1</v>
      </c>
      <c r="I1649" s="16">
        <v>470000000</v>
      </c>
      <c r="J1649" s="157" t="s">
        <v>229</v>
      </c>
      <c r="K1649" s="5" t="s">
        <v>12314</v>
      </c>
      <c r="L1649" s="6" t="s">
        <v>12251</v>
      </c>
      <c r="M1649" s="3" t="s">
        <v>12250</v>
      </c>
      <c r="N1649" s="6" t="s">
        <v>7685</v>
      </c>
      <c r="O1649" s="6" t="s">
        <v>233</v>
      </c>
      <c r="P1649" s="58" t="s">
        <v>241</v>
      </c>
      <c r="Q1649" s="6" t="s">
        <v>234</v>
      </c>
      <c r="R1649" s="18">
        <v>270</v>
      </c>
      <c r="S1649" s="2">
        <v>24020</v>
      </c>
      <c r="T1649" s="4">
        <v>0</v>
      </c>
      <c r="U1649" s="4">
        <f t="shared" si="58"/>
        <v>0</v>
      </c>
      <c r="V1649" s="3" t="s">
        <v>362</v>
      </c>
      <c r="W1649" s="3">
        <v>2014</v>
      </c>
      <c r="X1649" s="3" t="s">
        <v>14785</v>
      </c>
    </row>
    <row r="1650" spans="1:24" ht="89.25">
      <c r="A1650" s="3" t="s">
        <v>14824</v>
      </c>
      <c r="B1650" s="6" t="s">
        <v>361</v>
      </c>
      <c r="C1650" s="6" t="s">
        <v>4033</v>
      </c>
      <c r="D1650" s="6" t="s">
        <v>4025</v>
      </c>
      <c r="E1650" s="6" t="s">
        <v>4034</v>
      </c>
      <c r="F1650" s="6" t="s">
        <v>4016</v>
      </c>
      <c r="G1650" s="3" t="s">
        <v>11449</v>
      </c>
      <c r="H1650" s="54">
        <v>1</v>
      </c>
      <c r="I1650" s="16">
        <v>470000000</v>
      </c>
      <c r="J1650" s="157" t="s">
        <v>229</v>
      </c>
      <c r="K1650" s="5" t="s">
        <v>14825</v>
      </c>
      <c r="L1650" s="6" t="s">
        <v>12251</v>
      </c>
      <c r="M1650" s="3" t="s">
        <v>12250</v>
      </c>
      <c r="N1650" s="6" t="s">
        <v>7685</v>
      </c>
      <c r="O1650" s="6" t="s">
        <v>233</v>
      </c>
      <c r="P1650" s="58" t="s">
        <v>241</v>
      </c>
      <c r="Q1650" s="6" t="s">
        <v>234</v>
      </c>
      <c r="R1650" s="18">
        <v>270</v>
      </c>
      <c r="S1650" s="2">
        <v>27298.22</v>
      </c>
      <c r="T1650" s="4">
        <v>0</v>
      </c>
      <c r="U1650" s="4">
        <f t="shared" si="58"/>
        <v>0</v>
      </c>
      <c r="V1650" s="3" t="s">
        <v>362</v>
      </c>
      <c r="W1650" s="3">
        <v>2014</v>
      </c>
      <c r="X1650" s="3" t="s">
        <v>14785</v>
      </c>
    </row>
    <row r="1651" spans="1:24" ht="89.25">
      <c r="A1651" s="3" t="s">
        <v>17924</v>
      </c>
      <c r="B1651" s="6" t="s">
        <v>361</v>
      </c>
      <c r="C1651" s="6" t="s">
        <v>4033</v>
      </c>
      <c r="D1651" s="6" t="s">
        <v>4025</v>
      </c>
      <c r="E1651" s="6" t="s">
        <v>4034</v>
      </c>
      <c r="F1651" s="6" t="s">
        <v>4016</v>
      </c>
      <c r="G1651" s="3" t="s">
        <v>11449</v>
      </c>
      <c r="H1651" s="54">
        <v>1</v>
      </c>
      <c r="I1651" s="16">
        <v>470000000</v>
      </c>
      <c r="J1651" s="157" t="s">
        <v>229</v>
      </c>
      <c r="K1651" s="5" t="s">
        <v>222</v>
      </c>
      <c r="L1651" s="6" t="s">
        <v>12251</v>
      </c>
      <c r="M1651" s="3" t="s">
        <v>12250</v>
      </c>
      <c r="N1651" s="6" t="s">
        <v>7685</v>
      </c>
      <c r="O1651" s="6" t="s">
        <v>233</v>
      </c>
      <c r="P1651" s="58" t="s">
        <v>241</v>
      </c>
      <c r="Q1651" s="6" t="s">
        <v>234</v>
      </c>
      <c r="R1651" s="18">
        <v>270</v>
      </c>
      <c r="S1651" s="2">
        <v>31396</v>
      </c>
      <c r="T1651" s="4">
        <v>0</v>
      </c>
      <c r="U1651" s="4">
        <f t="shared" si="58"/>
        <v>0</v>
      </c>
      <c r="V1651" s="3" t="s">
        <v>362</v>
      </c>
      <c r="W1651" s="3">
        <v>2014</v>
      </c>
      <c r="X1651" s="3">
        <v>11.15</v>
      </c>
    </row>
    <row r="1652" spans="1:24" ht="76.5">
      <c r="A1652" s="3" t="s">
        <v>18934</v>
      </c>
      <c r="B1652" s="6" t="s">
        <v>361</v>
      </c>
      <c r="C1652" s="6" t="s">
        <v>4033</v>
      </c>
      <c r="D1652" s="6" t="s">
        <v>4025</v>
      </c>
      <c r="E1652" s="6" t="s">
        <v>4034</v>
      </c>
      <c r="F1652" s="6" t="s">
        <v>4016</v>
      </c>
      <c r="G1652" s="3" t="s">
        <v>11449</v>
      </c>
      <c r="H1652" s="54">
        <v>1</v>
      </c>
      <c r="I1652" s="16">
        <v>470000000</v>
      </c>
      <c r="J1652" s="157" t="s">
        <v>229</v>
      </c>
      <c r="K1652" s="5" t="s">
        <v>8308</v>
      </c>
      <c r="L1652" s="6" t="s">
        <v>12251</v>
      </c>
      <c r="M1652" s="3" t="s">
        <v>12250</v>
      </c>
      <c r="N1652" s="6" t="s">
        <v>7685</v>
      </c>
      <c r="O1652" s="6" t="s">
        <v>18864</v>
      </c>
      <c r="P1652" s="58" t="s">
        <v>241</v>
      </c>
      <c r="Q1652" s="6" t="s">
        <v>234</v>
      </c>
      <c r="R1652" s="18">
        <v>270</v>
      </c>
      <c r="S1652" s="2">
        <v>31396</v>
      </c>
      <c r="T1652" s="4">
        <f>R1652*S1652</f>
        <v>8476920</v>
      </c>
      <c r="U1652" s="4">
        <f t="shared" si="58"/>
        <v>9494150.4000000004</v>
      </c>
      <c r="V1652" s="3" t="s">
        <v>362</v>
      </c>
      <c r="W1652" s="3">
        <v>2014</v>
      </c>
      <c r="X1652" s="158"/>
    </row>
    <row r="1653" spans="1:24" ht="102">
      <c r="A1653" s="3" t="s">
        <v>1213</v>
      </c>
      <c r="B1653" s="6" t="s">
        <v>361</v>
      </c>
      <c r="C1653" s="6" t="s">
        <v>4035</v>
      </c>
      <c r="D1653" s="6" t="s">
        <v>4036</v>
      </c>
      <c r="E1653" s="6" t="s">
        <v>4037</v>
      </c>
      <c r="F1653" s="6" t="s">
        <v>195</v>
      </c>
      <c r="G1653" s="3" t="s">
        <v>11449</v>
      </c>
      <c r="H1653" s="54">
        <v>1</v>
      </c>
      <c r="I1653" s="16">
        <v>470000000</v>
      </c>
      <c r="J1653" s="157" t="s">
        <v>229</v>
      </c>
      <c r="K1653" s="5" t="s">
        <v>211</v>
      </c>
      <c r="L1653" s="6" t="s">
        <v>231</v>
      </c>
      <c r="M1653" s="3" t="s">
        <v>230</v>
      </c>
      <c r="N1653" s="6" t="s">
        <v>7685</v>
      </c>
      <c r="O1653" s="6" t="s">
        <v>233</v>
      </c>
      <c r="P1653" s="58" t="s">
        <v>241</v>
      </c>
      <c r="Q1653" s="6" t="s">
        <v>234</v>
      </c>
      <c r="R1653" s="18">
        <v>14</v>
      </c>
      <c r="S1653" s="2">
        <v>6560</v>
      </c>
      <c r="T1653" s="4">
        <v>0</v>
      </c>
      <c r="U1653" s="4">
        <f t="shared" si="58"/>
        <v>0</v>
      </c>
      <c r="V1653" s="3" t="s">
        <v>362</v>
      </c>
      <c r="W1653" s="3">
        <v>2014</v>
      </c>
      <c r="X1653" s="3" t="s">
        <v>12313</v>
      </c>
    </row>
    <row r="1654" spans="1:24" ht="89.25">
      <c r="A1654" s="3" t="s">
        <v>12342</v>
      </c>
      <c r="B1654" s="6" t="s">
        <v>361</v>
      </c>
      <c r="C1654" s="6" t="s">
        <v>4035</v>
      </c>
      <c r="D1654" s="6" t="s">
        <v>4036</v>
      </c>
      <c r="E1654" s="6" t="s">
        <v>4037</v>
      </c>
      <c r="F1654" s="6" t="s">
        <v>195</v>
      </c>
      <c r="G1654" s="3" t="s">
        <v>11449</v>
      </c>
      <c r="H1654" s="54">
        <v>1</v>
      </c>
      <c r="I1654" s="16">
        <v>470000000</v>
      </c>
      <c r="J1654" s="157" t="s">
        <v>229</v>
      </c>
      <c r="K1654" s="5" t="s">
        <v>12255</v>
      </c>
      <c r="L1654" s="6" t="s">
        <v>12251</v>
      </c>
      <c r="M1654" s="3" t="s">
        <v>12250</v>
      </c>
      <c r="N1654" s="6" t="s">
        <v>7685</v>
      </c>
      <c r="O1654" s="6" t="s">
        <v>233</v>
      </c>
      <c r="P1654" s="58" t="s">
        <v>241</v>
      </c>
      <c r="Q1654" s="6" t="s">
        <v>234</v>
      </c>
      <c r="R1654" s="18">
        <v>0</v>
      </c>
      <c r="S1654" s="2">
        <v>6560</v>
      </c>
      <c r="T1654" s="4">
        <f>R1654*S1654</f>
        <v>0</v>
      </c>
      <c r="U1654" s="4">
        <f t="shared" si="58"/>
        <v>0</v>
      </c>
      <c r="V1654" s="3" t="s">
        <v>362</v>
      </c>
      <c r="W1654" s="3">
        <v>2014</v>
      </c>
      <c r="X1654" s="3" t="s">
        <v>12076</v>
      </c>
    </row>
    <row r="1655" spans="1:24" ht="102">
      <c r="A1655" s="3" t="s">
        <v>1214</v>
      </c>
      <c r="B1655" s="6" t="s">
        <v>361</v>
      </c>
      <c r="C1655" s="6" t="s">
        <v>4038</v>
      </c>
      <c r="D1655" s="6" t="s">
        <v>4036</v>
      </c>
      <c r="E1655" s="6" t="s">
        <v>4039</v>
      </c>
      <c r="F1655" s="6" t="s">
        <v>196</v>
      </c>
      <c r="G1655" s="3" t="s">
        <v>11449</v>
      </c>
      <c r="H1655" s="54">
        <v>1</v>
      </c>
      <c r="I1655" s="16">
        <v>470000000</v>
      </c>
      <c r="J1655" s="157" t="s">
        <v>229</v>
      </c>
      <c r="K1655" s="5" t="s">
        <v>211</v>
      </c>
      <c r="L1655" s="6" t="s">
        <v>231</v>
      </c>
      <c r="M1655" s="3" t="s">
        <v>230</v>
      </c>
      <c r="N1655" s="6" t="s">
        <v>7685</v>
      </c>
      <c r="O1655" s="6" t="s">
        <v>233</v>
      </c>
      <c r="P1655" s="58" t="s">
        <v>241</v>
      </c>
      <c r="Q1655" s="6" t="s">
        <v>234</v>
      </c>
      <c r="R1655" s="18">
        <v>32</v>
      </c>
      <c r="S1655" s="2">
        <v>16480</v>
      </c>
      <c r="T1655" s="4">
        <v>0</v>
      </c>
      <c r="U1655" s="4">
        <f t="shared" si="58"/>
        <v>0</v>
      </c>
      <c r="V1655" s="3" t="s">
        <v>362</v>
      </c>
      <c r="W1655" s="3">
        <v>2014</v>
      </c>
      <c r="X1655" s="3" t="s">
        <v>12313</v>
      </c>
    </row>
    <row r="1656" spans="1:24" ht="89.25">
      <c r="A1656" s="3" t="s">
        <v>12343</v>
      </c>
      <c r="B1656" s="6" t="s">
        <v>361</v>
      </c>
      <c r="C1656" s="6" t="s">
        <v>4038</v>
      </c>
      <c r="D1656" s="6" t="s">
        <v>4036</v>
      </c>
      <c r="E1656" s="6" t="s">
        <v>4039</v>
      </c>
      <c r="F1656" s="6" t="s">
        <v>196</v>
      </c>
      <c r="G1656" s="3" t="s">
        <v>11449</v>
      </c>
      <c r="H1656" s="54">
        <v>1</v>
      </c>
      <c r="I1656" s="16">
        <v>470000000</v>
      </c>
      <c r="J1656" s="157" t="s">
        <v>229</v>
      </c>
      <c r="K1656" s="5" t="s">
        <v>12255</v>
      </c>
      <c r="L1656" s="6" t="s">
        <v>12251</v>
      </c>
      <c r="M1656" s="3" t="s">
        <v>12250</v>
      </c>
      <c r="N1656" s="6" t="s">
        <v>7685</v>
      </c>
      <c r="O1656" s="6" t="s">
        <v>233</v>
      </c>
      <c r="P1656" s="58" t="s">
        <v>241</v>
      </c>
      <c r="Q1656" s="6" t="s">
        <v>234</v>
      </c>
      <c r="R1656" s="18">
        <v>0</v>
      </c>
      <c r="S1656" s="2">
        <v>16480</v>
      </c>
      <c r="T1656" s="4">
        <f>R1656*S1656</f>
        <v>0</v>
      </c>
      <c r="U1656" s="4">
        <f t="shared" si="58"/>
        <v>0</v>
      </c>
      <c r="V1656" s="3" t="s">
        <v>362</v>
      </c>
      <c r="W1656" s="3">
        <v>2014</v>
      </c>
      <c r="X1656" s="3" t="s">
        <v>12076</v>
      </c>
    </row>
    <row r="1657" spans="1:24" ht="102">
      <c r="A1657" s="3" t="s">
        <v>1215</v>
      </c>
      <c r="B1657" s="6" t="s">
        <v>361</v>
      </c>
      <c r="C1657" s="6" t="s">
        <v>4040</v>
      </c>
      <c r="D1657" s="6" t="s">
        <v>4036</v>
      </c>
      <c r="E1657" s="6" t="s">
        <v>4041</v>
      </c>
      <c r="F1657" s="6" t="s">
        <v>197</v>
      </c>
      <c r="G1657" s="3" t="s">
        <v>11449</v>
      </c>
      <c r="H1657" s="54">
        <v>1</v>
      </c>
      <c r="I1657" s="16">
        <v>470000000</v>
      </c>
      <c r="J1657" s="157" t="s">
        <v>229</v>
      </c>
      <c r="K1657" s="5" t="s">
        <v>211</v>
      </c>
      <c r="L1657" s="6" t="s">
        <v>231</v>
      </c>
      <c r="M1657" s="3" t="s">
        <v>230</v>
      </c>
      <c r="N1657" s="6" t="s">
        <v>7685</v>
      </c>
      <c r="O1657" s="6" t="s">
        <v>233</v>
      </c>
      <c r="P1657" s="58" t="s">
        <v>241</v>
      </c>
      <c r="Q1657" s="6" t="s">
        <v>234</v>
      </c>
      <c r="R1657" s="18">
        <v>233</v>
      </c>
      <c r="S1657" s="2">
        <v>26780</v>
      </c>
      <c r="T1657" s="4">
        <v>0</v>
      </c>
      <c r="U1657" s="4">
        <f t="shared" si="58"/>
        <v>0</v>
      </c>
      <c r="V1657" s="3" t="s">
        <v>362</v>
      </c>
      <c r="W1657" s="3">
        <v>2014</v>
      </c>
      <c r="X1657" s="3" t="s">
        <v>12313</v>
      </c>
    </row>
    <row r="1658" spans="1:24" ht="89.25">
      <c r="A1658" s="3" t="s">
        <v>12344</v>
      </c>
      <c r="B1658" s="6" t="s">
        <v>361</v>
      </c>
      <c r="C1658" s="6" t="s">
        <v>4040</v>
      </c>
      <c r="D1658" s="6" t="s">
        <v>4036</v>
      </c>
      <c r="E1658" s="6" t="s">
        <v>4041</v>
      </c>
      <c r="F1658" s="6" t="s">
        <v>197</v>
      </c>
      <c r="G1658" s="3" t="s">
        <v>11449</v>
      </c>
      <c r="H1658" s="54">
        <v>1</v>
      </c>
      <c r="I1658" s="16">
        <v>470000000</v>
      </c>
      <c r="J1658" s="157" t="s">
        <v>229</v>
      </c>
      <c r="K1658" s="5" t="s">
        <v>12314</v>
      </c>
      <c r="L1658" s="6" t="s">
        <v>12251</v>
      </c>
      <c r="M1658" s="3" t="s">
        <v>12250</v>
      </c>
      <c r="N1658" s="6" t="s">
        <v>7685</v>
      </c>
      <c r="O1658" s="6" t="s">
        <v>233</v>
      </c>
      <c r="P1658" s="58" t="s">
        <v>241</v>
      </c>
      <c r="Q1658" s="6" t="s">
        <v>234</v>
      </c>
      <c r="R1658" s="18">
        <v>233</v>
      </c>
      <c r="S1658" s="2">
        <v>26780</v>
      </c>
      <c r="T1658" s="4">
        <v>0</v>
      </c>
      <c r="U1658" s="4">
        <f t="shared" si="58"/>
        <v>0</v>
      </c>
      <c r="V1658" s="3" t="s">
        <v>362</v>
      </c>
      <c r="W1658" s="3">
        <v>2014</v>
      </c>
      <c r="X1658" s="3" t="s">
        <v>12051</v>
      </c>
    </row>
    <row r="1659" spans="1:24" ht="89.25">
      <c r="A1659" s="3" t="s">
        <v>14826</v>
      </c>
      <c r="B1659" s="6" t="s">
        <v>361</v>
      </c>
      <c r="C1659" s="6" t="s">
        <v>4040</v>
      </c>
      <c r="D1659" s="6" t="s">
        <v>4036</v>
      </c>
      <c r="E1659" s="6" t="s">
        <v>4041</v>
      </c>
      <c r="F1659" s="6" t="s">
        <v>197</v>
      </c>
      <c r="G1659" s="3" t="s">
        <v>11449</v>
      </c>
      <c r="H1659" s="54">
        <v>1</v>
      </c>
      <c r="I1659" s="16">
        <v>470000000</v>
      </c>
      <c r="J1659" s="157" t="s">
        <v>229</v>
      </c>
      <c r="K1659" s="5" t="s">
        <v>14827</v>
      </c>
      <c r="L1659" s="6" t="s">
        <v>12251</v>
      </c>
      <c r="M1659" s="3" t="s">
        <v>12250</v>
      </c>
      <c r="N1659" s="6" t="s">
        <v>7685</v>
      </c>
      <c r="O1659" s="6" t="s">
        <v>233</v>
      </c>
      <c r="P1659" s="58" t="s">
        <v>241</v>
      </c>
      <c r="Q1659" s="6" t="s">
        <v>234</v>
      </c>
      <c r="R1659" s="18">
        <v>206</v>
      </c>
      <c r="S1659" s="2">
        <v>26881.446</v>
      </c>
      <c r="T1659" s="4">
        <v>0</v>
      </c>
      <c r="U1659" s="4">
        <f t="shared" si="58"/>
        <v>0</v>
      </c>
      <c r="V1659" s="3" t="s">
        <v>362</v>
      </c>
      <c r="W1659" s="3">
        <v>2014</v>
      </c>
      <c r="X1659" s="3" t="s">
        <v>14785</v>
      </c>
    </row>
    <row r="1660" spans="1:24" ht="89.25">
      <c r="A1660" s="3" t="s">
        <v>17925</v>
      </c>
      <c r="B1660" s="6" t="s">
        <v>361</v>
      </c>
      <c r="C1660" s="6" t="s">
        <v>4040</v>
      </c>
      <c r="D1660" s="6" t="s">
        <v>4036</v>
      </c>
      <c r="E1660" s="6" t="s">
        <v>4041</v>
      </c>
      <c r="F1660" s="6" t="s">
        <v>197</v>
      </c>
      <c r="G1660" s="3" t="s">
        <v>11449</v>
      </c>
      <c r="H1660" s="54">
        <v>1</v>
      </c>
      <c r="I1660" s="16">
        <v>470000000</v>
      </c>
      <c r="J1660" s="157" t="s">
        <v>229</v>
      </c>
      <c r="K1660" s="5" t="s">
        <v>222</v>
      </c>
      <c r="L1660" s="6" t="s">
        <v>12251</v>
      </c>
      <c r="M1660" s="3" t="s">
        <v>12250</v>
      </c>
      <c r="N1660" s="6" t="s">
        <v>7685</v>
      </c>
      <c r="O1660" s="6" t="s">
        <v>233</v>
      </c>
      <c r="P1660" s="58" t="s">
        <v>241</v>
      </c>
      <c r="Q1660" s="6" t="s">
        <v>234</v>
      </c>
      <c r="R1660" s="18">
        <v>206</v>
      </c>
      <c r="S1660" s="2">
        <v>27908</v>
      </c>
      <c r="T1660" s="4">
        <v>0</v>
      </c>
      <c r="U1660" s="4">
        <f t="shared" si="58"/>
        <v>0</v>
      </c>
      <c r="V1660" s="3" t="s">
        <v>362</v>
      </c>
      <c r="W1660" s="3">
        <v>2014</v>
      </c>
      <c r="X1660" s="3" t="s">
        <v>18825</v>
      </c>
    </row>
    <row r="1661" spans="1:24" ht="76.5">
      <c r="A1661" s="3" t="s">
        <v>18829</v>
      </c>
      <c r="B1661" s="6" t="s">
        <v>361</v>
      </c>
      <c r="C1661" s="6" t="s">
        <v>4040</v>
      </c>
      <c r="D1661" s="6" t="s">
        <v>4036</v>
      </c>
      <c r="E1661" s="6" t="s">
        <v>4041</v>
      </c>
      <c r="F1661" s="6" t="s">
        <v>197</v>
      </c>
      <c r="G1661" s="3" t="s">
        <v>11449</v>
      </c>
      <c r="H1661" s="54">
        <v>1</v>
      </c>
      <c r="I1661" s="16">
        <v>470000000</v>
      </c>
      <c r="J1661" s="157" t="s">
        <v>229</v>
      </c>
      <c r="K1661" s="5" t="s">
        <v>18748</v>
      </c>
      <c r="L1661" s="6" t="s">
        <v>12251</v>
      </c>
      <c r="M1661" s="3" t="s">
        <v>12250</v>
      </c>
      <c r="N1661" s="6" t="s">
        <v>7685</v>
      </c>
      <c r="O1661" s="6" t="s">
        <v>18828</v>
      </c>
      <c r="P1661" s="58" t="s">
        <v>241</v>
      </c>
      <c r="Q1661" s="6" t="s">
        <v>234</v>
      </c>
      <c r="R1661" s="18">
        <v>240</v>
      </c>
      <c r="S1661" s="2">
        <v>27908</v>
      </c>
      <c r="T1661" s="4">
        <f>R1661*S1661</f>
        <v>6697920</v>
      </c>
      <c r="U1661" s="4">
        <f t="shared" si="58"/>
        <v>7501670.4000000004</v>
      </c>
      <c r="V1661" s="3" t="s">
        <v>362</v>
      </c>
      <c r="W1661" s="3">
        <v>2014</v>
      </c>
      <c r="X1661" s="158"/>
    </row>
    <row r="1662" spans="1:24" ht="102">
      <c r="A1662" s="3" t="s">
        <v>1216</v>
      </c>
      <c r="B1662" s="6" t="s">
        <v>361</v>
      </c>
      <c r="C1662" s="6" t="s">
        <v>4042</v>
      </c>
      <c r="D1662" s="6" t="s">
        <v>4043</v>
      </c>
      <c r="E1662" s="6" t="s">
        <v>4044</v>
      </c>
      <c r="F1662" s="6" t="s">
        <v>198</v>
      </c>
      <c r="G1662" s="3" t="s">
        <v>11449</v>
      </c>
      <c r="H1662" s="54">
        <v>1</v>
      </c>
      <c r="I1662" s="16">
        <v>470000000</v>
      </c>
      <c r="J1662" s="157" t="s">
        <v>229</v>
      </c>
      <c r="K1662" s="5" t="s">
        <v>211</v>
      </c>
      <c r="L1662" s="6" t="s">
        <v>231</v>
      </c>
      <c r="M1662" s="3" t="s">
        <v>230</v>
      </c>
      <c r="N1662" s="6" t="s">
        <v>7685</v>
      </c>
      <c r="O1662" s="6" t="s">
        <v>233</v>
      </c>
      <c r="P1662" s="58" t="s">
        <v>241</v>
      </c>
      <c r="Q1662" s="6" t="s">
        <v>234</v>
      </c>
      <c r="R1662" s="18">
        <v>14</v>
      </c>
      <c r="S1662" s="2">
        <v>8560</v>
      </c>
      <c r="T1662" s="4">
        <v>0</v>
      </c>
      <c r="U1662" s="4">
        <f t="shared" si="58"/>
        <v>0</v>
      </c>
      <c r="V1662" s="3" t="s">
        <v>362</v>
      </c>
      <c r="W1662" s="3">
        <v>2014</v>
      </c>
      <c r="X1662" s="3" t="s">
        <v>12313</v>
      </c>
    </row>
    <row r="1663" spans="1:24" ht="89.25">
      <c r="A1663" s="3" t="s">
        <v>12345</v>
      </c>
      <c r="B1663" s="6" t="s">
        <v>361</v>
      </c>
      <c r="C1663" s="6" t="s">
        <v>4042</v>
      </c>
      <c r="D1663" s="6" t="s">
        <v>4043</v>
      </c>
      <c r="E1663" s="6" t="s">
        <v>4044</v>
      </c>
      <c r="F1663" s="6" t="s">
        <v>198</v>
      </c>
      <c r="G1663" s="3" t="s">
        <v>11449</v>
      </c>
      <c r="H1663" s="54">
        <v>1</v>
      </c>
      <c r="I1663" s="16">
        <v>470000000</v>
      </c>
      <c r="J1663" s="157" t="s">
        <v>229</v>
      </c>
      <c r="K1663" s="5" t="s">
        <v>12255</v>
      </c>
      <c r="L1663" s="6" t="s">
        <v>12251</v>
      </c>
      <c r="M1663" s="3" t="s">
        <v>12250</v>
      </c>
      <c r="N1663" s="6" t="s">
        <v>7685</v>
      </c>
      <c r="O1663" s="6" t="s">
        <v>233</v>
      </c>
      <c r="P1663" s="58" t="s">
        <v>241</v>
      </c>
      <c r="Q1663" s="6" t="s">
        <v>234</v>
      </c>
      <c r="R1663" s="18">
        <v>14</v>
      </c>
      <c r="S1663" s="2">
        <v>8560</v>
      </c>
      <c r="T1663" s="4">
        <v>0</v>
      </c>
      <c r="U1663" s="4">
        <f t="shared" si="58"/>
        <v>0</v>
      </c>
      <c r="V1663" s="3" t="s">
        <v>362</v>
      </c>
      <c r="W1663" s="3">
        <v>2014</v>
      </c>
      <c r="X1663" s="3" t="s">
        <v>12051</v>
      </c>
    </row>
    <row r="1664" spans="1:24" ht="89.25">
      <c r="A1664" s="3" t="s">
        <v>14828</v>
      </c>
      <c r="B1664" s="6" t="s">
        <v>361</v>
      </c>
      <c r="C1664" s="6" t="s">
        <v>4042</v>
      </c>
      <c r="D1664" s="6" t="s">
        <v>4043</v>
      </c>
      <c r="E1664" s="6" t="s">
        <v>4044</v>
      </c>
      <c r="F1664" s="6" t="s">
        <v>198</v>
      </c>
      <c r="G1664" s="3" t="s">
        <v>11449</v>
      </c>
      <c r="H1664" s="54">
        <v>1</v>
      </c>
      <c r="I1664" s="16">
        <v>470000000</v>
      </c>
      <c r="J1664" s="157" t="s">
        <v>229</v>
      </c>
      <c r="K1664" s="5" t="s">
        <v>14754</v>
      </c>
      <c r="L1664" s="6" t="s">
        <v>12251</v>
      </c>
      <c r="M1664" s="3" t="s">
        <v>12250</v>
      </c>
      <c r="N1664" s="6" t="s">
        <v>7685</v>
      </c>
      <c r="O1664" s="6" t="s">
        <v>233</v>
      </c>
      <c r="P1664" s="58" t="s">
        <v>241</v>
      </c>
      <c r="Q1664" s="6" t="s">
        <v>234</v>
      </c>
      <c r="R1664" s="18">
        <v>4</v>
      </c>
      <c r="S1664" s="2">
        <v>10438</v>
      </c>
      <c r="T1664" s="4">
        <v>0</v>
      </c>
      <c r="U1664" s="4">
        <f t="shared" si="58"/>
        <v>0</v>
      </c>
      <c r="V1664" s="3" t="s">
        <v>362</v>
      </c>
      <c r="W1664" s="3">
        <v>2014</v>
      </c>
      <c r="X1664" s="3" t="s">
        <v>17399</v>
      </c>
    </row>
    <row r="1665" spans="1:24" ht="89.25">
      <c r="A1665" s="3" t="s">
        <v>17926</v>
      </c>
      <c r="B1665" s="6" t="s">
        <v>361</v>
      </c>
      <c r="C1665" s="6" t="s">
        <v>4042</v>
      </c>
      <c r="D1665" s="6" t="s">
        <v>4043</v>
      </c>
      <c r="E1665" s="6" t="s">
        <v>4044</v>
      </c>
      <c r="F1665" s="6" t="s">
        <v>198</v>
      </c>
      <c r="G1665" s="3" t="s">
        <v>11450</v>
      </c>
      <c r="H1665" s="54">
        <v>1</v>
      </c>
      <c r="I1665" s="16">
        <v>470000000</v>
      </c>
      <c r="J1665" s="157" t="s">
        <v>229</v>
      </c>
      <c r="K1665" s="5" t="s">
        <v>222</v>
      </c>
      <c r="L1665" s="6" t="s">
        <v>12251</v>
      </c>
      <c r="M1665" s="3" t="s">
        <v>12250</v>
      </c>
      <c r="N1665" s="6" t="s">
        <v>17921</v>
      </c>
      <c r="O1665" s="6" t="s">
        <v>233</v>
      </c>
      <c r="P1665" s="58" t="s">
        <v>241</v>
      </c>
      <c r="Q1665" s="6" t="s">
        <v>234</v>
      </c>
      <c r="R1665" s="18">
        <v>4</v>
      </c>
      <c r="S1665" s="2">
        <v>10438</v>
      </c>
      <c r="T1665" s="4">
        <f>R1665*S1665</f>
        <v>41752</v>
      </c>
      <c r="U1665" s="4">
        <f t="shared" si="58"/>
        <v>46762.240000000005</v>
      </c>
      <c r="V1665" s="3" t="s">
        <v>362</v>
      </c>
      <c r="W1665" s="3">
        <v>2014</v>
      </c>
      <c r="X1665" s="158"/>
    </row>
    <row r="1666" spans="1:24" ht="102">
      <c r="A1666" s="3" t="s">
        <v>1217</v>
      </c>
      <c r="B1666" s="6" t="s">
        <v>361</v>
      </c>
      <c r="C1666" s="6" t="s">
        <v>4045</v>
      </c>
      <c r="D1666" s="6" t="s">
        <v>4043</v>
      </c>
      <c r="E1666" s="6" t="s">
        <v>4046</v>
      </c>
      <c r="F1666" s="6" t="s">
        <v>199</v>
      </c>
      <c r="G1666" s="3" t="s">
        <v>11449</v>
      </c>
      <c r="H1666" s="54">
        <v>1</v>
      </c>
      <c r="I1666" s="16">
        <v>470000000</v>
      </c>
      <c r="J1666" s="157" t="s">
        <v>229</v>
      </c>
      <c r="K1666" s="5" t="s">
        <v>211</v>
      </c>
      <c r="L1666" s="6" t="s">
        <v>231</v>
      </c>
      <c r="M1666" s="3" t="s">
        <v>230</v>
      </c>
      <c r="N1666" s="6" t="s">
        <v>7685</v>
      </c>
      <c r="O1666" s="6" t="s">
        <v>233</v>
      </c>
      <c r="P1666" s="58" t="s">
        <v>241</v>
      </c>
      <c r="Q1666" s="6" t="s">
        <v>234</v>
      </c>
      <c r="R1666" s="18">
        <v>32</v>
      </c>
      <c r="S1666" s="2">
        <v>16550</v>
      </c>
      <c r="T1666" s="4">
        <v>0</v>
      </c>
      <c r="U1666" s="4">
        <f t="shared" si="58"/>
        <v>0</v>
      </c>
      <c r="V1666" s="3" t="s">
        <v>362</v>
      </c>
      <c r="W1666" s="3">
        <v>2014</v>
      </c>
      <c r="X1666" s="3" t="s">
        <v>12313</v>
      </c>
    </row>
    <row r="1667" spans="1:24" ht="89.25">
      <c r="A1667" s="3" t="s">
        <v>12346</v>
      </c>
      <c r="B1667" s="6" t="s">
        <v>361</v>
      </c>
      <c r="C1667" s="6" t="s">
        <v>4045</v>
      </c>
      <c r="D1667" s="6" t="s">
        <v>4043</v>
      </c>
      <c r="E1667" s="6" t="s">
        <v>4046</v>
      </c>
      <c r="F1667" s="6" t="s">
        <v>199</v>
      </c>
      <c r="G1667" s="3" t="s">
        <v>11449</v>
      </c>
      <c r="H1667" s="54">
        <v>1</v>
      </c>
      <c r="I1667" s="16">
        <v>470000000</v>
      </c>
      <c r="J1667" s="157" t="s">
        <v>229</v>
      </c>
      <c r="K1667" s="5" t="s">
        <v>12255</v>
      </c>
      <c r="L1667" s="6" t="s">
        <v>12251</v>
      </c>
      <c r="M1667" s="3" t="s">
        <v>12250</v>
      </c>
      <c r="N1667" s="6" t="s">
        <v>7685</v>
      </c>
      <c r="O1667" s="6" t="s">
        <v>233</v>
      </c>
      <c r="P1667" s="58" t="s">
        <v>241</v>
      </c>
      <c r="Q1667" s="6" t="s">
        <v>234</v>
      </c>
      <c r="R1667" s="18">
        <v>32</v>
      </c>
      <c r="S1667" s="2">
        <v>16550</v>
      </c>
      <c r="T1667" s="4">
        <v>0</v>
      </c>
      <c r="U1667" s="4">
        <f t="shared" si="58"/>
        <v>0</v>
      </c>
      <c r="V1667" s="3" t="s">
        <v>362</v>
      </c>
      <c r="W1667" s="3">
        <v>2014</v>
      </c>
      <c r="X1667" s="3" t="s">
        <v>12051</v>
      </c>
    </row>
    <row r="1668" spans="1:24" ht="89.25">
      <c r="A1668" s="3" t="s">
        <v>14829</v>
      </c>
      <c r="B1668" s="6" t="s">
        <v>361</v>
      </c>
      <c r="C1668" s="6" t="s">
        <v>4045</v>
      </c>
      <c r="D1668" s="6" t="s">
        <v>4043</v>
      </c>
      <c r="E1668" s="6" t="s">
        <v>4046</v>
      </c>
      <c r="F1668" s="6" t="s">
        <v>199</v>
      </c>
      <c r="G1668" s="3" t="s">
        <v>11449</v>
      </c>
      <c r="H1668" s="54">
        <v>1</v>
      </c>
      <c r="I1668" s="16">
        <v>470000000</v>
      </c>
      <c r="J1668" s="157" t="s">
        <v>229</v>
      </c>
      <c r="K1668" s="5" t="s">
        <v>14754</v>
      </c>
      <c r="L1668" s="6" t="s">
        <v>12251</v>
      </c>
      <c r="M1668" s="3" t="s">
        <v>12250</v>
      </c>
      <c r="N1668" s="6" t="s">
        <v>7685</v>
      </c>
      <c r="O1668" s="6" t="s">
        <v>233</v>
      </c>
      <c r="P1668" s="58" t="s">
        <v>241</v>
      </c>
      <c r="Q1668" s="6" t="s">
        <v>234</v>
      </c>
      <c r="R1668" s="18">
        <v>15</v>
      </c>
      <c r="S1668" s="2">
        <v>22730</v>
      </c>
      <c r="T1668" s="4">
        <v>0</v>
      </c>
      <c r="U1668" s="4">
        <f t="shared" si="58"/>
        <v>0</v>
      </c>
      <c r="V1668" s="3" t="s">
        <v>362</v>
      </c>
      <c r="W1668" s="3">
        <v>2014</v>
      </c>
      <c r="X1668" s="3" t="s">
        <v>17399</v>
      </c>
    </row>
    <row r="1669" spans="1:24" ht="89.25">
      <c r="A1669" s="3" t="s">
        <v>17927</v>
      </c>
      <c r="B1669" s="6" t="s">
        <v>361</v>
      </c>
      <c r="C1669" s="6" t="s">
        <v>4045</v>
      </c>
      <c r="D1669" s="6" t="s">
        <v>4043</v>
      </c>
      <c r="E1669" s="6" t="s">
        <v>4046</v>
      </c>
      <c r="F1669" s="6" t="s">
        <v>199</v>
      </c>
      <c r="G1669" s="3" t="s">
        <v>11450</v>
      </c>
      <c r="H1669" s="54">
        <v>1</v>
      </c>
      <c r="I1669" s="16">
        <v>470000000</v>
      </c>
      <c r="J1669" s="157" t="s">
        <v>229</v>
      </c>
      <c r="K1669" s="5" t="s">
        <v>222</v>
      </c>
      <c r="L1669" s="6" t="s">
        <v>12251</v>
      </c>
      <c r="M1669" s="3" t="s">
        <v>12250</v>
      </c>
      <c r="N1669" s="6" t="s">
        <v>17921</v>
      </c>
      <c r="O1669" s="6" t="s">
        <v>233</v>
      </c>
      <c r="P1669" s="58" t="s">
        <v>241</v>
      </c>
      <c r="Q1669" s="6" t="s">
        <v>234</v>
      </c>
      <c r="R1669" s="18">
        <v>15</v>
      </c>
      <c r="S1669" s="2">
        <v>22730</v>
      </c>
      <c r="T1669" s="4">
        <f>R1669*S1669</f>
        <v>340950</v>
      </c>
      <c r="U1669" s="4">
        <f t="shared" si="58"/>
        <v>381864.00000000006</v>
      </c>
      <c r="V1669" s="3" t="s">
        <v>362</v>
      </c>
      <c r="W1669" s="3">
        <v>2014</v>
      </c>
      <c r="X1669" s="158"/>
    </row>
    <row r="1670" spans="1:24" ht="102">
      <c r="A1670" s="3" t="s">
        <v>1218</v>
      </c>
      <c r="B1670" s="6" t="s">
        <v>361</v>
      </c>
      <c r="C1670" s="6" t="s">
        <v>4047</v>
      </c>
      <c r="D1670" s="6" t="s">
        <v>4043</v>
      </c>
      <c r="E1670" s="6" t="s">
        <v>4048</v>
      </c>
      <c r="F1670" s="6" t="s">
        <v>200</v>
      </c>
      <c r="G1670" s="3" t="s">
        <v>11449</v>
      </c>
      <c r="H1670" s="54">
        <v>1</v>
      </c>
      <c r="I1670" s="16">
        <v>470000000</v>
      </c>
      <c r="J1670" s="157" t="s">
        <v>229</v>
      </c>
      <c r="K1670" s="5" t="s">
        <v>211</v>
      </c>
      <c r="L1670" s="6" t="s">
        <v>231</v>
      </c>
      <c r="M1670" s="3" t="s">
        <v>230</v>
      </c>
      <c r="N1670" s="6" t="s">
        <v>7685</v>
      </c>
      <c r="O1670" s="6" t="s">
        <v>233</v>
      </c>
      <c r="P1670" s="58" t="s">
        <v>241</v>
      </c>
      <c r="Q1670" s="6" t="s">
        <v>234</v>
      </c>
      <c r="R1670" s="18">
        <v>233</v>
      </c>
      <c r="S1670" s="2">
        <v>27200</v>
      </c>
      <c r="T1670" s="4">
        <v>0</v>
      </c>
      <c r="U1670" s="4">
        <f t="shared" si="58"/>
        <v>0</v>
      </c>
      <c r="V1670" s="3" t="s">
        <v>362</v>
      </c>
      <c r="W1670" s="3">
        <v>2014</v>
      </c>
      <c r="X1670" s="3" t="s">
        <v>12313</v>
      </c>
    </row>
    <row r="1671" spans="1:24" ht="89.25">
      <c r="A1671" s="3" t="s">
        <v>12347</v>
      </c>
      <c r="B1671" s="6" t="s">
        <v>361</v>
      </c>
      <c r="C1671" s="6" t="s">
        <v>4047</v>
      </c>
      <c r="D1671" s="6" t="s">
        <v>4043</v>
      </c>
      <c r="E1671" s="6" t="s">
        <v>4048</v>
      </c>
      <c r="F1671" s="6" t="s">
        <v>200</v>
      </c>
      <c r="G1671" s="3" t="s">
        <v>11449</v>
      </c>
      <c r="H1671" s="54">
        <v>1</v>
      </c>
      <c r="I1671" s="16">
        <v>470000000</v>
      </c>
      <c r="J1671" s="157" t="s">
        <v>229</v>
      </c>
      <c r="K1671" s="5" t="s">
        <v>12314</v>
      </c>
      <c r="L1671" s="6" t="s">
        <v>12251</v>
      </c>
      <c r="M1671" s="3" t="s">
        <v>12250</v>
      </c>
      <c r="N1671" s="6" t="s">
        <v>7685</v>
      </c>
      <c r="O1671" s="6" t="s">
        <v>233</v>
      </c>
      <c r="P1671" s="58" t="s">
        <v>241</v>
      </c>
      <c r="Q1671" s="6" t="s">
        <v>234</v>
      </c>
      <c r="R1671" s="18">
        <v>233</v>
      </c>
      <c r="S1671" s="2">
        <v>27200</v>
      </c>
      <c r="T1671" s="4">
        <v>0</v>
      </c>
      <c r="U1671" s="4">
        <f t="shared" si="58"/>
        <v>0</v>
      </c>
      <c r="V1671" s="3" t="s">
        <v>362</v>
      </c>
      <c r="W1671" s="3">
        <v>2014</v>
      </c>
      <c r="X1671" s="3" t="s">
        <v>12051</v>
      </c>
    </row>
    <row r="1672" spans="1:24" ht="51">
      <c r="A1672" s="3" t="s">
        <v>14830</v>
      </c>
      <c r="B1672" s="6" t="s">
        <v>361</v>
      </c>
      <c r="C1672" s="6" t="s">
        <v>4047</v>
      </c>
      <c r="D1672" s="6" t="s">
        <v>4043</v>
      </c>
      <c r="E1672" s="6" t="s">
        <v>4048</v>
      </c>
      <c r="F1672" s="6" t="s">
        <v>200</v>
      </c>
      <c r="G1672" s="3" t="s">
        <v>11449</v>
      </c>
      <c r="H1672" s="54">
        <v>1</v>
      </c>
      <c r="I1672" s="16">
        <v>470000000</v>
      </c>
      <c r="J1672" s="157" t="s">
        <v>229</v>
      </c>
      <c r="K1672" s="5" t="s">
        <v>14827</v>
      </c>
      <c r="L1672" s="17" t="s">
        <v>11411</v>
      </c>
      <c r="M1672" s="162" t="s">
        <v>230</v>
      </c>
      <c r="N1672" s="6" t="s">
        <v>528</v>
      </c>
      <c r="O1672" s="6" t="s">
        <v>14831</v>
      </c>
      <c r="P1672" s="58" t="s">
        <v>241</v>
      </c>
      <c r="Q1672" s="6" t="s">
        <v>234</v>
      </c>
      <c r="R1672" s="18">
        <v>206</v>
      </c>
      <c r="S1672" s="2">
        <v>29263.84</v>
      </c>
      <c r="T1672" s="4">
        <v>0</v>
      </c>
      <c r="U1672" s="4">
        <f t="shared" si="58"/>
        <v>0</v>
      </c>
      <c r="V1672" s="3" t="s">
        <v>362</v>
      </c>
      <c r="W1672" s="3">
        <v>2014</v>
      </c>
      <c r="X1672" s="158" t="s">
        <v>18203</v>
      </c>
    </row>
    <row r="1673" spans="1:24" ht="89.25">
      <c r="A1673" s="3" t="s">
        <v>17928</v>
      </c>
      <c r="B1673" s="6" t="s">
        <v>361</v>
      </c>
      <c r="C1673" s="6" t="s">
        <v>4047</v>
      </c>
      <c r="D1673" s="6" t="s">
        <v>4043</v>
      </c>
      <c r="E1673" s="6" t="s">
        <v>4048</v>
      </c>
      <c r="F1673" s="6" t="s">
        <v>200</v>
      </c>
      <c r="G1673" s="3" t="s">
        <v>11449</v>
      </c>
      <c r="H1673" s="54">
        <v>1</v>
      </c>
      <c r="I1673" s="16">
        <v>470000000</v>
      </c>
      <c r="J1673" s="157" t="s">
        <v>229</v>
      </c>
      <c r="K1673" s="5" t="s">
        <v>222</v>
      </c>
      <c r="L1673" s="6" t="s">
        <v>12251</v>
      </c>
      <c r="M1673" s="3" t="s">
        <v>12250</v>
      </c>
      <c r="N1673" s="6" t="s">
        <v>7685</v>
      </c>
      <c r="O1673" s="6" t="s">
        <v>233</v>
      </c>
      <c r="P1673" s="58" t="s">
        <v>241</v>
      </c>
      <c r="Q1673" s="6" t="s">
        <v>234</v>
      </c>
      <c r="R1673" s="18">
        <v>206</v>
      </c>
      <c r="S1673" s="2">
        <v>34792</v>
      </c>
      <c r="T1673" s="4">
        <v>0</v>
      </c>
      <c r="U1673" s="4">
        <f t="shared" si="58"/>
        <v>0</v>
      </c>
      <c r="V1673" s="3" t="s">
        <v>362</v>
      </c>
      <c r="W1673" s="3">
        <v>2014</v>
      </c>
      <c r="X1673" s="6" t="s">
        <v>18826</v>
      </c>
    </row>
    <row r="1674" spans="1:24" ht="76.5">
      <c r="A1674" s="3" t="s">
        <v>18827</v>
      </c>
      <c r="B1674" s="6" t="s">
        <v>361</v>
      </c>
      <c r="C1674" s="6" t="s">
        <v>4047</v>
      </c>
      <c r="D1674" s="6" t="s">
        <v>4043</v>
      </c>
      <c r="E1674" s="6" t="s">
        <v>4048</v>
      </c>
      <c r="F1674" s="6" t="s">
        <v>200</v>
      </c>
      <c r="G1674" s="3" t="s">
        <v>11449</v>
      </c>
      <c r="H1674" s="54">
        <v>1</v>
      </c>
      <c r="I1674" s="16">
        <v>470000000</v>
      </c>
      <c r="J1674" s="157" t="s">
        <v>229</v>
      </c>
      <c r="K1674" s="5" t="s">
        <v>18748</v>
      </c>
      <c r="L1674" s="6" t="s">
        <v>12251</v>
      </c>
      <c r="M1674" s="3" t="s">
        <v>12250</v>
      </c>
      <c r="N1674" s="6" t="s">
        <v>7685</v>
      </c>
      <c r="O1674" s="6" t="s">
        <v>18828</v>
      </c>
      <c r="P1674" s="58" t="s">
        <v>241</v>
      </c>
      <c r="Q1674" s="6" t="s">
        <v>234</v>
      </c>
      <c r="R1674" s="18">
        <v>240</v>
      </c>
      <c r="S1674" s="2">
        <v>34792</v>
      </c>
      <c r="T1674" s="4">
        <f>R1674*S1674</f>
        <v>8350080</v>
      </c>
      <c r="U1674" s="4">
        <f t="shared" si="58"/>
        <v>9352089.6000000015</v>
      </c>
      <c r="V1674" s="3" t="s">
        <v>362</v>
      </c>
      <c r="W1674" s="3">
        <v>2014</v>
      </c>
      <c r="X1674" s="158"/>
    </row>
    <row r="1675" spans="1:24" ht="102">
      <c r="A1675" s="3" t="s">
        <v>1219</v>
      </c>
      <c r="B1675" s="6" t="s">
        <v>361</v>
      </c>
      <c r="C1675" s="6" t="s">
        <v>4049</v>
      </c>
      <c r="D1675" s="6" t="s">
        <v>201</v>
      </c>
      <c r="E1675" s="6" t="s">
        <v>4050</v>
      </c>
      <c r="F1675" s="6" t="s">
        <v>201</v>
      </c>
      <c r="G1675" s="3" t="s">
        <v>11449</v>
      </c>
      <c r="H1675" s="54">
        <v>1</v>
      </c>
      <c r="I1675" s="16">
        <v>470000000</v>
      </c>
      <c r="J1675" s="157" t="s">
        <v>229</v>
      </c>
      <c r="K1675" s="5" t="s">
        <v>211</v>
      </c>
      <c r="L1675" s="6" t="s">
        <v>231</v>
      </c>
      <c r="M1675" s="3" t="s">
        <v>230</v>
      </c>
      <c r="N1675" s="6" t="s">
        <v>7685</v>
      </c>
      <c r="O1675" s="6" t="s">
        <v>233</v>
      </c>
      <c r="P1675" s="58" t="s">
        <v>248</v>
      </c>
      <c r="Q1675" s="6" t="s">
        <v>249</v>
      </c>
      <c r="R1675" s="18">
        <v>740</v>
      </c>
      <c r="S1675" s="2">
        <v>1950</v>
      </c>
      <c r="T1675" s="4">
        <v>0</v>
      </c>
      <c r="U1675" s="4">
        <f t="shared" si="58"/>
        <v>0</v>
      </c>
      <c r="V1675" s="3" t="s">
        <v>362</v>
      </c>
      <c r="W1675" s="3">
        <v>2014</v>
      </c>
      <c r="X1675" s="3" t="s">
        <v>12313</v>
      </c>
    </row>
    <row r="1676" spans="1:24" ht="89.25">
      <c r="A1676" s="3" t="s">
        <v>12348</v>
      </c>
      <c r="B1676" s="6" t="s">
        <v>361</v>
      </c>
      <c r="C1676" s="6" t="s">
        <v>4049</v>
      </c>
      <c r="D1676" s="6" t="s">
        <v>201</v>
      </c>
      <c r="E1676" s="6" t="s">
        <v>4050</v>
      </c>
      <c r="F1676" s="6" t="s">
        <v>201</v>
      </c>
      <c r="G1676" s="3" t="s">
        <v>11449</v>
      </c>
      <c r="H1676" s="54">
        <v>1</v>
      </c>
      <c r="I1676" s="16">
        <v>470000000</v>
      </c>
      <c r="J1676" s="157" t="s">
        <v>229</v>
      </c>
      <c r="K1676" s="5" t="s">
        <v>12255</v>
      </c>
      <c r="L1676" s="6" t="s">
        <v>12251</v>
      </c>
      <c r="M1676" s="3" t="s">
        <v>12250</v>
      </c>
      <c r="N1676" s="6" t="s">
        <v>7685</v>
      </c>
      <c r="O1676" s="6" t="s">
        <v>233</v>
      </c>
      <c r="P1676" s="58" t="s">
        <v>248</v>
      </c>
      <c r="Q1676" s="6" t="s">
        <v>249</v>
      </c>
      <c r="R1676" s="18">
        <v>740</v>
      </c>
      <c r="S1676" s="2">
        <v>1950</v>
      </c>
      <c r="T1676" s="4">
        <v>0</v>
      </c>
      <c r="U1676" s="4">
        <f t="shared" si="58"/>
        <v>0</v>
      </c>
      <c r="V1676" s="3" t="s">
        <v>362</v>
      </c>
      <c r="W1676" s="3">
        <v>2014</v>
      </c>
      <c r="X1676" s="6" t="s">
        <v>14832</v>
      </c>
    </row>
    <row r="1677" spans="1:24" ht="89.25">
      <c r="A1677" s="3" t="s">
        <v>14833</v>
      </c>
      <c r="B1677" s="6" t="s">
        <v>361</v>
      </c>
      <c r="C1677" s="6" t="s">
        <v>4049</v>
      </c>
      <c r="D1677" s="6" t="s">
        <v>201</v>
      </c>
      <c r="E1677" s="6" t="s">
        <v>4050</v>
      </c>
      <c r="F1677" s="6" t="s">
        <v>201</v>
      </c>
      <c r="G1677" s="3" t="s">
        <v>605</v>
      </c>
      <c r="H1677" s="54">
        <v>1</v>
      </c>
      <c r="I1677" s="16">
        <v>470000000</v>
      </c>
      <c r="J1677" s="157" t="s">
        <v>229</v>
      </c>
      <c r="K1677" s="5" t="s">
        <v>14754</v>
      </c>
      <c r="L1677" s="17" t="s">
        <v>11411</v>
      </c>
      <c r="M1677" s="162" t="s">
        <v>230</v>
      </c>
      <c r="N1677" s="6" t="s">
        <v>528</v>
      </c>
      <c r="O1677" s="6" t="s">
        <v>4568</v>
      </c>
      <c r="P1677" s="58" t="s">
        <v>248</v>
      </c>
      <c r="Q1677" s="6" t="s">
        <v>249</v>
      </c>
      <c r="R1677" s="18">
        <v>0</v>
      </c>
      <c r="S1677" s="2">
        <v>2340</v>
      </c>
      <c r="T1677" s="4">
        <f>R1677*S1677</f>
        <v>0</v>
      </c>
      <c r="U1677" s="4">
        <f t="shared" si="58"/>
        <v>0</v>
      </c>
      <c r="V1677" s="3" t="s">
        <v>362</v>
      </c>
      <c r="W1677" s="3">
        <v>2014</v>
      </c>
      <c r="X1677" s="3" t="s">
        <v>12076</v>
      </c>
    </row>
    <row r="1678" spans="1:24" ht="102">
      <c r="A1678" s="3" t="s">
        <v>1220</v>
      </c>
      <c r="B1678" s="6" t="s">
        <v>361</v>
      </c>
      <c r="C1678" s="6" t="s">
        <v>3976</v>
      </c>
      <c r="D1678" s="6" t="s">
        <v>3977</v>
      </c>
      <c r="E1678" s="6" t="s">
        <v>3978</v>
      </c>
      <c r="F1678" s="3" t="s">
        <v>202</v>
      </c>
      <c r="G1678" s="3" t="s">
        <v>11449</v>
      </c>
      <c r="H1678" s="54">
        <v>1</v>
      </c>
      <c r="I1678" s="16">
        <v>470000000</v>
      </c>
      <c r="J1678" s="157" t="s">
        <v>229</v>
      </c>
      <c r="K1678" s="5" t="s">
        <v>211</v>
      </c>
      <c r="L1678" s="6" t="s">
        <v>231</v>
      </c>
      <c r="M1678" s="3" t="s">
        <v>230</v>
      </c>
      <c r="N1678" s="6" t="s">
        <v>7685</v>
      </c>
      <c r="O1678" s="6" t="s">
        <v>233</v>
      </c>
      <c r="P1678" s="58" t="s">
        <v>241</v>
      </c>
      <c r="Q1678" s="6" t="s">
        <v>234</v>
      </c>
      <c r="R1678" s="18">
        <v>857</v>
      </c>
      <c r="S1678" s="2">
        <v>71942</v>
      </c>
      <c r="T1678" s="4">
        <v>0</v>
      </c>
      <c r="U1678" s="4">
        <f t="shared" si="58"/>
        <v>0</v>
      </c>
      <c r="V1678" s="3" t="s">
        <v>362</v>
      </c>
      <c r="W1678" s="3">
        <v>2014</v>
      </c>
      <c r="X1678" s="3" t="s">
        <v>12313</v>
      </c>
    </row>
    <row r="1679" spans="1:24" ht="89.25">
      <c r="A1679" s="3" t="s">
        <v>12071</v>
      </c>
      <c r="B1679" s="6" t="s">
        <v>361</v>
      </c>
      <c r="C1679" s="6" t="s">
        <v>3976</v>
      </c>
      <c r="D1679" s="6" t="s">
        <v>3977</v>
      </c>
      <c r="E1679" s="6" t="s">
        <v>3978</v>
      </c>
      <c r="F1679" s="3" t="s">
        <v>202</v>
      </c>
      <c r="G1679" s="3" t="s">
        <v>11449</v>
      </c>
      <c r="H1679" s="54">
        <v>1</v>
      </c>
      <c r="I1679" s="16">
        <v>470000000</v>
      </c>
      <c r="J1679" s="157" t="s">
        <v>229</v>
      </c>
      <c r="K1679" s="5" t="s">
        <v>12255</v>
      </c>
      <c r="L1679" s="6" t="s">
        <v>12251</v>
      </c>
      <c r="M1679" s="3" t="s">
        <v>12250</v>
      </c>
      <c r="N1679" s="6" t="s">
        <v>7685</v>
      </c>
      <c r="O1679" s="6" t="s">
        <v>233</v>
      </c>
      <c r="P1679" s="58" t="s">
        <v>241</v>
      </c>
      <c r="Q1679" s="6" t="s">
        <v>234</v>
      </c>
      <c r="R1679" s="18">
        <v>857</v>
      </c>
      <c r="S1679" s="2">
        <v>71942</v>
      </c>
      <c r="T1679" s="4">
        <v>0</v>
      </c>
      <c r="U1679" s="4">
        <f t="shared" si="58"/>
        <v>0</v>
      </c>
      <c r="V1679" s="3" t="s">
        <v>362</v>
      </c>
      <c r="W1679" s="3">
        <v>2014</v>
      </c>
      <c r="X1679" s="3" t="s">
        <v>12051</v>
      </c>
    </row>
    <row r="1680" spans="1:24" ht="89.25">
      <c r="A1680" s="3" t="s">
        <v>14834</v>
      </c>
      <c r="B1680" s="6" t="s">
        <v>361</v>
      </c>
      <c r="C1680" s="6" t="s">
        <v>3976</v>
      </c>
      <c r="D1680" s="6" t="s">
        <v>3977</v>
      </c>
      <c r="E1680" s="6" t="s">
        <v>3978</v>
      </c>
      <c r="F1680" s="3" t="s">
        <v>202</v>
      </c>
      <c r="G1680" s="3" t="s">
        <v>11449</v>
      </c>
      <c r="H1680" s="54">
        <v>1</v>
      </c>
      <c r="I1680" s="16">
        <v>470000000</v>
      </c>
      <c r="J1680" s="157" t="s">
        <v>229</v>
      </c>
      <c r="K1680" s="5" t="s">
        <v>14754</v>
      </c>
      <c r="L1680" s="6" t="s">
        <v>12251</v>
      </c>
      <c r="M1680" s="3" t="s">
        <v>12250</v>
      </c>
      <c r="N1680" s="6" t="s">
        <v>7685</v>
      </c>
      <c r="O1680" s="6" t="s">
        <v>233</v>
      </c>
      <c r="P1680" s="58" t="s">
        <v>241</v>
      </c>
      <c r="Q1680" s="6" t="s">
        <v>234</v>
      </c>
      <c r="R1680" s="18">
        <v>190</v>
      </c>
      <c r="S1680" s="2">
        <v>79136.600000000006</v>
      </c>
      <c r="T1680" s="4">
        <v>0</v>
      </c>
      <c r="U1680" s="4">
        <f t="shared" si="58"/>
        <v>0</v>
      </c>
      <c r="V1680" s="3" t="s">
        <v>362</v>
      </c>
      <c r="W1680" s="3">
        <v>2014</v>
      </c>
      <c r="X1680" s="3">
        <v>11</v>
      </c>
    </row>
    <row r="1681" spans="1:24" ht="89.25">
      <c r="A1681" s="3" t="s">
        <v>17929</v>
      </c>
      <c r="B1681" s="6" t="s">
        <v>361</v>
      </c>
      <c r="C1681" s="6" t="s">
        <v>3976</v>
      </c>
      <c r="D1681" s="6" t="s">
        <v>3977</v>
      </c>
      <c r="E1681" s="6" t="s">
        <v>3978</v>
      </c>
      <c r="F1681" s="3" t="s">
        <v>202</v>
      </c>
      <c r="G1681" s="3" t="s">
        <v>11449</v>
      </c>
      <c r="H1681" s="54">
        <v>1</v>
      </c>
      <c r="I1681" s="16">
        <v>470000000</v>
      </c>
      <c r="J1681" s="157" t="s">
        <v>229</v>
      </c>
      <c r="K1681" s="5" t="s">
        <v>222</v>
      </c>
      <c r="L1681" s="6" t="s">
        <v>12251</v>
      </c>
      <c r="M1681" s="3" t="s">
        <v>12250</v>
      </c>
      <c r="N1681" s="6" t="s">
        <v>7685</v>
      </c>
      <c r="O1681" s="6" t="s">
        <v>233</v>
      </c>
      <c r="P1681" s="58" t="s">
        <v>241</v>
      </c>
      <c r="Q1681" s="6" t="s">
        <v>234</v>
      </c>
      <c r="R1681" s="18">
        <v>190</v>
      </c>
      <c r="S1681" s="2">
        <v>79136.600000000006</v>
      </c>
      <c r="T1681" s="4">
        <f>R1681*S1681</f>
        <v>15035954.000000002</v>
      </c>
      <c r="U1681" s="4">
        <f t="shared" si="58"/>
        <v>16840268.480000004</v>
      </c>
      <c r="V1681" s="3" t="s">
        <v>362</v>
      </c>
      <c r="W1681" s="3">
        <v>2014</v>
      </c>
      <c r="X1681" s="158"/>
    </row>
    <row r="1682" spans="1:24" ht="102">
      <c r="A1682" s="3" t="s">
        <v>1221</v>
      </c>
      <c r="B1682" s="6" t="s">
        <v>361</v>
      </c>
      <c r="C1682" s="6" t="s">
        <v>4051</v>
      </c>
      <c r="D1682" s="6" t="s">
        <v>4052</v>
      </c>
      <c r="E1682" s="6" t="s">
        <v>4053</v>
      </c>
      <c r="F1682" s="6" t="s">
        <v>203</v>
      </c>
      <c r="G1682" s="3" t="s">
        <v>11449</v>
      </c>
      <c r="H1682" s="54">
        <v>1</v>
      </c>
      <c r="I1682" s="16">
        <v>470000000</v>
      </c>
      <c r="J1682" s="157" t="s">
        <v>229</v>
      </c>
      <c r="K1682" s="5" t="s">
        <v>211</v>
      </c>
      <c r="L1682" s="6" t="s">
        <v>231</v>
      </c>
      <c r="M1682" s="3" t="s">
        <v>230</v>
      </c>
      <c r="N1682" s="6" t="s">
        <v>7685</v>
      </c>
      <c r="O1682" s="6" t="s">
        <v>233</v>
      </c>
      <c r="P1682" s="58" t="s">
        <v>241</v>
      </c>
      <c r="Q1682" s="6" t="s">
        <v>234</v>
      </c>
      <c r="R1682" s="18">
        <v>28</v>
      </c>
      <c r="S1682" s="2">
        <v>22613</v>
      </c>
      <c r="T1682" s="4">
        <v>0</v>
      </c>
      <c r="U1682" s="4">
        <f t="shared" si="58"/>
        <v>0</v>
      </c>
      <c r="V1682" s="3" t="s">
        <v>362</v>
      </c>
      <c r="W1682" s="3">
        <v>2014</v>
      </c>
      <c r="X1682" s="3" t="s">
        <v>12313</v>
      </c>
    </row>
    <row r="1683" spans="1:24" ht="89.25">
      <c r="A1683" s="3" t="s">
        <v>12069</v>
      </c>
      <c r="B1683" s="6" t="s">
        <v>361</v>
      </c>
      <c r="C1683" s="6" t="s">
        <v>4051</v>
      </c>
      <c r="D1683" s="6" t="s">
        <v>4052</v>
      </c>
      <c r="E1683" s="6" t="s">
        <v>4053</v>
      </c>
      <c r="F1683" s="6" t="s">
        <v>203</v>
      </c>
      <c r="G1683" s="3" t="s">
        <v>11449</v>
      </c>
      <c r="H1683" s="54">
        <v>1</v>
      </c>
      <c r="I1683" s="16">
        <v>470000000</v>
      </c>
      <c r="J1683" s="157" t="s">
        <v>229</v>
      </c>
      <c r="K1683" s="5" t="s">
        <v>12255</v>
      </c>
      <c r="L1683" s="6" t="s">
        <v>12251</v>
      </c>
      <c r="M1683" s="3" t="s">
        <v>12250</v>
      </c>
      <c r="N1683" s="6" t="s">
        <v>7685</v>
      </c>
      <c r="O1683" s="6" t="s">
        <v>233</v>
      </c>
      <c r="P1683" s="58" t="s">
        <v>241</v>
      </c>
      <c r="Q1683" s="6" t="s">
        <v>234</v>
      </c>
      <c r="R1683" s="18">
        <v>28</v>
      </c>
      <c r="S1683" s="2">
        <v>22613</v>
      </c>
      <c r="T1683" s="4">
        <v>0</v>
      </c>
      <c r="U1683" s="4">
        <f t="shared" si="58"/>
        <v>0</v>
      </c>
      <c r="V1683" s="3" t="s">
        <v>362</v>
      </c>
      <c r="W1683" s="3">
        <v>2014</v>
      </c>
      <c r="X1683" s="3" t="s">
        <v>12051</v>
      </c>
    </row>
    <row r="1684" spans="1:24" ht="89.25">
      <c r="A1684" s="3" t="s">
        <v>14835</v>
      </c>
      <c r="B1684" s="6" t="s">
        <v>361</v>
      </c>
      <c r="C1684" s="6" t="s">
        <v>4051</v>
      </c>
      <c r="D1684" s="6" t="s">
        <v>4052</v>
      </c>
      <c r="E1684" s="6" t="s">
        <v>4053</v>
      </c>
      <c r="F1684" s="6" t="s">
        <v>203</v>
      </c>
      <c r="G1684" s="3" t="s">
        <v>11449</v>
      </c>
      <c r="H1684" s="54">
        <v>1</v>
      </c>
      <c r="I1684" s="16">
        <v>470000000</v>
      </c>
      <c r="J1684" s="157" t="s">
        <v>229</v>
      </c>
      <c r="K1684" s="5" t="s">
        <v>14754</v>
      </c>
      <c r="L1684" s="6" t="s">
        <v>12251</v>
      </c>
      <c r="M1684" s="3" t="s">
        <v>12250</v>
      </c>
      <c r="N1684" s="6" t="s">
        <v>7685</v>
      </c>
      <c r="O1684" s="6" t="s">
        <v>233</v>
      </c>
      <c r="P1684" s="58" t="s">
        <v>241</v>
      </c>
      <c r="Q1684" s="6" t="s">
        <v>234</v>
      </c>
      <c r="R1684" s="18">
        <v>10</v>
      </c>
      <c r="S1684" s="2">
        <v>22613</v>
      </c>
      <c r="T1684" s="4">
        <v>0</v>
      </c>
      <c r="U1684" s="4">
        <f t="shared" si="58"/>
        <v>0</v>
      </c>
      <c r="V1684" s="3" t="s">
        <v>362</v>
      </c>
      <c r="W1684" s="3">
        <v>2014</v>
      </c>
      <c r="X1684" s="3" t="s">
        <v>17399</v>
      </c>
    </row>
    <row r="1685" spans="1:24" ht="89.25">
      <c r="A1685" s="3" t="s">
        <v>17930</v>
      </c>
      <c r="B1685" s="6" t="s">
        <v>361</v>
      </c>
      <c r="C1685" s="6" t="s">
        <v>4051</v>
      </c>
      <c r="D1685" s="6" t="s">
        <v>4052</v>
      </c>
      <c r="E1685" s="6" t="s">
        <v>4053</v>
      </c>
      <c r="F1685" s="6" t="s">
        <v>203</v>
      </c>
      <c r="G1685" s="3" t="s">
        <v>11450</v>
      </c>
      <c r="H1685" s="54">
        <v>1</v>
      </c>
      <c r="I1685" s="16">
        <v>470000000</v>
      </c>
      <c r="J1685" s="157" t="s">
        <v>229</v>
      </c>
      <c r="K1685" s="5" t="s">
        <v>222</v>
      </c>
      <c r="L1685" s="6" t="s">
        <v>12251</v>
      </c>
      <c r="M1685" s="3" t="s">
        <v>12250</v>
      </c>
      <c r="N1685" s="6" t="s">
        <v>17921</v>
      </c>
      <c r="O1685" s="6" t="s">
        <v>233</v>
      </c>
      <c r="P1685" s="58" t="s">
        <v>241</v>
      </c>
      <c r="Q1685" s="6" t="s">
        <v>234</v>
      </c>
      <c r="R1685" s="18">
        <v>10</v>
      </c>
      <c r="S1685" s="2">
        <v>22613</v>
      </c>
      <c r="T1685" s="4">
        <f>R1685*S1685</f>
        <v>226130</v>
      </c>
      <c r="U1685" s="4">
        <f t="shared" si="58"/>
        <v>253265.60000000003</v>
      </c>
      <c r="V1685" s="3" t="s">
        <v>362</v>
      </c>
      <c r="W1685" s="3">
        <v>2014</v>
      </c>
      <c r="X1685" s="158"/>
    </row>
    <row r="1686" spans="1:24" ht="102">
      <c r="A1686" s="3" t="s">
        <v>1222</v>
      </c>
      <c r="B1686" s="6" t="s">
        <v>361</v>
      </c>
      <c r="C1686" s="6" t="s">
        <v>4054</v>
      </c>
      <c r="D1686" s="6" t="s">
        <v>4052</v>
      </c>
      <c r="E1686" s="6" t="s">
        <v>4055</v>
      </c>
      <c r="F1686" s="6" t="s">
        <v>204</v>
      </c>
      <c r="G1686" s="3" t="s">
        <v>11449</v>
      </c>
      <c r="H1686" s="54">
        <v>1</v>
      </c>
      <c r="I1686" s="16">
        <v>470000000</v>
      </c>
      <c r="J1686" s="157" t="s">
        <v>229</v>
      </c>
      <c r="K1686" s="5" t="s">
        <v>211</v>
      </c>
      <c r="L1686" s="6" t="s">
        <v>231</v>
      </c>
      <c r="M1686" s="3" t="s">
        <v>230</v>
      </c>
      <c r="N1686" s="6" t="s">
        <v>7685</v>
      </c>
      <c r="O1686" s="6" t="s">
        <v>233</v>
      </c>
      <c r="P1686" s="58" t="s">
        <v>241</v>
      </c>
      <c r="Q1686" s="6" t="s">
        <v>234</v>
      </c>
      <c r="R1686" s="18">
        <v>16</v>
      </c>
      <c r="S1686" s="2">
        <v>11261</v>
      </c>
      <c r="T1686" s="4">
        <v>0</v>
      </c>
      <c r="U1686" s="4">
        <f t="shared" si="58"/>
        <v>0</v>
      </c>
      <c r="V1686" s="3" t="s">
        <v>362</v>
      </c>
      <c r="W1686" s="3">
        <v>2014</v>
      </c>
      <c r="X1686" s="3" t="s">
        <v>12313</v>
      </c>
    </row>
    <row r="1687" spans="1:24" ht="89.25">
      <c r="A1687" s="3" t="s">
        <v>12070</v>
      </c>
      <c r="B1687" s="6" t="s">
        <v>361</v>
      </c>
      <c r="C1687" s="6" t="s">
        <v>4054</v>
      </c>
      <c r="D1687" s="6" t="s">
        <v>4052</v>
      </c>
      <c r="E1687" s="6" t="s">
        <v>4055</v>
      </c>
      <c r="F1687" s="6" t="s">
        <v>204</v>
      </c>
      <c r="G1687" s="3" t="s">
        <v>11449</v>
      </c>
      <c r="H1687" s="54">
        <v>1</v>
      </c>
      <c r="I1687" s="16">
        <v>470000000</v>
      </c>
      <c r="J1687" s="157" t="s">
        <v>229</v>
      </c>
      <c r="K1687" s="5" t="s">
        <v>12255</v>
      </c>
      <c r="L1687" s="6" t="s">
        <v>12251</v>
      </c>
      <c r="M1687" s="3" t="s">
        <v>12250</v>
      </c>
      <c r="N1687" s="6" t="s">
        <v>7685</v>
      </c>
      <c r="O1687" s="6" t="s">
        <v>233</v>
      </c>
      <c r="P1687" s="58" t="s">
        <v>241</v>
      </c>
      <c r="Q1687" s="6" t="s">
        <v>234</v>
      </c>
      <c r="R1687" s="18">
        <v>16</v>
      </c>
      <c r="S1687" s="2">
        <v>11261</v>
      </c>
      <c r="T1687" s="4">
        <v>0</v>
      </c>
      <c r="U1687" s="4">
        <f t="shared" si="58"/>
        <v>0</v>
      </c>
      <c r="V1687" s="3" t="s">
        <v>362</v>
      </c>
      <c r="W1687" s="3">
        <v>2014</v>
      </c>
      <c r="X1687" s="3" t="s">
        <v>14785</v>
      </c>
    </row>
    <row r="1688" spans="1:24" ht="89.25">
      <c r="A1688" s="3" t="s">
        <v>14836</v>
      </c>
      <c r="B1688" s="6" t="s">
        <v>361</v>
      </c>
      <c r="C1688" s="6" t="s">
        <v>4054</v>
      </c>
      <c r="D1688" s="6" t="s">
        <v>4052</v>
      </c>
      <c r="E1688" s="6" t="s">
        <v>4055</v>
      </c>
      <c r="F1688" s="6" t="s">
        <v>204</v>
      </c>
      <c r="G1688" s="3" t="s">
        <v>11449</v>
      </c>
      <c r="H1688" s="54">
        <v>1</v>
      </c>
      <c r="I1688" s="16">
        <v>470000000</v>
      </c>
      <c r="J1688" s="157" t="s">
        <v>229</v>
      </c>
      <c r="K1688" s="5" t="s">
        <v>14754</v>
      </c>
      <c r="L1688" s="6" t="s">
        <v>12251</v>
      </c>
      <c r="M1688" s="3" t="s">
        <v>12250</v>
      </c>
      <c r="N1688" s="6" t="s">
        <v>7685</v>
      </c>
      <c r="O1688" s="6" t="s">
        <v>233</v>
      </c>
      <c r="P1688" s="58" t="s">
        <v>241</v>
      </c>
      <c r="Q1688" s="6" t="s">
        <v>234</v>
      </c>
      <c r="R1688" s="18">
        <v>16</v>
      </c>
      <c r="S1688" s="2">
        <v>13513.199999999999</v>
      </c>
      <c r="T1688" s="4">
        <v>0</v>
      </c>
      <c r="U1688" s="4">
        <f t="shared" si="58"/>
        <v>0</v>
      </c>
      <c r="V1688" s="3" t="s">
        <v>362</v>
      </c>
      <c r="W1688" s="3">
        <v>2014</v>
      </c>
      <c r="X1688" s="3" t="s">
        <v>17399</v>
      </c>
    </row>
    <row r="1689" spans="1:24" ht="89.25">
      <c r="A1689" s="3" t="s">
        <v>17931</v>
      </c>
      <c r="B1689" s="6" t="s">
        <v>361</v>
      </c>
      <c r="C1689" s="6" t="s">
        <v>4054</v>
      </c>
      <c r="D1689" s="6" t="s">
        <v>4052</v>
      </c>
      <c r="E1689" s="6" t="s">
        <v>4055</v>
      </c>
      <c r="F1689" s="6" t="s">
        <v>204</v>
      </c>
      <c r="G1689" s="3" t="s">
        <v>11450</v>
      </c>
      <c r="H1689" s="54">
        <v>1</v>
      </c>
      <c r="I1689" s="16">
        <v>470000000</v>
      </c>
      <c r="J1689" s="157" t="s">
        <v>229</v>
      </c>
      <c r="K1689" s="5" t="s">
        <v>222</v>
      </c>
      <c r="L1689" s="6" t="s">
        <v>12251</v>
      </c>
      <c r="M1689" s="3" t="s">
        <v>12250</v>
      </c>
      <c r="N1689" s="6" t="s">
        <v>17921</v>
      </c>
      <c r="O1689" s="6" t="s">
        <v>233</v>
      </c>
      <c r="P1689" s="58" t="s">
        <v>241</v>
      </c>
      <c r="Q1689" s="6" t="s">
        <v>234</v>
      </c>
      <c r="R1689" s="18">
        <v>16</v>
      </c>
      <c r="S1689" s="2">
        <v>13513.199999999999</v>
      </c>
      <c r="T1689" s="4">
        <f>R1689*S1689</f>
        <v>216211.19999999998</v>
      </c>
      <c r="U1689" s="4">
        <f t="shared" si="58"/>
        <v>242156.54399999999</v>
      </c>
      <c r="V1689" s="3" t="s">
        <v>362</v>
      </c>
      <c r="W1689" s="3">
        <v>2014</v>
      </c>
      <c r="X1689" s="158"/>
    </row>
    <row r="1690" spans="1:24" ht="102">
      <c r="A1690" s="3" t="s">
        <v>1223</v>
      </c>
      <c r="B1690" s="6" t="s">
        <v>361</v>
      </c>
      <c r="C1690" s="6" t="s">
        <v>4058</v>
      </c>
      <c r="D1690" s="6" t="s">
        <v>4059</v>
      </c>
      <c r="E1690" s="6" t="s">
        <v>4060</v>
      </c>
      <c r="F1690" s="6" t="s">
        <v>4056</v>
      </c>
      <c r="G1690" s="3" t="s">
        <v>11449</v>
      </c>
      <c r="H1690" s="54">
        <v>1</v>
      </c>
      <c r="I1690" s="16">
        <v>470000000</v>
      </c>
      <c r="J1690" s="157" t="s">
        <v>229</v>
      </c>
      <c r="K1690" s="5" t="s">
        <v>641</v>
      </c>
      <c r="L1690" s="6" t="s">
        <v>231</v>
      </c>
      <c r="M1690" s="3" t="s">
        <v>230</v>
      </c>
      <c r="N1690" s="6" t="s">
        <v>7685</v>
      </c>
      <c r="O1690" s="6" t="s">
        <v>233</v>
      </c>
      <c r="P1690" s="58" t="s">
        <v>241</v>
      </c>
      <c r="Q1690" s="6" t="s">
        <v>234</v>
      </c>
      <c r="R1690" s="18">
        <v>42</v>
      </c>
      <c r="S1690" s="2">
        <v>23160</v>
      </c>
      <c r="T1690" s="4">
        <v>0</v>
      </c>
      <c r="U1690" s="4">
        <f t="shared" si="58"/>
        <v>0</v>
      </c>
      <c r="V1690" s="3" t="s">
        <v>362</v>
      </c>
      <c r="W1690" s="3">
        <v>2014</v>
      </c>
      <c r="X1690" s="3" t="s">
        <v>12313</v>
      </c>
    </row>
    <row r="1691" spans="1:24" ht="89.25">
      <c r="A1691" s="3" t="s">
        <v>12349</v>
      </c>
      <c r="B1691" s="6" t="s">
        <v>361</v>
      </c>
      <c r="C1691" s="6" t="s">
        <v>4058</v>
      </c>
      <c r="D1691" s="6" t="s">
        <v>4059</v>
      </c>
      <c r="E1691" s="6" t="s">
        <v>4060</v>
      </c>
      <c r="F1691" s="6" t="s">
        <v>4056</v>
      </c>
      <c r="G1691" s="3" t="s">
        <v>11449</v>
      </c>
      <c r="H1691" s="54">
        <v>1</v>
      </c>
      <c r="I1691" s="16">
        <v>470000000</v>
      </c>
      <c r="J1691" s="157" t="s">
        <v>229</v>
      </c>
      <c r="K1691" s="5" t="s">
        <v>12255</v>
      </c>
      <c r="L1691" s="6" t="s">
        <v>12251</v>
      </c>
      <c r="M1691" s="3" t="s">
        <v>12250</v>
      </c>
      <c r="N1691" s="6" t="s">
        <v>7685</v>
      </c>
      <c r="O1691" s="6" t="s">
        <v>233</v>
      </c>
      <c r="P1691" s="58" t="s">
        <v>241</v>
      </c>
      <c r="Q1691" s="6" t="s">
        <v>234</v>
      </c>
      <c r="R1691" s="18">
        <v>0</v>
      </c>
      <c r="S1691" s="2">
        <v>23160</v>
      </c>
      <c r="T1691" s="4">
        <f>R1691*S1691</f>
        <v>0</v>
      </c>
      <c r="U1691" s="4">
        <f t="shared" si="58"/>
        <v>0</v>
      </c>
      <c r="V1691" s="3" t="s">
        <v>362</v>
      </c>
      <c r="W1691" s="3">
        <v>2014</v>
      </c>
      <c r="X1691" s="3" t="s">
        <v>12076</v>
      </c>
    </row>
    <row r="1692" spans="1:24" ht="102">
      <c r="A1692" s="3" t="s">
        <v>1224</v>
      </c>
      <c r="B1692" s="6" t="s">
        <v>361</v>
      </c>
      <c r="C1692" s="6" t="s">
        <v>4058</v>
      </c>
      <c r="D1692" s="6" t="s">
        <v>4059</v>
      </c>
      <c r="E1692" s="6" t="s">
        <v>4060</v>
      </c>
      <c r="F1692" s="6" t="s">
        <v>4057</v>
      </c>
      <c r="G1692" s="3" t="s">
        <v>11449</v>
      </c>
      <c r="H1692" s="54">
        <v>1</v>
      </c>
      <c r="I1692" s="16">
        <v>470000000</v>
      </c>
      <c r="J1692" s="157" t="s">
        <v>229</v>
      </c>
      <c r="K1692" s="5" t="s">
        <v>641</v>
      </c>
      <c r="L1692" s="6" t="s">
        <v>231</v>
      </c>
      <c r="M1692" s="3" t="s">
        <v>230</v>
      </c>
      <c r="N1692" s="6" t="s">
        <v>7685</v>
      </c>
      <c r="O1692" s="6" t="s">
        <v>233</v>
      </c>
      <c r="P1692" s="58" t="s">
        <v>241</v>
      </c>
      <c r="Q1692" s="6" t="s">
        <v>234</v>
      </c>
      <c r="R1692" s="18">
        <v>14</v>
      </c>
      <c r="S1692" s="2">
        <v>20062.5</v>
      </c>
      <c r="T1692" s="4">
        <v>0</v>
      </c>
      <c r="U1692" s="4">
        <f t="shared" si="58"/>
        <v>0</v>
      </c>
      <c r="V1692" s="3" t="s">
        <v>362</v>
      </c>
      <c r="W1692" s="3">
        <v>2014</v>
      </c>
      <c r="X1692" s="3" t="s">
        <v>12313</v>
      </c>
    </row>
    <row r="1693" spans="1:24" ht="89.25">
      <c r="A1693" s="3" t="s">
        <v>12350</v>
      </c>
      <c r="B1693" s="6" t="s">
        <v>361</v>
      </c>
      <c r="C1693" s="6" t="s">
        <v>4058</v>
      </c>
      <c r="D1693" s="6" t="s">
        <v>4059</v>
      </c>
      <c r="E1693" s="6" t="s">
        <v>4060</v>
      </c>
      <c r="F1693" s="6" t="s">
        <v>4057</v>
      </c>
      <c r="G1693" s="3" t="s">
        <v>11449</v>
      </c>
      <c r="H1693" s="54">
        <v>1</v>
      </c>
      <c r="I1693" s="16">
        <v>470000000</v>
      </c>
      <c r="J1693" s="157" t="s">
        <v>229</v>
      </c>
      <c r="K1693" s="5" t="s">
        <v>12255</v>
      </c>
      <c r="L1693" s="6" t="s">
        <v>12251</v>
      </c>
      <c r="M1693" s="3" t="s">
        <v>12250</v>
      </c>
      <c r="N1693" s="6" t="s">
        <v>7685</v>
      </c>
      <c r="O1693" s="6" t="s">
        <v>233</v>
      </c>
      <c r="P1693" s="58" t="s">
        <v>241</v>
      </c>
      <c r="Q1693" s="6" t="s">
        <v>234</v>
      </c>
      <c r="R1693" s="18">
        <v>0</v>
      </c>
      <c r="S1693" s="2">
        <v>20062.5</v>
      </c>
      <c r="T1693" s="4">
        <f>R1693*S1693</f>
        <v>0</v>
      </c>
      <c r="U1693" s="4">
        <f t="shared" si="58"/>
        <v>0</v>
      </c>
      <c r="V1693" s="3" t="s">
        <v>362</v>
      </c>
      <c r="W1693" s="3">
        <v>2014</v>
      </c>
      <c r="X1693" s="3" t="s">
        <v>12076</v>
      </c>
    </row>
    <row r="1694" spans="1:24" ht="102">
      <c r="A1694" s="3" t="s">
        <v>1225</v>
      </c>
      <c r="B1694" s="6" t="s">
        <v>361</v>
      </c>
      <c r="C1694" s="6" t="s">
        <v>4067</v>
      </c>
      <c r="D1694" s="6" t="s">
        <v>255</v>
      </c>
      <c r="E1694" s="6" t="s">
        <v>4068</v>
      </c>
      <c r="F1694" s="6" t="s">
        <v>205</v>
      </c>
      <c r="G1694" s="3" t="s">
        <v>11449</v>
      </c>
      <c r="H1694" s="54">
        <v>1</v>
      </c>
      <c r="I1694" s="16">
        <v>470000000</v>
      </c>
      <c r="J1694" s="157" t="s">
        <v>229</v>
      </c>
      <c r="K1694" s="5" t="s">
        <v>641</v>
      </c>
      <c r="L1694" s="6" t="s">
        <v>231</v>
      </c>
      <c r="M1694" s="3" t="s">
        <v>230</v>
      </c>
      <c r="N1694" s="6" t="s">
        <v>7685</v>
      </c>
      <c r="O1694" s="6" t="s">
        <v>233</v>
      </c>
      <c r="P1694" s="58" t="s">
        <v>241</v>
      </c>
      <c r="Q1694" s="6" t="s">
        <v>234</v>
      </c>
      <c r="R1694" s="18">
        <v>63</v>
      </c>
      <c r="S1694" s="2">
        <v>62300</v>
      </c>
      <c r="T1694" s="4">
        <v>0</v>
      </c>
      <c r="U1694" s="4">
        <f t="shared" si="58"/>
        <v>0</v>
      </c>
      <c r="V1694" s="3" t="s">
        <v>362</v>
      </c>
      <c r="W1694" s="3">
        <v>2014</v>
      </c>
      <c r="X1694" s="3" t="s">
        <v>12313</v>
      </c>
    </row>
    <row r="1695" spans="1:24" ht="89.25">
      <c r="A1695" s="3" t="s">
        <v>12351</v>
      </c>
      <c r="B1695" s="6" t="s">
        <v>361</v>
      </c>
      <c r="C1695" s="6" t="s">
        <v>14186</v>
      </c>
      <c r="D1695" s="6" t="s">
        <v>255</v>
      </c>
      <c r="E1695" s="6" t="s">
        <v>14187</v>
      </c>
      <c r="F1695" s="6" t="s">
        <v>205</v>
      </c>
      <c r="G1695" s="3" t="s">
        <v>11449</v>
      </c>
      <c r="H1695" s="54">
        <v>1</v>
      </c>
      <c r="I1695" s="16">
        <v>470000000</v>
      </c>
      <c r="J1695" s="157" t="s">
        <v>229</v>
      </c>
      <c r="K1695" s="5" t="s">
        <v>12255</v>
      </c>
      <c r="L1695" s="6" t="s">
        <v>12251</v>
      </c>
      <c r="M1695" s="3" t="s">
        <v>12250</v>
      </c>
      <c r="N1695" s="6" t="s">
        <v>7685</v>
      </c>
      <c r="O1695" s="6" t="s">
        <v>233</v>
      </c>
      <c r="P1695" s="58" t="s">
        <v>241</v>
      </c>
      <c r="Q1695" s="6" t="s">
        <v>234</v>
      </c>
      <c r="R1695" s="18">
        <v>0</v>
      </c>
      <c r="S1695" s="2">
        <v>62300</v>
      </c>
      <c r="T1695" s="4">
        <f>R1695*S1695</f>
        <v>0</v>
      </c>
      <c r="U1695" s="4">
        <f t="shared" si="58"/>
        <v>0</v>
      </c>
      <c r="V1695" s="3" t="s">
        <v>362</v>
      </c>
      <c r="W1695" s="3">
        <v>2014</v>
      </c>
      <c r="X1695" s="3" t="s">
        <v>12076</v>
      </c>
    </row>
    <row r="1696" spans="1:24" ht="114.75">
      <c r="A1696" s="3" t="s">
        <v>1226</v>
      </c>
      <c r="B1696" s="6" t="s">
        <v>361</v>
      </c>
      <c r="C1696" s="6" t="s">
        <v>4067</v>
      </c>
      <c r="D1696" s="6" t="s">
        <v>255</v>
      </c>
      <c r="E1696" s="6" t="s">
        <v>4068</v>
      </c>
      <c r="F1696" s="6" t="s">
        <v>4061</v>
      </c>
      <c r="G1696" s="3" t="s">
        <v>11449</v>
      </c>
      <c r="H1696" s="54">
        <v>0</v>
      </c>
      <c r="I1696" s="16">
        <v>470000000</v>
      </c>
      <c r="J1696" s="157" t="s">
        <v>229</v>
      </c>
      <c r="K1696" s="5" t="s">
        <v>641</v>
      </c>
      <c r="L1696" s="6" t="s">
        <v>231</v>
      </c>
      <c r="M1696" s="3" t="s">
        <v>230</v>
      </c>
      <c r="N1696" s="6" t="s">
        <v>7685</v>
      </c>
      <c r="O1696" s="6" t="s">
        <v>233</v>
      </c>
      <c r="P1696" s="58" t="s">
        <v>241</v>
      </c>
      <c r="Q1696" s="6" t="s">
        <v>234</v>
      </c>
      <c r="R1696" s="18">
        <v>14</v>
      </c>
      <c r="S1696" s="2">
        <v>150071</v>
      </c>
      <c r="T1696" s="4">
        <v>0</v>
      </c>
      <c r="U1696" s="4">
        <f t="shared" si="58"/>
        <v>0</v>
      </c>
      <c r="V1696" s="3" t="s">
        <v>362</v>
      </c>
      <c r="W1696" s="3">
        <v>2014</v>
      </c>
      <c r="X1696" s="3" t="s">
        <v>12313</v>
      </c>
    </row>
    <row r="1697" spans="1:24" ht="114.75">
      <c r="A1697" s="3" t="s">
        <v>12352</v>
      </c>
      <c r="B1697" s="6" t="s">
        <v>361</v>
      </c>
      <c r="C1697" s="6" t="s">
        <v>14197</v>
      </c>
      <c r="D1697" s="6" t="s">
        <v>255</v>
      </c>
      <c r="E1697" s="6" t="s">
        <v>14198</v>
      </c>
      <c r="F1697" s="6" t="s">
        <v>4061</v>
      </c>
      <c r="G1697" s="3" t="s">
        <v>11449</v>
      </c>
      <c r="H1697" s="54">
        <v>0</v>
      </c>
      <c r="I1697" s="16">
        <v>470000000</v>
      </c>
      <c r="J1697" s="157" t="s">
        <v>229</v>
      </c>
      <c r="K1697" s="5" t="s">
        <v>12255</v>
      </c>
      <c r="L1697" s="6" t="s">
        <v>12251</v>
      </c>
      <c r="M1697" s="3" t="s">
        <v>12250</v>
      </c>
      <c r="N1697" s="6" t="s">
        <v>7685</v>
      </c>
      <c r="O1697" s="6" t="s">
        <v>233</v>
      </c>
      <c r="P1697" s="58" t="s">
        <v>241</v>
      </c>
      <c r="Q1697" s="6" t="s">
        <v>234</v>
      </c>
      <c r="R1697" s="18">
        <v>0</v>
      </c>
      <c r="S1697" s="2">
        <v>150071</v>
      </c>
      <c r="T1697" s="4">
        <f>R1697*S1697</f>
        <v>0</v>
      </c>
      <c r="U1697" s="4">
        <f t="shared" si="58"/>
        <v>0</v>
      </c>
      <c r="V1697" s="3" t="s">
        <v>362</v>
      </c>
      <c r="W1697" s="3">
        <v>2014</v>
      </c>
      <c r="X1697" s="3" t="s">
        <v>12076</v>
      </c>
    </row>
    <row r="1698" spans="1:24" ht="102">
      <c r="A1698" s="3" t="s">
        <v>1227</v>
      </c>
      <c r="B1698" s="6" t="s">
        <v>361</v>
      </c>
      <c r="C1698" s="6" t="s">
        <v>11823</v>
      </c>
      <c r="D1698" s="6" t="s">
        <v>11824</v>
      </c>
      <c r="E1698" s="6" t="s">
        <v>11825</v>
      </c>
      <c r="F1698" s="6" t="s">
        <v>4062</v>
      </c>
      <c r="G1698" s="3" t="s">
        <v>11449</v>
      </c>
      <c r="H1698" s="54">
        <v>0</v>
      </c>
      <c r="I1698" s="16">
        <v>470000000</v>
      </c>
      <c r="J1698" s="157" t="s">
        <v>229</v>
      </c>
      <c r="K1698" s="5" t="s">
        <v>641</v>
      </c>
      <c r="L1698" s="6" t="s">
        <v>231</v>
      </c>
      <c r="M1698" s="3" t="s">
        <v>230</v>
      </c>
      <c r="N1698" s="6" t="s">
        <v>524</v>
      </c>
      <c r="O1698" s="6" t="s">
        <v>233</v>
      </c>
      <c r="P1698" s="58" t="s">
        <v>241</v>
      </c>
      <c r="Q1698" s="6" t="s">
        <v>234</v>
      </c>
      <c r="R1698" s="18">
        <v>14</v>
      </c>
      <c r="S1698" s="2">
        <v>28052</v>
      </c>
      <c r="T1698" s="4">
        <v>0</v>
      </c>
      <c r="U1698" s="4">
        <f t="shared" si="58"/>
        <v>0</v>
      </c>
      <c r="V1698" s="3" t="s">
        <v>362</v>
      </c>
      <c r="W1698" s="3">
        <v>2014</v>
      </c>
      <c r="X1698" s="3" t="s">
        <v>12313</v>
      </c>
    </row>
    <row r="1699" spans="1:24" ht="89.25">
      <c r="A1699" s="3" t="s">
        <v>12353</v>
      </c>
      <c r="B1699" s="6" t="s">
        <v>361</v>
      </c>
      <c r="C1699" s="6" t="s">
        <v>11823</v>
      </c>
      <c r="D1699" s="6" t="s">
        <v>11824</v>
      </c>
      <c r="E1699" s="6" t="s">
        <v>11825</v>
      </c>
      <c r="F1699" s="6" t="s">
        <v>4062</v>
      </c>
      <c r="G1699" s="3" t="s">
        <v>11449</v>
      </c>
      <c r="H1699" s="54">
        <v>0</v>
      </c>
      <c r="I1699" s="16">
        <v>470000000</v>
      </c>
      <c r="J1699" s="157" t="s">
        <v>229</v>
      </c>
      <c r="K1699" s="5" t="s">
        <v>12255</v>
      </c>
      <c r="L1699" s="6" t="s">
        <v>12251</v>
      </c>
      <c r="M1699" s="3" t="s">
        <v>12250</v>
      </c>
      <c r="N1699" s="6" t="s">
        <v>524</v>
      </c>
      <c r="O1699" s="6" t="s">
        <v>233</v>
      </c>
      <c r="P1699" s="58" t="s">
        <v>241</v>
      </c>
      <c r="Q1699" s="6" t="s">
        <v>234</v>
      </c>
      <c r="R1699" s="18">
        <v>14</v>
      </c>
      <c r="S1699" s="2">
        <v>28052</v>
      </c>
      <c r="T1699" s="4">
        <v>0</v>
      </c>
      <c r="U1699" s="4">
        <f t="shared" si="58"/>
        <v>0</v>
      </c>
      <c r="V1699" s="3" t="s">
        <v>362</v>
      </c>
      <c r="W1699" s="3">
        <v>2014</v>
      </c>
      <c r="X1699" s="3" t="s">
        <v>14747</v>
      </c>
    </row>
    <row r="1700" spans="1:24" ht="89.25">
      <c r="A1700" s="3" t="s">
        <v>14183</v>
      </c>
      <c r="B1700" s="6" t="s">
        <v>361</v>
      </c>
      <c r="C1700" s="6" t="s">
        <v>14184</v>
      </c>
      <c r="D1700" s="6" t="s">
        <v>11824</v>
      </c>
      <c r="E1700" s="6" t="s">
        <v>14185</v>
      </c>
      <c r="F1700" s="6" t="s">
        <v>4062</v>
      </c>
      <c r="G1700" s="3" t="s">
        <v>11449</v>
      </c>
      <c r="H1700" s="54">
        <v>0</v>
      </c>
      <c r="I1700" s="16">
        <v>470000000</v>
      </c>
      <c r="J1700" s="157" t="s">
        <v>229</v>
      </c>
      <c r="K1700" s="5" t="s">
        <v>14837</v>
      </c>
      <c r="L1700" s="6" t="s">
        <v>12251</v>
      </c>
      <c r="M1700" s="3" t="s">
        <v>12250</v>
      </c>
      <c r="N1700" s="6" t="s">
        <v>524</v>
      </c>
      <c r="O1700" s="6" t="s">
        <v>233</v>
      </c>
      <c r="P1700" s="58" t="s">
        <v>241</v>
      </c>
      <c r="Q1700" s="6" t="s">
        <v>234</v>
      </c>
      <c r="R1700" s="18">
        <v>0</v>
      </c>
      <c r="S1700" s="2">
        <v>33662.400000000001</v>
      </c>
      <c r="T1700" s="4">
        <f>R1700*S1700</f>
        <v>0</v>
      </c>
      <c r="U1700" s="4">
        <f t="shared" si="58"/>
        <v>0</v>
      </c>
      <c r="V1700" s="3" t="s">
        <v>362</v>
      </c>
      <c r="W1700" s="3">
        <v>2014</v>
      </c>
      <c r="X1700" s="3" t="s">
        <v>12076</v>
      </c>
    </row>
    <row r="1701" spans="1:24" ht="102">
      <c r="A1701" s="3" t="s">
        <v>1228</v>
      </c>
      <c r="B1701" s="6" t="s">
        <v>361</v>
      </c>
      <c r="C1701" s="6" t="s">
        <v>11636</v>
      </c>
      <c r="D1701" s="6" t="s">
        <v>11637</v>
      </c>
      <c r="E1701" s="6" t="s">
        <v>11638</v>
      </c>
      <c r="F1701" s="6" t="s">
        <v>4063</v>
      </c>
      <c r="G1701" s="3" t="s">
        <v>11449</v>
      </c>
      <c r="H1701" s="54">
        <v>0</v>
      </c>
      <c r="I1701" s="16">
        <v>470000000</v>
      </c>
      <c r="J1701" s="157" t="s">
        <v>229</v>
      </c>
      <c r="K1701" s="5" t="s">
        <v>641</v>
      </c>
      <c r="L1701" s="6" t="s">
        <v>231</v>
      </c>
      <c r="M1701" s="3" t="s">
        <v>230</v>
      </c>
      <c r="N1701" s="6" t="s">
        <v>524</v>
      </c>
      <c r="O1701" s="6" t="s">
        <v>233</v>
      </c>
      <c r="P1701" s="58" t="s">
        <v>241</v>
      </c>
      <c r="Q1701" s="6" t="s">
        <v>234</v>
      </c>
      <c r="R1701" s="18">
        <v>14</v>
      </c>
      <c r="S1701" s="2">
        <v>85705</v>
      </c>
      <c r="T1701" s="4">
        <v>0</v>
      </c>
      <c r="U1701" s="4">
        <f t="shared" si="58"/>
        <v>0</v>
      </c>
      <c r="V1701" s="3" t="s">
        <v>362</v>
      </c>
      <c r="W1701" s="3">
        <v>2014</v>
      </c>
      <c r="X1701" s="158"/>
    </row>
    <row r="1702" spans="1:24" ht="89.25">
      <c r="A1702" s="3" t="s">
        <v>12354</v>
      </c>
      <c r="B1702" s="6" t="s">
        <v>361</v>
      </c>
      <c r="C1702" s="6" t="s">
        <v>11636</v>
      </c>
      <c r="D1702" s="6" t="s">
        <v>11637</v>
      </c>
      <c r="E1702" s="6" t="s">
        <v>11638</v>
      </c>
      <c r="F1702" s="6" t="s">
        <v>4063</v>
      </c>
      <c r="G1702" s="3" t="s">
        <v>11449</v>
      </c>
      <c r="H1702" s="54">
        <v>0</v>
      </c>
      <c r="I1702" s="16">
        <v>470000000</v>
      </c>
      <c r="J1702" s="157" t="s">
        <v>229</v>
      </c>
      <c r="K1702" s="5" t="s">
        <v>12255</v>
      </c>
      <c r="L1702" s="6" t="s">
        <v>12251</v>
      </c>
      <c r="M1702" s="3" t="s">
        <v>12250</v>
      </c>
      <c r="N1702" s="6" t="s">
        <v>524</v>
      </c>
      <c r="O1702" s="6" t="s">
        <v>233</v>
      </c>
      <c r="P1702" s="58" t="s">
        <v>241</v>
      </c>
      <c r="Q1702" s="6" t="s">
        <v>234</v>
      </c>
      <c r="R1702" s="18">
        <v>14</v>
      </c>
      <c r="S1702" s="2">
        <v>85705</v>
      </c>
      <c r="T1702" s="4">
        <v>0</v>
      </c>
      <c r="U1702" s="4">
        <f t="shared" si="58"/>
        <v>0</v>
      </c>
      <c r="V1702" s="3" t="s">
        <v>362</v>
      </c>
      <c r="W1702" s="3">
        <v>2014</v>
      </c>
      <c r="X1702" s="3" t="s">
        <v>14747</v>
      </c>
    </row>
    <row r="1703" spans="1:24" ht="89.25">
      <c r="A1703" s="3" t="s">
        <v>14195</v>
      </c>
      <c r="B1703" s="6" t="s">
        <v>361</v>
      </c>
      <c r="C1703" s="6" t="s">
        <v>11830</v>
      </c>
      <c r="D1703" s="3" t="s">
        <v>11831</v>
      </c>
      <c r="E1703" s="6" t="s">
        <v>11832</v>
      </c>
      <c r="F1703" s="6" t="s">
        <v>4063</v>
      </c>
      <c r="G1703" s="3" t="s">
        <v>11449</v>
      </c>
      <c r="H1703" s="54">
        <v>0</v>
      </c>
      <c r="I1703" s="16">
        <v>470000000</v>
      </c>
      <c r="J1703" s="157" t="s">
        <v>229</v>
      </c>
      <c r="K1703" s="5" t="s">
        <v>14754</v>
      </c>
      <c r="L1703" s="6" t="s">
        <v>12251</v>
      </c>
      <c r="M1703" s="3" t="s">
        <v>12250</v>
      </c>
      <c r="N1703" s="6" t="s">
        <v>524</v>
      </c>
      <c r="O1703" s="6" t="s">
        <v>233</v>
      </c>
      <c r="P1703" s="58" t="s">
        <v>241</v>
      </c>
      <c r="Q1703" s="6" t="s">
        <v>234</v>
      </c>
      <c r="R1703" s="18">
        <v>0</v>
      </c>
      <c r="S1703" s="2">
        <v>102846</v>
      </c>
      <c r="T1703" s="4">
        <f>R1703*S1703</f>
        <v>0</v>
      </c>
      <c r="U1703" s="4">
        <f t="shared" si="58"/>
        <v>0</v>
      </c>
      <c r="V1703" s="3" t="s">
        <v>362</v>
      </c>
      <c r="W1703" s="3">
        <v>2014</v>
      </c>
      <c r="X1703" s="3" t="s">
        <v>12076</v>
      </c>
    </row>
    <row r="1704" spans="1:24" ht="102">
      <c r="A1704" s="3" t="s">
        <v>1229</v>
      </c>
      <c r="B1704" s="6" t="s">
        <v>361</v>
      </c>
      <c r="C1704" s="6" t="s">
        <v>11636</v>
      </c>
      <c r="D1704" s="6" t="s">
        <v>11637</v>
      </c>
      <c r="E1704" s="6" t="s">
        <v>11638</v>
      </c>
      <c r="F1704" s="6" t="s">
        <v>4064</v>
      </c>
      <c r="G1704" s="3" t="s">
        <v>11449</v>
      </c>
      <c r="H1704" s="54">
        <v>0</v>
      </c>
      <c r="I1704" s="16">
        <v>470000000</v>
      </c>
      <c r="J1704" s="157" t="s">
        <v>229</v>
      </c>
      <c r="K1704" s="5" t="s">
        <v>641</v>
      </c>
      <c r="L1704" s="6" t="s">
        <v>231</v>
      </c>
      <c r="M1704" s="3" t="s">
        <v>230</v>
      </c>
      <c r="N1704" s="6" t="s">
        <v>524</v>
      </c>
      <c r="O1704" s="6" t="s">
        <v>233</v>
      </c>
      <c r="P1704" s="58" t="s">
        <v>241</v>
      </c>
      <c r="Q1704" s="6" t="s">
        <v>234</v>
      </c>
      <c r="R1704" s="18">
        <v>14</v>
      </c>
      <c r="S1704" s="2">
        <v>111520</v>
      </c>
      <c r="T1704" s="4">
        <v>0</v>
      </c>
      <c r="U1704" s="4">
        <f t="shared" si="58"/>
        <v>0</v>
      </c>
      <c r="V1704" s="3" t="s">
        <v>362</v>
      </c>
      <c r="W1704" s="3">
        <v>2014</v>
      </c>
      <c r="X1704" s="3" t="s">
        <v>12313</v>
      </c>
    </row>
    <row r="1705" spans="1:24" ht="89.25">
      <c r="A1705" s="3" t="s">
        <v>12355</v>
      </c>
      <c r="B1705" s="6" t="s">
        <v>361</v>
      </c>
      <c r="C1705" s="6" t="s">
        <v>11636</v>
      </c>
      <c r="D1705" s="6" t="s">
        <v>11637</v>
      </c>
      <c r="E1705" s="6" t="s">
        <v>11638</v>
      </c>
      <c r="F1705" s="6" t="s">
        <v>4064</v>
      </c>
      <c r="G1705" s="3" t="s">
        <v>11449</v>
      </c>
      <c r="H1705" s="54">
        <v>0</v>
      </c>
      <c r="I1705" s="16">
        <v>470000000</v>
      </c>
      <c r="J1705" s="157" t="s">
        <v>229</v>
      </c>
      <c r="K1705" s="5" t="s">
        <v>12255</v>
      </c>
      <c r="L1705" s="6" t="s">
        <v>12251</v>
      </c>
      <c r="M1705" s="3" t="s">
        <v>12250</v>
      </c>
      <c r="N1705" s="6" t="s">
        <v>524</v>
      </c>
      <c r="O1705" s="6" t="s">
        <v>233</v>
      </c>
      <c r="P1705" s="58" t="s">
        <v>241</v>
      </c>
      <c r="Q1705" s="6" t="s">
        <v>234</v>
      </c>
      <c r="R1705" s="18">
        <v>14</v>
      </c>
      <c r="S1705" s="2">
        <v>111520</v>
      </c>
      <c r="T1705" s="4">
        <v>0</v>
      </c>
      <c r="U1705" s="4">
        <f t="shared" si="58"/>
        <v>0</v>
      </c>
      <c r="V1705" s="3" t="s">
        <v>362</v>
      </c>
      <c r="W1705" s="3">
        <v>2014</v>
      </c>
      <c r="X1705" s="3" t="s">
        <v>14747</v>
      </c>
    </row>
    <row r="1706" spans="1:24" ht="89.25">
      <c r="A1706" s="3" t="s">
        <v>14196</v>
      </c>
      <c r="B1706" s="6" t="s">
        <v>361</v>
      </c>
      <c r="C1706" s="6" t="s">
        <v>11830</v>
      </c>
      <c r="D1706" s="3" t="s">
        <v>11831</v>
      </c>
      <c r="E1706" s="6" t="s">
        <v>11832</v>
      </c>
      <c r="F1706" s="6" t="s">
        <v>4064</v>
      </c>
      <c r="G1706" s="3" t="s">
        <v>11449</v>
      </c>
      <c r="H1706" s="54">
        <v>0</v>
      </c>
      <c r="I1706" s="16">
        <v>470000000</v>
      </c>
      <c r="J1706" s="157" t="s">
        <v>229</v>
      </c>
      <c r="K1706" s="5" t="s">
        <v>14764</v>
      </c>
      <c r="L1706" s="6" t="s">
        <v>12251</v>
      </c>
      <c r="M1706" s="3" t="s">
        <v>12250</v>
      </c>
      <c r="N1706" s="6" t="s">
        <v>524</v>
      </c>
      <c r="O1706" s="6" t="s">
        <v>233</v>
      </c>
      <c r="P1706" s="58" t="s">
        <v>241</v>
      </c>
      <c r="Q1706" s="6" t="s">
        <v>234</v>
      </c>
      <c r="R1706" s="18">
        <v>0</v>
      </c>
      <c r="S1706" s="2">
        <v>133824</v>
      </c>
      <c r="T1706" s="4">
        <f>R1706*S1706</f>
        <v>0</v>
      </c>
      <c r="U1706" s="4">
        <f t="shared" si="58"/>
        <v>0</v>
      </c>
      <c r="V1706" s="3" t="s">
        <v>362</v>
      </c>
      <c r="W1706" s="3">
        <v>2014</v>
      </c>
      <c r="X1706" s="3" t="s">
        <v>12076</v>
      </c>
    </row>
    <row r="1707" spans="1:24" ht="102">
      <c r="A1707" s="3" t="s">
        <v>1230</v>
      </c>
      <c r="B1707" s="6" t="s">
        <v>361</v>
      </c>
      <c r="C1707" s="6" t="s">
        <v>11826</v>
      </c>
      <c r="D1707" s="6" t="s">
        <v>3980</v>
      </c>
      <c r="E1707" s="6" t="s">
        <v>11827</v>
      </c>
      <c r="F1707" s="6" t="s">
        <v>4065</v>
      </c>
      <c r="G1707" s="3" t="s">
        <v>11449</v>
      </c>
      <c r="H1707" s="54">
        <v>0</v>
      </c>
      <c r="I1707" s="16">
        <v>470000000</v>
      </c>
      <c r="J1707" s="157" t="s">
        <v>229</v>
      </c>
      <c r="K1707" s="5" t="s">
        <v>641</v>
      </c>
      <c r="L1707" s="6" t="s">
        <v>231</v>
      </c>
      <c r="M1707" s="3" t="s">
        <v>230</v>
      </c>
      <c r="N1707" s="6" t="s">
        <v>524</v>
      </c>
      <c r="O1707" s="6" t="s">
        <v>233</v>
      </c>
      <c r="P1707" s="58" t="s">
        <v>241</v>
      </c>
      <c r="Q1707" s="6" t="s">
        <v>234</v>
      </c>
      <c r="R1707" s="18">
        <v>14</v>
      </c>
      <c r="S1707" s="2">
        <v>18827</v>
      </c>
      <c r="T1707" s="4">
        <v>0</v>
      </c>
      <c r="U1707" s="4">
        <f t="shared" si="58"/>
        <v>0</v>
      </c>
      <c r="V1707" s="3" t="s">
        <v>362</v>
      </c>
      <c r="W1707" s="3">
        <v>2014</v>
      </c>
      <c r="X1707" s="3" t="s">
        <v>12313</v>
      </c>
    </row>
    <row r="1708" spans="1:24" ht="89.25">
      <c r="A1708" s="3" t="s">
        <v>12356</v>
      </c>
      <c r="B1708" s="6" t="s">
        <v>361</v>
      </c>
      <c r="C1708" s="6" t="s">
        <v>11826</v>
      </c>
      <c r="D1708" s="6" t="s">
        <v>3980</v>
      </c>
      <c r="E1708" s="6" t="s">
        <v>11827</v>
      </c>
      <c r="F1708" s="6" t="s">
        <v>4065</v>
      </c>
      <c r="G1708" s="3" t="s">
        <v>11449</v>
      </c>
      <c r="H1708" s="54">
        <v>0</v>
      </c>
      <c r="I1708" s="16">
        <v>470000000</v>
      </c>
      <c r="J1708" s="157" t="s">
        <v>229</v>
      </c>
      <c r="K1708" s="5" t="s">
        <v>12255</v>
      </c>
      <c r="L1708" s="6" t="s">
        <v>12251</v>
      </c>
      <c r="M1708" s="3" t="s">
        <v>12250</v>
      </c>
      <c r="N1708" s="6" t="s">
        <v>524</v>
      </c>
      <c r="O1708" s="6" t="s">
        <v>233</v>
      </c>
      <c r="P1708" s="58" t="s">
        <v>241</v>
      </c>
      <c r="Q1708" s="6" t="s">
        <v>234</v>
      </c>
      <c r="R1708" s="18">
        <v>14</v>
      </c>
      <c r="S1708" s="2">
        <v>18827</v>
      </c>
      <c r="T1708" s="4">
        <v>0</v>
      </c>
      <c r="U1708" s="4">
        <f t="shared" si="58"/>
        <v>0</v>
      </c>
      <c r="V1708" s="3" t="s">
        <v>362</v>
      </c>
      <c r="W1708" s="3">
        <v>2014</v>
      </c>
      <c r="X1708" s="3" t="s">
        <v>14785</v>
      </c>
    </row>
    <row r="1709" spans="1:24" ht="89.25">
      <c r="A1709" s="3" t="s">
        <v>14838</v>
      </c>
      <c r="B1709" s="6" t="s">
        <v>361</v>
      </c>
      <c r="C1709" s="6" t="s">
        <v>11826</v>
      </c>
      <c r="D1709" s="6" t="s">
        <v>3980</v>
      </c>
      <c r="E1709" s="6" t="s">
        <v>11827</v>
      </c>
      <c r="F1709" s="6" t="s">
        <v>4065</v>
      </c>
      <c r="G1709" s="3" t="s">
        <v>11449</v>
      </c>
      <c r="H1709" s="54">
        <v>0</v>
      </c>
      <c r="I1709" s="16">
        <v>470000000</v>
      </c>
      <c r="J1709" s="157" t="s">
        <v>229</v>
      </c>
      <c r="K1709" s="5" t="s">
        <v>14754</v>
      </c>
      <c r="L1709" s="6" t="s">
        <v>12251</v>
      </c>
      <c r="M1709" s="3" t="s">
        <v>12250</v>
      </c>
      <c r="N1709" s="6" t="s">
        <v>524</v>
      </c>
      <c r="O1709" s="6" t="s">
        <v>233</v>
      </c>
      <c r="P1709" s="58" t="s">
        <v>241</v>
      </c>
      <c r="Q1709" s="6" t="s">
        <v>234</v>
      </c>
      <c r="R1709" s="18">
        <v>0</v>
      </c>
      <c r="S1709" s="2">
        <v>22592.400000000001</v>
      </c>
      <c r="T1709" s="4">
        <f>R1709*S1709</f>
        <v>0</v>
      </c>
      <c r="U1709" s="4">
        <f t="shared" si="58"/>
        <v>0</v>
      </c>
      <c r="V1709" s="3" t="s">
        <v>362</v>
      </c>
      <c r="W1709" s="3">
        <v>2014</v>
      </c>
      <c r="X1709" s="3" t="s">
        <v>12076</v>
      </c>
    </row>
    <row r="1710" spans="1:24" ht="102">
      <c r="A1710" s="3" t="s">
        <v>1231</v>
      </c>
      <c r="B1710" s="6" t="s">
        <v>361</v>
      </c>
      <c r="C1710" s="6" t="s">
        <v>11826</v>
      </c>
      <c r="D1710" s="6" t="s">
        <v>3980</v>
      </c>
      <c r="E1710" s="6" t="s">
        <v>11827</v>
      </c>
      <c r="F1710" s="6" t="s">
        <v>4066</v>
      </c>
      <c r="G1710" s="3" t="s">
        <v>11449</v>
      </c>
      <c r="H1710" s="54">
        <v>0</v>
      </c>
      <c r="I1710" s="16">
        <v>470000000</v>
      </c>
      <c r="J1710" s="157" t="s">
        <v>229</v>
      </c>
      <c r="K1710" s="5" t="s">
        <v>641</v>
      </c>
      <c r="L1710" s="6" t="s">
        <v>231</v>
      </c>
      <c r="M1710" s="3" t="s">
        <v>230</v>
      </c>
      <c r="N1710" s="6" t="s">
        <v>524</v>
      </c>
      <c r="O1710" s="6" t="s">
        <v>233</v>
      </c>
      <c r="P1710" s="58" t="s">
        <v>241</v>
      </c>
      <c r="Q1710" s="6" t="s">
        <v>234</v>
      </c>
      <c r="R1710" s="18">
        <v>14</v>
      </c>
      <c r="S1710" s="2">
        <v>24851</v>
      </c>
      <c r="T1710" s="4">
        <v>0</v>
      </c>
      <c r="U1710" s="4">
        <f t="shared" si="58"/>
        <v>0</v>
      </c>
      <c r="V1710" s="3" t="s">
        <v>362</v>
      </c>
      <c r="W1710" s="3">
        <v>2014</v>
      </c>
      <c r="X1710" s="3" t="s">
        <v>12313</v>
      </c>
    </row>
    <row r="1711" spans="1:24" ht="89.25">
      <c r="A1711" s="3" t="s">
        <v>12357</v>
      </c>
      <c r="B1711" s="6" t="s">
        <v>361</v>
      </c>
      <c r="C1711" s="6" t="s">
        <v>11826</v>
      </c>
      <c r="D1711" s="6" t="s">
        <v>3980</v>
      </c>
      <c r="E1711" s="6" t="s">
        <v>11827</v>
      </c>
      <c r="F1711" s="6" t="s">
        <v>4066</v>
      </c>
      <c r="G1711" s="3" t="s">
        <v>11449</v>
      </c>
      <c r="H1711" s="54">
        <v>0</v>
      </c>
      <c r="I1711" s="16">
        <v>470000000</v>
      </c>
      <c r="J1711" s="157" t="s">
        <v>229</v>
      </c>
      <c r="K1711" s="5" t="s">
        <v>12255</v>
      </c>
      <c r="L1711" s="6" t="s">
        <v>12251</v>
      </c>
      <c r="M1711" s="3" t="s">
        <v>12250</v>
      </c>
      <c r="N1711" s="6" t="s">
        <v>524</v>
      </c>
      <c r="O1711" s="6" t="s">
        <v>233</v>
      </c>
      <c r="P1711" s="58" t="s">
        <v>241</v>
      </c>
      <c r="Q1711" s="6" t="s">
        <v>234</v>
      </c>
      <c r="R1711" s="18">
        <v>14</v>
      </c>
      <c r="S1711" s="2">
        <v>24851</v>
      </c>
      <c r="T1711" s="4">
        <v>0</v>
      </c>
      <c r="U1711" s="4">
        <f t="shared" si="58"/>
        <v>0</v>
      </c>
      <c r="V1711" s="3" t="s">
        <v>362</v>
      </c>
      <c r="W1711" s="3">
        <v>2014</v>
      </c>
      <c r="X1711" s="3" t="s">
        <v>14785</v>
      </c>
    </row>
    <row r="1712" spans="1:24" ht="89.25">
      <c r="A1712" s="3" t="s">
        <v>14839</v>
      </c>
      <c r="B1712" s="6" t="s">
        <v>361</v>
      </c>
      <c r="C1712" s="6" t="s">
        <v>11826</v>
      </c>
      <c r="D1712" s="6" t="s">
        <v>3980</v>
      </c>
      <c r="E1712" s="6" t="s">
        <v>11827</v>
      </c>
      <c r="F1712" s="6" t="s">
        <v>4066</v>
      </c>
      <c r="G1712" s="3" t="s">
        <v>11449</v>
      </c>
      <c r="H1712" s="54">
        <v>0</v>
      </c>
      <c r="I1712" s="16">
        <v>470000000</v>
      </c>
      <c r="J1712" s="157" t="s">
        <v>229</v>
      </c>
      <c r="K1712" s="5" t="s">
        <v>14754</v>
      </c>
      <c r="L1712" s="6" t="s">
        <v>12251</v>
      </c>
      <c r="M1712" s="3" t="s">
        <v>12250</v>
      </c>
      <c r="N1712" s="6" t="s">
        <v>524</v>
      </c>
      <c r="O1712" s="6" t="s">
        <v>233</v>
      </c>
      <c r="P1712" s="58" t="s">
        <v>241</v>
      </c>
      <c r="Q1712" s="6" t="s">
        <v>234</v>
      </c>
      <c r="R1712" s="18">
        <v>0</v>
      </c>
      <c r="S1712" s="2">
        <v>29821.200000000001</v>
      </c>
      <c r="T1712" s="4">
        <f>R1712*S1712</f>
        <v>0</v>
      </c>
      <c r="U1712" s="4">
        <f t="shared" si="58"/>
        <v>0</v>
      </c>
      <c r="V1712" s="3" t="s">
        <v>362</v>
      </c>
      <c r="W1712" s="3">
        <v>2014</v>
      </c>
      <c r="X1712" s="3" t="s">
        <v>12076</v>
      </c>
    </row>
    <row r="1713" spans="1:24" ht="102">
      <c r="A1713" s="3" t="s">
        <v>1232</v>
      </c>
      <c r="B1713" s="6" t="s">
        <v>361</v>
      </c>
      <c r="C1713" s="6" t="s">
        <v>11828</v>
      </c>
      <c r="D1713" s="6" t="s">
        <v>4359</v>
      </c>
      <c r="E1713" s="6" t="s">
        <v>11829</v>
      </c>
      <c r="F1713" s="9" t="s">
        <v>7714</v>
      </c>
      <c r="G1713" s="3" t="s">
        <v>11449</v>
      </c>
      <c r="H1713" s="54">
        <v>0</v>
      </c>
      <c r="I1713" s="16">
        <v>470000000</v>
      </c>
      <c r="J1713" s="157" t="s">
        <v>229</v>
      </c>
      <c r="K1713" s="5" t="s">
        <v>211</v>
      </c>
      <c r="L1713" s="6" t="s">
        <v>231</v>
      </c>
      <c r="M1713" s="3" t="s">
        <v>230</v>
      </c>
      <c r="N1713" s="6" t="s">
        <v>524</v>
      </c>
      <c r="O1713" s="6" t="s">
        <v>233</v>
      </c>
      <c r="P1713" s="58" t="s">
        <v>241</v>
      </c>
      <c r="Q1713" s="6" t="s">
        <v>234</v>
      </c>
      <c r="R1713" s="4">
        <v>18</v>
      </c>
      <c r="S1713" s="59">
        <v>192475</v>
      </c>
      <c r="T1713" s="4">
        <v>0</v>
      </c>
      <c r="U1713" s="4">
        <f t="shared" si="58"/>
        <v>0</v>
      </c>
      <c r="V1713" s="3" t="s">
        <v>362</v>
      </c>
      <c r="W1713" s="3">
        <v>2014</v>
      </c>
      <c r="X1713" s="3">
        <v>12.13</v>
      </c>
    </row>
    <row r="1714" spans="1:24" ht="89.25">
      <c r="A1714" s="3" t="s">
        <v>12358</v>
      </c>
      <c r="B1714" s="6" t="s">
        <v>361</v>
      </c>
      <c r="C1714" s="6" t="s">
        <v>11828</v>
      </c>
      <c r="D1714" s="6" t="s">
        <v>4359</v>
      </c>
      <c r="E1714" s="6" t="s">
        <v>11829</v>
      </c>
      <c r="F1714" s="9" t="s">
        <v>7714</v>
      </c>
      <c r="G1714" s="3" t="s">
        <v>11449</v>
      </c>
      <c r="H1714" s="54">
        <v>0</v>
      </c>
      <c r="I1714" s="16">
        <v>470000000</v>
      </c>
      <c r="J1714" s="157" t="s">
        <v>229</v>
      </c>
      <c r="K1714" s="5" t="s">
        <v>211</v>
      </c>
      <c r="L1714" s="6" t="s">
        <v>12251</v>
      </c>
      <c r="M1714" s="3" t="s">
        <v>12250</v>
      </c>
      <c r="N1714" s="6" t="s">
        <v>524</v>
      </c>
      <c r="O1714" s="6" t="s">
        <v>233</v>
      </c>
      <c r="P1714" s="58" t="s">
        <v>241</v>
      </c>
      <c r="Q1714" s="6" t="s">
        <v>234</v>
      </c>
      <c r="R1714" s="4">
        <v>0</v>
      </c>
      <c r="S1714" s="59">
        <v>192475</v>
      </c>
      <c r="T1714" s="4">
        <f>R1714*S1714</f>
        <v>0</v>
      </c>
      <c r="U1714" s="4">
        <f t="shared" si="58"/>
        <v>0</v>
      </c>
      <c r="V1714" s="3" t="s">
        <v>362</v>
      </c>
      <c r="W1714" s="3">
        <v>2014</v>
      </c>
      <c r="X1714" s="3" t="s">
        <v>12076</v>
      </c>
    </row>
    <row r="1715" spans="1:24" ht="102">
      <c r="A1715" s="3" t="s">
        <v>1233</v>
      </c>
      <c r="B1715" s="6" t="s">
        <v>361</v>
      </c>
      <c r="C1715" s="6" t="s">
        <v>11830</v>
      </c>
      <c r="D1715" s="6" t="s">
        <v>11831</v>
      </c>
      <c r="E1715" s="6" t="s">
        <v>11832</v>
      </c>
      <c r="F1715" s="6" t="s">
        <v>8326</v>
      </c>
      <c r="G1715" s="3" t="s">
        <v>11449</v>
      </c>
      <c r="H1715" s="54">
        <v>0</v>
      </c>
      <c r="I1715" s="16">
        <v>470000000</v>
      </c>
      <c r="J1715" s="157" t="s">
        <v>229</v>
      </c>
      <c r="K1715" s="5" t="s">
        <v>211</v>
      </c>
      <c r="L1715" s="6" t="s">
        <v>231</v>
      </c>
      <c r="M1715" s="3" t="s">
        <v>230</v>
      </c>
      <c r="N1715" s="6" t="s">
        <v>524</v>
      </c>
      <c r="O1715" s="6" t="s">
        <v>233</v>
      </c>
      <c r="P1715" s="58" t="s">
        <v>241</v>
      </c>
      <c r="Q1715" s="6" t="s">
        <v>234</v>
      </c>
      <c r="R1715" s="4">
        <v>15</v>
      </c>
      <c r="S1715" s="59">
        <v>140724</v>
      </c>
      <c r="T1715" s="4">
        <v>0</v>
      </c>
      <c r="U1715" s="4">
        <f t="shared" si="58"/>
        <v>0</v>
      </c>
      <c r="V1715" s="3" t="s">
        <v>362</v>
      </c>
      <c r="W1715" s="3">
        <v>2014</v>
      </c>
      <c r="X1715" s="3">
        <v>12.13</v>
      </c>
    </row>
    <row r="1716" spans="1:24" ht="89.25">
      <c r="A1716" s="3" t="s">
        <v>12359</v>
      </c>
      <c r="B1716" s="6" t="s">
        <v>361</v>
      </c>
      <c r="C1716" s="6" t="s">
        <v>11830</v>
      </c>
      <c r="D1716" s="6" t="s">
        <v>11831</v>
      </c>
      <c r="E1716" s="6" t="s">
        <v>11832</v>
      </c>
      <c r="F1716" s="6" t="s">
        <v>8326</v>
      </c>
      <c r="G1716" s="3" t="s">
        <v>11449</v>
      </c>
      <c r="H1716" s="54">
        <v>0</v>
      </c>
      <c r="I1716" s="16">
        <v>470000000</v>
      </c>
      <c r="J1716" s="157" t="s">
        <v>229</v>
      </c>
      <c r="K1716" s="5" t="s">
        <v>211</v>
      </c>
      <c r="L1716" s="6" t="s">
        <v>12251</v>
      </c>
      <c r="M1716" s="3" t="s">
        <v>12250</v>
      </c>
      <c r="N1716" s="6" t="s">
        <v>524</v>
      </c>
      <c r="O1716" s="6" t="s">
        <v>233</v>
      </c>
      <c r="P1716" s="58" t="s">
        <v>241</v>
      </c>
      <c r="Q1716" s="6" t="s">
        <v>234</v>
      </c>
      <c r="R1716" s="4">
        <v>0</v>
      </c>
      <c r="S1716" s="59">
        <v>140724</v>
      </c>
      <c r="T1716" s="4">
        <f>R1716*S1716</f>
        <v>0</v>
      </c>
      <c r="U1716" s="4">
        <f t="shared" si="58"/>
        <v>0</v>
      </c>
      <c r="V1716" s="3" t="s">
        <v>362</v>
      </c>
      <c r="W1716" s="3">
        <v>2014</v>
      </c>
      <c r="X1716" s="3" t="s">
        <v>12076</v>
      </c>
    </row>
    <row r="1717" spans="1:24" ht="102">
      <c r="A1717" s="3" t="s">
        <v>1234</v>
      </c>
      <c r="B1717" s="6" t="s">
        <v>361</v>
      </c>
      <c r="C1717" s="6" t="s">
        <v>11833</v>
      </c>
      <c r="D1717" s="6" t="s">
        <v>3747</v>
      </c>
      <c r="E1717" s="6" t="s">
        <v>11834</v>
      </c>
      <c r="F1717" s="9" t="s">
        <v>7712</v>
      </c>
      <c r="G1717" s="3" t="s">
        <v>11449</v>
      </c>
      <c r="H1717" s="54">
        <v>0</v>
      </c>
      <c r="I1717" s="16">
        <v>470000000</v>
      </c>
      <c r="J1717" s="157" t="s">
        <v>229</v>
      </c>
      <c r="K1717" s="5" t="s">
        <v>211</v>
      </c>
      <c r="L1717" s="6" t="s">
        <v>231</v>
      </c>
      <c r="M1717" s="3" t="s">
        <v>230</v>
      </c>
      <c r="N1717" s="6" t="s">
        <v>524</v>
      </c>
      <c r="O1717" s="6" t="s">
        <v>233</v>
      </c>
      <c r="P1717" s="58" t="s">
        <v>241</v>
      </c>
      <c r="Q1717" s="6" t="s">
        <v>234</v>
      </c>
      <c r="R1717" s="4">
        <v>15</v>
      </c>
      <c r="S1717" s="59">
        <v>25333</v>
      </c>
      <c r="T1717" s="4">
        <v>0</v>
      </c>
      <c r="U1717" s="4">
        <f t="shared" si="58"/>
        <v>0</v>
      </c>
      <c r="V1717" s="3" t="s">
        <v>362</v>
      </c>
      <c r="W1717" s="3">
        <v>2014</v>
      </c>
      <c r="X1717" s="3">
        <v>12.13</v>
      </c>
    </row>
    <row r="1718" spans="1:24" ht="89.25">
      <c r="A1718" s="3" t="s">
        <v>12360</v>
      </c>
      <c r="B1718" s="6" t="s">
        <v>361</v>
      </c>
      <c r="C1718" s="6" t="s">
        <v>11833</v>
      </c>
      <c r="D1718" s="6" t="s">
        <v>3747</v>
      </c>
      <c r="E1718" s="6" t="s">
        <v>11834</v>
      </c>
      <c r="F1718" s="9" t="s">
        <v>7712</v>
      </c>
      <c r="G1718" s="3" t="s">
        <v>11449</v>
      </c>
      <c r="H1718" s="54">
        <v>0</v>
      </c>
      <c r="I1718" s="16">
        <v>470000000</v>
      </c>
      <c r="J1718" s="157" t="s">
        <v>229</v>
      </c>
      <c r="K1718" s="5" t="s">
        <v>211</v>
      </c>
      <c r="L1718" s="6" t="s">
        <v>12251</v>
      </c>
      <c r="M1718" s="3" t="s">
        <v>12250</v>
      </c>
      <c r="N1718" s="6" t="s">
        <v>524</v>
      </c>
      <c r="O1718" s="6" t="s">
        <v>233</v>
      </c>
      <c r="P1718" s="58" t="s">
        <v>241</v>
      </c>
      <c r="Q1718" s="6" t="s">
        <v>234</v>
      </c>
      <c r="R1718" s="4">
        <v>0</v>
      </c>
      <c r="S1718" s="59">
        <v>25333</v>
      </c>
      <c r="T1718" s="4">
        <f>R1718*S1718</f>
        <v>0</v>
      </c>
      <c r="U1718" s="4">
        <f t="shared" si="58"/>
        <v>0</v>
      </c>
      <c r="V1718" s="3" t="s">
        <v>362</v>
      </c>
      <c r="W1718" s="3">
        <v>2014</v>
      </c>
      <c r="X1718" s="3" t="s">
        <v>12076</v>
      </c>
    </row>
    <row r="1719" spans="1:24" ht="102">
      <c r="A1719" s="3" t="s">
        <v>1235</v>
      </c>
      <c r="B1719" s="6" t="s">
        <v>361</v>
      </c>
      <c r="C1719" s="6" t="s">
        <v>11833</v>
      </c>
      <c r="D1719" s="6" t="s">
        <v>3747</v>
      </c>
      <c r="E1719" s="6" t="s">
        <v>11834</v>
      </c>
      <c r="F1719" s="9" t="s">
        <v>7713</v>
      </c>
      <c r="G1719" s="3" t="s">
        <v>11449</v>
      </c>
      <c r="H1719" s="54">
        <v>0</v>
      </c>
      <c r="I1719" s="16">
        <v>470000000</v>
      </c>
      <c r="J1719" s="157" t="s">
        <v>229</v>
      </c>
      <c r="K1719" s="5" t="s">
        <v>211</v>
      </c>
      <c r="L1719" s="6" t="s">
        <v>231</v>
      </c>
      <c r="M1719" s="3" t="s">
        <v>230</v>
      </c>
      <c r="N1719" s="6" t="s">
        <v>524</v>
      </c>
      <c r="O1719" s="6" t="s">
        <v>233</v>
      </c>
      <c r="P1719" s="58" t="s">
        <v>241</v>
      </c>
      <c r="Q1719" s="6" t="s">
        <v>234</v>
      </c>
      <c r="R1719" s="4">
        <v>15</v>
      </c>
      <c r="S1719" s="59">
        <v>21131</v>
      </c>
      <c r="T1719" s="4">
        <v>0</v>
      </c>
      <c r="U1719" s="4">
        <f t="shared" si="58"/>
        <v>0</v>
      </c>
      <c r="V1719" s="3" t="s">
        <v>362</v>
      </c>
      <c r="W1719" s="3">
        <v>2014</v>
      </c>
      <c r="X1719" s="3">
        <v>12.13</v>
      </c>
    </row>
    <row r="1720" spans="1:24" ht="89.25">
      <c r="A1720" s="3" t="s">
        <v>12361</v>
      </c>
      <c r="B1720" s="6" t="s">
        <v>361</v>
      </c>
      <c r="C1720" s="6" t="s">
        <v>11833</v>
      </c>
      <c r="D1720" s="6" t="s">
        <v>3747</v>
      </c>
      <c r="E1720" s="6" t="s">
        <v>11834</v>
      </c>
      <c r="F1720" s="9" t="s">
        <v>7713</v>
      </c>
      <c r="G1720" s="3" t="s">
        <v>11449</v>
      </c>
      <c r="H1720" s="54">
        <v>0</v>
      </c>
      <c r="I1720" s="16">
        <v>470000000</v>
      </c>
      <c r="J1720" s="157" t="s">
        <v>229</v>
      </c>
      <c r="K1720" s="5" t="s">
        <v>211</v>
      </c>
      <c r="L1720" s="6" t="s">
        <v>12251</v>
      </c>
      <c r="M1720" s="3" t="s">
        <v>12250</v>
      </c>
      <c r="N1720" s="6" t="s">
        <v>524</v>
      </c>
      <c r="O1720" s="6" t="s">
        <v>233</v>
      </c>
      <c r="P1720" s="58" t="s">
        <v>241</v>
      </c>
      <c r="Q1720" s="6" t="s">
        <v>234</v>
      </c>
      <c r="R1720" s="4">
        <v>0</v>
      </c>
      <c r="S1720" s="59">
        <v>21131</v>
      </c>
      <c r="T1720" s="4">
        <f>R1720*S1720</f>
        <v>0</v>
      </c>
      <c r="U1720" s="4">
        <f t="shared" si="58"/>
        <v>0</v>
      </c>
      <c r="V1720" s="3" t="s">
        <v>362</v>
      </c>
      <c r="W1720" s="3">
        <v>2014</v>
      </c>
      <c r="X1720" s="3" t="s">
        <v>12076</v>
      </c>
    </row>
    <row r="1721" spans="1:24" ht="102">
      <c r="A1721" s="3" t="s">
        <v>1236</v>
      </c>
      <c r="B1721" s="6" t="s">
        <v>361</v>
      </c>
      <c r="C1721" s="6" t="s">
        <v>11634</v>
      </c>
      <c r="D1721" s="6" t="s">
        <v>4059</v>
      </c>
      <c r="E1721" s="6" t="s">
        <v>11635</v>
      </c>
      <c r="F1721" s="6"/>
      <c r="G1721" s="3" t="s">
        <v>11449</v>
      </c>
      <c r="H1721" s="54">
        <v>0</v>
      </c>
      <c r="I1721" s="16">
        <v>470000000</v>
      </c>
      <c r="J1721" s="157" t="s">
        <v>229</v>
      </c>
      <c r="K1721" s="5" t="s">
        <v>211</v>
      </c>
      <c r="L1721" s="6" t="s">
        <v>231</v>
      </c>
      <c r="M1721" s="3" t="s">
        <v>230</v>
      </c>
      <c r="N1721" s="6" t="s">
        <v>524</v>
      </c>
      <c r="O1721" s="6" t="s">
        <v>233</v>
      </c>
      <c r="P1721" s="58" t="s">
        <v>241</v>
      </c>
      <c r="Q1721" s="6" t="s">
        <v>234</v>
      </c>
      <c r="R1721" s="4">
        <v>25</v>
      </c>
      <c r="S1721" s="59">
        <v>63516</v>
      </c>
      <c r="T1721" s="4">
        <v>0</v>
      </c>
      <c r="U1721" s="4">
        <f t="shared" si="58"/>
        <v>0</v>
      </c>
      <c r="V1721" s="3" t="s">
        <v>362</v>
      </c>
      <c r="W1721" s="3">
        <v>2014</v>
      </c>
      <c r="X1721" s="3">
        <v>12.13</v>
      </c>
    </row>
    <row r="1722" spans="1:24" ht="89.25">
      <c r="A1722" s="3" t="s">
        <v>12362</v>
      </c>
      <c r="B1722" s="6" t="s">
        <v>361</v>
      </c>
      <c r="C1722" s="6" t="s">
        <v>11634</v>
      </c>
      <c r="D1722" s="6" t="s">
        <v>4059</v>
      </c>
      <c r="E1722" s="6" t="s">
        <v>11635</v>
      </c>
      <c r="F1722" s="6"/>
      <c r="G1722" s="3" t="s">
        <v>11449</v>
      </c>
      <c r="H1722" s="54">
        <v>0</v>
      </c>
      <c r="I1722" s="16">
        <v>470000000</v>
      </c>
      <c r="J1722" s="157" t="s">
        <v>229</v>
      </c>
      <c r="K1722" s="5" t="s">
        <v>211</v>
      </c>
      <c r="L1722" s="6" t="s">
        <v>12251</v>
      </c>
      <c r="M1722" s="3" t="s">
        <v>12250</v>
      </c>
      <c r="N1722" s="6" t="s">
        <v>524</v>
      </c>
      <c r="O1722" s="6" t="s">
        <v>233</v>
      </c>
      <c r="P1722" s="58" t="s">
        <v>241</v>
      </c>
      <c r="Q1722" s="6" t="s">
        <v>234</v>
      </c>
      <c r="R1722" s="4">
        <v>0</v>
      </c>
      <c r="S1722" s="59">
        <v>63516</v>
      </c>
      <c r="T1722" s="4">
        <f>R1722*S1722</f>
        <v>0</v>
      </c>
      <c r="U1722" s="4">
        <f t="shared" si="58"/>
        <v>0</v>
      </c>
      <c r="V1722" s="3" t="s">
        <v>362</v>
      </c>
      <c r="W1722" s="3">
        <v>2014</v>
      </c>
      <c r="X1722" s="3" t="s">
        <v>12076</v>
      </c>
    </row>
    <row r="1723" spans="1:24" ht="102">
      <c r="A1723" s="3" t="s">
        <v>1237</v>
      </c>
      <c r="B1723" s="6" t="s">
        <v>361</v>
      </c>
      <c r="C1723" s="6" t="s">
        <v>11634</v>
      </c>
      <c r="D1723" s="6" t="s">
        <v>4059</v>
      </c>
      <c r="E1723" s="6" t="s">
        <v>11635</v>
      </c>
      <c r="F1723" s="6"/>
      <c r="G1723" s="3" t="s">
        <v>11449</v>
      </c>
      <c r="H1723" s="54">
        <v>0</v>
      </c>
      <c r="I1723" s="16">
        <v>470000000</v>
      </c>
      <c r="J1723" s="157" t="s">
        <v>229</v>
      </c>
      <c r="K1723" s="5" t="s">
        <v>211</v>
      </c>
      <c r="L1723" s="6" t="s">
        <v>231</v>
      </c>
      <c r="M1723" s="3" t="s">
        <v>230</v>
      </c>
      <c r="N1723" s="6" t="s">
        <v>524</v>
      </c>
      <c r="O1723" s="6" t="s">
        <v>233</v>
      </c>
      <c r="P1723" s="58" t="s">
        <v>241</v>
      </c>
      <c r="Q1723" s="6" t="s">
        <v>234</v>
      </c>
      <c r="R1723" s="4">
        <v>25</v>
      </c>
      <c r="S1723" s="59">
        <v>84869</v>
      </c>
      <c r="T1723" s="4">
        <v>0</v>
      </c>
      <c r="U1723" s="4">
        <f t="shared" si="58"/>
        <v>0</v>
      </c>
      <c r="V1723" s="3" t="s">
        <v>362</v>
      </c>
      <c r="W1723" s="3">
        <v>2014</v>
      </c>
      <c r="X1723" s="3">
        <v>12.13</v>
      </c>
    </row>
    <row r="1724" spans="1:24" ht="89.25">
      <c r="A1724" s="3" t="s">
        <v>12363</v>
      </c>
      <c r="B1724" s="6" t="s">
        <v>361</v>
      </c>
      <c r="C1724" s="6" t="s">
        <v>11634</v>
      </c>
      <c r="D1724" s="6" t="s">
        <v>4059</v>
      </c>
      <c r="E1724" s="6" t="s">
        <v>11635</v>
      </c>
      <c r="F1724" s="6"/>
      <c r="G1724" s="3" t="s">
        <v>11449</v>
      </c>
      <c r="H1724" s="54">
        <v>0</v>
      </c>
      <c r="I1724" s="16">
        <v>470000000</v>
      </c>
      <c r="J1724" s="157" t="s">
        <v>229</v>
      </c>
      <c r="K1724" s="5" t="s">
        <v>211</v>
      </c>
      <c r="L1724" s="6" t="s">
        <v>12251</v>
      </c>
      <c r="M1724" s="3" t="s">
        <v>12250</v>
      </c>
      <c r="N1724" s="6" t="s">
        <v>524</v>
      </c>
      <c r="O1724" s="6" t="s">
        <v>233</v>
      </c>
      <c r="P1724" s="58" t="s">
        <v>241</v>
      </c>
      <c r="Q1724" s="6" t="s">
        <v>234</v>
      </c>
      <c r="R1724" s="4">
        <v>0</v>
      </c>
      <c r="S1724" s="59">
        <v>84869</v>
      </c>
      <c r="T1724" s="4">
        <f>R1724*S1724</f>
        <v>0</v>
      </c>
      <c r="U1724" s="4">
        <f t="shared" si="58"/>
        <v>0</v>
      </c>
      <c r="V1724" s="3" t="s">
        <v>362</v>
      </c>
      <c r="W1724" s="3">
        <v>2014</v>
      </c>
      <c r="X1724" s="3" t="s">
        <v>12076</v>
      </c>
    </row>
    <row r="1725" spans="1:24" ht="102">
      <c r="A1725" s="3" t="s">
        <v>1238</v>
      </c>
      <c r="B1725" s="6" t="s">
        <v>361</v>
      </c>
      <c r="C1725" s="6" t="s">
        <v>4073</v>
      </c>
      <c r="D1725" s="6" t="s">
        <v>4074</v>
      </c>
      <c r="E1725" s="6" t="s">
        <v>4075</v>
      </c>
      <c r="F1725" s="6" t="s">
        <v>4069</v>
      </c>
      <c r="G1725" s="3" t="s">
        <v>11449</v>
      </c>
      <c r="H1725" s="54">
        <v>0</v>
      </c>
      <c r="I1725" s="16">
        <v>470000000</v>
      </c>
      <c r="J1725" s="157" t="s">
        <v>229</v>
      </c>
      <c r="K1725" s="5" t="s">
        <v>223</v>
      </c>
      <c r="L1725" s="6" t="s">
        <v>231</v>
      </c>
      <c r="M1725" s="3" t="s">
        <v>230</v>
      </c>
      <c r="N1725" s="6" t="s">
        <v>7685</v>
      </c>
      <c r="O1725" s="6" t="s">
        <v>233</v>
      </c>
      <c r="P1725" s="58" t="s">
        <v>247</v>
      </c>
      <c r="Q1725" s="6" t="s">
        <v>240</v>
      </c>
      <c r="R1725" s="4">
        <v>2200</v>
      </c>
      <c r="S1725" s="2">
        <v>19100</v>
      </c>
      <c r="T1725" s="4">
        <v>0</v>
      </c>
      <c r="U1725" s="4">
        <f t="shared" si="58"/>
        <v>0</v>
      </c>
      <c r="V1725" s="3" t="s">
        <v>362</v>
      </c>
      <c r="W1725" s="3">
        <v>2014</v>
      </c>
      <c r="X1725" s="3">
        <v>11.12</v>
      </c>
    </row>
    <row r="1726" spans="1:24" ht="89.25">
      <c r="A1726" s="3" t="s">
        <v>11890</v>
      </c>
      <c r="B1726" s="6" t="s">
        <v>361</v>
      </c>
      <c r="C1726" s="6" t="s">
        <v>4073</v>
      </c>
      <c r="D1726" s="6" t="s">
        <v>4074</v>
      </c>
      <c r="E1726" s="6" t="s">
        <v>4075</v>
      </c>
      <c r="F1726" s="6" t="s">
        <v>4069</v>
      </c>
      <c r="G1726" s="3" t="s">
        <v>11449</v>
      </c>
      <c r="H1726" s="54">
        <v>0</v>
      </c>
      <c r="I1726" s="16">
        <v>470000000</v>
      </c>
      <c r="J1726" s="157" t="s">
        <v>229</v>
      </c>
      <c r="K1726" s="5" t="s">
        <v>11891</v>
      </c>
      <c r="L1726" s="17" t="s">
        <v>11411</v>
      </c>
      <c r="M1726" s="3" t="s">
        <v>230</v>
      </c>
      <c r="N1726" s="6" t="s">
        <v>7685</v>
      </c>
      <c r="O1726" s="6" t="s">
        <v>233</v>
      </c>
      <c r="P1726" s="58" t="s">
        <v>247</v>
      </c>
      <c r="Q1726" s="6" t="s">
        <v>240</v>
      </c>
      <c r="R1726" s="4">
        <v>2200</v>
      </c>
      <c r="S1726" s="2">
        <v>19100</v>
      </c>
      <c r="T1726" s="4">
        <v>0</v>
      </c>
      <c r="U1726" s="4">
        <f t="shared" si="58"/>
        <v>0</v>
      </c>
      <c r="V1726" s="3" t="s">
        <v>362</v>
      </c>
      <c r="W1726" s="3">
        <v>2014</v>
      </c>
      <c r="X1726" s="3" t="s">
        <v>14840</v>
      </c>
    </row>
    <row r="1727" spans="1:24" ht="89.25">
      <c r="A1727" s="3" t="s">
        <v>14841</v>
      </c>
      <c r="B1727" s="6" t="s">
        <v>361</v>
      </c>
      <c r="C1727" s="6" t="s">
        <v>4073</v>
      </c>
      <c r="D1727" s="6" t="s">
        <v>4074</v>
      </c>
      <c r="E1727" s="6" t="s">
        <v>4075</v>
      </c>
      <c r="F1727" s="6" t="s">
        <v>4069</v>
      </c>
      <c r="G1727" s="3" t="s">
        <v>11449</v>
      </c>
      <c r="H1727" s="54">
        <v>0</v>
      </c>
      <c r="I1727" s="16">
        <v>470000000</v>
      </c>
      <c r="J1727" s="157" t="s">
        <v>229</v>
      </c>
      <c r="K1727" s="5" t="s">
        <v>14842</v>
      </c>
      <c r="L1727" s="6" t="s">
        <v>12251</v>
      </c>
      <c r="M1727" s="3" t="s">
        <v>12250</v>
      </c>
      <c r="N1727" s="6" t="s">
        <v>7685</v>
      </c>
      <c r="O1727" s="6" t="s">
        <v>233</v>
      </c>
      <c r="P1727" s="58" t="s">
        <v>247</v>
      </c>
      <c r="Q1727" s="6" t="s">
        <v>240</v>
      </c>
      <c r="R1727" s="4">
        <v>2709.6</v>
      </c>
      <c r="S1727" s="2">
        <v>18505.488000000001</v>
      </c>
      <c r="T1727" s="4">
        <v>0</v>
      </c>
      <c r="U1727" s="4">
        <f t="shared" si="58"/>
        <v>0</v>
      </c>
      <c r="V1727" s="3" t="s">
        <v>362</v>
      </c>
      <c r="W1727" s="3">
        <v>2014</v>
      </c>
      <c r="X1727" s="3" t="s">
        <v>14132</v>
      </c>
    </row>
    <row r="1728" spans="1:24" ht="89.25">
      <c r="A1728" s="3" t="s">
        <v>17894</v>
      </c>
      <c r="B1728" s="6" t="s">
        <v>361</v>
      </c>
      <c r="C1728" s="6" t="s">
        <v>4073</v>
      </c>
      <c r="D1728" s="6" t="s">
        <v>4074</v>
      </c>
      <c r="E1728" s="6" t="s">
        <v>4075</v>
      </c>
      <c r="F1728" s="6" t="s">
        <v>4069</v>
      </c>
      <c r="G1728" s="3" t="s">
        <v>11449</v>
      </c>
      <c r="H1728" s="54">
        <v>0</v>
      </c>
      <c r="I1728" s="16">
        <v>470000000</v>
      </c>
      <c r="J1728" s="157" t="s">
        <v>229</v>
      </c>
      <c r="K1728" s="5" t="s">
        <v>14842</v>
      </c>
      <c r="L1728" s="6" t="s">
        <v>12251</v>
      </c>
      <c r="M1728" s="3" t="s">
        <v>12250</v>
      </c>
      <c r="N1728" s="6" t="s">
        <v>7685</v>
      </c>
      <c r="O1728" s="6" t="s">
        <v>233</v>
      </c>
      <c r="P1728" s="58" t="s">
        <v>247</v>
      </c>
      <c r="Q1728" s="6" t="s">
        <v>240</v>
      </c>
      <c r="R1728" s="4">
        <v>2000</v>
      </c>
      <c r="S1728" s="2">
        <v>19000</v>
      </c>
      <c r="T1728" s="4">
        <v>0</v>
      </c>
      <c r="U1728" s="4">
        <f t="shared" si="58"/>
        <v>0</v>
      </c>
      <c r="V1728" s="3" t="s">
        <v>362</v>
      </c>
      <c r="W1728" s="3">
        <v>2014</v>
      </c>
      <c r="X1728" s="6" t="s">
        <v>19086</v>
      </c>
    </row>
    <row r="1729" spans="1:24" ht="89.25">
      <c r="A1729" s="3" t="s">
        <v>18823</v>
      </c>
      <c r="B1729" s="6" t="s">
        <v>361</v>
      </c>
      <c r="C1729" s="6" t="s">
        <v>4073</v>
      </c>
      <c r="D1729" s="6" t="s">
        <v>4074</v>
      </c>
      <c r="E1729" s="6" t="s">
        <v>4075</v>
      </c>
      <c r="F1729" s="6" t="s">
        <v>4069</v>
      </c>
      <c r="G1729" s="3" t="s">
        <v>11449</v>
      </c>
      <c r="H1729" s="54">
        <v>0</v>
      </c>
      <c r="I1729" s="16">
        <v>470000000</v>
      </c>
      <c r="J1729" s="157" t="s">
        <v>229</v>
      </c>
      <c r="K1729" s="5" t="s">
        <v>14842</v>
      </c>
      <c r="L1729" s="6" t="s">
        <v>12251</v>
      </c>
      <c r="M1729" s="3" t="s">
        <v>12250</v>
      </c>
      <c r="N1729" s="6" t="s">
        <v>7685</v>
      </c>
      <c r="O1729" s="6" t="s">
        <v>233</v>
      </c>
      <c r="P1729" s="58" t="s">
        <v>247</v>
      </c>
      <c r="Q1729" s="6" t="s">
        <v>240</v>
      </c>
      <c r="R1729" s="4">
        <v>2800</v>
      </c>
      <c r="S1729" s="2">
        <v>19000</v>
      </c>
      <c r="T1729" s="4">
        <f>R1729*S1729</f>
        <v>53200000</v>
      </c>
      <c r="U1729" s="4">
        <f t="shared" si="58"/>
        <v>59584000.000000007</v>
      </c>
      <c r="V1729" s="3"/>
      <c r="W1729" s="3">
        <v>2014</v>
      </c>
      <c r="X1729" s="158"/>
    </row>
    <row r="1730" spans="1:24" ht="102">
      <c r="A1730" s="3" t="s">
        <v>1239</v>
      </c>
      <c r="B1730" s="6" t="s">
        <v>361</v>
      </c>
      <c r="C1730" s="6" t="s">
        <v>4076</v>
      </c>
      <c r="D1730" s="6" t="s">
        <v>4077</v>
      </c>
      <c r="E1730" s="6" t="s">
        <v>4078</v>
      </c>
      <c r="F1730" s="6" t="s">
        <v>4070</v>
      </c>
      <c r="G1730" s="3" t="s">
        <v>11450</v>
      </c>
      <c r="H1730" s="54">
        <v>0</v>
      </c>
      <c r="I1730" s="16">
        <v>470000000</v>
      </c>
      <c r="J1730" s="157" t="s">
        <v>229</v>
      </c>
      <c r="K1730" s="5" t="s">
        <v>8309</v>
      </c>
      <c r="L1730" s="6" t="s">
        <v>231</v>
      </c>
      <c r="M1730" s="3" t="s">
        <v>230</v>
      </c>
      <c r="N1730" s="6" t="s">
        <v>524</v>
      </c>
      <c r="O1730" s="6" t="s">
        <v>233</v>
      </c>
      <c r="P1730" s="58" t="s">
        <v>247</v>
      </c>
      <c r="Q1730" s="6" t="s">
        <v>240</v>
      </c>
      <c r="R1730" s="18">
        <v>6</v>
      </c>
      <c r="S1730" s="2">
        <v>374500</v>
      </c>
      <c r="T1730" s="4">
        <v>0</v>
      </c>
      <c r="U1730" s="4">
        <f t="shared" si="58"/>
        <v>0</v>
      </c>
      <c r="V1730" s="3"/>
      <c r="W1730" s="3">
        <v>2014</v>
      </c>
      <c r="X1730" s="3" t="s">
        <v>14843</v>
      </c>
    </row>
    <row r="1731" spans="1:24" ht="102">
      <c r="A1731" s="3" t="s">
        <v>14844</v>
      </c>
      <c r="B1731" s="6" t="s">
        <v>361</v>
      </c>
      <c r="C1731" s="6" t="s">
        <v>4076</v>
      </c>
      <c r="D1731" s="6" t="s">
        <v>4077</v>
      </c>
      <c r="E1731" s="6" t="s">
        <v>4078</v>
      </c>
      <c r="F1731" s="6" t="s">
        <v>4070</v>
      </c>
      <c r="G1731" s="3" t="s">
        <v>11450</v>
      </c>
      <c r="H1731" s="54">
        <v>0</v>
      </c>
      <c r="I1731" s="16">
        <v>470000000</v>
      </c>
      <c r="J1731" s="157" t="s">
        <v>229</v>
      </c>
      <c r="K1731" s="5" t="s">
        <v>8309</v>
      </c>
      <c r="L1731" s="17" t="s">
        <v>11411</v>
      </c>
      <c r="M1731" s="3" t="s">
        <v>230</v>
      </c>
      <c r="N1731" s="6" t="s">
        <v>524</v>
      </c>
      <c r="O1731" s="6" t="s">
        <v>233</v>
      </c>
      <c r="P1731" s="58" t="s">
        <v>247</v>
      </c>
      <c r="Q1731" s="6" t="s">
        <v>240</v>
      </c>
      <c r="R1731" s="249">
        <v>3</v>
      </c>
      <c r="S1731" s="2">
        <v>445400</v>
      </c>
      <c r="T1731" s="4">
        <v>0</v>
      </c>
      <c r="U1731" s="4">
        <f t="shared" si="58"/>
        <v>0</v>
      </c>
      <c r="V1731" s="3"/>
      <c r="W1731" s="3">
        <v>2014</v>
      </c>
      <c r="X1731" s="3" t="s">
        <v>18204</v>
      </c>
    </row>
    <row r="1732" spans="1:24" ht="102">
      <c r="A1732" s="3" t="s">
        <v>17893</v>
      </c>
      <c r="B1732" s="6" t="s">
        <v>361</v>
      </c>
      <c r="C1732" s="6" t="s">
        <v>4076</v>
      </c>
      <c r="D1732" s="6" t="s">
        <v>4077</v>
      </c>
      <c r="E1732" s="6" t="s">
        <v>4078</v>
      </c>
      <c r="F1732" s="6" t="s">
        <v>4070</v>
      </c>
      <c r="G1732" s="3" t="s">
        <v>11450</v>
      </c>
      <c r="H1732" s="54">
        <v>0</v>
      </c>
      <c r="I1732" s="16">
        <v>470000000</v>
      </c>
      <c r="J1732" s="157" t="s">
        <v>229</v>
      </c>
      <c r="K1732" s="5" t="s">
        <v>8309</v>
      </c>
      <c r="L1732" s="17" t="s">
        <v>11411</v>
      </c>
      <c r="M1732" s="3" t="s">
        <v>230</v>
      </c>
      <c r="N1732" s="6" t="s">
        <v>8914</v>
      </c>
      <c r="O1732" s="6" t="s">
        <v>233</v>
      </c>
      <c r="P1732" s="58" t="s">
        <v>247</v>
      </c>
      <c r="Q1732" s="6" t="s">
        <v>240</v>
      </c>
      <c r="R1732" s="249">
        <v>3.1</v>
      </c>
      <c r="S1732" s="2">
        <v>445400</v>
      </c>
      <c r="T1732" s="4">
        <f>R1732*S1732</f>
        <v>1380740</v>
      </c>
      <c r="U1732" s="4">
        <f t="shared" si="58"/>
        <v>1546428.8</v>
      </c>
      <c r="V1732" s="3"/>
      <c r="W1732" s="3">
        <v>2014</v>
      </c>
      <c r="X1732" s="158"/>
    </row>
    <row r="1733" spans="1:24" ht="102">
      <c r="A1733" s="3" t="s">
        <v>1240</v>
      </c>
      <c r="B1733" s="6" t="s">
        <v>361</v>
      </c>
      <c r="C1733" s="6" t="s">
        <v>4079</v>
      </c>
      <c r="D1733" s="6" t="s">
        <v>4080</v>
      </c>
      <c r="E1733" s="6" t="s">
        <v>4081</v>
      </c>
      <c r="F1733" s="6" t="s">
        <v>4071</v>
      </c>
      <c r="G1733" s="3" t="s">
        <v>11449</v>
      </c>
      <c r="H1733" s="54">
        <v>1</v>
      </c>
      <c r="I1733" s="16">
        <v>470000000</v>
      </c>
      <c r="J1733" s="157" t="s">
        <v>229</v>
      </c>
      <c r="K1733" s="5" t="s">
        <v>223</v>
      </c>
      <c r="L1733" s="6" t="s">
        <v>231</v>
      </c>
      <c r="M1733" s="3" t="s">
        <v>230</v>
      </c>
      <c r="N1733" s="6" t="s">
        <v>7685</v>
      </c>
      <c r="O1733" s="6" t="s">
        <v>233</v>
      </c>
      <c r="P1733" s="58" t="s">
        <v>250</v>
      </c>
      <c r="Q1733" s="6" t="s">
        <v>251</v>
      </c>
      <c r="R1733" s="4">
        <v>9200</v>
      </c>
      <c r="S1733" s="2">
        <v>1500</v>
      </c>
      <c r="T1733" s="4">
        <v>0</v>
      </c>
      <c r="U1733" s="4">
        <f t="shared" si="58"/>
        <v>0</v>
      </c>
      <c r="V1733" s="3" t="s">
        <v>362</v>
      </c>
      <c r="W1733" s="3">
        <v>2014</v>
      </c>
      <c r="X1733" s="3">
        <v>11.12</v>
      </c>
    </row>
    <row r="1734" spans="1:24" ht="89.25">
      <c r="A1734" s="3" t="s">
        <v>11892</v>
      </c>
      <c r="B1734" s="6" t="s">
        <v>361</v>
      </c>
      <c r="C1734" s="6" t="s">
        <v>4079</v>
      </c>
      <c r="D1734" s="6" t="s">
        <v>4080</v>
      </c>
      <c r="E1734" s="6" t="s">
        <v>4081</v>
      </c>
      <c r="F1734" s="6" t="s">
        <v>4071</v>
      </c>
      <c r="G1734" s="3" t="s">
        <v>11449</v>
      </c>
      <c r="H1734" s="54">
        <v>1</v>
      </c>
      <c r="I1734" s="16">
        <v>470000000</v>
      </c>
      <c r="J1734" s="157" t="s">
        <v>229</v>
      </c>
      <c r="K1734" s="5" t="s">
        <v>11893</v>
      </c>
      <c r="L1734" s="17" t="s">
        <v>11411</v>
      </c>
      <c r="M1734" s="3" t="s">
        <v>230</v>
      </c>
      <c r="N1734" s="6" t="s">
        <v>7685</v>
      </c>
      <c r="O1734" s="6" t="s">
        <v>233</v>
      </c>
      <c r="P1734" s="58" t="s">
        <v>250</v>
      </c>
      <c r="Q1734" s="6" t="s">
        <v>251</v>
      </c>
      <c r="R1734" s="4">
        <v>9200</v>
      </c>
      <c r="S1734" s="2">
        <v>1500</v>
      </c>
      <c r="T1734" s="4">
        <v>0</v>
      </c>
      <c r="U1734" s="4">
        <f t="shared" si="58"/>
        <v>0</v>
      </c>
      <c r="V1734" s="3" t="s">
        <v>362</v>
      </c>
      <c r="W1734" s="3">
        <v>2014</v>
      </c>
      <c r="X1734" s="3" t="s">
        <v>12313</v>
      </c>
    </row>
    <row r="1735" spans="1:24" ht="89.25">
      <c r="A1735" s="3" t="s">
        <v>12364</v>
      </c>
      <c r="B1735" s="6" t="s">
        <v>361</v>
      </c>
      <c r="C1735" s="6" t="s">
        <v>4079</v>
      </c>
      <c r="D1735" s="6" t="s">
        <v>4080</v>
      </c>
      <c r="E1735" s="6" t="s">
        <v>4081</v>
      </c>
      <c r="F1735" s="6" t="s">
        <v>4071</v>
      </c>
      <c r="G1735" s="3" t="s">
        <v>11449</v>
      </c>
      <c r="H1735" s="54">
        <v>1</v>
      </c>
      <c r="I1735" s="16">
        <v>470000000</v>
      </c>
      <c r="J1735" s="157" t="s">
        <v>229</v>
      </c>
      <c r="K1735" s="5" t="s">
        <v>12314</v>
      </c>
      <c r="L1735" s="6" t="s">
        <v>12251</v>
      </c>
      <c r="M1735" s="3" t="s">
        <v>12250</v>
      </c>
      <c r="N1735" s="6" t="s">
        <v>7685</v>
      </c>
      <c r="O1735" s="6" t="s">
        <v>233</v>
      </c>
      <c r="P1735" s="58" t="s">
        <v>250</v>
      </c>
      <c r="Q1735" s="6" t="s">
        <v>251</v>
      </c>
      <c r="R1735" s="4">
        <v>9200</v>
      </c>
      <c r="S1735" s="2">
        <v>1500</v>
      </c>
      <c r="T1735" s="4">
        <v>0</v>
      </c>
      <c r="U1735" s="4">
        <f t="shared" si="58"/>
        <v>0</v>
      </c>
      <c r="V1735" s="3" t="s">
        <v>362</v>
      </c>
      <c r="W1735" s="3">
        <v>2014</v>
      </c>
      <c r="X1735" s="3" t="s">
        <v>14132</v>
      </c>
    </row>
    <row r="1736" spans="1:24" ht="89.25">
      <c r="A1736" s="3" t="s">
        <v>14845</v>
      </c>
      <c r="B1736" s="6" t="s">
        <v>361</v>
      </c>
      <c r="C1736" s="6" t="s">
        <v>4079</v>
      </c>
      <c r="D1736" s="6" t="s">
        <v>4080</v>
      </c>
      <c r="E1736" s="6" t="s">
        <v>4081</v>
      </c>
      <c r="F1736" s="6" t="s">
        <v>4071</v>
      </c>
      <c r="G1736" s="3" t="s">
        <v>11449</v>
      </c>
      <c r="H1736" s="54">
        <v>1</v>
      </c>
      <c r="I1736" s="16">
        <v>470000000</v>
      </c>
      <c r="J1736" s="157" t="s">
        <v>229</v>
      </c>
      <c r="K1736" s="5" t="s">
        <v>12314</v>
      </c>
      <c r="L1736" s="6" t="s">
        <v>12251</v>
      </c>
      <c r="M1736" s="3" t="s">
        <v>12250</v>
      </c>
      <c r="N1736" s="6" t="s">
        <v>7685</v>
      </c>
      <c r="O1736" s="6" t="s">
        <v>233</v>
      </c>
      <c r="P1736" s="58" t="s">
        <v>250</v>
      </c>
      <c r="Q1736" s="6" t="s">
        <v>251</v>
      </c>
      <c r="R1736" s="4">
        <v>5000</v>
      </c>
      <c r="S1736" s="2">
        <v>1270</v>
      </c>
      <c r="T1736" s="4">
        <f>R1736*S1736</f>
        <v>6350000</v>
      </c>
      <c r="U1736" s="4">
        <f t="shared" si="58"/>
        <v>7112000.0000000009</v>
      </c>
      <c r="V1736" s="3" t="s">
        <v>362</v>
      </c>
      <c r="W1736" s="3">
        <v>2014</v>
      </c>
      <c r="X1736" s="158"/>
    </row>
    <row r="1737" spans="1:24" ht="102">
      <c r="A1737" s="3" t="s">
        <v>1241</v>
      </c>
      <c r="B1737" s="6" t="s">
        <v>361</v>
      </c>
      <c r="C1737" s="6" t="s">
        <v>4082</v>
      </c>
      <c r="D1737" s="6" t="s">
        <v>4083</v>
      </c>
      <c r="E1737" s="6" t="s">
        <v>4084</v>
      </c>
      <c r="F1737" s="6" t="s">
        <v>4072</v>
      </c>
      <c r="G1737" s="3" t="s">
        <v>11450</v>
      </c>
      <c r="H1737" s="54">
        <v>0.6</v>
      </c>
      <c r="I1737" s="16">
        <v>470000000</v>
      </c>
      <c r="J1737" s="157" t="s">
        <v>229</v>
      </c>
      <c r="K1737" s="5" t="s">
        <v>210</v>
      </c>
      <c r="L1737" s="6" t="s">
        <v>231</v>
      </c>
      <c r="M1737" s="3" t="s">
        <v>230</v>
      </c>
      <c r="N1737" s="6" t="s">
        <v>524</v>
      </c>
      <c r="O1737" s="6" t="s">
        <v>233</v>
      </c>
      <c r="P1737" s="58" t="s">
        <v>241</v>
      </c>
      <c r="Q1737" s="6" t="s">
        <v>234</v>
      </c>
      <c r="R1737" s="18">
        <v>298</v>
      </c>
      <c r="S1737" s="2">
        <v>14200</v>
      </c>
      <c r="T1737" s="4">
        <v>0</v>
      </c>
      <c r="U1737" s="4">
        <f t="shared" si="58"/>
        <v>0</v>
      </c>
      <c r="V1737" s="3" t="s">
        <v>362</v>
      </c>
      <c r="W1737" s="3">
        <v>2014</v>
      </c>
      <c r="X1737" s="3" t="s">
        <v>14846</v>
      </c>
    </row>
    <row r="1738" spans="1:24" ht="89.25">
      <c r="A1738" s="3" t="s">
        <v>14847</v>
      </c>
      <c r="B1738" s="6" t="s">
        <v>361</v>
      </c>
      <c r="C1738" s="6" t="s">
        <v>4082</v>
      </c>
      <c r="D1738" s="6" t="s">
        <v>4083</v>
      </c>
      <c r="E1738" s="6" t="s">
        <v>4084</v>
      </c>
      <c r="F1738" s="6" t="s">
        <v>4072</v>
      </c>
      <c r="G1738" s="3" t="s">
        <v>11450</v>
      </c>
      <c r="H1738" s="54">
        <v>0.6</v>
      </c>
      <c r="I1738" s="16">
        <v>470000000</v>
      </c>
      <c r="J1738" s="157" t="s">
        <v>229</v>
      </c>
      <c r="K1738" s="5" t="s">
        <v>14848</v>
      </c>
      <c r="L1738" s="17" t="s">
        <v>11411</v>
      </c>
      <c r="M1738" s="3" t="s">
        <v>230</v>
      </c>
      <c r="N1738" s="6" t="s">
        <v>524</v>
      </c>
      <c r="O1738" s="6" t="s">
        <v>233</v>
      </c>
      <c r="P1738" s="58" t="s">
        <v>241</v>
      </c>
      <c r="Q1738" s="6" t="s">
        <v>234</v>
      </c>
      <c r="R1738" s="18">
        <v>298</v>
      </c>
      <c r="S1738" s="2">
        <v>13299.71</v>
      </c>
      <c r="T1738" s="4">
        <v>0</v>
      </c>
      <c r="U1738" s="4">
        <f t="shared" si="58"/>
        <v>0</v>
      </c>
      <c r="V1738" s="3" t="s">
        <v>362</v>
      </c>
      <c r="W1738" s="3">
        <v>2014</v>
      </c>
      <c r="X1738" s="3" t="s">
        <v>16521</v>
      </c>
    </row>
    <row r="1739" spans="1:24" ht="89.25">
      <c r="A1739" s="3" t="s">
        <v>17890</v>
      </c>
      <c r="B1739" s="6" t="s">
        <v>361</v>
      </c>
      <c r="C1739" s="6" t="s">
        <v>4082</v>
      </c>
      <c r="D1739" s="6" t="s">
        <v>4083</v>
      </c>
      <c r="E1739" s="6" t="s">
        <v>4084</v>
      </c>
      <c r="F1739" s="6" t="s">
        <v>4072</v>
      </c>
      <c r="G1739" s="3" t="s">
        <v>11450</v>
      </c>
      <c r="H1739" s="54">
        <v>0.6</v>
      </c>
      <c r="I1739" s="16">
        <v>470000000</v>
      </c>
      <c r="J1739" s="157" t="s">
        <v>229</v>
      </c>
      <c r="K1739" s="5" t="s">
        <v>222</v>
      </c>
      <c r="L1739" s="17" t="s">
        <v>11411</v>
      </c>
      <c r="M1739" s="3" t="s">
        <v>230</v>
      </c>
      <c r="N1739" s="6" t="s">
        <v>8914</v>
      </c>
      <c r="O1739" s="6" t="s">
        <v>233</v>
      </c>
      <c r="P1739" s="58" t="s">
        <v>241</v>
      </c>
      <c r="Q1739" s="6" t="s">
        <v>234</v>
      </c>
      <c r="R1739" s="18">
        <v>298</v>
      </c>
      <c r="S1739" s="2">
        <v>14200</v>
      </c>
      <c r="T1739" s="4">
        <f>R1739*S1739</f>
        <v>4231600</v>
      </c>
      <c r="U1739" s="4">
        <f t="shared" si="58"/>
        <v>4739392</v>
      </c>
      <c r="V1739" s="3" t="s">
        <v>362</v>
      </c>
      <c r="W1739" s="3">
        <v>2014</v>
      </c>
      <c r="X1739" s="158"/>
    </row>
    <row r="1740" spans="1:24" ht="102">
      <c r="A1740" s="3" t="s">
        <v>1242</v>
      </c>
      <c r="B1740" s="6" t="s">
        <v>361</v>
      </c>
      <c r="C1740" s="6" t="s">
        <v>4087</v>
      </c>
      <c r="D1740" s="6" t="s">
        <v>4088</v>
      </c>
      <c r="E1740" s="6" t="s">
        <v>4089</v>
      </c>
      <c r="F1740" s="6" t="s">
        <v>206</v>
      </c>
      <c r="G1740" s="3" t="s">
        <v>11450</v>
      </c>
      <c r="H1740" s="54">
        <v>0</v>
      </c>
      <c r="I1740" s="16">
        <v>470000000</v>
      </c>
      <c r="J1740" s="157" t="s">
        <v>229</v>
      </c>
      <c r="K1740" s="5" t="s">
        <v>210</v>
      </c>
      <c r="L1740" s="6" t="s">
        <v>231</v>
      </c>
      <c r="M1740" s="3" t="s">
        <v>230</v>
      </c>
      <c r="N1740" s="6" t="s">
        <v>526</v>
      </c>
      <c r="O1740" s="6" t="s">
        <v>233</v>
      </c>
      <c r="P1740" s="58" t="s">
        <v>241</v>
      </c>
      <c r="Q1740" s="6" t="s">
        <v>234</v>
      </c>
      <c r="R1740" s="19">
        <v>8</v>
      </c>
      <c r="S1740" s="2">
        <v>214285.71</v>
      </c>
      <c r="T1740" s="4">
        <v>0</v>
      </c>
      <c r="U1740" s="4">
        <f t="shared" si="58"/>
        <v>0</v>
      </c>
      <c r="V1740" s="3"/>
      <c r="W1740" s="3">
        <v>2014</v>
      </c>
      <c r="X1740" s="3">
        <v>11.12</v>
      </c>
    </row>
    <row r="1741" spans="1:24" ht="89.25">
      <c r="A1741" s="3" t="s">
        <v>12365</v>
      </c>
      <c r="B1741" s="6" t="s">
        <v>361</v>
      </c>
      <c r="C1741" s="6" t="s">
        <v>4087</v>
      </c>
      <c r="D1741" s="6" t="s">
        <v>4088</v>
      </c>
      <c r="E1741" s="6" t="s">
        <v>4089</v>
      </c>
      <c r="F1741" s="6" t="s">
        <v>206</v>
      </c>
      <c r="G1741" s="3" t="s">
        <v>11450</v>
      </c>
      <c r="H1741" s="54">
        <v>0</v>
      </c>
      <c r="I1741" s="16">
        <v>470000000</v>
      </c>
      <c r="J1741" s="157" t="s">
        <v>229</v>
      </c>
      <c r="K1741" s="5" t="s">
        <v>12120</v>
      </c>
      <c r="L1741" s="17" t="s">
        <v>11411</v>
      </c>
      <c r="M1741" s="3" t="s">
        <v>230</v>
      </c>
      <c r="N1741" s="6" t="s">
        <v>526</v>
      </c>
      <c r="O1741" s="6" t="s">
        <v>233</v>
      </c>
      <c r="P1741" s="58" t="s">
        <v>241</v>
      </c>
      <c r="Q1741" s="6" t="s">
        <v>234</v>
      </c>
      <c r="R1741" s="19">
        <v>8</v>
      </c>
      <c r="S1741" s="2">
        <v>214285.71</v>
      </c>
      <c r="T1741" s="4">
        <v>0</v>
      </c>
      <c r="U1741" s="4">
        <f t="shared" si="58"/>
        <v>0</v>
      </c>
      <c r="V1741" s="3"/>
      <c r="W1741" s="3">
        <v>2014</v>
      </c>
      <c r="X1741" s="3" t="s">
        <v>14780</v>
      </c>
    </row>
    <row r="1742" spans="1:24" ht="89.25">
      <c r="A1742" s="3" t="s">
        <v>16363</v>
      </c>
      <c r="B1742" s="6" t="s">
        <v>361</v>
      </c>
      <c r="C1742" s="6" t="s">
        <v>4087</v>
      </c>
      <c r="D1742" s="6" t="s">
        <v>4088</v>
      </c>
      <c r="E1742" s="6" t="s">
        <v>4089</v>
      </c>
      <c r="F1742" s="6" t="s">
        <v>206</v>
      </c>
      <c r="G1742" s="3" t="s">
        <v>11450</v>
      </c>
      <c r="H1742" s="54">
        <v>0</v>
      </c>
      <c r="I1742" s="16">
        <v>470000000</v>
      </c>
      <c r="J1742" s="157" t="s">
        <v>229</v>
      </c>
      <c r="K1742" s="5" t="s">
        <v>14653</v>
      </c>
      <c r="L1742" s="17" t="s">
        <v>11411</v>
      </c>
      <c r="M1742" s="3" t="s">
        <v>230</v>
      </c>
      <c r="N1742" s="6" t="s">
        <v>526</v>
      </c>
      <c r="O1742" s="6" t="s">
        <v>233</v>
      </c>
      <c r="P1742" s="58" t="s">
        <v>241</v>
      </c>
      <c r="Q1742" s="6" t="s">
        <v>234</v>
      </c>
      <c r="R1742" s="19">
        <v>9</v>
      </c>
      <c r="S1742" s="2">
        <v>214285.71</v>
      </c>
      <c r="T1742" s="4">
        <f>R1742*S1742</f>
        <v>1928571.39</v>
      </c>
      <c r="U1742" s="4">
        <f t="shared" si="58"/>
        <v>2159999.9568000003</v>
      </c>
      <c r="V1742" s="3"/>
      <c r="W1742" s="3">
        <v>2014</v>
      </c>
      <c r="X1742" s="158"/>
    </row>
    <row r="1743" spans="1:24" ht="204">
      <c r="A1743" s="3" t="s">
        <v>1243</v>
      </c>
      <c r="B1743" s="6" t="s">
        <v>361</v>
      </c>
      <c r="C1743" s="6" t="s">
        <v>4090</v>
      </c>
      <c r="D1743" s="6" t="s">
        <v>4088</v>
      </c>
      <c r="E1743" s="6" t="s">
        <v>4091</v>
      </c>
      <c r="F1743" s="6" t="s">
        <v>4085</v>
      </c>
      <c r="G1743" s="3" t="s">
        <v>11449</v>
      </c>
      <c r="H1743" s="54">
        <v>0.6</v>
      </c>
      <c r="I1743" s="16">
        <v>470000000</v>
      </c>
      <c r="J1743" s="157" t="s">
        <v>229</v>
      </c>
      <c r="K1743" s="5" t="s">
        <v>215</v>
      </c>
      <c r="L1743" s="6" t="s">
        <v>231</v>
      </c>
      <c r="M1743" s="3" t="s">
        <v>230</v>
      </c>
      <c r="N1743" s="6" t="s">
        <v>526</v>
      </c>
      <c r="O1743" s="6" t="s">
        <v>233</v>
      </c>
      <c r="P1743" s="58" t="s">
        <v>242</v>
      </c>
      <c r="Q1743" s="6" t="s">
        <v>239</v>
      </c>
      <c r="R1743" s="19">
        <v>1</v>
      </c>
      <c r="S1743" s="2">
        <v>7390000</v>
      </c>
      <c r="T1743" s="4">
        <v>0</v>
      </c>
      <c r="U1743" s="4">
        <f t="shared" si="58"/>
        <v>0</v>
      </c>
      <c r="V1743" s="3" t="s">
        <v>362</v>
      </c>
      <c r="W1743" s="3">
        <v>2014</v>
      </c>
      <c r="X1743" s="3">
        <v>11.12</v>
      </c>
    </row>
    <row r="1744" spans="1:24" ht="204">
      <c r="A1744" s="3" t="s">
        <v>18416</v>
      </c>
      <c r="B1744" s="6" t="s">
        <v>361</v>
      </c>
      <c r="C1744" s="6" t="s">
        <v>4090</v>
      </c>
      <c r="D1744" s="6" t="s">
        <v>4088</v>
      </c>
      <c r="E1744" s="6" t="s">
        <v>4091</v>
      </c>
      <c r="F1744" s="6" t="s">
        <v>4085</v>
      </c>
      <c r="G1744" s="3" t="s">
        <v>11449</v>
      </c>
      <c r="H1744" s="54">
        <v>0.6</v>
      </c>
      <c r="I1744" s="16">
        <v>470000000</v>
      </c>
      <c r="J1744" s="157" t="s">
        <v>229</v>
      </c>
      <c r="K1744" s="5" t="s">
        <v>217</v>
      </c>
      <c r="L1744" s="6" t="s">
        <v>231</v>
      </c>
      <c r="M1744" s="3" t="s">
        <v>230</v>
      </c>
      <c r="N1744" s="6" t="s">
        <v>526</v>
      </c>
      <c r="O1744" s="6" t="s">
        <v>233</v>
      </c>
      <c r="P1744" s="58" t="s">
        <v>242</v>
      </c>
      <c r="Q1744" s="6" t="s">
        <v>239</v>
      </c>
      <c r="R1744" s="19">
        <v>1</v>
      </c>
      <c r="S1744" s="2">
        <v>7390000</v>
      </c>
      <c r="T1744" s="4">
        <f>R1744*S1744</f>
        <v>7390000</v>
      </c>
      <c r="U1744" s="4">
        <f>T1744*1.12</f>
        <v>8276800.0000000009</v>
      </c>
      <c r="V1744" s="3" t="s">
        <v>362</v>
      </c>
      <c r="W1744" s="3">
        <v>2014</v>
      </c>
      <c r="X1744" s="3"/>
    </row>
    <row r="1745" spans="1:24" ht="369.75">
      <c r="A1745" s="3" t="s">
        <v>1244</v>
      </c>
      <c r="B1745" s="6" t="s">
        <v>361</v>
      </c>
      <c r="C1745" s="6" t="s">
        <v>4092</v>
      </c>
      <c r="D1745" s="6" t="s">
        <v>4088</v>
      </c>
      <c r="E1745" s="6" t="s">
        <v>4093</v>
      </c>
      <c r="F1745" s="6" t="s">
        <v>4086</v>
      </c>
      <c r="G1745" s="3" t="s">
        <v>11449</v>
      </c>
      <c r="H1745" s="54">
        <v>0.6</v>
      </c>
      <c r="I1745" s="16">
        <v>470000000</v>
      </c>
      <c r="J1745" s="157" t="s">
        <v>229</v>
      </c>
      <c r="K1745" s="5" t="s">
        <v>641</v>
      </c>
      <c r="L1745" s="6" t="s">
        <v>231</v>
      </c>
      <c r="M1745" s="3" t="s">
        <v>230</v>
      </c>
      <c r="N1745" s="6" t="s">
        <v>526</v>
      </c>
      <c r="O1745" s="6" t="s">
        <v>233</v>
      </c>
      <c r="P1745" s="58" t="s">
        <v>242</v>
      </c>
      <c r="Q1745" s="6" t="s">
        <v>239</v>
      </c>
      <c r="R1745" s="19">
        <v>2</v>
      </c>
      <c r="S1745" s="2">
        <v>55000000</v>
      </c>
      <c r="T1745" s="4">
        <v>0</v>
      </c>
      <c r="U1745" s="4">
        <f t="shared" si="58"/>
        <v>0</v>
      </c>
      <c r="V1745" s="3" t="s">
        <v>362</v>
      </c>
      <c r="W1745" s="3">
        <v>2014</v>
      </c>
      <c r="X1745" s="3">
        <v>11.12</v>
      </c>
    </row>
    <row r="1746" spans="1:24" ht="369.75">
      <c r="A1746" s="3" t="s">
        <v>12434</v>
      </c>
      <c r="B1746" s="6" t="s">
        <v>361</v>
      </c>
      <c r="C1746" s="6" t="s">
        <v>4092</v>
      </c>
      <c r="D1746" s="6" t="s">
        <v>4088</v>
      </c>
      <c r="E1746" s="6" t="s">
        <v>4093</v>
      </c>
      <c r="F1746" s="6" t="s">
        <v>4086</v>
      </c>
      <c r="G1746" s="3" t="s">
        <v>11449</v>
      </c>
      <c r="H1746" s="54">
        <v>0.6</v>
      </c>
      <c r="I1746" s="16">
        <v>470000000</v>
      </c>
      <c r="J1746" s="157" t="s">
        <v>229</v>
      </c>
      <c r="K1746" s="5" t="s">
        <v>12252</v>
      </c>
      <c r="L1746" s="17" t="s">
        <v>11411</v>
      </c>
      <c r="M1746" s="3" t="s">
        <v>230</v>
      </c>
      <c r="N1746" s="6" t="s">
        <v>526</v>
      </c>
      <c r="O1746" s="6" t="s">
        <v>233</v>
      </c>
      <c r="P1746" s="58" t="s">
        <v>242</v>
      </c>
      <c r="Q1746" s="6" t="s">
        <v>239</v>
      </c>
      <c r="R1746" s="19">
        <v>2</v>
      </c>
      <c r="S1746" s="2">
        <v>55000000</v>
      </c>
      <c r="T1746" s="4">
        <v>0</v>
      </c>
      <c r="U1746" s="4">
        <f t="shared" si="58"/>
        <v>0</v>
      </c>
      <c r="V1746" s="3" t="s">
        <v>362</v>
      </c>
      <c r="W1746" s="3">
        <v>2014</v>
      </c>
      <c r="X1746" s="3">
        <v>11</v>
      </c>
    </row>
    <row r="1747" spans="1:24" ht="369.75">
      <c r="A1747" s="3" t="s">
        <v>14849</v>
      </c>
      <c r="B1747" s="6" t="s">
        <v>361</v>
      </c>
      <c r="C1747" s="6" t="s">
        <v>4092</v>
      </c>
      <c r="D1747" s="6" t="s">
        <v>4088</v>
      </c>
      <c r="E1747" s="6" t="s">
        <v>4093</v>
      </c>
      <c r="F1747" s="6" t="s">
        <v>4086</v>
      </c>
      <c r="G1747" s="3" t="s">
        <v>11449</v>
      </c>
      <c r="H1747" s="54">
        <v>0.6</v>
      </c>
      <c r="I1747" s="16">
        <v>470000000</v>
      </c>
      <c r="J1747" s="157" t="s">
        <v>229</v>
      </c>
      <c r="K1747" s="5" t="s">
        <v>14850</v>
      </c>
      <c r="L1747" s="17" t="s">
        <v>11411</v>
      </c>
      <c r="M1747" s="3" t="s">
        <v>230</v>
      </c>
      <c r="N1747" s="6" t="s">
        <v>526</v>
      </c>
      <c r="O1747" s="6" t="s">
        <v>233</v>
      </c>
      <c r="P1747" s="58" t="s">
        <v>242</v>
      </c>
      <c r="Q1747" s="6" t="s">
        <v>239</v>
      </c>
      <c r="R1747" s="19">
        <v>2</v>
      </c>
      <c r="S1747" s="2">
        <v>54750000</v>
      </c>
      <c r="T1747" s="4">
        <f>R1747*S1747</f>
        <v>109500000</v>
      </c>
      <c r="U1747" s="4">
        <f t="shared" si="58"/>
        <v>122640000.00000001</v>
      </c>
      <c r="V1747" s="3" t="s">
        <v>362</v>
      </c>
      <c r="W1747" s="3">
        <v>2014</v>
      </c>
      <c r="X1747" s="158"/>
    </row>
    <row r="1748" spans="1:24" ht="102">
      <c r="A1748" s="3" t="s">
        <v>1245</v>
      </c>
      <c r="B1748" s="6" t="s">
        <v>361</v>
      </c>
      <c r="C1748" s="6" t="s">
        <v>4094</v>
      </c>
      <c r="D1748" s="6" t="s">
        <v>4095</v>
      </c>
      <c r="E1748" s="6" t="s">
        <v>4096</v>
      </c>
      <c r="F1748" s="6" t="s">
        <v>207</v>
      </c>
      <c r="G1748" s="3" t="s">
        <v>11450</v>
      </c>
      <c r="H1748" s="54">
        <v>0</v>
      </c>
      <c r="I1748" s="16">
        <v>470000000</v>
      </c>
      <c r="J1748" s="157" t="s">
        <v>229</v>
      </c>
      <c r="K1748" s="5" t="s">
        <v>211</v>
      </c>
      <c r="L1748" s="6" t="s">
        <v>231</v>
      </c>
      <c r="M1748" s="3" t="s">
        <v>230</v>
      </c>
      <c r="N1748" s="6" t="s">
        <v>524</v>
      </c>
      <c r="O1748" s="6" t="s">
        <v>233</v>
      </c>
      <c r="P1748" s="58" t="s">
        <v>241</v>
      </c>
      <c r="Q1748" s="6" t="s">
        <v>234</v>
      </c>
      <c r="R1748" s="19">
        <v>109</v>
      </c>
      <c r="S1748" s="2">
        <v>2600</v>
      </c>
      <c r="T1748" s="4">
        <v>0</v>
      </c>
      <c r="U1748" s="4">
        <f t="shared" si="58"/>
        <v>0</v>
      </c>
      <c r="V1748" s="3"/>
      <c r="W1748" s="3">
        <v>2014</v>
      </c>
      <c r="X1748" s="3" t="s">
        <v>14851</v>
      </c>
    </row>
    <row r="1749" spans="1:24" ht="89.25">
      <c r="A1749" s="3" t="s">
        <v>14852</v>
      </c>
      <c r="B1749" s="6" t="s">
        <v>361</v>
      </c>
      <c r="C1749" s="6" t="s">
        <v>4094</v>
      </c>
      <c r="D1749" s="6" t="s">
        <v>4095</v>
      </c>
      <c r="E1749" s="6" t="s">
        <v>4096</v>
      </c>
      <c r="F1749" s="6" t="s">
        <v>207</v>
      </c>
      <c r="G1749" s="3" t="s">
        <v>11450</v>
      </c>
      <c r="H1749" s="54">
        <v>0</v>
      </c>
      <c r="I1749" s="16">
        <v>470000000</v>
      </c>
      <c r="J1749" s="157" t="s">
        <v>229</v>
      </c>
      <c r="K1749" s="5" t="s">
        <v>211</v>
      </c>
      <c r="L1749" s="17" t="s">
        <v>11411</v>
      </c>
      <c r="M1749" s="3" t="s">
        <v>230</v>
      </c>
      <c r="N1749" s="6" t="s">
        <v>524</v>
      </c>
      <c r="O1749" s="6" t="s">
        <v>14853</v>
      </c>
      <c r="P1749" s="58" t="s">
        <v>241</v>
      </c>
      <c r="Q1749" s="6" t="s">
        <v>234</v>
      </c>
      <c r="R1749" s="19">
        <v>12</v>
      </c>
      <c r="S1749" s="2">
        <v>3120</v>
      </c>
      <c r="T1749" s="4">
        <v>0</v>
      </c>
      <c r="U1749" s="4">
        <f t="shared" si="58"/>
        <v>0</v>
      </c>
      <c r="V1749" s="3"/>
      <c r="W1749" s="3">
        <v>2014</v>
      </c>
      <c r="X1749" s="3" t="s">
        <v>12076</v>
      </c>
    </row>
    <row r="1750" spans="1:24" ht="204">
      <c r="A1750" s="3" t="s">
        <v>1246</v>
      </c>
      <c r="B1750" s="6" t="s">
        <v>361</v>
      </c>
      <c r="C1750" s="6" t="s">
        <v>4098</v>
      </c>
      <c r="D1750" s="6" t="s">
        <v>4099</v>
      </c>
      <c r="E1750" s="6" t="s">
        <v>4100</v>
      </c>
      <c r="F1750" s="6" t="s">
        <v>4101</v>
      </c>
      <c r="G1750" s="3" t="s">
        <v>11450</v>
      </c>
      <c r="H1750" s="54">
        <v>0</v>
      </c>
      <c r="I1750" s="16">
        <v>470000000</v>
      </c>
      <c r="J1750" s="157" t="s">
        <v>229</v>
      </c>
      <c r="K1750" s="5" t="s">
        <v>211</v>
      </c>
      <c r="L1750" s="6" t="s">
        <v>231</v>
      </c>
      <c r="M1750" s="3" t="s">
        <v>230</v>
      </c>
      <c r="N1750" s="6" t="s">
        <v>524</v>
      </c>
      <c r="O1750" s="6" t="s">
        <v>233</v>
      </c>
      <c r="P1750" s="58" t="s">
        <v>241</v>
      </c>
      <c r="Q1750" s="6" t="s">
        <v>234</v>
      </c>
      <c r="R1750" s="19">
        <v>0</v>
      </c>
      <c r="S1750" s="2">
        <v>6000</v>
      </c>
      <c r="T1750" s="4">
        <f>R1750*S1750</f>
        <v>0</v>
      </c>
      <c r="U1750" s="4">
        <f t="shared" si="58"/>
        <v>0</v>
      </c>
      <c r="V1750" s="3"/>
      <c r="W1750" s="3">
        <v>2014</v>
      </c>
      <c r="X1750" s="3" t="s">
        <v>12076</v>
      </c>
    </row>
    <row r="1751" spans="1:24" ht="102">
      <c r="A1751" s="3" t="s">
        <v>1247</v>
      </c>
      <c r="B1751" s="6" t="s">
        <v>361</v>
      </c>
      <c r="C1751" s="6" t="s">
        <v>4098</v>
      </c>
      <c r="D1751" s="6" t="s">
        <v>4099</v>
      </c>
      <c r="E1751" s="6" t="s">
        <v>4100</v>
      </c>
      <c r="F1751" s="6" t="s">
        <v>4102</v>
      </c>
      <c r="G1751" s="3" t="s">
        <v>11450</v>
      </c>
      <c r="H1751" s="54">
        <v>0</v>
      </c>
      <c r="I1751" s="16">
        <v>470000000</v>
      </c>
      <c r="J1751" s="157" t="s">
        <v>229</v>
      </c>
      <c r="K1751" s="5" t="s">
        <v>211</v>
      </c>
      <c r="L1751" s="6" t="s">
        <v>231</v>
      </c>
      <c r="M1751" s="3" t="s">
        <v>230</v>
      </c>
      <c r="N1751" s="6" t="s">
        <v>524</v>
      </c>
      <c r="O1751" s="6" t="s">
        <v>233</v>
      </c>
      <c r="P1751" s="58" t="s">
        <v>241</v>
      </c>
      <c r="Q1751" s="6" t="s">
        <v>234</v>
      </c>
      <c r="R1751" s="19">
        <v>0</v>
      </c>
      <c r="S1751" s="2">
        <v>14800</v>
      </c>
      <c r="T1751" s="4">
        <f>R1751*S1751</f>
        <v>0</v>
      </c>
      <c r="U1751" s="4">
        <f t="shared" si="58"/>
        <v>0</v>
      </c>
      <c r="V1751" s="3"/>
      <c r="W1751" s="3">
        <v>2014</v>
      </c>
      <c r="X1751" s="3" t="s">
        <v>12076</v>
      </c>
    </row>
    <row r="1752" spans="1:24" ht="153">
      <c r="A1752" s="3" t="s">
        <v>10255</v>
      </c>
      <c r="B1752" s="6" t="s">
        <v>361</v>
      </c>
      <c r="C1752" s="6" t="s">
        <v>4104</v>
      </c>
      <c r="D1752" s="6" t="s">
        <v>4099</v>
      </c>
      <c r="E1752" s="6" t="s">
        <v>4105</v>
      </c>
      <c r="F1752" s="6" t="s">
        <v>4103</v>
      </c>
      <c r="G1752" s="3" t="s">
        <v>11450</v>
      </c>
      <c r="H1752" s="54">
        <v>0</v>
      </c>
      <c r="I1752" s="16">
        <v>470000000</v>
      </c>
      <c r="J1752" s="157" t="s">
        <v>229</v>
      </c>
      <c r="K1752" s="5" t="s">
        <v>211</v>
      </c>
      <c r="L1752" s="6" t="s">
        <v>231</v>
      </c>
      <c r="M1752" s="3" t="s">
        <v>230</v>
      </c>
      <c r="N1752" s="6" t="s">
        <v>524</v>
      </c>
      <c r="O1752" s="6" t="s">
        <v>233</v>
      </c>
      <c r="P1752" s="58" t="s">
        <v>241</v>
      </c>
      <c r="Q1752" s="6" t="s">
        <v>234</v>
      </c>
      <c r="R1752" s="19">
        <v>0</v>
      </c>
      <c r="S1752" s="2">
        <v>6000</v>
      </c>
      <c r="T1752" s="4">
        <f>R1752*S1752</f>
        <v>0</v>
      </c>
      <c r="U1752" s="4">
        <f t="shared" si="58"/>
        <v>0</v>
      </c>
      <c r="V1752" s="3"/>
      <c r="W1752" s="3">
        <v>2014</v>
      </c>
      <c r="X1752" s="3" t="s">
        <v>12076</v>
      </c>
    </row>
    <row r="1753" spans="1:24" ht="165.75">
      <c r="A1753" s="3" t="s">
        <v>1248</v>
      </c>
      <c r="B1753" s="6" t="s">
        <v>361</v>
      </c>
      <c r="C1753" s="6" t="s">
        <v>4104</v>
      </c>
      <c r="D1753" s="6" t="s">
        <v>4099</v>
      </c>
      <c r="E1753" s="6" t="s">
        <v>4105</v>
      </c>
      <c r="F1753" s="6" t="s">
        <v>4106</v>
      </c>
      <c r="G1753" s="3" t="s">
        <v>11450</v>
      </c>
      <c r="H1753" s="54">
        <v>0</v>
      </c>
      <c r="I1753" s="16">
        <v>470000000</v>
      </c>
      <c r="J1753" s="157" t="s">
        <v>229</v>
      </c>
      <c r="K1753" s="5" t="s">
        <v>211</v>
      </c>
      <c r="L1753" s="6" t="s">
        <v>231</v>
      </c>
      <c r="M1753" s="3" t="s">
        <v>230</v>
      </c>
      <c r="N1753" s="6" t="s">
        <v>524</v>
      </c>
      <c r="O1753" s="6" t="s">
        <v>233</v>
      </c>
      <c r="P1753" s="58" t="s">
        <v>241</v>
      </c>
      <c r="Q1753" s="6" t="s">
        <v>234</v>
      </c>
      <c r="R1753" s="19">
        <v>26</v>
      </c>
      <c r="S1753" s="2">
        <v>6200</v>
      </c>
      <c r="T1753" s="4">
        <v>0</v>
      </c>
      <c r="U1753" s="4">
        <f t="shared" si="58"/>
        <v>0</v>
      </c>
      <c r="V1753" s="3"/>
      <c r="W1753" s="3">
        <v>2014</v>
      </c>
      <c r="X1753" s="3" t="s">
        <v>14132</v>
      </c>
    </row>
    <row r="1754" spans="1:24" ht="165.75">
      <c r="A1754" s="3" t="s">
        <v>14854</v>
      </c>
      <c r="B1754" s="6" t="s">
        <v>361</v>
      </c>
      <c r="C1754" s="6" t="s">
        <v>4104</v>
      </c>
      <c r="D1754" s="6" t="s">
        <v>4099</v>
      </c>
      <c r="E1754" s="6" t="s">
        <v>4105</v>
      </c>
      <c r="F1754" s="6" t="s">
        <v>4106</v>
      </c>
      <c r="G1754" s="3" t="s">
        <v>11450</v>
      </c>
      <c r="H1754" s="54">
        <v>0</v>
      </c>
      <c r="I1754" s="16">
        <v>470000000</v>
      </c>
      <c r="J1754" s="157" t="s">
        <v>229</v>
      </c>
      <c r="K1754" s="5" t="s">
        <v>211</v>
      </c>
      <c r="L1754" s="6" t="s">
        <v>231</v>
      </c>
      <c r="M1754" s="3" t="s">
        <v>230</v>
      </c>
      <c r="N1754" s="6" t="s">
        <v>524</v>
      </c>
      <c r="O1754" s="6" t="s">
        <v>233</v>
      </c>
      <c r="P1754" s="58" t="s">
        <v>241</v>
      </c>
      <c r="Q1754" s="6" t="s">
        <v>234</v>
      </c>
      <c r="R1754" s="19">
        <v>0</v>
      </c>
      <c r="S1754" s="2">
        <v>7440</v>
      </c>
      <c r="T1754" s="4">
        <f>R1754*S1754</f>
        <v>0</v>
      </c>
      <c r="U1754" s="4">
        <f t="shared" si="58"/>
        <v>0</v>
      </c>
      <c r="V1754" s="3"/>
      <c r="W1754" s="3">
        <v>2014</v>
      </c>
      <c r="X1754" s="3" t="s">
        <v>12076</v>
      </c>
    </row>
    <row r="1755" spans="1:24" ht="178.5">
      <c r="A1755" s="3" t="s">
        <v>1249</v>
      </c>
      <c r="B1755" s="6" t="s">
        <v>361</v>
      </c>
      <c r="C1755" s="6" t="s">
        <v>11691</v>
      </c>
      <c r="D1755" s="6" t="s">
        <v>3875</v>
      </c>
      <c r="E1755" s="6" t="s">
        <v>11692</v>
      </c>
      <c r="F1755" s="6" t="s">
        <v>4097</v>
      </c>
      <c r="G1755" s="3" t="s">
        <v>11450</v>
      </c>
      <c r="H1755" s="54">
        <v>0</v>
      </c>
      <c r="I1755" s="16">
        <v>470000000</v>
      </c>
      <c r="J1755" s="157" t="s">
        <v>229</v>
      </c>
      <c r="K1755" s="5" t="s">
        <v>211</v>
      </c>
      <c r="L1755" s="6" t="s">
        <v>231</v>
      </c>
      <c r="M1755" s="3" t="s">
        <v>230</v>
      </c>
      <c r="N1755" s="6" t="s">
        <v>524</v>
      </c>
      <c r="O1755" s="6" t="s">
        <v>233</v>
      </c>
      <c r="P1755" s="58" t="s">
        <v>237</v>
      </c>
      <c r="Q1755" s="6" t="s">
        <v>238</v>
      </c>
      <c r="R1755" s="4">
        <v>0</v>
      </c>
      <c r="S1755" s="2">
        <v>10000</v>
      </c>
      <c r="T1755" s="4">
        <f>R1755*S1755</f>
        <v>0</v>
      </c>
      <c r="U1755" s="4">
        <f t="shared" si="58"/>
        <v>0</v>
      </c>
      <c r="V1755" s="3"/>
      <c r="W1755" s="3">
        <v>2014</v>
      </c>
      <c r="X1755" s="3" t="s">
        <v>12076</v>
      </c>
    </row>
    <row r="1756" spans="1:24" ht="76.5">
      <c r="A1756" s="3" t="s">
        <v>1250</v>
      </c>
      <c r="B1756" s="15" t="s">
        <v>361</v>
      </c>
      <c r="C1756" s="16" t="s">
        <v>602</v>
      </c>
      <c r="D1756" s="16" t="s">
        <v>603</v>
      </c>
      <c r="E1756" s="16" t="s">
        <v>604</v>
      </c>
      <c r="F1756" s="6"/>
      <c r="G1756" s="79" t="s">
        <v>605</v>
      </c>
      <c r="H1756" s="67">
        <v>0.75</v>
      </c>
      <c r="I1756" s="16">
        <v>470000000</v>
      </c>
      <c r="J1756" s="56" t="s">
        <v>229</v>
      </c>
      <c r="K1756" s="162" t="s">
        <v>403</v>
      </c>
      <c r="L1756" s="16" t="s">
        <v>606</v>
      </c>
      <c r="M1756" s="162" t="s">
        <v>230</v>
      </c>
      <c r="N1756" s="80" t="s">
        <v>607</v>
      </c>
      <c r="O1756" s="6" t="s">
        <v>608</v>
      </c>
      <c r="P1756" s="79">
        <v>113</v>
      </c>
      <c r="Q1756" s="6" t="s">
        <v>609</v>
      </c>
      <c r="R1756" s="4">
        <v>37000</v>
      </c>
      <c r="S1756" s="71">
        <v>580</v>
      </c>
      <c r="T1756" s="4">
        <v>0</v>
      </c>
      <c r="U1756" s="4">
        <f t="shared" si="58"/>
        <v>0</v>
      </c>
      <c r="V1756" s="79" t="s">
        <v>610</v>
      </c>
      <c r="W1756" s="163">
        <v>2014</v>
      </c>
      <c r="X1756" s="15" t="s">
        <v>12062</v>
      </c>
    </row>
    <row r="1757" spans="1:24" ht="76.5">
      <c r="A1757" s="3" t="s">
        <v>12061</v>
      </c>
      <c r="B1757" s="15" t="s">
        <v>361</v>
      </c>
      <c r="C1757" s="16" t="s">
        <v>602</v>
      </c>
      <c r="D1757" s="16" t="s">
        <v>603</v>
      </c>
      <c r="E1757" s="16" t="s">
        <v>604</v>
      </c>
      <c r="F1757" s="6"/>
      <c r="G1757" s="79" t="s">
        <v>605</v>
      </c>
      <c r="H1757" s="67">
        <v>0.75</v>
      </c>
      <c r="I1757" s="16">
        <v>470000000</v>
      </c>
      <c r="J1757" s="56" t="s">
        <v>229</v>
      </c>
      <c r="K1757" s="162" t="s">
        <v>403</v>
      </c>
      <c r="L1757" s="16" t="s">
        <v>606</v>
      </c>
      <c r="M1757" s="162" t="s">
        <v>230</v>
      </c>
      <c r="N1757" s="80" t="s">
        <v>607</v>
      </c>
      <c r="O1757" s="6" t="s">
        <v>608</v>
      </c>
      <c r="P1757" s="79">
        <v>113</v>
      </c>
      <c r="Q1757" s="6" t="s">
        <v>609</v>
      </c>
      <c r="R1757" s="4">
        <v>42900</v>
      </c>
      <c r="S1757" s="71">
        <v>580</v>
      </c>
      <c r="T1757" s="4">
        <v>0</v>
      </c>
      <c r="U1757" s="4">
        <f t="shared" si="58"/>
        <v>0</v>
      </c>
      <c r="V1757" s="79" t="s">
        <v>610</v>
      </c>
      <c r="W1757" s="163">
        <v>2014</v>
      </c>
      <c r="X1757" s="15" t="s">
        <v>12062</v>
      </c>
    </row>
    <row r="1758" spans="1:24" ht="76.5">
      <c r="A1758" s="3" t="s">
        <v>17859</v>
      </c>
      <c r="B1758" s="15" t="s">
        <v>361</v>
      </c>
      <c r="C1758" s="16" t="s">
        <v>602</v>
      </c>
      <c r="D1758" s="16" t="s">
        <v>603</v>
      </c>
      <c r="E1758" s="16" t="s">
        <v>604</v>
      </c>
      <c r="F1758" s="6"/>
      <c r="G1758" s="79" t="s">
        <v>605</v>
      </c>
      <c r="H1758" s="67">
        <v>0.75</v>
      </c>
      <c r="I1758" s="16">
        <v>470000000</v>
      </c>
      <c r="J1758" s="56" t="s">
        <v>229</v>
      </c>
      <c r="K1758" s="162" t="s">
        <v>403</v>
      </c>
      <c r="L1758" s="16" t="s">
        <v>606</v>
      </c>
      <c r="M1758" s="162" t="s">
        <v>230</v>
      </c>
      <c r="N1758" s="80" t="s">
        <v>607</v>
      </c>
      <c r="O1758" s="6" t="s">
        <v>608</v>
      </c>
      <c r="P1758" s="79">
        <v>113</v>
      </c>
      <c r="Q1758" s="6" t="s">
        <v>609</v>
      </c>
      <c r="R1758" s="4">
        <v>37200</v>
      </c>
      <c r="S1758" s="71">
        <v>580</v>
      </c>
      <c r="T1758" s="4">
        <f>R1758*S1758</f>
        <v>21576000</v>
      </c>
      <c r="U1758" s="4">
        <f t="shared" si="58"/>
        <v>24165120.000000004</v>
      </c>
      <c r="V1758" s="79" t="s">
        <v>610</v>
      </c>
      <c r="W1758" s="163">
        <v>2014</v>
      </c>
      <c r="X1758" s="263"/>
    </row>
    <row r="1759" spans="1:24" ht="76.5">
      <c r="A1759" s="3" t="s">
        <v>1251</v>
      </c>
      <c r="B1759" s="15" t="s">
        <v>361</v>
      </c>
      <c r="C1759" s="16" t="s">
        <v>602</v>
      </c>
      <c r="D1759" s="16" t="s">
        <v>603</v>
      </c>
      <c r="E1759" s="16" t="s">
        <v>604</v>
      </c>
      <c r="F1759" s="6" t="s">
        <v>611</v>
      </c>
      <c r="G1759" s="79" t="s">
        <v>605</v>
      </c>
      <c r="H1759" s="67">
        <v>0.75</v>
      </c>
      <c r="I1759" s="16">
        <v>470000000</v>
      </c>
      <c r="J1759" s="56" t="s">
        <v>229</v>
      </c>
      <c r="K1759" s="162" t="s">
        <v>403</v>
      </c>
      <c r="L1759" s="16" t="s">
        <v>612</v>
      </c>
      <c r="M1759" s="162" t="s">
        <v>230</v>
      </c>
      <c r="N1759" s="80" t="s">
        <v>607</v>
      </c>
      <c r="O1759" s="6" t="s">
        <v>608</v>
      </c>
      <c r="P1759" s="79">
        <v>113</v>
      </c>
      <c r="Q1759" s="6" t="s">
        <v>609</v>
      </c>
      <c r="R1759" s="4">
        <v>18000</v>
      </c>
      <c r="S1759" s="71">
        <v>537.91</v>
      </c>
      <c r="T1759" s="4">
        <v>0</v>
      </c>
      <c r="U1759" s="4">
        <f t="shared" si="58"/>
        <v>0</v>
      </c>
      <c r="V1759" s="79" t="s">
        <v>610</v>
      </c>
      <c r="W1759" s="163">
        <v>2014</v>
      </c>
      <c r="X1759" s="15" t="s">
        <v>12062</v>
      </c>
    </row>
    <row r="1760" spans="1:24" ht="76.5">
      <c r="A1760" s="3" t="s">
        <v>12063</v>
      </c>
      <c r="B1760" s="15" t="s">
        <v>361</v>
      </c>
      <c r="C1760" s="16" t="s">
        <v>602</v>
      </c>
      <c r="D1760" s="16" t="s">
        <v>603</v>
      </c>
      <c r="E1760" s="16" t="s">
        <v>604</v>
      </c>
      <c r="F1760" s="6" t="s">
        <v>611</v>
      </c>
      <c r="G1760" s="79" t="s">
        <v>605</v>
      </c>
      <c r="H1760" s="67">
        <v>0.75</v>
      </c>
      <c r="I1760" s="16">
        <v>470000000</v>
      </c>
      <c r="J1760" s="56" t="s">
        <v>229</v>
      </c>
      <c r="K1760" s="162" t="s">
        <v>403</v>
      </c>
      <c r="L1760" s="16" t="s">
        <v>612</v>
      </c>
      <c r="M1760" s="162" t="s">
        <v>230</v>
      </c>
      <c r="N1760" s="80" t="s">
        <v>607</v>
      </c>
      <c r="O1760" s="6" t="s">
        <v>608</v>
      </c>
      <c r="P1760" s="79">
        <v>113</v>
      </c>
      <c r="Q1760" s="6" t="s">
        <v>609</v>
      </c>
      <c r="R1760" s="4">
        <v>18150</v>
      </c>
      <c r="S1760" s="71">
        <v>537.91</v>
      </c>
      <c r="T1760" s="4">
        <v>0</v>
      </c>
      <c r="U1760" s="4">
        <f t="shared" si="58"/>
        <v>0</v>
      </c>
      <c r="V1760" s="79" t="s">
        <v>610</v>
      </c>
      <c r="W1760" s="163">
        <v>2014</v>
      </c>
      <c r="X1760" s="15" t="s">
        <v>12062</v>
      </c>
    </row>
    <row r="1761" spans="1:24" ht="76.5">
      <c r="A1761" s="3" t="s">
        <v>17860</v>
      </c>
      <c r="B1761" s="15" t="s">
        <v>361</v>
      </c>
      <c r="C1761" s="16" t="s">
        <v>602</v>
      </c>
      <c r="D1761" s="16" t="s">
        <v>603</v>
      </c>
      <c r="E1761" s="16" t="s">
        <v>604</v>
      </c>
      <c r="F1761" s="6" t="s">
        <v>611</v>
      </c>
      <c r="G1761" s="79" t="s">
        <v>605</v>
      </c>
      <c r="H1761" s="67">
        <v>0.75</v>
      </c>
      <c r="I1761" s="16">
        <v>470000000</v>
      </c>
      <c r="J1761" s="56" t="s">
        <v>229</v>
      </c>
      <c r="K1761" s="162" t="s">
        <v>403</v>
      </c>
      <c r="L1761" s="16" t="s">
        <v>612</v>
      </c>
      <c r="M1761" s="162" t="s">
        <v>230</v>
      </c>
      <c r="N1761" s="80" t="s">
        <v>607</v>
      </c>
      <c r="O1761" s="6" t="s">
        <v>608</v>
      </c>
      <c r="P1761" s="79">
        <v>113</v>
      </c>
      <c r="Q1761" s="6" t="s">
        <v>609</v>
      </c>
      <c r="R1761" s="4">
        <v>17070</v>
      </c>
      <c r="S1761" s="71">
        <v>537.91</v>
      </c>
      <c r="T1761" s="4">
        <f>R1761*S1761</f>
        <v>9182123.6999999993</v>
      </c>
      <c r="U1761" s="4">
        <f t="shared" si="58"/>
        <v>10283978.544</v>
      </c>
      <c r="V1761" s="79" t="s">
        <v>610</v>
      </c>
      <c r="W1761" s="163">
        <v>2014</v>
      </c>
      <c r="X1761" s="263"/>
    </row>
    <row r="1762" spans="1:24" ht="76.5">
      <c r="A1762" s="3" t="s">
        <v>1252</v>
      </c>
      <c r="B1762" s="15" t="s">
        <v>361</v>
      </c>
      <c r="C1762" s="16" t="s">
        <v>613</v>
      </c>
      <c r="D1762" s="16" t="s">
        <v>614</v>
      </c>
      <c r="E1762" s="16" t="s">
        <v>615</v>
      </c>
      <c r="F1762" s="6" t="s">
        <v>616</v>
      </c>
      <c r="G1762" s="79" t="s">
        <v>605</v>
      </c>
      <c r="H1762" s="67">
        <v>0.75</v>
      </c>
      <c r="I1762" s="16">
        <v>470000000</v>
      </c>
      <c r="J1762" s="56" t="s">
        <v>229</v>
      </c>
      <c r="K1762" s="162" t="s">
        <v>403</v>
      </c>
      <c r="L1762" s="16" t="s">
        <v>606</v>
      </c>
      <c r="M1762" s="162" t="s">
        <v>230</v>
      </c>
      <c r="N1762" s="80" t="s">
        <v>607</v>
      </c>
      <c r="O1762" s="6" t="s">
        <v>608</v>
      </c>
      <c r="P1762" s="79">
        <v>113</v>
      </c>
      <c r="Q1762" s="6" t="s">
        <v>609</v>
      </c>
      <c r="R1762" s="164">
        <v>1550</v>
      </c>
      <c r="S1762" s="71">
        <v>30.98</v>
      </c>
      <c r="T1762" s="4">
        <v>0</v>
      </c>
      <c r="U1762" s="4">
        <f t="shared" si="58"/>
        <v>0</v>
      </c>
      <c r="V1762" s="79" t="s">
        <v>610</v>
      </c>
      <c r="W1762" s="163">
        <v>2014</v>
      </c>
      <c r="X1762" s="15" t="s">
        <v>12062</v>
      </c>
    </row>
    <row r="1763" spans="1:24" ht="76.5">
      <c r="A1763" s="3" t="s">
        <v>12065</v>
      </c>
      <c r="B1763" s="15" t="s">
        <v>361</v>
      </c>
      <c r="C1763" s="16" t="s">
        <v>613</v>
      </c>
      <c r="D1763" s="16" t="s">
        <v>614</v>
      </c>
      <c r="E1763" s="16" t="s">
        <v>615</v>
      </c>
      <c r="F1763" s="6" t="s">
        <v>616</v>
      </c>
      <c r="G1763" s="79" t="s">
        <v>605</v>
      </c>
      <c r="H1763" s="67">
        <v>0.75</v>
      </c>
      <c r="I1763" s="16">
        <v>470000000</v>
      </c>
      <c r="J1763" s="56" t="s">
        <v>229</v>
      </c>
      <c r="K1763" s="162" t="s">
        <v>403</v>
      </c>
      <c r="L1763" s="16" t="s">
        <v>606</v>
      </c>
      <c r="M1763" s="162" t="s">
        <v>230</v>
      </c>
      <c r="N1763" s="80" t="s">
        <v>607</v>
      </c>
      <c r="O1763" s="6" t="s">
        <v>608</v>
      </c>
      <c r="P1763" s="79">
        <v>113</v>
      </c>
      <c r="Q1763" s="6" t="s">
        <v>609</v>
      </c>
      <c r="R1763" s="164">
        <v>17930</v>
      </c>
      <c r="S1763" s="71">
        <v>30.98</v>
      </c>
      <c r="T1763" s="4">
        <v>0</v>
      </c>
      <c r="U1763" s="4">
        <f t="shared" si="58"/>
        <v>0</v>
      </c>
      <c r="V1763" s="79" t="s">
        <v>610</v>
      </c>
      <c r="W1763" s="163">
        <v>2014</v>
      </c>
      <c r="X1763" s="15" t="s">
        <v>14132</v>
      </c>
    </row>
    <row r="1764" spans="1:24" ht="76.5">
      <c r="A1764" s="3" t="s">
        <v>17858</v>
      </c>
      <c r="B1764" s="15" t="s">
        <v>361</v>
      </c>
      <c r="C1764" s="16" t="s">
        <v>613</v>
      </c>
      <c r="D1764" s="16" t="s">
        <v>614</v>
      </c>
      <c r="E1764" s="16" t="s">
        <v>615</v>
      </c>
      <c r="F1764" s="6" t="s">
        <v>616</v>
      </c>
      <c r="G1764" s="79" t="s">
        <v>605</v>
      </c>
      <c r="H1764" s="67">
        <v>0.75</v>
      </c>
      <c r="I1764" s="16">
        <v>470000000</v>
      </c>
      <c r="J1764" s="56" t="s">
        <v>229</v>
      </c>
      <c r="K1764" s="162" t="s">
        <v>403</v>
      </c>
      <c r="L1764" s="16" t="s">
        <v>606</v>
      </c>
      <c r="M1764" s="162" t="s">
        <v>230</v>
      </c>
      <c r="N1764" s="80" t="s">
        <v>607</v>
      </c>
      <c r="O1764" s="6" t="s">
        <v>608</v>
      </c>
      <c r="P1764" s="79">
        <v>113</v>
      </c>
      <c r="Q1764" s="6" t="s">
        <v>609</v>
      </c>
      <c r="R1764" s="164">
        <v>10000</v>
      </c>
      <c r="S1764" s="71">
        <v>474.91</v>
      </c>
      <c r="T1764" s="4">
        <f>R1764*S1764</f>
        <v>4749100</v>
      </c>
      <c r="U1764" s="4">
        <f t="shared" si="58"/>
        <v>5318992.0000000009</v>
      </c>
      <c r="V1764" s="79" t="s">
        <v>610</v>
      </c>
      <c r="W1764" s="163">
        <v>2014</v>
      </c>
      <c r="X1764" s="263"/>
    </row>
    <row r="1765" spans="1:24" ht="76.5">
      <c r="A1765" s="3" t="s">
        <v>1253</v>
      </c>
      <c r="B1765" s="15" t="s">
        <v>361</v>
      </c>
      <c r="C1765" s="16" t="s">
        <v>613</v>
      </c>
      <c r="D1765" s="16" t="s">
        <v>614</v>
      </c>
      <c r="E1765" s="16" t="s">
        <v>615</v>
      </c>
      <c r="F1765" s="6" t="s">
        <v>617</v>
      </c>
      <c r="G1765" s="79" t="s">
        <v>605</v>
      </c>
      <c r="H1765" s="67">
        <v>0.75</v>
      </c>
      <c r="I1765" s="16">
        <v>470000000</v>
      </c>
      <c r="J1765" s="56" t="s">
        <v>229</v>
      </c>
      <c r="K1765" s="162" t="s">
        <v>403</v>
      </c>
      <c r="L1765" s="16" t="s">
        <v>612</v>
      </c>
      <c r="M1765" s="162" t="s">
        <v>230</v>
      </c>
      <c r="N1765" s="80" t="s">
        <v>607</v>
      </c>
      <c r="O1765" s="6" t="s">
        <v>608</v>
      </c>
      <c r="P1765" s="79">
        <v>113</v>
      </c>
      <c r="Q1765" s="6" t="s">
        <v>609</v>
      </c>
      <c r="R1765" s="165">
        <v>64300</v>
      </c>
      <c r="S1765" s="71">
        <v>523.91</v>
      </c>
      <c r="T1765" s="4">
        <v>0</v>
      </c>
      <c r="U1765" s="4">
        <f t="shared" si="58"/>
        <v>0</v>
      </c>
      <c r="V1765" s="79" t="s">
        <v>610</v>
      </c>
      <c r="W1765" s="163">
        <v>2014</v>
      </c>
      <c r="X1765" s="15" t="s">
        <v>12062</v>
      </c>
    </row>
    <row r="1766" spans="1:24" ht="76.5">
      <c r="A1766" s="3" t="s">
        <v>12064</v>
      </c>
      <c r="B1766" s="15" t="s">
        <v>361</v>
      </c>
      <c r="C1766" s="16" t="s">
        <v>613</v>
      </c>
      <c r="D1766" s="16" t="s">
        <v>614</v>
      </c>
      <c r="E1766" s="16" t="s">
        <v>615</v>
      </c>
      <c r="F1766" s="6" t="s">
        <v>617</v>
      </c>
      <c r="G1766" s="79" t="s">
        <v>605</v>
      </c>
      <c r="H1766" s="67">
        <v>0.75</v>
      </c>
      <c r="I1766" s="16">
        <v>470000000</v>
      </c>
      <c r="J1766" s="56" t="s">
        <v>229</v>
      </c>
      <c r="K1766" s="162" t="s">
        <v>403</v>
      </c>
      <c r="L1766" s="16" t="s">
        <v>612</v>
      </c>
      <c r="M1766" s="162" t="s">
        <v>230</v>
      </c>
      <c r="N1766" s="80" t="s">
        <v>607</v>
      </c>
      <c r="O1766" s="6" t="s">
        <v>608</v>
      </c>
      <c r="P1766" s="79">
        <v>113</v>
      </c>
      <c r="Q1766" s="6" t="s">
        <v>609</v>
      </c>
      <c r="R1766" s="165">
        <v>6745</v>
      </c>
      <c r="S1766" s="71">
        <v>523.91</v>
      </c>
      <c r="T1766" s="4">
        <v>0</v>
      </c>
      <c r="U1766" s="4">
        <f t="shared" si="58"/>
        <v>0</v>
      </c>
      <c r="V1766" s="79" t="s">
        <v>610</v>
      </c>
      <c r="W1766" s="163">
        <v>2014</v>
      </c>
      <c r="X1766" s="15" t="s">
        <v>12062</v>
      </c>
    </row>
    <row r="1767" spans="1:24" ht="76.5">
      <c r="A1767" s="3" t="s">
        <v>17861</v>
      </c>
      <c r="B1767" s="15" t="s">
        <v>361</v>
      </c>
      <c r="C1767" s="16" t="s">
        <v>613</v>
      </c>
      <c r="D1767" s="16" t="s">
        <v>614</v>
      </c>
      <c r="E1767" s="16" t="s">
        <v>615</v>
      </c>
      <c r="F1767" s="6" t="s">
        <v>617</v>
      </c>
      <c r="G1767" s="79" t="s">
        <v>605</v>
      </c>
      <c r="H1767" s="67">
        <v>0.75</v>
      </c>
      <c r="I1767" s="16">
        <v>470000000</v>
      </c>
      <c r="J1767" s="56" t="s">
        <v>229</v>
      </c>
      <c r="K1767" s="162" t="s">
        <v>403</v>
      </c>
      <c r="L1767" s="16" t="s">
        <v>612</v>
      </c>
      <c r="M1767" s="162" t="s">
        <v>230</v>
      </c>
      <c r="N1767" s="80" t="s">
        <v>607</v>
      </c>
      <c r="O1767" s="6" t="s">
        <v>608</v>
      </c>
      <c r="P1767" s="79">
        <v>113</v>
      </c>
      <c r="Q1767" s="6" t="s">
        <v>609</v>
      </c>
      <c r="R1767" s="165">
        <v>7038</v>
      </c>
      <c r="S1767" s="71">
        <v>523.91</v>
      </c>
      <c r="T1767" s="4">
        <f>R1767*S1767</f>
        <v>3687278.5799999996</v>
      </c>
      <c r="U1767" s="4">
        <f t="shared" si="58"/>
        <v>4129752.0096</v>
      </c>
      <c r="V1767" s="79" t="s">
        <v>610</v>
      </c>
      <c r="W1767" s="163">
        <v>2014</v>
      </c>
      <c r="X1767" s="263"/>
    </row>
    <row r="1768" spans="1:24" ht="63.75">
      <c r="A1768" s="3" t="s">
        <v>1254</v>
      </c>
      <c r="B1768" s="6" t="s">
        <v>361</v>
      </c>
      <c r="C1768" s="16" t="s">
        <v>602</v>
      </c>
      <c r="D1768" s="16" t="s">
        <v>603</v>
      </c>
      <c r="E1768" s="16" t="s">
        <v>604</v>
      </c>
      <c r="F1768" s="6" t="s">
        <v>8900</v>
      </c>
      <c r="G1768" s="79" t="s">
        <v>605</v>
      </c>
      <c r="H1768" s="67">
        <v>0.75</v>
      </c>
      <c r="I1768" s="16">
        <v>470000000</v>
      </c>
      <c r="J1768" s="56" t="s">
        <v>229</v>
      </c>
      <c r="K1768" s="6" t="s">
        <v>8901</v>
      </c>
      <c r="L1768" s="6" t="s">
        <v>8902</v>
      </c>
      <c r="M1768" s="162" t="s">
        <v>230</v>
      </c>
      <c r="N1768" s="61" t="s">
        <v>8903</v>
      </c>
      <c r="O1768" s="6" t="s">
        <v>8904</v>
      </c>
      <c r="P1768" s="79">
        <v>113</v>
      </c>
      <c r="Q1768" s="70" t="s">
        <v>627</v>
      </c>
      <c r="R1768" s="4">
        <v>6000</v>
      </c>
      <c r="S1768" s="1">
        <v>158.38999999999999</v>
      </c>
      <c r="T1768" s="4">
        <f>R1768*S1768</f>
        <v>950339.99999999988</v>
      </c>
      <c r="U1768" s="4">
        <f t="shared" si="58"/>
        <v>1064380.8</v>
      </c>
      <c r="V1768" s="79" t="s">
        <v>610</v>
      </c>
      <c r="W1768" s="3">
        <v>2014</v>
      </c>
      <c r="X1768" s="3"/>
    </row>
    <row r="1769" spans="1:24" ht="89.25">
      <c r="A1769" s="3" t="s">
        <v>1255</v>
      </c>
      <c r="B1769" s="6" t="s">
        <v>361</v>
      </c>
      <c r="C1769" s="43" t="s">
        <v>4193</v>
      </c>
      <c r="D1769" s="43" t="s">
        <v>4194</v>
      </c>
      <c r="E1769" s="43" t="s">
        <v>4195</v>
      </c>
      <c r="F1769" s="6" t="s">
        <v>4566</v>
      </c>
      <c r="G1769" s="6" t="s">
        <v>11450</v>
      </c>
      <c r="H1769" s="54">
        <v>0.8</v>
      </c>
      <c r="I1769" s="16">
        <v>470000000</v>
      </c>
      <c r="J1769" s="56" t="s">
        <v>229</v>
      </c>
      <c r="K1769" s="6" t="s">
        <v>516</v>
      </c>
      <c r="L1769" s="16" t="s">
        <v>4567</v>
      </c>
      <c r="M1769" s="162" t="s">
        <v>230</v>
      </c>
      <c r="N1769" s="6" t="s">
        <v>521</v>
      </c>
      <c r="O1769" s="6" t="s">
        <v>4568</v>
      </c>
      <c r="P1769" s="58" t="s">
        <v>241</v>
      </c>
      <c r="Q1769" s="6" t="s">
        <v>234</v>
      </c>
      <c r="R1769" s="4">
        <v>14</v>
      </c>
      <c r="S1769" s="74">
        <v>36280</v>
      </c>
      <c r="T1769" s="4">
        <v>0</v>
      </c>
      <c r="U1769" s="4">
        <f t="shared" si="58"/>
        <v>0</v>
      </c>
      <c r="V1769" s="3" t="s">
        <v>362</v>
      </c>
      <c r="W1769" s="3">
        <v>2014</v>
      </c>
      <c r="X1769" s="3" t="s">
        <v>12037</v>
      </c>
    </row>
    <row r="1770" spans="1:24" ht="89.25">
      <c r="A1770" s="3" t="s">
        <v>12479</v>
      </c>
      <c r="B1770" s="6" t="s">
        <v>361</v>
      </c>
      <c r="C1770" s="43" t="s">
        <v>4193</v>
      </c>
      <c r="D1770" s="43" t="s">
        <v>4194</v>
      </c>
      <c r="E1770" s="43" t="s">
        <v>4195</v>
      </c>
      <c r="F1770" s="6" t="s">
        <v>4566</v>
      </c>
      <c r="G1770" s="6" t="s">
        <v>11450</v>
      </c>
      <c r="H1770" s="54">
        <v>0.8</v>
      </c>
      <c r="I1770" s="16">
        <v>470000000</v>
      </c>
      <c r="J1770" s="56" t="s">
        <v>229</v>
      </c>
      <c r="K1770" s="6" t="s">
        <v>12480</v>
      </c>
      <c r="L1770" s="17" t="s">
        <v>11411</v>
      </c>
      <c r="M1770" s="162" t="s">
        <v>230</v>
      </c>
      <c r="N1770" s="6" t="s">
        <v>521</v>
      </c>
      <c r="O1770" s="6" t="s">
        <v>4568</v>
      </c>
      <c r="P1770" s="58" t="s">
        <v>241</v>
      </c>
      <c r="Q1770" s="6" t="s">
        <v>234</v>
      </c>
      <c r="R1770" s="4">
        <v>14</v>
      </c>
      <c r="S1770" s="74">
        <v>36280</v>
      </c>
      <c r="T1770" s="4">
        <v>0</v>
      </c>
      <c r="U1770" s="4">
        <f t="shared" si="58"/>
        <v>0</v>
      </c>
      <c r="V1770" s="3"/>
      <c r="W1770" s="3">
        <v>2014</v>
      </c>
      <c r="X1770" s="3" t="s">
        <v>14780</v>
      </c>
    </row>
    <row r="1771" spans="1:24" ht="89.25">
      <c r="A1771" s="3" t="s">
        <v>14855</v>
      </c>
      <c r="B1771" s="6" t="s">
        <v>361</v>
      </c>
      <c r="C1771" s="43" t="s">
        <v>4193</v>
      </c>
      <c r="D1771" s="43" t="s">
        <v>4194</v>
      </c>
      <c r="E1771" s="43" t="s">
        <v>4195</v>
      </c>
      <c r="F1771" s="6" t="s">
        <v>4566</v>
      </c>
      <c r="G1771" s="6" t="s">
        <v>11450</v>
      </c>
      <c r="H1771" s="54">
        <v>0.8</v>
      </c>
      <c r="I1771" s="16">
        <v>470000000</v>
      </c>
      <c r="J1771" s="56" t="s">
        <v>229</v>
      </c>
      <c r="K1771" s="6" t="s">
        <v>14653</v>
      </c>
      <c r="L1771" s="17" t="s">
        <v>11411</v>
      </c>
      <c r="M1771" s="162" t="s">
        <v>230</v>
      </c>
      <c r="N1771" s="6" t="s">
        <v>521</v>
      </c>
      <c r="O1771" s="6" t="s">
        <v>4568</v>
      </c>
      <c r="P1771" s="58" t="s">
        <v>241</v>
      </c>
      <c r="Q1771" s="6" t="s">
        <v>234</v>
      </c>
      <c r="R1771" s="4">
        <v>11</v>
      </c>
      <c r="S1771" s="74">
        <v>36280</v>
      </c>
      <c r="T1771" s="4">
        <f>R1771*S1771</f>
        <v>399080</v>
      </c>
      <c r="U1771" s="4">
        <f t="shared" si="58"/>
        <v>446969.60000000003</v>
      </c>
      <c r="V1771" s="3"/>
      <c r="W1771" s="3">
        <v>2014</v>
      </c>
      <c r="X1771" s="3"/>
    </row>
    <row r="1772" spans="1:24" ht="89.25">
      <c r="A1772" s="3" t="s">
        <v>1256</v>
      </c>
      <c r="B1772" s="6" t="s">
        <v>361</v>
      </c>
      <c r="C1772" s="43" t="s">
        <v>4193</v>
      </c>
      <c r="D1772" s="43" t="s">
        <v>4194</v>
      </c>
      <c r="E1772" s="43" t="s">
        <v>4195</v>
      </c>
      <c r="F1772" s="6" t="s">
        <v>4569</v>
      </c>
      <c r="G1772" s="6" t="s">
        <v>11450</v>
      </c>
      <c r="H1772" s="54">
        <v>0.8</v>
      </c>
      <c r="I1772" s="55">
        <v>470000000</v>
      </c>
      <c r="J1772" s="56" t="s">
        <v>229</v>
      </c>
      <c r="K1772" s="6" t="s">
        <v>516</v>
      </c>
      <c r="L1772" s="16" t="s">
        <v>4570</v>
      </c>
      <c r="M1772" s="162" t="s">
        <v>230</v>
      </c>
      <c r="N1772" s="6" t="s">
        <v>521</v>
      </c>
      <c r="O1772" s="6" t="s">
        <v>4568</v>
      </c>
      <c r="P1772" s="58" t="s">
        <v>241</v>
      </c>
      <c r="Q1772" s="6" t="s">
        <v>234</v>
      </c>
      <c r="R1772" s="3">
        <v>10</v>
      </c>
      <c r="S1772" s="1">
        <v>38175</v>
      </c>
      <c r="T1772" s="4">
        <v>0</v>
      </c>
      <c r="U1772" s="4">
        <f t="shared" si="58"/>
        <v>0</v>
      </c>
      <c r="V1772" s="166"/>
      <c r="W1772" s="3">
        <v>2014</v>
      </c>
      <c r="X1772" s="3" t="s">
        <v>12037</v>
      </c>
    </row>
    <row r="1773" spans="1:24" ht="89.25">
      <c r="A1773" s="3" t="s">
        <v>12481</v>
      </c>
      <c r="B1773" s="6" t="s">
        <v>361</v>
      </c>
      <c r="C1773" s="43" t="s">
        <v>4193</v>
      </c>
      <c r="D1773" s="43" t="s">
        <v>4194</v>
      </c>
      <c r="E1773" s="43" t="s">
        <v>4195</v>
      </c>
      <c r="F1773" s="6" t="s">
        <v>4569</v>
      </c>
      <c r="G1773" s="6" t="s">
        <v>11450</v>
      </c>
      <c r="H1773" s="54">
        <v>0.8</v>
      </c>
      <c r="I1773" s="55">
        <v>470000000</v>
      </c>
      <c r="J1773" s="56" t="s">
        <v>229</v>
      </c>
      <c r="K1773" s="6" t="s">
        <v>12480</v>
      </c>
      <c r="L1773" s="17" t="s">
        <v>11411</v>
      </c>
      <c r="M1773" s="162" t="s">
        <v>230</v>
      </c>
      <c r="N1773" s="6" t="s">
        <v>521</v>
      </c>
      <c r="O1773" s="6" t="s">
        <v>4568</v>
      </c>
      <c r="P1773" s="58" t="s">
        <v>241</v>
      </c>
      <c r="Q1773" s="6" t="s">
        <v>234</v>
      </c>
      <c r="R1773" s="3">
        <v>10</v>
      </c>
      <c r="S1773" s="1">
        <v>38175</v>
      </c>
      <c r="T1773" s="4">
        <v>0</v>
      </c>
      <c r="U1773" s="4">
        <f t="shared" si="58"/>
        <v>0</v>
      </c>
      <c r="V1773" s="166"/>
      <c r="W1773" s="3">
        <v>2014</v>
      </c>
      <c r="X1773" s="3" t="s">
        <v>14780</v>
      </c>
    </row>
    <row r="1774" spans="1:24" ht="89.25">
      <c r="A1774" s="3" t="s">
        <v>14856</v>
      </c>
      <c r="B1774" s="6" t="s">
        <v>361</v>
      </c>
      <c r="C1774" s="43" t="s">
        <v>4193</v>
      </c>
      <c r="D1774" s="43" t="s">
        <v>4194</v>
      </c>
      <c r="E1774" s="43" t="s">
        <v>4195</v>
      </c>
      <c r="F1774" s="6" t="s">
        <v>4569</v>
      </c>
      <c r="G1774" s="6" t="s">
        <v>11450</v>
      </c>
      <c r="H1774" s="54">
        <v>0.8</v>
      </c>
      <c r="I1774" s="55">
        <v>470000000</v>
      </c>
      <c r="J1774" s="56" t="s">
        <v>229</v>
      </c>
      <c r="K1774" s="6" t="s">
        <v>14653</v>
      </c>
      <c r="L1774" s="17" t="s">
        <v>11411</v>
      </c>
      <c r="M1774" s="162" t="s">
        <v>230</v>
      </c>
      <c r="N1774" s="6" t="s">
        <v>521</v>
      </c>
      <c r="O1774" s="6" t="s">
        <v>4568</v>
      </c>
      <c r="P1774" s="58" t="s">
        <v>241</v>
      </c>
      <c r="Q1774" s="6" t="s">
        <v>234</v>
      </c>
      <c r="R1774" s="3">
        <v>8</v>
      </c>
      <c r="S1774" s="1">
        <v>38175</v>
      </c>
      <c r="T1774" s="4">
        <f>R1774*S1774</f>
        <v>305400</v>
      </c>
      <c r="U1774" s="4">
        <f t="shared" si="58"/>
        <v>342048.00000000006</v>
      </c>
      <c r="V1774" s="166"/>
      <c r="W1774" s="3">
        <v>2014</v>
      </c>
      <c r="X1774" s="3"/>
    </row>
    <row r="1775" spans="1:24" ht="89.25">
      <c r="A1775" s="3" t="s">
        <v>1257</v>
      </c>
      <c r="B1775" s="6" t="s">
        <v>361</v>
      </c>
      <c r="C1775" s="44" t="s">
        <v>4196</v>
      </c>
      <c r="D1775" s="44" t="s">
        <v>4197</v>
      </c>
      <c r="E1775" s="44" t="s">
        <v>4198</v>
      </c>
      <c r="F1775" s="6" t="s">
        <v>11751</v>
      </c>
      <c r="G1775" s="6" t="s">
        <v>11450</v>
      </c>
      <c r="H1775" s="54">
        <v>0</v>
      </c>
      <c r="I1775" s="16">
        <v>470000000</v>
      </c>
      <c r="J1775" s="56" t="s">
        <v>229</v>
      </c>
      <c r="K1775" s="6" t="s">
        <v>516</v>
      </c>
      <c r="L1775" s="16" t="s">
        <v>4567</v>
      </c>
      <c r="M1775" s="162" t="s">
        <v>230</v>
      </c>
      <c r="N1775" s="15" t="s">
        <v>521</v>
      </c>
      <c r="O1775" s="6" t="s">
        <v>4568</v>
      </c>
      <c r="P1775" s="58" t="s">
        <v>241</v>
      </c>
      <c r="Q1775" s="6" t="s">
        <v>234</v>
      </c>
      <c r="R1775" s="4">
        <v>20</v>
      </c>
      <c r="S1775" s="74">
        <v>27700</v>
      </c>
      <c r="T1775" s="4">
        <v>0</v>
      </c>
      <c r="U1775" s="4">
        <f t="shared" si="58"/>
        <v>0</v>
      </c>
      <c r="V1775" s="3" t="s">
        <v>362</v>
      </c>
      <c r="W1775" s="3">
        <v>2014</v>
      </c>
      <c r="X1775" s="3" t="s">
        <v>12037</v>
      </c>
    </row>
    <row r="1776" spans="1:24" ht="89.25">
      <c r="A1776" s="3" t="s">
        <v>12482</v>
      </c>
      <c r="B1776" s="6" t="s">
        <v>361</v>
      </c>
      <c r="C1776" s="44" t="s">
        <v>4196</v>
      </c>
      <c r="D1776" s="44" t="s">
        <v>4197</v>
      </c>
      <c r="E1776" s="44" t="s">
        <v>4198</v>
      </c>
      <c r="F1776" s="6" t="s">
        <v>11751</v>
      </c>
      <c r="G1776" s="6" t="s">
        <v>11450</v>
      </c>
      <c r="H1776" s="54">
        <v>0</v>
      </c>
      <c r="I1776" s="16">
        <v>470000000</v>
      </c>
      <c r="J1776" s="56" t="s">
        <v>229</v>
      </c>
      <c r="K1776" s="6" t="s">
        <v>12480</v>
      </c>
      <c r="L1776" s="17" t="s">
        <v>11411</v>
      </c>
      <c r="M1776" s="162" t="s">
        <v>230</v>
      </c>
      <c r="N1776" s="15" t="s">
        <v>521</v>
      </c>
      <c r="O1776" s="6" t="s">
        <v>4568</v>
      </c>
      <c r="P1776" s="58" t="s">
        <v>241</v>
      </c>
      <c r="Q1776" s="6" t="s">
        <v>234</v>
      </c>
      <c r="R1776" s="4">
        <v>20</v>
      </c>
      <c r="S1776" s="74">
        <v>27700</v>
      </c>
      <c r="T1776" s="4">
        <v>0</v>
      </c>
      <c r="U1776" s="4">
        <f t="shared" si="58"/>
        <v>0</v>
      </c>
      <c r="V1776" s="3"/>
      <c r="W1776" s="3">
        <v>2014</v>
      </c>
      <c r="X1776" s="3">
        <v>11</v>
      </c>
    </row>
    <row r="1777" spans="1:24" ht="89.25">
      <c r="A1777" s="3" t="s">
        <v>14857</v>
      </c>
      <c r="B1777" s="6" t="s">
        <v>361</v>
      </c>
      <c r="C1777" s="44" t="s">
        <v>4196</v>
      </c>
      <c r="D1777" s="44" t="s">
        <v>4197</v>
      </c>
      <c r="E1777" s="44" t="s">
        <v>4198</v>
      </c>
      <c r="F1777" s="6" t="s">
        <v>11751</v>
      </c>
      <c r="G1777" s="6" t="s">
        <v>11450</v>
      </c>
      <c r="H1777" s="54">
        <v>0</v>
      </c>
      <c r="I1777" s="16">
        <v>470000000</v>
      </c>
      <c r="J1777" s="56" t="s">
        <v>229</v>
      </c>
      <c r="K1777" s="6" t="s">
        <v>14858</v>
      </c>
      <c r="L1777" s="17" t="s">
        <v>11411</v>
      </c>
      <c r="M1777" s="162" t="s">
        <v>230</v>
      </c>
      <c r="N1777" s="15" t="s">
        <v>521</v>
      </c>
      <c r="O1777" s="6" t="s">
        <v>4568</v>
      </c>
      <c r="P1777" s="58" t="s">
        <v>241</v>
      </c>
      <c r="Q1777" s="6" t="s">
        <v>234</v>
      </c>
      <c r="R1777" s="4">
        <v>20</v>
      </c>
      <c r="S1777" s="74">
        <v>27700</v>
      </c>
      <c r="T1777" s="4">
        <v>0</v>
      </c>
      <c r="U1777" s="4">
        <f t="shared" si="58"/>
        <v>0</v>
      </c>
      <c r="V1777" s="3"/>
      <c r="W1777" s="3">
        <v>2014</v>
      </c>
      <c r="X1777" s="3" t="s">
        <v>16521</v>
      </c>
    </row>
    <row r="1778" spans="1:24" ht="89.25">
      <c r="A1778" s="3" t="s">
        <v>17490</v>
      </c>
      <c r="B1778" s="6" t="s">
        <v>361</v>
      </c>
      <c r="C1778" s="44" t="s">
        <v>4196</v>
      </c>
      <c r="D1778" s="44" t="s">
        <v>4197</v>
      </c>
      <c r="E1778" s="44" t="s">
        <v>4198</v>
      </c>
      <c r="F1778" s="6" t="s">
        <v>11751</v>
      </c>
      <c r="G1778" s="3" t="s">
        <v>11450</v>
      </c>
      <c r="H1778" s="54">
        <v>0</v>
      </c>
      <c r="I1778" s="16">
        <v>470000000</v>
      </c>
      <c r="J1778" s="56" t="s">
        <v>229</v>
      </c>
      <c r="K1778" s="6" t="s">
        <v>222</v>
      </c>
      <c r="L1778" s="17" t="s">
        <v>11411</v>
      </c>
      <c r="M1778" s="162" t="s">
        <v>230</v>
      </c>
      <c r="N1778" s="15" t="s">
        <v>17491</v>
      </c>
      <c r="O1778" s="6" t="s">
        <v>4568</v>
      </c>
      <c r="P1778" s="58" t="s">
        <v>241</v>
      </c>
      <c r="Q1778" s="6" t="s">
        <v>234</v>
      </c>
      <c r="R1778" s="4">
        <v>20</v>
      </c>
      <c r="S1778" s="74">
        <v>42400</v>
      </c>
      <c r="T1778" s="4">
        <f>R1778*S1778</f>
        <v>848000</v>
      </c>
      <c r="U1778" s="4">
        <f t="shared" si="58"/>
        <v>949760.00000000012</v>
      </c>
      <c r="V1778" s="3"/>
      <c r="W1778" s="3">
        <v>2014</v>
      </c>
      <c r="X1778" s="3"/>
    </row>
    <row r="1779" spans="1:24" ht="89.25">
      <c r="A1779" s="3" t="s">
        <v>1258</v>
      </c>
      <c r="B1779" s="6" t="s">
        <v>361</v>
      </c>
      <c r="C1779" s="44" t="s">
        <v>4196</v>
      </c>
      <c r="D1779" s="44" t="s">
        <v>4197</v>
      </c>
      <c r="E1779" s="44" t="s">
        <v>4198</v>
      </c>
      <c r="F1779" s="6" t="s">
        <v>11752</v>
      </c>
      <c r="G1779" s="6" t="s">
        <v>11450</v>
      </c>
      <c r="H1779" s="54">
        <v>0</v>
      </c>
      <c r="I1779" s="55">
        <v>470000000</v>
      </c>
      <c r="J1779" s="56" t="s">
        <v>229</v>
      </c>
      <c r="K1779" s="6" t="s">
        <v>516</v>
      </c>
      <c r="L1779" s="16" t="s">
        <v>4570</v>
      </c>
      <c r="M1779" s="162" t="s">
        <v>230</v>
      </c>
      <c r="N1779" s="15" t="s">
        <v>521</v>
      </c>
      <c r="O1779" s="6" t="s">
        <v>4568</v>
      </c>
      <c r="P1779" s="58" t="s">
        <v>241</v>
      </c>
      <c r="Q1779" s="6" t="s">
        <v>234</v>
      </c>
      <c r="R1779" s="3">
        <v>2</v>
      </c>
      <c r="S1779" s="1">
        <v>30496.53</v>
      </c>
      <c r="T1779" s="4">
        <v>0</v>
      </c>
      <c r="U1779" s="4">
        <f t="shared" si="58"/>
        <v>0</v>
      </c>
      <c r="V1779" s="166" t="s">
        <v>362</v>
      </c>
      <c r="W1779" s="3">
        <v>2014</v>
      </c>
      <c r="X1779" s="3" t="s">
        <v>12037</v>
      </c>
    </row>
    <row r="1780" spans="1:24" ht="89.25">
      <c r="A1780" s="3" t="s">
        <v>12483</v>
      </c>
      <c r="B1780" s="6" t="s">
        <v>361</v>
      </c>
      <c r="C1780" s="44" t="s">
        <v>4196</v>
      </c>
      <c r="D1780" s="44" t="s">
        <v>4197</v>
      </c>
      <c r="E1780" s="44" t="s">
        <v>4198</v>
      </c>
      <c r="F1780" s="6" t="s">
        <v>11752</v>
      </c>
      <c r="G1780" s="6" t="s">
        <v>11450</v>
      </c>
      <c r="H1780" s="54">
        <v>0</v>
      </c>
      <c r="I1780" s="55">
        <v>470000000</v>
      </c>
      <c r="J1780" s="56" t="s">
        <v>229</v>
      </c>
      <c r="K1780" s="6" t="s">
        <v>12480</v>
      </c>
      <c r="L1780" s="17" t="s">
        <v>11411</v>
      </c>
      <c r="M1780" s="162" t="s">
        <v>230</v>
      </c>
      <c r="N1780" s="15" t="s">
        <v>521</v>
      </c>
      <c r="O1780" s="6" t="s">
        <v>4568</v>
      </c>
      <c r="P1780" s="58" t="s">
        <v>241</v>
      </c>
      <c r="Q1780" s="6" t="s">
        <v>234</v>
      </c>
      <c r="R1780" s="3">
        <v>2</v>
      </c>
      <c r="S1780" s="1">
        <v>30496.53</v>
      </c>
      <c r="T1780" s="4">
        <v>0</v>
      </c>
      <c r="U1780" s="4">
        <f t="shared" si="58"/>
        <v>0</v>
      </c>
      <c r="V1780" s="166"/>
      <c r="W1780" s="3">
        <v>2014</v>
      </c>
      <c r="X1780" s="3">
        <v>11</v>
      </c>
    </row>
    <row r="1781" spans="1:24" ht="89.25">
      <c r="A1781" s="3" t="s">
        <v>16364</v>
      </c>
      <c r="B1781" s="6" t="s">
        <v>361</v>
      </c>
      <c r="C1781" s="44" t="s">
        <v>4196</v>
      </c>
      <c r="D1781" s="44" t="s">
        <v>4197</v>
      </c>
      <c r="E1781" s="44" t="s">
        <v>4198</v>
      </c>
      <c r="F1781" s="6" t="s">
        <v>11752</v>
      </c>
      <c r="G1781" s="6" t="s">
        <v>11450</v>
      </c>
      <c r="H1781" s="54">
        <v>0</v>
      </c>
      <c r="I1781" s="55">
        <v>470000000</v>
      </c>
      <c r="J1781" s="56" t="s">
        <v>229</v>
      </c>
      <c r="K1781" s="6" t="s">
        <v>14858</v>
      </c>
      <c r="L1781" s="17" t="s">
        <v>11411</v>
      </c>
      <c r="M1781" s="162" t="s">
        <v>230</v>
      </c>
      <c r="N1781" s="15" t="s">
        <v>521</v>
      </c>
      <c r="O1781" s="6" t="s">
        <v>4568</v>
      </c>
      <c r="P1781" s="58" t="s">
        <v>241</v>
      </c>
      <c r="Q1781" s="6" t="s">
        <v>234</v>
      </c>
      <c r="R1781" s="3">
        <v>2</v>
      </c>
      <c r="S1781" s="1">
        <v>30496.53</v>
      </c>
      <c r="T1781" s="4">
        <v>0</v>
      </c>
      <c r="U1781" s="4">
        <f t="shared" si="58"/>
        <v>0</v>
      </c>
      <c r="V1781" s="166"/>
      <c r="W1781" s="3">
        <v>2014</v>
      </c>
      <c r="X1781" s="3" t="s">
        <v>16521</v>
      </c>
    </row>
    <row r="1782" spans="1:24" ht="89.25">
      <c r="A1782" s="3" t="s">
        <v>17492</v>
      </c>
      <c r="B1782" s="6" t="s">
        <v>361</v>
      </c>
      <c r="C1782" s="44" t="s">
        <v>4196</v>
      </c>
      <c r="D1782" s="44" t="s">
        <v>4197</v>
      </c>
      <c r="E1782" s="44" t="s">
        <v>4198</v>
      </c>
      <c r="F1782" s="6" t="s">
        <v>11752</v>
      </c>
      <c r="G1782" s="3" t="s">
        <v>11450</v>
      </c>
      <c r="H1782" s="54">
        <v>0</v>
      </c>
      <c r="I1782" s="55">
        <v>470000000</v>
      </c>
      <c r="J1782" s="56" t="s">
        <v>229</v>
      </c>
      <c r="K1782" s="6" t="s">
        <v>222</v>
      </c>
      <c r="L1782" s="17" t="s">
        <v>11411</v>
      </c>
      <c r="M1782" s="162" t="s">
        <v>230</v>
      </c>
      <c r="N1782" s="15" t="s">
        <v>17491</v>
      </c>
      <c r="O1782" s="6" t="s">
        <v>4568</v>
      </c>
      <c r="P1782" s="58" t="s">
        <v>241</v>
      </c>
      <c r="Q1782" s="6" t="s">
        <v>234</v>
      </c>
      <c r="R1782" s="3">
        <v>2</v>
      </c>
      <c r="S1782" s="1">
        <v>43450</v>
      </c>
      <c r="T1782" s="4">
        <f>R1782*S1782</f>
        <v>86900</v>
      </c>
      <c r="U1782" s="4">
        <f t="shared" si="58"/>
        <v>97328.000000000015</v>
      </c>
      <c r="V1782" s="166"/>
      <c r="W1782" s="3">
        <v>2014</v>
      </c>
      <c r="X1782" s="3"/>
    </row>
    <row r="1783" spans="1:24" ht="89.25">
      <c r="A1783" s="3" t="s">
        <v>1259</v>
      </c>
      <c r="B1783" s="6" t="s">
        <v>361</v>
      </c>
      <c r="C1783" s="44" t="s">
        <v>4199</v>
      </c>
      <c r="D1783" s="44" t="s">
        <v>4197</v>
      </c>
      <c r="E1783" s="44" t="s">
        <v>4200</v>
      </c>
      <c r="F1783" s="6" t="s">
        <v>11753</v>
      </c>
      <c r="G1783" s="6" t="s">
        <v>11450</v>
      </c>
      <c r="H1783" s="54">
        <v>0</v>
      </c>
      <c r="I1783" s="16">
        <v>470000000</v>
      </c>
      <c r="J1783" s="56" t="s">
        <v>229</v>
      </c>
      <c r="K1783" s="6" t="s">
        <v>516</v>
      </c>
      <c r="L1783" s="16" t="s">
        <v>4567</v>
      </c>
      <c r="M1783" s="162" t="s">
        <v>230</v>
      </c>
      <c r="N1783" s="15" t="s">
        <v>521</v>
      </c>
      <c r="O1783" s="6" t="s">
        <v>4568</v>
      </c>
      <c r="P1783" s="58" t="s">
        <v>241</v>
      </c>
      <c r="Q1783" s="6" t="s">
        <v>234</v>
      </c>
      <c r="R1783" s="4">
        <v>12</v>
      </c>
      <c r="S1783" s="74">
        <v>37654</v>
      </c>
      <c r="T1783" s="4">
        <v>0</v>
      </c>
      <c r="U1783" s="4">
        <f t="shared" si="58"/>
        <v>0</v>
      </c>
      <c r="V1783" s="3" t="s">
        <v>362</v>
      </c>
      <c r="W1783" s="3">
        <v>2014</v>
      </c>
      <c r="X1783" s="3" t="s">
        <v>12037</v>
      </c>
    </row>
    <row r="1784" spans="1:24" ht="89.25">
      <c r="A1784" s="3" t="s">
        <v>12484</v>
      </c>
      <c r="B1784" s="6" t="s">
        <v>361</v>
      </c>
      <c r="C1784" s="44" t="s">
        <v>4199</v>
      </c>
      <c r="D1784" s="44" t="s">
        <v>4197</v>
      </c>
      <c r="E1784" s="44" t="s">
        <v>4200</v>
      </c>
      <c r="F1784" s="6" t="s">
        <v>11753</v>
      </c>
      <c r="G1784" s="6" t="s">
        <v>11450</v>
      </c>
      <c r="H1784" s="54">
        <v>0</v>
      </c>
      <c r="I1784" s="16">
        <v>470000000</v>
      </c>
      <c r="J1784" s="56" t="s">
        <v>229</v>
      </c>
      <c r="K1784" s="6" t="s">
        <v>12480</v>
      </c>
      <c r="L1784" s="17" t="s">
        <v>11411</v>
      </c>
      <c r="M1784" s="162" t="s">
        <v>230</v>
      </c>
      <c r="N1784" s="15" t="s">
        <v>521</v>
      </c>
      <c r="O1784" s="6" t="s">
        <v>4568</v>
      </c>
      <c r="P1784" s="58" t="s">
        <v>241</v>
      </c>
      <c r="Q1784" s="6" t="s">
        <v>234</v>
      </c>
      <c r="R1784" s="4">
        <v>12</v>
      </c>
      <c r="S1784" s="74">
        <v>37654</v>
      </c>
      <c r="T1784" s="4">
        <v>0</v>
      </c>
      <c r="U1784" s="4">
        <f t="shared" si="58"/>
        <v>0</v>
      </c>
      <c r="V1784" s="3"/>
      <c r="W1784" s="3">
        <v>2014</v>
      </c>
      <c r="X1784" s="3">
        <v>11</v>
      </c>
    </row>
    <row r="1785" spans="1:24" ht="89.25">
      <c r="A1785" s="3" t="s">
        <v>14859</v>
      </c>
      <c r="B1785" s="6" t="s">
        <v>361</v>
      </c>
      <c r="C1785" s="44" t="s">
        <v>4199</v>
      </c>
      <c r="D1785" s="44" t="s">
        <v>4197</v>
      </c>
      <c r="E1785" s="44" t="s">
        <v>4200</v>
      </c>
      <c r="F1785" s="6" t="s">
        <v>11753</v>
      </c>
      <c r="G1785" s="6" t="s">
        <v>11450</v>
      </c>
      <c r="H1785" s="54">
        <v>0</v>
      </c>
      <c r="I1785" s="16">
        <v>470000000</v>
      </c>
      <c r="J1785" s="56" t="s">
        <v>229</v>
      </c>
      <c r="K1785" s="6" t="s">
        <v>14858</v>
      </c>
      <c r="L1785" s="17" t="s">
        <v>11411</v>
      </c>
      <c r="M1785" s="162" t="s">
        <v>230</v>
      </c>
      <c r="N1785" s="15" t="s">
        <v>521</v>
      </c>
      <c r="O1785" s="6" t="s">
        <v>4568</v>
      </c>
      <c r="P1785" s="58" t="s">
        <v>241</v>
      </c>
      <c r="Q1785" s="6" t="s">
        <v>234</v>
      </c>
      <c r="R1785" s="4">
        <v>0</v>
      </c>
      <c r="S1785" s="74">
        <v>37654</v>
      </c>
      <c r="T1785" s="4">
        <f>R1785*S1785</f>
        <v>0</v>
      </c>
      <c r="U1785" s="4">
        <f t="shared" si="58"/>
        <v>0</v>
      </c>
      <c r="V1785" s="3"/>
      <c r="W1785" s="3">
        <v>2014</v>
      </c>
      <c r="X1785" s="3" t="s">
        <v>12076</v>
      </c>
    </row>
    <row r="1786" spans="1:24" ht="89.25">
      <c r="A1786" s="3" t="s">
        <v>1260</v>
      </c>
      <c r="B1786" s="6" t="s">
        <v>361</v>
      </c>
      <c r="C1786" s="44" t="s">
        <v>4199</v>
      </c>
      <c r="D1786" s="44" t="s">
        <v>4197</v>
      </c>
      <c r="E1786" s="44" t="s">
        <v>4200</v>
      </c>
      <c r="F1786" s="6" t="s">
        <v>11754</v>
      </c>
      <c r="G1786" s="6" t="s">
        <v>11450</v>
      </c>
      <c r="H1786" s="54">
        <v>0</v>
      </c>
      <c r="I1786" s="55">
        <v>470000000</v>
      </c>
      <c r="J1786" s="56" t="s">
        <v>229</v>
      </c>
      <c r="K1786" s="6" t="s">
        <v>516</v>
      </c>
      <c r="L1786" s="16" t="s">
        <v>4570</v>
      </c>
      <c r="M1786" s="162" t="s">
        <v>230</v>
      </c>
      <c r="N1786" s="15" t="s">
        <v>521</v>
      </c>
      <c r="O1786" s="6" t="s">
        <v>4568</v>
      </c>
      <c r="P1786" s="58" t="s">
        <v>241</v>
      </c>
      <c r="Q1786" s="6" t="s">
        <v>234</v>
      </c>
      <c r="R1786" s="3">
        <v>2</v>
      </c>
      <c r="S1786" s="1">
        <v>37654</v>
      </c>
      <c r="T1786" s="4">
        <v>0</v>
      </c>
      <c r="U1786" s="4">
        <f t="shared" si="58"/>
        <v>0</v>
      </c>
      <c r="V1786" s="166" t="s">
        <v>362</v>
      </c>
      <c r="W1786" s="3">
        <v>2014</v>
      </c>
      <c r="X1786" s="3" t="s">
        <v>12037</v>
      </c>
    </row>
    <row r="1787" spans="1:24" ht="89.25">
      <c r="A1787" s="3" t="s">
        <v>12485</v>
      </c>
      <c r="B1787" s="6" t="s">
        <v>361</v>
      </c>
      <c r="C1787" s="44" t="s">
        <v>4199</v>
      </c>
      <c r="D1787" s="44" t="s">
        <v>4197</v>
      </c>
      <c r="E1787" s="44" t="s">
        <v>4200</v>
      </c>
      <c r="F1787" s="6" t="s">
        <v>11754</v>
      </c>
      <c r="G1787" s="6" t="s">
        <v>11450</v>
      </c>
      <c r="H1787" s="54">
        <v>0</v>
      </c>
      <c r="I1787" s="55">
        <v>470000000</v>
      </c>
      <c r="J1787" s="56" t="s">
        <v>229</v>
      </c>
      <c r="K1787" s="6" t="s">
        <v>12480</v>
      </c>
      <c r="L1787" s="17" t="s">
        <v>11411</v>
      </c>
      <c r="M1787" s="162" t="s">
        <v>230</v>
      </c>
      <c r="N1787" s="15" t="s">
        <v>521</v>
      </c>
      <c r="O1787" s="6" t="s">
        <v>4568</v>
      </c>
      <c r="P1787" s="58" t="s">
        <v>241</v>
      </c>
      <c r="Q1787" s="6" t="s">
        <v>234</v>
      </c>
      <c r="R1787" s="3">
        <v>2</v>
      </c>
      <c r="S1787" s="1">
        <v>37654</v>
      </c>
      <c r="T1787" s="4">
        <v>0</v>
      </c>
      <c r="U1787" s="4">
        <f t="shared" si="58"/>
        <v>0</v>
      </c>
      <c r="V1787" s="166"/>
      <c r="W1787" s="3">
        <v>2014</v>
      </c>
      <c r="X1787" s="3">
        <v>11</v>
      </c>
    </row>
    <row r="1788" spans="1:24" ht="89.25">
      <c r="A1788" s="3" t="s">
        <v>14860</v>
      </c>
      <c r="B1788" s="6" t="s">
        <v>361</v>
      </c>
      <c r="C1788" s="44" t="s">
        <v>4199</v>
      </c>
      <c r="D1788" s="44" t="s">
        <v>4197</v>
      </c>
      <c r="E1788" s="44" t="s">
        <v>4200</v>
      </c>
      <c r="F1788" s="6" t="s">
        <v>11754</v>
      </c>
      <c r="G1788" s="6" t="s">
        <v>11450</v>
      </c>
      <c r="H1788" s="54">
        <v>0</v>
      </c>
      <c r="I1788" s="55">
        <v>470000000</v>
      </c>
      <c r="J1788" s="56" t="s">
        <v>229</v>
      </c>
      <c r="K1788" s="6" t="s">
        <v>14858</v>
      </c>
      <c r="L1788" s="17" t="s">
        <v>11411</v>
      </c>
      <c r="M1788" s="162" t="s">
        <v>230</v>
      </c>
      <c r="N1788" s="15" t="s">
        <v>521</v>
      </c>
      <c r="O1788" s="6" t="s">
        <v>4568</v>
      </c>
      <c r="P1788" s="58" t="s">
        <v>241</v>
      </c>
      <c r="Q1788" s="6" t="s">
        <v>234</v>
      </c>
      <c r="R1788" s="3">
        <v>0</v>
      </c>
      <c r="S1788" s="1">
        <v>37654</v>
      </c>
      <c r="T1788" s="4">
        <f>R1788*S1788</f>
        <v>0</v>
      </c>
      <c r="U1788" s="4">
        <f t="shared" si="58"/>
        <v>0</v>
      </c>
      <c r="V1788" s="166"/>
      <c r="W1788" s="3">
        <v>2014</v>
      </c>
      <c r="X1788" s="3" t="s">
        <v>12076</v>
      </c>
    </row>
    <row r="1789" spans="1:24" ht="89.25">
      <c r="A1789" s="3" t="s">
        <v>1261</v>
      </c>
      <c r="B1789" s="6" t="s">
        <v>361</v>
      </c>
      <c r="C1789" s="43" t="s">
        <v>4201</v>
      </c>
      <c r="D1789" s="43" t="s">
        <v>4202</v>
      </c>
      <c r="E1789" s="43" t="s">
        <v>4203</v>
      </c>
      <c r="F1789" s="6" t="s">
        <v>11755</v>
      </c>
      <c r="G1789" s="6" t="s">
        <v>11450</v>
      </c>
      <c r="H1789" s="54">
        <v>0</v>
      </c>
      <c r="I1789" s="16">
        <v>470000000</v>
      </c>
      <c r="J1789" s="56" t="s">
        <v>229</v>
      </c>
      <c r="K1789" s="6" t="s">
        <v>516</v>
      </c>
      <c r="L1789" s="16" t="s">
        <v>4567</v>
      </c>
      <c r="M1789" s="162" t="s">
        <v>230</v>
      </c>
      <c r="N1789" s="15" t="s">
        <v>521</v>
      </c>
      <c r="O1789" s="6" t="s">
        <v>4568</v>
      </c>
      <c r="P1789" s="58" t="s">
        <v>241</v>
      </c>
      <c r="Q1789" s="6" t="s">
        <v>234</v>
      </c>
      <c r="R1789" s="4">
        <v>18</v>
      </c>
      <c r="S1789" s="74">
        <v>34250</v>
      </c>
      <c r="T1789" s="4">
        <v>0</v>
      </c>
      <c r="U1789" s="4">
        <f t="shared" si="58"/>
        <v>0</v>
      </c>
      <c r="V1789" s="3" t="s">
        <v>362</v>
      </c>
      <c r="W1789" s="3">
        <v>2014</v>
      </c>
      <c r="X1789" s="3" t="s">
        <v>12037</v>
      </c>
    </row>
    <row r="1790" spans="1:24" ht="89.25">
      <c r="A1790" s="3" t="s">
        <v>12486</v>
      </c>
      <c r="B1790" s="6" t="s">
        <v>361</v>
      </c>
      <c r="C1790" s="43" t="s">
        <v>4201</v>
      </c>
      <c r="D1790" s="43" t="s">
        <v>4202</v>
      </c>
      <c r="E1790" s="43" t="s">
        <v>4203</v>
      </c>
      <c r="F1790" s="6" t="s">
        <v>11755</v>
      </c>
      <c r="G1790" s="6" t="s">
        <v>11450</v>
      </c>
      <c r="H1790" s="54">
        <v>0</v>
      </c>
      <c r="I1790" s="16">
        <v>470000000</v>
      </c>
      <c r="J1790" s="56" t="s">
        <v>229</v>
      </c>
      <c r="K1790" s="6" t="s">
        <v>12480</v>
      </c>
      <c r="L1790" s="17" t="s">
        <v>11411</v>
      </c>
      <c r="M1790" s="162" t="s">
        <v>230</v>
      </c>
      <c r="N1790" s="15" t="s">
        <v>521</v>
      </c>
      <c r="O1790" s="6" t="s">
        <v>4568</v>
      </c>
      <c r="P1790" s="58" t="s">
        <v>241</v>
      </c>
      <c r="Q1790" s="6" t="s">
        <v>234</v>
      </c>
      <c r="R1790" s="4">
        <v>18</v>
      </c>
      <c r="S1790" s="74">
        <v>34250</v>
      </c>
      <c r="T1790" s="4">
        <v>0</v>
      </c>
      <c r="U1790" s="4">
        <f t="shared" si="58"/>
        <v>0</v>
      </c>
      <c r="V1790" s="3"/>
      <c r="W1790" s="3">
        <v>2014</v>
      </c>
      <c r="X1790" s="3" t="s">
        <v>14780</v>
      </c>
    </row>
    <row r="1791" spans="1:24" ht="89.25">
      <c r="A1791" s="3" t="s">
        <v>14861</v>
      </c>
      <c r="B1791" s="6" t="s">
        <v>361</v>
      </c>
      <c r="C1791" s="43" t="s">
        <v>4201</v>
      </c>
      <c r="D1791" s="43" t="s">
        <v>4202</v>
      </c>
      <c r="E1791" s="43" t="s">
        <v>4203</v>
      </c>
      <c r="F1791" s="6" t="s">
        <v>11755</v>
      </c>
      <c r="G1791" s="6" t="s">
        <v>11450</v>
      </c>
      <c r="H1791" s="54">
        <v>0</v>
      </c>
      <c r="I1791" s="16">
        <v>470000000</v>
      </c>
      <c r="J1791" s="56" t="s">
        <v>229</v>
      </c>
      <c r="K1791" s="6" t="s">
        <v>14858</v>
      </c>
      <c r="L1791" s="17" t="s">
        <v>11411</v>
      </c>
      <c r="M1791" s="162" t="s">
        <v>230</v>
      </c>
      <c r="N1791" s="15" t="s">
        <v>521</v>
      </c>
      <c r="O1791" s="6" t="s">
        <v>4568</v>
      </c>
      <c r="P1791" s="58" t="s">
        <v>241</v>
      </c>
      <c r="Q1791" s="6" t="s">
        <v>234</v>
      </c>
      <c r="R1791" s="4">
        <v>15</v>
      </c>
      <c r="S1791" s="74">
        <v>34250</v>
      </c>
      <c r="T1791" s="4">
        <v>0</v>
      </c>
      <c r="U1791" s="4">
        <f t="shared" si="58"/>
        <v>0</v>
      </c>
      <c r="V1791" s="3"/>
      <c r="W1791" s="3">
        <v>2014</v>
      </c>
      <c r="X1791" s="3" t="s">
        <v>16521</v>
      </c>
    </row>
    <row r="1792" spans="1:24" ht="89.25">
      <c r="A1792" s="3" t="s">
        <v>17493</v>
      </c>
      <c r="B1792" s="6" t="s">
        <v>361</v>
      </c>
      <c r="C1792" s="43" t="s">
        <v>4201</v>
      </c>
      <c r="D1792" s="43" t="s">
        <v>4202</v>
      </c>
      <c r="E1792" s="43" t="s">
        <v>4203</v>
      </c>
      <c r="F1792" s="6" t="s">
        <v>11755</v>
      </c>
      <c r="G1792" s="3" t="s">
        <v>11450</v>
      </c>
      <c r="H1792" s="54">
        <v>0</v>
      </c>
      <c r="I1792" s="16">
        <v>470000000</v>
      </c>
      <c r="J1792" s="56" t="s">
        <v>229</v>
      </c>
      <c r="K1792" s="6" t="s">
        <v>222</v>
      </c>
      <c r="L1792" s="17" t="s">
        <v>11411</v>
      </c>
      <c r="M1792" s="162" t="s">
        <v>230</v>
      </c>
      <c r="N1792" s="15" t="s">
        <v>17491</v>
      </c>
      <c r="O1792" s="6" t="s">
        <v>4568</v>
      </c>
      <c r="P1792" s="58" t="s">
        <v>241</v>
      </c>
      <c r="Q1792" s="6" t="s">
        <v>234</v>
      </c>
      <c r="R1792" s="4">
        <v>15</v>
      </c>
      <c r="S1792" s="74">
        <v>41100</v>
      </c>
      <c r="T1792" s="4">
        <f>R1792*S1792</f>
        <v>616500</v>
      </c>
      <c r="U1792" s="4">
        <f t="shared" si="58"/>
        <v>690480.00000000012</v>
      </c>
      <c r="V1792" s="3"/>
      <c r="W1792" s="3">
        <v>2014</v>
      </c>
      <c r="X1792" s="3"/>
    </row>
    <row r="1793" spans="1:24" ht="89.25">
      <c r="A1793" s="3" t="s">
        <v>1262</v>
      </c>
      <c r="B1793" s="6" t="s">
        <v>361</v>
      </c>
      <c r="C1793" s="43" t="s">
        <v>4204</v>
      </c>
      <c r="D1793" s="43" t="s">
        <v>4202</v>
      </c>
      <c r="E1793" s="43" t="s">
        <v>4205</v>
      </c>
      <c r="F1793" s="6" t="s">
        <v>11756</v>
      </c>
      <c r="G1793" s="6" t="s">
        <v>11450</v>
      </c>
      <c r="H1793" s="54">
        <v>0</v>
      </c>
      <c r="I1793" s="55">
        <v>470000000</v>
      </c>
      <c r="J1793" s="56" t="s">
        <v>229</v>
      </c>
      <c r="K1793" s="6" t="s">
        <v>516</v>
      </c>
      <c r="L1793" s="16" t="s">
        <v>4570</v>
      </c>
      <c r="M1793" s="162" t="s">
        <v>230</v>
      </c>
      <c r="N1793" s="15" t="s">
        <v>521</v>
      </c>
      <c r="O1793" s="6" t="s">
        <v>4568</v>
      </c>
      <c r="P1793" s="58" t="s">
        <v>241</v>
      </c>
      <c r="Q1793" s="6" t="s">
        <v>234</v>
      </c>
      <c r="R1793" s="3">
        <v>5</v>
      </c>
      <c r="S1793" s="1">
        <v>37625</v>
      </c>
      <c r="T1793" s="4">
        <v>0</v>
      </c>
      <c r="U1793" s="4">
        <f t="shared" si="58"/>
        <v>0</v>
      </c>
      <c r="V1793" s="166" t="s">
        <v>362</v>
      </c>
      <c r="W1793" s="3">
        <v>2014</v>
      </c>
      <c r="X1793" s="3" t="s">
        <v>12037</v>
      </c>
    </row>
    <row r="1794" spans="1:24" ht="89.25">
      <c r="A1794" s="3" t="s">
        <v>12487</v>
      </c>
      <c r="B1794" s="6" t="s">
        <v>361</v>
      </c>
      <c r="C1794" s="43" t="s">
        <v>4204</v>
      </c>
      <c r="D1794" s="43" t="s">
        <v>4202</v>
      </c>
      <c r="E1794" s="43" t="s">
        <v>4205</v>
      </c>
      <c r="F1794" s="6" t="s">
        <v>11756</v>
      </c>
      <c r="G1794" s="6" t="s">
        <v>11450</v>
      </c>
      <c r="H1794" s="54">
        <v>0</v>
      </c>
      <c r="I1794" s="55">
        <v>470000000</v>
      </c>
      <c r="J1794" s="56" t="s">
        <v>229</v>
      </c>
      <c r="K1794" s="6" t="s">
        <v>12480</v>
      </c>
      <c r="L1794" s="17" t="s">
        <v>11411</v>
      </c>
      <c r="M1794" s="162" t="s">
        <v>230</v>
      </c>
      <c r="N1794" s="15" t="s">
        <v>521</v>
      </c>
      <c r="O1794" s="6" t="s">
        <v>4568</v>
      </c>
      <c r="P1794" s="58" t="s">
        <v>241</v>
      </c>
      <c r="Q1794" s="6" t="s">
        <v>234</v>
      </c>
      <c r="R1794" s="3">
        <v>5</v>
      </c>
      <c r="S1794" s="1">
        <v>37625</v>
      </c>
      <c r="T1794" s="4">
        <v>0</v>
      </c>
      <c r="U1794" s="4">
        <f t="shared" si="58"/>
        <v>0</v>
      </c>
      <c r="V1794" s="166"/>
      <c r="W1794" s="3">
        <v>2014</v>
      </c>
      <c r="X1794" s="3" t="s">
        <v>14780</v>
      </c>
    </row>
    <row r="1795" spans="1:24" ht="89.25">
      <c r="A1795" s="3" t="s">
        <v>14862</v>
      </c>
      <c r="B1795" s="6" t="s">
        <v>361</v>
      </c>
      <c r="C1795" s="43" t="s">
        <v>4204</v>
      </c>
      <c r="D1795" s="43" t="s">
        <v>4202</v>
      </c>
      <c r="E1795" s="43" t="s">
        <v>4205</v>
      </c>
      <c r="F1795" s="6" t="s">
        <v>11756</v>
      </c>
      <c r="G1795" s="6" t="s">
        <v>11450</v>
      </c>
      <c r="H1795" s="54">
        <v>0</v>
      </c>
      <c r="I1795" s="55">
        <v>470000000</v>
      </c>
      <c r="J1795" s="56" t="s">
        <v>229</v>
      </c>
      <c r="K1795" s="6" t="s">
        <v>14858</v>
      </c>
      <c r="L1795" s="17" t="s">
        <v>11411</v>
      </c>
      <c r="M1795" s="162" t="s">
        <v>230</v>
      </c>
      <c r="N1795" s="15" t="s">
        <v>521</v>
      </c>
      <c r="O1795" s="6" t="s">
        <v>4568</v>
      </c>
      <c r="P1795" s="58" t="s">
        <v>241</v>
      </c>
      <c r="Q1795" s="6" t="s">
        <v>234</v>
      </c>
      <c r="R1795" s="3">
        <v>2</v>
      </c>
      <c r="S1795" s="1">
        <v>37625</v>
      </c>
      <c r="T1795" s="4">
        <v>0</v>
      </c>
      <c r="U1795" s="4">
        <f t="shared" si="58"/>
        <v>0</v>
      </c>
      <c r="V1795" s="166"/>
      <c r="W1795" s="3">
        <v>2014</v>
      </c>
      <c r="X1795" s="3" t="s">
        <v>16521</v>
      </c>
    </row>
    <row r="1796" spans="1:24" ht="89.25">
      <c r="A1796" s="3" t="s">
        <v>17494</v>
      </c>
      <c r="B1796" s="6" t="s">
        <v>361</v>
      </c>
      <c r="C1796" s="43" t="s">
        <v>4204</v>
      </c>
      <c r="D1796" s="43" t="s">
        <v>4202</v>
      </c>
      <c r="E1796" s="43" t="s">
        <v>4205</v>
      </c>
      <c r="F1796" s="6" t="s">
        <v>11756</v>
      </c>
      <c r="G1796" s="3" t="s">
        <v>11450</v>
      </c>
      <c r="H1796" s="54">
        <v>0</v>
      </c>
      <c r="I1796" s="55">
        <v>470000000</v>
      </c>
      <c r="J1796" s="56" t="s">
        <v>229</v>
      </c>
      <c r="K1796" s="6" t="s">
        <v>222</v>
      </c>
      <c r="L1796" s="17" t="s">
        <v>11411</v>
      </c>
      <c r="M1796" s="162" t="s">
        <v>230</v>
      </c>
      <c r="N1796" s="15" t="s">
        <v>17491</v>
      </c>
      <c r="O1796" s="6" t="s">
        <v>4568</v>
      </c>
      <c r="P1796" s="58" t="s">
        <v>241</v>
      </c>
      <c r="Q1796" s="6" t="s">
        <v>234</v>
      </c>
      <c r="R1796" s="3">
        <v>2</v>
      </c>
      <c r="S1796" s="1">
        <v>45768</v>
      </c>
      <c r="T1796" s="4">
        <f>R1796*S1796</f>
        <v>91536</v>
      </c>
      <c r="U1796" s="4">
        <f t="shared" si="58"/>
        <v>102520.32000000001</v>
      </c>
      <c r="V1796" s="166"/>
      <c r="W1796" s="3">
        <v>2014</v>
      </c>
      <c r="X1796" s="3"/>
    </row>
    <row r="1797" spans="1:24" ht="89.25">
      <c r="A1797" s="3" t="s">
        <v>1263</v>
      </c>
      <c r="B1797" s="6" t="s">
        <v>361</v>
      </c>
      <c r="C1797" s="43" t="s">
        <v>4206</v>
      </c>
      <c r="D1797" s="43" t="s">
        <v>3422</v>
      </c>
      <c r="E1797" s="43" t="s">
        <v>4207</v>
      </c>
      <c r="F1797" s="46" t="s">
        <v>4571</v>
      </c>
      <c r="G1797" s="6" t="s">
        <v>11450</v>
      </c>
      <c r="H1797" s="54">
        <v>0</v>
      </c>
      <c r="I1797" s="16">
        <v>470000000</v>
      </c>
      <c r="J1797" s="56" t="s">
        <v>229</v>
      </c>
      <c r="K1797" s="6" t="s">
        <v>516</v>
      </c>
      <c r="L1797" s="16" t="s">
        <v>4567</v>
      </c>
      <c r="M1797" s="162" t="s">
        <v>230</v>
      </c>
      <c r="N1797" s="15" t="s">
        <v>521</v>
      </c>
      <c r="O1797" s="6" t="s">
        <v>4568</v>
      </c>
      <c r="P1797" s="58" t="s">
        <v>241</v>
      </c>
      <c r="Q1797" s="6" t="s">
        <v>234</v>
      </c>
      <c r="R1797" s="4">
        <v>15</v>
      </c>
      <c r="S1797" s="74">
        <v>15700</v>
      </c>
      <c r="T1797" s="4">
        <v>0</v>
      </c>
      <c r="U1797" s="4">
        <f t="shared" si="58"/>
        <v>0</v>
      </c>
      <c r="V1797" s="3" t="s">
        <v>362</v>
      </c>
      <c r="W1797" s="3">
        <v>2014</v>
      </c>
      <c r="X1797" s="3" t="s">
        <v>12037</v>
      </c>
    </row>
    <row r="1798" spans="1:24" ht="89.25">
      <c r="A1798" s="3" t="s">
        <v>12488</v>
      </c>
      <c r="B1798" s="6" t="s">
        <v>361</v>
      </c>
      <c r="C1798" s="43" t="s">
        <v>4206</v>
      </c>
      <c r="D1798" s="43" t="s">
        <v>3422</v>
      </c>
      <c r="E1798" s="43" t="s">
        <v>4207</v>
      </c>
      <c r="F1798" s="46" t="s">
        <v>4571</v>
      </c>
      <c r="G1798" s="6" t="s">
        <v>11450</v>
      </c>
      <c r="H1798" s="54">
        <v>0</v>
      </c>
      <c r="I1798" s="16">
        <v>470000000</v>
      </c>
      <c r="J1798" s="56" t="s">
        <v>229</v>
      </c>
      <c r="K1798" s="6" t="s">
        <v>12480</v>
      </c>
      <c r="L1798" s="17" t="s">
        <v>11411</v>
      </c>
      <c r="M1798" s="162" t="s">
        <v>230</v>
      </c>
      <c r="N1798" s="15" t="s">
        <v>521</v>
      </c>
      <c r="O1798" s="6" t="s">
        <v>4568</v>
      </c>
      <c r="P1798" s="58" t="s">
        <v>241</v>
      </c>
      <c r="Q1798" s="6" t="s">
        <v>234</v>
      </c>
      <c r="R1798" s="4">
        <v>15</v>
      </c>
      <c r="S1798" s="74">
        <v>15700</v>
      </c>
      <c r="T1798" s="4">
        <v>0</v>
      </c>
      <c r="U1798" s="4">
        <f t="shared" si="58"/>
        <v>0</v>
      </c>
      <c r="V1798" s="3"/>
      <c r="W1798" s="3">
        <v>2014</v>
      </c>
      <c r="X1798" s="3" t="s">
        <v>12051</v>
      </c>
    </row>
    <row r="1799" spans="1:24" ht="89.25">
      <c r="A1799" s="3" t="s">
        <v>14863</v>
      </c>
      <c r="B1799" s="6" t="s">
        <v>361</v>
      </c>
      <c r="C1799" s="43" t="s">
        <v>4206</v>
      </c>
      <c r="D1799" s="43" t="s">
        <v>3422</v>
      </c>
      <c r="E1799" s="43" t="s">
        <v>4207</v>
      </c>
      <c r="F1799" s="46" t="s">
        <v>4571</v>
      </c>
      <c r="G1799" s="6" t="s">
        <v>11450</v>
      </c>
      <c r="H1799" s="54">
        <v>0</v>
      </c>
      <c r="I1799" s="16">
        <v>470000000</v>
      </c>
      <c r="J1799" s="56" t="s">
        <v>229</v>
      </c>
      <c r="K1799" s="6" t="s">
        <v>14858</v>
      </c>
      <c r="L1799" s="17" t="s">
        <v>11411</v>
      </c>
      <c r="M1799" s="162" t="s">
        <v>230</v>
      </c>
      <c r="N1799" s="15" t="s">
        <v>521</v>
      </c>
      <c r="O1799" s="6" t="s">
        <v>4568</v>
      </c>
      <c r="P1799" s="58" t="s">
        <v>241</v>
      </c>
      <c r="Q1799" s="6" t="s">
        <v>234</v>
      </c>
      <c r="R1799" s="4">
        <v>5</v>
      </c>
      <c r="S1799" s="74">
        <v>15710</v>
      </c>
      <c r="T1799" s="4">
        <v>0</v>
      </c>
      <c r="U1799" s="4">
        <f t="shared" si="58"/>
        <v>0</v>
      </c>
      <c r="V1799" s="3"/>
      <c r="W1799" s="3">
        <v>2014</v>
      </c>
      <c r="X1799" s="3" t="s">
        <v>14230</v>
      </c>
    </row>
    <row r="1800" spans="1:24" ht="89.25">
      <c r="A1800" s="3" t="s">
        <v>19233</v>
      </c>
      <c r="B1800" s="6" t="s">
        <v>361</v>
      </c>
      <c r="C1800" s="43" t="s">
        <v>4206</v>
      </c>
      <c r="D1800" s="43" t="s">
        <v>3422</v>
      </c>
      <c r="E1800" s="43" t="s">
        <v>4207</v>
      </c>
      <c r="F1800" s="46" t="s">
        <v>4571</v>
      </c>
      <c r="G1800" s="6" t="s">
        <v>11450</v>
      </c>
      <c r="H1800" s="54">
        <v>0</v>
      </c>
      <c r="I1800" s="16">
        <v>470000000</v>
      </c>
      <c r="J1800" s="56" t="s">
        <v>229</v>
      </c>
      <c r="K1800" s="6" t="s">
        <v>14858</v>
      </c>
      <c r="L1800" s="17" t="s">
        <v>11411</v>
      </c>
      <c r="M1800" s="162" t="s">
        <v>230</v>
      </c>
      <c r="N1800" s="15" t="s">
        <v>521</v>
      </c>
      <c r="O1800" s="6" t="s">
        <v>4568</v>
      </c>
      <c r="P1800" s="58" t="s">
        <v>241</v>
      </c>
      <c r="Q1800" s="6" t="s">
        <v>234</v>
      </c>
      <c r="R1800" s="4">
        <v>5</v>
      </c>
      <c r="S1800" s="74">
        <v>11900</v>
      </c>
      <c r="T1800" s="4">
        <f>R1800*S1800</f>
        <v>59500</v>
      </c>
      <c r="U1800" s="4">
        <f t="shared" ref="U1800" si="59">T1800*1.12</f>
        <v>66640</v>
      </c>
      <c r="V1800" s="3"/>
      <c r="W1800" s="3">
        <v>2014</v>
      </c>
      <c r="X1800" s="3"/>
    </row>
    <row r="1801" spans="1:24" ht="89.25">
      <c r="A1801" s="3" t="s">
        <v>1264</v>
      </c>
      <c r="B1801" s="6" t="s">
        <v>361</v>
      </c>
      <c r="C1801" s="100" t="s">
        <v>4208</v>
      </c>
      <c r="D1801" s="101" t="s">
        <v>4209</v>
      </c>
      <c r="E1801" s="101" t="s">
        <v>4210</v>
      </c>
      <c r="F1801" s="6" t="s">
        <v>4572</v>
      </c>
      <c r="G1801" s="6" t="s">
        <v>11450</v>
      </c>
      <c r="H1801" s="54">
        <v>0</v>
      </c>
      <c r="I1801" s="55">
        <v>470000000</v>
      </c>
      <c r="J1801" s="56" t="s">
        <v>229</v>
      </c>
      <c r="K1801" s="6" t="s">
        <v>517</v>
      </c>
      <c r="L1801" s="16" t="s">
        <v>4570</v>
      </c>
      <c r="M1801" s="162" t="s">
        <v>230</v>
      </c>
      <c r="N1801" s="15" t="s">
        <v>521</v>
      </c>
      <c r="O1801" s="6" t="s">
        <v>4568</v>
      </c>
      <c r="P1801" s="58" t="s">
        <v>241</v>
      </c>
      <c r="Q1801" s="6" t="s">
        <v>234</v>
      </c>
      <c r="R1801" s="3">
        <v>1</v>
      </c>
      <c r="S1801" s="1">
        <v>7850</v>
      </c>
      <c r="T1801" s="4">
        <v>0</v>
      </c>
      <c r="U1801" s="4">
        <f t="shared" si="58"/>
        <v>0</v>
      </c>
      <c r="V1801" s="166" t="s">
        <v>362</v>
      </c>
      <c r="W1801" s="3">
        <v>2014</v>
      </c>
      <c r="X1801" s="3" t="s">
        <v>12037</v>
      </c>
    </row>
    <row r="1802" spans="1:24" ht="89.25">
      <c r="A1802" s="3" t="s">
        <v>12366</v>
      </c>
      <c r="B1802" s="6" t="s">
        <v>361</v>
      </c>
      <c r="C1802" s="100" t="s">
        <v>4208</v>
      </c>
      <c r="D1802" s="101" t="s">
        <v>4209</v>
      </c>
      <c r="E1802" s="101" t="s">
        <v>4210</v>
      </c>
      <c r="F1802" s="6" t="s">
        <v>4572</v>
      </c>
      <c r="G1802" s="6" t="s">
        <v>11450</v>
      </c>
      <c r="H1802" s="54">
        <v>0</v>
      </c>
      <c r="I1802" s="55">
        <v>470000000</v>
      </c>
      <c r="J1802" s="56" t="s">
        <v>229</v>
      </c>
      <c r="K1802" s="6" t="s">
        <v>12367</v>
      </c>
      <c r="L1802" s="17" t="s">
        <v>11411</v>
      </c>
      <c r="M1802" s="162" t="s">
        <v>230</v>
      </c>
      <c r="N1802" s="15" t="s">
        <v>521</v>
      </c>
      <c r="O1802" s="6" t="s">
        <v>4568</v>
      </c>
      <c r="P1802" s="58" t="s">
        <v>241</v>
      </c>
      <c r="Q1802" s="6" t="s">
        <v>234</v>
      </c>
      <c r="R1802" s="3">
        <v>0</v>
      </c>
      <c r="S1802" s="1">
        <v>7850</v>
      </c>
      <c r="T1802" s="4">
        <f>R1802*S1802</f>
        <v>0</v>
      </c>
      <c r="U1802" s="4">
        <f t="shared" si="58"/>
        <v>0</v>
      </c>
      <c r="V1802" s="166"/>
      <c r="W1802" s="3">
        <v>2014</v>
      </c>
      <c r="X1802" s="3" t="s">
        <v>12076</v>
      </c>
    </row>
    <row r="1803" spans="1:24" ht="89.25">
      <c r="A1803" s="3" t="s">
        <v>1265</v>
      </c>
      <c r="B1803" s="6" t="s">
        <v>361</v>
      </c>
      <c r="C1803" s="100" t="s">
        <v>4208</v>
      </c>
      <c r="D1803" s="101" t="s">
        <v>4209</v>
      </c>
      <c r="E1803" s="101" t="s">
        <v>4210</v>
      </c>
      <c r="F1803" s="6" t="s">
        <v>4573</v>
      </c>
      <c r="G1803" s="6" t="s">
        <v>11450</v>
      </c>
      <c r="H1803" s="54">
        <v>0</v>
      </c>
      <c r="I1803" s="16">
        <v>470000000</v>
      </c>
      <c r="J1803" s="56" t="s">
        <v>229</v>
      </c>
      <c r="K1803" s="6" t="s">
        <v>517</v>
      </c>
      <c r="L1803" s="16" t="s">
        <v>4567</v>
      </c>
      <c r="M1803" s="162" t="s">
        <v>230</v>
      </c>
      <c r="N1803" s="15" t="s">
        <v>521</v>
      </c>
      <c r="O1803" s="6" t="s">
        <v>4568</v>
      </c>
      <c r="P1803" s="58" t="s">
        <v>241</v>
      </c>
      <c r="Q1803" s="6" t="s">
        <v>234</v>
      </c>
      <c r="R1803" s="4">
        <v>1</v>
      </c>
      <c r="S1803" s="74">
        <v>8234</v>
      </c>
      <c r="T1803" s="4">
        <v>0</v>
      </c>
      <c r="U1803" s="4">
        <f t="shared" si="58"/>
        <v>0</v>
      </c>
      <c r="V1803" s="3" t="s">
        <v>362</v>
      </c>
      <c r="W1803" s="3">
        <v>2014</v>
      </c>
      <c r="X1803" s="3" t="s">
        <v>12037</v>
      </c>
    </row>
    <row r="1804" spans="1:24" ht="89.25">
      <c r="A1804" s="3" t="s">
        <v>12368</v>
      </c>
      <c r="B1804" s="6" t="s">
        <v>361</v>
      </c>
      <c r="C1804" s="100" t="s">
        <v>4208</v>
      </c>
      <c r="D1804" s="101" t="s">
        <v>4209</v>
      </c>
      <c r="E1804" s="101" t="s">
        <v>4210</v>
      </c>
      <c r="F1804" s="6" t="s">
        <v>4573</v>
      </c>
      <c r="G1804" s="6" t="s">
        <v>11450</v>
      </c>
      <c r="H1804" s="54">
        <v>0</v>
      </c>
      <c r="I1804" s="16">
        <v>470000000</v>
      </c>
      <c r="J1804" s="56" t="s">
        <v>229</v>
      </c>
      <c r="K1804" s="6" t="s">
        <v>12367</v>
      </c>
      <c r="L1804" s="17" t="s">
        <v>11411</v>
      </c>
      <c r="M1804" s="162" t="s">
        <v>230</v>
      </c>
      <c r="N1804" s="15" t="s">
        <v>521</v>
      </c>
      <c r="O1804" s="6" t="s">
        <v>4568</v>
      </c>
      <c r="P1804" s="58" t="s">
        <v>241</v>
      </c>
      <c r="Q1804" s="6" t="s">
        <v>234</v>
      </c>
      <c r="R1804" s="4">
        <v>0</v>
      </c>
      <c r="S1804" s="74">
        <v>8234</v>
      </c>
      <c r="T1804" s="4">
        <f>R1804*S1804</f>
        <v>0</v>
      </c>
      <c r="U1804" s="4">
        <f t="shared" si="58"/>
        <v>0</v>
      </c>
      <c r="V1804" s="3"/>
      <c r="W1804" s="3">
        <v>2014</v>
      </c>
      <c r="X1804" s="3" t="s">
        <v>12076</v>
      </c>
    </row>
    <row r="1805" spans="1:24" ht="89.25">
      <c r="A1805" s="3" t="s">
        <v>1266</v>
      </c>
      <c r="B1805" s="6" t="s">
        <v>361</v>
      </c>
      <c r="C1805" s="100" t="s">
        <v>4208</v>
      </c>
      <c r="D1805" s="101" t="s">
        <v>4209</v>
      </c>
      <c r="E1805" s="101" t="s">
        <v>4210</v>
      </c>
      <c r="F1805" s="6" t="s">
        <v>4574</v>
      </c>
      <c r="G1805" s="6" t="s">
        <v>11450</v>
      </c>
      <c r="H1805" s="54">
        <v>0</v>
      </c>
      <c r="I1805" s="55">
        <v>470000000</v>
      </c>
      <c r="J1805" s="56" t="s">
        <v>229</v>
      </c>
      <c r="K1805" s="6" t="s">
        <v>517</v>
      </c>
      <c r="L1805" s="16" t="s">
        <v>4570</v>
      </c>
      <c r="M1805" s="162" t="s">
        <v>230</v>
      </c>
      <c r="N1805" s="15" t="s">
        <v>521</v>
      </c>
      <c r="O1805" s="6" t="s">
        <v>4568</v>
      </c>
      <c r="P1805" s="58" t="s">
        <v>241</v>
      </c>
      <c r="Q1805" s="6" t="s">
        <v>234</v>
      </c>
      <c r="R1805" s="3">
        <v>1</v>
      </c>
      <c r="S1805" s="1">
        <v>8454</v>
      </c>
      <c r="T1805" s="4">
        <v>0</v>
      </c>
      <c r="U1805" s="4">
        <f t="shared" si="58"/>
        <v>0</v>
      </c>
      <c r="V1805" s="166" t="s">
        <v>362</v>
      </c>
      <c r="W1805" s="3">
        <v>2014</v>
      </c>
      <c r="X1805" s="3" t="s">
        <v>12037</v>
      </c>
    </row>
    <row r="1806" spans="1:24" ht="89.25">
      <c r="A1806" s="3" t="s">
        <v>12369</v>
      </c>
      <c r="B1806" s="6" t="s">
        <v>361</v>
      </c>
      <c r="C1806" s="100" t="s">
        <v>4208</v>
      </c>
      <c r="D1806" s="101" t="s">
        <v>4209</v>
      </c>
      <c r="E1806" s="101" t="s">
        <v>4210</v>
      </c>
      <c r="F1806" s="6" t="s">
        <v>4574</v>
      </c>
      <c r="G1806" s="6" t="s">
        <v>11450</v>
      </c>
      <c r="H1806" s="54">
        <v>0</v>
      </c>
      <c r="I1806" s="55">
        <v>470000000</v>
      </c>
      <c r="J1806" s="56" t="s">
        <v>229</v>
      </c>
      <c r="K1806" s="6" t="s">
        <v>12367</v>
      </c>
      <c r="L1806" s="17" t="s">
        <v>11411</v>
      </c>
      <c r="M1806" s="162" t="s">
        <v>230</v>
      </c>
      <c r="N1806" s="15" t="s">
        <v>521</v>
      </c>
      <c r="O1806" s="6" t="s">
        <v>4568</v>
      </c>
      <c r="P1806" s="58" t="s">
        <v>241</v>
      </c>
      <c r="Q1806" s="6" t="s">
        <v>234</v>
      </c>
      <c r="R1806" s="3">
        <v>0</v>
      </c>
      <c r="S1806" s="1">
        <v>8454</v>
      </c>
      <c r="T1806" s="4">
        <f>R1806*S1806</f>
        <v>0</v>
      </c>
      <c r="U1806" s="4">
        <f t="shared" si="58"/>
        <v>0</v>
      </c>
      <c r="V1806" s="166"/>
      <c r="W1806" s="3">
        <v>2014</v>
      </c>
      <c r="X1806" s="3" t="s">
        <v>12076</v>
      </c>
    </row>
    <row r="1807" spans="1:24" ht="89.25">
      <c r="A1807" s="3" t="s">
        <v>1267</v>
      </c>
      <c r="B1807" s="6" t="s">
        <v>361</v>
      </c>
      <c r="C1807" s="100" t="s">
        <v>11639</v>
      </c>
      <c r="D1807" s="101" t="s">
        <v>340</v>
      </c>
      <c r="E1807" s="101" t="s">
        <v>11640</v>
      </c>
      <c r="F1807" s="6" t="s">
        <v>4575</v>
      </c>
      <c r="G1807" s="6" t="s">
        <v>11450</v>
      </c>
      <c r="H1807" s="54">
        <v>0</v>
      </c>
      <c r="I1807" s="16">
        <v>470000000</v>
      </c>
      <c r="J1807" s="56" t="s">
        <v>229</v>
      </c>
      <c r="K1807" s="6" t="s">
        <v>517</v>
      </c>
      <c r="L1807" s="16" t="s">
        <v>4567</v>
      </c>
      <c r="M1807" s="162" t="s">
        <v>230</v>
      </c>
      <c r="N1807" s="15" t="s">
        <v>521</v>
      </c>
      <c r="O1807" s="6" t="s">
        <v>4568</v>
      </c>
      <c r="P1807" s="58" t="s">
        <v>241</v>
      </c>
      <c r="Q1807" s="6" t="s">
        <v>234</v>
      </c>
      <c r="R1807" s="4">
        <v>12</v>
      </c>
      <c r="S1807" s="74">
        <v>8700</v>
      </c>
      <c r="T1807" s="4">
        <v>0</v>
      </c>
      <c r="U1807" s="4">
        <f t="shared" si="58"/>
        <v>0</v>
      </c>
      <c r="V1807" s="3" t="s">
        <v>362</v>
      </c>
      <c r="W1807" s="3">
        <v>2014</v>
      </c>
      <c r="X1807" s="3" t="s">
        <v>12037</v>
      </c>
    </row>
    <row r="1808" spans="1:24" ht="89.25">
      <c r="A1808" s="3" t="s">
        <v>12370</v>
      </c>
      <c r="B1808" s="6" t="s">
        <v>361</v>
      </c>
      <c r="C1808" s="100" t="s">
        <v>11639</v>
      </c>
      <c r="D1808" s="101" t="s">
        <v>340</v>
      </c>
      <c r="E1808" s="101" t="s">
        <v>11640</v>
      </c>
      <c r="F1808" s="6" t="s">
        <v>4575</v>
      </c>
      <c r="G1808" s="6" t="s">
        <v>11450</v>
      </c>
      <c r="H1808" s="54">
        <v>0</v>
      </c>
      <c r="I1808" s="16">
        <v>470000000</v>
      </c>
      <c r="J1808" s="56" t="s">
        <v>229</v>
      </c>
      <c r="K1808" s="6" t="s">
        <v>12367</v>
      </c>
      <c r="L1808" s="17" t="s">
        <v>11411</v>
      </c>
      <c r="M1808" s="162" t="s">
        <v>230</v>
      </c>
      <c r="N1808" s="15" t="s">
        <v>521</v>
      </c>
      <c r="O1808" s="6" t="s">
        <v>4568</v>
      </c>
      <c r="P1808" s="58" t="s">
        <v>241</v>
      </c>
      <c r="Q1808" s="6" t="s">
        <v>234</v>
      </c>
      <c r="R1808" s="4">
        <v>12</v>
      </c>
      <c r="S1808" s="74">
        <v>8700</v>
      </c>
      <c r="T1808" s="4">
        <v>0</v>
      </c>
      <c r="U1808" s="4">
        <f t="shared" si="58"/>
        <v>0</v>
      </c>
      <c r="V1808" s="3"/>
      <c r="W1808" s="3">
        <v>2014</v>
      </c>
      <c r="X1808" s="3">
        <v>11</v>
      </c>
    </row>
    <row r="1809" spans="1:24" ht="89.25">
      <c r="A1809" s="3" t="s">
        <v>14864</v>
      </c>
      <c r="B1809" s="6" t="s">
        <v>361</v>
      </c>
      <c r="C1809" s="100" t="s">
        <v>11639</v>
      </c>
      <c r="D1809" s="101" t="s">
        <v>340</v>
      </c>
      <c r="E1809" s="101" t="s">
        <v>11640</v>
      </c>
      <c r="F1809" s="6" t="s">
        <v>4575</v>
      </c>
      <c r="G1809" s="6" t="s">
        <v>11450</v>
      </c>
      <c r="H1809" s="54">
        <v>0</v>
      </c>
      <c r="I1809" s="16">
        <v>470000000</v>
      </c>
      <c r="J1809" s="56" t="s">
        <v>229</v>
      </c>
      <c r="K1809" s="6" t="s">
        <v>222</v>
      </c>
      <c r="L1809" s="17" t="s">
        <v>11411</v>
      </c>
      <c r="M1809" s="162" t="s">
        <v>230</v>
      </c>
      <c r="N1809" s="15" t="s">
        <v>521</v>
      </c>
      <c r="O1809" s="6" t="s">
        <v>4568</v>
      </c>
      <c r="P1809" s="58" t="s">
        <v>241</v>
      </c>
      <c r="Q1809" s="6" t="s">
        <v>234</v>
      </c>
      <c r="R1809" s="4">
        <v>12</v>
      </c>
      <c r="S1809" s="74">
        <v>8700</v>
      </c>
      <c r="T1809" s="4">
        <v>0</v>
      </c>
      <c r="U1809" s="4">
        <f t="shared" si="58"/>
        <v>0</v>
      </c>
      <c r="V1809" s="3"/>
      <c r="W1809" s="3">
        <v>2014</v>
      </c>
      <c r="X1809" s="3">
        <v>14</v>
      </c>
    </row>
    <row r="1810" spans="1:24" ht="89.25">
      <c r="A1810" s="3" t="s">
        <v>17495</v>
      </c>
      <c r="B1810" s="6" t="s">
        <v>361</v>
      </c>
      <c r="C1810" s="100" t="s">
        <v>11639</v>
      </c>
      <c r="D1810" s="101" t="s">
        <v>340</v>
      </c>
      <c r="E1810" s="101" t="s">
        <v>11640</v>
      </c>
      <c r="F1810" s="6" t="s">
        <v>4575</v>
      </c>
      <c r="G1810" s="3" t="s">
        <v>11450</v>
      </c>
      <c r="H1810" s="54">
        <v>0</v>
      </c>
      <c r="I1810" s="16">
        <v>470000000</v>
      </c>
      <c r="J1810" s="56" t="s">
        <v>229</v>
      </c>
      <c r="K1810" s="6" t="s">
        <v>222</v>
      </c>
      <c r="L1810" s="17" t="s">
        <v>11411</v>
      </c>
      <c r="M1810" s="162" t="s">
        <v>230</v>
      </c>
      <c r="N1810" s="15" t="s">
        <v>17491</v>
      </c>
      <c r="O1810" s="6" t="s">
        <v>4568</v>
      </c>
      <c r="P1810" s="58" t="s">
        <v>241</v>
      </c>
      <c r="Q1810" s="6" t="s">
        <v>234</v>
      </c>
      <c r="R1810" s="4">
        <v>12</v>
      </c>
      <c r="S1810" s="74">
        <v>8700</v>
      </c>
      <c r="T1810" s="4">
        <f>R1810*S1810</f>
        <v>104400</v>
      </c>
      <c r="U1810" s="4">
        <f t="shared" si="58"/>
        <v>116928.00000000001</v>
      </c>
      <c r="V1810" s="3"/>
      <c r="W1810" s="3">
        <v>2014</v>
      </c>
      <c r="X1810" s="3"/>
    </row>
    <row r="1811" spans="1:24" ht="89.25">
      <c r="A1811" s="3" t="s">
        <v>1268</v>
      </c>
      <c r="B1811" s="6" t="s">
        <v>361</v>
      </c>
      <c r="C1811" s="6" t="s">
        <v>4211</v>
      </c>
      <c r="D1811" s="42" t="s">
        <v>343</v>
      </c>
      <c r="E1811" s="42" t="s">
        <v>4212</v>
      </c>
      <c r="F1811" s="6" t="s">
        <v>4576</v>
      </c>
      <c r="G1811" s="3" t="s">
        <v>11449</v>
      </c>
      <c r="H1811" s="54">
        <v>0.9</v>
      </c>
      <c r="I1811" s="55">
        <v>470000000</v>
      </c>
      <c r="J1811" s="56" t="s">
        <v>229</v>
      </c>
      <c r="K1811" s="6" t="s">
        <v>516</v>
      </c>
      <c r="L1811" s="16" t="s">
        <v>4570</v>
      </c>
      <c r="M1811" s="162" t="s">
        <v>230</v>
      </c>
      <c r="N1811" s="15" t="s">
        <v>522</v>
      </c>
      <c r="O1811" s="6" t="s">
        <v>4568</v>
      </c>
      <c r="P1811" s="58" t="s">
        <v>235</v>
      </c>
      <c r="Q1811" s="6" t="s">
        <v>236</v>
      </c>
      <c r="R1811" s="3">
        <v>1.5</v>
      </c>
      <c r="S1811" s="1">
        <v>3187000</v>
      </c>
      <c r="T1811" s="4">
        <v>0</v>
      </c>
      <c r="U1811" s="4">
        <f t="shared" ref="U1811:U1885" si="60">T1811*1.12</f>
        <v>0</v>
      </c>
      <c r="V1811" s="166" t="s">
        <v>362</v>
      </c>
      <c r="W1811" s="3">
        <v>2014</v>
      </c>
      <c r="X1811" s="3">
        <v>11.12</v>
      </c>
    </row>
    <row r="1812" spans="1:24" ht="89.25">
      <c r="A1812" s="3" t="s">
        <v>13963</v>
      </c>
      <c r="B1812" s="6" t="s">
        <v>361</v>
      </c>
      <c r="C1812" s="6" t="s">
        <v>4211</v>
      </c>
      <c r="D1812" s="42" t="s">
        <v>343</v>
      </c>
      <c r="E1812" s="42" t="s">
        <v>4212</v>
      </c>
      <c r="F1812" s="6" t="s">
        <v>4576</v>
      </c>
      <c r="G1812" s="3" t="s">
        <v>11449</v>
      </c>
      <c r="H1812" s="54">
        <v>0.9</v>
      </c>
      <c r="I1812" s="55">
        <v>470000000</v>
      </c>
      <c r="J1812" s="56" t="s">
        <v>229</v>
      </c>
      <c r="K1812" s="6" t="s">
        <v>12367</v>
      </c>
      <c r="L1812" s="17" t="s">
        <v>11411</v>
      </c>
      <c r="M1812" s="162" t="s">
        <v>230</v>
      </c>
      <c r="N1812" s="15" t="s">
        <v>522</v>
      </c>
      <c r="O1812" s="6" t="s">
        <v>4568</v>
      </c>
      <c r="P1812" s="58" t="s">
        <v>235</v>
      </c>
      <c r="Q1812" s="6" t="s">
        <v>236</v>
      </c>
      <c r="R1812" s="3">
        <v>1.5</v>
      </c>
      <c r="S1812" s="1">
        <v>3187000</v>
      </c>
      <c r="T1812" s="4">
        <v>0</v>
      </c>
      <c r="U1812" s="4">
        <f t="shared" si="60"/>
        <v>0</v>
      </c>
      <c r="V1812" s="166" t="s">
        <v>362</v>
      </c>
      <c r="W1812" s="3">
        <v>2014</v>
      </c>
      <c r="X1812" s="3" t="s">
        <v>14780</v>
      </c>
    </row>
    <row r="1813" spans="1:24" ht="89.25">
      <c r="A1813" s="3" t="s">
        <v>14865</v>
      </c>
      <c r="B1813" s="6" t="s">
        <v>361</v>
      </c>
      <c r="C1813" s="6" t="s">
        <v>4211</v>
      </c>
      <c r="D1813" s="42" t="s">
        <v>343</v>
      </c>
      <c r="E1813" s="42" t="s">
        <v>4212</v>
      </c>
      <c r="F1813" s="6" t="s">
        <v>4576</v>
      </c>
      <c r="G1813" s="3" t="s">
        <v>11449</v>
      </c>
      <c r="H1813" s="54">
        <v>0.9</v>
      </c>
      <c r="I1813" s="55">
        <v>470000000</v>
      </c>
      <c r="J1813" s="56" t="s">
        <v>229</v>
      </c>
      <c r="K1813" s="6" t="s">
        <v>222</v>
      </c>
      <c r="L1813" s="17" t="s">
        <v>11411</v>
      </c>
      <c r="M1813" s="162" t="s">
        <v>230</v>
      </c>
      <c r="N1813" s="15" t="s">
        <v>522</v>
      </c>
      <c r="O1813" s="6" t="s">
        <v>4568</v>
      </c>
      <c r="P1813" s="58" t="s">
        <v>235</v>
      </c>
      <c r="Q1813" s="6" t="s">
        <v>236</v>
      </c>
      <c r="R1813" s="3">
        <v>0.7</v>
      </c>
      <c r="S1813" s="1">
        <v>3187000</v>
      </c>
      <c r="T1813" s="4">
        <v>0</v>
      </c>
      <c r="U1813" s="4">
        <f t="shared" si="60"/>
        <v>0</v>
      </c>
      <c r="V1813" s="166" t="s">
        <v>362</v>
      </c>
      <c r="W1813" s="3">
        <v>2014</v>
      </c>
      <c r="X1813" s="3">
        <v>14</v>
      </c>
    </row>
    <row r="1814" spans="1:24" ht="89.25">
      <c r="A1814" s="3" t="s">
        <v>17496</v>
      </c>
      <c r="B1814" s="6" t="s">
        <v>361</v>
      </c>
      <c r="C1814" s="6" t="s">
        <v>4211</v>
      </c>
      <c r="D1814" s="42" t="s">
        <v>343</v>
      </c>
      <c r="E1814" s="42" t="s">
        <v>4212</v>
      </c>
      <c r="F1814" s="6" t="s">
        <v>4576</v>
      </c>
      <c r="G1814" s="3" t="s">
        <v>11449</v>
      </c>
      <c r="H1814" s="54">
        <v>0.9</v>
      </c>
      <c r="I1814" s="55">
        <v>470000000</v>
      </c>
      <c r="J1814" s="56" t="s">
        <v>229</v>
      </c>
      <c r="K1814" s="6" t="s">
        <v>222</v>
      </c>
      <c r="L1814" s="17" t="s">
        <v>11411</v>
      </c>
      <c r="M1814" s="162" t="s">
        <v>230</v>
      </c>
      <c r="N1814" s="15" t="s">
        <v>17497</v>
      </c>
      <c r="O1814" s="6" t="s">
        <v>4568</v>
      </c>
      <c r="P1814" s="58" t="s">
        <v>235</v>
      </c>
      <c r="Q1814" s="6" t="s">
        <v>236</v>
      </c>
      <c r="R1814" s="3">
        <v>0.7</v>
      </c>
      <c r="S1814" s="1">
        <v>3187000</v>
      </c>
      <c r="T1814" s="4">
        <f>R1814*S1814</f>
        <v>2230900</v>
      </c>
      <c r="U1814" s="4">
        <f t="shared" si="60"/>
        <v>2498608.0000000005</v>
      </c>
      <c r="V1814" s="166" t="s">
        <v>362</v>
      </c>
      <c r="W1814" s="3">
        <v>2014</v>
      </c>
      <c r="X1814" s="3"/>
    </row>
    <row r="1815" spans="1:24" ht="89.25">
      <c r="A1815" s="3" t="s">
        <v>1269</v>
      </c>
      <c r="B1815" s="6" t="s">
        <v>361</v>
      </c>
      <c r="C1815" s="6" t="s">
        <v>4213</v>
      </c>
      <c r="D1815" s="42" t="s">
        <v>343</v>
      </c>
      <c r="E1815" s="42" t="s">
        <v>4214</v>
      </c>
      <c r="F1815" s="6" t="s">
        <v>4577</v>
      </c>
      <c r="G1815" s="3" t="s">
        <v>11449</v>
      </c>
      <c r="H1815" s="54">
        <v>0.9</v>
      </c>
      <c r="I1815" s="16">
        <v>470000000</v>
      </c>
      <c r="J1815" s="56" t="s">
        <v>229</v>
      </c>
      <c r="K1815" s="6" t="s">
        <v>516</v>
      </c>
      <c r="L1815" s="16" t="s">
        <v>4567</v>
      </c>
      <c r="M1815" s="162" t="s">
        <v>230</v>
      </c>
      <c r="N1815" s="15" t="s">
        <v>523</v>
      </c>
      <c r="O1815" s="6" t="s">
        <v>4568</v>
      </c>
      <c r="P1815" s="58" t="s">
        <v>235</v>
      </c>
      <c r="Q1815" s="6" t="s">
        <v>236</v>
      </c>
      <c r="R1815" s="1">
        <v>0.7</v>
      </c>
      <c r="S1815" s="74">
        <v>3308000</v>
      </c>
      <c r="T1815" s="4">
        <v>0</v>
      </c>
      <c r="U1815" s="4">
        <f t="shared" si="60"/>
        <v>0</v>
      </c>
      <c r="V1815" s="3" t="s">
        <v>362</v>
      </c>
      <c r="W1815" s="3">
        <v>2014</v>
      </c>
      <c r="X1815" s="3">
        <v>11.12</v>
      </c>
    </row>
    <row r="1816" spans="1:24" ht="89.25">
      <c r="A1816" s="3" t="s">
        <v>13964</v>
      </c>
      <c r="B1816" s="6" t="s">
        <v>361</v>
      </c>
      <c r="C1816" s="6" t="s">
        <v>4213</v>
      </c>
      <c r="D1816" s="42" t="s">
        <v>343</v>
      </c>
      <c r="E1816" s="42" t="s">
        <v>4214</v>
      </c>
      <c r="F1816" s="6" t="s">
        <v>4577</v>
      </c>
      <c r="G1816" s="3" t="s">
        <v>11449</v>
      </c>
      <c r="H1816" s="54">
        <v>0.9</v>
      </c>
      <c r="I1816" s="16">
        <v>470000000</v>
      </c>
      <c r="J1816" s="56" t="s">
        <v>229</v>
      </c>
      <c r="K1816" s="6" t="s">
        <v>12367</v>
      </c>
      <c r="L1816" s="17" t="s">
        <v>11411</v>
      </c>
      <c r="M1816" s="162" t="s">
        <v>230</v>
      </c>
      <c r="N1816" s="15" t="s">
        <v>523</v>
      </c>
      <c r="O1816" s="6" t="s">
        <v>4568</v>
      </c>
      <c r="P1816" s="58" t="s">
        <v>235</v>
      </c>
      <c r="Q1816" s="6" t="s">
        <v>236</v>
      </c>
      <c r="R1816" s="1">
        <v>0.7</v>
      </c>
      <c r="S1816" s="74">
        <v>3308000</v>
      </c>
      <c r="T1816" s="4">
        <v>0</v>
      </c>
      <c r="U1816" s="4">
        <f t="shared" si="60"/>
        <v>0</v>
      </c>
      <c r="V1816" s="3" t="s">
        <v>362</v>
      </c>
      <c r="W1816" s="3">
        <v>2014</v>
      </c>
      <c r="X1816" s="3">
        <v>11</v>
      </c>
    </row>
    <row r="1817" spans="1:24" ht="89.25">
      <c r="A1817" s="3" t="s">
        <v>14866</v>
      </c>
      <c r="B1817" s="6" t="s">
        <v>361</v>
      </c>
      <c r="C1817" s="6" t="s">
        <v>4213</v>
      </c>
      <c r="D1817" s="42" t="s">
        <v>343</v>
      </c>
      <c r="E1817" s="42" t="s">
        <v>4214</v>
      </c>
      <c r="F1817" s="6" t="s">
        <v>4577</v>
      </c>
      <c r="G1817" s="3" t="s">
        <v>11449</v>
      </c>
      <c r="H1817" s="54">
        <v>0.9</v>
      </c>
      <c r="I1817" s="16">
        <v>470000000</v>
      </c>
      <c r="J1817" s="56" t="s">
        <v>229</v>
      </c>
      <c r="K1817" s="17" t="s">
        <v>222</v>
      </c>
      <c r="L1817" s="17" t="s">
        <v>11411</v>
      </c>
      <c r="M1817" s="162" t="s">
        <v>230</v>
      </c>
      <c r="N1817" s="15" t="s">
        <v>523</v>
      </c>
      <c r="O1817" s="6" t="s">
        <v>4568</v>
      </c>
      <c r="P1817" s="58" t="s">
        <v>235</v>
      </c>
      <c r="Q1817" s="6" t="s">
        <v>236</v>
      </c>
      <c r="R1817" s="1">
        <v>0.7</v>
      </c>
      <c r="S1817" s="74">
        <v>3308000</v>
      </c>
      <c r="T1817" s="4">
        <v>0</v>
      </c>
      <c r="U1817" s="4">
        <f t="shared" si="60"/>
        <v>0</v>
      </c>
      <c r="V1817" s="3" t="s">
        <v>362</v>
      </c>
      <c r="W1817" s="3">
        <v>2014</v>
      </c>
      <c r="X1817" s="3">
        <v>14</v>
      </c>
    </row>
    <row r="1818" spans="1:24" ht="89.25">
      <c r="A1818" s="3" t="s">
        <v>17498</v>
      </c>
      <c r="B1818" s="6" t="s">
        <v>361</v>
      </c>
      <c r="C1818" s="6" t="s">
        <v>4213</v>
      </c>
      <c r="D1818" s="42" t="s">
        <v>343</v>
      </c>
      <c r="E1818" s="42" t="s">
        <v>4214</v>
      </c>
      <c r="F1818" s="6" t="s">
        <v>4577</v>
      </c>
      <c r="G1818" s="3" t="s">
        <v>11449</v>
      </c>
      <c r="H1818" s="54">
        <v>0.9</v>
      </c>
      <c r="I1818" s="16">
        <v>470000000</v>
      </c>
      <c r="J1818" s="56" t="s">
        <v>229</v>
      </c>
      <c r="K1818" s="17" t="s">
        <v>222</v>
      </c>
      <c r="L1818" s="17" t="s">
        <v>11411</v>
      </c>
      <c r="M1818" s="162" t="s">
        <v>230</v>
      </c>
      <c r="N1818" s="15" t="s">
        <v>17497</v>
      </c>
      <c r="O1818" s="6" t="s">
        <v>4568</v>
      </c>
      <c r="P1818" s="58" t="s">
        <v>235</v>
      </c>
      <c r="Q1818" s="6" t="s">
        <v>236</v>
      </c>
      <c r="R1818" s="1">
        <v>0.7</v>
      </c>
      <c r="S1818" s="74">
        <v>3308000</v>
      </c>
      <c r="T1818" s="4">
        <f>R1818*S1818</f>
        <v>2315600</v>
      </c>
      <c r="U1818" s="4">
        <f t="shared" si="60"/>
        <v>2593472.0000000005</v>
      </c>
      <c r="V1818" s="3" t="s">
        <v>362</v>
      </c>
      <c r="W1818" s="3">
        <v>2014</v>
      </c>
      <c r="X1818" s="3"/>
    </row>
    <row r="1819" spans="1:24" ht="89.25">
      <c r="A1819" s="3" t="s">
        <v>1270</v>
      </c>
      <c r="B1819" s="6" t="s">
        <v>361</v>
      </c>
      <c r="C1819" s="6" t="s">
        <v>4213</v>
      </c>
      <c r="D1819" s="42" t="s">
        <v>343</v>
      </c>
      <c r="E1819" s="42" t="s">
        <v>4214</v>
      </c>
      <c r="F1819" s="6" t="s">
        <v>4578</v>
      </c>
      <c r="G1819" s="3" t="s">
        <v>11449</v>
      </c>
      <c r="H1819" s="54">
        <v>0.9</v>
      </c>
      <c r="I1819" s="55">
        <v>470000000</v>
      </c>
      <c r="J1819" s="56" t="s">
        <v>229</v>
      </c>
      <c r="K1819" s="6" t="s">
        <v>516</v>
      </c>
      <c r="L1819" s="16" t="s">
        <v>4570</v>
      </c>
      <c r="M1819" s="162" t="s">
        <v>230</v>
      </c>
      <c r="N1819" s="15" t="s">
        <v>523</v>
      </c>
      <c r="O1819" s="6" t="s">
        <v>4568</v>
      </c>
      <c r="P1819" s="58" t="s">
        <v>235</v>
      </c>
      <c r="Q1819" s="6" t="s">
        <v>236</v>
      </c>
      <c r="R1819" s="3">
        <v>0.5</v>
      </c>
      <c r="S1819" s="1">
        <v>3700000</v>
      </c>
      <c r="T1819" s="4">
        <v>0</v>
      </c>
      <c r="U1819" s="4">
        <f t="shared" si="60"/>
        <v>0</v>
      </c>
      <c r="V1819" s="166" t="s">
        <v>362</v>
      </c>
      <c r="W1819" s="3">
        <v>2014</v>
      </c>
      <c r="X1819" s="3">
        <v>11.12</v>
      </c>
    </row>
    <row r="1820" spans="1:24" ht="89.25">
      <c r="A1820" s="3" t="s">
        <v>13965</v>
      </c>
      <c r="B1820" s="6" t="s">
        <v>361</v>
      </c>
      <c r="C1820" s="6" t="s">
        <v>4213</v>
      </c>
      <c r="D1820" s="42" t="s">
        <v>343</v>
      </c>
      <c r="E1820" s="42" t="s">
        <v>4214</v>
      </c>
      <c r="F1820" s="6" t="s">
        <v>4578</v>
      </c>
      <c r="G1820" s="3" t="s">
        <v>11449</v>
      </c>
      <c r="H1820" s="54">
        <v>0.9</v>
      </c>
      <c r="I1820" s="55">
        <v>470000000</v>
      </c>
      <c r="J1820" s="56" t="s">
        <v>229</v>
      </c>
      <c r="K1820" s="6" t="s">
        <v>12367</v>
      </c>
      <c r="L1820" s="17" t="s">
        <v>11411</v>
      </c>
      <c r="M1820" s="162" t="s">
        <v>230</v>
      </c>
      <c r="N1820" s="15" t="s">
        <v>523</v>
      </c>
      <c r="O1820" s="6" t="s">
        <v>4568</v>
      </c>
      <c r="P1820" s="58" t="s">
        <v>235</v>
      </c>
      <c r="Q1820" s="6" t="s">
        <v>236</v>
      </c>
      <c r="R1820" s="3">
        <v>0.5</v>
      </c>
      <c r="S1820" s="1">
        <v>3700000</v>
      </c>
      <c r="T1820" s="4">
        <v>0</v>
      </c>
      <c r="U1820" s="4">
        <f t="shared" si="60"/>
        <v>0</v>
      </c>
      <c r="V1820" s="166" t="s">
        <v>362</v>
      </c>
      <c r="W1820" s="3">
        <v>2014</v>
      </c>
      <c r="X1820" s="3">
        <v>11</v>
      </c>
    </row>
    <row r="1821" spans="1:24" ht="89.25">
      <c r="A1821" s="3" t="s">
        <v>14867</v>
      </c>
      <c r="B1821" s="6" t="s">
        <v>361</v>
      </c>
      <c r="C1821" s="6" t="s">
        <v>4213</v>
      </c>
      <c r="D1821" s="42" t="s">
        <v>343</v>
      </c>
      <c r="E1821" s="42" t="s">
        <v>4214</v>
      </c>
      <c r="F1821" s="6" t="s">
        <v>4578</v>
      </c>
      <c r="G1821" s="3" t="s">
        <v>11449</v>
      </c>
      <c r="H1821" s="54">
        <v>0.9</v>
      </c>
      <c r="I1821" s="55">
        <v>470000000</v>
      </c>
      <c r="J1821" s="56" t="s">
        <v>229</v>
      </c>
      <c r="K1821" s="6" t="s">
        <v>222</v>
      </c>
      <c r="L1821" s="17" t="s">
        <v>11411</v>
      </c>
      <c r="M1821" s="162" t="s">
        <v>230</v>
      </c>
      <c r="N1821" s="15" t="s">
        <v>523</v>
      </c>
      <c r="O1821" s="6" t="s">
        <v>4568</v>
      </c>
      <c r="P1821" s="58" t="s">
        <v>235</v>
      </c>
      <c r="Q1821" s="6" t="s">
        <v>236</v>
      </c>
      <c r="R1821" s="3">
        <v>0.5</v>
      </c>
      <c r="S1821" s="1">
        <v>3700000</v>
      </c>
      <c r="T1821" s="4">
        <v>0</v>
      </c>
      <c r="U1821" s="4">
        <f t="shared" si="60"/>
        <v>0</v>
      </c>
      <c r="V1821" s="166" t="s">
        <v>362</v>
      </c>
      <c r="W1821" s="3">
        <v>2014</v>
      </c>
      <c r="X1821" s="3">
        <v>14</v>
      </c>
    </row>
    <row r="1822" spans="1:24" ht="89.25">
      <c r="A1822" s="3" t="s">
        <v>17499</v>
      </c>
      <c r="B1822" s="6" t="s">
        <v>361</v>
      </c>
      <c r="C1822" s="6" t="s">
        <v>4213</v>
      </c>
      <c r="D1822" s="42" t="s">
        <v>343</v>
      </c>
      <c r="E1822" s="42" t="s">
        <v>4214</v>
      </c>
      <c r="F1822" s="6" t="s">
        <v>4578</v>
      </c>
      <c r="G1822" s="3" t="s">
        <v>11449</v>
      </c>
      <c r="H1822" s="54">
        <v>0.9</v>
      </c>
      <c r="I1822" s="55">
        <v>470000000</v>
      </c>
      <c r="J1822" s="56" t="s">
        <v>229</v>
      </c>
      <c r="K1822" s="6" t="s">
        <v>222</v>
      </c>
      <c r="L1822" s="17" t="s">
        <v>11411</v>
      </c>
      <c r="M1822" s="162" t="s">
        <v>230</v>
      </c>
      <c r="N1822" s="15" t="s">
        <v>8914</v>
      </c>
      <c r="O1822" s="6" t="s">
        <v>4568</v>
      </c>
      <c r="P1822" s="58" t="s">
        <v>235</v>
      </c>
      <c r="Q1822" s="6" t="s">
        <v>236</v>
      </c>
      <c r="R1822" s="3">
        <v>0.5</v>
      </c>
      <c r="S1822" s="1">
        <v>3700000</v>
      </c>
      <c r="T1822" s="4">
        <v>0</v>
      </c>
      <c r="U1822" s="4">
        <f t="shared" si="60"/>
        <v>0</v>
      </c>
      <c r="V1822" s="166" t="s">
        <v>362</v>
      </c>
      <c r="W1822" s="3">
        <v>2014</v>
      </c>
      <c r="X1822" s="3" t="s">
        <v>12076</v>
      </c>
    </row>
    <row r="1823" spans="1:24" ht="89.25">
      <c r="A1823" s="3" t="s">
        <v>1271</v>
      </c>
      <c r="B1823" s="6" t="s">
        <v>361</v>
      </c>
      <c r="C1823" s="6" t="s">
        <v>4215</v>
      </c>
      <c r="D1823" s="42" t="s">
        <v>343</v>
      </c>
      <c r="E1823" s="42" t="s">
        <v>4216</v>
      </c>
      <c r="F1823" s="6" t="s">
        <v>4579</v>
      </c>
      <c r="G1823" s="3" t="s">
        <v>11449</v>
      </c>
      <c r="H1823" s="54">
        <v>0.9</v>
      </c>
      <c r="I1823" s="16">
        <v>470000000</v>
      </c>
      <c r="J1823" s="56" t="s">
        <v>229</v>
      </c>
      <c r="K1823" s="6" t="s">
        <v>516</v>
      </c>
      <c r="L1823" s="16" t="s">
        <v>4567</v>
      </c>
      <c r="M1823" s="162" t="s">
        <v>230</v>
      </c>
      <c r="N1823" s="15" t="s">
        <v>523</v>
      </c>
      <c r="O1823" s="6" t="s">
        <v>4568</v>
      </c>
      <c r="P1823" s="58" t="s">
        <v>235</v>
      </c>
      <c r="Q1823" s="6" t="s">
        <v>236</v>
      </c>
      <c r="R1823" s="1">
        <v>2.83</v>
      </c>
      <c r="S1823" s="74">
        <v>69263</v>
      </c>
      <c r="T1823" s="4">
        <v>0</v>
      </c>
      <c r="U1823" s="4">
        <f t="shared" si="60"/>
        <v>0</v>
      </c>
      <c r="V1823" s="3" t="s">
        <v>362</v>
      </c>
      <c r="W1823" s="3">
        <v>2014</v>
      </c>
      <c r="X1823" s="3">
        <v>11.12</v>
      </c>
    </row>
    <row r="1824" spans="1:24" ht="89.25">
      <c r="A1824" s="3" t="s">
        <v>13966</v>
      </c>
      <c r="B1824" s="6" t="s">
        <v>361</v>
      </c>
      <c r="C1824" s="6" t="s">
        <v>4215</v>
      </c>
      <c r="D1824" s="42" t="s">
        <v>343</v>
      </c>
      <c r="E1824" s="42" t="s">
        <v>4216</v>
      </c>
      <c r="F1824" s="6" t="s">
        <v>4579</v>
      </c>
      <c r="G1824" s="3" t="s">
        <v>11449</v>
      </c>
      <c r="H1824" s="54">
        <v>0.9</v>
      </c>
      <c r="I1824" s="16">
        <v>470000000</v>
      </c>
      <c r="J1824" s="56" t="s">
        <v>229</v>
      </c>
      <c r="K1824" s="6" t="s">
        <v>12367</v>
      </c>
      <c r="L1824" s="17" t="s">
        <v>11411</v>
      </c>
      <c r="M1824" s="162" t="s">
        <v>230</v>
      </c>
      <c r="N1824" s="15" t="s">
        <v>523</v>
      </c>
      <c r="O1824" s="6" t="s">
        <v>4568</v>
      </c>
      <c r="P1824" s="58" t="s">
        <v>235</v>
      </c>
      <c r="Q1824" s="6" t="s">
        <v>236</v>
      </c>
      <c r="R1824" s="1">
        <v>2.83</v>
      </c>
      <c r="S1824" s="74">
        <v>69263</v>
      </c>
      <c r="T1824" s="4">
        <v>0</v>
      </c>
      <c r="U1824" s="4">
        <f t="shared" si="60"/>
        <v>0</v>
      </c>
      <c r="V1824" s="3" t="s">
        <v>362</v>
      </c>
      <c r="W1824" s="3">
        <v>2014</v>
      </c>
      <c r="X1824" s="3">
        <v>11</v>
      </c>
    </row>
    <row r="1825" spans="1:24" ht="89.25">
      <c r="A1825" s="3" t="s">
        <v>14868</v>
      </c>
      <c r="B1825" s="6" t="s">
        <v>361</v>
      </c>
      <c r="C1825" s="6" t="s">
        <v>4215</v>
      </c>
      <c r="D1825" s="42" t="s">
        <v>343</v>
      </c>
      <c r="E1825" s="42" t="s">
        <v>4216</v>
      </c>
      <c r="F1825" s="6" t="s">
        <v>4579</v>
      </c>
      <c r="G1825" s="3" t="s">
        <v>11449</v>
      </c>
      <c r="H1825" s="54">
        <v>0.9</v>
      </c>
      <c r="I1825" s="16">
        <v>470000000</v>
      </c>
      <c r="J1825" s="56" t="s">
        <v>229</v>
      </c>
      <c r="K1825" s="6" t="s">
        <v>222</v>
      </c>
      <c r="L1825" s="17" t="s">
        <v>11411</v>
      </c>
      <c r="M1825" s="162" t="s">
        <v>230</v>
      </c>
      <c r="N1825" s="15" t="s">
        <v>523</v>
      </c>
      <c r="O1825" s="6" t="s">
        <v>4568</v>
      </c>
      <c r="P1825" s="58" t="s">
        <v>235</v>
      </c>
      <c r="Q1825" s="6" t="s">
        <v>236</v>
      </c>
      <c r="R1825" s="1">
        <v>0</v>
      </c>
      <c r="S1825" s="74">
        <v>69263</v>
      </c>
      <c r="T1825" s="4">
        <f>R1825*S1825</f>
        <v>0</v>
      </c>
      <c r="U1825" s="4">
        <f t="shared" si="60"/>
        <v>0</v>
      </c>
      <c r="V1825" s="3" t="s">
        <v>362</v>
      </c>
      <c r="W1825" s="3">
        <v>2014</v>
      </c>
      <c r="X1825" s="3" t="s">
        <v>12076</v>
      </c>
    </row>
    <row r="1826" spans="1:24" ht="89.25">
      <c r="A1826" s="3" t="s">
        <v>1272</v>
      </c>
      <c r="B1826" s="6" t="s">
        <v>361</v>
      </c>
      <c r="C1826" s="160" t="s">
        <v>4217</v>
      </c>
      <c r="D1826" s="76" t="s">
        <v>343</v>
      </c>
      <c r="E1826" s="167" t="s">
        <v>4218</v>
      </c>
      <c r="F1826" s="6" t="s">
        <v>4580</v>
      </c>
      <c r="G1826" s="3" t="s">
        <v>11449</v>
      </c>
      <c r="H1826" s="54">
        <v>0.9</v>
      </c>
      <c r="I1826" s="55">
        <v>470000000</v>
      </c>
      <c r="J1826" s="56" t="s">
        <v>229</v>
      </c>
      <c r="K1826" s="6" t="s">
        <v>516</v>
      </c>
      <c r="L1826" s="16" t="s">
        <v>4570</v>
      </c>
      <c r="M1826" s="162" t="s">
        <v>230</v>
      </c>
      <c r="N1826" s="15" t="s">
        <v>523</v>
      </c>
      <c r="O1826" s="6" t="s">
        <v>4568</v>
      </c>
      <c r="P1826" s="58" t="s">
        <v>235</v>
      </c>
      <c r="Q1826" s="6" t="s">
        <v>236</v>
      </c>
      <c r="R1826" s="3">
        <v>4.1500000000000004</v>
      </c>
      <c r="S1826" s="1">
        <v>98100</v>
      </c>
      <c r="T1826" s="4">
        <v>0</v>
      </c>
      <c r="U1826" s="4">
        <f t="shared" si="60"/>
        <v>0</v>
      </c>
      <c r="V1826" s="166" t="s">
        <v>362</v>
      </c>
      <c r="W1826" s="3">
        <v>2014</v>
      </c>
      <c r="X1826" s="3">
        <v>11.12</v>
      </c>
    </row>
    <row r="1827" spans="1:24" ht="89.25">
      <c r="A1827" s="3" t="s">
        <v>13967</v>
      </c>
      <c r="B1827" s="6" t="s">
        <v>361</v>
      </c>
      <c r="C1827" s="160" t="s">
        <v>4217</v>
      </c>
      <c r="D1827" s="76" t="s">
        <v>343</v>
      </c>
      <c r="E1827" s="167" t="s">
        <v>4218</v>
      </c>
      <c r="F1827" s="6" t="s">
        <v>4580</v>
      </c>
      <c r="G1827" s="3" t="s">
        <v>11449</v>
      </c>
      <c r="H1827" s="54">
        <v>0.9</v>
      </c>
      <c r="I1827" s="55">
        <v>470000000</v>
      </c>
      <c r="J1827" s="56" t="s">
        <v>229</v>
      </c>
      <c r="K1827" s="6" t="s">
        <v>12367</v>
      </c>
      <c r="L1827" s="17" t="s">
        <v>11411</v>
      </c>
      <c r="M1827" s="162" t="s">
        <v>230</v>
      </c>
      <c r="N1827" s="15" t="s">
        <v>523</v>
      </c>
      <c r="O1827" s="6" t="s">
        <v>4568</v>
      </c>
      <c r="P1827" s="58" t="s">
        <v>235</v>
      </c>
      <c r="Q1827" s="6" t="s">
        <v>236</v>
      </c>
      <c r="R1827" s="3">
        <v>4.1500000000000004</v>
      </c>
      <c r="S1827" s="1">
        <v>98100</v>
      </c>
      <c r="T1827" s="4">
        <v>0</v>
      </c>
      <c r="U1827" s="4">
        <f t="shared" si="60"/>
        <v>0</v>
      </c>
      <c r="V1827" s="166" t="s">
        <v>362</v>
      </c>
      <c r="W1827" s="3">
        <v>2014</v>
      </c>
      <c r="X1827" s="3">
        <v>11</v>
      </c>
    </row>
    <row r="1828" spans="1:24" ht="89.25">
      <c r="A1828" s="3" t="s">
        <v>14869</v>
      </c>
      <c r="B1828" s="6" t="s">
        <v>361</v>
      </c>
      <c r="C1828" s="160" t="s">
        <v>4217</v>
      </c>
      <c r="D1828" s="76" t="s">
        <v>343</v>
      </c>
      <c r="E1828" s="167" t="s">
        <v>4218</v>
      </c>
      <c r="F1828" s="6" t="s">
        <v>4580</v>
      </c>
      <c r="G1828" s="3" t="s">
        <v>11449</v>
      </c>
      <c r="H1828" s="54">
        <v>0.9</v>
      </c>
      <c r="I1828" s="55">
        <v>470000000</v>
      </c>
      <c r="J1828" s="56" t="s">
        <v>229</v>
      </c>
      <c r="K1828" s="6" t="s">
        <v>222</v>
      </c>
      <c r="L1828" s="17" t="s">
        <v>11411</v>
      </c>
      <c r="M1828" s="162" t="s">
        <v>230</v>
      </c>
      <c r="N1828" s="15" t="s">
        <v>523</v>
      </c>
      <c r="O1828" s="6" t="s">
        <v>4568</v>
      </c>
      <c r="P1828" s="58" t="s">
        <v>235</v>
      </c>
      <c r="Q1828" s="6" t="s">
        <v>236</v>
      </c>
      <c r="R1828" s="3">
        <v>0</v>
      </c>
      <c r="S1828" s="1">
        <v>98100</v>
      </c>
      <c r="T1828" s="4">
        <f>R1828*S1828</f>
        <v>0</v>
      </c>
      <c r="U1828" s="4">
        <f t="shared" si="60"/>
        <v>0</v>
      </c>
      <c r="V1828" s="166" t="s">
        <v>362</v>
      </c>
      <c r="W1828" s="3">
        <v>2014</v>
      </c>
      <c r="X1828" s="3" t="s">
        <v>12076</v>
      </c>
    </row>
    <row r="1829" spans="1:24" ht="89.25">
      <c r="A1829" s="3" t="s">
        <v>1273</v>
      </c>
      <c r="B1829" s="6" t="s">
        <v>361</v>
      </c>
      <c r="C1829" s="6" t="s">
        <v>16604</v>
      </c>
      <c r="D1829" s="6" t="s">
        <v>343</v>
      </c>
      <c r="E1829" s="6" t="s">
        <v>16605</v>
      </c>
      <c r="F1829" s="6" t="s">
        <v>4581</v>
      </c>
      <c r="G1829" s="3" t="s">
        <v>11449</v>
      </c>
      <c r="H1829" s="54">
        <v>0.9</v>
      </c>
      <c r="I1829" s="16">
        <v>470000000</v>
      </c>
      <c r="J1829" s="56" t="s">
        <v>229</v>
      </c>
      <c r="K1829" s="6" t="s">
        <v>516</v>
      </c>
      <c r="L1829" s="16" t="s">
        <v>4567</v>
      </c>
      <c r="M1829" s="162" t="s">
        <v>230</v>
      </c>
      <c r="N1829" s="15" t="s">
        <v>523</v>
      </c>
      <c r="O1829" s="6" t="s">
        <v>4568</v>
      </c>
      <c r="P1829" s="58" t="s">
        <v>235</v>
      </c>
      <c r="Q1829" s="6" t="s">
        <v>236</v>
      </c>
      <c r="R1829" s="1">
        <v>2.1</v>
      </c>
      <c r="S1829" s="74">
        <v>145826</v>
      </c>
      <c r="T1829" s="4">
        <v>0</v>
      </c>
      <c r="U1829" s="4">
        <f t="shared" si="60"/>
        <v>0</v>
      </c>
      <c r="V1829" s="3" t="s">
        <v>362</v>
      </c>
      <c r="W1829" s="3">
        <v>2014</v>
      </c>
      <c r="X1829" s="3">
        <v>11.12</v>
      </c>
    </row>
    <row r="1830" spans="1:24" ht="89.25">
      <c r="A1830" s="3" t="s">
        <v>13968</v>
      </c>
      <c r="B1830" s="6" t="s">
        <v>361</v>
      </c>
      <c r="C1830" s="6" t="s">
        <v>16604</v>
      </c>
      <c r="D1830" s="6" t="s">
        <v>343</v>
      </c>
      <c r="E1830" s="6" t="s">
        <v>16605</v>
      </c>
      <c r="F1830" s="6" t="s">
        <v>4581</v>
      </c>
      <c r="G1830" s="3" t="s">
        <v>11449</v>
      </c>
      <c r="H1830" s="54">
        <v>0.9</v>
      </c>
      <c r="I1830" s="16">
        <v>470000000</v>
      </c>
      <c r="J1830" s="56" t="s">
        <v>229</v>
      </c>
      <c r="K1830" s="6" t="s">
        <v>12367</v>
      </c>
      <c r="L1830" s="17" t="s">
        <v>11411</v>
      </c>
      <c r="M1830" s="162" t="s">
        <v>230</v>
      </c>
      <c r="N1830" s="15" t="s">
        <v>523</v>
      </c>
      <c r="O1830" s="6" t="s">
        <v>4568</v>
      </c>
      <c r="P1830" s="58" t="s">
        <v>235</v>
      </c>
      <c r="Q1830" s="6" t="s">
        <v>236</v>
      </c>
      <c r="R1830" s="1">
        <v>2.1</v>
      </c>
      <c r="S1830" s="74">
        <v>145826</v>
      </c>
      <c r="T1830" s="4">
        <v>0</v>
      </c>
      <c r="U1830" s="4">
        <f t="shared" si="60"/>
        <v>0</v>
      </c>
      <c r="V1830" s="3" t="s">
        <v>362</v>
      </c>
      <c r="W1830" s="3">
        <v>2014</v>
      </c>
      <c r="X1830" s="3">
        <v>11</v>
      </c>
    </row>
    <row r="1831" spans="1:24" ht="89.25">
      <c r="A1831" s="3" t="s">
        <v>14870</v>
      </c>
      <c r="B1831" s="6" t="s">
        <v>361</v>
      </c>
      <c r="C1831" s="6" t="s">
        <v>16604</v>
      </c>
      <c r="D1831" s="6" t="s">
        <v>343</v>
      </c>
      <c r="E1831" s="6" t="s">
        <v>16605</v>
      </c>
      <c r="F1831" s="6" t="s">
        <v>4581</v>
      </c>
      <c r="G1831" s="3" t="s">
        <v>11449</v>
      </c>
      <c r="H1831" s="54">
        <v>0.9</v>
      </c>
      <c r="I1831" s="16">
        <v>470000000</v>
      </c>
      <c r="J1831" s="56" t="s">
        <v>229</v>
      </c>
      <c r="K1831" s="6" t="s">
        <v>222</v>
      </c>
      <c r="L1831" s="17" t="s">
        <v>11411</v>
      </c>
      <c r="M1831" s="162" t="s">
        <v>230</v>
      </c>
      <c r="N1831" s="15" t="s">
        <v>523</v>
      </c>
      <c r="O1831" s="6" t="s">
        <v>4568</v>
      </c>
      <c r="P1831" s="58" t="s">
        <v>235</v>
      </c>
      <c r="Q1831" s="6" t="s">
        <v>236</v>
      </c>
      <c r="R1831" s="1">
        <v>0</v>
      </c>
      <c r="S1831" s="74">
        <v>145826</v>
      </c>
      <c r="T1831" s="4">
        <f>R1831*S1831</f>
        <v>0</v>
      </c>
      <c r="U1831" s="4">
        <f t="shared" si="60"/>
        <v>0</v>
      </c>
      <c r="V1831" s="3" t="s">
        <v>362</v>
      </c>
      <c r="W1831" s="3">
        <v>2014</v>
      </c>
      <c r="X1831" s="3" t="s">
        <v>12076</v>
      </c>
    </row>
    <row r="1832" spans="1:24" ht="89.25">
      <c r="A1832" s="3" t="s">
        <v>1274</v>
      </c>
      <c r="B1832" s="6" t="s">
        <v>361</v>
      </c>
      <c r="C1832" s="160" t="s">
        <v>4219</v>
      </c>
      <c r="D1832" s="76" t="s">
        <v>343</v>
      </c>
      <c r="E1832" s="167" t="s">
        <v>4220</v>
      </c>
      <c r="F1832" s="6" t="s">
        <v>4582</v>
      </c>
      <c r="G1832" s="3" t="s">
        <v>11449</v>
      </c>
      <c r="H1832" s="54">
        <v>0.9</v>
      </c>
      <c r="I1832" s="55">
        <v>470000000</v>
      </c>
      <c r="J1832" s="56" t="s">
        <v>229</v>
      </c>
      <c r="K1832" s="6" t="s">
        <v>516</v>
      </c>
      <c r="L1832" s="16" t="s">
        <v>4570</v>
      </c>
      <c r="M1832" s="162" t="s">
        <v>230</v>
      </c>
      <c r="N1832" s="15" t="s">
        <v>523</v>
      </c>
      <c r="O1832" s="6" t="s">
        <v>4568</v>
      </c>
      <c r="P1832" s="58" t="s">
        <v>235</v>
      </c>
      <c r="Q1832" s="6" t="s">
        <v>236</v>
      </c>
      <c r="R1832" s="3">
        <v>2.36</v>
      </c>
      <c r="S1832" s="1">
        <v>195350</v>
      </c>
      <c r="T1832" s="4">
        <v>0</v>
      </c>
      <c r="U1832" s="4">
        <f t="shared" si="60"/>
        <v>0</v>
      </c>
      <c r="V1832" s="166" t="s">
        <v>362</v>
      </c>
      <c r="W1832" s="3">
        <v>2014</v>
      </c>
      <c r="X1832" s="3">
        <v>11.12</v>
      </c>
    </row>
    <row r="1833" spans="1:24" ht="89.25">
      <c r="A1833" s="3" t="s">
        <v>13969</v>
      </c>
      <c r="B1833" s="6" t="s">
        <v>361</v>
      </c>
      <c r="C1833" s="160" t="s">
        <v>4219</v>
      </c>
      <c r="D1833" s="76" t="s">
        <v>343</v>
      </c>
      <c r="E1833" s="167" t="s">
        <v>4220</v>
      </c>
      <c r="F1833" s="6" t="s">
        <v>4582</v>
      </c>
      <c r="G1833" s="3" t="s">
        <v>11449</v>
      </c>
      <c r="H1833" s="54">
        <v>0.9</v>
      </c>
      <c r="I1833" s="55">
        <v>470000000</v>
      </c>
      <c r="J1833" s="56" t="s">
        <v>229</v>
      </c>
      <c r="K1833" s="6" t="s">
        <v>12367</v>
      </c>
      <c r="L1833" s="17" t="s">
        <v>11411</v>
      </c>
      <c r="M1833" s="162" t="s">
        <v>230</v>
      </c>
      <c r="N1833" s="15" t="s">
        <v>523</v>
      </c>
      <c r="O1833" s="6" t="s">
        <v>4568</v>
      </c>
      <c r="P1833" s="58" t="s">
        <v>235</v>
      </c>
      <c r="Q1833" s="6" t="s">
        <v>236</v>
      </c>
      <c r="R1833" s="3">
        <v>2.36</v>
      </c>
      <c r="S1833" s="1">
        <v>195350</v>
      </c>
      <c r="T1833" s="4">
        <v>0</v>
      </c>
      <c r="U1833" s="4">
        <f t="shared" si="60"/>
        <v>0</v>
      </c>
      <c r="V1833" s="166" t="s">
        <v>362</v>
      </c>
      <c r="W1833" s="3">
        <v>2014</v>
      </c>
      <c r="X1833" s="3">
        <v>11</v>
      </c>
    </row>
    <row r="1834" spans="1:24" ht="89.25">
      <c r="A1834" s="3" t="s">
        <v>14871</v>
      </c>
      <c r="B1834" s="6" t="s">
        <v>361</v>
      </c>
      <c r="C1834" s="160" t="s">
        <v>4219</v>
      </c>
      <c r="D1834" s="76" t="s">
        <v>343</v>
      </c>
      <c r="E1834" s="167" t="s">
        <v>4220</v>
      </c>
      <c r="F1834" s="6" t="s">
        <v>4582</v>
      </c>
      <c r="G1834" s="3" t="s">
        <v>11449</v>
      </c>
      <c r="H1834" s="54">
        <v>0.9</v>
      </c>
      <c r="I1834" s="55">
        <v>470000000</v>
      </c>
      <c r="J1834" s="56" t="s">
        <v>229</v>
      </c>
      <c r="K1834" s="6" t="s">
        <v>222</v>
      </c>
      <c r="L1834" s="17" t="s">
        <v>11411</v>
      </c>
      <c r="M1834" s="162" t="s">
        <v>230</v>
      </c>
      <c r="N1834" s="15" t="s">
        <v>523</v>
      </c>
      <c r="O1834" s="6" t="s">
        <v>4568</v>
      </c>
      <c r="P1834" s="58" t="s">
        <v>235</v>
      </c>
      <c r="Q1834" s="6" t="s">
        <v>236</v>
      </c>
      <c r="R1834" s="3">
        <v>2.36</v>
      </c>
      <c r="S1834" s="1">
        <v>195350</v>
      </c>
      <c r="T1834" s="4">
        <v>0</v>
      </c>
      <c r="U1834" s="4">
        <f t="shared" si="60"/>
        <v>0</v>
      </c>
      <c r="V1834" s="166" t="s">
        <v>362</v>
      </c>
      <c r="W1834" s="3">
        <v>2014</v>
      </c>
      <c r="X1834" s="3">
        <v>11</v>
      </c>
    </row>
    <row r="1835" spans="1:24" ht="89.25">
      <c r="A1835" s="3" t="s">
        <v>17500</v>
      </c>
      <c r="B1835" s="6" t="s">
        <v>361</v>
      </c>
      <c r="C1835" s="160" t="s">
        <v>4219</v>
      </c>
      <c r="D1835" s="76" t="s">
        <v>343</v>
      </c>
      <c r="E1835" s="167" t="s">
        <v>4220</v>
      </c>
      <c r="F1835" s="6" t="s">
        <v>4582</v>
      </c>
      <c r="G1835" s="3" t="s">
        <v>11449</v>
      </c>
      <c r="H1835" s="54">
        <v>0.9</v>
      </c>
      <c r="I1835" s="55">
        <v>470000000</v>
      </c>
      <c r="J1835" s="56" t="s">
        <v>229</v>
      </c>
      <c r="K1835" s="6" t="s">
        <v>222</v>
      </c>
      <c r="L1835" s="17" t="s">
        <v>11411</v>
      </c>
      <c r="M1835" s="162" t="s">
        <v>230</v>
      </c>
      <c r="N1835" s="15" t="s">
        <v>8914</v>
      </c>
      <c r="O1835" s="6" t="s">
        <v>4568</v>
      </c>
      <c r="P1835" s="58" t="s">
        <v>235</v>
      </c>
      <c r="Q1835" s="6" t="s">
        <v>236</v>
      </c>
      <c r="R1835" s="3">
        <v>2.36</v>
      </c>
      <c r="S1835" s="1">
        <v>195350</v>
      </c>
      <c r="T1835" s="4">
        <f>R1835*S1835</f>
        <v>461026</v>
      </c>
      <c r="U1835" s="4">
        <f t="shared" si="60"/>
        <v>516349.12000000005</v>
      </c>
      <c r="V1835" s="166" t="s">
        <v>362</v>
      </c>
      <c r="W1835" s="3">
        <v>2014</v>
      </c>
      <c r="X1835" s="3"/>
    </row>
    <row r="1836" spans="1:24" ht="89.25">
      <c r="A1836" s="3" t="s">
        <v>1275</v>
      </c>
      <c r="B1836" s="6" t="s">
        <v>361</v>
      </c>
      <c r="C1836" s="160" t="s">
        <v>4221</v>
      </c>
      <c r="D1836" s="76" t="s">
        <v>343</v>
      </c>
      <c r="E1836" s="167" t="s">
        <v>4222</v>
      </c>
      <c r="F1836" s="6" t="s">
        <v>4583</v>
      </c>
      <c r="G1836" s="3" t="s">
        <v>11449</v>
      </c>
      <c r="H1836" s="54">
        <v>0.9</v>
      </c>
      <c r="I1836" s="16">
        <v>470000000</v>
      </c>
      <c r="J1836" s="56" t="s">
        <v>229</v>
      </c>
      <c r="K1836" s="6" t="s">
        <v>516</v>
      </c>
      <c r="L1836" s="16" t="s">
        <v>4567</v>
      </c>
      <c r="M1836" s="162" t="s">
        <v>230</v>
      </c>
      <c r="N1836" s="15" t="s">
        <v>523</v>
      </c>
      <c r="O1836" s="6" t="s">
        <v>4568</v>
      </c>
      <c r="P1836" s="58" t="s">
        <v>235</v>
      </c>
      <c r="Q1836" s="6" t="s">
        <v>236</v>
      </c>
      <c r="R1836" s="1">
        <v>8.43</v>
      </c>
      <c r="S1836" s="74">
        <v>375238</v>
      </c>
      <c r="T1836" s="4">
        <v>0</v>
      </c>
      <c r="U1836" s="4">
        <f t="shared" si="60"/>
        <v>0</v>
      </c>
      <c r="V1836" s="3" t="s">
        <v>362</v>
      </c>
      <c r="W1836" s="3">
        <v>2014</v>
      </c>
      <c r="X1836" s="3">
        <v>1.1200000000000001</v>
      </c>
    </row>
    <row r="1837" spans="1:24" ht="89.25">
      <c r="A1837" s="3" t="s">
        <v>13970</v>
      </c>
      <c r="B1837" s="6" t="s">
        <v>361</v>
      </c>
      <c r="C1837" s="160" t="s">
        <v>4221</v>
      </c>
      <c r="D1837" s="76" t="s">
        <v>343</v>
      </c>
      <c r="E1837" s="167" t="s">
        <v>4222</v>
      </c>
      <c r="F1837" s="6" t="s">
        <v>4583</v>
      </c>
      <c r="G1837" s="3" t="s">
        <v>11449</v>
      </c>
      <c r="H1837" s="54">
        <v>0.9</v>
      </c>
      <c r="I1837" s="16">
        <v>470000000</v>
      </c>
      <c r="J1837" s="56" t="s">
        <v>229</v>
      </c>
      <c r="K1837" s="6" t="s">
        <v>12367</v>
      </c>
      <c r="L1837" s="17" t="s">
        <v>11411</v>
      </c>
      <c r="M1837" s="162" t="s">
        <v>230</v>
      </c>
      <c r="N1837" s="15" t="s">
        <v>523</v>
      </c>
      <c r="O1837" s="6" t="s">
        <v>4568</v>
      </c>
      <c r="P1837" s="58" t="s">
        <v>235</v>
      </c>
      <c r="Q1837" s="6" t="s">
        <v>236</v>
      </c>
      <c r="R1837" s="1">
        <v>8.43</v>
      </c>
      <c r="S1837" s="74">
        <v>375238</v>
      </c>
      <c r="T1837" s="4">
        <v>0</v>
      </c>
      <c r="U1837" s="4">
        <f t="shared" si="60"/>
        <v>0</v>
      </c>
      <c r="V1837" s="3" t="s">
        <v>362</v>
      </c>
      <c r="W1837" s="3">
        <v>2014</v>
      </c>
      <c r="X1837" s="3">
        <v>11</v>
      </c>
    </row>
    <row r="1838" spans="1:24" ht="89.25">
      <c r="A1838" s="3" t="s">
        <v>14872</v>
      </c>
      <c r="B1838" s="6" t="s">
        <v>361</v>
      </c>
      <c r="C1838" s="160" t="s">
        <v>4221</v>
      </c>
      <c r="D1838" s="76" t="s">
        <v>343</v>
      </c>
      <c r="E1838" s="167" t="s">
        <v>4222</v>
      </c>
      <c r="F1838" s="6" t="s">
        <v>4583</v>
      </c>
      <c r="G1838" s="3" t="s">
        <v>11449</v>
      </c>
      <c r="H1838" s="54">
        <v>0.9</v>
      </c>
      <c r="I1838" s="16">
        <v>470000000</v>
      </c>
      <c r="J1838" s="56" t="s">
        <v>229</v>
      </c>
      <c r="K1838" s="6" t="s">
        <v>222</v>
      </c>
      <c r="L1838" s="17" t="s">
        <v>11411</v>
      </c>
      <c r="M1838" s="162" t="s">
        <v>230</v>
      </c>
      <c r="N1838" s="15" t="s">
        <v>523</v>
      </c>
      <c r="O1838" s="6" t="s">
        <v>4568</v>
      </c>
      <c r="P1838" s="58" t="s">
        <v>235</v>
      </c>
      <c r="Q1838" s="6" t="s">
        <v>236</v>
      </c>
      <c r="R1838" s="1">
        <v>8.43</v>
      </c>
      <c r="S1838" s="74">
        <v>375238</v>
      </c>
      <c r="T1838" s="4">
        <v>0</v>
      </c>
      <c r="U1838" s="4">
        <f t="shared" si="60"/>
        <v>0</v>
      </c>
      <c r="V1838" s="3" t="s">
        <v>362</v>
      </c>
      <c r="W1838" s="3">
        <v>2014</v>
      </c>
      <c r="X1838" s="3">
        <v>14</v>
      </c>
    </row>
    <row r="1839" spans="1:24" ht="89.25">
      <c r="A1839" s="3" t="s">
        <v>17501</v>
      </c>
      <c r="B1839" s="6" t="s">
        <v>361</v>
      </c>
      <c r="C1839" s="160" t="s">
        <v>4221</v>
      </c>
      <c r="D1839" s="76" t="s">
        <v>343</v>
      </c>
      <c r="E1839" s="167" t="s">
        <v>4222</v>
      </c>
      <c r="F1839" s="6" t="s">
        <v>4583</v>
      </c>
      <c r="G1839" s="3" t="s">
        <v>11449</v>
      </c>
      <c r="H1839" s="54">
        <v>0.9</v>
      </c>
      <c r="I1839" s="16">
        <v>470000000</v>
      </c>
      <c r="J1839" s="56" t="s">
        <v>229</v>
      </c>
      <c r="K1839" s="6" t="s">
        <v>222</v>
      </c>
      <c r="L1839" s="17" t="s">
        <v>11411</v>
      </c>
      <c r="M1839" s="162" t="s">
        <v>230</v>
      </c>
      <c r="N1839" s="15" t="s">
        <v>8914</v>
      </c>
      <c r="O1839" s="6" t="s">
        <v>4568</v>
      </c>
      <c r="P1839" s="58" t="s">
        <v>235</v>
      </c>
      <c r="Q1839" s="6" t="s">
        <v>236</v>
      </c>
      <c r="R1839" s="1">
        <v>8.43</v>
      </c>
      <c r="S1839" s="74">
        <v>375238</v>
      </c>
      <c r="T1839" s="4">
        <f>R1839*S1839</f>
        <v>3163256.34</v>
      </c>
      <c r="U1839" s="4">
        <f t="shared" si="60"/>
        <v>3542847.1008000001</v>
      </c>
      <c r="V1839" s="3" t="s">
        <v>362</v>
      </c>
      <c r="W1839" s="3">
        <v>2014</v>
      </c>
      <c r="X1839" s="3"/>
    </row>
    <row r="1840" spans="1:24" ht="89.25">
      <c r="A1840" s="3" t="s">
        <v>1276</v>
      </c>
      <c r="B1840" s="6" t="s">
        <v>361</v>
      </c>
      <c r="C1840" s="160" t="s">
        <v>4223</v>
      </c>
      <c r="D1840" s="76" t="s">
        <v>343</v>
      </c>
      <c r="E1840" s="167" t="s">
        <v>4224</v>
      </c>
      <c r="F1840" s="6" t="s">
        <v>4584</v>
      </c>
      <c r="G1840" s="3" t="s">
        <v>11449</v>
      </c>
      <c r="H1840" s="54">
        <v>0.9</v>
      </c>
      <c r="I1840" s="55">
        <v>470000000</v>
      </c>
      <c r="J1840" s="56" t="s">
        <v>229</v>
      </c>
      <c r="K1840" s="6" t="s">
        <v>516</v>
      </c>
      <c r="L1840" s="16" t="s">
        <v>4570</v>
      </c>
      <c r="M1840" s="162" t="s">
        <v>230</v>
      </c>
      <c r="N1840" s="15" t="s">
        <v>523</v>
      </c>
      <c r="O1840" s="6" t="s">
        <v>4568</v>
      </c>
      <c r="P1840" s="58" t="s">
        <v>235</v>
      </c>
      <c r="Q1840" s="6" t="s">
        <v>236</v>
      </c>
      <c r="R1840" s="3">
        <v>0.5</v>
      </c>
      <c r="S1840" s="1">
        <v>321218</v>
      </c>
      <c r="T1840" s="4">
        <v>0</v>
      </c>
      <c r="U1840" s="4">
        <f t="shared" si="60"/>
        <v>0</v>
      </c>
      <c r="V1840" s="166" t="s">
        <v>362</v>
      </c>
      <c r="W1840" s="3">
        <v>2014</v>
      </c>
      <c r="X1840" s="3">
        <v>11.12</v>
      </c>
    </row>
    <row r="1841" spans="1:24" ht="89.25">
      <c r="A1841" s="3" t="s">
        <v>13971</v>
      </c>
      <c r="B1841" s="6" t="s">
        <v>361</v>
      </c>
      <c r="C1841" s="160" t="s">
        <v>4223</v>
      </c>
      <c r="D1841" s="76" t="s">
        <v>343</v>
      </c>
      <c r="E1841" s="167" t="s">
        <v>4224</v>
      </c>
      <c r="F1841" s="6" t="s">
        <v>4584</v>
      </c>
      <c r="G1841" s="3" t="s">
        <v>11449</v>
      </c>
      <c r="H1841" s="54">
        <v>0.9</v>
      </c>
      <c r="I1841" s="55">
        <v>470000000</v>
      </c>
      <c r="J1841" s="56" t="s">
        <v>229</v>
      </c>
      <c r="K1841" s="6" t="s">
        <v>12367</v>
      </c>
      <c r="L1841" s="17" t="s">
        <v>11411</v>
      </c>
      <c r="M1841" s="162" t="s">
        <v>230</v>
      </c>
      <c r="N1841" s="15" t="s">
        <v>523</v>
      </c>
      <c r="O1841" s="6" t="s">
        <v>4568</v>
      </c>
      <c r="P1841" s="58" t="s">
        <v>235</v>
      </c>
      <c r="Q1841" s="6" t="s">
        <v>236</v>
      </c>
      <c r="R1841" s="3">
        <v>0.5</v>
      </c>
      <c r="S1841" s="1">
        <v>321218</v>
      </c>
      <c r="T1841" s="4">
        <v>0</v>
      </c>
      <c r="U1841" s="4">
        <f t="shared" si="60"/>
        <v>0</v>
      </c>
      <c r="V1841" s="166" t="s">
        <v>362</v>
      </c>
      <c r="W1841" s="3">
        <v>2014</v>
      </c>
      <c r="X1841" s="3">
        <v>11</v>
      </c>
    </row>
    <row r="1842" spans="1:24" ht="89.25">
      <c r="A1842" s="3" t="s">
        <v>14873</v>
      </c>
      <c r="B1842" s="6" t="s">
        <v>361</v>
      </c>
      <c r="C1842" s="160" t="s">
        <v>4223</v>
      </c>
      <c r="D1842" s="76" t="s">
        <v>343</v>
      </c>
      <c r="E1842" s="167" t="s">
        <v>4224</v>
      </c>
      <c r="F1842" s="6" t="s">
        <v>4584</v>
      </c>
      <c r="G1842" s="3" t="s">
        <v>11449</v>
      </c>
      <c r="H1842" s="54">
        <v>0.9</v>
      </c>
      <c r="I1842" s="55">
        <v>470000000</v>
      </c>
      <c r="J1842" s="56" t="s">
        <v>229</v>
      </c>
      <c r="K1842" s="6" t="s">
        <v>222</v>
      </c>
      <c r="L1842" s="17" t="s">
        <v>11411</v>
      </c>
      <c r="M1842" s="162" t="s">
        <v>230</v>
      </c>
      <c r="N1842" s="15" t="s">
        <v>523</v>
      </c>
      <c r="O1842" s="6" t="s">
        <v>4568</v>
      </c>
      <c r="P1842" s="58" t="s">
        <v>235</v>
      </c>
      <c r="Q1842" s="6" t="s">
        <v>236</v>
      </c>
      <c r="R1842" s="3">
        <v>0.5</v>
      </c>
      <c r="S1842" s="1">
        <v>321218</v>
      </c>
      <c r="T1842" s="4">
        <v>0</v>
      </c>
      <c r="U1842" s="4">
        <f t="shared" si="60"/>
        <v>0</v>
      </c>
      <c r="V1842" s="166" t="s">
        <v>362</v>
      </c>
      <c r="W1842" s="3">
        <v>2014</v>
      </c>
      <c r="X1842" s="3">
        <v>14</v>
      </c>
    </row>
    <row r="1843" spans="1:24" ht="89.25">
      <c r="A1843" s="3" t="s">
        <v>17502</v>
      </c>
      <c r="B1843" s="6" t="s">
        <v>361</v>
      </c>
      <c r="C1843" s="160" t="s">
        <v>4223</v>
      </c>
      <c r="D1843" s="76" t="s">
        <v>343</v>
      </c>
      <c r="E1843" s="167" t="s">
        <v>4224</v>
      </c>
      <c r="F1843" s="6" t="s">
        <v>4584</v>
      </c>
      <c r="G1843" s="3" t="s">
        <v>11449</v>
      </c>
      <c r="H1843" s="54">
        <v>0.9</v>
      </c>
      <c r="I1843" s="55">
        <v>470000000</v>
      </c>
      <c r="J1843" s="56" t="s">
        <v>229</v>
      </c>
      <c r="K1843" s="6" t="s">
        <v>222</v>
      </c>
      <c r="L1843" s="17" t="s">
        <v>11411</v>
      </c>
      <c r="M1843" s="162" t="s">
        <v>230</v>
      </c>
      <c r="N1843" s="15" t="s">
        <v>8914</v>
      </c>
      <c r="O1843" s="6" t="s">
        <v>4568</v>
      </c>
      <c r="P1843" s="58" t="s">
        <v>235</v>
      </c>
      <c r="Q1843" s="6" t="s">
        <v>236</v>
      </c>
      <c r="R1843" s="3">
        <v>0.5</v>
      </c>
      <c r="S1843" s="1">
        <v>321218</v>
      </c>
      <c r="T1843" s="4">
        <f>R1843*S1843</f>
        <v>160609</v>
      </c>
      <c r="U1843" s="4">
        <f t="shared" si="60"/>
        <v>179882.08000000002</v>
      </c>
      <c r="V1843" s="166" t="s">
        <v>362</v>
      </c>
      <c r="W1843" s="3">
        <v>2014</v>
      </c>
      <c r="X1843" s="3"/>
    </row>
    <row r="1844" spans="1:24" ht="89.25">
      <c r="A1844" s="3" t="s">
        <v>1277</v>
      </c>
      <c r="B1844" s="6" t="s">
        <v>361</v>
      </c>
      <c r="C1844" s="160" t="s">
        <v>4225</v>
      </c>
      <c r="D1844" s="76" t="s">
        <v>343</v>
      </c>
      <c r="E1844" s="167" t="s">
        <v>4226</v>
      </c>
      <c r="F1844" s="6" t="s">
        <v>4585</v>
      </c>
      <c r="G1844" s="3" t="s">
        <v>11449</v>
      </c>
      <c r="H1844" s="54">
        <v>0.9</v>
      </c>
      <c r="I1844" s="16">
        <v>470000000</v>
      </c>
      <c r="J1844" s="56" t="s">
        <v>229</v>
      </c>
      <c r="K1844" s="6" t="s">
        <v>516</v>
      </c>
      <c r="L1844" s="16" t="s">
        <v>4567</v>
      </c>
      <c r="M1844" s="162" t="s">
        <v>230</v>
      </c>
      <c r="N1844" s="15" t="s">
        <v>523</v>
      </c>
      <c r="O1844" s="6" t="s">
        <v>4568</v>
      </c>
      <c r="P1844" s="58" t="s">
        <v>235</v>
      </c>
      <c r="Q1844" s="6" t="s">
        <v>236</v>
      </c>
      <c r="R1844" s="50">
        <v>1</v>
      </c>
      <c r="S1844" s="74">
        <v>88675</v>
      </c>
      <c r="T1844" s="4">
        <v>0</v>
      </c>
      <c r="U1844" s="4">
        <f t="shared" si="60"/>
        <v>0</v>
      </c>
      <c r="V1844" s="3" t="s">
        <v>362</v>
      </c>
      <c r="W1844" s="3">
        <v>2014</v>
      </c>
      <c r="X1844" s="3">
        <v>11.12</v>
      </c>
    </row>
    <row r="1845" spans="1:24" ht="89.25">
      <c r="A1845" s="3" t="s">
        <v>13972</v>
      </c>
      <c r="B1845" s="6" t="s">
        <v>361</v>
      </c>
      <c r="C1845" s="160" t="s">
        <v>4225</v>
      </c>
      <c r="D1845" s="76" t="s">
        <v>343</v>
      </c>
      <c r="E1845" s="167" t="s">
        <v>4226</v>
      </c>
      <c r="F1845" s="6" t="s">
        <v>4585</v>
      </c>
      <c r="G1845" s="3" t="s">
        <v>11449</v>
      </c>
      <c r="H1845" s="54">
        <v>0.9</v>
      </c>
      <c r="I1845" s="16">
        <v>470000000</v>
      </c>
      <c r="J1845" s="56" t="s">
        <v>229</v>
      </c>
      <c r="K1845" s="6" t="s">
        <v>12367</v>
      </c>
      <c r="L1845" s="17" t="s">
        <v>11411</v>
      </c>
      <c r="M1845" s="162" t="s">
        <v>230</v>
      </c>
      <c r="N1845" s="15" t="s">
        <v>523</v>
      </c>
      <c r="O1845" s="6" t="s">
        <v>4568</v>
      </c>
      <c r="P1845" s="58" t="s">
        <v>235</v>
      </c>
      <c r="Q1845" s="6" t="s">
        <v>236</v>
      </c>
      <c r="R1845" s="50">
        <v>0</v>
      </c>
      <c r="S1845" s="74">
        <v>88675</v>
      </c>
      <c r="T1845" s="4">
        <f>R1845*S1845</f>
        <v>0</v>
      </c>
      <c r="U1845" s="4">
        <f t="shared" si="60"/>
        <v>0</v>
      </c>
      <c r="V1845" s="3" t="s">
        <v>362</v>
      </c>
      <c r="W1845" s="3">
        <v>2014</v>
      </c>
      <c r="X1845" s="3" t="s">
        <v>12076</v>
      </c>
    </row>
    <row r="1846" spans="1:24" ht="89.25">
      <c r="A1846" s="3" t="s">
        <v>1278</v>
      </c>
      <c r="B1846" s="6" t="s">
        <v>361</v>
      </c>
      <c r="C1846" s="160" t="s">
        <v>4227</v>
      </c>
      <c r="D1846" s="76" t="s">
        <v>343</v>
      </c>
      <c r="E1846" s="167" t="s">
        <v>4228</v>
      </c>
      <c r="F1846" s="6" t="s">
        <v>4586</v>
      </c>
      <c r="G1846" s="3" t="s">
        <v>11449</v>
      </c>
      <c r="H1846" s="54">
        <v>0.9</v>
      </c>
      <c r="I1846" s="55">
        <v>470000000</v>
      </c>
      <c r="J1846" s="56" t="s">
        <v>229</v>
      </c>
      <c r="K1846" s="6" t="s">
        <v>516</v>
      </c>
      <c r="L1846" s="16" t="s">
        <v>4570</v>
      </c>
      <c r="M1846" s="162" t="s">
        <v>230</v>
      </c>
      <c r="N1846" s="15" t="s">
        <v>523</v>
      </c>
      <c r="O1846" s="6" t="s">
        <v>4568</v>
      </c>
      <c r="P1846" s="58" t="s">
        <v>235</v>
      </c>
      <c r="Q1846" s="6" t="s">
        <v>236</v>
      </c>
      <c r="R1846" s="136">
        <v>2</v>
      </c>
      <c r="S1846" s="1">
        <v>214050</v>
      </c>
      <c r="T1846" s="4">
        <v>0</v>
      </c>
      <c r="U1846" s="4">
        <f t="shared" si="60"/>
        <v>0</v>
      </c>
      <c r="V1846" s="166" t="s">
        <v>362</v>
      </c>
      <c r="W1846" s="3">
        <v>2014</v>
      </c>
      <c r="X1846" s="3">
        <v>11.12</v>
      </c>
    </row>
    <row r="1847" spans="1:24" ht="89.25">
      <c r="A1847" s="3" t="s">
        <v>13973</v>
      </c>
      <c r="B1847" s="6" t="s">
        <v>361</v>
      </c>
      <c r="C1847" s="160" t="s">
        <v>4227</v>
      </c>
      <c r="D1847" s="76" t="s">
        <v>343</v>
      </c>
      <c r="E1847" s="167" t="s">
        <v>4228</v>
      </c>
      <c r="F1847" s="6" t="s">
        <v>4586</v>
      </c>
      <c r="G1847" s="3" t="s">
        <v>11449</v>
      </c>
      <c r="H1847" s="54">
        <v>0.9</v>
      </c>
      <c r="I1847" s="55">
        <v>470000000</v>
      </c>
      <c r="J1847" s="56" t="s">
        <v>229</v>
      </c>
      <c r="K1847" s="6" t="s">
        <v>12367</v>
      </c>
      <c r="L1847" s="17" t="s">
        <v>11411</v>
      </c>
      <c r="M1847" s="162" t="s">
        <v>230</v>
      </c>
      <c r="N1847" s="15" t="s">
        <v>523</v>
      </c>
      <c r="O1847" s="6" t="s">
        <v>4568</v>
      </c>
      <c r="P1847" s="58" t="s">
        <v>235</v>
      </c>
      <c r="Q1847" s="6" t="s">
        <v>236</v>
      </c>
      <c r="R1847" s="136">
        <v>2</v>
      </c>
      <c r="S1847" s="1">
        <v>214050</v>
      </c>
      <c r="T1847" s="4">
        <v>0</v>
      </c>
      <c r="U1847" s="4">
        <f t="shared" si="60"/>
        <v>0</v>
      </c>
      <c r="V1847" s="166" t="s">
        <v>362</v>
      </c>
      <c r="W1847" s="3">
        <v>2014</v>
      </c>
      <c r="X1847" s="3">
        <v>11</v>
      </c>
    </row>
    <row r="1848" spans="1:24" ht="89.25">
      <c r="A1848" s="3" t="s">
        <v>14874</v>
      </c>
      <c r="B1848" s="6" t="s">
        <v>361</v>
      </c>
      <c r="C1848" s="160" t="s">
        <v>4227</v>
      </c>
      <c r="D1848" s="76" t="s">
        <v>343</v>
      </c>
      <c r="E1848" s="167" t="s">
        <v>4228</v>
      </c>
      <c r="F1848" s="6" t="s">
        <v>4586</v>
      </c>
      <c r="G1848" s="3" t="s">
        <v>11449</v>
      </c>
      <c r="H1848" s="54">
        <v>0.9</v>
      </c>
      <c r="I1848" s="55">
        <v>470000000</v>
      </c>
      <c r="J1848" s="56" t="s">
        <v>229</v>
      </c>
      <c r="K1848" s="6" t="s">
        <v>222</v>
      </c>
      <c r="L1848" s="17" t="s">
        <v>11411</v>
      </c>
      <c r="M1848" s="162" t="s">
        <v>230</v>
      </c>
      <c r="N1848" s="15" t="s">
        <v>523</v>
      </c>
      <c r="O1848" s="6" t="s">
        <v>4568</v>
      </c>
      <c r="P1848" s="58" t="s">
        <v>235</v>
      </c>
      <c r="Q1848" s="6" t="s">
        <v>236</v>
      </c>
      <c r="R1848" s="136">
        <v>0</v>
      </c>
      <c r="S1848" s="1">
        <v>214050</v>
      </c>
      <c r="T1848" s="4">
        <f>R1848*S1848</f>
        <v>0</v>
      </c>
      <c r="U1848" s="4">
        <f t="shared" si="60"/>
        <v>0</v>
      </c>
      <c r="V1848" s="166" t="s">
        <v>362</v>
      </c>
      <c r="W1848" s="3">
        <v>2014</v>
      </c>
      <c r="X1848" s="3" t="s">
        <v>12076</v>
      </c>
    </row>
    <row r="1849" spans="1:24" ht="89.25">
      <c r="A1849" s="3" t="s">
        <v>1279</v>
      </c>
      <c r="B1849" s="6" t="s">
        <v>361</v>
      </c>
      <c r="C1849" s="160" t="s">
        <v>4229</v>
      </c>
      <c r="D1849" s="76" t="s">
        <v>343</v>
      </c>
      <c r="E1849" s="167" t="s">
        <v>4230</v>
      </c>
      <c r="F1849" s="6" t="s">
        <v>4587</v>
      </c>
      <c r="G1849" s="3" t="s">
        <v>11449</v>
      </c>
      <c r="H1849" s="54">
        <v>0.9</v>
      </c>
      <c r="I1849" s="16">
        <v>470000000</v>
      </c>
      <c r="J1849" s="56" t="s">
        <v>229</v>
      </c>
      <c r="K1849" s="6" t="s">
        <v>516</v>
      </c>
      <c r="L1849" s="16" t="s">
        <v>4567</v>
      </c>
      <c r="M1849" s="162" t="s">
        <v>230</v>
      </c>
      <c r="N1849" s="15" t="s">
        <v>523</v>
      </c>
      <c r="O1849" s="6" t="s">
        <v>4568</v>
      </c>
      <c r="P1849" s="58" t="s">
        <v>235</v>
      </c>
      <c r="Q1849" s="6" t="s">
        <v>236</v>
      </c>
      <c r="R1849" s="50">
        <v>1</v>
      </c>
      <c r="S1849" s="74">
        <v>265500</v>
      </c>
      <c r="T1849" s="4">
        <v>0</v>
      </c>
      <c r="U1849" s="4">
        <f t="shared" si="60"/>
        <v>0</v>
      </c>
      <c r="V1849" s="3" t="s">
        <v>362</v>
      </c>
      <c r="W1849" s="3">
        <v>2014</v>
      </c>
      <c r="X1849" s="3">
        <v>11.12</v>
      </c>
    </row>
    <row r="1850" spans="1:24" ht="89.25">
      <c r="A1850" s="3" t="s">
        <v>13974</v>
      </c>
      <c r="B1850" s="6" t="s">
        <v>361</v>
      </c>
      <c r="C1850" s="160" t="s">
        <v>4229</v>
      </c>
      <c r="D1850" s="76" t="s">
        <v>343</v>
      </c>
      <c r="E1850" s="167" t="s">
        <v>4230</v>
      </c>
      <c r="F1850" s="6" t="s">
        <v>4587</v>
      </c>
      <c r="G1850" s="3" t="s">
        <v>11449</v>
      </c>
      <c r="H1850" s="54">
        <v>0.9</v>
      </c>
      <c r="I1850" s="16">
        <v>470000000</v>
      </c>
      <c r="J1850" s="56" t="s">
        <v>229</v>
      </c>
      <c r="K1850" s="6" t="s">
        <v>12367</v>
      </c>
      <c r="L1850" s="17" t="s">
        <v>11411</v>
      </c>
      <c r="M1850" s="162" t="s">
        <v>230</v>
      </c>
      <c r="N1850" s="15" t="s">
        <v>523</v>
      </c>
      <c r="O1850" s="6" t="s">
        <v>4568</v>
      </c>
      <c r="P1850" s="58" t="s">
        <v>235</v>
      </c>
      <c r="Q1850" s="6" t="s">
        <v>236</v>
      </c>
      <c r="R1850" s="50">
        <v>1</v>
      </c>
      <c r="S1850" s="74">
        <v>265500</v>
      </c>
      <c r="T1850" s="4">
        <v>0</v>
      </c>
      <c r="U1850" s="4">
        <f t="shared" si="60"/>
        <v>0</v>
      </c>
      <c r="V1850" s="3" t="s">
        <v>362</v>
      </c>
      <c r="W1850" s="3">
        <v>2014</v>
      </c>
      <c r="X1850" s="3">
        <v>11</v>
      </c>
    </row>
    <row r="1851" spans="1:24" ht="89.25">
      <c r="A1851" s="3" t="s">
        <v>14875</v>
      </c>
      <c r="B1851" s="6" t="s">
        <v>361</v>
      </c>
      <c r="C1851" s="160" t="s">
        <v>4229</v>
      </c>
      <c r="D1851" s="76" t="s">
        <v>343</v>
      </c>
      <c r="E1851" s="167" t="s">
        <v>4230</v>
      </c>
      <c r="F1851" s="6" t="s">
        <v>4587</v>
      </c>
      <c r="G1851" s="3" t="s">
        <v>11449</v>
      </c>
      <c r="H1851" s="54">
        <v>0.9</v>
      </c>
      <c r="I1851" s="16">
        <v>470000000</v>
      </c>
      <c r="J1851" s="56" t="s">
        <v>229</v>
      </c>
      <c r="K1851" s="6" t="s">
        <v>222</v>
      </c>
      <c r="L1851" s="17" t="s">
        <v>11411</v>
      </c>
      <c r="M1851" s="162" t="s">
        <v>230</v>
      </c>
      <c r="N1851" s="15" t="s">
        <v>523</v>
      </c>
      <c r="O1851" s="6" t="s">
        <v>4568</v>
      </c>
      <c r="P1851" s="58" t="s">
        <v>235</v>
      </c>
      <c r="Q1851" s="6" t="s">
        <v>236</v>
      </c>
      <c r="R1851" s="50">
        <v>0</v>
      </c>
      <c r="S1851" s="74">
        <v>265500</v>
      </c>
      <c r="T1851" s="4">
        <f>R1851*S1851</f>
        <v>0</v>
      </c>
      <c r="U1851" s="4">
        <f t="shared" si="60"/>
        <v>0</v>
      </c>
      <c r="V1851" s="3" t="s">
        <v>362</v>
      </c>
      <c r="W1851" s="3">
        <v>2014</v>
      </c>
      <c r="X1851" s="3" t="s">
        <v>12076</v>
      </c>
    </row>
    <row r="1852" spans="1:24" ht="89.25">
      <c r="A1852" s="3" t="s">
        <v>1280</v>
      </c>
      <c r="B1852" s="6" t="s">
        <v>361</v>
      </c>
      <c r="C1852" s="160" t="s">
        <v>4231</v>
      </c>
      <c r="D1852" s="76" t="s">
        <v>343</v>
      </c>
      <c r="E1852" s="167" t="s">
        <v>4232</v>
      </c>
      <c r="F1852" s="6" t="s">
        <v>4588</v>
      </c>
      <c r="G1852" s="3" t="s">
        <v>11449</v>
      </c>
      <c r="H1852" s="54">
        <v>0.9</v>
      </c>
      <c r="I1852" s="55">
        <v>470000000</v>
      </c>
      <c r="J1852" s="56" t="s">
        <v>229</v>
      </c>
      <c r="K1852" s="6" t="s">
        <v>516</v>
      </c>
      <c r="L1852" s="16" t="s">
        <v>4570</v>
      </c>
      <c r="M1852" s="162" t="s">
        <v>230</v>
      </c>
      <c r="N1852" s="15" t="s">
        <v>523</v>
      </c>
      <c r="O1852" s="6" t="s">
        <v>4568</v>
      </c>
      <c r="P1852" s="58" t="s">
        <v>235</v>
      </c>
      <c r="Q1852" s="6" t="s">
        <v>236</v>
      </c>
      <c r="R1852" s="3">
        <v>0.1</v>
      </c>
      <c r="S1852" s="1">
        <v>285374</v>
      </c>
      <c r="T1852" s="4">
        <v>0</v>
      </c>
      <c r="U1852" s="4">
        <f t="shared" si="60"/>
        <v>0</v>
      </c>
      <c r="V1852" s="166" t="s">
        <v>362</v>
      </c>
      <c r="W1852" s="3">
        <v>2014</v>
      </c>
      <c r="X1852" s="3">
        <v>11.12</v>
      </c>
    </row>
    <row r="1853" spans="1:24" ht="89.25">
      <c r="A1853" s="3" t="s">
        <v>13975</v>
      </c>
      <c r="B1853" s="6" t="s">
        <v>361</v>
      </c>
      <c r="C1853" s="160" t="s">
        <v>4231</v>
      </c>
      <c r="D1853" s="76" t="s">
        <v>343</v>
      </c>
      <c r="E1853" s="167" t="s">
        <v>4232</v>
      </c>
      <c r="F1853" s="6" t="s">
        <v>4588</v>
      </c>
      <c r="G1853" s="3" t="s">
        <v>11449</v>
      </c>
      <c r="H1853" s="54">
        <v>0.9</v>
      </c>
      <c r="I1853" s="55">
        <v>470000000</v>
      </c>
      <c r="J1853" s="56" t="s">
        <v>229</v>
      </c>
      <c r="K1853" s="6" t="s">
        <v>12367</v>
      </c>
      <c r="L1853" s="17" t="s">
        <v>11411</v>
      </c>
      <c r="M1853" s="162" t="s">
        <v>230</v>
      </c>
      <c r="N1853" s="15" t="s">
        <v>523</v>
      </c>
      <c r="O1853" s="6" t="s">
        <v>4568</v>
      </c>
      <c r="P1853" s="58" t="s">
        <v>235</v>
      </c>
      <c r="Q1853" s="6" t="s">
        <v>236</v>
      </c>
      <c r="R1853" s="3">
        <v>0.1</v>
      </c>
      <c r="S1853" s="1">
        <v>285374</v>
      </c>
      <c r="T1853" s="4">
        <v>0</v>
      </c>
      <c r="U1853" s="4">
        <f t="shared" si="60"/>
        <v>0</v>
      </c>
      <c r="V1853" s="166" t="s">
        <v>362</v>
      </c>
      <c r="W1853" s="3">
        <v>2014</v>
      </c>
      <c r="X1853" s="3">
        <v>11</v>
      </c>
    </row>
    <row r="1854" spans="1:24" ht="89.25">
      <c r="A1854" s="3" t="s">
        <v>14876</v>
      </c>
      <c r="B1854" s="6" t="s">
        <v>361</v>
      </c>
      <c r="C1854" s="160" t="s">
        <v>4231</v>
      </c>
      <c r="D1854" s="76" t="s">
        <v>343</v>
      </c>
      <c r="E1854" s="167" t="s">
        <v>4232</v>
      </c>
      <c r="F1854" s="6" t="s">
        <v>4588</v>
      </c>
      <c r="G1854" s="3" t="s">
        <v>11449</v>
      </c>
      <c r="H1854" s="54">
        <v>0.9</v>
      </c>
      <c r="I1854" s="55">
        <v>470000000</v>
      </c>
      <c r="J1854" s="56" t="s">
        <v>229</v>
      </c>
      <c r="K1854" s="6" t="s">
        <v>222</v>
      </c>
      <c r="L1854" s="17" t="s">
        <v>11411</v>
      </c>
      <c r="M1854" s="162" t="s">
        <v>230</v>
      </c>
      <c r="N1854" s="15" t="s">
        <v>523</v>
      </c>
      <c r="O1854" s="6" t="s">
        <v>4568</v>
      </c>
      <c r="P1854" s="58" t="s">
        <v>235</v>
      </c>
      <c r="Q1854" s="6" t="s">
        <v>236</v>
      </c>
      <c r="R1854" s="3">
        <v>0</v>
      </c>
      <c r="S1854" s="1">
        <v>285374</v>
      </c>
      <c r="T1854" s="4">
        <f>R1854*S1854</f>
        <v>0</v>
      </c>
      <c r="U1854" s="4">
        <f t="shared" si="60"/>
        <v>0</v>
      </c>
      <c r="V1854" s="166" t="s">
        <v>362</v>
      </c>
      <c r="W1854" s="3">
        <v>2014</v>
      </c>
      <c r="X1854" s="3" t="s">
        <v>12076</v>
      </c>
    </row>
    <row r="1855" spans="1:24" ht="89.25">
      <c r="A1855" s="3" t="s">
        <v>1281</v>
      </c>
      <c r="B1855" s="6" t="s">
        <v>361</v>
      </c>
      <c r="C1855" s="160" t="s">
        <v>4233</v>
      </c>
      <c r="D1855" s="76" t="s">
        <v>343</v>
      </c>
      <c r="E1855" s="167" t="s">
        <v>4234</v>
      </c>
      <c r="F1855" s="6" t="s">
        <v>4589</v>
      </c>
      <c r="G1855" s="3" t="s">
        <v>11449</v>
      </c>
      <c r="H1855" s="54">
        <v>0.9</v>
      </c>
      <c r="I1855" s="16">
        <v>470000000</v>
      </c>
      <c r="J1855" s="56" t="s">
        <v>229</v>
      </c>
      <c r="K1855" s="6" t="s">
        <v>516</v>
      </c>
      <c r="L1855" s="16" t="s">
        <v>4567</v>
      </c>
      <c r="M1855" s="162" t="s">
        <v>230</v>
      </c>
      <c r="N1855" s="15" t="s">
        <v>523</v>
      </c>
      <c r="O1855" s="6" t="s">
        <v>4568</v>
      </c>
      <c r="P1855" s="58" t="s">
        <v>235</v>
      </c>
      <c r="Q1855" s="6" t="s">
        <v>236</v>
      </c>
      <c r="R1855" s="1">
        <v>4.8</v>
      </c>
      <c r="S1855" s="74">
        <v>418100</v>
      </c>
      <c r="T1855" s="4">
        <v>0</v>
      </c>
      <c r="U1855" s="4">
        <f t="shared" si="60"/>
        <v>0</v>
      </c>
      <c r="V1855" s="3" t="s">
        <v>362</v>
      </c>
      <c r="W1855" s="3">
        <v>2014</v>
      </c>
      <c r="X1855" s="3">
        <v>11.12</v>
      </c>
    </row>
    <row r="1856" spans="1:24" ht="89.25">
      <c r="A1856" s="3" t="s">
        <v>13976</v>
      </c>
      <c r="B1856" s="6" t="s">
        <v>361</v>
      </c>
      <c r="C1856" s="160" t="s">
        <v>4233</v>
      </c>
      <c r="D1856" s="76" t="s">
        <v>343</v>
      </c>
      <c r="E1856" s="167" t="s">
        <v>4234</v>
      </c>
      <c r="F1856" s="6" t="s">
        <v>4589</v>
      </c>
      <c r="G1856" s="3" t="s">
        <v>11449</v>
      </c>
      <c r="H1856" s="54">
        <v>0.9</v>
      </c>
      <c r="I1856" s="16">
        <v>470000000</v>
      </c>
      <c r="J1856" s="56" t="s">
        <v>229</v>
      </c>
      <c r="K1856" s="6" t="s">
        <v>12367</v>
      </c>
      <c r="L1856" s="17" t="s">
        <v>11411</v>
      </c>
      <c r="M1856" s="162" t="s">
        <v>230</v>
      </c>
      <c r="N1856" s="15" t="s">
        <v>523</v>
      </c>
      <c r="O1856" s="6" t="s">
        <v>4568</v>
      </c>
      <c r="P1856" s="58" t="s">
        <v>235</v>
      </c>
      <c r="Q1856" s="6" t="s">
        <v>236</v>
      </c>
      <c r="R1856" s="1">
        <v>4.8</v>
      </c>
      <c r="S1856" s="74">
        <v>418100</v>
      </c>
      <c r="T1856" s="4">
        <v>0</v>
      </c>
      <c r="U1856" s="4">
        <f t="shared" si="60"/>
        <v>0</v>
      </c>
      <c r="V1856" s="3" t="s">
        <v>362</v>
      </c>
      <c r="W1856" s="3">
        <v>2014</v>
      </c>
      <c r="X1856" s="3">
        <v>11</v>
      </c>
    </row>
    <row r="1857" spans="1:24" ht="89.25">
      <c r="A1857" s="3" t="s">
        <v>14877</v>
      </c>
      <c r="B1857" s="6" t="s">
        <v>361</v>
      </c>
      <c r="C1857" s="160" t="s">
        <v>4233</v>
      </c>
      <c r="D1857" s="76" t="s">
        <v>343</v>
      </c>
      <c r="E1857" s="167" t="s">
        <v>4234</v>
      </c>
      <c r="F1857" s="6" t="s">
        <v>4589</v>
      </c>
      <c r="G1857" s="3" t="s">
        <v>11449</v>
      </c>
      <c r="H1857" s="54">
        <v>0.9</v>
      </c>
      <c r="I1857" s="16">
        <v>470000000</v>
      </c>
      <c r="J1857" s="56" t="s">
        <v>229</v>
      </c>
      <c r="K1857" s="6" t="s">
        <v>222</v>
      </c>
      <c r="L1857" s="17" t="s">
        <v>11411</v>
      </c>
      <c r="M1857" s="162" t="s">
        <v>230</v>
      </c>
      <c r="N1857" s="15" t="s">
        <v>523</v>
      </c>
      <c r="O1857" s="6" t="s">
        <v>4568</v>
      </c>
      <c r="P1857" s="58" t="s">
        <v>235</v>
      </c>
      <c r="Q1857" s="6" t="s">
        <v>236</v>
      </c>
      <c r="R1857" s="1">
        <v>4.8</v>
      </c>
      <c r="S1857" s="74">
        <v>418100</v>
      </c>
      <c r="T1857" s="4">
        <v>0</v>
      </c>
      <c r="U1857" s="4">
        <f t="shared" si="60"/>
        <v>0</v>
      </c>
      <c r="V1857" s="3" t="s">
        <v>362</v>
      </c>
      <c r="W1857" s="3">
        <v>2014</v>
      </c>
      <c r="X1857" s="3">
        <v>14</v>
      </c>
    </row>
    <row r="1858" spans="1:24" ht="89.25">
      <c r="A1858" s="3" t="s">
        <v>17503</v>
      </c>
      <c r="B1858" s="6" t="s">
        <v>361</v>
      </c>
      <c r="C1858" s="160" t="s">
        <v>4233</v>
      </c>
      <c r="D1858" s="76" t="s">
        <v>343</v>
      </c>
      <c r="E1858" s="167" t="s">
        <v>4234</v>
      </c>
      <c r="F1858" s="6" t="s">
        <v>4589</v>
      </c>
      <c r="G1858" s="3" t="s">
        <v>11449</v>
      </c>
      <c r="H1858" s="54">
        <v>0.9</v>
      </c>
      <c r="I1858" s="16">
        <v>470000000</v>
      </c>
      <c r="J1858" s="56" t="s">
        <v>229</v>
      </c>
      <c r="K1858" s="6" t="s">
        <v>222</v>
      </c>
      <c r="L1858" s="17" t="s">
        <v>11411</v>
      </c>
      <c r="M1858" s="162" t="s">
        <v>230</v>
      </c>
      <c r="N1858" s="15" t="s">
        <v>8914</v>
      </c>
      <c r="O1858" s="6" t="s">
        <v>4568</v>
      </c>
      <c r="P1858" s="58" t="s">
        <v>235</v>
      </c>
      <c r="Q1858" s="6" t="s">
        <v>236</v>
      </c>
      <c r="R1858" s="1">
        <v>4.8</v>
      </c>
      <c r="S1858" s="74">
        <v>418100</v>
      </c>
      <c r="T1858" s="4">
        <f>R1858*S1858</f>
        <v>2006880</v>
      </c>
      <c r="U1858" s="4">
        <f t="shared" si="60"/>
        <v>2247705.6000000001</v>
      </c>
      <c r="V1858" s="3" t="s">
        <v>362</v>
      </c>
      <c r="W1858" s="3">
        <v>2014</v>
      </c>
      <c r="X1858" s="3"/>
    </row>
    <row r="1859" spans="1:24" ht="89.25">
      <c r="A1859" s="3" t="s">
        <v>1282</v>
      </c>
      <c r="B1859" s="6" t="s">
        <v>361</v>
      </c>
      <c r="C1859" s="6" t="s">
        <v>4235</v>
      </c>
      <c r="D1859" s="97" t="s">
        <v>343</v>
      </c>
      <c r="E1859" s="3" t="s">
        <v>4236</v>
      </c>
      <c r="F1859" s="6" t="s">
        <v>4590</v>
      </c>
      <c r="G1859" s="3" t="s">
        <v>11449</v>
      </c>
      <c r="H1859" s="54">
        <v>0.9</v>
      </c>
      <c r="I1859" s="55">
        <v>470000000</v>
      </c>
      <c r="J1859" s="56" t="s">
        <v>229</v>
      </c>
      <c r="K1859" s="6" t="s">
        <v>516</v>
      </c>
      <c r="L1859" s="16" t="s">
        <v>4570</v>
      </c>
      <c r="M1859" s="162" t="s">
        <v>230</v>
      </c>
      <c r="N1859" s="15" t="s">
        <v>523</v>
      </c>
      <c r="O1859" s="6" t="s">
        <v>4568</v>
      </c>
      <c r="P1859" s="58" t="s">
        <v>235</v>
      </c>
      <c r="Q1859" s="6" t="s">
        <v>236</v>
      </c>
      <c r="R1859" s="3">
        <v>0.1</v>
      </c>
      <c r="S1859" s="1">
        <v>423354</v>
      </c>
      <c r="T1859" s="4">
        <v>0</v>
      </c>
      <c r="U1859" s="4">
        <f t="shared" si="60"/>
        <v>0</v>
      </c>
      <c r="V1859" s="166" t="s">
        <v>362</v>
      </c>
      <c r="W1859" s="3">
        <v>2014</v>
      </c>
      <c r="X1859" s="3">
        <v>11.12</v>
      </c>
    </row>
    <row r="1860" spans="1:24" ht="89.25">
      <c r="A1860" s="3" t="s">
        <v>13977</v>
      </c>
      <c r="B1860" s="6" t="s">
        <v>361</v>
      </c>
      <c r="C1860" s="6" t="s">
        <v>4235</v>
      </c>
      <c r="D1860" s="97" t="s">
        <v>343</v>
      </c>
      <c r="E1860" s="3" t="s">
        <v>4236</v>
      </c>
      <c r="F1860" s="6" t="s">
        <v>4590</v>
      </c>
      <c r="G1860" s="3" t="s">
        <v>11449</v>
      </c>
      <c r="H1860" s="54">
        <v>0.9</v>
      </c>
      <c r="I1860" s="55">
        <v>470000000</v>
      </c>
      <c r="J1860" s="56" t="s">
        <v>229</v>
      </c>
      <c r="K1860" s="6" t="s">
        <v>12367</v>
      </c>
      <c r="L1860" s="17" t="s">
        <v>11411</v>
      </c>
      <c r="M1860" s="162" t="s">
        <v>230</v>
      </c>
      <c r="N1860" s="15" t="s">
        <v>523</v>
      </c>
      <c r="O1860" s="6" t="s">
        <v>4568</v>
      </c>
      <c r="P1860" s="58" t="s">
        <v>235</v>
      </c>
      <c r="Q1860" s="6" t="s">
        <v>236</v>
      </c>
      <c r="R1860" s="3">
        <v>0.1</v>
      </c>
      <c r="S1860" s="1">
        <v>423354</v>
      </c>
      <c r="T1860" s="4">
        <v>0</v>
      </c>
      <c r="U1860" s="4">
        <f t="shared" si="60"/>
        <v>0</v>
      </c>
      <c r="V1860" s="166" t="s">
        <v>362</v>
      </c>
      <c r="W1860" s="3">
        <v>2014</v>
      </c>
      <c r="X1860" s="3">
        <v>11</v>
      </c>
    </row>
    <row r="1861" spans="1:24" ht="89.25">
      <c r="A1861" s="3" t="s">
        <v>14878</v>
      </c>
      <c r="B1861" s="6" t="s">
        <v>361</v>
      </c>
      <c r="C1861" s="6" t="s">
        <v>4235</v>
      </c>
      <c r="D1861" s="97" t="s">
        <v>343</v>
      </c>
      <c r="E1861" s="3" t="s">
        <v>4236</v>
      </c>
      <c r="F1861" s="6" t="s">
        <v>4590</v>
      </c>
      <c r="G1861" s="3" t="s">
        <v>11449</v>
      </c>
      <c r="H1861" s="54">
        <v>0.9</v>
      </c>
      <c r="I1861" s="55">
        <v>470000000</v>
      </c>
      <c r="J1861" s="56" t="s">
        <v>229</v>
      </c>
      <c r="K1861" s="6" t="s">
        <v>222</v>
      </c>
      <c r="L1861" s="17" t="s">
        <v>11411</v>
      </c>
      <c r="M1861" s="162" t="s">
        <v>230</v>
      </c>
      <c r="N1861" s="15" t="s">
        <v>523</v>
      </c>
      <c r="O1861" s="6" t="s">
        <v>4568</v>
      </c>
      <c r="P1861" s="58" t="s">
        <v>235</v>
      </c>
      <c r="Q1861" s="6" t="s">
        <v>236</v>
      </c>
      <c r="R1861" s="3">
        <v>0</v>
      </c>
      <c r="S1861" s="1">
        <v>423354</v>
      </c>
      <c r="T1861" s="4">
        <f>R1861*S1861</f>
        <v>0</v>
      </c>
      <c r="U1861" s="4">
        <f t="shared" si="60"/>
        <v>0</v>
      </c>
      <c r="V1861" s="166" t="s">
        <v>362</v>
      </c>
      <c r="W1861" s="3">
        <v>2014</v>
      </c>
      <c r="X1861" s="3" t="s">
        <v>12076</v>
      </c>
    </row>
    <row r="1862" spans="1:24" ht="89.25">
      <c r="A1862" s="3" t="s">
        <v>1283</v>
      </c>
      <c r="B1862" s="6" t="s">
        <v>361</v>
      </c>
      <c r="C1862" s="6" t="s">
        <v>16612</v>
      </c>
      <c r="D1862" s="6" t="s">
        <v>343</v>
      </c>
      <c r="E1862" s="6" t="s">
        <v>16613</v>
      </c>
      <c r="F1862" s="6" t="s">
        <v>4591</v>
      </c>
      <c r="G1862" s="3" t="s">
        <v>11449</v>
      </c>
      <c r="H1862" s="54">
        <v>0.9</v>
      </c>
      <c r="I1862" s="16">
        <v>470000000</v>
      </c>
      <c r="J1862" s="56" t="s">
        <v>229</v>
      </c>
      <c r="K1862" s="6" t="s">
        <v>516</v>
      </c>
      <c r="L1862" s="16" t="s">
        <v>4567</v>
      </c>
      <c r="M1862" s="162" t="s">
        <v>230</v>
      </c>
      <c r="N1862" s="15" t="s">
        <v>523</v>
      </c>
      <c r="O1862" s="6" t="s">
        <v>4568</v>
      </c>
      <c r="P1862" s="58" t="s">
        <v>235</v>
      </c>
      <c r="Q1862" s="6" t="s">
        <v>236</v>
      </c>
      <c r="R1862" s="1">
        <v>0.9</v>
      </c>
      <c r="S1862" s="74">
        <v>2102050</v>
      </c>
      <c r="T1862" s="4">
        <v>0</v>
      </c>
      <c r="U1862" s="4">
        <f t="shared" si="60"/>
        <v>0</v>
      </c>
      <c r="V1862" s="3" t="s">
        <v>362</v>
      </c>
      <c r="W1862" s="3">
        <v>2014</v>
      </c>
      <c r="X1862" s="3">
        <v>11.12</v>
      </c>
    </row>
    <row r="1863" spans="1:24" ht="89.25">
      <c r="A1863" s="3" t="s">
        <v>13978</v>
      </c>
      <c r="B1863" s="6" t="s">
        <v>361</v>
      </c>
      <c r="C1863" s="6" t="s">
        <v>16612</v>
      </c>
      <c r="D1863" s="6" t="s">
        <v>343</v>
      </c>
      <c r="E1863" s="6" t="s">
        <v>16613</v>
      </c>
      <c r="F1863" s="6" t="s">
        <v>4591</v>
      </c>
      <c r="G1863" s="3" t="s">
        <v>11449</v>
      </c>
      <c r="H1863" s="54">
        <v>0.9</v>
      </c>
      <c r="I1863" s="16">
        <v>470000000</v>
      </c>
      <c r="J1863" s="56" t="s">
        <v>229</v>
      </c>
      <c r="K1863" s="6" t="s">
        <v>12367</v>
      </c>
      <c r="L1863" s="17" t="s">
        <v>11411</v>
      </c>
      <c r="M1863" s="162" t="s">
        <v>230</v>
      </c>
      <c r="N1863" s="15" t="s">
        <v>523</v>
      </c>
      <c r="O1863" s="6" t="s">
        <v>4568</v>
      </c>
      <c r="P1863" s="58" t="s">
        <v>235</v>
      </c>
      <c r="Q1863" s="6" t="s">
        <v>236</v>
      </c>
      <c r="R1863" s="1">
        <v>0.9</v>
      </c>
      <c r="S1863" s="74">
        <v>2102050</v>
      </c>
      <c r="T1863" s="4">
        <v>0</v>
      </c>
      <c r="U1863" s="4">
        <f t="shared" si="60"/>
        <v>0</v>
      </c>
      <c r="V1863" s="3" t="s">
        <v>362</v>
      </c>
      <c r="W1863" s="3">
        <v>2014</v>
      </c>
      <c r="X1863" s="3">
        <v>11</v>
      </c>
    </row>
    <row r="1864" spans="1:24" ht="89.25">
      <c r="A1864" s="3" t="s">
        <v>14879</v>
      </c>
      <c r="B1864" s="6" t="s">
        <v>361</v>
      </c>
      <c r="C1864" s="6" t="s">
        <v>16612</v>
      </c>
      <c r="D1864" s="6" t="s">
        <v>343</v>
      </c>
      <c r="E1864" s="6" t="s">
        <v>16613</v>
      </c>
      <c r="F1864" s="6" t="s">
        <v>4591</v>
      </c>
      <c r="G1864" s="3" t="s">
        <v>11449</v>
      </c>
      <c r="H1864" s="54">
        <v>0.9</v>
      </c>
      <c r="I1864" s="16">
        <v>470000000</v>
      </c>
      <c r="J1864" s="56" t="s">
        <v>229</v>
      </c>
      <c r="K1864" s="6" t="s">
        <v>222</v>
      </c>
      <c r="L1864" s="17" t="s">
        <v>11411</v>
      </c>
      <c r="M1864" s="162" t="s">
        <v>230</v>
      </c>
      <c r="N1864" s="15" t="s">
        <v>523</v>
      </c>
      <c r="O1864" s="6" t="s">
        <v>4568</v>
      </c>
      <c r="P1864" s="58" t="s">
        <v>235</v>
      </c>
      <c r="Q1864" s="6" t="s">
        <v>236</v>
      </c>
      <c r="R1864" s="1">
        <v>0.9</v>
      </c>
      <c r="S1864" s="74">
        <v>2102050</v>
      </c>
      <c r="T1864" s="4">
        <v>0</v>
      </c>
      <c r="U1864" s="4">
        <f t="shared" si="60"/>
        <v>0</v>
      </c>
      <c r="V1864" s="3" t="s">
        <v>362</v>
      </c>
      <c r="W1864" s="3">
        <v>2014</v>
      </c>
      <c r="X1864" s="3">
        <v>14</v>
      </c>
    </row>
    <row r="1865" spans="1:24" ht="89.25">
      <c r="A1865" s="3" t="s">
        <v>17504</v>
      </c>
      <c r="B1865" s="6" t="s">
        <v>361</v>
      </c>
      <c r="C1865" s="6" t="s">
        <v>16612</v>
      </c>
      <c r="D1865" s="6" t="s">
        <v>343</v>
      </c>
      <c r="E1865" s="6" t="s">
        <v>16613</v>
      </c>
      <c r="F1865" s="6" t="s">
        <v>4591</v>
      </c>
      <c r="G1865" s="3" t="s">
        <v>11449</v>
      </c>
      <c r="H1865" s="54">
        <v>0.9</v>
      </c>
      <c r="I1865" s="16">
        <v>470000000</v>
      </c>
      <c r="J1865" s="56" t="s">
        <v>229</v>
      </c>
      <c r="K1865" s="6" t="s">
        <v>222</v>
      </c>
      <c r="L1865" s="17" t="s">
        <v>11411</v>
      </c>
      <c r="M1865" s="162" t="s">
        <v>230</v>
      </c>
      <c r="N1865" s="15" t="s">
        <v>8914</v>
      </c>
      <c r="O1865" s="6" t="s">
        <v>4568</v>
      </c>
      <c r="P1865" s="58" t="s">
        <v>235</v>
      </c>
      <c r="Q1865" s="6" t="s">
        <v>236</v>
      </c>
      <c r="R1865" s="1">
        <v>0.9</v>
      </c>
      <c r="S1865" s="74">
        <v>2102050</v>
      </c>
      <c r="T1865" s="4">
        <f>R1865*S1865</f>
        <v>1891845</v>
      </c>
      <c r="U1865" s="4">
        <f t="shared" si="60"/>
        <v>2118866.4000000004</v>
      </c>
      <c r="V1865" s="3" t="s">
        <v>362</v>
      </c>
      <c r="W1865" s="3">
        <v>2014</v>
      </c>
      <c r="X1865" s="3"/>
    </row>
    <row r="1866" spans="1:24" ht="89.25">
      <c r="A1866" s="3" t="s">
        <v>1284</v>
      </c>
      <c r="B1866" s="6" t="s">
        <v>361</v>
      </c>
      <c r="C1866" s="6" t="s">
        <v>4237</v>
      </c>
      <c r="D1866" s="97" t="s">
        <v>343</v>
      </c>
      <c r="E1866" s="42" t="s">
        <v>4238</v>
      </c>
      <c r="F1866" s="6" t="s">
        <v>4592</v>
      </c>
      <c r="G1866" s="3" t="s">
        <v>11449</v>
      </c>
      <c r="H1866" s="54">
        <v>0.5</v>
      </c>
      <c r="I1866" s="55">
        <v>470000000</v>
      </c>
      <c r="J1866" s="56" t="s">
        <v>229</v>
      </c>
      <c r="K1866" s="6" t="s">
        <v>516</v>
      </c>
      <c r="L1866" s="16" t="s">
        <v>4570</v>
      </c>
      <c r="M1866" s="162" t="s">
        <v>230</v>
      </c>
      <c r="N1866" s="15" t="s">
        <v>523</v>
      </c>
      <c r="O1866" s="6" t="s">
        <v>4568</v>
      </c>
      <c r="P1866" s="58" t="s">
        <v>235</v>
      </c>
      <c r="Q1866" s="6" t="s">
        <v>236</v>
      </c>
      <c r="R1866" s="3">
        <v>0.1</v>
      </c>
      <c r="S1866" s="1">
        <v>3087036.2</v>
      </c>
      <c r="T1866" s="4">
        <v>0</v>
      </c>
      <c r="U1866" s="4">
        <f t="shared" si="60"/>
        <v>0</v>
      </c>
      <c r="V1866" s="166" t="s">
        <v>362</v>
      </c>
      <c r="W1866" s="3">
        <v>2014</v>
      </c>
      <c r="X1866" s="3">
        <v>11.12</v>
      </c>
    </row>
    <row r="1867" spans="1:24" ht="89.25">
      <c r="A1867" s="3" t="s">
        <v>13979</v>
      </c>
      <c r="B1867" s="6" t="s">
        <v>361</v>
      </c>
      <c r="C1867" s="6" t="s">
        <v>4237</v>
      </c>
      <c r="D1867" s="97" t="s">
        <v>343</v>
      </c>
      <c r="E1867" s="42" t="s">
        <v>4238</v>
      </c>
      <c r="F1867" s="6" t="s">
        <v>4592</v>
      </c>
      <c r="G1867" s="3" t="s">
        <v>11449</v>
      </c>
      <c r="H1867" s="54">
        <v>0.5</v>
      </c>
      <c r="I1867" s="55">
        <v>470000000</v>
      </c>
      <c r="J1867" s="56" t="s">
        <v>229</v>
      </c>
      <c r="K1867" s="6" t="s">
        <v>12367</v>
      </c>
      <c r="L1867" s="17" t="s">
        <v>11411</v>
      </c>
      <c r="M1867" s="162" t="s">
        <v>230</v>
      </c>
      <c r="N1867" s="15" t="s">
        <v>523</v>
      </c>
      <c r="O1867" s="6" t="s">
        <v>4568</v>
      </c>
      <c r="P1867" s="58" t="s">
        <v>235</v>
      </c>
      <c r="Q1867" s="6" t="s">
        <v>236</v>
      </c>
      <c r="R1867" s="3">
        <v>0.1</v>
      </c>
      <c r="S1867" s="1">
        <v>3087036.2</v>
      </c>
      <c r="T1867" s="4">
        <v>0</v>
      </c>
      <c r="U1867" s="4">
        <f t="shared" si="60"/>
        <v>0</v>
      </c>
      <c r="V1867" s="166" t="s">
        <v>362</v>
      </c>
      <c r="W1867" s="3">
        <v>2014</v>
      </c>
      <c r="X1867" s="3">
        <v>11</v>
      </c>
    </row>
    <row r="1868" spans="1:24" ht="89.25">
      <c r="A1868" s="3" t="s">
        <v>14880</v>
      </c>
      <c r="B1868" s="6" t="s">
        <v>361</v>
      </c>
      <c r="C1868" s="6" t="s">
        <v>4237</v>
      </c>
      <c r="D1868" s="97" t="s">
        <v>343</v>
      </c>
      <c r="E1868" s="42" t="s">
        <v>4238</v>
      </c>
      <c r="F1868" s="6" t="s">
        <v>4592</v>
      </c>
      <c r="G1868" s="3" t="s">
        <v>11449</v>
      </c>
      <c r="H1868" s="54">
        <v>0.5</v>
      </c>
      <c r="I1868" s="55">
        <v>470000000</v>
      </c>
      <c r="J1868" s="56" t="s">
        <v>229</v>
      </c>
      <c r="K1868" s="6" t="s">
        <v>220</v>
      </c>
      <c r="L1868" s="17" t="s">
        <v>11411</v>
      </c>
      <c r="M1868" s="162" t="s">
        <v>230</v>
      </c>
      <c r="N1868" s="15" t="s">
        <v>523</v>
      </c>
      <c r="O1868" s="6" t="s">
        <v>4568</v>
      </c>
      <c r="P1868" s="58" t="s">
        <v>235</v>
      </c>
      <c r="Q1868" s="6" t="s">
        <v>236</v>
      </c>
      <c r="R1868" s="3">
        <v>0.1</v>
      </c>
      <c r="S1868" s="1">
        <v>3087036.2</v>
      </c>
      <c r="T1868" s="4">
        <v>0</v>
      </c>
      <c r="U1868" s="4">
        <f t="shared" si="60"/>
        <v>0</v>
      </c>
      <c r="V1868" s="166" t="s">
        <v>362</v>
      </c>
      <c r="W1868" s="3">
        <v>2014</v>
      </c>
      <c r="X1868" s="3">
        <v>11.14</v>
      </c>
    </row>
    <row r="1869" spans="1:24" ht="89.25">
      <c r="A1869" s="3" t="s">
        <v>17505</v>
      </c>
      <c r="B1869" s="6" t="s">
        <v>361</v>
      </c>
      <c r="C1869" s="6" t="s">
        <v>4237</v>
      </c>
      <c r="D1869" s="97" t="s">
        <v>343</v>
      </c>
      <c r="E1869" s="42" t="s">
        <v>4238</v>
      </c>
      <c r="F1869" s="6" t="s">
        <v>4592</v>
      </c>
      <c r="G1869" s="3" t="s">
        <v>11449</v>
      </c>
      <c r="H1869" s="54">
        <v>0.5</v>
      </c>
      <c r="I1869" s="55">
        <v>470000000</v>
      </c>
      <c r="J1869" s="56" t="s">
        <v>229</v>
      </c>
      <c r="K1869" s="6" t="s">
        <v>222</v>
      </c>
      <c r="L1869" s="17" t="s">
        <v>11411</v>
      </c>
      <c r="M1869" s="162" t="s">
        <v>230</v>
      </c>
      <c r="N1869" s="15" t="s">
        <v>8914</v>
      </c>
      <c r="O1869" s="6" t="s">
        <v>4568</v>
      </c>
      <c r="P1869" s="58" t="s">
        <v>235</v>
      </c>
      <c r="Q1869" s="6" t="s">
        <v>236</v>
      </c>
      <c r="R1869" s="3">
        <v>0.1</v>
      </c>
      <c r="S1869" s="1">
        <v>3087036.2</v>
      </c>
      <c r="T1869" s="4">
        <f>R1869*S1869</f>
        <v>308703.62000000005</v>
      </c>
      <c r="U1869" s="4">
        <f t="shared" si="60"/>
        <v>345748.05440000008</v>
      </c>
      <c r="V1869" s="166" t="s">
        <v>362</v>
      </c>
      <c r="W1869" s="3">
        <v>2014</v>
      </c>
      <c r="X1869" s="3"/>
    </row>
    <row r="1870" spans="1:24" ht="89.25">
      <c r="A1870" s="3" t="s">
        <v>1285</v>
      </c>
      <c r="B1870" s="6" t="s">
        <v>361</v>
      </c>
      <c r="C1870" s="6" t="s">
        <v>16606</v>
      </c>
      <c r="D1870" s="6" t="s">
        <v>343</v>
      </c>
      <c r="E1870" s="6" t="s">
        <v>16607</v>
      </c>
      <c r="F1870" s="6" t="s">
        <v>4593</v>
      </c>
      <c r="G1870" s="3" t="s">
        <v>11449</v>
      </c>
      <c r="H1870" s="54">
        <v>0.5</v>
      </c>
      <c r="I1870" s="16">
        <v>470000000</v>
      </c>
      <c r="J1870" s="56" t="s">
        <v>229</v>
      </c>
      <c r="K1870" s="6" t="s">
        <v>516</v>
      </c>
      <c r="L1870" s="16" t="s">
        <v>4567</v>
      </c>
      <c r="M1870" s="162" t="s">
        <v>230</v>
      </c>
      <c r="N1870" s="15" t="s">
        <v>523</v>
      </c>
      <c r="O1870" s="6" t="s">
        <v>4568</v>
      </c>
      <c r="P1870" s="58" t="s">
        <v>235</v>
      </c>
      <c r="Q1870" s="6" t="s">
        <v>236</v>
      </c>
      <c r="R1870" s="1">
        <v>0.13</v>
      </c>
      <c r="S1870" s="74">
        <v>7126358.0999999996</v>
      </c>
      <c r="T1870" s="4">
        <v>0</v>
      </c>
      <c r="U1870" s="4">
        <f t="shared" si="60"/>
        <v>0</v>
      </c>
      <c r="V1870" s="3" t="s">
        <v>362</v>
      </c>
      <c r="W1870" s="3">
        <v>2014</v>
      </c>
      <c r="X1870" s="3">
        <v>11.12</v>
      </c>
    </row>
    <row r="1871" spans="1:24" ht="89.25">
      <c r="A1871" s="3" t="s">
        <v>13980</v>
      </c>
      <c r="B1871" s="6" t="s">
        <v>361</v>
      </c>
      <c r="C1871" s="6" t="s">
        <v>16606</v>
      </c>
      <c r="D1871" s="6" t="s">
        <v>343</v>
      </c>
      <c r="E1871" s="6" t="s">
        <v>16607</v>
      </c>
      <c r="F1871" s="6" t="s">
        <v>4593</v>
      </c>
      <c r="G1871" s="3" t="s">
        <v>11449</v>
      </c>
      <c r="H1871" s="54">
        <v>0.5</v>
      </c>
      <c r="I1871" s="16">
        <v>470000000</v>
      </c>
      <c r="J1871" s="56" t="s">
        <v>229</v>
      </c>
      <c r="K1871" s="6" t="s">
        <v>12367</v>
      </c>
      <c r="L1871" s="17" t="s">
        <v>11411</v>
      </c>
      <c r="M1871" s="162" t="s">
        <v>230</v>
      </c>
      <c r="N1871" s="15" t="s">
        <v>523</v>
      </c>
      <c r="O1871" s="6" t="s">
        <v>4568</v>
      </c>
      <c r="P1871" s="58" t="s">
        <v>235</v>
      </c>
      <c r="Q1871" s="6" t="s">
        <v>236</v>
      </c>
      <c r="R1871" s="1">
        <v>0.13</v>
      </c>
      <c r="S1871" s="74">
        <v>7126358.0999999996</v>
      </c>
      <c r="T1871" s="4">
        <v>0</v>
      </c>
      <c r="U1871" s="4">
        <f t="shared" si="60"/>
        <v>0</v>
      </c>
      <c r="V1871" s="3" t="s">
        <v>362</v>
      </c>
      <c r="W1871" s="3">
        <v>2014</v>
      </c>
      <c r="X1871" s="3">
        <v>11</v>
      </c>
    </row>
    <row r="1872" spans="1:24" ht="89.25">
      <c r="A1872" s="3" t="s">
        <v>14881</v>
      </c>
      <c r="B1872" s="6" t="s">
        <v>361</v>
      </c>
      <c r="C1872" s="6" t="s">
        <v>16606</v>
      </c>
      <c r="D1872" s="6" t="s">
        <v>343</v>
      </c>
      <c r="E1872" s="6" t="s">
        <v>16607</v>
      </c>
      <c r="F1872" s="6" t="s">
        <v>4593</v>
      </c>
      <c r="G1872" s="3" t="s">
        <v>11449</v>
      </c>
      <c r="H1872" s="54">
        <v>0.5</v>
      </c>
      <c r="I1872" s="16">
        <v>470000000</v>
      </c>
      <c r="J1872" s="56" t="s">
        <v>229</v>
      </c>
      <c r="K1872" s="6" t="s">
        <v>220</v>
      </c>
      <c r="L1872" s="17" t="s">
        <v>11411</v>
      </c>
      <c r="M1872" s="162" t="s">
        <v>230</v>
      </c>
      <c r="N1872" s="15" t="s">
        <v>523</v>
      </c>
      <c r="O1872" s="6" t="s">
        <v>4568</v>
      </c>
      <c r="P1872" s="58" t="s">
        <v>235</v>
      </c>
      <c r="Q1872" s="6" t="s">
        <v>236</v>
      </c>
      <c r="R1872" s="1">
        <v>0.13</v>
      </c>
      <c r="S1872" s="74">
        <v>7126358.0999999996</v>
      </c>
      <c r="T1872" s="4">
        <v>0</v>
      </c>
      <c r="U1872" s="4">
        <f t="shared" si="60"/>
        <v>0</v>
      </c>
      <c r="V1872" s="3" t="s">
        <v>362</v>
      </c>
      <c r="W1872" s="3">
        <v>2014</v>
      </c>
      <c r="X1872" s="3">
        <v>11.14</v>
      </c>
    </row>
    <row r="1873" spans="1:24" ht="89.25">
      <c r="A1873" s="3" t="s">
        <v>17506</v>
      </c>
      <c r="B1873" s="6" t="s">
        <v>361</v>
      </c>
      <c r="C1873" s="6" t="s">
        <v>16606</v>
      </c>
      <c r="D1873" s="6" t="s">
        <v>343</v>
      </c>
      <c r="E1873" s="6" t="s">
        <v>16607</v>
      </c>
      <c r="F1873" s="6" t="s">
        <v>4593</v>
      </c>
      <c r="G1873" s="3" t="s">
        <v>11449</v>
      </c>
      <c r="H1873" s="54">
        <v>0.5</v>
      </c>
      <c r="I1873" s="16">
        <v>470000000</v>
      </c>
      <c r="J1873" s="56" t="s">
        <v>229</v>
      </c>
      <c r="K1873" s="6" t="s">
        <v>222</v>
      </c>
      <c r="L1873" s="17" t="s">
        <v>11411</v>
      </c>
      <c r="M1873" s="162" t="s">
        <v>230</v>
      </c>
      <c r="N1873" s="15" t="s">
        <v>8914</v>
      </c>
      <c r="O1873" s="6" t="s">
        <v>4568</v>
      </c>
      <c r="P1873" s="58" t="s">
        <v>235</v>
      </c>
      <c r="Q1873" s="6" t="s">
        <v>236</v>
      </c>
      <c r="R1873" s="1">
        <v>0.13</v>
      </c>
      <c r="S1873" s="74">
        <v>7126358.0999999996</v>
      </c>
      <c r="T1873" s="4">
        <f>R1873*S1873</f>
        <v>926426.55299999996</v>
      </c>
      <c r="U1873" s="4">
        <f t="shared" si="60"/>
        <v>1037597.73936</v>
      </c>
      <c r="V1873" s="3" t="s">
        <v>362</v>
      </c>
      <c r="W1873" s="3">
        <v>2014</v>
      </c>
      <c r="X1873" s="3"/>
    </row>
    <row r="1874" spans="1:24" ht="89.25">
      <c r="A1874" s="3" t="s">
        <v>1286</v>
      </c>
      <c r="B1874" s="6" t="s">
        <v>361</v>
      </c>
      <c r="C1874" s="6" t="s">
        <v>16618</v>
      </c>
      <c r="D1874" s="6" t="s">
        <v>343</v>
      </c>
      <c r="E1874" s="6" t="s">
        <v>16619</v>
      </c>
      <c r="F1874" s="6" t="s">
        <v>4594</v>
      </c>
      <c r="G1874" s="3" t="s">
        <v>11449</v>
      </c>
      <c r="H1874" s="54">
        <v>0.5</v>
      </c>
      <c r="I1874" s="55">
        <v>470000000</v>
      </c>
      <c r="J1874" s="56" t="s">
        <v>229</v>
      </c>
      <c r="K1874" s="6" t="s">
        <v>516</v>
      </c>
      <c r="L1874" s="16" t="s">
        <v>4570</v>
      </c>
      <c r="M1874" s="162" t="s">
        <v>230</v>
      </c>
      <c r="N1874" s="15" t="s">
        <v>523</v>
      </c>
      <c r="O1874" s="6" t="s">
        <v>4568</v>
      </c>
      <c r="P1874" s="58" t="s">
        <v>235</v>
      </c>
      <c r="Q1874" s="6" t="s">
        <v>236</v>
      </c>
      <c r="R1874" s="3">
        <v>0.3</v>
      </c>
      <c r="S1874" s="1">
        <v>12195650</v>
      </c>
      <c r="T1874" s="4">
        <v>0</v>
      </c>
      <c r="U1874" s="4">
        <f t="shared" si="60"/>
        <v>0</v>
      </c>
      <c r="V1874" s="166" t="s">
        <v>362</v>
      </c>
      <c r="W1874" s="3">
        <v>2014</v>
      </c>
      <c r="X1874" s="3">
        <v>11.12</v>
      </c>
    </row>
    <row r="1875" spans="1:24" ht="89.25">
      <c r="A1875" s="3" t="s">
        <v>13981</v>
      </c>
      <c r="B1875" s="6" t="s">
        <v>361</v>
      </c>
      <c r="C1875" s="6" t="s">
        <v>16618</v>
      </c>
      <c r="D1875" s="6" t="s">
        <v>343</v>
      </c>
      <c r="E1875" s="6" t="s">
        <v>16619</v>
      </c>
      <c r="F1875" s="6" t="s">
        <v>4594</v>
      </c>
      <c r="G1875" s="3" t="s">
        <v>11449</v>
      </c>
      <c r="H1875" s="54">
        <v>0.5</v>
      </c>
      <c r="I1875" s="55">
        <v>470000000</v>
      </c>
      <c r="J1875" s="56" t="s">
        <v>229</v>
      </c>
      <c r="K1875" s="6" t="s">
        <v>12367</v>
      </c>
      <c r="L1875" s="17" t="s">
        <v>11411</v>
      </c>
      <c r="M1875" s="162" t="s">
        <v>230</v>
      </c>
      <c r="N1875" s="15" t="s">
        <v>523</v>
      </c>
      <c r="O1875" s="6" t="s">
        <v>4568</v>
      </c>
      <c r="P1875" s="58" t="s">
        <v>235</v>
      </c>
      <c r="Q1875" s="6" t="s">
        <v>236</v>
      </c>
      <c r="R1875" s="3">
        <v>0.3</v>
      </c>
      <c r="S1875" s="1">
        <v>12195650</v>
      </c>
      <c r="T1875" s="4">
        <v>0</v>
      </c>
      <c r="U1875" s="4">
        <f t="shared" si="60"/>
        <v>0</v>
      </c>
      <c r="V1875" s="166" t="s">
        <v>362</v>
      </c>
      <c r="W1875" s="3">
        <v>2014</v>
      </c>
      <c r="X1875" s="3">
        <v>11</v>
      </c>
    </row>
    <row r="1876" spans="1:24" ht="89.25">
      <c r="A1876" s="3" t="s">
        <v>14882</v>
      </c>
      <c r="B1876" s="6" t="s">
        <v>361</v>
      </c>
      <c r="C1876" s="6" t="s">
        <v>16618</v>
      </c>
      <c r="D1876" s="6" t="s">
        <v>343</v>
      </c>
      <c r="E1876" s="6" t="s">
        <v>16619</v>
      </c>
      <c r="F1876" s="6" t="s">
        <v>4594</v>
      </c>
      <c r="G1876" s="3" t="s">
        <v>11449</v>
      </c>
      <c r="H1876" s="54">
        <v>0.5</v>
      </c>
      <c r="I1876" s="55">
        <v>470000000</v>
      </c>
      <c r="J1876" s="56" t="s">
        <v>229</v>
      </c>
      <c r="K1876" s="6" t="s">
        <v>220</v>
      </c>
      <c r="L1876" s="17" t="s">
        <v>11411</v>
      </c>
      <c r="M1876" s="162" t="s">
        <v>230</v>
      </c>
      <c r="N1876" s="15" t="s">
        <v>523</v>
      </c>
      <c r="O1876" s="6" t="s">
        <v>4568</v>
      </c>
      <c r="P1876" s="58" t="s">
        <v>235</v>
      </c>
      <c r="Q1876" s="6" t="s">
        <v>236</v>
      </c>
      <c r="R1876" s="3">
        <v>0.3</v>
      </c>
      <c r="S1876" s="1">
        <v>12195650</v>
      </c>
      <c r="T1876" s="4">
        <v>0</v>
      </c>
      <c r="U1876" s="4">
        <f t="shared" si="60"/>
        <v>0</v>
      </c>
      <c r="V1876" s="166" t="s">
        <v>362</v>
      </c>
      <c r="W1876" s="3">
        <v>2014</v>
      </c>
      <c r="X1876" s="3">
        <v>11.14</v>
      </c>
    </row>
    <row r="1877" spans="1:24" ht="89.25">
      <c r="A1877" s="3" t="s">
        <v>17507</v>
      </c>
      <c r="B1877" s="6" t="s">
        <v>361</v>
      </c>
      <c r="C1877" s="6" t="s">
        <v>16618</v>
      </c>
      <c r="D1877" s="6" t="s">
        <v>343</v>
      </c>
      <c r="E1877" s="6" t="s">
        <v>16619</v>
      </c>
      <c r="F1877" s="6" t="s">
        <v>4594</v>
      </c>
      <c r="G1877" s="3" t="s">
        <v>11449</v>
      </c>
      <c r="H1877" s="54">
        <v>0.5</v>
      </c>
      <c r="I1877" s="55">
        <v>470000000</v>
      </c>
      <c r="J1877" s="56" t="s">
        <v>229</v>
      </c>
      <c r="K1877" s="6" t="s">
        <v>222</v>
      </c>
      <c r="L1877" s="17" t="s">
        <v>11411</v>
      </c>
      <c r="M1877" s="162" t="s">
        <v>230</v>
      </c>
      <c r="N1877" s="15" t="s">
        <v>8914</v>
      </c>
      <c r="O1877" s="6" t="s">
        <v>4568</v>
      </c>
      <c r="P1877" s="58" t="s">
        <v>235</v>
      </c>
      <c r="Q1877" s="6" t="s">
        <v>236</v>
      </c>
      <c r="R1877" s="3">
        <v>0.3</v>
      </c>
      <c r="S1877" s="1">
        <v>12195650</v>
      </c>
      <c r="T1877" s="4">
        <f>R1877*S1877</f>
        <v>3658695</v>
      </c>
      <c r="U1877" s="4">
        <f t="shared" si="60"/>
        <v>4097738.4000000004</v>
      </c>
      <c r="V1877" s="166" t="s">
        <v>362</v>
      </c>
      <c r="W1877" s="3">
        <v>2014</v>
      </c>
      <c r="X1877" s="3"/>
    </row>
    <row r="1878" spans="1:24" ht="89.25">
      <c r="A1878" s="3" t="s">
        <v>1287</v>
      </c>
      <c r="B1878" s="6" t="s">
        <v>361</v>
      </c>
      <c r="C1878" s="6" t="s">
        <v>16616</v>
      </c>
      <c r="D1878" s="6" t="s">
        <v>343</v>
      </c>
      <c r="E1878" s="6" t="s">
        <v>16617</v>
      </c>
      <c r="F1878" s="6" t="s">
        <v>4595</v>
      </c>
      <c r="G1878" s="3" t="s">
        <v>11449</v>
      </c>
      <c r="H1878" s="54">
        <v>0.5</v>
      </c>
      <c r="I1878" s="16">
        <v>470000000</v>
      </c>
      <c r="J1878" s="56" t="s">
        <v>229</v>
      </c>
      <c r="K1878" s="6" t="s">
        <v>516</v>
      </c>
      <c r="L1878" s="16" t="s">
        <v>4567</v>
      </c>
      <c r="M1878" s="162" t="s">
        <v>230</v>
      </c>
      <c r="N1878" s="15" t="s">
        <v>523</v>
      </c>
      <c r="O1878" s="6" t="s">
        <v>4568</v>
      </c>
      <c r="P1878" s="58" t="s">
        <v>235</v>
      </c>
      <c r="Q1878" s="6" t="s">
        <v>236</v>
      </c>
      <c r="R1878" s="1">
        <v>0.3</v>
      </c>
      <c r="S1878" s="74">
        <v>13254675</v>
      </c>
      <c r="T1878" s="4">
        <v>0</v>
      </c>
      <c r="U1878" s="4">
        <f t="shared" si="60"/>
        <v>0</v>
      </c>
      <c r="V1878" s="3" t="s">
        <v>362</v>
      </c>
      <c r="W1878" s="3">
        <v>2014</v>
      </c>
      <c r="X1878" s="3">
        <v>11.12</v>
      </c>
    </row>
    <row r="1879" spans="1:24" ht="89.25">
      <c r="A1879" s="3" t="s">
        <v>13982</v>
      </c>
      <c r="B1879" s="6" t="s">
        <v>361</v>
      </c>
      <c r="C1879" s="6" t="s">
        <v>16616</v>
      </c>
      <c r="D1879" s="6" t="s">
        <v>343</v>
      </c>
      <c r="E1879" s="6" t="s">
        <v>16617</v>
      </c>
      <c r="F1879" s="6" t="s">
        <v>4595</v>
      </c>
      <c r="G1879" s="3" t="s">
        <v>11449</v>
      </c>
      <c r="H1879" s="54">
        <v>0.5</v>
      </c>
      <c r="I1879" s="16">
        <v>470000000</v>
      </c>
      <c r="J1879" s="56" t="s">
        <v>229</v>
      </c>
      <c r="K1879" s="6" t="s">
        <v>12367</v>
      </c>
      <c r="L1879" s="17" t="s">
        <v>11411</v>
      </c>
      <c r="M1879" s="162" t="s">
        <v>230</v>
      </c>
      <c r="N1879" s="15" t="s">
        <v>523</v>
      </c>
      <c r="O1879" s="6" t="s">
        <v>4568</v>
      </c>
      <c r="P1879" s="58" t="s">
        <v>235</v>
      </c>
      <c r="Q1879" s="6" t="s">
        <v>236</v>
      </c>
      <c r="R1879" s="1">
        <v>0.3</v>
      </c>
      <c r="S1879" s="74">
        <v>13254675</v>
      </c>
      <c r="T1879" s="4">
        <v>0</v>
      </c>
      <c r="U1879" s="4">
        <f t="shared" si="60"/>
        <v>0</v>
      </c>
      <c r="V1879" s="3" t="s">
        <v>362</v>
      </c>
      <c r="W1879" s="3">
        <v>2014</v>
      </c>
      <c r="X1879" s="3">
        <v>11</v>
      </c>
    </row>
    <row r="1880" spans="1:24" ht="89.25">
      <c r="A1880" s="3" t="s">
        <v>14883</v>
      </c>
      <c r="B1880" s="6" t="s">
        <v>361</v>
      </c>
      <c r="C1880" s="6" t="s">
        <v>16616</v>
      </c>
      <c r="D1880" s="6" t="s">
        <v>343</v>
      </c>
      <c r="E1880" s="6" t="s">
        <v>16617</v>
      </c>
      <c r="F1880" s="6" t="s">
        <v>4595</v>
      </c>
      <c r="G1880" s="3" t="s">
        <v>11449</v>
      </c>
      <c r="H1880" s="54">
        <v>0.5</v>
      </c>
      <c r="I1880" s="16">
        <v>470000000</v>
      </c>
      <c r="J1880" s="56" t="s">
        <v>229</v>
      </c>
      <c r="K1880" s="6" t="s">
        <v>220</v>
      </c>
      <c r="L1880" s="17" t="s">
        <v>11411</v>
      </c>
      <c r="M1880" s="162" t="s">
        <v>230</v>
      </c>
      <c r="N1880" s="15" t="s">
        <v>523</v>
      </c>
      <c r="O1880" s="6" t="s">
        <v>4568</v>
      </c>
      <c r="P1880" s="58" t="s">
        <v>235</v>
      </c>
      <c r="Q1880" s="6" t="s">
        <v>236</v>
      </c>
      <c r="R1880" s="1">
        <v>0.3</v>
      </c>
      <c r="S1880" s="74">
        <v>13254675</v>
      </c>
      <c r="T1880" s="4">
        <v>0</v>
      </c>
      <c r="U1880" s="4">
        <f t="shared" si="60"/>
        <v>0</v>
      </c>
      <c r="V1880" s="3" t="s">
        <v>362</v>
      </c>
      <c r="W1880" s="3">
        <v>2014</v>
      </c>
      <c r="X1880" s="3">
        <v>11.14</v>
      </c>
    </row>
    <row r="1881" spans="1:24" ht="89.25">
      <c r="A1881" s="3" t="s">
        <v>17508</v>
      </c>
      <c r="B1881" s="6" t="s">
        <v>361</v>
      </c>
      <c r="C1881" s="6" t="s">
        <v>16616</v>
      </c>
      <c r="D1881" s="6" t="s">
        <v>343</v>
      </c>
      <c r="E1881" s="6" t="s">
        <v>16617</v>
      </c>
      <c r="F1881" s="6" t="s">
        <v>4595</v>
      </c>
      <c r="G1881" s="3" t="s">
        <v>11449</v>
      </c>
      <c r="H1881" s="54">
        <v>0.5</v>
      </c>
      <c r="I1881" s="16">
        <v>470000000</v>
      </c>
      <c r="J1881" s="56" t="s">
        <v>229</v>
      </c>
      <c r="K1881" s="6" t="s">
        <v>222</v>
      </c>
      <c r="L1881" s="17" t="s">
        <v>11411</v>
      </c>
      <c r="M1881" s="162" t="s">
        <v>230</v>
      </c>
      <c r="N1881" s="15" t="s">
        <v>8914</v>
      </c>
      <c r="O1881" s="6" t="s">
        <v>4568</v>
      </c>
      <c r="P1881" s="58" t="s">
        <v>235</v>
      </c>
      <c r="Q1881" s="6" t="s">
        <v>236</v>
      </c>
      <c r="R1881" s="1">
        <v>0.3</v>
      </c>
      <c r="S1881" s="74">
        <v>13254675</v>
      </c>
      <c r="T1881" s="4">
        <f>R1881*S1881</f>
        <v>3976402.5</v>
      </c>
      <c r="U1881" s="4">
        <f t="shared" si="60"/>
        <v>4453570.8000000007</v>
      </c>
      <c r="V1881" s="3" t="s">
        <v>362</v>
      </c>
      <c r="W1881" s="3">
        <v>2014</v>
      </c>
      <c r="X1881" s="3"/>
    </row>
    <row r="1882" spans="1:24" ht="89.25">
      <c r="A1882" s="3" t="s">
        <v>1288</v>
      </c>
      <c r="B1882" s="6" t="s">
        <v>361</v>
      </c>
      <c r="C1882" s="6" t="s">
        <v>16598</v>
      </c>
      <c r="D1882" s="6" t="s">
        <v>343</v>
      </c>
      <c r="E1882" s="6" t="s">
        <v>16599</v>
      </c>
      <c r="F1882" s="6" t="s">
        <v>4596</v>
      </c>
      <c r="G1882" s="3" t="s">
        <v>11449</v>
      </c>
      <c r="H1882" s="54">
        <v>0.9</v>
      </c>
      <c r="I1882" s="55">
        <v>470000000</v>
      </c>
      <c r="J1882" s="56" t="s">
        <v>229</v>
      </c>
      <c r="K1882" s="6" t="s">
        <v>516</v>
      </c>
      <c r="L1882" s="16" t="s">
        <v>4570</v>
      </c>
      <c r="M1882" s="162" t="s">
        <v>230</v>
      </c>
      <c r="N1882" s="15" t="s">
        <v>523</v>
      </c>
      <c r="O1882" s="6" t="s">
        <v>4568</v>
      </c>
      <c r="P1882" s="58" t="s">
        <v>235</v>
      </c>
      <c r="Q1882" s="6" t="s">
        <v>236</v>
      </c>
      <c r="R1882" s="3">
        <v>0.65</v>
      </c>
      <c r="S1882" s="1">
        <v>2085050</v>
      </c>
      <c r="T1882" s="4">
        <v>0</v>
      </c>
      <c r="U1882" s="4">
        <f t="shared" si="60"/>
        <v>0</v>
      </c>
      <c r="V1882" s="166" t="s">
        <v>362</v>
      </c>
      <c r="W1882" s="3">
        <v>2014</v>
      </c>
      <c r="X1882" s="3">
        <v>11.12</v>
      </c>
    </row>
    <row r="1883" spans="1:24" ht="89.25">
      <c r="A1883" s="3" t="s">
        <v>13983</v>
      </c>
      <c r="B1883" s="6" t="s">
        <v>361</v>
      </c>
      <c r="C1883" s="6" t="s">
        <v>16598</v>
      </c>
      <c r="D1883" s="6" t="s">
        <v>343</v>
      </c>
      <c r="E1883" s="6" t="s">
        <v>16599</v>
      </c>
      <c r="F1883" s="6" t="s">
        <v>4596</v>
      </c>
      <c r="G1883" s="3" t="s">
        <v>11449</v>
      </c>
      <c r="H1883" s="54">
        <v>0.9</v>
      </c>
      <c r="I1883" s="55">
        <v>470000000</v>
      </c>
      <c r="J1883" s="56" t="s">
        <v>229</v>
      </c>
      <c r="K1883" s="6" t="s">
        <v>12367</v>
      </c>
      <c r="L1883" s="17" t="s">
        <v>11411</v>
      </c>
      <c r="M1883" s="162" t="s">
        <v>230</v>
      </c>
      <c r="N1883" s="15" t="s">
        <v>523</v>
      </c>
      <c r="O1883" s="6" t="s">
        <v>4568</v>
      </c>
      <c r="P1883" s="58" t="s">
        <v>235</v>
      </c>
      <c r="Q1883" s="6" t="s">
        <v>236</v>
      </c>
      <c r="R1883" s="3">
        <v>0.65</v>
      </c>
      <c r="S1883" s="1">
        <v>2085050</v>
      </c>
      <c r="T1883" s="4">
        <v>0</v>
      </c>
      <c r="U1883" s="4">
        <f t="shared" si="60"/>
        <v>0</v>
      </c>
      <c r="V1883" s="166" t="s">
        <v>362</v>
      </c>
      <c r="W1883" s="3">
        <v>2014</v>
      </c>
      <c r="X1883" s="3">
        <v>11</v>
      </c>
    </row>
    <row r="1884" spans="1:24" ht="89.25">
      <c r="A1884" s="3" t="s">
        <v>14884</v>
      </c>
      <c r="B1884" s="6" t="s">
        <v>361</v>
      </c>
      <c r="C1884" s="6" t="s">
        <v>16598</v>
      </c>
      <c r="D1884" s="6" t="s">
        <v>343</v>
      </c>
      <c r="E1884" s="6" t="s">
        <v>16599</v>
      </c>
      <c r="F1884" s="6" t="s">
        <v>4596</v>
      </c>
      <c r="G1884" s="3" t="s">
        <v>11449</v>
      </c>
      <c r="H1884" s="54">
        <v>0.9</v>
      </c>
      <c r="I1884" s="55">
        <v>470000000</v>
      </c>
      <c r="J1884" s="56" t="s">
        <v>229</v>
      </c>
      <c r="K1884" s="6" t="s">
        <v>220</v>
      </c>
      <c r="L1884" s="17" t="s">
        <v>11411</v>
      </c>
      <c r="M1884" s="162" t="s">
        <v>230</v>
      </c>
      <c r="N1884" s="15" t="s">
        <v>523</v>
      </c>
      <c r="O1884" s="6" t="s">
        <v>4568</v>
      </c>
      <c r="P1884" s="58" t="s">
        <v>235</v>
      </c>
      <c r="Q1884" s="6" t="s">
        <v>236</v>
      </c>
      <c r="R1884" s="3">
        <v>0.65</v>
      </c>
      <c r="S1884" s="1">
        <v>2085050</v>
      </c>
      <c r="T1884" s="4">
        <v>0</v>
      </c>
      <c r="U1884" s="4">
        <f t="shared" si="60"/>
        <v>0</v>
      </c>
      <c r="V1884" s="166" t="s">
        <v>362</v>
      </c>
      <c r="W1884" s="3">
        <v>2014</v>
      </c>
      <c r="X1884" s="3">
        <v>11.14</v>
      </c>
    </row>
    <row r="1885" spans="1:24" ht="89.25">
      <c r="A1885" s="3" t="s">
        <v>17509</v>
      </c>
      <c r="B1885" s="6" t="s">
        <v>361</v>
      </c>
      <c r="C1885" s="6" t="s">
        <v>16598</v>
      </c>
      <c r="D1885" s="6" t="s">
        <v>343</v>
      </c>
      <c r="E1885" s="6" t="s">
        <v>16599</v>
      </c>
      <c r="F1885" s="6" t="s">
        <v>4596</v>
      </c>
      <c r="G1885" s="3" t="s">
        <v>11449</v>
      </c>
      <c r="H1885" s="54">
        <v>0.9</v>
      </c>
      <c r="I1885" s="55">
        <v>470000000</v>
      </c>
      <c r="J1885" s="56" t="s">
        <v>229</v>
      </c>
      <c r="K1885" s="6" t="s">
        <v>222</v>
      </c>
      <c r="L1885" s="17" t="s">
        <v>11411</v>
      </c>
      <c r="M1885" s="162" t="s">
        <v>230</v>
      </c>
      <c r="N1885" s="15" t="s">
        <v>8914</v>
      </c>
      <c r="O1885" s="6" t="s">
        <v>4568</v>
      </c>
      <c r="P1885" s="58" t="s">
        <v>235</v>
      </c>
      <c r="Q1885" s="6" t="s">
        <v>236</v>
      </c>
      <c r="R1885" s="3">
        <v>0.65</v>
      </c>
      <c r="S1885" s="1">
        <v>2085050</v>
      </c>
      <c r="T1885" s="4">
        <f>R1885*S1885</f>
        <v>1355282.5</v>
      </c>
      <c r="U1885" s="4">
        <f t="shared" si="60"/>
        <v>1517916.4000000001</v>
      </c>
      <c r="V1885" s="166" t="s">
        <v>362</v>
      </c>
      <c r="W1885" s="3">
        <v>2014</v>
      </c>
      <c r="X1885" s="3"/>
    </row>
    <row r="1886" spans="1:24" ht="89.25">
      <c r="A1886" s="3" t="s">
        <v>1289</v>
      </c>
      <c r="B1886" s="6" t="s">
        <v>361</v>
      </c>
      <c r="C1886" s="6" t="s">
        <v>16614</v>
      </c>
      <c r="D1886" s="6" t="s">
        <v>343</v>
      </c>
      <c r="E1886" s="6" t="s">
        <v>16615</v>
      </c>
      <c r="F1886" s="6" t="s">
        <v>4597</v>
      </c>
      <c r="G1886" s="3" t="s">
        <v>11449</v>
      </c>
      <c r="H1886" s="54">
        <v>0.9</v>
      </c>
      <c r="I1886" s="16">
        <v>470000000</v>
      </c>
      <c r="J1886" s="56" t="s">
        <v>229</v>
      </c>
      <c r="K1886" s="6" t="s">
        <v>516</v>
      </c>
      <c r="L1886" s="16" t="s">
        <v>4567</v>
      </c>
      <c r="M1886" s="162" t="s">
        <v>230</v>
      </c>
      <c r="N1886" s="15" t="s">
        <v>523</v>
      </c>
      <c r="O1886" s="6" t="s">
        <v>4568</v>
      </c>
      <c r="P1886" s="58" t="s">
        <v>235</v>
      </c>
      <c r="Q1886" s="6" t="s">
        <v>236</v>
      </c>
      <c r="R1886" s="1">
        <v>0.46</v>
      </c>
      <c r="S1886" s="74">
        <v>756348</v>
      </c>
      <c r="T1886" s="4">
        <v>0</v>
      </c>
      <c r="U1886" s="4">
        <f t="shared" ref="U1886:U2088" si="61">T1886*1.12</f>
        <v>0</v>
      </c>
      <c r="V1886" s="3" t="s">
        <v>362</v>
      </c>
      <c r="W1886" s="3">
        <v>2014</v>
      </c>
      <c r="X1886" s="3">
        <v>11.12</v>
      </c>
    </row>
    <row r="1887" spans="1:24" ht="89.25">
      <c r="A1887" s="3" t="s">
        <v>13984</v>
      </c>
      <c r="B1887" s="6" t="s">
        <v>361</v>
      </c>
      <c r="C1887" s="6" t="s">
        <v>16614</v>
      </c>
      <c r="D1887" s="6" t="s">
        <v>343</v>
      </c>
      <c r="E1887" s="6" t="s">
        <v>16615</v>
      </c>
      <c r="F1887" s="6" t="s">
        <v>4597</v>
      </c>
      <c r="G1887" s="3" t="s">
        <v>11449</v>
      </c>
      <c r="H1887" s="54">
        <v>0.9</v>
      </c>
      <c r="I1887" s="16">
        <v>470000000</v>
      </c>
      <c r="J1887" s="56" t="s">
        <v>229</v>
      </c>
      <c r="K1887" s="6" t="s">
        <v>12367</v>
      </c>
      <c r="L1887" s="17" t="s">
        <v>11411</v>
      </c>
      <c r="M1887" s="162" t="s">
        <v>230</v>
      </c>
      <c r="N1887" s="15" t="s">
        <v>523</v>
      </c>
      <c r="O1887" s="6" t="s">
        <v>4568</v>
      </c>
      <c r="P1887" s="58" t="s">
        <v>235</v>
      </c>
      <c r="Q1887" s="6" t="s">
        <v>236</v>
      </c>
      <c r="R1887" s="1">
        <v>0.46</v>
      </c>
      <c r="S1887" s="74">
        <v>756348</v>
      </c>
      <c r="T1887" s="4">
        <v>0</v>
      </c>
      <c r="U1887" s="4">
        <f t="shared" si="61"/>
        <v>0</v>
      </c>
      <c r="V1887" s="3" t="s">
        <v>362</v>
      </c>
      <c r="W1887" s="3">
        <v>2014</v>
      </c>
      <c r="X1887" s="3">
        <v>11</v>
      </c>
    </row>
    <row r="1888" spans="1:24" ht="89.25">
      <c r="A1888" s="3" t="s">
        <v>14885</v>
      </c>
      <c r="B1888" s="6" t="s">
        <v>361</v>
      </c>
      <c r="C1888" s="6" t="s">
        <v>16614</v>
      </c>
      <c r="D1888" s="6" t="s">
        <v>343</v>
      </c>
      <c r="E1888" s="6" t="s">
        <v>16615</v>
      </c>
      <c r="F1888" s="6" t="s">
        <v>4597</v>
      </c>
      <c r="G1888" s="3" t="s">
        <v>11449</v>
      </c>
      <c r="H1888" s="54">
        <v>0.9</v>
      </c>
      <c r="I1888" s="16">
        <v>470000000</v>
      </c>
      <c r="J1888" s="56" t="s">
        <v>229</v>
      </c>
      <c r="K1888" s="6" t="s">
        <v>220</v>
      </c>
      <c r="L1888" s="17" t="s">
        <v>11411</v>
      </c>
      <c r="M1888" s="162" t="s">
        <v>230</v>
      </c>
      <c r="N1888" s="15" t="s">
        <v>523</v>
      </c>
      <c r="O1888" s="6" t="s">
        <v>4568</v>
      </c>
      <c r="P1888" s="58" t="s">
        <v>235</v>
      </c>
      <c r="Q1888" s="6" t="s">
        <v>236</v>
      </c>
      <c r="R1888" s="1">
        <v>0.46</v>
      </c>
      <c r="S1888" s="74">
        <v>756348</v>
      </c>
      <c r="T1888" s="4">
        <v>0</v>
      </c>
      <c r="U1888" s="4">
        <f t="shared" si="61"/>
        <v>0</v>
      </c>
      <c r="V1888" s="3" t="s">
        <v>362</v>
      </c>
      <c r="W1888" s="3">
        <v>2014</v>
      </c>
      <c r="X1888" s="3">
        <v>11.14</v>
      </c>
    </row>
    <row r="1889" spans="1:24" ht="89.25">
      <c r="A1889" s="3" t="s">
        <v>17510</v>
      </c>
      <c r="B1889" s="6" t="s">
        <v>361</v>
      </c>
      <c r="C1889" s="6" t="s">
        <v>16614</v>
      </c>
      <c r="D1889" s="6" t="s">
        <v>343</v>
      </c>
      <c r="E1889" s="6" t="s">
        <v>16615</v>
      </c>
      <c r="F1889" s="6" t="s">
        <v>4597</v>
      </c>
      <c r="G1889" s="3" t="s">
        <v>11449</v>
      </c>
      <c r="H1889" s="54">
        <v>0.9</v>
      </c>
      <c r="I1889" s="16">
        <v>470000000</v>
      </c>
      <c r="J1889" s="56" t="s">
        <v>229</v>
      </c>
      <c r="K1889" s="6" t="s">
        <v>222</v>
      </c>
      <c r="L1889" s="17" t="s">
        <v>11411</v>
      </c>
      <c r="M1889" s="162" t="s">
        <v>230</v>
      </c>
      <c r="N1889" s="15" t="s">
        <v>8914</v>
      </c>
      <c r="O1889" s="6" t="s">
        <v>4568</v>
      </c>
      <c r="P1889" s="58" t="s">
        <v>235</v>
      </c>
      <c r="Q1889" s="6" t="s">
        <v>236</v>
      </c>
      <c r="R1889" s="1">
        <v>0.46</v>
      </c>
      <c r="S1889" s="74">
        <v>756348</v>
      </c>
      <c r="T1889" s="4">
        <f>R1889*S1889</f>
        <v>347920.08</v>
      </c>
      <c r="U1889" s="4">
        <f t="shared" si="61"/>
        <v>389670.48960000003</v>
      </c>
      <c r="V1889" s="3" t="s">
        <v>362</v>
      </c>
      <c r="W1889" s="3">
        <v>2014</v>
      </c>
      <c r="X1889" s="3"/>
    </row>
    <row r="1890" spans="1:24" ht="89.25">
      <c r="A1890" s="3" t="s">
        <v>1290</v>
      </c>
      <c r="B1890" s="6" t="s">
        <v>361</v>
      </c>
      <c r="C1890" s="6" t="s">
        <v>4243</v>
      </c>
      <c r="D1890" s="97" t="s">
        <v>343</v>
      </c>
      <c r="E1890" s="42" t="s">
        <v>4247</v>
      </c>
      <c r="F1890" s="6" t="s">
        <v>4598</v>
      </c>
      <c r="G1890" s="3" t="s">
        <v>11449</v>
      </c>
      <c r="H1890" s="54">
        <v>0.7</v>
      </c>
      <c r="I1890" s="55">
        <v>470000000</v>
      </c>
      <c r="J1890" s="56" t="s">
        <v>229</v>
      </c>
      <c r="K1890" s="6" t="s">
        <v>516</v>
      </c>
      <c r="L1890" s="16" t="s">
        <v>4570</v>
      </c>
      <c r="M1890" s="162" t="s">
        <v>230</v>
      </c>
      <c r="N1890" s="15" t="s">
        <v>523</v>
      </c>
      <c r="O1890" s="6" t="s">
        <v>4568</v>
      </c>
      <c r="P1890" s="58" t="s">
        <v>235</v>
      </c>
      <c r="Q1890" s="6" t="s">
        <v>236</v>
      </c>
      <c r="R1890" s="3">
        <v>0.4</v>
      </c>
      <c r="S1890" s="1">
        <v>365717</v>
      </c>
      <c r="T1890" s="4">
        <v>0</v>
      </c>
      <c r="U1890" s="4">
        <f t="shared" si="61"/>
        <v>0</v>
      </c>
      <c r="V1890" s="166" t="s">
        <v>362</v>
      </c>
      <c r="W1890" s="3">
        <v>2014</v>
      </c>
      <c r="X1890" s="3">
        <v>11.12</v>
      </c>
    </row>
    <row r="1891" spans="1:24" ht="89.25">
      <c r="A1891" s="3" t="s">
        <v>13985</v>
      </c>
      <c r="B1891" s="6" t="s">
        <v>361</v>
      </c>
      <c r="C1891" s="6" t="s">
        <v>4243</v>
      </c>
      <c r="D1891" s="97" t="s">
        <v>343</v>
      </c>
      <c r="E1891" s="42" t="s">
        <v>4247</v>
      </c>
      <c r="F1891" s="6" t="s">
        <v>4598</v>
      </c>
      <c r="G1891" s="3" t="s">
        <v>11449</v>
      </c>
      <c r="H1891" s="54">
        <v>0.7</v>
      </c>
      <c r="I1891" s="55">
        <v>470000000</v>
      </c>
      <c r="J1891" s="56" t="s">
        <v>229</v>
      </c>
      <c r="K1891" s="6" t="s">
        <v>12367</v>
      </c>
      <c r="L1891" s="17" t="s">
        <v>11411</v>
      </c>
      <c r="M1891" s="162" t="s">
        <v>230</v>
      </c>
      <c r="N1891" s="15" t="s">
        <v>523</v>
      </c>
      <c r="O1891" s="6" t="s">
        <v>4568</v>
      </c>
      <c r="P1891" s="58" t="s">
        <v>235</v>
      </c>
      <c r="Q1891" s="6" t="s">
        <v>236</v>
      </c>
      <c r="R1891" s="3">
        <v>0</v>
      </c>
      <c r="S1891" s="1">
        <v>365717</v>
      </c>
      <c r="T1891" s="4">
        <f>R1891*S1891</f>
        <v>0</v>
      </c>
      <c r="U1891" s="4">
        <f t="shared" si="61"/>
        <v>0</v>
      </c>
      <c r="V1891" s="166" t="s">
        <v>362</v>
      </c>
      <c r="W1891" s="3">
        <v>2014</v>
      </c>
      <c r="X1891" s="3" t="s">
        <v>12076</v>
      </c>
    </row>
    <row r="1892" spans="1:24" ht="89.25">
      <c r="A1892" s="3" t="s">
        <v>1291</v>
      </c>
      <c r="B1892" s="6" t="s">
        <v>361</v>
      </c>
      <c r="C1892" s="6" t="s">
        <v>4241</v>
      </c>
      <c r="D1892" s="97" t="s">
        <v>343</v>
      </c>
      <c r="E1892" s="42" t="s">
        <v>4242</v>
      </c>
      <c r="F1892" s="6" t="s">
        <v>4599</v>
      </c>
      <c r="G1892" s="3" t="s">
        <v>11449</v>
      </c>
      <c r="H1892" s="54">
        <v>0.7</v>
      </c>
      <c r="I1892" s="16">
        <v>470000000</v>
      </c>
      <c r="J1892" s="56" t="s">
        <v>229</v>
      </c>
      <c r="K1892" s="6" t="s">
        <v>516</v>
      </c>
      <c r="L1892" s="16" t="s">
        <v>4567</v>
      </c>
      <c r="M1892" s="162" t="s">
        <v>230</v>
      </c>
      <c r="N1892" s="15" t="s">
        <v>523</v>
      </c>
      <c r="O1892" s="6" t="s">
        <v>4568</v>
      </c>
      <c r="P1892" s="58" t="s">
        <v>235</v>
      </c>
      <c r="Q1892" s="6" t="s">
        <v>236</v>
      </c>
      <c r="R1892" s="1">
        <v>0.55000000000000004</v>
      </c>
      <c r="S1892" s="74">
        <v>615185</v>
      </c>
      <c r="T1892" s="4">
        <v>0</v>
      </c>
      <c r="U1892" s="4">
        <f t="shared" si="61"/>
        <v>0</v>
      </c>
      <c r="V1892" s="3" t="s">
        <v>362</v>
      </c>
      <c r="W1892" s="3">
        <v>2014</v>
      </c>
      <c r="X1892" s="3">
        <v>11.12</v>
      </c>
    </row>
    <row r="1893" spans="1:24" ht="89.25">
      <c r="A1893" s="3" t="s">
        <v>13986</v>
      </c>
      <c r="B1893" s="6" t="s">
        <v>361</v>
      </c>
      <c r="C1893" s="6" t="s">
        <v>4241</v>
      </c>
      <c r="D1893" s="97" t="s">
        <v>343</v>
      </c>
      <c r="E1893" s="42" t="s">
        <v>4242</v>
      </c>
      <c r="F1893" s="6" t="s">
        <v>4599</v>
      </c>
      <c r="G1893" s="3" t="s">
        <v>11449</v>
      </c>
      <c r="H1893" s="54">
        <v>0.7</v>
      </c>
      <c r="I1893" s="16">
        <v>470000000</v>
      </c>
      <c r="J1893" s="56" t="s">
        <v>229</v>
      </c>
      <c r="K1893" s="6" t="s">
        <v>12367</v>
      </c>
      <c r="L1893" s="17" t="s">
        <v>11411</v>
      </c>
      <c r="M1893" s="162" t="s">
        <v>230</v>
      </c>
      <c r="N1893" s="15" t="s">
        <v>523</v>
      </c>
      <c r="O1893" s="6" t="s">
        <v>4568</v>
      </c>
      <c r="P1893" s="58" t="s">
        <v>235</v>
      </c>
      <c r="Q1893" s="6" t="s">
        <v>236</v>
      </c>
      <c r="R1893" s="1">
        <v>0</v>
      </c>
      <c r="S1893" s="74">
        <v>615185</v>
      </c>
      <c r="T1893" s="4">
        <f>R1893*S1893</f>
        <v>0</v>
      </c>
      <c r="U1893" s="4">
        <f t="shared" si="61"/>
        <v>0</v>
      </c>
      <c r="V1893" s="3" t="s">
        <v>362</v>
      </c>
      <c r="W1893" s="3">
        <v>2014</v>
      </c>
      <c r="X1893" s="3" t="s">
        <v>12076</v>
      </c>
    </row>
    <row r="1894" spans="1:24" ht="89.25">
      <c r="A1894" s="3" t="s">
        <v>1292</v>
      </c>
      <c r="B1894" s="6" t="s">
        <v>361</v>
      </c>
      <c r="C1894" s="6" t="s">
        <v>16632</v>
      </c>
      <c r="D1894" s="6" t="s">
        <v>343</v>
      </c>
      <c r="E1894" s="6" t="s">
        <v>16633</v>
      </c>
      <c r="F1894" s="6" t="s">
        <v>4600</v>
      </c>
      <c r="G1894" s="3" t="s">
        <v>11449</v>
      </c>
      <c r="H1894" s="54">
        <v>0.7</v>
      </c>
      <c r="I1894" s="55">
        <v>470000000</v>
      </c>
      <c r="J1894" s="56" t="s">
        <v>229</v>
      </c>
      <c r="K1894" s="6" t="s">
        <v>516</v>
      </c>
      <c r="L1894" s="16" t="s">
        <v>4570</v>
      </c>
      <c r="M1894" s="162" t="s">
        <v>230</v>
      </c>
      <c r="N1894" s="15" t="s">
        <v>523</v>
      </c>
      <c r="O1894" s="6" t="s">
        <v>4568</v>
      </c>
      <c r="P1894" s="58" t="s">
        <v>235</v>
      </c>
      <c r="Q1894" s="6" t="s">
        <v>236</v>
      </c>
      <c r="R1894" s="3">
        <v>0.2</v>
      </c>
      <c r="S1894" s="1">
        <v>1420445</v>
      </c>
      <c r="T1894" s="4">
        <v>0</v>
      </c>
      <c r="U1894" s="4">
        <f t="shared" si="61"/>
        <v>0</v>
      </c>
      <c r="V1894" s="166" t="s">
        <v>362</v>
      </c>
      <c r="W1894" s="3">
        <v>2014</v>
      </c>
      <c r="X1894" s="3">
        <v>11.12</v>
      </c>
    </row>
    <row r="1895" spans="1:24" ht="89.25">
      <c r="A1895" s="3" t="s">
        <v>13987</v>
      </c>
      <c r="B1895" s="6" t="s">
        <v>361</v>
      </c>
      <c r="C1895" s="6" t="s">
        <v>16632</v>
      </c>
      <c r="D1895" s="6" t="s">
        <v>343</v>
      </c>
      <c r="E1895" s="6" t="s">
        <v>16633</v>
      </c>
      <c r="F1895" s="6" t="s">
        <v>4600</v>
      </c>
      <c r="G1895" s="3" t="s">
        <v>11449</v>
      </c>
      <c r="H1895" s="54">
        <v>0.7</v>
      </c>
      <c r="I1895" s="55">
        <v>470000000</v>
      </c>
      <c r="J1895" s="56" t="s">
        <v>229</v>
      </c>
      <c r="K1895" s="6" t="s">
        <v>12367</v>
      </c>
      <c r="L1895" s="17" t="s">
        <v>11411</v>
      </c>
      <c r="M1895" s="162" t="s">
        <v>230</v>
      </c>
      <c r="N1895" s="15" t="s">
        <v>523</v>
      </c>
      <c r="O1895" s="6" t="s">
        <v>4568</v>
      </c>
      <c r="P1895" s="58" t="s">
        <v>235</v>
      </c>
      <c r="Q1895" s="6" t="s">
        <v>236</v>
      </c>
      <c r="R1895" s="3">
        <v>0.2</v>
      </c>
      <c r="S1895" s="1">
        <v>1420445</v>
      </c>
      <c r="T1895" s="4">
        <v>0</v>
      </c>
      <c r="U1895" s="4">
        <f t="shared" si="61"/>
        <v>0</v>
      </c>
      <c r="V1895" s="166" t="s">
        <v>362</v>
      </c>
      <c r="W1895" s="3">
        <v>2014</v>
      </c>
      <c r="X1895" s="3">
        <v>11</v>
      </c>
    </row>
    <row r="1896" spans="1:24" ht="89.25">
      <c r="A1896" s="3" t="s">
        <v>14886</v>
      </c>
      <c r="B1896" s="6" t="s">
        <v>361</v>
      </c>
      <c r="C1896" s="6" t="s">
        <v>16632</v>
      </c>
      <c r="D1896" s="6" t="s">
        <v>343</v>
      </c>
      <c r="E1896" s="6" t="s">
        <v>16633</v>
      </c>
      <c r="F1896" s="6" t="s">
        <v>4600</v>
      </c>
      <c r="G1896" s="3" t="s">
        <v>11449</v>
      </c>
      <c r="H1896" s="54">
        <v>0.7</v>
      </c>
      <c r="I1896" s="55">
        <v>470000000</v>
      </c>
      <c r="J1896" s="56" t="s">
        <v>229</v>
      </c>
      <c r="K1896" s="6" t="s">
        <v>220</v>
      </c>
      <c r="L1896" s="17" t="s">
        <v>11411</v>
      </c>
      <c r="M1896" s="162" t="s">
        <v>230</v>
      </c>
      <c r="N1896" s="15" t="s">
        <v>523</v>
      </c>
      <c r="O1896" s="6" t="s">
        <v>4568</v>
      </c>
      <c r="P1896" s="58" t="s">
        <v>235</v>
      </c>
      <c r="Q1896" s="6" t="s">
        <v>236</v>
      </c>
      <c r="R1896" s="3">
        <v>0.2</v>
      </c>
      <c r="S1896" s="1">
        <v>1420445</v>
      </c>
      <c r="T1896" s="4">
        <v>0</v>
      </c>
      <c r="U1896" s="4">
        <f t="shared" si="61"/>
        <v>0</v>
      </c>
      <c r="V1896" s="166" t="s">
        <v>362</v>
      </c>
      <c r="W1896" s="3">
        <v>2014</v>
      </c>
      <c r="X1896" s="3">
        <v>11.14</v>
      </c>
    </row>
    <row r="1897" spans="1:24" ht="89.25">
      <c r="A1897" s="3" t="s">
        <v>17511</v>
      </c>
      <c r="B1897" s="6" t="s">
        <v>361</v>
      </c>
      <c r="C1897" s="6" t="s">
        <v>16632</v>
      </c>
      <c r="D1897" s="6" t="s">
        <v>343</v>
      </c>
      <c r="E1897" s="6" t="s">
        <v>16633</v>
      </c>
      <c r="F1897" s="6" t="s">
        <v>4600</v>
      </c>
      <c r="G1897" s="3" t="s">
        <v>11449</v>
      </c>
      <c r="H1897" s="54">
        <v>0.7</v>
      </c>
      <c r="I1897" s="55">
        <v>470000000</v>
      </c>
      <c r="J1897" s="56" t="s">
        <v>229</v>
      </c>
      <c r="K1897" s="6" t="s">
        <v>222</v>
      </c>
      <c r="L1897" s="17" t="s">
        <v>11411</v>
      </c>
      <c r="M1897" s="162" t="s">
        <v>230</v>
      </c>
      <c r="N1897" s="15" t="s">
        <v>8914</v>
      </c>
      <c r="O1897" s="6" t="s">
        <v>4568</v>
      </c>
      <c r="P1897" s="58" t="s">
        <v>235</v>
      </c>
      <c r="Q1897" s="6" t="s">
        <v>236</v>
      </c>
      <c r="R1897" s="3">
        <v>0.2</v>
      </c>
      <c r="S1897" s="1">
        <v>1420445</v>
      </c>
      <c r="T1897" s="4">
        <f>R1897*S1897</f>
        <v>284089</v>
      </c>
      <c r="U1897" s="4">
        <f t="shared" si="61"/>
        <v>318179.68000000005</v>
      </c>
      <c r="V1897" s="166" t="s">
        <v>362</v>
      </c>
      <c r="W1897" s="3">
        <v>2014</v>
      </c>
      <c r="X1897" s="3"/>
    </row>
    <row r="1898" spans="1:24" ht="89.25">
      <c r="A1898" s="3" t="s">
        <v>1293</v>
      </c>
      <c r="B1898" s="6" t="s">
        <v>361</v>
      </c>
      <c r="C1898" s="6" t="s">
        <v>4239</v>
      </c>
      <c r="D1898" s="97" t="s">
        <v>343</v>
      </c>
      <c r="E1898" s="3" t="s">
        <v>4240</v>
      </c>
      <c r="F1898" s="6" t="s">
        <v>4601</v>
      </c>
      <c r="G1898" s="3" t="s">
        <v>11449</v>
      </c>
      <c r="H1898" s="54">
        <v>0.7</v>
      </c>
      <c r="I1898" s="16">
        <v>470000000</v>
      </c>
      <c r="J1898" s="56" t="s">
        <v>229</v>
      </c>
      <c r="K1898" s="6" t="s">
        <v>516</v>
      </c>
      <c r="L1898" s="16" t="s">
        <v>4567</v>
      </c>
      <c r="M1898" s="162" t="s">
        <v>230</v>
      </c>
      <c r="N1898" s="15" t="s">
        <v>523</v>
      </c>
      <c r="O1898" s="6" t="s">
        <v>4568</v>
      </c>
      <c r="P1898" s="58" t="s">
        <v>235</v>
      </c>
      <c r="Q1898" s="6" t="s">
        <v>236</v>
      </c>
      <c r="R1898" s="1">
        <v>0.4</v>
      </c>
      <c r="S1898" s="74">
        <v>2105225</v>
      </c>
      <c r="T1898" s="4">
        <v>0</v>
      </c>
      <c r="U1898" s="4">
        <f t="shared" si="61"/>
        <v>0</v>
      </c>
      <c r="V1898" s="3" t="s">
        <v>362</v>
      </c>
      <c r="W1898" s="3">
        <v>2014</v>
      </c>
      <c r="X1898" s="3">
        <v>11.12</v>
      </c>
    </row>
    <row r="1899" spans="1:24" ht="89.25">
      <c r="A1899" s="3" t="s">
        <v>13988</v>
      </c>
      <c r="B1899" s="6" t="s">
        <v>361</v>
      </c>
      <c r="C1899" s="6" t="s">
        <v>4239</v>
      </c>
      <c r="D1899" s="97" t="s">
        <v>343</v>
      </c>
      <c r="E1899" s="3" t="s">
        <v>4240</v>
      </c>
      <c r="F1899" s="6" t="s">
        <v>4601</v>
      </c>
      <c r="G1899" s="3" t="s">
        <v>11449</v>
      </c>
      <c r="H1899" s="54">
        <v>0.7</v>
      </c>
      <c r="I1899" s="16">
        <v>470000000</v>
      </c>
      <c r="J1899" s="56" t="s">
        <v>229</v>
      </c>
      <c r="K1899" s="6" t="s">
        <v>12367</v>
      </c>
      <c r="L1899" s="17" t="s">
        <v>11411</v>
      </c>
      <c r="M1899" s="162" t="s">
        <v>230</v>
      </c>
      <c r="N1899" s="15" t="s">
        <v>523</v>
      </c>
      <c r="O1899" s="6" t="s">
        <v>4568</v>
      </c>
      <c r="P1899" s="58" t="s">
        <v>235</v>
      </c>
      <c r="Q1899" s="6" t="s">
        <v>236</v>
      </c>
      <c r="R1899" s="1">
        <v>0.4</v>
      </c>
      <c r="S1899" s="74">
        <v>2105225</v>
      </c>
      <c r="T1899" s="4">
        <v>0</v>
      </c>
      <c r="U1899" s="4">
        <f t="shared" si="61"/>
        <v>0</v>
      </c>
      <c r="V1899" s="3" t="s">
        <v>362</v>
      </c>
      <c r="W1899" s="3">
        <v>2014</v>
      </c>
      <c r="X1899" s="3">
        <v>11</v>
      </c>
    </row>
    <row r="1900" spans="1:24" ht="89.25">
      <c r="A1900" s="3" t="s">
        <v>14887</v>
      </c>
      <c r="B1900" s="6" t="s">
        <v>361</v>
      </c>
      <c r="C1900" s="6" t="s">
        <v>4239</v>
      </c>
      <c r="D1900" s="97" t="s">
        <v>343</v>
      </c>
      <c r="E1900" s="3" t="s">
        <v>4240</v>
      </c>
      <c r="F1900" s="6" t="s">
        <v>4601</v>
      </c>
      <c r="G1900" s="3" t="s">
        <v>11449</v>
      </c>
      <c r="H1900" s="54">
        <v>0.7</v>
      </c>
      <c r="I1900" s="16">
        <v>470000000</v>
      </c>
      <c r="J1900" s="56" t="s">
        <v>229</v>
      </c>
      <c r="K1900" s="6" t="s">
        <v>220</v>
      </c>
      <c r="L1900" s="17" t="s">
        <v>11411</v>
      </c>
      <c r="M1900" s="162" t="s">
        <v>230</v>
      </c>
      <c r="N1900" s="15" t="s">
        <v>523</v>
      </c>
      <c r="O1900" s="6" t="s">
        <v>4568</v>
      </c>
      <c r="P1900" s="58" t="s">
        <v>235</v>
      </c>
      <c r="Q1900" s="6" t="s">
        <v>236</v>
      </c>
      <c r="R1900" s="1">
        <v>0.4</v>
      </c>
      <c r="S1900" s="74">
        <v>2105225</v>
      </c>
      <c r="T1900" s="4">
        <v>0</v>
      </c>
      <c r="U1900" s="4">
        <f t="shared" si="61"/>
        <v>0</v>
      </c>
      <c r="V1900" s="3" t="s">
        <v>362</v>
      </c>
      <c r="W1900" s="3">
        <v>2014</v>
      </c>
      <c r="X1900" s="3">
        <v>11.14</v>
      </c>
    </row>
    <row r="1901" spans="1:24" ht="89.25">
      <c r="A1901" s="3" t="s">
        <v>17512</v>
      </c>
      <c r="B1901" s="6" t="s">
        <v>361</v>
      </c>
      <c r="C1901" s="6" t="s">
        <v>4239</v>
      </c>
      <c r="D1901" s="97" t="s">
        <v>343</v>
      </c>
      <c r="E1901" s="3" t="s">
        <v>4240</v>
      </c>
      <c r="F1901" s="6" t="s">
        <v>4601</v>
      </c>
      <c r="G1901" s="3" t="s">
        <v>11449</v>
      </c>
      <c r="H1901" s="54">
        <v>0.7</v>
      </c>
      <c r="I1901" s="16">
        <v>470000000</v>
      </c>
      <c r="J1901" s="56" t="s">
        <v>229</v>
      </c>
      <c r="K1901" s="6" t="s">
        <v>222</v>
      </c>
      <c r="L1901" s="17" t="s">
        <v>11411</v>
      </c>
      <c r="M1901" s="162" t="s">
        <v>230</v>
      </c>
      <c r="N1901" s="15" t="s">
        <v>8914</v>
      </c>
      <c r="O1901" s="6" t="s">
        <v>4568</v>
      </c>
      <c r="P1901" s="58" t="s">
        <v>235</v>
      </c>
      <c r="Q1901" s="6" t="s">
        <v>236</v>
      </c>
      <c r="R1901" s="1">
        <v>0.4</v>
      </c>
      <c r="S1901" s="74">
        <v>2105225</v>
      </c>
      <c r="T1901" s="4">
        <f>R1901*S1901</f>
        <v>842090</v>
      </c>
      <c r="U1901" s="4">
        <f t="shared" si="61"/>
        <v>943140.8</v>
      </c>
      <c r="V1901" s="3" t="s">
        <v>362</v>
      </c>
      <c r="W1901" s="3">
        <v>2014</v>
      </c>
      <c r="X1901" s="3"/>
    </row>
    <row r="1902" spans="1:24" ht="89.25">
      <c r="A1902" s="3" t="s">
        <v>1294</v>
      </c>
      <c r="B1902" s="6" t="s">
        <v>361</v>
      </c>
      <c r="C1902" s="6" t="s">
        <v>4244</v>
      </c>
      <c r="D1902" s="97" t="s">
        <v>343</v>
      </c>
      <c r="E1902" s="3" t="s">
        <v>4245</v>
      </c>
      <c r="F1902" s="6" t="s">
        <v>4602</v>
      </c>
      <c r="G1902" s="3" t="s">
        <v>11449</v>
      </c>
      <c r="H1902" s="54">
        <v>0.7</v>
      </c>
      <c r="I1902" s="55">
        <v>470000000</v>
      </c>
      <c r="J1902" s="56" t="s">
        <v>229</v>
      </c>
      <c r="K1902" s="6" t="s">
        <v>516</v>
      </c>
      <c r="L1902" s="16" t="s">
        <v>4570</v>
      </c>
      <c r="M1902" s="162" t="s">
        <v>230</v>
      </c>
      <c r="N1902" s="15" t="s">
        <v>523</v>
      </c>
      <c r="O1902" s="6" t="s">
        <v>4568</v>
      </c>
      <c r="P1902" s="58" t="s">
        <v>235</v>
      </c>
      <c r="Q1902" s="6" t="s">
        <v>236</v>
      </c>
      <c r="R1902" s="3">
        <v>0.6</v>
      </c>
      <c r="S1902" s="1">
        <v>3235625</v>
      </c>
      <c r="T1902" s="4">
        <v>0</v>
      </c>
      <c r="U1902" s="4">
        <f t="shared" si="61"/>
        <v>0</v>
      </c>
      <c r="V1902" s="166" t="s">
        <v>362</v>
      </c>
      <c r="W1902" s="3">
        <v>2014</v>
      </c>
      <c r="X1902" s="3">
        <v>11.12</v>
      </c>
    </row>
    <row r="1903" spans="1:24" ht="89.25">
      <c r="A1903" s="3" t="s">
        <v>13989</v>
      </c>
      <c r="B1903" s="6" t="s">
        <v>361</v>
      </c>
      <c r="C1903" s="6" t="s">
        <v>4244</v>
      </c>
      <c r="D1903" s="97" t="s">
        <v>343</v>
      </c>
      <c r="E1903" s="3" t="s">
        <v>4245</v>
      </c>
      <c r="F1903" s="6" t="s">
        <v>4602</v>
      </c>
      <c r="G1903" s="3" t="s">
        <v>11449</v>
      </c>
      <c r="H1903" s="54">
        <v>0.7</v>
      </c>
      <c r="I1903" s="55">
        <v>470000000</v>
      </c>
      <c r="J1903" s="56" t="s">
        <v>229</v>
      </c>
      <c r="K1903" s="6" t="s">
        <v>12367</v>
      </c>
      <c r="L1903" s="17" t="s">
        <v>11411</v>
      </c>
      <c r="M1903" s="162" t="s">
        <v>230</v>
      </c>
      <c r="N1903" s="15" t="s">
        <v>523</v>
      </c>
      <c r="O1903" s="6" t="s">
        <v>4568</v>
      </c>
      <c r="P1903" s="58" t="s">
        <v>235</v>
      </c>
      <c r="Q1903" s="6" t="s">
        <v>236</v>
      </c>
      <c r="R1903" s="3">
        <v>0</v>
      </c>
      <c r="S1903" s="1">
        <v>3235625</v>
      </c>
      <c r="T1903" s="4">
        <f>R1903*S1903</f>
        <v>0</v>
      </c>
      <c r="U1903" s="4">
        <f t="shared" si="61"/>
        <v>0</v>
      </c>
      <c r="V1903" s="166" t="s">
        <v>362</v>
      </c>
      <c r="W1903" s="3">
        <v>2014</v>
      </c>
      <c r="X1903" s="3" t="s">
        <v>12076</v>
      </c>
    </row>
    <row r="1904" spans="1:24" ht="89.25">
      <c r="A1904" s="3" t="s">
        <v>1295</v>
      </c>
      <c r="B1904" s="6" t="s">
        <v>361</v>
      </c>
      <c r="C1904" s="6" t="s">
        <v>4246</v>
      </c>
      <c r="D1904" s="97" t="s">
        <v>343</v>
      </c>
      <c r="E1904" s="3" t="s">
        <v>11453</v>
      </c>
      <c r="F1904" s="6" t="s">
        <v>4603</v>
      </c>
      <c r="G1904" s="3" t="s">
        <v>11449</v>
      </c>
      <c r="H1904" s="54">
        <v>0.9</v>
      </c>
      <c r="I1904" s="16">
        <v>470000000</v>
      </c>
      <c r="J1904" s="56" t="s">
        <v>229</v>
      </c>
      <c r="K1904" s="6" t="s">
        <v>516</v>
      </c>
      <c r="L1904" s="16" t="s">
        <v>4567</v>
      </c>
      <c r="M1904" s="162" t="s">
        <v>230</v>
      </c>
      <c r="N1904" s="15" t="s">
        <v>523</v>
      </c>
      <c r="O1904" s="6" t="s">
        <v>4568</v>
      </c>
      <c r="P1904" s="58" t="s">
        <v>235</v>
      </c>
      <c r="Q1904" s="6" t="s">
        <v>236</v>
      </c>
      <c r="R1904" s="1">
        <v>0.3</v>
      </c>
      <c r="S1904" s="74">
        <v>2785675</v>
      </c>
      <c r="T1904" s="4">
        <v>0</v>
      </c>
      <c r="U1904" s="4">
        <f t="shared" si="61"/>
        <v>0</v>
      </c>
      <c r="V1904" s="3" t="s">
        <v>362</v>
      </c>
      <c r="W1904" s="3">
        <v>2014</v>
      </c>
      <c r="X1904" s="3">
        <v>11.12</v>
      </c>
    </row>
    <row r="1905" spans="1:24" ht="89.25">
      <c r="A1905" s="3" t="s">
        <v>13990</v>
      </c>
      <c r="B1905" s="6" t="s">
        <v>361</v>
      </c>
      <c r="C1905" s="6" t="s">
        <v>4246</v>
      </c>
      <c r="D1905" s="97" t="s">
        <v>343</v>
      </c>
      <c r="E1905" s="3" t="s">
        <v>11453</v>
      </c>
      <c r="F1905" s="6" t="s">
        <v>4603</v>
      </c>
      <c r="G1905" s="3" t="s">
        <v>11449</v>
      </c>
      <c r="H1905" s="54">
        <v>0.9</v>
      </c>
      <c r="I1905" s="16">
        <v>470000000</v>
      </c>
      <c r="J1905" s="56" t="s">
        <v>229</v>
      </c>
      <c r="K1905" s="6" t="s">
        <v>12367</v>
      </c>
      <c r="L1905" s="17" t="s">
        <v>11411</v>
      </c>
      <c r="M1905" s="162" t="s">
        <v>230</v>
      </c>
      <c r="N1905" s="15" t="s">
        <v>523</v>
      </c>
      <c r="O1905" s="6" t="s">
        <v>4568</v>
      </c>
      <c r="P1905" s="58" t="s">
        <v>235</v>
      </c>
      <c r="Q1905" s="6" t="s">
        <v>236</v>
      </c>
      <c r="R1905" s="1">
        <v>0.3</v>
      </c>
      <c r="S1905" s="74">
        <v>2785675</v>
      </c>
      <c r="T1905" s="4">
        <v>0</v>
      </c>
      <c r="U1905" s="4">
        <f t="shared" si="61"/>
        <v>0</v>
      </c>
      <c r="V1905" s="3" t="s">
        <v>362</v>
      </c>
      <c r="W1905" s="3">
        <v>2014</v>
      </c>
      <c r="X1905" s="3">
        <v>11</v>
      </c>
    </row>
    <row r="1906" spans="1:24" ht="89.25">
      <c r="A1906" s="3" t="s">
        <v>14888</v>
      </c>
      <c r="B1906" s="6" t="s">
        <v>361</v>
      </c>
      <c r="C1906" s="6" t="s">
        <v>4246</v>
      </c>
      <c r="D1906" s="97" t="s">
        <v>343</v>
      </c>
      <c r="E1906" s="3" t="s">
        <v>11453</v>
      </c>
      <c r="F1906" s="6" t="s">
        <v>4603</v>
      </c>
      <c r="G1906" s="3" t="s">
        <v>11449</v>
      </c>
      <c r="H1906" s="54">
        <v>0.9</v>
      </c>
      <c r="I1906" s="16">
        <v>470000000</v>
      </c>
      <c r="J1906" s="56" t="s">
        <v>229</v>
      </c>
      <c r="K1906" s="6" t="s">
        <v>220</v>
      </c>
      <c r="L1906" s="17" t="s">
        <v>11411</v>
      </c>
      <c r="M1906" s="162" t="s">
        <v>230</v>
      </c>
      <c r="N1906" s="15" t="s">
        <v>523</v>
      </c>
      <c r="O1906" s="6" t="s">
        <v>4568</v>
      </c>
      <c r="P1906" s="58" t="s">
        <v>235</v>
      </c>
      <c r="Q1906" s="6" t="s">
        <v>236</v>
      </c>
      <c r="R1906" s="1">
        <v>0</v>
      </c>
      <c r="S1906" s="74">
        <v>2785675</v>
      </c>
      <c r="T1906" s="4">
        <f>R1906*S1906</f>
        <v>0</v>
      </c>
      <c r="U1906" s="4">
        <f t="shared" si="61"/>
        <v>0</v>
      </c>
      <c r="V1906" s="3" t="s">
        <v>362</v>
      </c>
      <c r="W1906" s="3">
        <v>2014</v>
      </c>
      <c r="X1906" s="3" t="s">
        <v>12076</v>
      </c>
    </row>
    <row r="1907" spans="1:24" ht="89.25">
      <c r="A1907" s="3" t="s">
        <v>1296</v>
      </c>
      <c r="B1907" s="6" t="s">
        <v>361</v>
      </c>
      <c r="C1907" s="6" t="s">
        <v>4246</v>
      </c>
      <c r="D1907" s="97" t="s">
        <v>343</v>
      </c>
      <c r="E1907" s="3" t="s">
        <v>11453</v>
      </c>
      <c r="F1907" s="6" t="s">
        <v>4604</v>
      </c>
      <c r="G1907" s="3" t="s">
        <v>11449</v>
      </c>
      <c r="H1907" s="54">
        <v>0.9</v>
      </c>
      <c r="I1907" s="55">
        <v>470000000</v>
      </c>
      <c r="J1907" s="56" t="s">
        <v>229</v>
      </c>
      <c r="K1907" s="15" t="s">
        <v>516</v>
      </c>
      <c r="L1907" s="16" t="s">
        <v>4570</v>
      </c>
      <c r="M1907" s="162" t="s">
        <v>230</v>
      </c>
      <c r="N1907" s="15" t="s">
        <v>523</v>
      </c>
      <c r="O1907" s="6" t="s">
        <v>4568</v>
      </c>
      <c r="P1907" s="58" t="s">
        <v>235</v>
      </c>
      <c r="Q1907" s="6" t="s">
        <v>236</v>
      </c>
      <c r="R1907" s="3">
        <v>0.4</v>
      </c>
      <c r="S1907" s="1">
        <v>415657</v>
      </c>
      <c r="T1907" s="4">
        <v>0</v>
      </c>
      <c r="U1907" s="4">
        <f t="shared" si="61"/>
        <v>0</v>
      </c>
      <c r="V1907" s="166" t="s">
        <v>362</v>
      </c>
      <c r="W1907" s="3">
        <v>2014</v>
      </c>
      <c r="X1907" s="3">
        <v>11.12</v>
      </c>
    </row>
    <row r="1908" spans="1:24" ht="89.25">
      <c r="A1908" s="3" t="s">
        <v>13991</v>
      </c>
      <c r="B1908" s="6" t="s">
        <v>361</v>
      </c>
      <c r="C1908" s="6" t="s">
        <v>4246</v>
      </c>
      <c r="D1908" s="97" t="s">
        <v>343</v>
      </c>
      <c r="E1908" s="3" t="s">
        <v>11453</v>
      </c>
      <c r="F1908" s="6" t="s">
        <v>4604</v>
      </c>
      <c r="G1908" s="3" t="s">
        <v>11449</v>
      </c>
      <c r="H1908" s="54">
        <v>0.9</v>
      </c>
      <c r="I1908" s="55">
        <v>470000000</v>
      </c>
      <c r="J1908" s="56" t="s">
        <v>229</v>
      </c>
      <c r="K1908" s="6" t="s">
        <v>12367</v>
      </c>
      <c r="L1908" s="17" t="s">
        <v>11411</v>
      </c>
      <c r="M1908" s="162" t="s">
        <v>230</v>
      </c>
      <c r="N1908" s="15" t="s">
        <v>523</v>
      </c>
      <c r="O1908" s="6" t="s">
        <v>4568</v>
      </c>
      <c r="P1908" s="58" t="s">
        <v>235</v>
      </c>
      <c r="Q1908" s="6" t="s">
        <v>236</v>
      </c>
      <c r="R1908" s="3">
        <v>0</v>
      </c>
      <c r="S1908" s="1">
        <v>415657</v>
      </c>
      <c r="T1908" s="4">
        <f>R1908*S1908</f>
        <v>0</v>
      </c>
      <c r="U1908" s="4">
        <f t="shared" si="61"/>
        <v>0</v>
      </c>
      <c r="V1908" s="166" t="s">
        <v>362</v>
      </c>
      <c r="W1908" s="3">
        <v>2014</v>
      </c>
      <c r="X1908" s="3" t="s">
        <v>12076</v>
      </c>
    </row>
    <row r="1909" spans="1:24" ht="89.25">
      <c r="A1909" s="3" t="s">
        <v>1297</v>
      </c>
      <c r="B1909" s="6" t="s">
        <v>361</v>
      </c>
      <c r="C1909" s="6" t="s">
        <v>4267</v>
      </c>
      <c r="D1909" s="6" t="s">
        <v>343</v>
      </c>
      <c r="E1909" s="6" t="s">
        <v>4268</v>
      </c>
      <c r="F1909" s="6" t="s">
        <v>4605</v>
      </c>
      <c r="G1909" s="3" t="s">
        <v>11449</v>
      </c>
      <c r="H1909" s="54">
        <v>0.9</v>
      </c>
      <c r="I1909" s="16">
        <v>470000000</v>
      </c>
      <c r="J1909" s="56" t="s">
        <v>229</v>
      </c>
      <c r="K1909" s="15" t="s">
        <v>516</v>
      </c>
      <c r="L1909" s="16" t="s">
        <v>4567</v>
      </c>
      <c r="M1909" s="162" t="s">
        <v>230</v>
      </c>
      <c r="N1909" s="15" t="s">
        <v>523</v>
      </c>
      <c r="O1909" s="6" t="s">
        <v>4568</v>
      </c>
      <c r="P1909" s="58" t="s">
        <v>235</v>
      </c>
      <c r="Q1909" s="6" t="s">
        <v>236</v>
      </c>
      <c r="R1909" s="1">
        <v>2.2000000000000002</v>
      </c>
      <c r="S1909" s="74">
        <v>619910</v>
      </c>
      <c r="T1909" s="4">
        <v>0</v>
      </c>
      <c r="U1909" s="4">
        <f t="shared" si="61"/>
        <v>0</v>
      </c>
      <c r="V1909" s="3" t="s">
        <v>362</v>
      </c>
      <c r="W1909" s="3">
        <v>2014</v>
      </c>
      <c r="X1909" s="3">
        <v>11.12</v>
      </c>
    </row>
    <row r="1910" spans="1:24" ht="89.25">
      <c r="A1910" s="3" t="s">
        <v>13992</v>
      </c>
      <c r="B1910" s="6" t="s">
        <v>361</v>
      </c>
      <c r="C1910" s="6" t="s">
        <v>4267</v>
      </c>
      <c r="D1910" s="6" t="s">
        <v>343</v>
      </c>
      <c r="E1910" s="6" t="s">
        <v>4268</v>
      </c>
      <c r="F1910" s="6" t="s">
        <v>4605</v>
      </c>
      <c r="G1910" s="3" t="s">
        <v>11449</v>
      </c>
      <c r="H1910" s="54">
        <v>0.9</v>
      </c>
      <c r="I1910" s="16">
        <v>470000000</v>
      </c>
      <c r="J1910" s="56" t="s">
        <v>229</v>
      </c>
      <c r="K1910" s="6" t="s">
        <v>12367</v>
      </c>
      <c r="L1910" s="17" t="s">
        <v>11411</v>
      </c>
      <c r="M1910" s="162" t="s">
        <v>230</v>
      </c>
      <c r="N1910" s="15" t="s">
        <v>523</v>
      </c>
      <c r="O1910" s="6" t="s">
        <v>4568</v>
      </c>
      <c r="P1910" s="58" t="s">
        <v>235</v>
      </c>
      <c r="Q1910" s="6" t="s">
        <v>236</v>
      </c>
      <c r="R1910" s="1">
        <v>2.2000000000000002</v>
      </c>
      <c r="S1910" s="74">
        <v>619910</v>
      </c>
      <c r="T1910" s="4">
        <v>0</v>
      </c>
      <c r="U1910" s="4">
        <f t="shared" si="61"/>
        <v>0</v>
      </c>
      <c r="V1910" s="3" t="s">
        <v>362</v>
      </c>
      <c r="W1910" s="3">
        <v>2014</v>
      </c>
      <c r="X1910" s="3">
        <v>11</v>
      </c>
    </row>
    <row r="1911" spans="1:24" ht="89.25">
      <c r="A1911" s="3" t="s">
        <v>14889</v>
      </c>
      <c r="B1911" s="6" t="s">
        <v>361</v>
      </c>
      <c r="C1911" s="6" t="s">
        <v>4267</v>
      </c>
      <c r="D1911" s="6" t="s">
        <v>343</v>
      </c>
      <c r="E1911" s="6" t="s">
        <v>4268</v>
      </c>
      <c r="F1911" s="6" t="s">
        <v>4605</v>
      </c>
      <c r="G1911" s="3" t="s">
        <v>11449</v>
      </c>
      <c r="H1911" s="54">
        <v>0.9</v>
      </c>
      <c r="I1911" s="16">
        <v>470000000</v>
      </c>
      <c r="J1911" s="56" t="s">
        <v>229</v>
      </c>
      <c r="K1911" s="6" t="s">
        <v>220</v>
      </c>
      <c r="L1911" s="17" t="s">
        <v>11411</v>
      </c>
      <c r="M1911" s="162" t="s">
        <v>230</v>
      </c>
      <c r="N1911" s="15" t="s">
        <v>523</v>
      </c>
      <c r="O1911" s="6" t="s">
        <v>4568</v>
      </c>
      <c r="P1911" s="58" t="s">
        <v>235</v>
      </c>
      <c r="Q1911" s="6" t="s">
        <v>236</v>
      </c>
      <c r="R1911" s="1">
        <v>0</v>
      </c>
      <c r="S1911" s="74">
        <v>619910</v>
      </c>
      <c r="T1911" s="4">
        <f>R1911*S1911</f>
        <v>0</v>
      </c>
      <c r="U1911" s="4">
        <f t="shared" si="61"/>
        <v>0</v>
      </c>
      <c r="V1911" s="3" t="s">
        <v>362</v>
      </c>
      <c r="W1911" s="3">
        <v>2014</v>
      </c>
      <c r="X1911" s="3" t="s">
        <v>12076</v>
      </c>
    </row>
    <row r="1912" spans="1:24" ht="89.25">
      <c r="A1912" s="3" t="s">
        <v>1298</v>
      </c>
      <c r="B1912" s="6" t="s">
        <v>361</v>
      </c>
      <c r="C1912" s="6" t="s">
        <v>16600</v>
      </c>
      <c r="D1912" s="6" t="s">
        <v>343</v>
      </c>
      <c r="E1912" s="6" t="s">
        <v>16601</v>
      </c>
      <c r="F1912" s="6" t="s">
        <v>4606</v>
      </c>
      <c r="G1912" s="3" t="s">
        <v>11449</v>
      </c>
      <c r="H1912" s="54">
        <v>0.5</v>
      </c>
      <c r="I1912" s="55">
        <v>470000000</v>
      </c>
      <c r="J1912" s="56" t="s">
        <v>229</v>
      </c>
      <c r="K1912" s="15" t="s">
        <v>516</v>
      </c>
      <c r="L1912" s="16" t="s">
        <v>4570</v>
      </c>
      <c r="M1912" s="162" t="s">
        <v>230</v>
      </c>
      <c r="N1912" s="15" t="s">
        <v>523</v>
      </c>
      <c r="O1912" s="6" t="s">
        <v>4568</v>
      </c>
      <c r="P1912" s="58" t="s">
        <v>235</v>
      </c>
      <c r="Q1912" s="6" t="s">
        <v>236</v>
      </c>
      <c r="R1912" s="3">
        <v>0.61</v>
      </c>
      <c r="S1912" s="1">
        <v>865455</v>
      </c>
      <c r="T1912" s="4">
        <v>0</v>
      </c>
      <c r="U1912" s="4">
        <f t="shared" si="61"/>
        <v>0</v>
      </c>
      <c r="V1912" s="166" t="s">
        <v>362</v>
      </c>
      <c r="W1912" s="3">
        <v>2014</v>
      </c>
      <c r="X1912" s="3">
        <v>11.12</v>
      </c>
    </row>
    <row r="1913" spans="1:24" ht="89.25">
      <c r="A1913" s="3" t="s">
        <v>13993</v>
      </c>
      <c r="B1913" s="6" t="s">
        <v>361</v>
      </c>
      <c r="C1913" s="6" t="s">
        <v>16600</v>
      </c>
      <c r="D1913" s="6" t="s">
        <v>343</v>
      </c>
      <c r="E1913" s="6" t="s">
        <v>16601</v>
      </c>
      <c r="F1913" s="6" t="s">
        <v>4606</v>
      </c>
      <c r="G1913" s="3" t="s">
        <v>11449</v>
      </c>
      <c r="H1913" s="54">
        <v>0.5</v>
      </c>
      <c r="I1913" s="55">
        <v>470000000</v>
      </c>
      <c r="J1913" s="56" t="s">
        <v>229</v>
      </c>
      <c r="K1913" s="6" t="s">
        <v>12367</v>
      </c>
      <c r="L1913" s="17" t="s">
        <v>11411</v>
      </c>
      <c r="M1913" s="162" t="s">
        <v>230</v>
      </c>
      <c r="N1913" s="15" t="s">
        <v>523</v>
      </c>
      <c r="O1913" s="6" t="s">
        <v>4568</v>
      </c>
      <c r="P1913" s="58" t="s">
        <v>235</v>
      </c>
      <c r="Q1913" s="6" t="s">
        <v>236</v>
      </c>
      <c r="R1913" s="3">
        <v>0.61</v>
      </c>
      <c r="S1913" s="1">
        <v>865455</v>
      </c>
      <c r="T1913" s="4">
        <v>0</v>
      </c>
      <c r="U1913" s="4">
        <f t="shared" si="61"/>
        <v>0</v>
      </c>
      <c r="V1913" s="166" t="s">
        <v>362</v>
      </c>
      <c r="W1913" s="3">
        <v>2014</v>
      </c>
      <c r="X1913" s="3">
        <v>11</v>
      </c>
    </row>
    <row r="1914" spans="1:24" ht="89.25">
      <c r="A1914" s="3" t="s">
        <v>14890</v>
      </c>
      <c r="B1914" s="6" t="s">
        <v>361</v>
      </c>
      <c r="C1914" s="6" t="s">
        <v>16600</v>
      </c>
      <c r="D1914" s="6" t="s">
        <v>343</v>
      </c>
      <c r="E1914" s="6" t="s">
        <v>16601</v>
      </c>
      <c r="F1914" s="6" t="s">
        <v>4606</v>
      </c>
      <c r="G1914" s="3" t="s">
        <v>11449</v>
      </c>
      <c r="H1914" s="54">
        <v>0.5</v>
      </c>
      <c r="I1914" s="55">
        <v>470000000</v>
      </c>
      <c r="J1914" s="56" t="s">
        <v>229</v>
      </c>
      <c r="K1914" s="6" t="s">
        <v>220</v>
      </c>
      <c r="L1914" s="17" t="s">
        <v>11411</v>
      </c>
      <c r="M1914" s="162" t="s">
        <v>230</v>
      </c>
      <c r="N1914" s="15" t="s">
        <v>523</v>
      </c>
      <c r="O1914" s="6" t="s">
        <v>4568</v>
      </c>
      <c r="P1914" s="58" t="s">
        <v>235</v>
      </c>
      <c r="Q1914" s="6" t="s">
        <v>236</v>
      </c>
      <c r="R1914" s="3">
        <v>0</v>
      </c>
      <c r="S1914" s="1">
        <v>865455</v>
      </c>
      <c r="T1914" s="4">
        <f>R1914*S1914</f>
        <v>0</v>
      </c>
      <c r="U1914" s="4">
        <f t="shared" si="61"/>
        <v>0</v>
      </c>
      <c r="V1914" s="166" t="s">
        <v>362</v>
      </c>
      <c r="W1914" s="3">
        <v>2014</v>
      </c>
      <c r="X1914" s="3" t="s">
        <v>12076</v>
      </c>
    </row>
    <row r="1915" spans="1:24" ht="89.25">
      <c r="A1915" s="3" t="s">
        <v>1299</v>
      </c>
      <c r="B1915" s="6" t="s">
        <v>361</v>
      </c>
      <c r="C1915" s="6" t="s">
        <v>4241</v>
      </c>
      <c r="D1915" s="97" t="s">
        <v>343</v>
      </c>
      <c r="E1915" s="3" t="s">
        <v>4242</v>
      </c>
      <c r="F1915" s="6" t="s">
        <v>4607</v>
      </c>
      <c r="G1915" s="3" t="s">
        <v>11449</v>
      </c>
      <c r="H1915" s="54">
        <v>0.5</v>
      </c>
      <c r="I1915" s="16">
        <v>470000000</v>
      </c>
      <c r="J1915" s="56" t="s">
        <v>229</v>
      </c>
      <c r="K1915" s="6" t="s">
        <v>516</v>
      </c>
      <c r="L1915" s="16" t="s">
        <v>4567</v>
      </c>
      <c r="M1915" s="162" t="s">
        <v>230</v>
      </c>
      <c r="N1915" s="15" t="s">
        <v>523</v>
      </c>
      <c r="O1915" s="6" t="s">
        <v>4568</v>
      </c>
      <c r="P1915" s="58" t="s">
        <v>235</v>
      </c>
      <c r="Q1915" s="6" t="s">
        <v>236</v>
      </c>
      <c r="R1915" s="1">
        <v>0.25</v>
      </c>
      <c r="S1915" s="74">
        <v>1127353</v>
      </c>
      <c r="T1915" s="4">
        <v>0</v>
      </c>
      <c r="U1915" s="4">
        <f t="shared" si="61"/>
        <v>0</v>
      </c>
      <c r="V1915" s="3" t="s">
        <v>362</v>
      </c>
      <c r="W1915" s="3">
        <v>2014</v>
      </c>
      <c r="X1915" s="3">
        <v>11.12</v>
      </c>
    </row>
    <row r="1916" spans="1:24" ht="89.25">
      <c r="A1916" s="3" t="s">
        <v>13994</v>
      </c>
      <c r="B1916" s="6" t="s">
        <v>361</v>
      </c>
      <c r="C1916" s="6" t="s">
        <v>4241</v>
      </c>
      <c r="D1916" s="97" t="s">
        <v>343</v>
      </c>
      <c r="E1916" s="3" t="s">
        <v>4242</v>
      </c>
      <c r="F1916" s="6" t="s">
        <v>4607</v>
      </c>
      <c r="G1916" s="3" t="s">
        <v>11449</v>
      </c>
      <c r="H1916" s="54">
        <v>0.5</v>
      </c>
      <c r="I1916" s="16">
        <v>470000000</v>
      </c>
      <c r="J1916" s="56" t="s">
        <v>229</v>
      </c>
      <c r="K1916" s="6" t="s">
        <v>12367</v>
      </c>
      <c r="L1916" s="17" t="s">
        <v>11411</v>
      </c>
      <c r="M1916" s="162" t="s">
        <v>230</v>
      </c>
      <c r="N1916" s="15" t="s">
        <v>523</v>
      </c>
      <c r="O1916" s="6" t="s">
        <v>4568</v>
      </c>
      <c r="P1916" s="58" t="s">
        <v>235</v>
      </c>
      <c r="Q1916" s="6" t="s">
        <v>236</v>
      </c>
      <c r="R1916" s="1">
        <v>0.25</v>
      </c>
      <c r="S1916" s="74">
        <v>1127353</v>
      </c>
      <c r="T1916" s="4">
        <v>0</v>
      </c>
      <c r="U1916" s="4">
        <f t="shared" si="61"/>
        <v>0</v>
      </c>
      <c r="V1916" s="3" t="s">
        <v>362</v>
      </c>
      <c r="W1916" s="3">
        <v>2014</v>
      </c>
      <c r="X1916" s="3">
        <v>11</v>
      </c>
    </row>
    <row r="1917" spans="1:24" ht="89.25">
      <c r="A1917" s="3" t="s">
        <v>14891</v>
      </c>
      <c r="B1917" s="6" t="s">
        <v>361</v>
      </c>
      <c r="C1917" s="6" t="s">
        <v>4241</v>
      </c>
      <c r="D1917" s="97" t="s">
        <v>343</v>
      </c>
      <c r="E1917" s="3" t="s">
        <v>4242</v>
      </c>
      <c r="F1917" s="6" t="s">
        <v>4607</v>
      </c>
      <c r="G1917" s="3" t="s">
        <v>11449</v>
      </c>
      <c r="H1917" s="54">
        <v>0.5</v>
      </c>
      <c r="I1917" s="16">
        <v>470000000</v>
      </c>
      <c r="J1917" s="56" t="s">
        <v>229</v>
      </c>
      <c r="K1917" s="6" t="s">
        <v>220</v>
      </c>
      <c r="L1917" s="17" t="s">
        <v>11411</v>
      </c>
      <c r="M1917" s="162" t="s">
        <v>230</v>
      </c>
      <c r="N1917" s="15" t="s">
        <v>523</v>
      </c>
      <c r="O1917" s="6" t="s">
        <v>4568</v>
      </c>
      <c r="P1917" s="58" t="s">
        <v>235</v>
      </c>
      <c r="Q1917" s="6" t="s">
        <v>236</v>
      </c>
      <c r="R1917" s="1">
        <v>0</v>
      </c>
      <c r="S1917" s="74">
        <v>1127353</v>
      </c>
      <c r="T1917" s="4">
        <f>R1917*S1917</f>
        <v>0</v>
      </c>
      <c r="U1917" s="4">
        <f t="shared" si="61"/>
        <v>0</v>
      </c>
      <c r="V1917" s="3" t="s">
        <v>362</v>
      </c>
      <c r="W1917" s="3">
        <v>2014</v>
      </c>
      <c r="X1917" s="3" t="s">
        <v>12076</v>
      </c>
    </row>
    <row r="1918" spans="1:24" ht="89.25">
      <c r="A1918" s="3" t="s">
        <v>1300</v>
      </c>
      <c r="B1918" s="6" t="s">
        <v>361</v>
      </c>
      <c r="C1918" s="6" t="s">
        <v>4239</v>
      </c>
      <c r="D1918" s="97" t="s">
        <v>343</v>
      </c>
      <c r="E1918" s="3" t="s">
        <v>4240</v>
      </c>
      <c r="F1918" s="6" t="s">
        <v>4608</v>
      </c>
      <c r="G1918" s="3" t="s">
        <v>11449</v>
      </c>
      <c r="H1918" s="54">
        <v>0.5</v>
      </c>
      <c r="I1918" s="55">
        <v>470000000</v>
      </c>
      <c r="J1918" s="56" t="s">
        <v>229</v>
      </c>
      <c r="K1918" s="6" t="s">
        <v>516</v>
      </c>
      <c r="L1918" s="16" t="s">
        <v>4570</v>
      </c>
      <c r="M1918" s="162" t="s">
        <v>230</v>
      </c>
      <c r="N1918" s="15" t="s">
        <v>523</v>
      </c>
      <c r="O1918" s="6" t="s">
        <v>4568</v>
      </c>
      <c r="P1918" s="58" t="s">
        <v>235</v>
      </c>
      <c r="Q1918" s="6" t="s">
        <v>236</v>
      </c>
      <c r="R1918" s="3">
        <v>1.7</v>
      </c>
      <c r="S1918" s="1">
        <v>1726259</v>
      </c>
      <c r="T1918" s="4">
        <v>0</v>
      </c>
      <c r="U1918" s="4">
        <f t="shared" si="61"/>
        <v>0</v>
      </c>
      <c r="V1918" s="166" t="s">
        <v>362</v>
      </c>
      <c r="W1918" s="3">
        <v>2014</v>
      </c>
      <c r="X1918" s="3">
        <v>11.12</v>
      </c>
    </row>
    <row r="1919" spans="1:24" ht="89.25">
      <c r="A1919" s="3" t="s">
        <v>13995</v>
      </c>
      <c r="B1919" s="6" t="s">
        <v>361</v>
      </c>
      <c r="C1919" s="6" t="s">
        <v>4239</v>
      </c>
      <c r="D1919" s="97" t="s">
        <v>343</v>
      </c>
      <c r="E1919" s="3" t="s">
        <v>4240</v>
      </c>
      <c r="F1919" s="6" t="s">
        <v>4608</v>
      </c>
      <c r="G1919" s="3" t="s">
        <v>11449</v>
      </c>
      <c r="H1919" s="54">
        <v>0.5</v>
      </c>
      <c r="I1919" s="55">
        <v>470000000</v>
      </c>
      <c r="J1919" s="56" t="s">
        <v>229</v>
      </c>
      <c r="K1919" s="6" t="s">
        <v>12367</v>
      </c>
      <c r="L1919" s="17" t="s">
        <v>11411</v>
      </c>
      <c r="M1919" s="162" t="s">
        <v>230</v>
      </c>
      <c r="N1919" s="15" t="s">
        <v>523</v>
      </c>
      <c r="O1919" s="6" t="s">
        <v>4568</v>
      </c>
      <c r="P1919" s="58" t="s">
        <v>235</v>
      </c>
      <c r="Q1919" s="6" t="s">
        <v>236</v>
      </c>
      <c r="R1919" s="3">
        <v>1.7</v>
      </c>
      <c r="S1919" s="1">
        <v>1726259</v>
      </c>
      <c r="T1919" s="4">
        <v>0</v>
      </c>
      <c r="U1919" s="4">
        <f t="shared" si="61"/>
        <v>0</v>
      </c>
      <c r="V1919" s="166" t="s">
        <v>362</v>
      </c>
      <c r="W1919" s="3">
        <v>2014</v>
      </c>
      <c r="X1919" s="3">
        <v>11</v>
      </c>
    </row>
    <row r="1920" spans="1:24" ht="89.25">
      <c r="A1920" s="3" t="s">
        <v>14892</v>
      </c>
      <c r="B1920" s="6" t="s">
        <v>361</v>
      </c>
      <c r="C1920" s="6" t="s">
        <v>4239</v>
      </c>
      <c r="D1920" s="97" t="s">
        <v>343</v>
      </c>
      <c r="E1920" s="3" t="s">
        <v>4240</v>
      </c>
      <c r="F1920" s="6" t="s">
        <v>4608</v>
      </c>
      <c r="G1920" s="3" t="s">
        <v>11449</v>
      </c>
      <c r="H1920" s="54">
        <v>0.5</v>
      </c>
      <c r="I1920" s="55">
        <v>470000000</v>
      </c>
      <c r="J1920" s="56" t="s">
        <v>229</v>
      </c>
      <c r="K1920" s="6" t="s">
        <v>220</v>
      </c>
      <c r="L1920" s="17" t="s">
        <v>11411</v>
      </c>
      <c r="M1920" s="162" t="s">
        <v>230</v>
      </c>
      <c r="N1920" s="15" t="s">
        <v>523</v>
      </c>
      <c r="O1920" s="6" t="s">
        <v>4568</v>
      </c>
      <c r="P1920" s="58" t="s">
        <v>235</v>
      </c>
      <c r="Q1920" s="6" t="s">
        <v>236</v>
      </c>
      <c r="R1920" s="3">
        <v>0</v>
      </c>
      <c r="S1920" s="1">
        <v>1726259</v>
      </c>
      <c r="T1920" s="4">
        <f>R1920*S1920</f>
        <v>0</v>
      </c>
      <c r="U1920" s="4">
        <f t="shared" si="61"/>
        <v>0</v>
      </c>
      <c r="V1920" s="166" t="s">
        <v>362</v>
      </c>
      <c r="W1920" s="3">
        <v>2014</v>
      </c>
      <c r="X1920" s="3" t="s">
        <v>12076</v>
      </c>
    </row>
    <row r="1921" spans="1:24" ht="89.25">
      <c r="A1921" s="3" t="s">
        <v>1301</v>
      </c>
      <c r="B1921" s="6" t="s">
        <v>361</v>
      </c>
      <c r="C1921" s="6" t="s">
        <v>16602</v>
      </c>
      <c r="D1921" s="6" t="s">
        <v>343</v>
      </c>
      <c r="E1921" s="6" t="s">
        <v>16603</v>
      </c>
      <c r="F1921" s="6" t="s">
        <v>4609</v>
      </c>
      <c r="G1921" s="3" t="s">
        <v>11449</v>
      </c>
      <c r="H1921" s="54">
        <v>0.5</v>
      </c>
      <c r="I1921" s="16">
        <v>470000000</v>
      </c>
      <c r="J1921" s="56" t="s">
        <v>229</v>
      </c>
      <c r="K1921" s="6" t="s">
        <v>516</v>
      </c>
      <c r="L1921" s="16" t="s">
        <v>4567</v>
      </c>
      <c r="M1921" s="162" t="s">
        <v>230</v>
      </c>
      <c r="N1921" s="15" t="s">
        <v>523</v>
      </c>
      <c r="O1921" s="6" t="s">
        <v>4568</v>
      </c>
      <c r="P1921" s="58" t="s">
        <v>235</v>
      </c>
      <c r="Q1921" s="6" t="s">
        <v>236</v>
      </c>
      <c r="R1921" s="1">
        <v>2.2000000000000002</v>
      </c>
      <c r="S1921" s="74">
        <v>2467939</v>
      </c>
      <c r="T1921" s="4">
        <v>0</v>
      </c>
      <c r="U1921" s="4">
        <f t="shared" si="61"/>
        <v>0</v>
      </c>
      <c r="V1921" s="3" t="s">
        <v>362</v>
      </c>
      <c r="W1921" s="3">
        <v>2014</v>
      </c>
      <c r="X1921" s="3">
        <v>11.12</v>
      </c>
    </row>
    <row r="1922" spans="1:24" ht="89.25">
      <c r="A1922" s="3" t="s">
        <v>13996</v>
      </c>
      <c r="B1922" s="6" t="s">
        <v>361</v>
      </c>
      <c r="C1922" s="6" t="s">
        <v>16602</v>
      </c>
      <c r="D1922" s="6" t="s">
        <v>343</v>
      </c>
      <c r="E1922" s="6" t="s">
        <v>16603</v>
      </c>
      <c r="F1922" s="6" t="s">
        <v>4609</v>
      </c>
      <c r="G1922" s="3" t="s">
        <v>11449</v>
      </c>
      <c r="H1922" s="54">
        <v>0.5</v>
      </c>
      <c r="I1922" s="16">
        <v>470000000</v>
      </c>
      <c r="J1922" s="56" t="s">
        <v>229</v>
      </c>
      <c r="K1922" s="6" t="s">
        <v>12367</v>
      </c>
      <c r="L1922" s="17" t="s">
        <v>11411</v>
      </c>
      <c r="M1922" s="162" t="s">
        <v>230</v>
      </c>
      <c r="N1922" s="15" t="s">
        <v>523</v>
      </c>
      <c r="O1922" s="6" t="s">
        <v>4568</v>
      </c>
      <c r="P1922" s="58" t="s">
        <v>235</v>
      </c>
      <c r="Q1922" s="6" t="s">
        <v>236</v>
      </c>
      <c r="R1922" s="1">
        <v>2.2000000000000002</v>
      </c>
      <c r="S1922" s="74">
        <v>2467939</v>
      </c>
      <c r="T1922" s="4">
        <v>0</v>
      </c>
      <c r="U1922" s="4">
        <f t="shared" si="61"/>
        <v>0</v>
      </c>
      <c r="V1922" s="3" t="s">
        <v>362</v>
      </c>
      <c r="W1922" s="3">
        <v>2014</v>
      </c>
      <c r="X1922" s="3">
        <v>11</v>
      </c>
    </row>
    <row r="1923" spans="1:24" ht="89.25">
      <c r="A1923" s="3" t="s">
        <v>14893</v>
      </c>
      <c r="B1923" s="6" t="s">
        <v>361</v>
      </c>
      <c r="C1923" s="6" t="s">
        <v>16602</v>
      </c>
      <c r="D1923" s="6" t="s">
        <v>343</v>
      </c>
      <c r="E1923" s="6" t="s">
        <v>16603</v>
      </c>
      <c r="F1923" s="6" t="s">
        <v>4609</v>
      </c>
      <c r="G1923" s="3" t="s">
        <v>11449</v>
      </c>
      <c r="H1923" s="54">
        <v>0.5</v>
      </c>
      <c r="I1923" s="16">
        <v>470000000</v>
      </c>
      <c r="J1923" s="56" t="s">
        <v>229</v>
      </c>
      <c r="K1923" s="6" t="s">
        <v>220</v>
      </c>
      <c r="L1923" s="17" t="s">
        <v>11411</v>
      </c>
      <c r="M1923" s="162" t="s">
        <v>230</v>
      </c>
      <c r="N1923" s="15" t="s">
        <v>523</v>
      </c>
      <c r="O1923" s="6" t="s">
        <v>4568</v>
      </c>
      <c r="P1923" s="58" t="s">
        <v>235</v>
      </c>
      <c r="Q1923" s="6" t="s">
        <v>236</v>
      </c>
      <c r="R1923" s="1">
        <v>0</v>
      </c>
      <c r="S1923" s="74">
        <v>2467939</v>
      </c>
      <c r="T1923" s="4">
        <f>R1923*S1923</f>
        <v>0</v>
      </c>
      <c r="U1923" s="4">
        <f t="shared" si="61"/>
        <v>0</v>
      </c>
      <c r="V1923" s="3" t="s">
        <v>362</v>
      </c>
      <c r="W1923" s="3">
        <v>2014</v>
      </c>
      <c r="X1923" s="3" t="s">
        <v>12076</v>
      </c>
    </row>
    <row r="1924" spans="1:24" ht="89.25">
      <c r="A1924" s="3" t="s">
        <v>1302</v>
      </c>
      <c r="B1924" s="6" t="s">
        <v>361</v>
      </c>
      <c r="C1924" s="6" t="s">
        <v>16592</v>
      </c>
      <c r="D1924" s="6" t="s">
        <v>343</v>
      </c>
      <c r="E1924" s="6" t="s">
        <v>16593</v>
      </c>
      <c r="F1924" s="6" t="s">
        <v>4610</v>
      </c>
      <c r="G1924" s="3" t="s">
        <v>11449</v>
      </c>
      <c r="H1924" s="54">
        <v>0.5</v>
      </c>
      <c r="I1924" s="55">
        <v>470000000</v>
      </c>
      <c r="J1924" s="56" t="s">
        <v>229</v>
      </c>
      <c r="K1924" s="6" t="s">
        <v>516</v>
      </c>
      <c r="L1924" s="16" t="s">
        <v>4570</v>
      </c>
      <c r="M1924" s="162" t="s">
        <v>230</v>
      </c>
      <c r="N1924" s="15" t="s">
        <v>523</v>
      </c>
      <c r="O1924" s="6" t="s">
        <v>4568</v>
      </c>
      <c r="P1924" s="58" t="s">
        <v>235</v>
      </c>
      <c r="Q1924" s="6" t="s">
        <v>236</v>
      </c>
      <c r="R1924" s="3">
        <v>0.22</v>
      </c>
      <c r="S1924" s="1">
        <v>3529398</v>
      </c>
      <c r="T1924" s="4">
        <v>0</v>
      </c>
      <c r="U1924" s="4">
        <f t="shared" si="61"/>
        <v>0</v>
      </c>
      <c r="V1924" s="166" t="s">
        <v>362</v>
      </c>
      <c r="W1924" s="3">
        <v>2014</v>
      </c>
      <c r="X1924" s="3">
        <v>11.12</v>
      </c>
    </row>
    <row r="1925" spans="1:24" ht="89.25">
      <c r="A1925" s="3" t="s">
        <v>13997</v>
      </c>
      <c r="B1925" s="6" t="s">
        <v>361</v>
      </c>
      <c r="C1925" s="6" t="s">
        <v>16592</v>
      </c>
      <c r="D1925" s="6" t="s">
        <v>343</v>
      </c>
      <c r="E1925" s="6" t="s">
        <v>16593</v>
      </c>
      <c r="F1925" s="6" t="s">
        <v>4610</v>
      </c>
      <c r="G1925" s="3" t="s">
        <v>11449</v>
      </c>
      <c r="H1925" s="54">
        <v>0.5</v>
      </c>
      <c r="I1925" s="55">
        <v>470000000</v>
      </c>
      <c r="J1925" s="56" t="s">
        <v>229</v>
      </c>
      <c r="K1925" s="6" t="s">
        <v>12367</v>
      </c>
      <c r="L1925" s="17" t="s">
        <v>11411</v>
      </c>
      <c r="M1925" s="162" t="s">
        <v>230</v>
      </c>
      <c r="N1925" s="15" t="s">
        <v>523</v>
      </c>
      <c r="O1925" s="6" t="s">
        <v>4568</v>
      </c>
      <c r="P1925" s="58" t="s">
        <v>235</v>
      </c>
      <c r="Q1925" s="6" t="s">
        <v>236</v>
      </c>
      <c r="R1925" s="3">
        <v>0.22</v>
      </c>
      <c r="S1925" s="1">
        <v>3529398</v>
      </c>
      <c r="T1925" s="4">
        <v>0</v>
      </c>
      <c r="U1925" s="4">
        <f t="shared" si="61"/>
        <v>0</v>
      </c>
      <c r="V1925" s="166" t="s">
        <v>362</v>
      </c>
      <c r="W1925" s="3">
        <v>2014</v>
      </c>
      <c r="X1925" s="3">
        <v>11</v>
      </c>
    </row>
    <row r="1926" spans="1:24" ht="89.25">
      <c r="A1926" s="3" t="s">
        <v>14894</v>
      </c>
      <c r="B1926" s="6" t="s">
        <v>361</v>
      </c>
      <c r="C1926" s="6" t="s">
        <v>16592</v>
      </c>
      <c r="D1926" s="6" t="s">
        <v>343</v>
      </c>
      <c r="E1926" s="6" t="s">
        <v>16593</v>
      </c>
      <c r="F1926" s="6" t="s">
        <v>4610</v>
      </c>
      <c r="G1926" s="3" t="s">
        <v>11449</v>
      </c>
      <c r="H1926" s="54">
        <v>0.5</v>
      </c>
      <c r="I1926" s="55">
        <v>470000000</v>
      </c>
      <c r="J1926" s="56" t="s">
        <v>229</v>
      </c>
      <c r="K1926" s="6" t="s">
        <v>220</v>
      </c>
      <c r="L1926" s="17" t="s">
        <v>11411</v>
      </c>
      <c r="M1926" s="162" t="s">
        <v>230</v>
      </c>
      <c r="N1926" s="15" t="s">
        <v>523</v>
      </c>
      <c r="O1926" s="6" t="s">
        <v>4568</v>
      </c>
      <c r="P1926" s="58" t="s">
        <v>235</v>
      </c>
      <c r="Q1926" s="6" t="s">
        <v>236</v>
      </c>
      <c r="R1926" s="3">
        <v>0</v>
      </c>
      <c r="S1926" s="1">
        <v>3529398</v>
      </c>
      <c r="T1926" s="4">
        <f>R1926*S1926</f>
        <v>0</v>
      </c>
      <c r="U1926" s="4">
        <f t="shared" si="61"/>
        <v>0</v>
      </c>
      <c r="V1926" s="166" t="s">
        <v>362</v>
      </c>
      <c r="W1926" s="3">
        <v>2014</v>
      </c>
      <c r="X1926" s="3" t="s">
        <v>12076</v>
      </c>
    </row>
    <row r="1927" spans="1:24" ht="89.25">
      <c r="A1927" s="3" t="s">
        <v>1303</v>
      </c>
      <c r="B1927" s="6" t="s">
        <v>361</v>
      </c>
      <c r="C1927" s="6" t="s">
        <v>16594</v>
      </c>
      <c r="D1927" s="6" t="s">
        <v>343</v>
      </c>
      <c r="E1927" s="6" t="s">
        <v>16595</v>
      </c>
      <c r="F1927" s="6" t="s">
        <v>4611</v>
      </c>
      <c r="G1927" s="3" t="s">
        <v>11449</v>
      </c>
      <c r="H1927" s="54">
        <v>0.5</v>
      </c>
      <c r="I1927" s="16">
        <v>470000000</v>
      </c>
      <c r="J1927" s="56" t="s">
        <v>229</v>
      </c>
      <c r="K1927" s="6" t="s">
        <v>516</v>
      </c>
      <c r="L1927" s="16" t="s">
        <v>4567</v>
      </c>
      <c r="M1927" s="162" t="s">
        <v>230</v>
      </c>
      <c r="N1927" s="15" t="s">
        <v>523</v>
      </c>
      <c r="O1927" s="6" t="s">
        <v>4568</v>
      </c>
      <c r="P1927" s="58" t="s">
        <v>235</v>
      </c>
      <c r="Q1927" s="6" t="s">
        <v>236</v>
      </c>
      <c r="R1927" s="1">
        <v>0.3</v>
      </c>
      <c r="S1927" s="74">
        <v>5032816</v>
      </c>
      <c r="T1927" s="4">
        <v>0</v>
      </c>
      <c r="U1927" s="4">
        <f t="shared" si="61"/>
        <v>0</v>
      </c>
      <c r="V1927" s="3" t="s">
        <v>362</v>
      </c>
      <c r="W1927" s="3">
        <v>2014</v>
      </c>
      <c r="X1927" s="3">
        <v>11.12</v>
      </c>
    </row>
    <row r="1928" spans="1:24" ht="89.25">
      <c r="A1928" s="3" t="s">
        <v>13998</v>
      </c>
      <c r="B1928" s="6" t="s">
        <v>361</v>
      </c>
      <c r="C1928" s="6" t="s">
        <v>16594</v>
      </c>
      <c r="D1928" s="6" t="s">
        <v>343</v>
      </c>
      <c r="E1928" s="6" t="s">
        <v>16595</v>
      </c>
      <c r="F1928" s="6" t="s">
        <v>4611</v>
      </c>
      <c r="G1928" s="3" t="s">
        <v>11449</v>
      </c>
      <c r="H1928" s="54">
        <v>0.5</v>
      </c>
      <c r="I1928" s="16">
        <v>470000000</v>
      </c>
      <c r="J1928" s="56" t="s">
        <v>229</v>
      </c>
      <c r="K1928" s="6" t="s">
        <v>12367</v>
      </c>
      <c r="L1928" s="17" t="s">
        <v>11411</v>
      </c>
      <c r="M1928" s="162" t="s">
        <v>230</v>
      </c>
      <c r="N1928" s="15" t="s">
        <v>523</v>
      </c>
      <c r="O1928" s="6" t="s">
        <v>4568</v>
      </c>
      <c r="P1928" s="58" t="s">
        <v>235</v>
      </c>
      <c r="Q1928" s="6" t="s">
        <v>236</v>
      </c>
      <c r="R1928" s="1">
        <v>0.3</v>
      </c>
      <c r="S1928" s="74">
        <v>5032816</v>
      </c>
      <c r="T1928" s="4">
        <v>0</v>
      </c>
      <c r="U1928" s="4">
        <f t="shared" si="61"/>
        <v>0</v>
      </c>
      <c r="V1928" s="3" t="s">
        <v>362</v>
      </c>
      <c r="W1928" s="3">
        <v>2014</v>
      </c>
      <c r="X1928" s="3">
        <v>11</v>
      </c>
    </row>
    <row r="1929" spans="1:24" ht="89.25">
      <c r="A1929" s="3" t="s">
        <v>14895</v>
      </c>
      <c r="B1929" s="6" t="s">
        <v>361</v>
      </c>
      <c r="C1929" s="6" t="s">
        <v>16594</v>
      </c>
      <c r="D1929" s="6" t="s">
        <v>343</v>
      </c>
      <c r="E1929" s="6" t="s">
        <v>16595</v>
      </c>
      <c r="F1929" s="6" t="s">
        <v>4611</v>
      </c>
      <c r="G1929" s="3" t="s">
        <v>11449</v>
      </c>
      <c r="H1929" s="54">
        <v>0.5</v>
      </c>
      <c r="I1929" s="16">
        <v>470000000</v>
      </c>
      <c r="J1929" s="56" t="s">
        <v>229</v>
      </c>
      <c r="K1929" s="6" t="s">
        <v>220</v>
      </c>
      <c r="L1929" s="17" t="s">
        <v>11411</v>
      </c>
      <c r="M1929" s="162" t="s">
        <v>230</v>
      </c>
      <c r="N1929" s="15" t="s">
        <v>523</v>
      </c>
      <c r="O1929" s="6" t="s">
        <v>4568</v>
      </c>
      <c r="P1929" s="58" t="s">
        <v>235</v>
      </c>
      <c r="Q1929" s="6" t="s">
        <v>236</v>
      </c>
      <c r="R1929" s="1">
        <v>0</v>
      </c>
      <c r="S1929" s="74">
        <v>5032816</v>
      </c>
      <c r="T1929" s="4">
        <f>R1929*S1929</f>
        <v>0</v>
      </c>
      <c r="U1929" s="4">
        <f t="shared" si="61"/>
        <v>0</v>
      </c>
      <c r="V1929" s="3" t="s">
        <v>362</v>
      </c>
      <c r="W1929" s="3">
        <v>2014</v>
      </c>
      <c r="X1929" s="3" t="s">
        <v>12076</v>
      </c>
    </row>
    <row r="1930" spans="1:24" ht="89.25">
      <c r="A1930" s="3" t="s">
        <v>1304</v>
      </c>
      <c r="B1930" s="6" t="s">
        <v>361</v>
      </c>
      <c r="C1930" s="6" t="s">
        <v>16590</v>
      </c>
      <c r="D1930" s="6" t="s">
        <v>343</v>
      </c>
      <c r="E1930" s="6" t="s">
        <v>16591</v>
      </c>
      <c r="F1930" s="6" t="s">
        <v>4612</v>
      </c>
      <c r="G1930" s="3" t="s">
        <v>11449</v>
      </c>
      <c r="H1930" s="54">
        <v>0.5</v>
      </c>
      <c r="I1930" s="55">
        <v>470000000</v>
      </c>
      <c r="J1930" s="56" t="s">
        <v>229</v>
      </c>
      <c r="K1930" s="6" t="s">
        <v>516</v>
      </c>
      <c r="L1930" s="16" t="s">
        <v>4570</v>
      </c>
      <c r="M1930" s="162" t="s">
        <v>230</v>
      </c>
      <c r="N1930" s="15" t="s">
        <v>523</v>
      </c>
      <c r="O1930" s="6" t="s">
        <v>4568</v>
      </c>
      <c r="P1930" s="58" t="s">
        <v>235</v>
      </c>
      <c r="Q1930" s="6" t="s">
        <v>236</v>
      </c>
      <c r="R1930" s="3">
        <v>0.4</v>
      </c>
      <c r="S1930" s="1">
        <v>7370307</v>
      </c>
      <c r="T1930" s="4">
        <v>0</v>
      </c>
      <c r="U1930" s="4">
        <f t="shared" si="61"/>
        <v>0</v>
      </c>
      <c r="V1930" s="166" t="s">
        <v>362</v>
      </c>
      <c r="W1930" s="3">
        <v>2014</v>
      </c>
      <c r="X1930" s="3">
        <v>11.12</v>
      </c>
    </row>
    <row r="1931" spans="1:24" ht="89.25">
      <c r="A1931" s="3" t="s">
        <v>13999</v>
      </c>
      <c r="B1931" s="6" t="s">
        <v>361</v>
      </c>
      <c r="C1931" s="6" t="s">
        <v>16590</v>
      </c>
      <c r="D1931" s="6" t="s">
        <v>343</v>
      </c>
      <c r="E1931" s="6" t="s">
        <v>16591</v>
      </c>
      <c r="F1931" s="6" t="s">
        <v>4612</v>
      </c>
      <c r="G1931" s="3" t="s">
        <v>11449</v>
      </c>
      <c r="H1931" s="54">
        <v>0.5</v>
      </c>
      <c r="I1931" s="55">
        <v>470000000</v>
      </c>
      <c r="J1931" s="56" t="s">
        <v>229</v>
      </c>
      <c r="K1931" s="6" t="s">
        <v>12367</v>
      </c>
      <c r="L1931" s="17" t="s">
        <v>11411</v>
      </c>
      <c r="M1931" s="162" t="s">
        <v>230</v>
      </c>
      <c r="N1931" s="15" t="s">
        <v>523</v>
      </c>
      <c r="O1931" s="6" t="s">
        <v>4568</v>
      </c>
      <c r="P1931" s="58" t="s">
        <v>235</v>
      </c>
      <c r="Q1931" s="6" t="s">
        <v>236</v>
      </c>
      <c r="R1931" s="3">
        <v>0.4</v>
      </c>
      <c r="S1931" s="1">
        <v>7370307</v>
      </c>
      <c r="T1931" s="4">
        <v>0</v>
      </c>
      <c r="U1931" s="4">
        <f t="shared" si="61"/>
        <v>0</v>
      </c>
      <c r="V1931" s="166" t="s">
        <v>362</v>
      </c>
      <c r="W1931" s="3">
        <v>2014</v>
      </c>
      <c r="X1931" s="3">
        <v>11</v>
      </c>
    </row>
    <row r="1932" spans="1:24" ht="89.25">
      <c r="A1932" s="3" t="s">
        <v>14896</v>
      </c>
      <c r="B1932" s="6" t="s">
        <v>361</v>
      </c>
      <c r="C1932" s="6" t="s">
        <v>16590</v>
      </c>
      <c r="D1932" s="6" t="s">
        <v>343</v>
      </c>
      <c r="E1932" s="6" t="s">
        <v>16591</v>
      </c>
      <c r="F1932" s="6" t="s">
        <v>4612</v>
      </c>
      <c r="G1932" s="3" t="s">
        <v>11449</v>
      </c>
      <c r="H1932" s="54">
        <v>0.5</v>
      </c>
      <c r="I1932" s="55">
        <v>470000000</v>
      </c>
      <c r="J1932" s="56" t="s">
        <v>229</v>
      </c>
      <c r="K1932" s="6" t="s">
        <v>220</v>
      </c>
      <c r="L1932" s="17" t="s">
        <v>11411</v>
      </c>
      <c r="M1932" s="162" t="s">
        <v>230</v>
      </c>
      <c r="N1932" s="15" t="s">
        <v>523</v>
      </c>
      <c r="O1932" s="6" t="s">
        <v>4568</v>
      </c>
      <c r="P1932" s="58" t="s">
        <v>235</v>
      </c>
      <c r="Q1932" s="6" t="s">
        <v>236</v>
      </c>
      <c r="R1932" s="3">
        <v>0.4</v>
      </c>
      <c r="S1932" s="1">
        <v>7370307</v>
      </c>
      <c r="T1932" s="4">
        <v>0</v>
      </c>
      <c r="U1932" s="4">
        <f t="shared" si="61"/>
        <v>0</v>
      </c>
      <c r="V1932" s="166" t="s">
        <v>362</v>
      </c>
      <c r="W1932" s="3">
        <v>2014</v>
      </c>
      <c r="X1932" s="3">
        <v>11.14</v>
      </c>
    </row>
    <row r="1933" spans="1:24" ht="89.25">
      <c r="A1933" s="3" t="s">
        <v>17513</v>
      </c>
      <c r="B1933" s="6" t="s">
        <v>361</v>
      </c>
      <c r="C1933" s="6" t="s">
        <v>16590</v>
      </c>
      <c r="D1933" s="6" t="s">
        <v>343</v>
      </c>
      <c r="E1933" s="6" t="s">
        <v>16591</v>
      </c>
      <c r="F1933" s="6" t="s">
        <v>4612</v>
      </c>
      <c r="G1933" s="3" t="s">
        <v>11449</v>
      </c>
      <c r="H1933" s="54">
        <v>0.5</v>
      </c>
      <c r="I1933" s="55">
        <v>470000000</v>
      </c>
      <c r="J1933" s="56" t="s">
        <v>229</v>
      </c>
      <c r="K1933" s="6" t="s">
        <v>222</v>
      </c>
      <c r="L1933" s="17" t="s">
        <v>11411</v>
      </c>
      <c r="M1933" s="162" t="s">
        <v>230</v>
      </c>
      <c r="N1933" s="15" t="s">
        <v>8914</v>
      </c>
      <c r="O1933" s="6" t="s">
        <v>4568</v>
      </c>
      <c r="P1933" s="58" t="s">
        <v>235</v>
      </c>
      <c r="Q1933" s="6" t="s">
        <v>236</v>
      </c>
      <c r="R1933" s="3">
        <v>0.4</v>
      </c>
      <c r="S1933" s="1">
        <v>7370307</v>
      </c>
      <c r="T1933" s="4">
        <f>R1933*S1933</f>
        <v>2948122.8000000003</v>
      </c>
      <c r="U1933" s="4">
        <f t="shared" si="61"/>
        <v>3301897.5360000008</v>
      </c>
      <c r="V1933" s="166" t="s">
        <v>362</v>
      </c>
      <c r="W1933" s="3">
        <v>2014</v>
      </c>
      <c r="X1933" s="3"/>
    </row>
    <row r="1934" spans="1:24" ht="89.25">
      <c r="A1934" s="3" t="s">
        <v>1305</v>
      </c>
      <c r="B1934" s="6" t="s">
        <v>361</v>
      </c>
      <c r="C1934" s="6" t="s">
        <v>4248</v>
      </c>
      <c r="D1934" s="97" t="s">
        <v>343</v>
      </c>
      <c r="E1934" s="3" t="s">
        <v>4249</v>
      </c>
      <c r="F1934" s="6" t="s">
        <v>4613</v>
      </c>
      <c r="G1934" s="3" t="s">
        <v>11449</v>
      </c>
      <c r="H1934" s="54">
        <v>0.75</v>
      </c>
      <c r="I1934" s="16">
        <v>470000000</v>
      </c>
      <c r="J1934" s="56" t="s">
        <v>229</v>
      </c>
      <c r="K1934" s="6" t="s">
        <v>516</v>
      </c>
      <c r="L1934" s="16" t="s">
        <v>4567</v>
      </c>
      <c r="M1934" s="162" t="s">
        <v>230</v>
      </c>
      <c r="N1934" s="15" t="s">
        <v>523</v>
      </c>
      <c r="O1934" s="6" t="s">
        <v>4568</v>
      </c>
      <c r="P1934" s="58" t="s">
        <v>235</v>
      </c>
      <c r="Q1934" s="6" t="s">
        <v>236</v>
      </c>
      <c r="R1934" s="1">
        <v>0.5</v>
      </c>
      <c r="S1934" s="74">
        <v>228675</v>
      </c>
      <c r="T1934" s="4">
        <v>0</v>
      </c>
      <c r="U1934" s="4">
        <f t="shared" si="61"/>
        <v>0</v>
      </c>
      <c r="V1934" s="3" t="s">
        <v>362</v>
      </c>
      <c r="W1934" s="3">
        <v>2014</v>
      </c>
      <c r="X1934" s="3">
        <v>11.12</v>
      </c>
    </row>
    <row r="1935" spans="1:24" ht="89.25">
      <c r="A1935" s="3" t="s">
        <v>14000</v>
      </c>
      <c r="B1935" s="6" t="s">
        <v>361</v>
      </c>
      <c r="C1935" s="6" t="s">
        <v>4248</v>
      </c>
      <c r="D1935" s="97" t="s">
        <v>343</v>
      </c>
      <c r="E1935" s="3" t="s">
        <v>4249</v>
      </c>
      <c r="F1935" s="6" t="s">
        <v>4613</v>
      </c>
      <c r="G1935" s="3" t="s">
        <v>11449</v>
      </c>
      <c r="H1935" s="54">
        <v>0.75</v>
      </c>
      <c r="I1935" s="16">
        <v>470000000</v>
      </c>
      <c r="J1935" s="56" t="s">
        <v>229</v>
      </c>
      <c r="K1935" s="6" t="s">
        <v>12367</v>
      </c>
      <c r="L1935" s="17" t="s">
        <v>11411</v>
      </c>
      <c r="M1935" s="162" t="s">
        <v>230</v>
      </c>
      <c r="N1935" s="15" t="s">
        <v>523</v>
      </c>
      <c r="O1935" s="6" t="s">
        <v>4568</v>
      </c>
      <c r="P1935" s="58" t="s">
        <v>235</v>
      </c>
      <c r="Q1935" s="6" t="s">
        <v>236</v>
      </c>
      <c r="R1935" s="1">
        <v>0</v>
      </c>
      <c r="S1935" s="74">
        <v>228675</v>
      </c>
      <c r="T1935" s="4">
        <f>R1935*S1935</f>
        <v>0</v>
      </c>
      <c r="U1935" s="4">
        <f t="shared" si="61"/>
        <v>0</v>
      </c>
      <c r="V1935" s="3" t="s">
        <v>362</v>
      </c>
      <c r="W1935" s="3">
        <v>2014</v>
      </c>
      <c r="X1935" s="3" t="s">
        <v>12076</v>
      </c>
    </row>
    <row r="1936" spans="1:24" ht="89.25">
      <c r="A1936" s="3" t="s">
        <v>1306</v>
      </c>
      <c r="B1936" s="6" t="s">
        <v>361</v>
      </c>
      <c r="C1936" s="6" t="s">
        <v>4250</v>
      </c>
      <c r="D1936" s="97" t="s">
        <v>343</v>
      </c>
      <c r="E1936" s="3" t="s">
        <v>11454</v>
      </c>
      <c r="F1936" s="76" t="s">
        <v>4614</v>
      </c>
      <c r="G1936" s="3" t="s">
        <v>11449</v>
      </c>
      <c r="H1936" s="54">
        <v>0.75</v>
      </c>
      <c r="I1936" s="55">
        <v>470000000</v>
      </c>
      <c r="J1936" s="56" t="s">
        <v>229</v>
      </c>
      <c r="K1936" s="6" t="s">
        <v>516</v>
      </c>
      <c r="L1936" s="16" t="s">
        <v>4570</v>
      </c>
      <c r="M1936" s="162" t="s">
        <v>230</v>
      </c>
      <c r="N1936" s="15" t="s">
        <v>523</v>
      </c>
      <c r="O1936" s="6" t="s">
        <v>4568</v>
      </c>
      <c r="P1936" s="58" t="s">
        <v>235</v>
      </c>
      <c r="Q1936" s="6" t="s">
        <v>236</v>
      </c>
      <c r="R1936" s="3">
        <v>0.64</v>
      </c>
      <c r="S1936" s="1">
        <v>718500</v>
      </c>
      <c r="T1936" s="4">
        <v>0</v>
      </c>
      <c r="U1936" s="4">
        <f t="shared" si="61"/>
        <v>0</v>
      </c>
      <c r="V1936" s="166" t="s">
        <v>362</v>
      </c>
      <c r="W1936" s="3">
        <v>2014</v>
      </c>
      <c r="X1936" s="3">
        <v>11.12</v>
      </c>
    </row>
    <row r="1937" spans="1:24" ht="89.25">
      <c r="A1937" s="3" t="s">
        <v>14001</v>
      </c>
      <c r="B1937" s="6" t="s">
        <v>361</v>
      </c>
      <c r="C1937" s="6" t="s">
        <v>4250</v>
      </c>
      <c r="D1937" s="97" t="s">
        <v>343</v>
      </c>
      <c r="E1937" s="3" t="s">
        <v>11454</v>
      </c>
      <c r="F1937" s="76" t="s">
        <v>4614</v>
      </c>
      <c r="G1937" s="3" t="s">
        <v>11449</v>
      </c>
      <c r="H1937" s="54">
        <v>0.75</v>
      </c>
      <c r="I1937" s="55">
        <v>470000000</v>
      </c>
      <c r="J1937" s="56" t="s">
        <v>229</v>
      </c>
      <c r="K1937" s="6" t="s">
        <v>12367</v>
      </c>
      <c r="L1937" s="17" t="s">
        <v>11411</v>
      </c>
      <c r="M1937" s="162" t="s">
        <v>230</v>
      </c>
      <c r="N1937" s="15" t="s">
        <v>523</v>
      </c>
      <c r="O1937" s="6" t="s">
        <v>4568</v>
      </c>
      <c r="P1937" s="58" t="s">
        <v>235</v>
      </c>
      <c r="Q1937" s="6" t="s">
        <v>236</v>
      </c>
      <c r="R1937" s="3">
        <v>0.64</v>
      </c>
      <c r="S1937" s="1">
        <v>718500</v>
      </c>
      <c r="T1937" s="4">
        <v>0</v>
      </c>
      <c r="U1937" s="4">
        <f t="shared" si="61"/>
        <v>0</v>
      </c>
      <c r="V1937" s="166" t="s">
        <v>362</v>
      </c>
      <c r="W1937" s="3">
        <v>2014</v>
      </c>
      <c r="X1937" s="3" t="s">
        <v>14780</v>
      </c>
    </row>
    <row r="1938" spans="1:24" ht="89.25">
      <c r="A1938" s="3" t="s">
        <v>14897</v>
      </c>
      <c r="B1938" s="6" t="s">
        <v>361</v>
      </c>
      <c r="C1938" s="6" t="s">
        <v>4250</v>
      </c>
      <c r="D1938" s="97" t="s">
        <v>343</v>
      </c>
      <c r="E1938" s="3" t="s">
        <v>11454</v>
      </c>
      <c r="F1938" s="76" t="s">
        <v>4614</v>
      </c>
      <c r="G1938" s="3" t="s">
        <v>11449</v>
      </c>
      <c r="H1938" s="54">
        <v>0.75</v>
      </c>
      <c r="I1938" s="55">
        <v>470000000</v>
      </c>
      <c r="J1938" s="56" t="s">
        <v>229</v>
      </c>
      <c r="K1938" s="6" t="s">
        <v>222</v>
      </c>
      <c r="L1938" s="17" t="s">
        <v>11411</v>
      </c>
      <c r="M1938" s="162" t="s">
        <v>230</v>
      </c>
      <c r="N1938" s="15" t="s">
        <v>523</v>
      </c>
      <c r="O1938" s="6" t="s">
        <v>4568</v>
      </c>
      <c r="P1938" s="58" t="s">
        <v>235</v>
      </c>
      <c r="Q1938" s="6" t="s">
        <v>236</v>
      </c>
      <c r="R1938" s="3">
        <v>0.39</v>
      </c>
      <c r="S1938" s="1">
        <v>718500</v>
      </c>
      <c r="T1938" s="4">
        <v>0</v>
      </c>
      <c r="U1938" s="4">
        <f t="shared" si="61"/>
        <v>0</v>
      </c>
      <c r="V1938" s="166" t="s">
        <v>362</v>
      </c>
      <c r="W1938" s="3">
        <v>2014</v>
      </c>
      <c r="X1938" s="3">
        <v>14</v>
      </c>
    </row>
    <row r="1939" spans="1:24" ht="89.25">
      <c r="A1939" s="3" t="s">
        <v>17514</v>
      </c>
      <c r="B1939" s="6" t="s">
        <v>361</v>
      </c>
      <c r="C1939" s="6" t="s">
        <v>4250</v>
      </c>
      <c r="D1939" s="97" t="s">
        <v>343</v>
      </c>
      <c r="E1939" s="3" t="s">
        <v>11454</v>
      </c>
      <c r="F1939" s="76" t="s">
        <v>4614</v>
      </c>
      <c r="G1939" s="3" t="s">
        <v>11449</v>
      </c>
      <c r="H1939" s="54">
        <v>0.75</v>
      </c>
      <c r="I1939" s="55">
        <v>470000000</v>
      </c>
      <c r="J1939" s="56" t="s">
        <v>229</v>
      </c>
      <c r="K1939" s="6" t="s">
        <v>222</v>
      </c>
      <c r="L1939" s="17" t="s">
        <v>11411</v>
      </c>
      <c r="M1939" s="162" t="s">
        <v>230</v>
      </c>
      <c r="N1939" s="15" t="s">
        <v>8914</v>
      </c>
      <c r="O1939" s="6" t="s">
        <v>4568</v>
      </c>
      <c r="P1939" s="58" t="s">
        <v>235</v>
      </c>
      <c r="Q1939" s="6" t="s">
        <v>236</v>
      </c>
      <c r="R1939" s="3">
        <v>0.39</v>
      </c>
      <c r="S1939" s="1">
        <v>718500</v>
      </c>
      <c r="T1939" s="4">
        <v>0</v>
      </c>
      <c r="U1939" s="4">
        <f t="shared" si="61"/>
        <v>0</v>
      </c>
      <c r="V1939" s="166" t="s">
        <v>362</v>
      </c>
      <c r="W1939" s="3">
        <v>2014</v>
      </c>
      <c r="X1939" s="3" t="s">
        <v>12076</v>
      </c>
    </row>
    <row r="1940" spans="1:24" ht="89.25">
      <c r="A1940" s="3" t="s">
        <v>1307</v>
      </c>
      <c r="B1940" s="6" t="s">
        <v>361</v>
      </c>
      <c r="C1940" s="6" t="s">
        <v>4251</v>
      </c>
      <c r="D1940" s="97" t="s">
        <v>343</v>
      </c>
      <c r="E1940" s="3" t="s">
        <v>11455</v>
      </c>
      <c r="F1940" s="76" t="s">
        <v>4615</v>
      </c>
      <c r="G1940" s="3" t="s">
        <v>11449</v>
      </c>
      <c r="H1940" s="54">
        <v>0.75</v>
      </c>
      <c r="I1940" s="16">
        <v>470000000</v>
      </c>
      <c r="J1940" s="56" t="s">
        <v>229</v>
      </c>
      <c r="K1940" s="6" t="s">
        <v>516</v>
      </c>
      <c r="L1940" s="16" t="s">
        <v>4567</v>
      </c>
      <c r="M1940" s="162" t="s">
        <v>230</v>
      </c>
      <c r="N1940" s="15" t="s">
        <v>523</v>
      </c>
      <c r="O1940" s="6" t="s">
        <v>4568</v>
      </c>
      <c r="P1940" s="58" t="s">
        <v>235</v>
      </c>
      <c r="Q1940" s="6" t="s">
        <v>236</v>
      </c>
      <c r="R1940" s="1">
        <v>1.4</v>
      </c>
      <c r="S1940" s="74">
        <v>3192500</v>
      </c>
      <c r="T1940" s="4">
        <v>0</v>
      </c>
      <c r="U1940" s="4">
        <f t="shared" si="61"/>
        <v>0</v>
      </c>
      <c r="V1940" s="3" t="s">
        <v>362</v>
      </c>
      <c r="W1940" s="3">
        <v>2014</v>
      </c>
      <c r="X1940" s="3">
        <v>11.12</v>
      </c>
    </row>
    <row r="1941" spans="1:24" ht="89.25">
      <c r="A1941" s="3" t="s">
        <v>14002</v>
      </c>
      <c r="B1941" s="6" t="s">
        <v>361</v>
      </c>
      <c r="C1941" s="6" t="s">
        <v>4251</v>
      </c>
      <c r="D1941" s="97" t="s">
        <v>343</v>
      </c>
      <c r="E1941" s="3" t="s">
        <v>11455</v>
      </c>
      <c r="F1941" s="76" t="s">
        <v>4615</v>
      </c>
      <c r="G1941" s="3" t="s">
        <v>11449</v>
      </c>
      <c r="H1941" s="54">
        <v>0.75</v>
      </c>
      <c r="I1941" s="16">
        <v>470000000</v>
      </c>
      <c r="J1941" s="56" t="s">
        <v>229</v>
      </c>
      <c r="K1941" s="6" t="s">
        <v>12367</v>
      </c>
      <c r="L1941" s="17" t="s">
        <v>11411</v>
      </c>
      <c r="M1941" s="162" t="s">
        <v>230</v>
      </c>
      <c r="N1941" s="15" t="s">
        <v>523</v>
      </c>
      <c r="O1941" s="6" t="s">
        <v>4568</v>
      </c>
      <c r="P1941" s="58" t="s">
        <v>235</v>
      </c>
      <c r="Q1941" s="6" t="s">
        <v>236</v>
      </c>
      <c r="R1941" s="1">
        <v>1.4</v>
      </c>
      <c r="S1941" s="74">
        <v>3192500</v>
      </c>
      <c r="T1941" s="4">
        <v>0</v>
      </c>
      <c r="U1941" s="4">
        <f t="shared" si="61"/>
        <v>0</v>
      </c>
      <c r="V1941" s="3" t="s">
        <v>362</v>
      </c>
      <c r="W1941" s="3">
        <v>2014</v>
      </c>
      <c r="X1941" s="3" t="s">
        <v>14780</v>
      </c>
    </row>
    <row r="1942" spans="1:24" ht="89.25">
      <c r="A1942" s="3" t="s">
        <v>14898</v>
      </c>
      <c r="B1942" s="6" t="s">
        <v>361</v>
      </c>
      <c r="C1942" s="6" t="s">
        <v>4251</v>
      </c>
      <c r="D1942" s="97" t="s">
        <v>343</v>
      </c>
      <c r="E1942" s="3" t="s">
        <v>11455</v>
      </c>
      <c r="F1942" s="76" t="s">
        <v>4615</v>
      </c>
      <c r="G1942" s="3" t="s">
        <v>11449</v>
      </c>
      <c r="H1942" s="54">
        <v>0.75</v>
      </c>
      <c r="I1942" s="16">
        <v>470000000</v>
      </c>
      <c r="J1942" s="56" t="s">
        <v>229</v>
      </c>
      <c r="K1942" s="6" t="s">
        <v>222</v>
      </c>
      <c r="L1942" s="17" t="s">
        <v>11411</v>
      </c>
      <c r="M1942" s="162" t="s">
        <v>230</v>
      </c>
      <c r="N1942" s="15" t="s">
        <v>523</v>
      </c>
      <c r="O1942" s="6" t="s">
        <v>4568</v>
      </c>
      <c r="P1942" s="58" t="s">
        <v>235</v>
      </c>
      <c r="Q1942" s="6" t="s">
        <v>236</v>
      </c>
      <c r="R1942" s="1">
        <v>0</v>
      </c>
      <c r="S1942" s="74">
        <v>3192500</v>
      </c>
      <c r="T1942" s="4">
        <f>R1942*S1942</f>
        <v>0</v>
      </c>
      <c r="U1942" s="4">
        <f t="shared" si="61"/>
        <v>0</v>
      </c>
      <c r="V1942" s="3" t="s">
        <v>362</v>
      </c>
      <c r="W1942" s="3">
        <v>2014</v>
      </c>
      <c r="X1942" s="3" t="s">
        <v>12076</v>
      </c>
    </row>
    <row r="1943" spans="1:24" ht="89.25">
      <c r="A1943" s="3" t="s">
        <v>1308</v>
      </c>
      <c r="B1943" s="6" t="s">
        <v>361</v>
      </c>
      <c r="C1943" s="6" t="s">
        <v>4252</v>
      </c>
      <c r="D1943" s="97" t="s">
        <v>343</v>
      </c>
      <c r="E1943" s="3" t="s">
        <v>11456</v>
      </c>
      <c r="F1943" s="49" t="s">
        <v>4616</v>
      </c>
      <c r="G1943" s="3" t="s">
        <v>11449</v>
      </c>
      <c r="H1943" s="54">
        <v>0.75</v>
      </c>
      <c r="I1943" s="55">
        <v>470000000</v>
      </c>
      <c r="J1943" s="56" t="s">
        <v>229</v>
      </c>
      <c r="K1943" s="6" t="s">
        <v>516</v>
      </c>
      <c r="L1943" s="16" t="s">
        <v>4570</v>
      </c>
      <c r="M1943" s="162" t="s">
        <v>230</v>
      </c>
      <c r="N1943" s="15" t="s">
        <v>523</v>
      </c>
      <c r="O1943" s="6" t="s">
        <v>4568</v>
      </c>
      <c r="P1943" s="58" t="s">
        <v>235</v>
      </c>
      <c r="Q1943" s="6" t="s">
        <v>236</v>
      </c>
      <c r="R1943" s="3">
        <v>0.3</v>
      </c>
      <c r="S1943" s="1">
        <v>9658000</v>
      </c>
      <c r="T1943" s="4">
        <v>0</v>
      </c>
      <c r="U1943" s="4">
        <f t="shared" si="61"/>
        <v>0</v>
      </c>
      <c r="V1943" s="166" t="s">
        <v>362</v>
      </c>
      <c r="W1943" s="3">
        <v>2014</v>
      </c>
      <c r="X1943" s="3">
        <v>11.12</v>
      </c>
    </row>
    <row r="1944" spans="1:24" ht="89.25">
      <c r="A1944" s="3" t="s">
        <v>14003</v>
      </c>
      <c r="B1944" s="6" t="s">
        <v>361</v>
      </c>
      <c r="C1944" s="6" t="s">
        <v>4252</v>
      </c>
      <c r="D1944" s="97" t="s">
        <v>343</v>
      </c>
      <c r="E1944" s="3" t="s">
        <v>11456</v>
      </c>
      <c r="F1944" s="49" t="s">
        <v>4616</v>
      </c>
      <c r="G1944" s="3" t="s">
        <v>11449</v>
      </c>
      <c r="H1944" s="54">
        <v>0.75</v>
      </c>
      <c r="I1944" s="55">
        <v>470000000</v>
      </c>
      <c r="J1944" s="56" t="s">
        <v>229</v>
      </c>
      <c r="K1944" s="6" t="s">
        <v>12367</v>
      </c>
      <c r="L1944" s="17" t="s">
        <v>11411</v>
      </c>
      <c r="M1944" s="162" t="s">
        <v>230</v>
      </c>
      <c r="N1944" s="15" t="s">
        <v>523</v>
      </c>
      <c r="O1944" s="6" t="s">
        <v>4568</v>
      </c>
      <c r="P1944" s="58" t="s">
        <v>235</v>
      </c>
      <c r="Q1944" s="6" t="s">
        <v>236</v>
      </c>
      <c r="R1944" s="3">
        <v>0.3</v>
      </c>
      <c r="S1944" s="1">
        <v>9658000</v>
      </c>
      <c r="T1944" s="4">
        <v>0</v>
      </c>
      <c r="U1944" s="4">
        <f t="shared" si="61"/>
        <v>0</v>
      </c>
      <c r="V1944" s="166" t="s">
        <v>362</v>
      </c>
      <c r="W1944" s="3">
        <v>2014</v>
      </c>
      <c r="X1944" s="3">
        <v>11</v>
      </c>
    </row>
    <row r="1945" spans="1:24" ht="89.25">
      <c r="A1945" s="3" t="s">
        <v>14899</v>
      </c>
      <c r="B1945" s="6" t="s">
        <v>361</v>
      </c>
      <c r="C1945" s="6" t="s">
        <v>4252</v>
      </c>
      <c r="D1945" s="97" t="s">
        <v>343</v>
      </c>
      <c r="E1945" s="3" t="s">
        <v>11456</v>
      </c>
      <c r="F1945" s="49" t="s">
        <v>4616</v>
      </c>
      <c r="G1945" s="3" t="s">
        <v>11449</v>
      </c>
      <c r="H1945" s="54">
        <v>0.75</v>
      </c>
      <c r="I1945" s="55">
        <v>470000000</v>
      </c>
      <c r="J1945" s="56" t="s">
        <v>229</v>
      </c>
      <c r="K1945" s="6" t="s">
        <v>222</v>
      </c>
      <c r="L1945" s="17" t="s">
        <v>11411</v>
      </c>
      <c r="M1945" s="162" t="s">
        <v>230</v>
      </c>
      <c r="N1945" s="15" t="s">
        <v>523</v>
      </c>
      <c r="O1945" s="6" t="s">
        <v>4568</v>
      </c>
      <c r="P1945" s="58" t="s">
        <v>235</v>
      </c>
      <c r="Q1945" s="6" t="s">
        <v>236</v>
      </c>
      <c r="R1945" s="3">
        <v>0</v>
      </c>
      <c r="S1945" s="1">
        <v>9658000</v>
      </c>
      <c r="T1945" s="4">
        <f>R1945*S1945</f>
        <v>0</v>
      </c>
      <c r="U1945" s="4">
        <f t="shared" si="61"/>
        <v>0</v>
      </c>
      <c r="V1945" s="166" t="s">
        <v>362</v>
      </c>
      <c r="W1945" s="3">
        <v>2014</v>
      </c>
      <c r="X1945" s="3" t="s">
        <v>12076</v>
      </c>
    </row>
    <row r="1946" spans="1:24" ht="89.25">
      <c r="A1946" s="3" t="s">
        <v>1309</v>
      </c>
      <c r="B1946" s="6" t="s">
        <v>361</v>
      </c>
      <c r="C1946" s="6" t="s">
        <v>4253</v>
      </c>
      <c r="D1946" s="97" t="s">
        <v>343</v>
      </c>
      <c r="E1946" s="3" t="s">
        <v>4254</v>
      </c>
      <c r="F1946" s="42" t="s">
        <v>4254</v>
      </c>
      <c r="G1946" s="3" t="s">
        <v>11449</v>
      </c>
      <c r="H1946" s="54">
        <v>0.75</v>
      </c>
      <c r="I1946" s="16">
        <v>470000000</v>
      </c>
      <c r="J1946" s="56" t="s">
        <v>229</v>
      </c>
      <c r="K1946" s="6" t="s">
        <v>516</v>
      </c>
      <c r="L1946" s="16" t="s">
        <v>4567</v>
      </c>
      <c r="M1946" s="162" t="s">
        <v>230</v>
      </c>
      <c r="N1946" s="15" t="s">
        <v>523</v>
      </c>
      <c r="O1946" s="6" t="s">
        <v>4568</v>
      </c>
      <c r="P1946" s="58" t="s">
        <v>235</v>
      </c>
      <c r="Q1946" s="6" t="s">
        <v>236</v>
      </c>
      <c r="R1946" s="1">
        <v>0.35</v>
      </c>
      <c r="S1946" s="74">
        <v>101764</v>
      </c>
      <c r="T1946" s="4">
        <v>0</v>
      </c>
      <c r="U1946" s="4">
        <f t="shared" si="61"/>
        <v>0</v>
      </c>
      <c r="V1946" s="3" t="s">
        <v>362</v>
      </c>
      <c r="W1946" s="3">
        <v>2014</v>
      </c>
      <c r="X1946" s="3">
        <v>11.12</v>
      </c>
    </row>
    <row r="1947" spans="1:24" ht="89.25">
      <c r="A1947" s="3" t="s">
        <v>14004</v>
      </c>
      <c r="B1947" s="6" t="s">
        <v>361</v>
      </c>
      <c r="C1947" s="6" t="s">
        <v>4253</v>
      </c>
      <c r="D1947" s="97" t="s">
        <v>343</v>
      </c>
      <c r="E1947" s="3" t="s">
        <v>4254</v>
      </c>
      <c r="F1947" s="42" t="s">
        <v>4254</v>
      </c>
      <c r="G1947" s="3" t="s">
        <v>11449</v>
      </c>
      <c r="H1947" s="54">
        <v>0.75</v>
      </c>
      <c r="I1947" s="16">
        <v>470000000</v>
      </c>
      <c r="J1947" s="56" t="s">
        <v>229</v>
      </c>
      <c r="K1947" s="6" t="s">
        <v>12367</v>
      </c>
      <c r="L1947" s="17" t="s">
        <v>11411</v>
      </c>
      <c r="M1947" s="162" t="s">
        <v>230</v>
      </c>
      <c r="N1947" s="15" t="s">
        <v>523</v>
      </c>
      <c r="O1947" s="6" t="s">
        <v>4568</v>
      </c>
      <c r="P1947" s="58" t="s">
        <v>235</v>
      </c>
      <c r="Q1947" s="6" t="s">
        <v>236</v>
      </c>
      <c r="R1947" s="1">
        <v>0.35</v>
      </c>
      <c r="S1947" s="74">
        <v>101764</v>
      </c>
      <c r="T1947" s="4">
        <v>0</v>
      </c>
      <c r="U1947" s="4">
        <f t="shared" si="61"/>
        <v>0</v>
      </c>
      <c r="V1947" s="3" t="s">
        <v>362</v>
      </c>
      <c r="W1947" s="3">
        <v>2014</v>
      </c>
      <c r="X1947" s="3">
        <v>11</v>
      </c>
    </row>
    <row r="1948" spans="1:24" ht="89.25">
      <c r="A1948" s="3" t="s">
        <v>14900</v>
      </c>
      <c r="B1948" s="6" t="s">
        <v>361</v>
      </c>
      <c r="C1948" s="6" t="s">
        <v>4253</v>
      </c>
      <c r="D1948" s="97" t="s">
        <v>343</v>
      </c>
      <c r="E1948" s="3" t="s">
        <v>4254</v>
      </c>
      <c r="F1948" s="42" t="s">
        <v>4254</v>
      </c>
      <c r="G1948" s="3" t="s">
        <v>11449</v>
      </c>
      <c r="H1948" s="54">
        <v>0.75</v>
      </c>
      <c r="I1948" s="16">
        <v>470000000</v>
      </c>
      <c r="J1948" s="56" t="s">
        <v>229</v>
      </c>
      <c r="K1948" s="6" t="s">
        <v>222</v>
      </c>
      <c r="L1948" s="17" t="s">
        <v>11411</v>
      </c>
      <c r="M1948" s="162" t="s">
        <v>230</v>
      </c>
      <c r="N1948" s="15" t="s">
        <v>523</v>
      </c>
      <c r="O1948" s="6" t="s">
        <v>4568</v>
      </c>
      <c r="P1948" s="58" t="s">
        <v>235</v>
      </c>
      <c r="Q1948" s="6" t="s">
        <v>236</v>
      </c>
      <c r="R1948" s="1">
        <v>0</v>
      </c>
      <c r="S1948" s="74">
        <v>101764</v>
      </c>
      <c r="T1948" s="4">
        <f>R1948*S1948</f>
        <v>0</v>
      </c>
      <c r="U1948" s="4">
        <f t="shared" si="61"/>
        <v>0</v>
      </c>
      <c r="V1948" s="3" t="s">
        <v>362</v>
      </c>
      <c r="W1948" s="3">
        <v>2014</v>
      </c>
      <c r="X1948" s="3" t="s">
        <v>12076</v>
      </c>
    </row>
    <row r="1949" spans="1:24" ht="89.25">
      <c r="A1949" s="3" t="s">
        <v>1310</v>
      </c>
      <c r="B1949" s="6" t="s">
        <v>361</v>
      </c>
      <c r="C1949" s="6" t="s">
        <v>4255</v>
      </c>
      <c r="D1949" s="97" t="s">
        <v>343</v>
      </c>
      <c r="E1949" s="3" t="s">
        <v>11457</v>
      </c>
      <c r="F1949" s="76" t="s">
        <v>341</v>
      </c>
      <c r="G1949" s="3" t="s">
        <v>11449</v>
      </c>
      <c r="H1949" s="54">
        <v>0.75</v>
      </c>
      <c r="I1949" s="55">
        <v>470000000</v>
      </c>
      <c r="J1949" s="56" t="s">
        <v>229</v>
      </c>
      <c r="K1949" s="6" t="s">
        <v>516</v>
      </c>
      <c r="L1949" s="16" t="s">
        <v>4570</v>
      </c>
      <c r="M1949" s="162" t="s">
        <v>230</v>
      </c>
      <c r="N1949" s="15" t="s">
        <v>523</v>
      </c>
      <c r="O1949" s="6" t="s">
        <v>4568</v>
      </c>
      <c r="P1949" s="58" t="s">
        <v>235</v>
      </c>
      <c r="Q1949" s="6" t="s">
        <v>236</v>
      </c>
      <c r="R1949" s="3">
        <v>4.3</v>
      </c>
      <c r="S1949" s="1">
        <v>103764</v>
      </c>
      <c r="T1949" s="4">
        <v>0</v>
      </c>
      <c r="U1949" s="4">
        <f t="shared" si="61"/>
        <v>0</v>
      </c>
      <c r="V1949" s="166" t="s">
        <v>362</v>
      </c>
      <c r="W1949" s="3">
        <v>2014</v>
      </c>
      <c r="X1949" s="3">
        <v>11.12</v>
      </c>
    </row>
    <row r="1950" spans="1:24" ht="89.25">
      <c r="A1950" s="3" t="s">
        <v>14005</v>
      </c>
      <c r="B1950" s="6" t="s">
        <v>361</v>
      </c>
      <c r="C1950" s="6" t="s">
        <v>4255</v>
      </c>
      <c r="D1950" s="97" t="s">
        <v>343</v>
      </c>
      <c r="E1950" s="3" t="s">
        <v>11457</v>
      </c>
      <c r="F1950" s="76" t="s">
        <v>341</v>
      </c>
      <c r="G1950" s="3" t="s">
        <v>11449</v>
      </c>
      <c r="H1950" s="54">
        <v>0.75</v>
      </c>
      <c r="I1950" s="55">
        <v>470000000</v>
      </c>
      <c r="J1950" s="56" t="s">
        <v>229</v>
      </c>
      <c r="K1950" s="6" t="s">
        <v>12367</v>
      </c>
      <c r="L1950" s="17" t="s">
        <v>11411</v>
      </c>
      <c r="M1950" s="162" t="s">
        <v>230</v>
      </c>
      <c r="N1950" s="15" t="s">
        <v>523</v>
      </c>
      <c r="O1950" s="6" t="s">
        <v>4568</v>
      </c>
      <c r="P1950" s="58" t="s">
        <v>235</v>
      </c>
      <c r="Q1950" s="6" t="s">
        <v>236</v>
      </c>
      <c r="R1950" s="3">
        <v>4.3</v>
      </c>
      <c r="S1950" s="1">
        <v>103764</v>
      </c>
      <c r="T1950" s="4">
        <v>0</v>
      </c>
      <c r="U1950" s="4">
        <f t="shared" si="61"/>
        <v>0</v>
      </c>
      <c r="V1950" s="166" t="s">
        <v>362</v>
      </c>
      <c r="W1950" s="3">
        <v>2014</v>
      </c>
      <c r="X1950" s="3">
        <v>11</v>
      </c>
    </row>
    <row r="1951" spans="1:24" ht="89.25">
      <c r="A1951" s="3" t="s">
        <v>14901</v>
      </c>
      <c r="B1951" s="6" t="s">
        <v>361</v>
      </c>
      <c r="C1951" s="6" t="s">
        <v>4255</v>
      </c>
      <c r="D1951" s="97" t="s">
        <v>343</v>
      </c>
      <c r="E1951" s="3" t="s">
        <v>11457</v>
      </c>
      <c r="F1951" s="76" t="s">
        <v>341</v>
      </c>
      <c r="G1951" s="3" t="s">
        <v>11449</v>
      </c>
      <c r="H1951" s="54">
        <v>0.75</v>
      </c>
      <c r="I1951" s="55">
        <v>470000000</v>
      </c>
      <c r="J1951" s="56" t="s">
        <v>229</v>
      </c>
      <c r="K1951" s="6" t="s">
        <v>222</v>
      </c>
      <c r="L1951" s="17" t="s">
        <v>11411</v>
      </c>
      <c r="M1951" s="162" t="s">
        <v>230</v>
      </c>
      <c r="N1951" s="15" t="s">
        <v>523</v>
      </c>
      <c r="O1951" s="6" t="s">
        <v>4568</v>
      </c>
      <c r="P1951" s="58" t="s">
        <v>235</v>
      </c>
      <c r="Q1951" s="6" t="s">
        <v>236</v>
      </c>
      <c r="R1951" s="3">
        <v>0</v>
      </c>
      <c r="S1951" s="1">
        <v>103764</v>
      </c>
      <c r="T1951" s="4">
        <f>R1951*S1951</f>
        <v>0</v>
      </c>
      <c r="U1951" s="4">
        <f t="shared" si="61"/>
        <v>0</v>
      </c>
      <c r="V1951" s="166" t="s">
        <v>362</v>
      </c>
      <c r="W1951" s="3">
        <v>2014</v>
      </c>
      <c r="X1951" s="3" t="s">
        <v>12076</v>
      </c>
    </row>
    <row r="1952" spans="1:24" ht="89.25">
      <c r="A1952" s="3" t="s">
        <v>1311</v>
      </c>
      <c r="B1952" s="6" t="s">
        <v>361</v>
      </c>
      <c r="C1952" s="6" t="s">
        <v>4256</v>
      </c>
      <c r="D1952" s="97" t="s">
        <v>343</v>
      </c>
      <c r="E1952" s="3" t="s">
        <v>11458</v>
      </c>
      <c r="F1952" s="46" t="s">
        <v>342</v>
      </c>
      <c r="G1952" s="3" t="s">
        <v>11449</v>
      </c>
      <c r="H1952" s="54">
        <v>0.75</v>
      </c>
      <c r="I1952" s="16">
        <v>470000000</v>
      </c>
      <c r="J1952" s="56" t="s">
        <v>229</v>
      </c>
      <c r="K1952" s="6" t="s">
        <v>516</v>
      </c>
      <c r="L1952" s="16" t="s">
        <v>4567</v>
      </c>
      <c r="M1952" s="162" t="s">
        <v>230</v>
      </c>
      <c r="N1952" s="15" t="s">
        <v>523</v>
      </c>
      <c r="O1952" s="6" t="s">
        <v>4568</v>
      </c>
      <c r="P1952" s="58" t="s">
        <v>235</v>
      </c>
      <c r="Q1952" s="6" t="s">
        <v>236</v>
      </c>
      <c r="R1952" s="1">
        <v>1.4</v>
      </c>
      <c r="S1952" s="74">
        <v>124332</v>
      </c>
      <c r="T1952" s="4">
        <v>0</v>
      </c>
      <c r="U1952" s="4">
        <f t="shared" si="61"/>
        <v>0</v>
      </c>
      <c r="V1952" s="3" t="s">
        <v>362</v>
      </c>
      <c r="W1952" s="3">
        <v>2014</v>
      </c>
      <c r="X1952" s="3">
        <v>11.12</v>
      </c>
    </row>
    <row r="1953" spans="1:24" ht="89.25">
      <c r="A1953" s="3" t="s">
        <v>14006</v>
      </c>
      <c r="B1953" s="6" t="s">
        <v>361</v>
      </c>
      <c r="C1953" s="6" t="s">
        <v>4256</v>
      </c>
      <c r="D1953" s="97" t="s">
        <v>343</v>
      </c>
      <c r="E1953" s="3" t="s">
        <v>11458</v>
      </c>
      <c r="F1953" s="46" t="s">
        <v>342</v>
      </c>
      <c r="G1953" s="3" t="s">
        <v>11449</v>
      </c>
      <c r="H1953" s="54">
        <v>0.75</v>
      </c>
      <c r="I1953" s="16">
        <v>470000000</v>
      </c>
      <c r="J1953" s="56" t="s">
        <v>229</v>
      </c>
      <c r="K1953" s="6" t="s">
        <v>12367</v>
      </c>
      <c r="L1953" s="17" t="s">
        <v>11411</v>
      </c>
      <c r="M1953" s="162" t="s">
        <v>230</v>
      </c>
      <c r="N1953" s="15" t="s">
        <v>523</v>
      </c>
      <c r="O1953" s="6" t="s">
        <v>4568</v>
      </c>
      <c r="P1953" s="58" t="s">
        <v>235</v>
      </c>
      <c r="Q1953" s="6" t="s">
        <v>236</v>
      </c>
      <c r="R1953" s="1">
        <v>1.4</v>
      </c>
      <c r="S1953" s="74">
        <v>124332</v>
      </c>
      <c r="T1953" s="4">
        <v>0</v>
      </c>
      <c r="U1953" s="4">
        <f t="shared" si="61"/>
        <v>0</v>
      </c>
      <c r="V1953" s="3" t="s">
        <v>362</v>
      </c>
      <c r="W1953" s="3">
        <v>2014</v>
      </c>
      <c r="X1953" s="3">
        <v>11</v>
      </c>
    </row>
    <row r="1954" spans="1:24" ht="89.25">
      <c r="A1954" s="3" t="s">
        <v>14902</v>
      </c>
      <c r="B1954" s="6" t="s">
        <v>361</v>
      </c>
      <c r="C1954" s="6" t="s">
        <v>4256</v>
      </c>
      <c r="D1954" s="97" t="s">
        <v>343</v>
      </c>
      <c r="E1954" s="3" t="s">
        <v>11458</v>
      </c>
      <c r="F1954" s="46" t="s">
        <v>342</v>
      </c>
      <c r="G1954" s="3" t="s">
        <v>11449</v>
      </c>
      <c r="H1954" s="54">
        <v>0.75</v>
      </c>
      <c r="I1954" s="16">
        <v>470000000</v>
      </c>
      <c r="J1954" s="56" t="s">
        <v>229</v>
      </c>
      <c r="K1954" s="6" t="s">
        <v>222</v>
      </c>
      <c r="L1954" s="17" t="s">
        <v>11411</v>
      </c>
      <c r="M1954" s="162" t="s">
        <v>230</v>
      </c>
      <c r="N1954" s="15" t="s">
        <v>523</v>
      </c>
      <c r="O1954" s="6" t="s">
        <v>4568</v>
      </c>
      <c r="P1954" s="58" t="s">
        <v>235</v>
      </c>
      <c r="Q1954" s="6" t="s">
        <v>236</v>
      </c>
      <c r="R1954" s="1">
        <v>0</v>
      </c>
      <c r="S1954" s="74">
        <v>124332</v>
      </c>
      <c r="T1954" s="4">
        <f>R1954*S1954</f>
        <v>0</v>
      </c>
      <c r="U1954" s="4">
        <f t="shared" si="61"/>
        <v>0</v>
      </c>
      <c r="V1954" s="3" t="s">
        <v>362</v>
      </c>
      <c r="W1954" s="3">
        <v>2014</v>
      </c>
      <c r="X1954" s="3" t="s">
        <v>12076</v>
      </c>
    </row>
    <row r="1955" spans="1:24" ht="89.25">
      <c r="A1955" s="3" t="s">
        <v>1312</v>
      </c>
      <c r="B1955" s="6" t="s">
        <v>361</v>
      </c>
      <c r="C1955" s="6" t="s">
        <v>4257</v>
      </c>
      <c r="D1955" s="97" t="s">
        <v>343</v>
      </c>
      <c r="E1955" s="3" t="s">
        <v>4258</v>
      </c>
      <c r="F1955" s="42" t="s">
        <v>4617</v>
      </c>
      <c r="G1955" s="3" t="s">
        <v>11449</v>
      </c>
      <c r="H1955" s="54">
        <v>0.75</v>
      </c>
      <c r="I1955" s="55">
        <v>470000000</v>
      </c>
      <c r="J1955" s="56" t="s">
        <v>229</v>
      </c>
      <c r="K1955" s="6" t="s">
        <v>516</v>
      </c>
      <c r="L1955" s="16" t="s">
        <v>4570</v>
      </c>
      <c r="M1955" s="162" t="s">
        <v>230</v>
      </c>
      <c r="N1955" s="15" t="s">
        <v>523</v>
      </c>
      <c r="O1955" s="6" t="s">
        <v>4568</v>
      </c>
      <c r="P1955" s="58" t="s">
        <v>235</v>
      </c>
      <c r="Q1955" s="6" t="s">
        <v>236</v>
      </c>
      <c r="R1955" s="3">
        <v>0.2</v>
      </c>
      <c r="S1955" s="1">
        <v>264564</v>
      </c>
      <c r="T1955" s="4">
        <v>0</v>
      </c>
      <c r="U1955" s="4">
        <f t="shared" si="61"/>
        <v>0</v>
      </c>
      <c r="V1955" s="166" t="s">
        <v>362</v>
      </c>
      <c r="W1955" s="3">
        <v>2014</v>
      </c>
      <c r="X1955" s="3">
        <v>11.12</v>
      </c>
    </row>
    <row r="1956" spans="1:24" ht="89.25">
      <c r="A1956" s="3" t="s">
        <v>14007</v>
      </c>
      <c r="B1956" s="6" t="s">
        <v>361</v>
      </c>
      <c r="C1956" s="6" t="s">
        <v>4257</v>
      </c>
      <c r="D1956" s="97" t="s">
        <v>343</v>
      </c>
      <c r="E1956" s="3" t="s">
        <v>4258</v>
      </c>
      <c r="F1956" s="42" t="s">
        <v>4617</v>
      </c>
      <c r="G1956" s="3" t="s">
        <v>11449</v>
      </c>
      <c r="H1956" s="54">
        <v>0.75</v>
      </c>
      <c r="I1956" s="55">
        <v>470000000</v>
      </c>
      <c r="J1956" s="56" t="s">
        <v>229</v>
      </c>
      <c r="K1956" s="6" t="s">
        <v>12367</v>
      </c>
      <c r="L1956" s="17" t="s">
        <v>11411</v>
      </c>
      <c r="M1956" s="162" t="s">
        <v>230</v>
      </c>
      <c r="N1956" s="15" t="s">
        <v>523</v>
      </c>
      <c r="O1956" s="6" t="s">
        <v>4568</v>
      </c>
      <c r="P1956" s="58" t="s">
        <v>235</v>
      </c>
      <c r="Q1956" s="6" t="s">
        <v>236</v>
      </c>
      <c r="R1956" s="3">
        <v>0.2</v>
      </c>
      <c r="S1956" s="1">
        <v>264564</v>
      </c>
      <c r="T1956" s="4">
        <v>0</v>
      </c>
      <c r="U1956" s="4">
        <f t="shared" si="61"/>
        <v>0</v>
      </c>
      <c r="V1956" s="166" t="s">
        <v>362</v>
      </c>
      <c r="W1956" s="3">
        <v>2014</v>
      </c>
      <c r="X1956" s="3">
        <v>11</v>
      </c>
    </row>
    <row r="1957" spans="1:24" ht="89.25">
      <c r="A1957" s="3" t="s">
        <v>14903</v>
      </c>
      <c r="B1957" s="6" t="s">
        <v>361</v>
      </c>
      <c r="C1957" s="6" t="s">
        <v>4257</v>
      </c>
      <c r="D1957" s="97" t="s">
        <v>343</v>
      </c>
      <c r="E1957" s="3" t="s">
        <v>4258</v>
      </c>
      <c r="F1957" s="42" t="s">
        <v>4617</v>
      </c>
      <c r="G1957" s="3" t="s">
        <v>11449</v>
      </c>
      <c r="H1957" s="54">
        <v>0.75</v>
      </c>
      <c r="I1957" s="55">
        <v>470000000</v>
      </c>
      <c r="J1957" s="56" t="s">
        <v>229</v>
      </c>
      <c r="K1957" s="6" t="s">
        <v>222</v>
      </c>
      <c r="L1957" s="17" t="s">
        <v>11411</v>
      </c>
      <c r="M1957" s="162" t="s">
        <v>230</v>
      </c>
      <c r="N1957" s="15" t="s">
        <v>523</v>
      </c>
      <c r="O1957" s="6" t="s">
        <v>4568</v>
      </c>
      <c r="P1957" s="58" t="s">
        <v>235</v>
      </c>
      <c r="Q1957" s="6" t="s">
        <v>236</v>
      </c>
      <c r="R1957" s="3">
        <v>0</v>
      </c>
      <c r="S1957" s="1">
        <v>264564</v>
      </c>
      <c r="T1957" s="4">
        <f>R1957*S1957</f>
        <v>0</v>
      </c>
      <c r="U1957" s="4">
        <f t="shared" si="61"/>
        <v>0</v>
      </c>
      <c r="V1957" s="166" t="s">
        <v>362</v>
      </c>
      <c r="W1957" s="3">
        <v>2014</v>
      </c>
      <c r="X1957" s="3" t="s">
        <v>12076</v>
      </c>
    </row>
    <row r="1958" spans="1:24" ht="89.25">
      <c r="A1958" s="3" t="s">
        <v>1313</v>
      </c>
      <c r="B1958" s="6" t="s">
        <v>361</v>
      </c>
      <c r="C1958" s="6" t="s">
        <v>4259</v>
      </c>
      <c r="D1958" s="97" t="s">
        <v>343</v>
      </c>
      <c r="E1958" s="3" t="s">
        <v>4260</v>
      </c>
      <c r="F1958" s="42" t="s">
        <v>4260</v>
      </c>
      <c r="G1958" s="3" t="s">
        <v>11449</v>
      </c>
      <c r="H1958" s="54">
        <v>0.75</v>
      </c>
      <c r="I1958" s="16">
        <v>470000000</v>
      </c>
      <c r="J1958" s="56" t="s">
        <v>229</v>
      </c>
      <c r="K1958" s="6" t="s">
        <v>516</v>
      </c>
      <c r="L1958" s="16" t="s">
        <v>4567</v>
      </c>
      <c r="M1958" s="162" t="s">
        <v>230</v>
      </c>
      <c r="N1958" s="15" t="s">
        <v>523</v>
      </c>
      <c r="O1958" s="6" t="s">
        <v>4568</v>
      </c>
      <c r="P1958" s="58" t="s">
        <v>235</v>
      </c>
      <c r="Q1958" s="6" t="s">
        <v>236</v>
      </c>
      <c r="R1958" s="1">
        <v>0.3</v>
      </c>
      <c r="S1958" s="74">
        <v>665310</v>
      </c>
      <c r="T1958" s="4">
        <v>0</v>
      </c>
      <c r="U1958" s="4">
        <f t="shared" si="61"/>
        <v>0</v>
      </c>
      <c r="V1958" s="3" t="s">
        <v>362</v>
      </c>
      <c r="W1958" s="3">
        <v>2014</v>
      </c>
      <c r="X1958" s="3">
        <v>11.12</v>
      </c>
    </row>
    <row r="1959" spans="1:24" ht="89.25">
      <c r="A1959" s="3" t="s">
        <v>14008</v>
      </c>
      <c r="B1959" s="6" t="s">
        <v>361</v>
      </c>
      <c r="C1959" s="6" t="s">
        <v>4259</v>
      </c>
      <c r="D1959" s="97" t="s">
        <v>343</v>
      </c>
      <c r="E1959" s="3" t="s">
        <v>4260</v>
      </c>
      <c r="F1959" s="42" t="s">
        <v>4260</v>
      </c>
      <c r="G1959" s="3" t="s">
        <v>11449</v>
      </c>
      <c r="H1959" s="54">
        <v>0.75</v>
      </c>
      <c r="I1959" s="16">
        <v>470000000</v>
      </c>
      <c r="J1959" s="56" t="s">
        <v>229</v>
      </c>
      <c r="K1959" s="6" t="s">
        <v>12367</v>
      </c>
      <c r="L1959" s="17" t="s">
        <v>11411</v>
      </c>
      <c r="M1959" s="162" t="s">
        <v>230</v>
      </c>
      <c r="N1959" s="15" t="s">
        <v>523</v>
      </c>
      <c r="O1959" s="6" t="s">
        <v>4568</v>
      </c>
      <c r="P1959" s="58" t="s">
        <v>235</v>
      </c>
      <c r="Q1959" s="6" t="s">
        <v>236</v>
      </c>
      <c r="R1959" s="1">
        <v>0.3</v>
      </c>
      <c r="S1959" s="74">
        <v>665310</v>
      </c>
      <c r="T1959" s="4">
        <v>0</v>
      </c>
      <c r="U1959" s="4">
        <f t="shared" si="61"/>
        <v>0</v>
      </c>
      <c r="V1959" s="3" t="s">
        <v>362</v>
      </c>
      <c r="W1959" s="3">
        <v>2014</v>
      </c>
      <c r="X1959" s="3">
        <v>11</v>
      </c>
    </row>
    <row r="1960" spans="1:24" ht="89.25">
      <c r="A1960" s="3" t="s">
        <v>14904</v>
      </c>
      <c r="B1960" s="6" t="s">
        <v>361</v>
      </c>
      <c r="C1960" s="6" t="s">
        <v>4259</v>
      </c>
      <c r="D1960" s="97" t="s">
        <v>343</v>
      </c>
      <c r="E1960" s="3" t="s">
        <v>4260</v>
      </c>
      <c r="F1960" s="42" t="s">
        <v>4260</v>
      </c>
      <c r="G1960" s="3" t="s">
        <v>11449</v>
      </c>
      <c r="H1960" s="54">
        <v>0.75</v>
      </c>
      <c r="I1960" s="16">
        <v>470000000</v>
      </c>
      <c r="J1960" s="56" t="s">
        <v>229</v>
      </c>
      <c r="K1960" s="6" t="s">
        <v>222</v>
      </c>
      <c r="L1960" s="17" t="s">
        <v>11411</v>
      </c>
      <c r="M1960" s="162" t="s">
        <v>230</v>
      </c>
      <c r="N1960" s="15" t="s">
        <v>523</v>
      </c>
      <c r="O1960" s="6" t="s">
        <v>4568</v>
      </c>
      <c r="P1960" s="58" t="s">
        <v>235</v>
      </c>
      <c r="Q1960" s="6" t="s">
        <v>236</v>
      </c>
      <c r="R1960" s="1">
        <v>0.3</v>
      </c>
      <c r="S1960" s="74">
        <v>665310</v>
      </c>
      <c r="T1960" s="4">
        <v>0</v>
      </c>
      <c r="U1960" s="4">
        <f t="shared" si="61"/>
        <v>0</v>
      </c>
      <c r="V1960" s="3" t="s">
        <v>362</v>
      </c>
      <c r="W1960" s="3">
        <v>2014</v>
      </c>
      <c r="X1960" s="3">
        <v>14</v>
      </c>
    </row>
    <row r="1961" spans="1:24" ht="89.25">
      <c r="A1961" s="3" t="s">
        <v>17515</v>
      </c>
      <c r="B1961" s="6" t="s">
        <v>361</v>
      </c>
      <c r="C1961" s="6" t="s">
        <v>4259</v>
      </c>
      <c r="D1961" s="97" t="s">
        <v>343</v>
      </c>
      <c r="E1961" s="3" t="s">
        <v>4260</v>
      </c>
      <c r="F1961" s="42" t="s">
        <v>4260</v>
      </c>
      <c r="G1961" s="3" t="s">
        <v>11449</v>
      </c>
      <c r="H1961" s="54">
        <v>0.75</v>
      </c>
      <c r="I1961" s="16">
        <v>470000000</v>
      </c>
      <c r="J1961" s="56" t="s">
        <v>229</v>
      </c>
      <c r="K1961" s="6" t="s">
        <v>222</v>
      </c>
      <c r="L1961" s="17" t="s">
        <v>11411</v>
      </c>
      <c r="M1961" s="162" t="s">
        <v>230</v>
      </c>
      <c r="N1961" s="15" t="s">
        <v>8914</v>
      </c>
      <c r="O1961" s="6" t="s">
        <v>4568</v>
      </c>
      <c r="P1961" s="58" t="s">
        <v>235</v>
      </c>
      <c r="Q1961" s="6" t="s">
        <v>236</v>
      </c>
      <c r="R1961" s="1">
        <v>0.3</v>
      </c>
      <c r="S1961" s="74">
        <v>665310</v>
      </c>
      <c r="T1961" s="4">
        <f>R1961*S1961</f>
        <v>199593</v>
      </c>
      <c r="U1961" s="4">
        <f t="shared" si="61"/>
        <v>223544.16000000003</v>
      </c>
      <c r="V1961" s="3" t="s">
        <v>362</v>
      </c>
      <c r="W1961" s="3">
        <v>2014</v>
      </c>
      <c r="X1961" s="3"/>
    </row>
    <row r="1962" spans="1:24" ht="89.25">
      <c r="A1962" s="3" t="s">
        <v>1314</v>
      </c>
      <c r="B1962" s="6" t="s">
        <v>361</v>
      </c>
      <c r="C1962" s="6" t="s">
        <v>4261</v>
      </c>
      <c r="D1962" s="97" t="s">
        <v>343</v>
      </c>
      <c r="E1962" s="3" t="s">
        <v>11459</v>
      </c>
      <c r="F1962" s="76" t="s">
        <v>4262</v>
      </c>
      <c r="G1962" s="3" t="s">
        <v>11449</v>
      </c>
      <c r="H1962" s="54">
        <v>0.75</v>
      </c>
      <c r="I1962" s="55">
        <v>470000000</v>
      </c>
      <c r="J1962" s="56" t="s">
        <v>229</v>
      </c>
      <c r="K1962" s="6" t="s">
        <v>516</v>
      </c>
      <c r="L1962" s="16" t="s">
        <v>4570</v>
      </c>
      <c r="M1962" s="162" t="s">
        <v>230</v>
      </c>
      <c r="N1962" s="15" t="s">
        <v>523</v>
      </c>
      <c r="O1962" s="6" t="s">
        <v>4568</v>
      </c>
      <c r="P1962" s="58" t="s">
        <v>235</v>
      </c>
      <c r="Q1962" s="6" t="s">
        <v>236</v>
      </c>
      <c r="R1962" s="3">
        <v>1.5</v>
      </c>
      <c r="S1962" s="1">
        <v>235630</v>
      </c>
      <c r="T1962" s="4">
        <v>0</v>
      </c>
      <c r="U1962" s="4">
        <f t="shared" si="61"/>
        <v>0</v>
      </c>
      <c r="V1962" s="166" t="s">
        <v>362</v>
      </c>
      <c r="W1962" s="3">
        <v>2014</v>
      </c>
      <c r="X1962" s="3">
        <v>11.12</v>
      </c>
    </row>
    <row r="1963" spans="1:24" ht="89.25">
      <c r="A1963" s="3" t="s">
        <v>14009</v>
      </c>
      <c r="B1963" s="6" t="s">
        <v>361</v>
      </c>
      <c r="C1963" s="6" t="s">
        <v>4261</v>
      </c>
      <c r="D1963" s="97" t="s">
        <v>343</v>
      </c>
      <c r="E1963" s="3" t="s">
        <v>11459</v>
      </c>
      <c r="F1963" s="76" t="s">
        <v>4262</v>
      </c>
      <c r="G1963" s="3" t="s">
        <v>11449</v>
      </c>
      <c r="H1963" s="54">
        <v>0.75</v>
      </c>
      <c r="I1963" s="55">
        <v>470000000</v>
      </c>
      <c r="J1963" s="56" t="s">
        <v>229</v>
      </c>
      <c r="K1963" s="6" t="s">
        <v>12367</v>
      </c>
      <c r="L1963" s="17" t="s">
        <v>11411</v>
      </c>
      <c r="M1963" s="162" t="s">
        <v>230</v>
      </c>
      <c r="N1963" s="15" t="s">
        <v>523</v>
      </c>
      <c r="O1963" s="6" t="s">
        <v>4568</v>
      </c>
      <c r="P1963" s="58" t="s">
        <v>235</v>
      </c>
      <c r="Q1963" s="6" t="s">
        <v>236</v>
      </c>
      <c r="R1963" s="3">
        <v>1.5</v>
      </c>
      <c r="S1963" s="1">
        <v>235630</v>
      </c>
      <c r="T1963" s="4">
        <v>0</v>
      </c>
      <c r="U1963" s="4">
        <f t="shared" si="61"/>
        <v>0</v>
      </c>
      <c r="V1963" s="166" t="s">
        <v>362</v>
      </c>
      <c r="W1963" s="3">
        <v>2014</v>
      </c>
      <c r="X1963" s="3">
        <v>11</v>
      </c>
    </row>
    <row r="1964" spans="1:24" ht="89.25">
      <c r="A1964" s="3" t="s">
        <v>14905</v>
      </c>
      <c r="B1964" s="6" t="s">
        <v>361</v>
      </c>
      <c r="C1964" s="6" t="s">
        <v>4261</v>
      </c>
      <c r="D1964" s="97" t="s">
        <v>343</v>
      </c>
      <c r="E1964" s="3" t="s">
        <v>11459</v>
      </c>
      <c r="F1964" s="76" t="s">
        <v>4262</v>
      </c>
      <c r="G1964" s="3" t="s">
        <v>11449</v>
      </c>
      <c r="H1964" s="54">
        <v>0.75</v>
      </c>
      <c r="I1964" s="55">
        <v>470000000</v>
      </c>
      <c r="J1964" s="56" t="s">
        <v>229</v>
      </c>
      <c r="K1964" s="6" t="s">
        <v>222</v>
      </c>
      <c r="L1964" s="17" t="s">
        <v>11411</v>
      </c>
      <c r="M1964" s="162" t="s">
        <v>230</v>
      </c>
      <c r="N1964" s="15" t="s">
        <v>523</v>
      </c>
      <c r="O1964" s="6" t="s">
        <v>4568</v>
      </c>
      <c r="P1964" s="58" t="s">
        <v>235</v>
      </c>
      <c r="Q1964" s="6" t="s">
        <v>236</v>
      </c>
      <c r="R1964" s="3">
        <v>1.5</v>
      </c>
      <c r="S1964" s="1">
        <v>235630</v>
      </c>
      <c r="T1964" s="4">
        <v>0</v>
      </c>
      <c r="U1964" s="4">
        <f t="shared" si="61"/>
        <v>0</v>
      </c>
      <c r="V1964" s="166" t="s">
        <v>362</v>
      </c>
      <c r="W1964" s="3">
        <v>2014</v>
      </c>
      <c r="X1964" s="3">
        <v>14</v>
      </c>
    </row>
    <row r="1965" spans="1:24" ht="89.25">
      <c r="A1965" s="3" t="s">
        <v>17516</v>
      </c>
      <c r="B1965" s="6" t="s">
        <v>361</v>
      </c>
      <c r="C1965" s="6" t="s">
        <v>4261</v>
      </c>
      <c r="D1965" s="97" t="s">
        <v>343</v>
      </c>
      <c r="E1965" s="3" t="s">
        <v>11459</v>
      </c>
      <c r="F1965" s="76" t="s">
        <v>4262</v>
      </c>
      <c r="G1965" s="3" t="s">
        <v>11449</v>
      </c>
      <c r="H1965" s="54">
        <v>0.75</v>
      </c>
      <c r="I1965" s="55">
        <v>470000000</v>
      </c>
      <c r="J1965" s="56" t="s">
        <v>229</v>
      </c>
      <c r="K1965" s="6" t="s">
        <v>222</v>
      </c>
      <c r="L1965" s="17" t="s">
        <v>11411</v>
      </c>
      <c r="M1965" s="162" t="s">
        <v>230</v>
      </c>
      <c r="N1965" s="15" t="s">
        <v>8914</v>
      </c>
      <c r="O1965" s="6" t="s">
        <v>4568</v>
      </c>
      <c r="P1965" s="58" t="s">
        <v>235</v>
      </c>
      <c r="Q1965" s="6" t="s">
        <v>236</v>
      </c>
      <c r="R1965" s="3">
        <v>1.5</v>
      </c>
      <c r="S1965" s="1">
        <v>235630</v>
      </c>
      <c r="T1965" s="4">
        <f>R1965*S1965</f>
        <v>353445</v>
      </c>
      <c r="U1965" s="4">
        <f t="shared" si="61"/>
        <v>395858.4</v>
      </c>
      <c r="V1965" s="166" t="s">
        <v>362</v>
      </c>
      <c r="W1965" s="3">
        <v>2014</v>
      </c>
      <c r="X1965" s="3"/>
    </row>
    <row r="1966" spans="1:24" ht="89.25">
      <c r="A1966" s="3" t="s">
        <v>1315</v>
      </c>
      <c r="B1966" s="6" t="s">
        <v>361</v>
      </c>
      <c r="C1966" s="6" t="s">
        <v>4263</v>
      </c>
      <c r="D1966" s="97" t="s">
        <v>343</v>
      </c>
      <c r="E1966" s="3" t="s">
        <v>4264</v>
      </c>
      <c r="F1966" s="42" t="s">
        <v>4264</v>
      </c>
      <c r="G1966" s="3" t="s">
        <v>11449</v>
      </c>
      <c r="H1966" s="54">
        <v>0.75</v>
      </c>
      <c r="I1966" s="16">
        <v>470000000</v>
      </c>
      <c r="J1966" s="56" t="s">
        <v>229</v>
      </c>
      <c r="K1966" s="6" t="s">
        <v>516</v>
      </c>
      <c r="L1966" s="16" t="s">
        <v>4567</v>
      </c>
      <c r="M1966" s="162" t="s">
        <v>230</v>
      </c>
      <c r="N1966" s="15" t="s">
        <v>523</v>
      </c>
      <c r="O1966" s="6" t="s">
        <v>4568</v>
      </c>
      <c r="P1966" s="58" t="s">
        <v>235</v>
      </c>
      <c r="Q1966" s="6" t="s">
        <v>236</v>
      </c>
      <c r="R1966" s="1">
        <v>0.25</v>
      </c>
      <c r="S1966" s="74">
        <v>177457</v>
      </c>
      <c r="T1966" s="4">
        <v>0</v>
      </c>
      <c r="U1966" s="4">
        <f t="shared" si="61"/>
        <v>0</v>
      </c>
      <c r="V1966" s="3"/>
      <c r="W1966" s="3">
        <v>2014</v>
      </c>
      <c r="X1966" s="3" t="s">
        <v>12037</v>
      </c>
    </row>
    <row r="1967" spans="1:24" ht="89.25">
      <c r="A1967" s="3" t="s">
        <v>12489</v>
      </c>
      <c r="B1967" s="6" t="s">
        <v>361</v>
      </c>
      <c r="C1967" s="6" t="s">
        <v>4263</v>
      </c>
      <c r="D1967" s="97" t="s">
        <v>343</v>
      </c>
      <c r="E1967" s="3" t="s">
        <v>4264</v>
      </c>
      <c r="F1967" s="42" t="s">
        <v>4264</v>
      </c>
      <c r="G1967" s="3" t="s">
        <v>11449</v>
      </c>
      <c r="H1967" s="54">
        <v>0.75</v>
      </c>
      <c r="I1967" s="16">
        <v>470000000</v>
      </c>
      <c r="J1967" s="56" t="s">
        <v>229</v>
      </c>
      <c r="K1967" s="6" t="s">
        <v>12441</v>
      </c>
      <c r="L1967" s="17" t="s">
        <v>11411</v>
      </c>
      <c r="M1967" s="162" t="s">
        <v>230</v>
      </c>
      <c r="N1967" s="15" t="s">
        <v>523</v>
      </c>
      <c r="O1967" s="6" t="s">
        <v>4568</v>
      </c>
      <c r="P1967" s="58" t="s">
        <v>235</v>
      </c>
      <c r="Q1967" s="6" t="s">
        <v>236</v>
      </c>
      <c r="R1967" s="1">
        <v>0.25</v>
      </c>
      <c r="S1967" s="74">
        <v>177457</v>
      </c>
      <c r="T1967" s="4">
        <v>0</v>
      </c>
      <c r="U1967" s="4">
        <f t="shared" si="61"/>
        <v>0</v>
      </c>
      <c r="V1967" s="3" t="s">
        <v>362</v>
      </c>
      <c r="W1967" s="3">
        <v>2014</v>
      </c>
      <c r="X1967" s="3">
        <v>11</v>
      </c>
    </row>
    <row r="1968" spans="1:24" ht="89.25">
      <c r="A1968" s="3" t="s">
        <v>14906</v>
      </c>
      <c r="B1968" s="6" t="s">
        <v>361</v>
      </c>
      <c r="C1968" s="6" t="s">
        <v>4263</v>
      </c>
      <c r="D1968" s="97" t="s">
        <v>343</v>
      </c>
      <c r="E1968" s="3" t="s">
        <v>4264</v>
      </c>
      <c r="F1968" s="42" t="s">
        <v>4264</v>
      </c>
      <c r="G1968" s="3" t="s">
        <v>11449</v>
      </c>
      <c r="H1968" s="54">
        <v>0.75</v>
      </c>
      <c r="I1968" s="16">
        <v>470000000</v>
      </c>
      <c r="J1968" s="56" t="s">
        <v>229</v>
      </c>
      <c r="K1968" s="6" t="s">
        <v>222</v>
      </c>
      <c r="L1968" s="17" t="s">
        <v>11411</v>
      </c>
      <c r="M1968" s="162" t="s">
        <v>230</v>
      </c>
      <c r="N1968" s="15" t="s">
        <v>523</v>
      </c>
      <c r="O1968" s="6" t="s">
        <v>4568</v>
      </c>
      <c r="P1968" s="58" t="s">
        <v>235</v>
      </c>
      <c r="Q1968" s="6" t="s">
        <v>236</v>
      </c>
      <c r="R1968" s="1">
        <v>0</v>
      </c>
      <c r="S1968" s="74">
        <v>177457</v>
      </c>
      <c r="T1968" s="4">
        <f>R1968*S1968</f>
        <v>0</v>
      </c>
      <c r="U1968" s="4">
        <f t="shared" si="61"/>
        <v>0</v>
      </c>
      <c r="V1968" s="3" t="s">
        <v>362</v>
      </c>
      <c r="W1968" s="3">
        <v>2014</v>
      </c>
      <c r="X1968" s="3" t="s">
        <v>12076</v>
      </c>
    </row>
    <row r="1969" spans="1:24" ht="89.25">
      <c r="A1969" s="3" t="s">
        <v>1316</v>
      </c>
      <c r="B1969" s="6" t="s">
        <v>361</v>
      </c>
      <c r="C1969" s="6" t="s">
        <v>4265</v>
      </c>
      <c r="D1969" s="97" t="s">
        <v>343</v>
      </c>
      <c r="E1969" s="3" t="s">
        <v>4266</v>
      </c>
      <c r="F1969" s="42" t="s">
        <v>4266</v>
      </c>
      <c r="G1969" s="3" t="s">
        <v>11449</v>
      </c>
      <c r="H1969" s="54">
        <v>0.75</v>
      </c>
      <c r="I1969" s="55">
        <v>470000000</v>
      </c>
      <c r="J1969" s="56" t="s">
        <v>229</v>
      </c>
      <c r="K1969" s="6" t="s">
        <v>516</v>
      </c>
      <c r="L1969" s="16" t="s">
        <v>4570</v>
      </c>
      <c r="M1969" s="162" t="s">
        <v>230</v>
      </c>
      <c r="N1969" s="15" t="s">
        <v>523</v>
      </c>
      <c r="O1969" s="6" t="s">
        <v>4568</v>
      </c>
      <c r="P1969" s="58" t="s">
        <v>235</v>
      </c>
      <c r="Q1969" s="6" t="s">
        <v>236</v>
      </c>
      <c r="R1969" s="3">
        <v>0.6</v>
      </c>
      <c r="S1969" s="1">
        <v>213242</v>
      </c>
      <c r="T1969" s="4">
        <v>0</v>
      </c>
      <c r="U1969" s="4">
        <f t="shared" si="61"/>
        <v>0</v>
      </c>
      <c r="V1969" s="3"/>
      <c r="W1969" s="3">
        <v>2014</v>
      </c>
      <c r="X1969" s="3" t="s">
        <v>12037</v>
      </c>
    </row>
    <row r="1970" spans="1:24" ht="89.25">
      <c r="A1970" s="3" t="s">
        <v>12490</v>
      </c>
      <c r="B1970" s="6" t="s">
        <v>361</v>
      </c>
      <c r="C1970" s="6" t="s">
        <v>4265</v>
      </c>
      <c r="D1970" s="97" t="s">
        <v>343</v>
      </c>
      <c r="E1970" s="3" t="s">
        <v>4266</v>
      </c>
      <c r="F1970" s="42" t="s">
        <v>4266</v>
      </c>
      <c r="G1970" s="3" t="s">
        <v>11449</v>
      </c>
      <c r="H1970" s="54">
        <v>0.75</v>
      </c>
      <c r="I1970" s="55">
        <v>470000000</v>
      </c>
      <c r="J1970" s="56" t="s">
        <v>229</v>
      </c>
      <c r="K1970" s="6" t="s">
        <v>12441</v>
      </c>
      <c r="L1970" s="17" t="s">
        <v>11411</v>
      </c>
      <c r="M1970" s="162" t="s">
        <v>230</v>
      </c>
      <c r="N1970" s="15" t="s">
        <v>523</v>
      </c>
      <c r="O1970" s="6" t="s">
        <v>4568</v>
      </c>
      <c r="P1970" s="58" t="s">
        <v>235</v>
      </c>
      <c r="Q1970" s="6" t="s">
        <v>236</v>
      </c>
      <c r="R1970" s="3">
        <v>0.6</v>
      </c>
      <c r="S1970" s="1">
        <v>213242</v>
      </c>
      <c r="T1970" s="4">
        <v>0</v>
      </c>
      <c r="U1970" s="4">
        <f t="shared" si="61"/>
        <v>0</v>
      </c>
      <c r="V1970" s="3" t="s">
        <v>362</v>
      </c>
      <c r="W1970" s="3">
        <v>2014</v>
      </c>
      <c r="X1970" s="3" t="s">
        <v>14785</v>
      </c>
    </row>
    <row r="1971" spans="1:24" ht="89.25">
      <c r="A1971" s="3" t="s">
        <v>14229</v>
      </c>
      <c r="B1971" s="6" t="s">
        <v>361</v>
      </c>
      <c r="C1971" s="6" t="s">
        <v>4265</v>
      </c>
      <c r="D1971" s="97" t="s">
        <v>343</v>
      </c>
      <c r="E1971" s="3" t="s">
        <v>4266</v>
      </c>
      <c r="F1971" s="42" t="s">
        <v>4266</v>
      </c>
      <c r="G1971" s="3" t="s">
        <v>11449</v>
      </c>
      <c r="H1971" s="54">
        <v>0.75</v>
      </c>
      <c r="I1971" s="55">
        <v>470000000</v>
      </c>
      <c r="J1971" s="56" t="s">
        <v>229</v>
      </c>
      <c r="K1971" s="6" t="s">
        <v>222</v>
      </c>
      <c r="L1971" s="17" t="s">
        <v>11411</v>
      </c>
      <c r="M1971" s="162" t="s">
        <v>230</v>
      </c>
      <c r="N1971" s="15" t="s">
        <v>523</v>
      </c>
      <c r="O1971" s="6" t="s">
        <v>4568</v>
      </c>
      <c r="P1971" s="58" t="s">
        <v>235</v>
      </c>
      <c r="Q1971" s="6" t="s">
        <v>236</v>
      </c>
      <c r="R1971" s="3">
        <v>0</v>
      </c>
      <c r="S1971" s="1">
        <v>213342</v>
      </c>
      <c r="T1971" s="4">
        <f>R1971*S1971</f>
        <v>0</v>
      </c>
      <c r="U1971" s="4">
        <f t="shared" si="61"/>
        <v>0</v>
      </c>
      <c r="V1971" s="3" t="s">
        <v>362</v>
      </c>
      <c r="W1971" s="3">
        <v>2014</v>
      </c>
      <c r="X1971" s="3" t="s">
        <v>12076</v>
      </c>
    </row>
    <row r="1972" spans="1:24" ht="89.25">
      <c r="A1972" s="3" t="s">
        <v>1317</v>
      </c>
      <c r="B1972" s="6" t="s">
        <v>361</v>
      </c>
      <c r="C1972" s="6" t="s">
        <v>4267</v>
      </c>
      <c r="D1972" s="97" t="s">
        <v>343</v>
      </c>
      <c r="E1972" s="3" t="s">
        <v>4268</v>
      </c>
      <c r="F1972" s="42" t="s">
        <v>4618</v>
      </c>
      <c r="G1972" s="3" t="s">
        <v>11449</v>
      </c>
      <c r="H1972" s="54">
        <v>0.75</v>
      </c>
      <c r="I1972" s="16">
        <v>470000000</v>
      </c>
      <c r="J1972" s="56" t="s">
        <v>229</v>
      </c>
      <c r="K1972" s="6" t="s">
        <v>516</v>
      </c>
      <c r="L1972" s="16" t="s">
        <v>4567</v>
      </c>
      <c r="M1972" s="162" t="s">
        <v>230</v>
      </c>
      <c r="N1972" s="15" t="s">
        <v>523</v>
      </c>
      <c r="O1972" s="6" t="s">
        <v>4568</v>
      </c>
      <c r="P1972" s="58" t="s">
        <v>235</v>
      </c>
      <c r="Q1972" s="6" t="s">
        <v>236</v>
      </c>
      <c r="R1972" s="1">
        <v>0.2</v>
      </c>
      <c r="S1972" s="74">
        <v>258564</v>
      </c>
      <c r="T1972" s="4">
        <v>0</v>
      </c>
      <c r="U1972" s="4">
        <f t="shared" si="61"/>
        <v>0</v>
      </c>
      <c r="V1972" s="3"/>
      <c r="W1972" s="3">
        <v>2014</v>
      </c>
      <c r="X1972" s="3" t="s">
        <v>12037</v>
      </c>
    </row>
    <row r="1973" spans="1:24" ht="89.25">
      <c r="A1973" s="3" t="s">
        <v>12491</v>
      </c>
      <c r="B1973" s="6" t="s">
        <v>361</v>
      </c>
      <c r="C1973" s="6" t="s">
        <v>4267</v>
      </c>
      <c r="D1973" s="97" t="s">
        <v>343</v>
      </c>
      <c r="E1973" s="3" t="s">
        <v>4268</v>
      </c>
      <c r="F1973" s="42" t="s">
        <v>4618</v>
      </c>
      <c r="G1973" s="3" t="s">
        <v>11449</v>
      </c>
      <c r="H1973" s="54">
        <v>0.75</v>
      </c>
      <c r="I1973" s="16">
        <v>470000000</v>
      </c>
      <c r="J1973" s="56" t="s">
        <v>229</v>
      </c>
      <c r="K1973" s="6" t="s">
        <v>12441</v>
      </c>
      <c r="L1973" s="17" t="s">
        <v>11411</v>
      </c>
      <c r="M1973" s="162" t="s">
        <v>230</v>
      </c>
      <c r="N1973" s="15" t="s">
        <v>523</v>
      </c>
      <c r="O1973" s="6" t="s">
        <v>4568</v>
      </c>
      <c r="P1973" s="58" t="s">
        <v>235</v>
      </c>
      <c r="Q1973" s="6" t="s">
        <v>236</v>
      </c>
      <c r="R1973" s="1">
        <v>0.2</v>
      </c>
      <c r="S1973" s="74">
        <v>258564</v>
      </c>
      <c r="T1973" s="4">
        <v>0</v>
      </c>
      <c r="U1973" s="4">
        <f t="shared" si="61"/>
        <v>0</v>
      </c>
      <c r="V1973" s="3" t="s">
        <v>362</v>
      </c>
      <c r="W1973" s="3">
        <v>2014</v>
      </c>
      <c r="X1973" s="3">
        <v>11</v>
      </c>
    </row>
    <row r="1974" spans="1:24" ht="89.25">
      <c r="A1974" s="3" t="s">
        <v>14907</v>
      </c>
      <c r="B1974" s="6" t="s">
        <v>361</v>
      </c>
      <c r="C1974" s="6" t="s">
        <v>4267</v>
      </c>
      <c r="D1974" s="97" t="s">
        <v>343</v>
      </c>
      <c r="E1974" s="3" t="s">
        <v>4268</v>
      </c>
      <c r="F1974" s="42" t="s">
        <v>4618</v>
      </c>
      <c r="G1974" s="3" t="s">
        <v>11449</v>
      </c>
      <c r="H1974" s="54">
        <v>0.75</v>
      </c>
      <c r="I1974" s="16">
        <v>470000000</v>
      </c>
      <c r="J1974" s="56" t="s">
        <v>229</v>
      </c>
      <c r="K1974" s="6" t="s">
        <v>222</v>
      </c>
      <c r="L1974" s="17" t="s">
        <v>11411</v>
      </c>
      <c r="M1974" s="162" t="s">
        <v>230</v>
      </c>
      <c r="N1974" s="15" t="s">
        <v>523</v>
      </c>
      <c r="O1974" s="6" t="s">
        <v>4568</v>
      </c>
      <c r="P1974" s="58" t="s">
        <v>235</v>
      </c>
      <c r="Q1974" s="6" t="s">
        <v>236</v>
      </c>
      <c r="R1974" s="1">
        <v>0</v>
      </c>
      <c r="S1974" s="74">
        <v>258564</v>
      </c>
      <c r="T1974" s="4">
        <f>R1974*S1974</f>
        <v>0</v>
      </c>
      <c r="U1974" s="4">
        <f t="shared" si="61"/>
        <v>0</v>
      </c>
      <c r="V1974" s="3" t="s">
        <v>362</v>
      </c>
      <c r="W1974" s="3">
        <v>2014</v>
      </c>
      <c r="X1974" s="3" t="s">
        <v>12076</v>
      </c>
    </row>
    <row r="1975" spans="1:24" ht="89.25">
      <c r="A1975" s="3" t="s">
        <v>1318</v>
      </c>
      <c r="B1975" s="6" t="s">
        <v>361</v>
      </c>
      <c r="C1975" s="6" t="s">
        <v>4269</v>
      </c>
      <c r="D1975" s="97" t="s">
        <v>343</v>
      </c>
      <c r="E1975" s="42" t="s">
        <v>4270</v>
      </c>
      <c r="F1975" s="42" t="s">
        <v>4619</v>
      </c>
      <c r="G1975" s="3" t="s">
        <v>11449</v>
      </c>
      <c r="H1975" s="54">
        <v>0.5</v>
      </c>
      <c r="I1975" s="55">
        <v>470000000</v>
      </c>
      <c r="J1975" s="56" t="s">
        <v>229</v>
      </c>
      <c r="K1975" s="6" t="s">
        <v>516</v>
      </c>
      <c r="L1975" s="16" t="s">
        <v>4570</v>
      </c>
      <c r="M1975" s="162" t="s">
        <v>230</v>
      </c>
      <c r="N1975" s="15" t="s">
        <v>523</v>
      </c>
      <c r="O1975" s="6" t="s">
        <v>4568</v>
      </c>
      <c r="P1975" s="58" t="s">
        <v>235</v>
      </c>
      <c r="Q1975" s="6" t="s">
        <v>236</v>
      </c>
      <c r="R1975" s="3">
        <v>0.2</v>
      </c>
      <c r="S1975" s="1">
        <v>301645</v>
      </c>
      <c r="T1975" s="4">
        <v>0</v>
      </c>
      <c r="U1975" s="4">
        <f t="shared" si="61"/>
        <v>0</v>
      </c>
      <c r="V1975" s="3"/>
      <c r="W1975" s="3">
        <v>2014</v>
      </c>
      <c r="X1975" s="3" t="s">
        <v>12037</v>
      </c>
    </row>
    <row r="1976" spans="1:24" ht="89.25">
      <c r="A1976" s="3" t="s">
        <v>12492</v>
      </c>
      <c r="B1976" s="6" t="s">
        <v>361</v>
      </c>
      <c r="C1976" s="6" t="s">
        <v>4269</v>
      </c>
      <c r="D1976" s="97" t="s">
        <v>343</v>
      </c>
      <c r="E1976" s="42" t="s">
        <v>4270</v>
      </c>
      <c r="F1976" s="42" t="s">
        <v>4619</v>
      </c>
      <c r="G1976" s="3" t="s">
        <v>11449</v>
      </c>
      <c r="H1976" s="54">
        <v>0.5</v>
      </c>
      <c r="I1976" s="55">
        <v>470000000</v>
      </c>
      <c r="J1976" s="56" t="s">
        <v>229</v>
      </c>
      <c r="K1976" s="6" t="s">
        <v>12441</v>
      </c>
      <c r="L1976" s="17" t="s">
        <v>11411</v>
      </c>
      <c r="M1976" s="162" t="s">
        <v>230</v>
      </c>
      <c r="N1976" s="15" t="s">
        <v>523</v>
      </c>
      <c r="O1976" s="6" t="s">
        <v>4568</v>
      </c>
      <c r="P1976" s="58" t="s">
        <v>235</v>
      </c>
      <c r="Q1976" s="6" t="s">
        <v>236</v>
      </c>
      <c r="R1976" s="3">
        <v>0.2</v>
      </c>
      <c r="S1976" s="1">
        <v>301645</v>
      </c>
      <c r="T1976" s="4">
        <v>0</v>
      </c>
      <c r="U1976" s="4">
        <f t="shared" si="61"/>
        <v>0</v>
      </c>
      <c r="V1976" s="3" t="s">
        <v>362</v>
      </c>
      <c r="W1976" s="3">
        <v>2014</v>
      </c>
      <c r="X1976" s="3">
        <v>11</v>
      </c>
    </row>
    <row r="1977" spans="1:24" ht="89.25">
      <c r="A1977" s="3" t="s">
        <v>14908</v>
      </c>
      <c r="B1977" s="6" t="s">
        <v>361</v>
      </c>
      <c r="C1977" s="6" t="s">
        <v>4269</v>
      </c>
      <c r="D1977" s="97" t="s">
        <v>343</v>
      </c>
      <c r="E1977" s="42" t="s">
        <v>4270</v>
      </c>
      <c r="F1977" s="42" t="s">
        <v>4619</v>
      </c>
      <c r="G1977" s="3" t="s">
        <v>11449</v>
      </c>
      <c r="H1977" s="54">
        <v>0.5</v>
      </c>
      <c r="I1977" s="55">
        <v>470000000</v>
      </c>
      <c r="J1977" s="56" t="s">
        <v>229</v>
      </c>
      <c r="K1977" s="6" t="s">
        <v>222</v>
      </c>
      <c r="L1977" s="17" t="s">
        <v>11411</v>
      </c>
      <c r="M1977" s="162" t="s">
        <v>230</v>
      </c>
      <c r="N1977" s="15" t="s">
        <v>523</v>
      </c>
      <c r="O1977" s="6" t="s">
        <v>4568</v>
      </c>
      <c r="P1977" s="58" t="s">
        <v>235</v>
      </c>
      <c r="Q1977" s="6" t="s">
        <v>236</v>
      </c>
      <c r="R1977" s="3">
        <v>0.2</v>
      </c>
      <c r="S1977" s="1">
        <v>301645</v>
      </c>
      <c r="T1977" s="4">
        <v>0</v>
      </c>
      <c r="U1977" s="4">
        <f t="shared" si="61"/>
        <v>0</v>
      </c>
      <c r="V1977" s="3" t="s">
        <v>362</v>
      </c>
      <c r="W1977" s="3">
        <v>2014</v>
      </c>
      <c r="X1977" s="3">
        <v>14</v>
      </c>
    </row>
    <row r="1978" spans="1:24" ht="89.25">
      <c r="A1978" s="3" t="s">
        <v>17517</v>
      </c>
      <c r="B1978" s="6" t="s">
        <v>361</v>
      </c>
      <c r="C1978" s="6" t="s">
        <v>4269</v>
      </c>
      <c r="D1978" s="97" t="s">
        <v>343</v>
      </c>
      <c r="E1978" s="42" t="s">
        <v>4270</v>
      </c>
      <c r="F1978" s="42" t="s">
        <v>4619</v>
      </c>
      <c r="G1978" s="3" t="s">
        <v>11449</v>
      </c>
      <c r="H1978" s="54">
        <v>0.5</v>
      </c>
      <c r="I1978" s="55">
        <v>470000000</v>
      </c>
      <c r="J1978" s="56" t="s">
        <v>229</v>
      </c>
      <c r="K1978" s="6" t="s">
        <v>222</v>
      </c>
      <c r="L1978" s="17" t="s">
        <v>11411</v>
      </c>
      <c r="M1978" s="162" t="s">
        <v>230</v>
      </c>
      <c r="N1978" s="15" t="s">
        <v>8914</v>
      </c>
      <c r="O1978" s="6" t="s">
        <v>4568</v>
      </c>
      <c r="P1978" s="58" t="s">
        <v>235</v>
      </c>
      <c r="Q1978" s="6" t="s">
        <v>236</v>
      </c>
      <c r="R1978" s="3">
        <v>0.2</v>
      </c>
      <c r="S1978" s="1">
        <v>301645</v>
      </c>
      <c r="T1978" s="4">
        <v>0</v>
      </c>
      <c r="U1978" s="4">
        <f t="shared" si="61"/>
        <v>0</v>
      </c>
      <c r="V1978" s="3" t="s">
        <v>362</v>
      </c>
      <c r="W1978" s="3">
        <v>2014</v>
      </c>
      <c r="X1978" s="3">
        <v>11.22</v>
      </c>
    </row>
    <row r="1979" spans="1:24" ht="89.25">
      <c r="A1979" s="3" t="s">
        <v>19052</v>
      </c>
      <c r="B1979" s="6" t="s">
        <v>361</v>
      </c>
      <c r="C1979" s="6" t="s">
        <v>4269</v>
      </c>
      <c r="D1979" s="97" t="s">
        <v>343</v>
      </c>
      <c r="E1979" s="42" t="s">
        <v>4270</v>
      </c>
      <c r="F1979" s="42" t="s">
        <v>4619</v>
      </c>
      <c r="G1979" s="3" t="s">
        <v>11449</v>
      </c>
      <c r="H1979" s="54">
        <v>0.5</v>
      </c>
      <c r="I1979" s="55">
        <v>470000000</v>
      </c>
      <c r="J1979" s="56" t="s">
        <v>229</v>
      </c>
      <c r="K1979" s="6" t="s">
        <v>18748</v>
      </c>
      <c r="L1979" s="17" t="s">
        <v>11411</v>
      </c>
      <c r="M1979" s="162" t="s">
        <v>230</v>
      </c>
      <c r="N1979" s="15" t="s">
        <v>8914</v>
      </c>
      <c r="O1979" s="6" t="s">
        <v>4568</v>
      </c>
      <c r="P1979" s="58" t="s">
        <v>235</v>
      </c>
      <c r="Q1979" s="6" t="s">
        <v>236</v>
      </c>
      <c r="R1979" s="3">
        <v>0.2</v>
      </c>
      <c r="S1979" s="1">
        <v>301645</v>
      </c>
      <c r="T1979" s="4">
        <f>R1979*S1979</f>
        <v>60329</v>
      </c>
      <c r="U1979" s="4">
        <f t="shared" ref="U1979" si="62">T1979*1.12</f>
        <v>67568.48000000001</v>
      </c>
      <c r="V1979" s="3"/>
      <c r="W1979" s="3">
        <v>2014</v>
      </c>
      <c r="X1979" s="3"/>
    </row>
    <row r="1980" spans="1:24" ht="89.25">
      <c r="A1980" s="3" t="s">
        <v>1319</v>
      </c>
      <c r="B1980" s="6" t="s">
        <v>361</v>
      </c>
      <c r="C1980" s="6" t="s">
        <v>4269</v>
      </c>
      <c r="D1980" s="97" t="s">
        <v>343</v>
      </c>
      <c r="E1980" s="3" t="s">
        <v>4270</v>
      </c>
      <c r="F1980" s="42" t="s">
        <v>4271</v>
      </c>
      <c r="G1980" s="3" t="s">
        <v>11449</v>
      </c>
      <c r="H1980" s="54">
        <v>0.5</v>
      </c>
      <c r="I1980" s="16">
        <v>470000000</v>
      </c>
      <c r="J1980" s="56" t="s">
        <v>229</v>
      </c>
      <c r="K1980" s="6" t="s">
        <v>516</v>
      </c>
      <c r="L1980" s="16" t="s">
        <v>4567</v>
      </c>
      <c r="M1980" s="162" t="s">
        <v>230</v>
      </c>
      <c r="N1980" s="15" t="s">
        <v>523</v>
      </c>
      <c r="O1980" s="6" t="s">
        <v>4568</v>
      </c>
      <c r="P1980" s="58" t="s">
        <v>235</v>
      </c>
      <c r="Q1980" s="6" t="s">
        <v>236</v>
      </c>
      <c r="R1980" s="1">
        <v>0.3</v>
      </c>
      <c r="S1980" s="74">
        <v>315215</v>
      </c>
      <c r="T1980" s="4">
        <v>0</v>
      </c>
      <c r="U1980" s="4">
        <f t="shared" si="61"/>
        <v>0</v>
      </c>
      <c r="V1980" s="3"/>
      <c r="W1980" s="3">
        <v>2014</v>
      </c>
      <c r="X1980" s="3" t="s">
        <v>12037</v>
      </c>
    </row>
    <row r="1981" spans="1:24" ht="89.25">
      <c r="A1981" s="3" t="s">
        <v>12493</v>
      </c>
      <c r="B1981" s="6" t="s">
        <v>361</v>
      </c>
      <c r="C1981" s="6" t="s">
        <v>4269</v>
      </c>
      <c r="D1981" s="97" t="s">
        <v>343</v>
      </c>
      <c r="E1981" s="3" t="s">
        <v>4270</v>
      </c>
      <c r="F1981" s="42" t="s">
        <v>4271</v>
      </c>
      <c r="G1981" s="3" t="s">
        <v>11449</v>
      </c>
      <c r="H1981" s="54">
        <v>0.5</v>
      </c>
      <c r="I1981" s="16">
        <v>470000000</v>
      </c>
      <c r="J1981" s="56" t="s">
        <v>229</v>
      </c>
      <c r="K1981" s="6" t="s">
        <v>12441</v>
      </c>
      <c r="L1981" s="17" t="s">
        <v>11411</v>
      </c>
      <c r="M1981" s="162" t="s">
        <v>230</v>
      </c>
      <c r="N1981" s="15" t="s">
        <v>523</v>
      </c>
      <c r="O1981" s="6" t="s">
        <v>4568</v>
      </c>
      <c r="P1981" s="58" t="s">
        <v>235</v>
      </c>
      <c r="Q1981" s="6" t="s">
        <v>236</v>
      </c>
      <c r="R1981" s="1">
        <v>0.3</v>
      </c>
      <c r="S1981" s="74">
        <v>315215</v>
      </c>
      <c r="T1981" s="4">
        <v>0</v>
      </c>
      <c r="U1981" s="4">
        <f t="shared" si="61"/>
        <v>0</v>
      </c>
      <c r="V1981" s="3" t="s">
        <v>362</v>
      </c>
      <c r="W1981" s="3">
        <v>2014</v>
      </c>
      <c r="X1981" s="3">
        <v>11</v>
      </c>
    </row>
    <row r="1982" spans="1:24" ht="89.25">
      <c r="A1982" s="3" t="s">
        <v>14909</v>
      </c>
      <c r="B1982" s="6" t="s">
        <v>361</v>
      </c>
      <c r="C1982" s="6" t="s">
        <v>4269</v>
      </c>
      <c r="D1982" s="97" t="s">
        <v>343</v>
      </c>
      <c r="E1982" s="3" t="s">
        <v>4270</v>
      </c>
      <c r="F1982" s="42" t="s">
        <v>4271</v>
      </c>
      <c r="G1982" s="3" t="s">
        <v>11449</v>
      </c>
      <c r="H1982" s="54">
        <v>0.5</v>
      </c>
      <c r="I1982" s="16">
        <v>470000000</v>
      </c>
      <c r="J1982" s="56" t="s">
        <v>229</v>
      </c>
      <c r="K1982" s="6" t="s">
        <v>222</v>
      </c>
      <c r="L1982" s="17" t="s">
        <v>11411</v>
      </c>
      <c r="M1982" s="162" t="s">
        <v>230</v>
      </c>
      <c r="N1982" s="15" t="s">
        <v>523</v>
      </c>
      <c r="O1982" s="6" t="s">
        <v>4568</v>
      </c>
      <c r="P1982" s="58" t="s">
        <v>235</v>
      </c>
      <c r="Q1982" s="6" t="s">
        <v>236</v>
      </c>
      <c r="R1982" s="1">
        <v>0.3</v>
      </c>
      <c r="S1982" s="74">
        <v>315215</v>
      </c>
      <c r="T1982" s="4">
        <v>0</v>
      </c>
      <c r="U1982" s="4">
        <f t="shared" si="61"/>
        <v>0</v>
      </c>
      <c r="V1982" s="3" t="s">
        <v>362</v>
      </c>
      <c r="W1982" s="3">
        <v>2014</v>
      </c>
      <c r="X1982" s="3">
        <v>14</v>
      </c>
    </row>
    <row r="1983" spans="1:24" ht="89.25">
      <c r="A1983" s="3" t="s">
        <v>17518</v>
      </c>
      <c r="B1983" s="6" t="s">
        <v>361</v>
      </c>
      <c r="C1983" s="6" t="s">
        <v>4269</v>
      </c>
      <c r="D1983" s="97" t="s">
        <v>343</v>
      </c>
      <c r="E1983" s="3" t="s">
        <v>4270</v>
      </c>
      <c r="F1983" s="42" t="s">
        <v>4271</v>
      </c>
      <c r="G1983" s="3" t="s">
        <v>11449</v>
      </c>
      <c r="H1983" s="54">
        <v>0.5</v>
      </c>
      <c r="I1983" s="16">
        <v>470000000</v>
      </c>
      <c r="J1983" s="56" t="s">
        <v>229</v>
      </c>
      <c r="K1983" s="6" t="s">
        <v>222</v>
      </c>
      <c r="L1983" s="17" t="s">
        <v>11411</v>
      </c>
      <c r="M1983" s="162" t="s">
        <v>230</v>
      </c>
      <c r="N1983" s="15" t="s">
        <v>8914</v>
      </c>
      <c r="O1983" s="6" t="s">
        <v>4568</v>
      </c>
      <c r="P1983" s="58" t="s">
        <v>235</v>
      </c>
      <c r="Q1983" s="6" t="s">
        <v>236</v>
      </c>
      <c r="R1983" s="1">
        <v>0.3</v>
      </c>
      <c r="S1983" s="74">
        <v>315215</v>
      </c>
      <c r="T1983" s="4">
        <f>R1983*S1983</f>
        <v>94564.5</v>
      </c>
      <c r="U1983" s="4">
        <f t="shared" si="61"/>
        <v>105912.24</v>
      </c>
      <c r="V1983" s="3" t="s">
        <v>362</v>
      </c>
      <c r="W1983" s="3">
        <v>2014</v>
      </c>
      <c r="X1983" s="3"/>
    </row>
    <row r="1984" spans="1:24" ht="89.25">
      <c r="A1984" s="3" t="s">
        <v>1320</v>
      </c>
      <c r="B1984" s="6" t="s">
        <v>361</v>
      </c>
      <c r="C1984" s="6" t="s">
        <v>16610</v>
      </c>
      <c r="D1984" s="6" t="s">
        <v>343</v>
      </c>
      <c r="E1984" s="6" t="s">
        <v>16611</v>
      </c>
      <c r="F1984" s="6" t="s">
        <v>4620</v>
      </c>
      <c r="G1984" s="3" t="s">
        <v>11450</v>
      </c>
      <c r="H1984" s="54">
        <v>0</v>
      </c>
      <c r="I1984" s="55">
        <v>470000000</v>
      </c>
      <c r="J1984" s="56" t="s">
        <v>229</v>
      </c>
      <c r="K1984" s="6" t="s">
        <v>517</v>
      </c>
      <c r="L1984" s="16" t="s">
        <v>4570</v>
      </c>
      <c r="M1984" s="162" t="s">
        <v>230</v>
      </c>
      <c r="N1984" s="15" t="s">
        <v>523</v>
      </c>
      <c r="O1984" s="6" t="s">
        <v>4568</v>
      </c>
      <c r="P1984" s="58" t="s">
        <v>235</v>
      </c>
      <c r="Q1984" s="6" t="s">
        <v>236</v>
      </c>
      <c r="R1984" s="3">
        <v>0.4</v>
      </c>
      <c r="S1984" s="1">
        <v>1214566</v>
      </c>
      <c r="T1984" s="4">
        <v>0</v>
      </c>
      <c r="U1984" s="4">
        <f t="shared" si="61"/>
        <v>0</v>
      </c>
      <c r="V1984" s="3"/>
      <c r="W1984" s="3">
        <v>2014</v>
      </c>
      <c r="X1984" s="3" t="s">
        <v>14010</v>
      </c>
    </row>
    <row r="1985" spans="1:24" ht="89.25">
      <c r="A1985" s="3" t="s">
        <v>12371</v>
      </c>
      <c r="B1985" s="6" t="s">
        <v>361</v>
      </c>
      <c r="C1985" s="6" t="s">
        <v>16610</v>
      </c>
      <c r="D1985" s="6" t="s">
        <v>343</v>
      </c>
      <c r="E1985" s="6" t="s">
        <v>16611</v>
      </c>
      <c r="F1985" s="6" t="s">
        <v>4620</v>
      </c>
      <c r="G1985" s="3" t="s">
        <v>11449</v>
      </c>
      <c r="H1985" s="54">
        <v>0</v>
      </c>
      <c r="I1985" s="55">
        <v>470000000</v>
      </c>
      <c r="J1985" s="56" t="s">
        <v>229</v>
      </c>
      <c r="K1985" s="6" t="s">
        <v>12372</v>
      </c>
      <c r="L1985" s="17" t="s">
        <v>11411</v>
      </c>
      <c r="M1985" s="162" t="s">
        <v>230</v>
      </c>
      <c r="N1985" s="15" t="s">
        <v>523</v>
      </c>
      <c r="O1985" s="6" t="s">
        <v>4568</v>
      </c>
      <c r="P1985" s="58" t="s">
        <v>235</v>
      </c>
      <c r="Q1985" s="6" t="s">
        <v>236</v>
      </c>
      <c r="R1985" s="3">
        <v>0.4</v>
      </c>
      <c r="S1985" s="1">
        <v>1214566</v>
      </c>
      <c r="T1985" s="4">
        <v>0</v>
      </c>
      <c r="U1985" s="4">
        <f t="shared" si="61"/>
        <v>0</v>
      </c>
      <c r="V1985" s="3" t="s">
        <v>362</v>
      </c>
      <c r="W1985" s="3">
        <v>2014</v>
      </c>
      <c r="X1985" s="3">
        <v>11</v>
      </c>
    </row>
    <row r="1986" spans="1:24" ht="89.25">
      <c r="A1986" s="3" t="s">
        <v>14910</v>
      </c>
      <c r="B1986" s="6" t="s">
        <v>361</v>
      </c>
      <c r="C1986" s="6" t="s">
        <v>16610</v>
      </c>
      <c r="D1986" s="6" t="s">
        <v>343</v>
      </c>
      <c r="E1986" s="6" t="s">
        <v>16611</v>
      </c>
      <c r="F1986" s="6" t="s">
        <v>4620</v>
      </c>
      <c r="G1986" s="3" t="s">
        <v>11449</v>
      </c>
      <c r="H1986" s="54">
        <v>0</v>
      </c>
      <c r="I1986" s="55">
        <v>470000000</v>
      </c>
      <c r="J1986" s="56" t="s">
        <v>229</v>
      </c>
      <c r="K1986" s="6" t="s">
        <v>222</v>
      </c>
      <c r="L1986" s="17" t="s">
        <v>11411</v>
      </c>
      <c r="M1986" s="162" t="s">
        <v>230</v>
      </c>
      <c r="N1986" s="15" t="s">
        <v>523</v>
      </c>
      <c r="O1986" s="6" t="s">
        <v>4568</v>
      </c>
      <c r="P1986" s="58" t="s">
        <v>235</v>
      </c>
      <c r="Q1986" s="6" t="s">
        <v>236</v>
      </c>
      <c r="R1986" s="3">
        <v>0.4</v>
      </c>
      <c r="S1986" s="1">
        <v>1214566</v>
      </c>
      <c r="T1986" s="4">
        <v>0</v>
      </c>
      <c r="U1986" s="4">
        <f t="shared" si="61"/>
        <v>0</v>
      </c>
      <c r="V1986" s="3" t="s">
        <v>362</v>
      </c>
      <c r="W1986" s="3">
        <v>2014</v>
      </c>
      <c r="X1986" s="3">
        <v>14</v>
      </c>
    </row>
    <row r="1987" spans="1:24" ht="89.25">
      <c r="A1987" s="3" t="s">
        <v>17519</v>
      </c>
      <c r="B1987" s="6" t="s">
        <v>361</v>
      </c>
      <c r="C1987" s="6" t="s">
        <v>16610</v>
      </c>
      <c r="D1987" s="6" t="s">
        <v>343</v>
      </c>
      <c r="E1987" s="6" t="s">
        <v>16611</v>
      </c>
      <c r="F1987" s="6" t="s">
        <v>4620</v>
      </c>
      <c r="G1987" s="3" t="s">
        <v>11449</v>
      </c>
      <c r="H1987" s="54">
        <v>0</v>
      </c>
      <c r="I1987" s="55">
        <v>470000000</v>
      </c>
      <c r="J1987" s="56" t="s">
        <v>229</v>
      </c>
      <c r="K1987" s="6" t="s">
        <v>222</v>
      </c>
      <c r="L1987" s="17" t="s">
        <v>11411</v>
      </c>
      <c r="M1987" s="162" t="s">
        <v>230</v>
      </c>
      <c r="N1987" s="15" t="s">
        <v>8914</v>
      </c>
      <c r="O1987" s="6" t="s">
        <v>4568</v>
      </c>
      <c r="P1987" s="58" t="s">
        <v>235</v>
      </c>
      <c r="Q1987" s="6" t="s">
        <v>236</v>
      </c>
      <c r="R1987" s="3">
        <v>0.4</v>
      </c>
      <c r="S1987" s="1">
        <v>1214566</v>
      </c>
      <c r="T1987" s="4">
        <v>0</v>
      </c>
      <c r="U1987" s="4">
        <f t="shared" si="61"/>
        <v>0</v>
      </c>
      <c r="V1987" s="3" t="s">
        <v>362</v>
      </c>
      <c r="W1987" s="3">
        <v>2014</v>
      </c>
      <c r="X1987" s="3">
        <v>11.22</v>
      </c>
    </row>
    <row r="1988" spans="1:24" ht="89.25">
      <c r="A1988" s="3" t="s">
        <v>19051</v>
      </c>
      <c r="B1988" s="6" t="s">
        <v>361</v>
      </c>
      <c r="C1988" s="6" t="s">
        <v>16610</v>
      </c>
      <c r="D1988" s="6" t="s">
        <v>343</v>
      </c>
      <c r="E1988" s="6" t="s">
        <v>16611</v>
      </c>
      <c r="F1988" s="6" t="s">
        <v>4620</v>
      </c>
      <c r="G1988" s="3" t="s">
        <v>11449</v>
      </c>
      <c r="H1988" s="54">
        <v>0</v>
      </c>
      <c r="I1988" s="55">
        <v>470000000</v>
      </c>
      <c r="J1988" s="56" t="s">
        <v>229</v>
      </c>
      <c r="K1988" s="6" t="s">
        <v>18748</v>
      </c>
      <c r="L1988" s="17" t="s">
        <v>11411</v>
      </c>
      <c r="M1988" s="162" t="s">
        <v>230</v>
      </c>
      <c r="N1988" s="15" t="s">
        <v>8914</v>
      </c>
      <c r="O1988" s="6" t="s">
        <v>4568</v>
      </c>
      <c r="P1988" s="58" t="s">
        <v>235</v>
      </c>
      <c r="Q1988" s="6" t="s">
        <v>236</v>
      </c>
      <c r="R1988" s="3">
        <v>0.4</v>
      </c>
      <c r="S1988" s="1">
        <v>1214566</v>
      </c>
      <c r="T1988" s="4">
        <f>R1988*S1988</f>
        <v>485826.4</v>
      </c>
      <c r="U1988" s="4">
        <f t="shared" ref="U1988" si="63">T1988*1.12</f>
        <v>544125.56800000009</v>
      </c>
      <c r="V1988" s="3"/>
      <c r="W1988" s="3">
        <v>2014</v>
      </c>
      <c r="X1988" s="3"/>
    </row>
    <row r="1989" spans="1:24" ht="89.25">
      <c r="A1989" s="3" t="s">
        <v>1321</v>
      </c>
      <c r="B1989" s="6" t="s">
        <v>361</v>
      </c>
      <c r="C1989" s="6" t="s">
        <v>8310</v>
      </c>
      <c r="D1989" s="97" t="s">
        <v>343</v>
      </c>
      <c r="E1989" s="42" t="s">
        <v>8311</v>
      </c>
      <c r="F1989" s="6" t="s">
        <v>11757</v>
      </c>
      <c r="G1989" s="3" t="s">
        <v>11450</v>
      </c>
      <c r="H1989" s="54">
        <v>0</v>
      </c>
      <c r="I1989" s="16">
        <v>470000000</v>
      </c>
      <c r="J1989" s="56" t="s">
        <v>229</v>
      </c>
      <c r="K1989" s="6" t="s">
        <v>517</v>
      </c>
      <c r="L1989" s="16" t="s">
        <v>4567</v>
      </c>
      <c r="M1989" s="162" t="s">
        <v>230</v>
      </c>
      <c r="N1989" s="15" t="s">
        <v>523</v>
      </c>
      <c r="O1989" s="6" t="s">
        <v>4568</v>
      </c>
      <c r="P1989" s="58" t="s">
        <v>241</v>
      </c>
      <c r="Q1989" s="6" t="s">
        <v>234</v>
      </c>
      <c r="R1989" s="1">
        <v>20</v>
      </c>
      <c r="S1989" s="74">
        <v>23132</v>
      </c>
      <c r="T1989" s="4">
        <v>0</v>
      </c>
      <c r="U1989" s="4">
        <f t="shared" si="61"/>
        <v>0</v>
      </c>
      <c r="V1989" s="3"/>
      <c r="W1989" s="3">
        <v>2014</v>
      </c>
      <c r="X1989" s="3" t="s">
        <v>14010</v>
      </c>
    </row>
    <row r="1990" spans="1:24" ht="89.25">
      <c r="A1990" s="3" t="s">
        <v>12373</v>
      </c>
      <c r="B1990" s="6" t="s">
        <v>361</v>
      </c>
      <c r="C1990" s="6" t="s">
        <v>8310</v>
      </c>
      <c r="D1990" s="97" t="s">
        <v>343</v>
      </c>
      <c r="E1990" s="42" t="s">
        <v>8311</v>
      </c>
      <c r="F1990" s="6" t="s">
        <v>11757</v>
      </c>
      <c r="G1990" s="3" t="s">
        <v>11449</v>
      </c>
      <c r="H1990" s="54">
        <v>0</v>
      </c>
      <c r="I1990" s="16">
        <v>470000000</v>
      </c>
      <c r="J1990" s="56" t="s">
        <v>229</v>
      </c>
      <c r="K1990" s="6" t="s">
        <v>12372</v>
      </c>
      <c r="L1990" s="17" t="s">
        <v>11411</v>
      </c>
      <c r="M1990" s="162" t="s">
        <v>230</v>
      </c>
      <c r="N1990" s="15" t="s">
        <v>523</v>
      </c>
      <c r="O1990" s="6" t="s">
        <v>4568</v>
      </c>
      <c r="P1990" s="58" t="s">
        <v>241</v>
      </c>
      <c r="Q1990" s="6" t="s">
        <v>234</v>
      </c>
      <c r="R1990" s="1">
        <v>20</v>
      </c>
      <c r="S1990" s="74">
        <v>23132</v>
      </c>
      <c r="T1990" s="4">
        <v>0</v>
      </c>
      <c r="U1990" s="4">
        <f t="shared" si="61"/>
        <v>0</v>
      </c>
      <c r="V1990" s="3" t="s">
        <v>362</v>
      </c>
      <c r="W1990" s="3">
        <v>2014</v>
      </c>
      <c r="X1990" s="3">
        <v>11</v>
      </c>
    </row>
    <row r="1991" spans="1:24" ht="89.25">
      <c r="A1991" s="3" t="s">
        <v>14911</v>
      </c>
      <c r="B1991" s="6" t="s">
        <v>361</v>
      </c>
      <c r="C1991" s="6" t="s">
        <v>8310</v>
      </c>
      <c r="D1991" s="97" t="s">
        <v>343</v>
      </c>
      <c r="E1991" s="42" t="s">
        <v>8311</v>
      </c>
      <c r="F1991" s="6" t="s">
        <v>11757</v>
      </c>
      <c r="G1991" s="3" t="s">
        <v>11449</v>
      </c>
      <c r="H1991" s="54">
        <v>0</v>
      </c>
      <c r="I1991" s="16">
        <v>470000000</v>
      </c>
      <c r="J1991" s="56" t="s">
        <v>229</v>
      </c>
      <c r="K1991" s="6" t="s">
        <v>222</v>
      </c>
      <c r="L1991" s="17" t="s">
        <v>11411</v>
      </c>
      <c r="M1991" s="162" t="s">
        <v>230</v>
      </c>
      <c r="N1991" s="15" t="s">
        <v>523</v>
      </c>
      <c r="O1991" s="6" t="s">
        <v>4568</v>
      </c>
      <c r="P1991" s="58" t="s">
        <v>241</v>
      </c>
      <c r="Q1991" s="6" t="s">
        <v>234</v>
      </c>
      <c r="R1991" s="1">
        <v>20</v>
      </c>
      <c r="S1991" s="74">
        <v>23132</v>
      </c>
      <c r="T1991" s="4">
        <v>0</v>
      </c>
      <c r="U1991" s="4">
        <f t="shared" si="61"/>
        <v>0</v>
      </c>
      <c r="V1991" s="3" t="s">
        <v>362</v>
      </c>
      <c r="W1991" s="3">
        <v>2014</v>
      </c>
      <c r="X1991" s="3">
        <v>14</v>
      </c>
    </row>
    <row r="1992" spans="1:24" ht="89.25">
      <c r="A1992" s="3" t="s">
        <v>17520</v>
      </c>
      <c r="B1992" s="6" t="s">
        <v>361</v>
      </c>
      <c r="C1992" s="6" t="s">
        <v>8310</v>
      </c>
      <c r="D1992" s="97" t="s">
        <v>343</v>
      </c>
      <c r="E1992" s="42" t="s">
        <v>8311</v>
      </c>
      <c r="F1992" s="6" t="s">
        <v>11757</v>
      </c>
      <c r="G1992" s="3" t="s">
        <v>11449</v>
      </c>
      <c r="H1992" s="54">
        <v>0</v>
      </c>
      <c r="I1992" s="16">
        <v>470000000</v>
      </c>
      <c r="J1992" s="56" t="s">
        <v>229</v>
      </c>
      <c r="K1992" s="6" t="s">
        <v>222</v>
      </c>
      <c r="L1992" s="17" t="s">
        <v>11411</v>
      </c>
      <c r="M1992" s="162" t="s">
        <v>230</v>
      </c>
      <c r="N1992" s="15" t="s">
        <v>8914</v>
      </c>
      <c r="O1992" s="6" t="s">
        <v>4568</v>
      </c>
      <c r="P1992" s="58" t="s">
        <v>241</v>
      </c>
      <c r="Q1992" s="6" t="s">
        <v>234</v>
      </c>
      <c r="R1992" s="1">
        <v>20</v>
      </c>
      <c r="S1992" s="74">
        <v>23132</v>
      </c>
      <c r="T1992" s="4">
        <v>0</v>
      </c>
      <c r="U1992" s="4">
        <f t="shared" si="61"/>
        <v>0</v>
      </c>
      <c r="V1992" s="3" t="s">
        <v>362</v>
      </c>
      <c r="W1992" s="3">
        <v>2014</v>
      </c>
      <c r="X1992" s="3">
        <v>11.22</v>
      </c>
    </row>
    <row r="1993" spans="1:24" ht="89.25">
      <c r="A1993" s="3" t="s">
        <v>19048</v>
      </c>
      <c r="B1993" s="6" t="s">
        <v>361</v>
      </c>
      <c r="C1993" s="6" t="s">
        <v>8310</v>
      </c>
      <c r="D1993" s="97" t="s">
        <v>343</v>
      </c>
      <c r="E1993" s="42" t="s">
        <v>8311</v>
      </c>
      <c r="F1993" s="6" t="s">
        <v>11757</v>
      </c>
      <c r="G1993" s="3" t="s">
        <v>11449</v>
      </c>
      <c r="H1993" s="54">
        <v>0</v>
      </c>
      <c r="I1993" s="16">
        <v>470000000</v>
      </c>
      <c r="J1993" s="56" t="s">
        <v>229</v>
      </c>
      <c r="K1993" s="6" t="s">
        <v>18748</v>
      </c>
      <c r="L1993" s="17" t="s">
        <v>11411</v>
      </c>
      <c r="M1993" s="162" t="s">
        <v>230</v>
      </c>
      <c r="N1993" s="15" t="s">
        <v>8914</v>
      </c>
      <c r="O1993" s="6" t="s">
        <v>4568</v>
      </c>
      <c r="P1993" s="58" t="s">
        <v>241</v>
      </c>
      <c r="Q1993" s="6" t="s">
        <v>234</v>
      </c>
      <c r="R1993" s="1">
        <v>20</v>
      </c>
      <c r="S1993" s="74">
        <v>23132</v>
      </c>
      <c r="T1993" s="4">
        <f>R1993*S1993</f>
        <v>462640</v>
      </c>
      <c r="U1993" s="4">
        <f t="shared" si="61"/>
        <v>518156.80000000005</v>
      </c>
      <c r="V1993" s="3"/>
      <c r="W1993" s="3">
        <v>2014</v>
      </c>
      <c r="X1993" s="3"/>
    </row>
    <row r="1994" spans="1:24" ht="89.25">
      <c r="A1994" s="3" t="s">
        <v>1322</v>
      </c>
      <c r="B1994" s="6" t="s">
        <v>361</v>
      </c>
      <c r="C1994" s="6" t="s">
        <v>8310</v>
      </c>
      <c r="D1994" s="97" t="s">
        <v>343</v>
      </c>
      <c r="E1994" s="42" t="s">
        <v>8311</v>
      </c>
      <c r="F1994" s="6" t="s">
        <v>11758</v>
      </c>
      <c r="G1994" s="3" t="s">
        <v>11450</v>
      </c>
      <c r="H1994" s="54">
        <v>0</v>
      </c>
      <c r="I1994" s="55">
        <v>470000000</v>
      </c>
      <c r="J1994" s="56" t="s">
        <v>229</v>
      </c>
      <c r="K1994" s="6" t="s">
        <v>517</v>
      </c>
      <c r="L1994" s="16" t="s">
        <v>4570</v>
      </c>
      <c r="M1994" s="162" t="s">
        <v>230</v>
      </c>
      <c r="N1994" s="15" t="s">
        <v>523</v>
      </c>
      <c r="O1994" s="6" t="s">
        <v>4568</v>
      </c>
      <c r="P1994" s="58" t="s">
        <v>235</v>
      </c>
      <c r="Q1994" s="6" t="s">
        <v>236</v>
      </c>
      <c r="R1994" s="3">
        <v>0.5</v>
      </c>
      <c r="S1994" s="1">
        <v>1656560</v>
      </c>
      <c r="T1994" s="4">
        <v>0</v>
      </c>
      <c r="U1994" s="4">
        <f t="shared" si="61"/>
        <v>0</v>
      </c>
      <c r="V1994" s="3"/>
      <c r="W1994" s="3">
        <v>2014</v>
      </c>
      <c r="X1994" s="3" t="s">
        <v>14010</v>
      </c>
    </row>
    <row r="1995" spans="1:24" ht="89.25">
      <c r="A1995" s="3" t="s">
        <v>12374</v>
      </c>
      <c r="B1995" s="6" t="s">
        <v>361</v>
      </c>
      <c r="C1995" s="6" t="s">
        <v>8310</v>
      </c>
      <c r="D1995" s="97" t="s">
        <v>343</v>
      </c>
      <c r="E1995" s="42" t="s">
        <v>8311</v>
      </c>
      <c r="F1995" s="6" t="s">
        <v>11758</v>
      </c>
      <c r="G1995" s="3" t="s">
        <v>11449</v>
      </c>
      <c r="H1995" s="54">
        <v>0</v>
      </c>
      <c r="I1995" s="55">
        <v>470000000</v>
      </c>
      <c r="J1995" s="56" t="s">
        <v>229</v>
      </c>
      <c r="K1995" s="6" t="s">
        <v>12372</v>
      </c>
      <c r="L1995" s="17" t="s">
        <v>11411</v>
      </c>
      <c r="M1995" s="162" t="s">
        <v>230</v>
      </c>
      <c r="N1995" s="15" t="s">
        <v>523</v>
      </c>
      <c r="O1995" s="6" t="s">
        <v>4568</v>
      </c>
      <c r="P1995" s="58" t="s">
        <v>235</v>
      </c>
      <c r="Q1995" s="6" t="s">
        <v>236</v>
      </c>
      <c r="R1995" s="3">
        <v>0.5</v>
      </c>
      <c r="S1995" s="1">
        <v>1656560</v>
      </c>
      <c r="T1995" s="4">
        <v>0</v>
      </c>
      <c r="U1995" s="4">
        <f t="shared" si="61"/>
        <v>0</v>
      </c>
      <c r="V1995" s="3" t="s">
        <v>362</v>
      </c>
      <c r="W1995" s="3">
        <v>2014</v>
      </c>
      <c r="X1995" s="3">
        <v>11</v>
      </c>
    </row>
    <row r="1996" spans="1:24" ht="89.25">
      <c r="A1996" s="3" t="s">
        <v>14912</v>
      </c>
      <c r="B1996" s="6" t="s">
        <v>361</v>
      </c>
      <c r="C1996" s="6" t="s">
        <v>8310</v>
      </c>
      <c r="D1996" s="97" t="s">
        <v>343</v>
      </c>
      <c r="E1996" s="42" t="s">
        <v>8311</v>
      </c>
      <c r="F1996" s="6" t="s">
        <v>11758</v>
      </c>
      <c r="G1996" s="3" t="s">
        <v>11449</v>
      </c>
      <c r="H1996" s="54">
        <v>0</v>
      </c>
      <c r="I1996" s="55">
        <v>470000000</v>
      </c>
      <c r="J1996" s="56" t="s">
        <v>229</v>
      </c>
      <c r="K1996" s="6" t="s">
        <v>222</v>
      </c>
      <c r="L1996" s="17" t="s">
        <v>11411</v>
      </c>
      <c r="M1996" s="162" t="s">
        <v>230</v>
      </c>
      <c r="N1996" s="15" t="s">
        <v>523</v>
      </c>
      <c r="O1996" s="6" t="s">
        <v>4568</v>
      </c>
      <c r="P1996" s="58" t="s">
        <v>235</v>
      </c>
      <c r="Q1996" s="6" t="s">
        <v>236</v>
      </c>
      <c r="R1996" s="3">
        <v>0.5</v>
      </c>
      <c r="S1996" s="1">
        <v>1656560</v>
      </c>
      <c r="T1996" s="4">
        <v>0</v>
      </c>
      <c r="U1996" s="4">
        <f t="shared" si="61"/>
        <v>0</v>
      </c>
      <c r="V1996" s="3" t="s">
        <v>362</v>
      </c>
      <c r="W1996" s="3">
        <v>2014</v>
      </c>
      <c r="X1996" s="3">
        <v>14</v>
      </c>
    </row>
    <row r="1997" spans="1:24" ht="89.25">
      <c r="A1997" s="3" t="s">
        <v>17521</v>
      </c>
      <c r="B1997" s="6" t="s">
        <v>361</v>
      </c>
      <c r="C1997" s="6" t="s">
        <v>8310</v>
      </c>
      <c r="D1997" s="97" t="s">
        <v>343</v>
      </c>
      <c r="E1997" s="42" t="s">
        <v>8311</v>
      </c>
      <c r="F1997" s="6" t="s">
        <v>11758</v>
      </c>
      <c r="G1997" s="3" t="s">
        <v>11449</v>
      </c>
      <c r="H1997" s="54">
        <v>0</v>
      </c>
      <c r="I1997" s="55">
        <v>470000000</v>
      </c>
      <c r="J1997" s="56" t="s">
        <v>229</v>
      </c>
      <c r="K1997" s="6" t="s">
        <v>222</v>
      </c>
      <c r="L1997" s="17" t="s">
        <v>11411</v>
      </c>
      <c r="M1997" s="162" t="s">
        <v>230</v>
      </c>
      <c r="N1997" s="15" t="s">
        <v>8914</v>
      </c>
      <c r="O1997" s="6" t="s">
        <v>4568</v>
      </c>
      <c r="P1997" s="58" t="s">
        <v>235</v>
      </c>
      <c r="Q1997" s="6" t="s">
        <v>236</v>
      </c>
      <c r="R1997" s="3">
        <v>0.5</v>
      </c>
      <c r="S1997" s="1">
        <v>1656560</v>
      </c>
      <c r="T1997" s="4">
        <v>0</v>
      </c>
      <c r="U1997" s="4">
        <f t="shared" si="61"/>
        <v>0</v>
      </c>
      <c r="V1997" s="3" t="s">
        <v>362</v>
      </c>
      <c r="W1997" s="3">
        <v>2014</v>
      </c>
      <c r="X1997" s="3">
        <v>11.22</v>
      </c>
    </row>
    <row r="1998" spans="1:24" ht="89.25">
      <c r="A1998" s="3" t="s">
        <v>19049</v>
      </c>
      <c r="B1998" s="6" t="s">
        <v>361</v>
      </c>
      <c r="C1998" s="6" t="s">
        <v>8310</v>
      </c>
      <c r="D1998" s="97" t="s">
        <v>343</v>
      </c>
      <c r="E1998" s="42" t="s">
        <v>8311</v>
      </c>
      <c r="F1998" s="6" t="s">
        <v>11758</v>
      </c>
      <c r="G1998" s="3" t="s">
        <v>11449</v>
      </c>
      <c r="H1998" s="54">
        <v>0</v>
      </c>
      <c r="I1998" s="55">
        <v>470000000</v>
      </c>
      <c r="J1998" s="56" t="s">
        <v>229</v>
      </c>
      <c r="K1998" s="6" t="s">
        <v>18748</v>
      </c>
      <c r="L1998" s="17" t="s">
        <v>11411</v>
      </c>
      <c r="M1998" s="162" t="s">
        <v>230</v>
      </c>
      <c r="N1998" s="15" t="s">
        <v>8914</v>
      </c>
      <c r="O1998" s="6" t="s">
        <v>4568</v>
      </c>
      <c r="P1998" s="58" t="s">
        <v>235</v>
      </c>
      <c r="Q1998" s="6" t="s">
        <v>236</v>
      </c>
      <c r="R1998" s="3">
        <v>0.5</v>
      </c>
      <c r="S1998" s="1">
        <v>1656560</v>
      </c>
      <c r="T1998" s="4">
        <f>R1998*S1998</f>
        <v>828280</v>
      </c>
      <c r="U1998" s="4">
        <f t="shared" ref="U1998" si="64">T1998*1.12</f>
        <v>927673.60000000009</v>
      </c>
      <c r="V1998" s="3"/>
      <c r="W1998" s="3">
        <v>2014</v>
      </c>
      <c r="X1998" s="3"/>
    </row>
    <row r="1999" spans="1:24" ht="89.25">
      <c r="A1999" s="3" t="s">
        <v>1323</v>
      </c>
      <c r="B1999" s="6" t="s">
        <v>361</v>
      </c>
      <c r="C1999" s="6" t="s">
        <v>8310</v>
      </c>
      <c r="D1999" s="97" t="s">
        <v>343</v>
      </c>
      <c r="E1999" s="42" t="s">
        <v>8311</v>
      </c>
      <c r="F1999" s="6" t="s">
        <v>4621</v>
      </c>
      <c r="G1999" s="3" t="s">
        <v>11450</v>
      </c>
      <c r="H1999" s="54">
        <v>0</v>
      </c>
      <c r="I1999" s="16">
        <v>470000000</v>
      </c>
      <c r="J1999" s="56" t="s">
        <v>229</v>
      </c>
      <c r="K1999" s="6" t="s">
        <v>517</v>
      </c>
      <c r="L1999" s="16" t="s">
        <v>4567</v>
      </c>
      <c r="M1999" s="162" t="s">
        <v>230</v>
      </c>
      <c r="N1999" s="15" t="s">
        <v>523</v>
      </c>
      <c r="O1999" s="6" t="s">
        <v>4568</v>
      </c>
      <c r="P1999" s="58" t="s">
        <v>241</v>
      </c>
      <c r="Q1999" s="6" t="s">
        <v>234</v>
      </c>
      <c r="R1999" s="1">
        <v>1</v>
      </c>
      <c r="S1999" s="74">
        <v>57246.13</v>
      </c>
      <c r="T1999" s="4">
        <v>0</v>
      </c>
      <c r="U1999" s="4">
        <f t="shared" si="61"/>
        <v>0</v>
      </c>
      <c r="V1999" s="3"/>
      <c r="W1999" s="3">
        <v>2014</v>
      </c>
      <c r="X1999" s="3" t="s">
        <v>14010</v>
      </c>
    </row>
    <row r="2000" spans="1:24" ht="89.25">
      <c r="A2000" s="3" t="s">
        <v>12375</v>
      </c>
      <c r="B2000" s="6" t="s">
        <v>361</v>
      </c>
      <c r="C2000" s="6" t="s">
        <v>8310</v>
      </c>
      <c r="D2000" s="97" t="s">
        <v>343</v>
      </c>
      <c r="E2000" s="42" t="s">
        <v>8311</v>
      </c>
      <c r="F2000" s="6" t="s">
        <v>4621</v>
      </c>
      <c r="G2000" s="3" t="s">
        <v>11449</v>
      </c>
      <c r="H2000" s="54">
        <v>0</v>
      </c>
      <c r="I2000" s="16">
        <v>470000000</v>
      </c>
      <c r="J2000" s="56" t="s">
        <v>229</v>
      </c>
      <c r="K2000" s="6" t="s">
        <v>12372</v>
      </c>
      <c r="L2000" s="17" t="s">
        <v>11411</v>
      </c>
      <c r="M2000" s="162" t="s">
        <v>230</v>
      </c>
      <c r="N2000" s="15" t="s">
        <v>523</v>
      </c>
      <c r="O2000" s="6" t="s">
        <v>4568</v>
      </c>
      <c r="P2000" s="58" t="s">
        <v>241</v>
      </c>
      <c r="Q2000" s="6" t="s">
        <v>234</v>
      </c>
      <c r="R2000" s="1">
        <v>1</v>
      </c>
      <c r="S2000" s="74">
        <v>57246.13</v>
      </c>
      <c r="T2000" s="4">
        <v>0</v>
      </c>
      <c r="U2000" s="4">
        <f t="shared" si="61"/>
        <v>0</v>
      </c>
      <c r="V2000" s="3" t="s">
        <v>362</v>
      </c>
      <c r="W2000" s="3">
        <v>2014</v>
      </c>
      <c r="X2000" s="3">
        <v>11</v>
      </c>
    </row>
    <row r="2001" spans="1:24" ht="89.25">
      <c r="A2001" s="3" t="s">
        <v>14913</v>
      </c>
      <c r="B2001" s="6" t="s">
        <v>361</v>
      </c>
      <c r="C2001" s="6" t="s">
        <v>8310</v>
      </c>
      <c r="D2001" s="97" t="s">
        <v>343</v>
      </c>
      <c r="E2001" s="42" t="s">
        <v>8311</v>
      </c>
      <c r="F2001" s="6" t="s">
        <v>4621</v>
      </c>
      <c r="G2001" s="3" t="s">
        <v>11449</v>
      </c>
      <c r="H2001" s="54">
        <v>0</v>
      </c>
      <c r="I2001" s="16">
        <v>470000000</v>
      </c>
      <c r="J2001" s="56" t="s">
        <v>229</v>
      </c>
      <c r="K2001" s="6" t="s">
        <v>222</v>
      </c>
      <c r="L2001" s="17" t="s">
        <v>11411</v>
      </c>
      <c r="M2001" s="162" t="s">
        <v>230</v>
      </c>
      <c r="N2001" s="15" t="s">
        <v>523</v>
      </c>
      <c r="O2001" s="6" t="s">
        <v>4568</v>
      </c>
      <c r="P2001" s="58" t="s">
        <v>241</v>
      </c>
      <c r="Q2001" s="6" t="s">
        <v>234</v>
      </c>
      <c r="R2001" s="1">
        <v>1</v>
      </c>
      <c r="S2001" s="74">
        <v>57246.13</v>
      </c>
      <c r="T2001" s="4">
        <v>0</v>
      </c>
      <c r="U2001" s="4">
        <f t="shared" si="61"/>
        <v>0</v>
      </c>
      <c r="V2001" s="3" t="s">
        <v>362</v>
      </c>
      <c r="W2001" s="3">
        <v>2014</v>
      </c>
      <c r="X2001" s="3">
        <v>14</v>
      </c>
    </row>
    <row r="2002" spans="1:24" ht="89.25">
      <c r="A2002" s="3" t="s">
        <v>17522</v>
      </c>
      <c r="B2002" s="6" t="s">
        <v>361</v>
      </c>
      <c r="C2002" s="6" t="s">
        <v>8310</v>
      </c>
      <c r="D2002" s="97" t="s">
        <v>343</v>
      </c>
      <c r="E2002" s="42" t="s">
        <v>8311</v>
      </c>
      <c r="F2002" s="6" t="s">
        <v>4621</v>
      </c>
      <c r="G2002" s="3" t="s">
        <v>11449</v>
      </c>
      <c r="H2002" s="54">
        <v>0</v>
      </c>
      <c r="I2002" s="16">
        <v>470000000</v>
      </c>
      <c r="J2002" s="56" t="s">
        <v>229</v>
      </c>
      <c r="K2002" s="6" t="s">
        <v>222</v>
      </c>
      <c r="L2002" s="17" t="s">
        <v>11411</v>
      </c>
      <c r="M2002" s="162" t="s">
        <v>230</v>
      </c>
      <c r="N2002" s="15" t="s">
        <v>8914</v>
      </c>
      <c r="O2002" s="6" t="s">
        <v>4568</v>
      </c>
      <c r="P2002" s="58" t="s">
        <v>241</v>
      </c>
      <c r="Q2002" s="6" t="s">
        <v>234</v>
      </c>
      <c r="R2002" s="1">
        <v>1</v>
      </c>
      <c r="S2002" s="74">
        <v>57246.13</v>
      </c>
      <c r="T2002" s="4">
        <v>0</v>
      </c>
      <c r="U2002" s="4">
        <f t="shared" si="61"/>
        <v>0</v>
      </c>
      <c r="V2002" s="3" t="s">
        <v>362</v>
      </c>
      <c r="W2002" s="3">
        <v>2014</v>
      </c>
      <c r="X2002" s="3">
        <v>11.22</v>
      </c>
    </row>
    <row r="2003" spans="1:24" ht="89.25">
      <c r="A2003" s="3" t="s">
        <v>19050</v>
      </c>
      <c r="B2003" s="6" t="s">
        <v>361</v>
      </c>
      <c r="C2003" s="6" t="s">
        <v>8310</v>
      </c>
      <c r="D2003" s="97" t="s">
        <v>343</v>
      </c>
      <c r="E2003" s="42" t="s">
        <v>8311</v>
      </c>
      <c r="F2003" s="6" t="s">
        <v>4621</v>
      </c>
      <c r="G2003" s="3" t="s">
        <v>11449</v>
      </c>
      <c r="H2003" s="54">
        <v>0</v>
      </c>
      <c r="I2003" s="16">
        <v>470000000</v>
      </c>
      <c r="J2003" s="56" t="s">
        <v>229</v>
      </c>
      <c r="K2003" s="6" t="s">
        <v>18748</v>
      </c>
      <c r="L2003" s="17" t="s">
        <v>11411</v>
      </c>
      <c r="M2003" s="162" t="s">
        <v>230</v>
      </c>
      <c r="N2003" s="15" t="s">
        <v>8914</v>
      </c>
      <c r="O2003" s="6" t="s">
        <v>4568</v>
      </c>
      <c r="P2003" s="58" t="s">
        <v>241</v>
      </c>
      <c r="Q2003" s="6" t="s">
        <v>234</v>
      </c>
      <c r="R2003" s="1">
        <v>1</v>
      </c>
      <c r="S2003" s="74">
        <v>57246.13</v>
      </c>
      <c r="T2003" s="4">
        <f>R2003*S2003</f>
        <v>57246.13</v>
      </c>
      <c r="U2003" s="4">
        <f t="shared" ref="U2003" si="65">T2003*1.12</f>
        <v>64115.6656</v>
      </c>
      <c r="V2003" s="3"/>
      <c r="W2003" s="3">
        <v>2014</v>
      </c>
      <c r="X2003" s="3"/>
    </row>
    <row r="2004" spans="1:24" ht="89.25">
      <c r="A2004" s="3" t="s">
        <v>1324</v>
      </c>
      <c r="B2004" s="6" t="s">
        <v>361</v>
      </c>
      <c r="C2004" s="6" t="s">
        <v>4272</v>
      </c>
      <c r="D2004" s="42" t="s">
        <v>343</v>
      </c>
      <c r="E2004" s="42" t="s">
        <v>4273</v>
      </c>
      <c r="F2004" s="42" t="s">
        <v>4622</v>
      </c>
      <c r="G2004" s="3" t="s">
        <v>11450</v>
      </c>
      <c r="H2004" s="54">
        <v>0</v>
      </c>
      <c r="I2004" s="55">
        <v>470000000</v>
      </c>
      <c r="J2004" s="56" t="s">
        <v>229</v>
      </c>
      <c r="K2004" s="6" t="s">
        <v>517</v>
      </c>
      <c r="L2004" s="16" t="s">
        <v>4570</v>
      </c>
      <c r="M2004" s="162" t="s">
        <v>230</v>
      </c>
      <c r="N2004" s="15" t="s">
        <v>523</v>
      </c>
      <c r="O2004" s="6" t="s">
        <v>4568</v>
      </c>
      <c r="P2004" s="58" t="s">
        <v>235</v>
      </c>
      <c r="Q2004" s="6" t="s">
        <v>236</v>
      </c>
      <c r="R2004" s="3">
        <v>0.15</v>
      </c>
      <c r="S2004" s="1">
        <v>625680</v>
      </c>
      <c r="T2004" s="4">
        <v>0</v>
      </c>
      <c r="U2004" s="4">
        <f t="shared" si="61"/>
        <v>0</v>
      </c>
      <c r="V2004" s="3"/>
      <c r="W2004" s="3">
        <v>2014</v>
      </c>
      <c r="X2004" s="3">
        <v>11.12</v>
      </c>
    </row>
    <row r="2005" spans="1:24" ht="89.25">
      <c r="A2005" s="3" t="s">
        <v>12376</v>
      </c>
      <c r="B2005" s="6" t="s">
        <v>361</v>
      </c>
      <c r="C2005" s="6" t="s">
        <v>4272</v>
      </c>
      <c r="D2005" s="42" t="s">
        <v>343</v>
      </c>
      <c r="E2005" s="42" t="s">
        <v>4273</v>
      </c>
      <c r="F2005" s="42" t="s">
        <v>4622</v>
      </c>
      <c r="G2005" s="3" t="s">
        <v>11450</v>
      </c>
      <c r="H2005" s="54">
        <v>0</v>
      </c>
      <c r="I2005" s="55">
        <v>470000000</v>
      </c>
      <c r="J2005" s="56" t="s">
        <v>229</v>
      </c>
      <c r="K2005" s="6" t="s">
        <v>12372</v>
      </c>
      <c r="L2005" s="17" t="s">
        <v>11411</v>
      </c>
      <c r="M2005" s="162" t="s">
        <v>230</v>
      </c>
      <c r="N2005" s="15" t="s">
        <v>523</v>
      </c>
      <c r="O2005" s="6" t="s">
        <v>4568</v>
      </c>
      <c r="P2005" s="58" t="s">
        <v>235</v>
      </c>
      <c r="Q2005" s="6" t="s">
        <v>236</v>
      </c>
      <c r="R2005" s="3">
        <v>0.15</v>
      </c>
      <c r="S2005" s="1">
        <v>625680</v>
      </c>
      <c r="T2005" s="4">
        <v>0</v>
      </c>
      <c r="U2005" s="4">
        <f t="shared" si="61"/>
        <v>0</v>
      </c>
      <c r="V2005" s="3"/>
      <c r="W2005" s="3">
        <v>2014</v>
      </c>
      <c r="X2005" s="3">
        <v>11</v>
      </c>
    </row>
    <row r="2006" spans="1:24" ht="89.25">
      <c r="A2006" s="3" t="s">
        <v>14914</v>
      </c>
      <c r="B2006" s="6" t="s">
        <v>361</v>
      </c>
      <c r="C2006" s="6" t="s">
        <v>4272</v>
      </c>
      <c r="D2006" s="42" t="s">
        <v>343</v>
      </c>
      <c r="E2006" s="42" t="s">
        <v>4273</v>
      </c>
      <c r="F2006" s="42" t="s">
        <v>4622</v>
      </c>
      <c r="G2006" s="3" t="s">
        <v>11450</v>
      </c>
      <c r="H2006" s="54">
        <v>0</v>
      </c>
      <c r="I2006" s="55">
        <v>470000000</v>
      </c>
      <c r="J2006" s="56" t="s">
        <v>229</v>
      </c>
      <c r="K2006" s="6" t="s">
        <v>222</v>
      </c>
      <c r="L2006" s="17" t="s">
        <v>11411</v>
      </c>
      <c r="M2006" s="162" t="s">
        <v>230</v>
      </c>
      <c r="N2006" s="15" t="s">
        <v>523</v>
      </c>
      <c r="O2006" s="6" t="s">
        <v>4568</v>
      </c>
      <c r="P2006" s="58" t="s">
        <v>235</v>
      </c>
      <c r="Q2006" s="6" t="s">
        <v>236</v>
      </c>
      <c r="R2006" s="3">
        <v>0.15</v>
      </c>
      <c r="S2006" s="1">
        <v>625680</v>
      </c>
      <c r="T2006" s="4">
        <v>0</v>
      </c>
      <c r="U2006" s="4">
        <f t="shared" si="61"/>
        <v>0</v>
      </c>
      <c r="V2006" s="3"/>
      <c r="W2006" s="3">
        <v>2014</v>
      </c>
      <c r="X2006" s="3">
        <v>14</v>
      </c>
    </row>
    <row r="2007" spans="1:24" ht="89.25">
      <c r="A2007" s="3" t="s">
        <v>17523</v>
      </c>
      <c r="B2007" s="6" t="s">
        <v>361</v>
      </c>
      <c r="C2007" s="6" t="s">
        <v>4272</v>
      </c>
      <c r="D2007" s="42" t="s">
        <v>343</v>
      </c>
      <c r="E2007" s="42" t="s">
        <v>4273</v>
      </c>
      <c r="F2007" s="42" t="s">
        <v>4622</v>
      </c>
      <c r="G2007" s="3" t="s">
        <v>11450</v>
      </c>
      <c r="H2007" s="54">
        <v>0</v>
      </c>
      <c r="I2007" s="55">
        <v>470000000</v>
      </c>
      <c r="J2007" s="56" t="s">
        <v>229</v>
      </c>
      <c r="K2007" s="6" t="s">
        <v>222</v>
      </c>
      <c r="L2007" s="17" t="s">
        <v>11411</v>
      </c>
      <c r="M2007" s="162" t="s">
        <v>230</v>
      </c>
      <c r="N2007" s="15" t="s">
        <v>8914</v>
      </c>
      <c r="O2007" s="6" t="s">
        <v>4568</v>
      </c>
      <c r="P2007" s="58" t="s">
        <v>235</v>
      </c>
      <c r="Q2007" s="6" t="s">
        <v>236</v>
      </c>
      <c r="R2007" s="3">
        <v>0.15</v>
      </c>
      <c r="S2007" s="1">
        <v>625680</v>
      </c>
      <c r="T2007" s="4">
        <v>0</v>
      </c>
      <c r="U2007" s="4">
        <f t="shared" si="61"/>
        <v>0</v>
      </c>
      <c r="V2007" s="3"/>
      <c r="W2007" s="3">
        <v>2014</v>
      </c>
      <c r="X2007" s="3" t="s">
        <v>12076</v>
      </c>
    </row>
    <row r="2008" spans="1:24" ht="89.25">
      <c r="A2008" s="3" t="s">
        <v>1325</v>
      </c>
      <c r="B2008" s="6" t="s">
        <v>361</v>
      </c>
      <c r="C2008" s="6" t="s">
        <v>4274</v>
      </c>
      <c r="D2008" s="42" t="s">
        <v>343</v>
      </c>
      <c r="E2008" s="42" t="s">
        <v>4275</v>
      </c>
      <c r="F2008" s="42" t="s">
        <v>4623</v>
      </c>
      <c r="G2008" s="3" t="s">
        <v>11450</v>
      </c>
      <c r="H2008" s="54">
        <v>0</v>
      </c>
      <c r="I2008" s="16">
        <v>470000000</v>
      </c>
      <c r="J2008" s="56" t="s">
        <v>229</v>
      </c>
      <c r="K2008" s="6" t="s">
        <v>517</v>
      </c>
      <c r="L2008" s="16" t="s">
        <v>4567</v>
      </c>
      <c r="M2008" s="162" t="s">
        <v>230</v>
      </c>
      <c r="N2008" s="15" t="s">
        <v>523</v>
      </c>
      <c r="O2008" s="6" t="s">
        <v>4568</v>
      </c>
      <c r="P2008" s="58" t="s">
        <v>235</v>
      </c>
      <c r="Q2008" s="6" t="s">
        <v>236</v>
      </c>
      <c r="R2008" s="1">
        <v>6.1</v>
      </c>
      <c r="S2008" s="74">
        <v>259708</v>
      </c>
      <c r="T2008" s="4">
        <v>0</v>
      </c>
      <c r="U2008" s="4">
        <f t="shared" si="61"/>
        <v>0</v>
      </c>
      <c r="V2008" s="3"/>
      <c r="W2008" s="3">
        <v>2014</v>
      </c>
      <c r="X2008" s="3">
        <v>11.12</v>
      </c>
    </row>
    <row r="2009" spans="1:24" ht="89.25">
      <c r="A2009" s="3" t="s">
        <v>12377</v>
      </c>
      <c r="B2009" s="6" t="s">
        <v>361</v>
      </c>
      <c r="C2009" s="6" t="s">
        <v>4274</v>
      </c>
      <c r="D2009" s="42" t="s">
        <v>343</v>
      </c>
      <c r="E2009" s="42" t="s">
        <v>4275</v>
      </c>
      <c r="F2009" s="42" t="s">
        <v>4623</v>
      </c>
      <c r="G2009" s="3" t="s">
        <v>11450</v>
      </c>
      <c r="H2009" s="54">
        <v>0</v>
      </c>
      <c r="I2009" s="16">
        <v>470000000</v>
      </c>
      <c r="J2009" s="56" t="s">
        <v>229</v>
      </c>
      <c r="K2009" s="6" t="s">
        <v>12372</v>
      </c>
      <c r="L2009" s="17" t="s">
        <v>11411</v>
      </c>
      <c r="M2009" s="162" t="s">
        <v>230</v>
      </c>
      <c r="N2009" s="15" t="s">
        <v>523</v>
      </c>
      <c r="O2009" s="6" t="s">
        <v>4568</v>
      </c>
      <c r="P2009" s="58" t="s">
        <v>235</v>
      </c>
      <c r="Q2009" s="6" t="s">
        <v>236</v>
      </c>
      <c r="R2009" s="1">
        <v>6.1</v>
      </c>
      <c r="S2009" s="74">
        <v>259708</v>
      </c>
      <c r="T2009" s="4">
        <v>0</v>
      </c>
      <c r="U2009" s="4">
        <f t="shared" si="61"/>
        <v>0</v>
      </c>
      <c r="V2009" s="3"/>
      <c r="W2009" s="3">
        <v>2014</v>
      </c>
      <c r="X2009" s="3">
        <v>11</v>
      </c>
    </row>
    <row r="2010" spans="1:24" ht="89.25">
      <c r="A2010" s="3" t="s">
        <v>14915</v>
      </c>
      <c r="B2010" s="6" t="s">
        <v>361</v>
      </c>
      <c r="C2010" s="6" t="s">
        <v>4274</v>
      </c>
      <c r="D2010" s="42" t="s">
        <v>343</v>
      </c>
      <c r="E2010" s="42" t="s">
        <v>4275</v>
      </c>
      <c r="F2010" s="42" t="s">
        <v>4623</v>
      </c>
      <c r="G2010" s="3" t="s">
        <v>11450</v>
      </c>
      <c r="H2010" s="54">
        <v>0</v>
      </c>
      <c r="I2010" s="16">
        <v>470000000</v>
      </c>
      <c r="J2010" s="56" t="s">
        <v>229</v>
      </c>
      <c r="K2010" s="6" t="s">
        <v>222</v>
      </c>
      <c r="L2010" s="17" t="s">
        <v>11411</v>
      </c>
      <c r="M2010" s="162" t="s">
        <v>230</v>
      </c>
      <c r="N2010" s="15" t="s">
        <v>523</v>
      </c>
      <c r="O2010" s="6" t="s">
        <v>4568</v>
      </c>
      <c r="P2010" s="58" t="s">
        <v>235</v>
      </c>
      <c r="Q2010" s="6" t="s">
        <v>236</v>
      </c>
      <c r="R2010" s="1">
        <v>6.1</v>
      </c>
      <c r="S2010" s="74">
        <v>259708</v>
      </c>
      <c r="T2010" s="4">
        <v>0</v>
      </c>
      <c r="U2010" s="4">
        <f t="shared" si="61"/>
        <v>0</v>
      </c>
      <c r="V2010" s="3"/>
      <c r="W2010" s="3">
        <v>2014</v>
      </c>
      <c r="X2010" s="3">
        <v>14</v>
      </c>
    </row>
    <row r="2011" spans="1:24" ht="89.25">
      <c r="A2011" s="3" t="s">
        <v>17524</v>
      </c>
      <c r="B2011" s="6" t="s">
        <v>361</v>
      </c>
      <c r="C2011" s="6" t="s">
        <v>4274</v>
      </c>
      <c r="D2011" s="42" t="s">
        <v>343</v>
      </c>
      <c r="E2011" s="42" t="s">
        <v>4275</v>
      </c>
      <c r="F2011" s="42" t="s">
        <v>4623</v>
      </c>
      <c r="G2011" s="3" t="s">
        <v>11450</v>
      </c>
      <c r="H2011" s="54">
        <v>0</v>
      </c>
      <c r="I2011" s="16">
        <v>470000000</v>
      </c>
      <c r="J2011" s="56" t="s">
        <v>229</v>
      </c>
      <c r="K2011" s="6" t="s">
        <v>222</v>
      </c>
      <c r="L2011" s="17" t="s">
        <v>11411</v>
      </c>
      <c r="M2011" s="162" t="s">
        <v>230</v>
      </c>
      <c r="N2011" s="15" t="s">
        <v>8914</v>
      </c>
      <c r="O2011" s="6" t="s">
        <v>4568</v>
      </c>
      <c r="P2011" s="58" t="s">
        <v>235</v>
      </c>
      <c r="Q2011" s="6" t="s">
        <v>236</v>
      </c>
      <c r="R2011" s="1">
        <v>6.1</v>
      </c>
      <c r="S2011" s="74">
        <v>259708</v>
      </c>
      <c r="T2011" s="4">
        <v>0</v>
      </c>
      <c r="U2011" s="4">
        <f t="shared" si="61"/>
        <v>0</v>
      </c>
      <c r="V2011" s="3"/>
      <c r="W2011" s="3">
        <v>2014</v>
      </c>
      <c r="X2011" s="3">
        <v>11</v>
      </c>
    </row>
    <row r="2012" spans="1:24" ht="89.25">
      <c r="A2012" s="3" t="s">
        <v>18440</v>
      </c>
      <c r="B2012" s="6" t="s">
        <v>361</v>
      </c>
      <c r="C2012" s="6" t="s">
        <v>4274</v>
      </c>
      <c r="D2012" s="42" t="s">
        <v>343</v>
      </c>
      <c r="E2012" s="42" t="s">
        <v>4275</v>
      </c>
      <c r="F2012" s="42" t="s">
        <v>4623</v>
      </c>
      <c r="G2012" s="3" t="s">
        <v>11450</v>
      </c>
      <c r="H2012" s="54">
        <v>0</v>
      </c>
      <c r="I2012" s="16">
        <v>470000000</v>
      </c>
      <c r="J2012" s="56" t="s">
        <v>229</v>
      </c>
      <c r="K2012" s="6" t="s">
        <v>18439</v>
      </c>
      <c r="L2012" s="17" t="s">
        <v>11411</v>
      </c>
      <c r="M2012" s="162" t="s">
        <v>230</v>
      </c>
      <c r="N2012" s="15" t="s">
        <v>8914</v>
      </c>
      <c r="O2012" s="6" t="s">
        <v>4568</v>
      </c>
      <c r="P2012" s="58" t="s">
        <v>235</v>
      </c>
      <c r="Q2012" s="6" t="s">
        <v>236</v>
      </c>
      <c r="R2012" s="1">
        <v>6.1</v>
      </c>
      <c r="S2012" s="74">
        <v>259708</v>
      </c>
      <c r="T2012" s="4">
        <f>R2012*S2012</f>
        <v>1584218.7999999998</v>
      </c>
      <c r="U2012" s="4">
        <f t="shared" si="61"/>
        <v>1774325.0559999999</v>
      </c>
      <c r="V2012" s="3"/>
      <c r="W2012" s="3">
        <v>2014</v>
      </c>
      <c r="X2012" s="3"/>
    </row>
    <row r="2013" spans="1:24" ht="89.25">
      <c r="A2013" s="3" t="s">
        <v>1326</v>
      </c>
      <c r="B2013" s="6" t="s">
        <v>361</v>
      </c>
      <c r="C2013" s="6" t="s">
        <v>8312</v>
      </c>
      <c r="D2013" s="6" t="s">
        <v>343</v>
      </c>
      <c r="E2013" s="6" t="s">
        <v>8313</v>
      </c>
      <c r="F2013" s="42" t="s">
        <v>4624</v>
      </c>
      <c r="G2013" s="3" t="s">
        <v>11450</v>
      </c>
      <c r="H2013" s="54">
        <v>0</v>
      </c>
      <c r="I2013" s="55">
        <v>470000000</v>
      </c>
      <c r="J2013" s="56" t="s">
        <v>229</v>
      </c>
      <c r="K2013" s="6" t="s">
        <v>517</v>
      </c>
      <c r="L2013" s="16" t="s">
        <v>4570</v>
      </c>
      <c r="M2013" s="162" t="s">
        <v>230</v>
      </c>
      <c r="N2013" s="15" t="s">
        <v>523</v>
      </c>
      <c r="O2013" s="6" t="s">
        <v>4568</v>
      </c>
      <c r="P2013" s="58" t="s">
        <v>235</v>
      </c>
      <c r="Q2013" s="6" t="s">
        <v>236</v>
      </c>
      <c r="R2013" s="3">
        <v>0.5</v>
      </c>
      <c r="S2013" s="1">
        <v>305654</v>
      </c>
      <c r="T2013" s="4">
        <v>0</v>
      </c>
      <c r="U2013" s="4">
        <f t="shared" si="61"/>
        <v>0</v>
      </c>
      <c r="V2013" s="3"/>
      <c r="W2013" s="3">
        <v>2014</v>
      </c>
      <c r="X2013" s="3">
        <v>11.12</v>
      </c>
    </row>
    <row r="2014" spans="1:24" ht="89.25">
      <c r="A2014" s="3" t="s">
        <v>12378</v>
      </c>
      <c r="B2014" s="6" t="s">
        <v>361</v>
      </c>
      <c r="C2014" s="6" t="s">
        <v>8312</v>
      </c>
      <c r="D2014" s="6" t="s">
        <v>343</v>
      </c>
      <c r="E2014" s="6" t="s">
        <v>8313</v>
      </c>
      <c r="F2014" s="42" t="s">
        <v>4624</v>
      </c>
      <c r="G2014" s="3" t="s">
        <v>11450</v>
      </c>
      <c r="H2014" s="54">
        <v>0</v>
      </c>
      <c r="I2014" s="55">
        <v>470000000</v>
      </c>
      <c r="J2014" s="56" t="s">
        <v>229</v>
      </c>
      <c r="K2014" s="6" t="s">
        <v>12372</v>
      </c>
      <c r="L2014" s="17" t="s">
        <v>11411</v>
      </c>
      <c r="M2014" s="162" t="s">
        <v>230</v>
      </c>
      <c r="N2014" s="15" t="s">
        <v>523</v>
      </c>
      <c r="O2014" s="6" t="s">
        <v>4568</v>
      </c>
      <c r="P2014" s="58" t="s">
        <v>235</v>
      </c>
      <c r="Q2014" s="6" t="s">
        <v>236</v>
      </c>
      <c r="R2014" s="3">
        <v>0.5</v>
      </c>
      <c r="S2014" s="1">
        <v>305654</v>
      </c>
      <c r="T2014" s="4">
        <v>0</v>
      </c>
      <c r="U2014" s="4">
        <f t="shared" si="61"/>
        <v>0</v>
      </c>
      <c r="V2014" s="3"/>
      <c r="W2014" s="3">
        <v>2014</v>
      </c>
      <c r="X2014" s="3">
        <v>11</v>
      </c>
    </row>
    <row r="2015" spans="1:24" ht="89.25">
      <c r="A2015" s="3" t="s">
        <v>14916</v>
      </c>
      <c r="B2015" s="6" t="s">
        <v>361</v>
      </c>
      <c r="C2015" s="6" t="s">
        <v>8312</v>
      </c>
      <c r="D2015" s="6" t="s">
        <v>343</v>
      </c>
      <c r="E2015" s="6" t="s">
        <v>8313</v>
      </c>
      <c r="F2015" s="42" t="s">
        <v>4624</v>
      </c>
      <c r="G2015" s="3" t="s">
        <v>11450</v>
      </c>
      <c r="H2015" s="54">
        <v>0</v>
      </c>
      <c r="I2015" s="55">
        <v>470000000</v>
      </c>
      <c r="J2015" s="56" t="s">
        <v>229</v>
      </c>
      <c r="K2015" s="6" t="s">
        <v>222</v>
      </c>
      <c r="L2015" s="17" t="s">
        <v>11411</v>
      </c>
      <c r="M2015" s="162" t="s">
        <v>230</v>
      </c>
      <c r="N2015" s="15" t="s">
        <v>523</v>
      </c>
      <c r="O2015" s="6" t="s">
        <v>4568</v>
      </c>
      <c r="P2015" s="58" t="s">
        <v>235</v>
      </c>
      <c r="Q2015" s="6" t="s">
        <v>236</v>
      </c>
      <c r="R2015" s="3">
        <v>0.5</v>
      </c>
      <c r="S2015" s="1">
        <v>305654</v>
      </c>
      <c r="T2015" s="4">
        <v>0</v>
      </c>
      <c r="U2015" s="4">
        <f t="shared" si="61"/>
        <v>0</v>
      </c>
      <c r="V2015" s="3"/>
      <c r="W2015" s="3">
        <v>2014</v>
      </c>
      <c r="X2015" s="3">
        <v>14</v>
      </c>
    </row>
    <row r="2016" spans="1:24" ht="89.25">
      <c r="A2016" s="3" t="s">
        <v>17525</v>
      </c>
      <c r="B2016" s="6" t="s">
        <v>361</v>
      </c>
      <c r="C2016" s="6" t="s">
        <v>8312</v>
      </c>
      <c r="D2016" s="6" t="s">
        <v>343</v>
      </c>
      <c r="E2016" s="6" t="s">
        <v>8313</v>
      </c>
      <c r="F2016" s="42" t="s">
        <v>4624</v>
      </c>
      <c r="G2016" s="3" t="s">
        <v>11450</v>
      </c>
      <c r="H2016" s="54">
        <v>0</v>
      </c>
      <c r="I2016" s="55">
        <v>470000000</v>
      </c>
      <c r="J2016" s="56" t="s">
        <v>229</v>
      </c>
      <c r="K2016" s="6" t="s">
        <v>222</v>
      </c>
      <c r="L2016" s="17" t="s">
        <v>11411</v>
      </c>
      <c r="M2016" s="162" t="s">
        <v>230</v>
      </c>
      <c r="N2016" s="15" t="s">
        <v>8914</v>
      </c>
      <c r="O2016" s="6" t="s">
        <v>4568</v>
      </c>
      <c r="P2016" s="58" t="s">
        <v>235</v>
      </c>
      <c r="Q2016" s="6" t="s">
        <v>236</v>
      </c>
      <c r="R2016" s="3">
        <v>0.5</v>
      </c>
      <c r="S2016" s="1">
        <v>305654</v>
      </c>
      <c r="T2016" s="4">
        <f>R2016*S2016</f>
        <v>152827</v>
      </c>
      <c r="U2016" s="4">
        <f t="shared" si="61"/>
        <v>171166.24000000002</v>
      </c>
      <c r="V2016" s="3"/>
      <c r="W2016" s="3">
        <v>2014</v>
      </c>
      <c r="X2016" s="3"/>
    </row>
    <row r="2017" spans="1:24" ht="89.25">
      <c r="A2017" s="3" t="s">
        <v>1327</v>
      </c>
      <c r="B2017" s="6" t="s">
        <v>361</v>
      </c>
      <c r="C2017" s="6" t="s">
        <v>16608</v>
      </c>
      <c r="D2017" s="6" t="s">
        <v>343</v>
      </c>
      <c r="E2017" s="6" t="s">
        <v>16609</v>
      </c>
      <c r="F2017" s="42" t="s">
        <v>4625</v>
      </c>
      <c r="G2017" s="3" t="s">
        <v>11450</v>
      </c>
      <c r="H2017" s="54">
        <v>0</v>
      </c>
      <c r="I2017" s="16">
        <v>470000000</v>
      </c>
      <c r="J2017" s="56" t="s">
        <v>229</v>
      </c>
      <c r="K2017" s="6" t="s">
        <v>517</v>
      </c>
      <c r="L2017" s="16" t="s">
        <v>4567</v>
      </c>
      <c r="M2017" s="162" t="s">
        <v>230</v>
      </c>
      <c r="N2017" s="15" t="s">
        <v>523</v>
      </c>
      <c r="O2017" s="6" t="s">
        <v>4568</v>
      </c>
      <c r="P2017" s="58" t="s">
        <v>235</v>
      </c>
      <c r="Q2017" s="6" t="s">
        <v>236</v>
      </c>
      <c r="R2017" s="1">
        <v>0.5</v>
      </c>
      <c r="S2017" s="74">
        <v>348564</v>
      </c>
      <c r="T2017" s="4">
        <v>0</v>
      </c>
      <c r="U2017" s="4">
        <f t="shared" si="61"/>
        <v>0</v>
      </c>
      <c r="V2017" s="3"/>
      <c r="W2017" s="3">
        <v>2014</v>
      </c>
      <c r="X2017" s="3">
        <v>11.12</v>
      </c>
    </row>
    <row r="2018" spans="1:24" ht="89.25">
      <c r="A2018" s="3" t="s">
        <v>12379</v>
      </c>
      <c r="B2018" s="6" t="s">
        <v>361</v>
      </c>
      <c r="C2018" s="6" t="s">
        <v>16608</v>
      </c>
      <c r="D2018" s="6" t="s">
        <v>343</v>
      </c>
      <c r="E2018" s="6" t="s">
        <v>16609</v>
      </c>
      <c r="F2018" s="42" t="s">
        <v>4625</v>
      </c>
      <c r="G2018" s="3" t="s">
        <v>11450</v>
      </c>
      <c r="H2018" s="54">
        <v>0</v>
      </c>
      <c r="I2018" s="16">
        <v>470000000</v>
      </c>
      <c r="J2018" s="56" t="s">
        <v>229</v>
      </c>
      <c r="K2018" s="6" t="s">
        <v>12372</v>
      </c>
      <c r="L2018" s="17" t="s">
        <v>11411</v>
      </c>
      <c r="M2018" s="162" t="s">
        <v>230</v>
      </c>
      <c r="N2018" s="15" t="s">
        <v>523</v>
      </c>
      <c r="O2018" s="6" t="s">
        <v>4568</v>
      </c>
      <c r="P2018" s="58" t="s">
        <v>235</v>
      </c>
      <c r="Q2018" s="6" t="s">
        <v>236</v>
      </c>
      <c r="R2018" s="1">
        <v>0.5</v>
      </c>
      <c r="S2018" s="74">
        <v>348564</v>
      </c>
      <c r="T2018" s="4">
        <v>0</v>
      </c>
      <c r="U2018" s="4">
        <f t="shared" si="61"/>
        <v>0</v>
      </c>
      <c r="V2018" s="3"/>
      <c r="W2018" s="3">
        <v>2014</v>
      </c>
      <c r="X2018" s="3">
        <v>11</v>
      </c>
    </row>
    <row r="2019" spans="1:24" ht="89.25">
      <c r="A2019" s="3" t="s">
        <v>14917</v>
      </c>
      <c r="B2019" s="6" t="s">
        <v>361</v>
      </c>
      <c r="C2019" s="6" t="s">
        <v>16608</v>
      </c>
      <c r="D2019" s="6" t="s">
        <v>343</v>
      </c>
      <c r="E2019" s="6" t="s">
        <v>16609</v>
      </c>
      <c r="F2019" s="42" t="s">
        <v>4625</v>
      </c>
      <c r="G2019" s="3" t="s">
        <v>11450</v>
      </c>
      <c r="H2019" s="54">
        <v>0</v>
      </c>
      <c r="I2019" s="16">
        <v>470000000</v>
      </c>
      <c r="J2019" s="56" t="s">
        <v>229</v>
      </c>
      <c r="K2019" s="6" t="s">
        <v>222</v>
      </c>
      <c r="L2019" s="17" t="s">
        <v>11411</v>
      </c>
      <c r="M2019" s="162" t="s">
        <v>230</v>
      </c>
      <c r="N2019" s="15" t="s">
        <v>523</v>
      </c>
      <c r="O2019" s="6" t="s">
        <v>4568</v>
      </c>
      <c r="P2019" s="58" t="s">
        <v>235</v>
      </c>
      <c r="Q2019" s="6" t="s">
        <v>236</v>
      </c>
      <c r="R2019" s="1">
        <v>0.5</v>
      </c>
      <c r="S2019" s="74">
        <v>348564</v>
      </c>
      <c r="T2019" s="4">
        <v>0</v>
      </c>
      <c r="U2019" s="4">
        <f t="shared" si="61"/>
        <v>0</v>
      </c>
      <c r="V2019" s="3"/>
      <c r="W2019" s="3">
        <v>2014</v>
      </c>
      <c r="X2019" s="3">
        <v>14</v>
      </c>
    </row>
    <row r="2020" spans="1:24" ht="89.25">
      <c r="A2020" s="3" t="s">
        <v>17526</v>
      </c>
      <c r="B2020" s="6" t="s">
        <v>361</v>
      </c>
      <c r="C2020" s="6" t="s">
        <v>16608</v>
      </c>
      <c r="D2020" s="6" t="s">
        <v>343</v>
      </c>
      <c r="E2020" s="6" t="s">
        <v>16609</v>
      </c>
      <c r="F2020" s="42" t="s">
        <v>4625</v>
      </c>
      <c r="G2020" s="3" t="s">
        <v>11450</v>
      </c>
      <c r="H2020" s="54">
        <v>0</v>
      </c>
      <c r="I2020" s="16">
        <v>470000000</v>
      </c>
      <c r="J2020" s="56" t="s">
        <v>229</v>
      </c>
      <c r="K2020" s="6" t="s">
        <v>222</v>
      </c>
      <c r="L2020" s="17" t="s">
        <v>11411</v>
      </c>
      <c r="M2020" s="162" t="s">
        <v>230</v>
      </c>
      <c r="N2020" s="15" t="s">
        <v>8914</v>
      </c>
      <c r="O2020" s="6" t="s">
        <v>4568</v>
      </c>
      <c r="P2020" s="58" t="s">
        <v>235</v>
      </c>
      <c r="Q2020" s="6" t="s">
        <v>236</v>
      </c>
      <c r="R2020" s="1">
        <v>0.5</v>
      </c>
      <c r="S2020" s="74">
        <v>348564</v>
      </c>
      <c r="T2020" s="4">
        <f>R2020*S2020</f>
        <v>174282</v>
      </c>
      <c r="U2020" s="4">
        <f t="shared" si="61"/>
        <v>195195.84000000003</v>
      </c>
      <c r="V2020" s="3"/>
      <c r="W2020" s="3">
        <v>2014</v>
      </c>
      <c r="X2020" s="3"/>
    </row>
    <row r="2021" spans="1:24" ht="89.25">
      <c r="A2021" s="3" t="s">
        <v>1328</v>
      </c>
      <c r="B2021" s="6" t="s">
        <v>361</v>
      </c>
      <c r="C2021" s="6" t="s">
        <v>4276</v>
      </c>
      <c r="D2021" s="42" t="s">
        <v>343</v>
      </c>
      <c r="E2021" s="167" t="s">
        <v>4277</v>
      </c>
      <c r="F2021" s="42" t="s">
        <v>4626</v>
      </c>
      <c r="G2021" s="3" t="s">
        <v>11450</v>
      </c>
      <c r="H2021" s="54">
        <v>0</v>
      </c>
      <c r="I2021" s="55">
        <v>470000000</v>
      </c>
      <c r="J2021" s="56" t="s">
        <v>229</v>
      </c>
      <c r="K2021" s="6" t="s">
        <v>517</v>
      </c>
      <c r="L2021" s="16" t="s">
        <v>4570</v>
      </c>
      <c r="M2021" s="162" t="s">
        <v>230</v>
      </c>
      <c r="N2021" s="15" t="s">
        <v>523</v>
      </c>
      <c r="O2021" s="6" t="s">
        <v>4568</v>
      </c>
      <c r="P2021" s="58" t="s">
        <v>235</v>
      </c>
      <c r="Q2021" s="6" t="s">
        <v>236</v>
      </c>
      <c r="R2021" s="3">
        <v>0.2</v>
      </c>
      <c r="S2021" s="1">
        <v>338564</v>
      </c>
      <c r="T2021" s="4">
        <v>0</v>
      </c>
      <c r="U2021" s="4">
        <f t="shared" si="61"/>
        <v>0</v>
      </c>
      <c r="V2021" s="3"/>
      <c r="W2021" s="3">
        <v>2014</v>
      </c>
      <c r="X2021" s="3">
        <v>11.12</v>
      </c>
    </row>
    <row r="2022" spans="1:24" ht="89.25">
      <c r="A2022" s="3" t="s">
        <v>12380</v>
      </c>
      <c r="B2022" s="6" t="s">
        <v>361</v>
      </c>
      <c r="C2022" s="6" t="s">
        <v>4276</v>
      </c>
      <c r="D2022" s="42" t="s">
        <v>343</v>
      </c>
      <c r="E2022" s="167" t="s">
        <v>4277</v>
      </c>
      <c r="F2022" s="42" t="s">
        <v>4626</v>
      </c>
      <c r="G2022" s="3" t="s">
        <v>11450</v>
      </c>
      <c r="H2022" s="54">
        <v>0</v>
      </c>
      <c r="I2022" s="55">
        <v>470000000</v>
      </c>
      <c r="J2022" s="56" t="s">
        <v>229</v>
      </c>
      <c r="K2022" s="6" t="s">
        <v>12372</v>
      </c>
      <c r="L2022" s="17" t="s">
        <v>11411</v>
      </c>
      <c r="M2022" s="162" t="s">
        <v>230</v>
      </c>
      <c r="N2022" s="15" t="s">
        <v>523</v>
      </c>
      <c r="O2022" s="6" t="s">
        <v>4568</v>
      </c>
      <c r="P2022" s="58" t="s">
        <v>235</v>
      </c>
      <c r="Q2022" s="6" t="s">
        <v>236</v>
      </c>
      <c r="R2022" s="3">
        <v>0.2</v>
      </c>
      <c r="S2022" s="1">
        <v>338564</v>
      </c>
      <c r="T2022" s="4">
        <v>0</v>
      </c>
      <c r="U2022" s="4">
        <f t="shared" si="61"/>
        <v>0</v>
      </c>
      <c r="V2022" s="3"/>
      <c r="W2022" s="3">
        <v>2014</v>
      </c>
      <c r="X2022" s="3">
        <v>11</v>
      </c>
    </row>
    <row r="2023" spans="1:24" ht="89.25">
      <c r="A2023" s="3" t="s">
        <v>14918</v>
      </c>
      <c r="B2023" s="6" t="s">
        <v>361</v>
      </c>
      <c r="C2023" s="6" t="s">
        <v>4276</v>
      </c>
      <c r="D2023" s="42" t="s">
        <v>343</v>
      </c>
      <c r="E2023" s="167" t="s">
        <v>4277</v>
      </c>
      <c r="F2023" s="42" t="s">
        <v>4626</v>
      </c>
      <c r="G2023" s="3" t="s">
        <v>11450</v>
      </c>
      <c r="H2023" s="54">
        <v>0</v>
      </c>
      <c r="I2023" s="55">
        <v>470000000</v>
      </c>
      <c r="J2023" s="56" t="s">
        <v>229</v>
      </c>
      <c r="K2023" s="6" t="s">
        <v>222</v>
      </c>
      <c r="L2023" s="17" t="s">
        <v>11411</v>
      </c>
      <c r="M2023" s="162" t="s">
        <v>230</v>
      </c>
      <c r="N2023" s="15" t="s">
        <v>523</v>
      </c>
      <c r="O2023" s="6" t="s">
        <v>4568</v>
      </c>
      <c r="P2023" s="58" t="s">
        <v>235</v>
      </c>
      <c r="Q2023" s="6" t="s">
        <v>236</v>
      </c>
      <c r="R2023" s="3">
        <v>0.2</v>
      </c>
      <c r="S2023" s="1">
        <v>338564</v>
      </c>
      <c r="T2023" s="4">
        <v>0</v>
      </c>
      <c r="U2023" s="4">
        <f t="shared" si="61"/>
        <v>0</v>
      </c>
      <c r="V2023" s="3"/>
      <c r="W2023" s="3">
        <v>2014</v>
      </c>
      <c r="X2023" s="3">
        <v>14</v>
      </c>
    </row>
    <row r="2024" spans="1:24" ht="89.25">
      <c r="A2024" s="3" t="s">
        <v>17527</v>
      </c>
      <c r="B2024" s="6" t="s">
        <v>361</v>
      </c>
      <c r="C2024" s="6" t="s">
        <v>4276</v>
      </c>
      <c r="D2024" s="42" t="s">
        <v>343</v>
      </c>
      <c r="E2024" s="167" t="s">
        <v>4277</v>
      </c>
      <c r="F2024" s="42" t="s">
        <v>4626</v>
      </c>
      <c r="G2024" s="3" t="s">
        <v>11450</v>
      </c>
      <c r="H2024" s="54">
        <v>0</v>
      </c>
      <c r="I2024" s="55">
        <v>470000000</v>
      </c>
      <c r="J2024" s="56" t="s">
        <v>229</v>
      </c>
      <c r="K2024" s="6" t="s">
        <v>222</v>
      </c>
      <c r="L2024" s="17" t="s">
        <v>11411</v>
      </c>
      <c r="M2024" s="162" t="s">
        <v>230</v>
      </c>
      <c r="N2024" s="15" t="s">
        <v>8914</v>
      </c>
      <c r="O2024" s="6" t="s">
        <v>4568</v>
      </c>
      <c r="P2024" s="58" t="s">
        <v>235</v>
      </c>
      <c r="Q2024" s="6" t="s">
        <v>236</v>
      </c>
      <c r="R2024" s="3">
        <v>0.2</v>
      </c>
      <c r="S2024" s="1">
        <v>338564</v>
      </c>
      <c r="T2024" s="4">
        <f>R2024*S2024</f>
        <v>67712.800000000003</v>
      </c>
      <c r="U2024" s="4">
        <f t="shared" si="61"/>
        <v>75838.33600000001</v>
      </c>
      <c r="V2024" s="3"/>
      <c r="W2024" s="3">
        <v>2014</v>
      </c>
      <c r="X2024" s="3"/>
    </row>
    <row r="2025" spans="1:24" ht="89.25">
      <c r="A2025" s="3" t="s">
        <v>1329</v>
      </c>
      <c r="B2025" s="6" t="s">
        <v>361</v>
      </c>
      <c r="C2025" s="6" t="s">
        <v>8314</v>
      </c>
      <c r="D2025" s="42" t="s">
        <v>343</v>
      </c>
      <c r="E2025" s="167" t="s">
        <v>11460</v>
      </c>
      <c r="F2025" s="6" t="s">
        <v>4627</v>
      </c>
      <c r="G2025" s="3" t="s">
        <v>11450</v>
      </c>
      <c r="H2025" s="54">
        <v>0</v>
      </c>
      <c r="I2025" s="16">
        <v>470000000</v>
      </c>
      <c r="J2025" s="56" t="s">
        <v>229</v>
      </c>
      <c r="K2025" s="6" t="s">
        <v>517</v>
      </c>
      <c r="L2025" s="16" t="s">
        <v>4567</v>
      </c>
      <c r="M2025" s="162" t="s">
        <v>230</v>
      </c>
      <c r="N2025" s="15" t="s">
        <v>523</v>
      </c>
      <c r="O2025" s="6" t="s">
        <v>4568</v>
      </c>
      <c r="P2025" s="58" t="s">
        <v>235</v>
      </c>
      <c r="Q2025" s="6" t="s">
        <v>236</v>
      </c>
      <c r="R2025" s="1">
        <v>0.3</v>
      </c>
      <c r="S2025" s="74">
        <v>534785</v>
      </c>
      <c r="T2025" s="4">
        <v>0</v>
      </c>
      <c r="U2025" s="4">
        <f t="shared" si="61"/>
        <v>0</v>
      </c>
      <c r="V2025" s="3"/>
      <c r="W2025" s="3">
        <v>2014</v>
      </c>
      <c r="X2025" s="3">
        <v>11.12</v>
      </c>
    </row>
    <row r="2026" spans="1:24" ht="89.25">
      <c r="A2026" s="3" t="s">
        <v>12381</v>
      </c>
      <c r="B2026" s="6" t="s">
        <v>361</v>
      </c>
      <c r="C2026" s="6" t="s">
        <v>8314</v>
      </c>
      <c r="D2026" s="42" t="s">
        <v>343</v>
      </c>
      <c r="E2026" s="167" t="s">
        <v>11460</v>
      </c>
      <c r="F2026" s="6" t="s">
        <v>4627</v>
      </c>
      <c r="G2026" s="3" t="s">
        <v>11450</v>
      </c>
      <c r="H2026" s="54">
        <v>0</v>
      </c>
      <c r="I2026" s="16">
        <v>470000000</v>
      </c>
      <c r="J2026" s="56" t="s">
        <v>229</v>
      </c>
      <c r="K2026" s="6" t="s">
        <v>12372</v>
      </c>
      <c r="L2026" s="17" t="s">
        <v>11411</v>
      </c>
      <c r="M2026" s="162" t="s">
        <v>230</v>
      </c>
      <c r="N2026" s="15" t="s">
        <v>523</v>
      </c>
      <c r="O2026" s="6" t="s">
        <v>4568</v>
      </c>
      <c r="P2026" s="58" t="s">
        <v>235</v>
      </c>
      <c r="Q2026" s="6" t="s">
        <v>236</v>
      </c>
      <c r="R2026" s="1">
        <v>0.3</v>
      </c>
      <c r="S2026" s="74">
        <v>534785</v>
      </c>
      <c r="T2026" s="4">
        <v>0</v>
      </c>
      <c r="U2026" s="4">
        <f t="shared" si="61"/>
        <v>0</v>
      </c>
      <c r="V2026" s="3"/>
      <c r="W2026" s="3">
        <v>2014</v>
      </c>
      <c r="X2026" s="3">
        <v>11</v>
      </c>
    </row>
    <row r="2027" spans="1:24" ht="89.25">
      <c r="A2027" s="3" t="s">
        <v>15535</v>
      </c>
      <c r="B2027" s="6" t="s">
        <v>361</v>
      </c>
      <c r="C2027" s="6" t="s">
        <v>8314</v>
      </c>
      <c r="D2027" s="42" t="s">
        <v>343</v>
      </c>
      <c r="E2027" s="167" t="s">
        <v>11460</v>
      </c>
      <c r="F2027" s="6" t="s">
        <v>4627</v>
      </c>
      <c r="G2027" s="3" t="s">
        <v>11450</v>
      </c>
      <c r="H2027" s="54">
        <v>0</v>
      </c>
      <c r="I2027" s="16">
        <v>470000000</v>
      </c>
      <c r="J2027" s="56" t="s">
        <v>229</v>
      </c>
      <c r="K2027" s="6" t="s">
        <v>222</v>
      </c>
      <c r="L2027" s="17" t="s">
        <v>11411</v>
      </c>
      <c r="M2027" s="162" t="s">
        <v>230</v>
      </c>
      <c r="N2027" s="15" t="s">
        <v>523</v>
      </c>
      <c r="O2027" s="6" t="s">
        <v>4568</v>
      </c>
      <c r="P2027" s="58" t="s">
        <v>235</v>
      </c>
      <c r="Q2027" s="6" t="s">
        <v>236</v>
      </c>
      <c r="R2027" s="1">
        <v>0.3</v>
      </c>
      <c r="S2027" s="74">
        <v>534785</v>
      </c>
      <c r="T2027" s="4">
        <v>0</v>
      </c>
      <c r="U2027" s="4">
        <f t="shared" si="61"/>
        <v>0</v>
      </c>
      <c r="V2027" s="3"/>
      <c r="W2027" s="3">
        <v>2014</v>
      </c>
      <c r="X2027" s="3">
        <v>14</v>
      </c>
    </row>
    <row r="2028" spans="1:24" ht="89.25">
      <c r="A2028" s="3" t="s">
        <v>17528</v>
      </c>
      <c r="B2028" s="6" t="s">
        <v>361</v>
      </c>
      <c r="C2028" s="6" t="s">
        <v>8314</v>
      </c>
      <c r="D2028" s="42" t="s">
        <v>343</v>
      </c>
      <c r="E2028" s="167" t="s">
        <v>11460</v>
      </c>
      <c r="F2028" s="6" t="s">
        <v>4627</v>
      </c>
      <c r="G2028" s="3" t="s">
        <v>11450</v>
      </c>
      <c r="H2028" s="54">
        <v>0</v>
      </c>
      <c r="I2028" s="16">
        <v>470000000</v>
      </c>
      <c r="J2028" s="56" t="s">
        <v>229</v>
      </c>
      <c r="K2028" s="6" t="s">
        <v>222</v>
      </c>
      <c r="L2028" s="17" t="s">
        <v>11411</v>
      </c>
      <c r="M2028" s="162" t="s">
        <v>230</v>
      </c>
      <c r="N2028" s="15" t="s">
        <v>8914</v>
      </c>
      <c r="O2028" s="6" t="s">
        <v>4568</v>
      </c>
      <c r="P2028" s="58" t="s">
        <v>235</v>
      </c>
      <c r="Q2028" s="6" t="s">
        <v>236</v>
      </c>
      <c r="R2028" s="1">
        <v>0.3</v>
      </c>
      <c r="S2028" s="74">
        <v>534785</v>
      </c>
      <c r="T2028" s="4">
        <f>R2028*S2028</f>
        <v>160435.5</v>
      </c>
      <c r="U2028" s="4">
        <f t="shared" si="61"/>
        <v>179687.76</v>
      </c>
      <c r="V2028" s="3"/>
      <c r="W2028" s="3">
        <v>2014</v>
      </c>
      <c r="X2028" s="3"/>
    </row>
    <row r="2029" spans="1:24" ht="89.25">
      <c r="A2029" s="3" t="s">
        <v>1330</v>
      </c>
      <c r="B2029" s="6" t="s">
        <v>361</v>
      </c>
      <c r="C2029" s="6" t="s">
        <v>4278</v>
      </c>
      <c r="D2029" s="42" t="s">
        <v>343</v>
      </c>
      <c r="E2029" s="42" t="s">
        <v>4279</v>
      </c>
      <c r="F2029" s="42" t="s">
        <v>4628</v>
      </c>
      <c r="G2029" s="3" t="s">
        <v>11450</v>
      </c>
      <c r="H2029" s="54">
        <v>0</v>
      </c>
      <c r="I2029" s="55">
        <v>470000000</v>
      </c>
      <c r="J2029" s="56" t="s">
        <v>229</v>
      </c>
      <c r="K2029" s="6" t="s">
        <v>517</v>
      </c>
      <c r="L2029" s="16" t="s">
        <v>4570</v>
      </c>
      <c r="M2029" s="162" t="s">
        <v>230</v>
      </c>
      <c r="N2029" s="15" t="s">
        <v>523</v>
      </c>
      <c r="O2029" s="6" t="s">
        <v>4568</v>
      </c>
      <c r="P2029" s="58" t="s">
        <v>235</v>
      </c>
      <c r="Q2029" s="6" t="s">
        <v>236</v>
      </c>
      <c r="R2029" s="3">
        <v>0.15</v>
      </c>
      <c r="S2029" s="1">
        <v>402160</v>
      </c>
      <c r="T2029" s="4">
        <v>0</v>
      </c>
      <c r="U2029" s="4">
        <f t="shared" si="61"/>
        <v>0</v>
      </c>
      <c r="V2029" s="3"/>
      <c r="W2029" s="3">
        <v>2014</v>
      </c>
      <c r="X2029" s="3">
        <v>11.12</v>
      </c>
    </row>
    <row r="2030" spans="1:24" ht="89.25">
      <c r="A2030" s="3" t="s">
        <v>12382</v>
      </c>
      <c r="B2030" s="6" t="s">
        <v>361</v>
      </c>
      <c r="C2030" s="6" t="s">
        <v>4278</v>
      </c>
      <c r="D2030" s="42" t="s">
        <v>343</v>
      </c>
      <c r="E2030" s="42" t="s">
        <v>4279</v>
      </c>
      <c r="F2030" s="42" t="s">
        <v>4628</v>
      </c>
      <c r="G2030" s="3" t="s">
        <v>11450</v>
      </c>
      <c r="H2030" s="54">
        <v>0</v>
      </c>
      <c r="I2030" s="55">
        <v>470000000</v>
      </c>
      <c r="J2030" s="56" t="s">
        <v>229</v>
      </c>
      <c r="K2030" s="6" t="s">
        <v>12372</v>
      </c>
      <c r="L2030" s="17" t="s">
        <v>11411</v>
      </c>
      <c r="M2030" s="162" t="s">
        <v>230</v>
      </c>
      <c r="N2030" s="15" t="s">
        <v>523</v>
      </c>
      <c r="O2030" s="6" t="s">
        <v>4568</v>
      </c>
      <c r="P2030" s="58" t="s">
        <v>235</v>
      </c>
      <c r="Q2030" s="6" t="s">
        <v>236</v>
      </c>
      <c r="R2030" s="3">
        <v>0.15</v>
      </c>
      <c r="S2030" s="1">
        <v>402160</v>
      </c>
      <c r="T2030" s="4">
        <v>0</v>
      </c>
      <c r="U2030" s="4">
        <f t="shared" si="61"/>
        <v>0</v>
      </c>
      <c r="V2030" s="3"/>
      <c r="W2030" s="3">
        <v>2014</v>
      </c>
      <c r="X2030" s="3">
        <v>11</v>
      </c>
    </row>
    <row r="2031" spans="1:24" ht="89.25">
      <c r="A2031" s="3" t="s">
        <v>15536</v>
      </c>
      <c r="B2031" s="6" t="s">
        <v>361</v>
      </c>
      <c r="C2031" s="6" t="s">
        <v>4278</v>
      </c>
      <c r="D2031" s="42" t="s">
        <v>343</v>
      </c>
      <c r="E2031" s="42" t="s">
        <v>4279</v>
      </c>
      <c r="F2031" s="42" t="s">
        <v>4628</v>
      </c>
      <c r="G2031" s="3" t="s">
        <v>11450</v>
      </c>
      <c r="H2031" s="54">
        <v>0</v>
      </c>
      <c r="I2031" s="55">
        <v>470000000</v>
      </c>
      <c r="J2031" s="56" t="s">
        <v>229</v>
      </c>
      <c r="K2031" s="6" t="s">
        <v>222</v>
      </c>
      <c r="L2031" s="17" t="s">
        <v>11411</v>
      </c>
      <c r="M2031" s="162" t="s">
        <v>230</v>
      </c>
      <c r="N2031" s="15" t="s">
        <v>523</v>
      </c>
      <c r="O2031" s="6" t="s">
        <v>4568</v>
      </c>
      <c r="P2031" s="58" t="s">
        <v>235</v>
      </c>
      <c r="Q2031" s="6" t="s">
        <v>236</v>
      </c>
      <c r="R2031" s="3">
        <v>0.15</v>
      </c>
      <c r="S2031" s="1">
        <v>402160</v>
      </c>
      <c r="T2031" s="4">
        <v>0</v>
      </c>
      <c r="U2031" s="4">
        <f t="shared" si="61"/>
        <v>0</v>
      </c>
      <c r="V2031" s="3"/>
      <c r="W2031" s="3">
        <v>2014</v>
      </c>
      <c r="X2031" s="3">
        <v>14</v>
      </c>
    </row>
    <row r="2032" spans="1:24" ht="89.25">
      <c r="A2032" s="3" t="s">
        <v>17529</v>
      </c>
      <c r="B2032" s="6" t="s">
        <v>361</v>
      </c>
      <c r="C2032" s="6" t="s">
        <v>4278</v>
      </c>
      <c r="D2032" s="42" t="s">
        <v>343</v>
      </c>
      <c r="E2032" s="42" t="s">
        <v>4279</v>
      </c>
      <c r="F2032" s="42" t="s">
        <v>4628</v>
      </c>
      <c r="G2032" s="3" t="s">
        <v>11450</v>
      </c>
      <c r="H2032" s="54">
        <v>0</v>
      </c>
      <c r="I2032" s="55">
        <v>470000000</v>
      </c>
      <c r="J2032" s="56" t="s">
        <v>229</v>
      </c>
      <c r="K2032" s="6" t="s">
        <v>222</v>
      </c>
      <c r="L2032" s="17" t="s">
        <v>11411</v>
      </c>
      <c r="M2032" s="162" t="s">
        <v>230</v>
      </c>
      <c r="N2032" s="15" t="s">
        <v>8914</v>
      </c>
      <c r="O2032" s="6" t="s">
        <v>4568</v>
      </c>
      <c r="P2032" s="58" t="s">
        <v>235</v>
      </c>
      <c r="Q2032" s="6" t="s">
        <v>236</v>
      </c>
      <c r="R2032" s="3">
        <v>0.15</v>
      </c>
      <c r="S2032" s="1">
        <v>402160</v>
      </c>
      <c r="T2032" s="4">
        <f>R2032*S2032</f>
        <v>60324</v>
      </c>
      <c r="U2032" s="4">
        <f t="shared" si="61"/>
        <v>67562.880000000005</v>
      </c>
      <c r="V2032" s="3"/>
      <c r="W2032" s="3">
        <v>2014</v>
      </c>
      <c r="X2032" s="3"/>
    </row>
    <row r="2033" spans="1:24" ht="89.25">
      <c r="A2033" s="3" t="s">
        <v>1331</v>
      </c>
      <c r="B2033" s="6" t="s">
        <v>361</v>
      </c>
      <c r="C2033" s="6" t="s">
        <v>4280</v>
      </c>
      <c r="D2033" s="42" t="s">
        <v>343</v>
      </c>
      <c r="E2033" s="42" t="s">
        <v>4281</v>
      </c>
      <c r="F2033" s="42" t="s">
        <v>4281</v>
      </c>
      <c r="G2033" s="3" t="s">
        <v>11450</v>
      </c>
      <c r="H2033" s="54">
        <v>0</v>
      </c>
      <c r="I2033" s="16">
        <v>470000000</v>
      </c>
      <c r="J2033" s="56" t="s">
        <v>229</v>
      </c>
      <c r="K2033" s="6" t="s">
        <v>517</v>
      </c>
      <c r="L2033" s="16" t="s">
        <v>4567</v>
      </c>
      <c r="M2033" s="162" t="s">
        <v>230</v>
      </c>
      <c r="N2033" s="15" t="s">
        <v>523</v>
      </c>
      <c r="O2033" s="6" t="s">
        <v>4568</v>
      </c>
      <c r="P2033" s="58" t="s">
        <v>235</v>
      </c>
      <c r="Q2033" s="6" t="s">
        <v>236</v>
      </c>
      <c r="R2033" s="1">
        <v>1.1000000000000001</v>
      </c>
      <c r="S2033" s="74">
        <v>114725</v>
      </c>
      <c r="T2033" s="4">
        <v>0</v>
      </c>
      <c r="U2033" s="4">
        <f t="shared" si="61"/>
        <v>0</v>
      </c>
      <c r="V2033" s="3"/>
      <c r="W2033" s="3">
        <v>2014</v>
      </c>
      <c r="X2033" s="3">
        <v>11.12</v>
      </c>
    </row>
    <row r="2034" spans="1:24" ht="89.25">
      <c r="A2034" s="3" t="s">
        <v>12383</v>
      </c>
      <c r="B2034" s="6" t="s">
        <v>361</v>
      </c>
      <c r="C2034" s="6" t="s">
        <v>4280</v>
      </c>
      <c r="D2034" s="42" t="s">
        <v>343</v>
      </c>
      <c r="E2034" s="42" t="s">
        <v>4281</v>
      </c>
      <c r="F2034" s="42" t="s">
        <v>4281</v>
      </c>
      <c r="G2034" s="3" t="s">
        <v>11450</v>
      </c>
      <c r="H2034" s="54">
        <v>0</v>
      </c>
      <c r="I2034" s="16">
        <v>470000000</v>
      </c>
      <c r="J2034" s="56" t="s">
        <v>229</v>
      </c>
      <c r="K2034" s="6" t="s">
        <v>12372</v>
      </c>
      <c r="L2034" s="17" t="s">
        <v>11411</v>
      </c>
      <c r="M2034" s="162" t="s">
        <v>230</v>
      </c>
      <c r="N2034" s="15" t="s">
        <v>523</v>
      </c>
      <c r="O2034" s="6" t="s">
        <v>4568</v>
      </c>
      <c r="P2034" s="58" t="s">
        <v>235</v>
      </c>
      <c r="Q2034" s="6" t="s">
        <v>236</v>
      </c>
      <c r="R2034" s="1">
        <v>1.1000000000000001</v>
      </c>
      <c r="S2034" s="74">
        <v>114725</v>
      </c>
      <c r="T2034" s="4">
        <v>0</v>
      </c>
      <c r="U2034" s="4">
        <f t="shared" si="61"/>
        <v>0</v>
      </c>
      <c r="V2034" s="3"/>
      <c r="W2034" s="3">
        <v>2014</v>
      </c>
      <c r="X2034" s="3">
        <v>11</v>
      </c>
    </row>
    <row r="2035" spans="1:24" ht="89.25">
      <c r="A2035" s="3" t="s">
        <v>15537</v>
      </c>
      <c r="B2035" s="6" t="s">
        <v>361</v>
      </c>
      <c r="C2035" s="6" t="s">
        <v>4280</v>
      </c>
      <c r="D2035" s="42" t="s">
        <v>343</v>
      </c>
      <c r="E2035" s="42" t="s">
        <v>4281</v>
      </c>
      <c r="F2035" s="42" t="s">
        <v>4281</v>
      </c>
      <c r="G2035" s="3" t="s">
        <v>11450</v>
      </c>
      <c r="H2035" s="54">
        <v>0</v>
      </c>
      <c r="I2035" s="16">
        <v>470000000</v>
      </c>
      <c r="J2035" s="56" t="s">
        <v>229</v>
      </c>
      <c r="K2035" s="6" t="s">
        <v>222</v>
      </c>
      <c r="L2035" s="17" t="s">
        <v>11411</v>
      </c>
      <c r="M2035" s="162" t="s">
        <v>230</v>
      </c>
      <c r="N2035" s="15" t="s">
        <v>523</v>
      </c>
      <c r="O2035" s="6" t="s">
        <v>4568</v>
      </c>
      <c r="P2035" s="58" t="s">
        <v>235</v>
      </c>
      <c r="Q2035" s="6" t="s">
        <v>236</v>
      </c>
      <c r="R2035" s="1">
        <v>1.1000000000000001</v>
      </c>
      <c r="S2035" s="74">
        <v>114725</v>
      </c>
      <c r="T2035" s="4">
        <v>0</v>
      </c>
      <c r="U2035" s="4">
        <f t="shared" si="61"/>
        <v>0</v>
      </c>
      <c r="V2035" s="3"/>
      <c r="W2035" s="3">
        <v>2014</v>
      </c>
      <c r="X2035" s="3">
        <v>14</v>
      </c>
    </row>
    <row r="2036" spans="1:24" ht="89.25">
      <c r="A2036" s="3" t="s">
        <v>17530</v>
      </c>
      <c r="B2036" s="6" t="s">
        <v>361</v>
      </c>
      <c r="C2036" s="6" t="s">
        <v>4280</v>
      </c>
      <c r="D2036" s="42" t="s">
        <v>343</v>
      </c>
      <c r="E2036" s="42" t="s">
        <v>4281</v>
      </c>
      <c r="F2036" s="42" t="s">
        <v>4281</v>
      </c>
      <c r="G2036" s="3" t="s">
        <v>11450</v>
      </c>
      <c r="H2036" s="54">
        <v>0</v>
      </c>
      <c r="I2036" s="16">
        <v>470000000</v>
      </c>
      <c r="J2036" s="56" t="s">
        <v>229</v>
      </c>
      <c r="K2036" s="6" t="s">
        <v>222</v>
      </c>
      <c r="L2036" s="17" t="s">
        <v>11411</v>
      </c>
      <c r="M2036" s="162" t="s">
        <v>230</v>
      </c>
      <c r="N2036" s="15" t="s">
        <v>8914</v>
      </c>
      <c r="O2036" s="6" t="s">
        <v>4568</v>
      </c>
      <c r="P2036" s="58" t="s">
        <v>235</v>
      </c>
      <c r="Q2036" s="6" t="s">
        <v>236</v>
      </c>
      <c r="R2036" s="1">
        <v>1.1000000000000001</v>
      </c>
      <c r="S2036" s="74">
        <v>114725</v>
      </c>
      <c r="T2036" s="4">
        <v>0</v>
      </c>
      <c r="U2036" s="4">
        <f t="shared" si="61"/>
        <v>0</v>
      </c>
      <c r="V2036" s="3"/>
      <c r="W2036" s="3">
        <v>2014</v>
      </c>
      <c r="X2036" s="3">
        <v>11</v>
      </c>
    </row>
    <row r="2037" spans="1:24" ht="89.25">
      <c r="A2037" s="3" t="s">
        <v>18444</v>
      </c>
      <c r="B2037" s="6" t="s">
        <v>361</v>
      </c>
      <c r="C2037" s="6" t="s">
        <v>4280</v>
      </c>
      <c r="D2037" s="42" t="s">
        <v>343</v>
      </c>
      <c r="E2037" s="42" t="s">
        <v>4281</v>
      </c>
      <c r="F2037" s="42" t="s">
        <v>4281</v>
      </c>
      <c r="G2037" s="3" t="s">
        <v>11450</v>
      </c>
      <c r="H2037" s="54">
        <v>0</v>
      </c>
      <c r="I2037" s="16">
        <v>470000000</v>
      </c>
      <c r="J2037" s="56" t="s">
        <v>229</v>
      </c>
      <c r="K2037" s="6" t="s">
        <v>18439</v>
      </c>
      <c r="L2037" s="17" t="s">
        <v>11411</v>
      </c>
      <c r="M2037" s="162" t="s">
        <v>230</v>
      </c>
      <c r="N2037" s="15" t="s">
        <v>8914</v>
      </c>
      <c r="O2037" s="6" t="s">
        <v>4568</v>
      </c>
      <c r="P2037" s="58" t="s">
        <v>235</v>
      </c>
      <c r="Q2037" s="6" t="s">
        <v>236</v>
      </c>
      <c r="R2037" s="1">
        <v>1.1000000000000001</v>
      </c>
      <c r="S2037" s="74">
        <v>114725</v>
      </c>
      <c r="T2037" s="4">
        <f>R2037*S2037</f>
        <v>126197.50000000001</v>
      </c>
      <c r="U2037" s="4">
        <f t="shared" si="61"/>
        <v>141341.20000000004</v>
      </c>
      <c r="V2037" s="3"/>
      <c r="W2037" s="3">
        <v>2014</v>
      </c>
      <c r="X2037" s="3"/>
    </row>
    <row r="2038" spans="1:24" ht="89.25">
      <c r="A2038" s="3" t="s">
        <v>1332</v>
      </c>
      <c r="B2038" s="6" t="s">
        <v>361</v>
      </c>
      <c r="C2038" s="6" t="s">
        <v>4282</v>
      </c>
      <c r="D2038" s="42" t="s">
        <v>4283</v>
      </c>
      <c r="E2038" s="42" t="s">
        <v>4284</v>
      </c>
      <c r="F2038" s="42" t="s">
        <v>4629</v>
      </c>
      <c r="G2038" s="3" t="s">
        <v>11450</v>
      </c>
      <c r="H2038" s="54">
        <v>0</v>
      </c>
      <c r="I2038" s="55">
        <v>470000000</v>
      </c>
      <c r="J2038" s="56" t="s">
        <v>229</v>
      </c>
      <c r="K2038" s="6" t="s">
        <v>517</v>
      </c>
      <c r="L2038" s="16" t="s">
        <v>4570</v>
      </c>
      <c r="M2038" s="162" t="s">
        <v>230</v>
      </c>
      <c r="N2038" s="15" t="s">
        <v>523</v>
      </c>
      <c r="O2038" s="6" t="s">
        <v>4568</v>
      </c>
      <c r="P2038" s="58" t="s">
        <v>235</v>
      </c>
      <c r="Q2038" s="6" t="s">
        <v>236</v>
      </c>
      <c r="R2038" s="3">
        <v>0.2</v>
      </c>
      <c r="S2038" s="1">
        <v>364564</v>
      </c>
      <c r="T2038" s="4">
        <v>0</v>
      </c>
      <c r="U2038" s="4">
        <f t="shared" si="61"/>
        <v>0</v>
      </c>
      <c r="V2038" s="3"/>
      <c r="W2038" s="3">
        <v>2014</v>
      </c>
      <c r="X2038" s="3">
        <v>11.12</v>
      </c>
    </row>
    <row r="2039" spans="1:24" ht="89.25">
      <c r="A2039" s="3" t="s">
        <v>12384</v>
      </c>
      <c r="B2039" s="6" t="s">
        <v>361</v>
      </c>
      <c r="C2039" s="6" t="s">
        <v>4282</v>
      </c>
      <c r="D2039" s="42" t="s">
        <v>4283</v>
      </c>
      <c r="E2039" s="42" t="s">
        <v>4284</v>
      </c>
      <c r="F2039" s="42" t="s">
        <v>4629</v>
      </c>
      <c r="G2039" s="3" t="s">
        <v>11450</v>
      </c>
      <c r="H2039" s="54">
        <v>0</v>
      </c>
      <c r="I2039" s="55">
        <v>470000000</v>
      </c>
      <c r="J2039" s="56" t="s">
        <v>229</v>
      </c>
      <c r="K2039" s="6" t="s">
        <v>12372</v>
      </c>
      <c r="L2039" s="17" t="s">
        <v>11411</v>
      </c>
      <c r="M2039" s="162" t="s">
        <v>230</v>
      </c>
      <c r="N2039" s="15" t="s">
        <v>523</v>
      </c>
      <c r="O2039" s="6" t="s">
        <v>4568</v>
      </c>
      <c r="P2039" s="58" t="s">
        <v>235</v>
      </c>
      <c r="Q2039" s="6" t="s">
        <v>236</v>
      </c>
      <c r="R2039" s="3">
        <v>0.2</v>
      </c>
      <c r="S2039" s="1">
        <v>364564</v>
      </c>
      <c r="T2039" s="4">
        <v>0</v>
      </c>
      <c r="U2039" s="4">
        <f t="shared" si="61"/>
        <v>0</v>
      </c>
      <c r="V2039" s="3"/>
      <c r="W2039" s="3">
        <v>2014</v>
      </c>
      <c r="X2039" s="3">
        <v>11</v>
      </c>
    </row>
    <row r="2040" spans="1:24" ht="89.25">
      <c r="A2040" s="3" t="s">
        <v>15538</v>
      </c>
      <c r="B2040" s="6" t="s">
        <v>361</v>
      </c>
      <c r="C2040" s="6" t="s">
        <v>4282</v>
      </c>
      <c r="D2040" s="42" t="s">
        <v>4283</v>
      </c>
      <c r="E2040" s="42" t="s">
        <v>4284</v>
      </c>
      <c r="F2040" s="42" t="s">
        <v>4629</v>
      </c>
      <c r="G2040" s="3" t="s">
        <v>11450</v>
      </c>
      <c r="H2040" s="54">
        <v>0</v>
      </c>
      <c r="I2040" s="55">
        <v>470000000</v>
      </c>
      <c r="J2040" s="56" t="s">
        <v>229</v>
      </c>
      <c r="K2040" s="6" t="s">
        <v>220</v>
      </c>
      <c r="L2040" s="17" t="s">
        <v>11411</v>
      </c>
      <c r="M2040" s="162" t="s">
        <v>230</v>
      </c>
      <c r="N2040" s="15" t="s">
        <v>523</v>
      </c>
      <c r="O2040" s="6" t="s">
        <v>4568</v>
      </c>
      <c r="P2040" s="58" t="s">
        <v>235</v>
      </c>
      <c r="Q2040" s="6" t="s">
        <v>236</v>
      </c>
      <c r="R2040" s="3">
        <v>0.2</v>
      </c>
      <c r="S2040" s="1">
        <v>364564</v>
      </c>
      <c r="T2040" s="4">
        <v>0</v>
      </c>
      <c r="U2040" s="4">
        <f t="shared" si="61"/>
        <v>0</v>
      </c>
      <c r="V2040" s="3"/>
      <c r="W2040" s="3">
        <v>2014</v>
      </c>
      <c r="X2040" s="3">
        <v>11.14</v>
      </c>
    </row>
    <row r="2041" spans="1:24" ht="89.25">
      <c r="A2041" s="3" t="s">
        <v>17531</v>
      </c>
      <c r="B2041" s="6" t="s">
        <v>361</v>
      </c>
      <c r="C2041" s="6" t="s">
        <v>4282</v>
      </c>
      <c r="D2041" s="42" t="s">
        <v>4283</v>
      </c>
      <c r="E2041" s="42" t="s">
        <v>4284</v>
      </c>
      <c r="F2041" s="42" t="s">
        <v>4629</v>
      </c>
      <c r="G2041" s="3" t="s">
        <v>11450</v>
      </c>
      <c r="H2041" s="54">
        <v>0</v>
      </c>
      <c r="I2041" s="55">
        <v>470000000</v>
      </c>
      <c r="J2041" s="56" t="s">
        <v>229</v>
      </c>
      <c r="K2041" s="6" t="s">
        <v>222</v>
      </c>
      <c r="L2041" s="17" t="s">
        <v>11411</v>
      </c>
      <c r="M2041" s="162" t="s">
        <v>230</v>
      </c>
      <c r="N2041" s="15" t="s">
        <v>8914</v>
      </c>
      <c r="O2041" s="6" t="s">
        <v>4568</v>
      </c>
      <c r="P2041" s="58" t="s">
        <v>235</v>
      </c>
      <c r="Q2041" s="6" t="s">
        <v>236</v>
      </c>
      <c r="R2041" s="3">
        <v>0.2</v>
      </c>
      <c r="S2041" s="1">
        <v>364564</v>
      </c>
      <c r="T2041" s="4">
        <f>R2041*S2041</f>
        <v>72912.800000000003</v>
      </c>
      <c r="U2041" s="4">
        <f t="shared" si="61"/>
        <v>81662.33600000001</v>
      </c>
      <c r="V2041" s="3"/>
      <c r="W2041" s="3">
        <v>2014</v>
      </c>
      <c r="X2041" s="3"/>
    </row>
    <row r="2042" spans="1:24" ht="89.25">
      <c r="A2042" s="3" t="s">
        <v>1333</v>
      </c>
      <c r="B2042" s="6" t="s">
        <v>361</v>
      </c>
      <c r="C2042" s="6" t="s">
        <v>8315</v>
      </c>
      <c r="D2042" s="42" t="s">
        <v>4285</v>
      </c>
      <c r="E2042" s="42" t="s">
        <v>8316</v>
      </c>
      <c r="F2042" s="6" t="s">
        <v>4630</v>
      </c>
      <c r="G2042" s="3" t="s">
        <v>11450</v>
      </c>
      <c r="H2042" s="54">
        <v>0</v>
      </c>
      <c r="I2042" s="16">
        <v>470000000</v>
      </c>
      <c r="J2042" s="56" t="s">
        <v>229</v>
      </c>
      <c r="K2042" s="6" t="s">
        <v>517</v>
      </c>
      <c r="L2042" s="16" t="s">
        <v>4567</v>
      </c>
      <c r="M2042" s="162" t="s">
        <v>230</v>
      </c>
      <c r="N2042" s="15" t="s">
        <v>523</v>
      </c>
      <c r="O2042" s="6" t="s">
        <v>4568</v>
      </c>
      <c r="P2042" s="58" t="s">
        <v>235</v>
      </c>
      <c r="Q2042" s="6" t="s">
        <v>236</v>
      </c>
      <c r="R2042" s="1">
        <v>0.75</v>
      </c>
      <c r="S2042" s="74">
        <v>712654</v>
      </c>
      <c r="T2042" s="4">
        <v>0</v>
      </c>
      <c r="U2042" s="4">
        <f t="shared" si="61"/>
        <v>0</v>
      </c>
      <c r="V2042" s="3"/>
      <c r="W2042" s="3">
        <v>2014</v>
      </c>
      <c r="X2042" s="3">
        <v>11.12</v>
      </c>
    </row>
    <row r="2043" spans="1:24" ht="89.25">
      <c r="A2043" s="3" t="s">
        <v>12385</v>
      </c>
      <c r="B2043" s="6" t="s">
        <v>361</v>
      </c>
      <c r="C2043" s="6" t="s">
        <v>8315</v>
      </c>
      <c r="D2043" s="42" t="s">
        <v>4285</v>
      </c>
      <c r="E2043" s="42" t="s">
        <v>8316</v>
      </c>
      <c r="F2043" s="6" t="s">
        <v>4630</v>
      </c>
      <c r="G2043" s="3" t="s">
        <v>11450</v>
      </c>
      <c r="H2043" s="54">
        <v>0</v>
      </c>
      <c r="I2043" s="16">
        <v>470000000</v>
      </c>
      <c r="J2043" s="56" t="s">
        <v>229</v>
      </c>
      <c r="K2043" s="6" t="s">
        <v>12372</v>
      </c>
      <c r="L2043" s="17" t="s">
        <v>11411</v>
      </c>
      <c r="M2043" s="162" t="s">
        <v>230</v>
      </c>
      <c r="N2043" s="15" t="s">
        <v>523</v>
      </c>
      <c r="O2043" s="6" t="s">
        <v>4568</v>
      </c>
      <c r="P2043" s="58" t="s">
        <v>235</v>
      </c>
      <c r="Q2043" s="6" t="s">
        <v>236</v>
      </c>
      <c r="R2043" s="1">
        <v>0.75</v>
      </c>
      <c r="S2043" s="74">
        <v>712654</v>
      </c>
      <c r="T2043" s="4">
        <v>0</v>
      </c>
      <c r="U2043" s="4">
        <f t="shared" si="61"/>
        <v>0</v>
      </c>
      <c r="V2043" s="3"/>
      <c r="W2043" s="3">
        <v>2014</v>
      </c>
      <c r="X2043" s="3">
        <v>11</v>
      </c>
    </row>
    <row r="2044" spans="1:24" ht="89.25">
      <c r="A2044" s="3" t="s">
        <v>15539</v>
      </c>
      <c r="B2044" s="6" t="s">
        <v>361</v>
      </c>
      <c r="C2044" s="6" t="s">
        <v>8315</v>
      </c>
      <c r="D2044" s="42" t="s">
        <v>4285</v>
      </c>
      <c r="E2044" s="42" t="s">
        <v>8316</v>
      </c>
      <c r="F2044" s="6" t="s">
        <v>4630</v>
      </c>
      <c r="G2044" s="3" t="s">
        <v>11450</v>
      </c>
      <c r="H2044" s="54">
        <v>0</v>
      </c>
      <c r="I2044" s="16">
        <v>470000000</v>
      </c>
      <c r="J2044" s="56" t="s">
        <v>229</v>
      </c>
      <c r="K2044" s="6" t="s">
        <v>220</v>
      </c>
      <c r="L2044" s="17" t="s">
        <v>11411</v>
      </c>
      <c r="M2044" s="162" t="s">
        <v>230</v>
      </c>
      <c r="N2044" s="15" t="s">
        <v>523</v>
      </c>
      <c r="O2044" s="6" t="s">
        <v>4568</v>
      </c>
      <c r="P2044" s="58" t="s">
        <v>235</v>
      </c>
      <c r="Q2044" s="6" t="s">
        <v>236</v>
      </c>
      <c r="R2044" s="1">
        <v>0.75</v>
      </c>
      <c r="S2044" s="74">
        <v>712654</v>
      </c>
      <c r="T2044" s="4">
        <v>0</v>
      </c>
      <c r="U2044" s="4">
        <f t="shared" si="61"/>
        <v>0</v>
      </c>
      <c r="V2044" s="3"/>
      <c r="W2044" s="3">
        <v>2014</v>
      </c>
      <c r="X2044" s="3">
        <v>11.14</v>
      </c>
    </row>
    <row r="2045" spans="1:24" ht="89.25">
      <c r="A2045" s="3" t="s">
        <v>17532</v>
      </c>
      <c r="B2045" s="6" t="s">
        <v>361</v>
      </c>
      <c r="C2045" s="6" t="s">
        <v>8315</v>
      </c>
      <c r="D2045" s="42" t="s">
        <v>4285</v>
      </c>
      <c r="E2045" s="42" t="s">
        <v>8316</v>
      </c>
      <c r="F2045" s="6" t="s">
        <v>4630</v>
      </c>
      <c r="G2045" s="3" t="s">
        <v>11450</v>
      </c>
      <c r="H2045" s="54">
        <v>0</v>
      </c>
      <c r="I2045" s="16">
        <v>470000000</v>
      </c>
      <c r="J2045" s="56" t="s">
        <v>229</v>
      </c>
      <c r="K2045" s="6" t="s">
        <v>222</v>
      </c>
      <c r="L2045" s="17" t="s">
        <v>11411</v>
      </c>
      <c r="M2045" s="162" t="s">
        <v>230</v>
      </c>
      <c r="N2045" s="15" t="s">
        <v>8914</v>
      </c>
      <c r="O2045" s="6" t="s">
        <v>4568</v>
      </c>
      <c r="P2045" s="58" t="s">
        <v>235</v>
      </c>
      <c r="Q2045" s="6" t="s">
        <v>236</v>
      </c>
      <c r="R2045" s="1">
        <v>0.75</v>
      </c>
      <c r="S2045" s="74">
        <v>712654</v>
      </c>
      <c r="T2045" s="4">
        <f>R2045*S2045</f>
        <v>534490.5</v>
      </c>
      <c r="U2045" s="4">
        <f t="shared" si="61"/>
        <v>598629.3600000001</v>
      </c>
      <c r="V2045" s="3"/>
      <c r="W2045" s="3">
        <v>2014</v>
      </c>
      <c r="X2045" s="3"/>
    </row>
    <row r="2046" spans="1:24" ht="89.25">
      <c r="A2046" s="3" t="s">
        <v>1334</v>
      </c>
      <c r="B2046" s="6" t="s">
        <v>361</v>
      </c>
      <c r="C2046" s="6" t="s">
        <v>8317</v>
      </c>
      <c r="D2046" s="42" t="s">
        <v>4285</v>
      </c>
      <c r="E2046" s="42" t="s">
        <v>8318</v>
      </c>
      <c r="F2046" s="6" t="s">
        <v>4631</v>
      </c>
      <c r="G2046" s="3" t="s">
        <v>11450</v>
      </c>
      <c r="H2046" s="54">
        <v>0</v>
      </c>
      <c r="I2046" s="55">
        <v>470000000</v>
      </c>
      <c r="J2046" s="56" t="s">
        <v>229</v>
      </c>
      <c r="K2046" s="6" t="s">
        <v>518</v>
      </c>
      <c r="L2046" s="16" t="s">
        <v>4570</v>
      </c>
      <c r="M2046" s="162" t="s">
        <v>230</v>
      </c>
      <c r="N2046" s="15" t="s">
        <v>523</v>
      </c>
      <c r="O2046" s="6" t="s">
        <v>4568</v>
      </c>
      <c r="P2046" s="58" t="s">
        <v>235</v>
      </c>
      <c r="Q2046" s="6" t="s">
        <v>236</v>
      </c>
      <c r="R2046" s="3">
        <v>0.1</v>
      </c>
      <c r="S2046" s="1">
        <v>814756</v>
      </c>
      <c r="T2046" s="4">
        <v>0</v>
      </c>
      <c r="U2046" s="4">
        <f t="shared" si="61"/>
        <v>0</v>
      </c>
      <c r="V2046" s="3"/>
      <c r="W2046" s="3">
        <v>2014</v>
      </c>
      <c r="X2046" s="3">
        <v>11.12</v>
      </c>
    </row>
    <row r="2047" spans="1:24" ht="89.25">
      <c r="A2047" s="3" t="s">
        <v>12386</v>
      </c>
      <c r="B2047" s="6" t="s">
        <v>361</v>
      </c>
      <c r="C2047" s="6" t="s">
        <v>8317</v>
      </c>
      <c r="D2047" s="42" t="s">
        <v>4285</v>
      </c>
      <c r="E2047" s="42" t="s">
        <v>8318</v>
      </c>
      <c r="F2047" s="6" t="s">
        <v>4631</v>
      </c>
      <c r="G2047" s="3" t="s">
        <v>11450</v>
      </c>
      <c r="H2047" s="54">
        <v>0</v>
      </c>
      <c r="I2047" s="55">
        <v>470000000</v>
      </c>
      <c r="J2047" s="56" t="s">
        <v>229</v>
      </c>
      <c r="K2047" s="6" t="s">
        <v>12372</v>
      </c>
      <c r="L2047" s="17" t="s">
        <v>11411</v>
      </c>
      <c r="M2047" s="162" t="s">
        <v>230</v>
      </c>
      <c r="N2047" s="15" t="s">
        <v>523</v>
      </c>
      <c r="O2047" s="6" t="s">
        <v>4568</v>
      </c>
      <c r="P2047" s="58" t="s">
        <v>235</v>
      </c>
      <c r="Q2047" s="6" t="s">
        <v>236</v>
      </c>
      <c r="R2047" s="3">
        <v>0.1</v>
      </c>
      <c r="S2047" s="1">
        <v>814756</v>
      </c>
      <c r="T2047" s="4">
        <v>0</v>
      </c>
      <c r="U2047" s="4">
        <f t="shared" si="61"/>
        <v>0</v>
      </c>
      <c r="V2047" s="3"/>
      <c r="W2047" s="3">
        <v>2014</v>
      </c>
      <c r="X2047" s="3">
        <v>11</v>
      </c>
    </row>
    <row r="2048" spans="1:24" ht="89.25">
      <c r="A2048" s="3" t="s">
        <v>15540</v>
      </c>
      <c r="B2048" s="6" t="s">
        <v>361</v>
      </c>
      <c r="C2048" s="6" t="s">
        <v>8317</v>
      </c>
      <c r="D2048" s="42" t="s">
        <v>4285</v>
      </c>
      <c r="E2048" s="42" t="s">
        <v>8318</v>
      </c>
      <c r="F2048" s="6" t="s">
        <v>4631</v>
      </c>
      <c r="G2048" s="3" t="s">
        <v>11450</v>
      </c>
      <c r="H2048" s="54">
        <v>0</v>
      </c>
      <c r="I2048" s="55">
        <v>470000000</v>
      </c>
      <c r="J2048" s="56" t="s">
        <v>229</v>
      </c>
      <c r="K2048" s="6" t="s">
        <v>220</v>
      </c>
      <c r="L2048" s="17" t="s">
        <v>11411</v>
      </c>
      <c r="M2048" s="162" t="s">
        <v>230</v>
      </c>
      <c r="N2048" s="15" t="s">
        <v>523</v>
      </c>
      <c r="O2048" s="6" t="s">
        <v>4568</v>
      </c>
      <c r="P2048" s="58" t="s">
        <v>235</v>
      </c>
      <c r="Q2048" s="6" t="s">
        <v>236</v>
      </c>
      <c r="R2048" s="3">
        <v>0.1</v>
      </c>
      <c r="S2048" s="1">
        <v>814756</v>
      </c>
      <c r="T2048" s="4">
        <v>0</v>
      </c>
      <c r="U2048" s="4">
        <f t="shared" si="61"/>
        <v>0</v>
      </c>
      <c r="V2048" s="3"/>
      <c r="W2048" s="3">
        <v>2014</v>
      </c>
      <c r="X2048" s="3">
        <v>11.14</v>
      </c>
    </row>
    <row r="2049" spans="1:24" ht="89.25">
      <c r="A2049" s="3" t="s">
        <v>17533</v>
      </c>
      <c r="B2049" s="6" t="s">
        <v>361</v>
      </c>
      <c r="C2049" s="6" t="s">
        <v>8317</v>
      </c>
      <c r="D2049" s="42" t="s">
        <v>4285</v>
      </c>
      <c r="E2049" s="42" t="s">
        <v>8318</v>
      </c>
      <c r="F2049" s="6" t="s">
        <v>4631</v>
      </c>
      <c r="G2049" s="3" t="s">
        <v>11450</v>
      </c>
      <c r="H2049" s="54">
        <v>0</v>
      </c>
      <c r="I2049" s="55">
        <v>470000000</v>
      </c>
      <c r="J2049" s="56" t="s">
        <v>229</v>
      </c>
      <c r="K2049" s="6" t="s">
        <v>222</v>
      </c>
      <c r="L2049" s="17" t="s">
        <v>11411</v>
      </c>
      <c r="M2049" s="162" t="s">
        <v>230</v>
      </c>
      <c r="N2049" s="15" t="s">
        <v>8914</v>
      </c>
      <c r="O2049" s="6" t="s">
        <v>4568</v>
      </c>
      <c r="P2049" s="58" t="s">
        <v>235</v>
      </c>
      <c r="Q2049" s="6" t="s">
        <v>236</v>
      </c>
      <c r="R2049" s="3">
        <v>0.1</v>
      </c>
      <c r="S2049" s="1">
        <v>814756</v>
      </c>
      <c r="T2049" s="4">
        <f>R2049*S2049</f>
        <v>81475.600000000006</v>
      </c>
      <c r="U2049" s="4">
        <f t="shared" si="61"/>
        <v>91252.67200000002</v>
      </c>
      <c r="V2049" s="3"/>
      <c r="W2049" s="3">
        <v>2014</v>
      </c>
      <c r="X2049" s="3"/>
    </row>
    <row r="2050" spans="1:24" ht="89.25">
      <c r="A2050" s="3" t="s">
        <v>1335</v>
      </c>
      <c r="B2050" s="6" t="s">
        <v>361</v>
      </c>
      <c r="C2050" s="6" t="s">
        <v>16620</v>
      </c>
      <c r="D2050" s="6" t="s">
        <v>4285</v>
      </c>
      <c r="E2050" s="6" t="s">
        <v>16621</v>
      </c>
      <c r="F2050" s="42" t="s">
        <v>4632</v>
      </c>
      <c r="G2050" s="3" t="s">
        <v>11450</v>
      </c>
      <c r="H2050" s="54">
        <v>0</v>
      </c>
      <c r="I2050" s="55">
        <v>470000000</v>
      </c>
      <c r="J2050" s="56" t="s">
        <v>229</v>
      </c>
      <c r="K2050" s="6" t="s">
        <v>516</v>
      </c>
      <c r="L2050" s="16" t="s">
        <v>4570</v>
      </c>
      <c r="M2050" s="162" t="s">
        <v>230</v>
      </c>
      <c r="N2050" s="15" t="s">
        <v>523</v>
      </c>
      <c r="O2050" s="6" t="s">
        <v>4568</v>
      </c>
      <c r="P2050" s="58" t="s">
        <v>235</v>
      </c>
      <c r="Q2050" s="6" t="s">
        <v>236</v>
      </c>
      <c r="R2050" s="3">
        <v>3.6</v>
      </c>
      <c r="S2050" s="1">
        <v>534354</v>
      </c>
      <c r="T2050" s="4">
        <v>0</v>
      </c>
      <c r="U2050" s="4">
        <f t="shared" si="61"/>
        <v>0</v>
      </c>
      <c r="V2050" s="3"/>
      <c r="W2050" s="3">
        <v>2014</v>
      </c>
      <c r="X2050" s="3">
        <v>11.12</v>
      </c>
    </row>
    <row r="2051" spans="1:24" ht="89.25">
      <c r="A2051" s="3" t="s">
        <v>12387</v>
      </c>
      <c r="B2051" s="6" t="s">
        <v>361</v>
      </c>
      <c r="C2051" s="6" t="s">
        <v>16620</v>
      </c>
      <c r="D2051" s="6" t="s">
        <v>4285</v>
      </c>
      <c r="E2051" s="6" t="s">
        <v>16621</v>
      </c>
      <c r="F2051" s="42" t="s">
        <v>4632</v>
      </c>
      <c r="G2051" s="3" t="s">
        <v>11450</v>
      </c>
      <c r="H2051" s="54">
        <v>0</v>
      </c>
      <c r="I2051" s="55">
        <v>470000000</v>
      </c>
      <c r="J2051" s="56" t="s">
        <v>229</v>
      </c>
      <c r="K2051" s="6" t="s">
        <v>12372</v>
      </c>
      <c r="L2051" s="17" t="s">
        <v>11411</v>
      </c>
      <c r="M2051" s="162" t="s">
        <v>230</v>
      </c>
      <c r="N2051" s="15" t="s">
        <v>523</v>
      </c>
      <c r="O2051" s="6" t="s">
        <v>4568</v>
      </c>
      <c r="P2051" s="58" t="s">
        <v>235</v>
      </c>
      <c r="Q2051" s="6" t="s">
        <v>236</v>
      </c>
      <c r="R2051" s="3">
        <v>3.6</v>
      </c>
      <c r="S2051" s="1">
        <v>534354</v>
      </c>
      <c r="T2051" s="4">
        <v>0</v>
      </c>
      <c r="U2051" s="4">
        <f t="shared" si="61"/>
        <v>0</v>
      </c>
      <c r="V2051" s="3"/>
      <c r="W2051" s="3">
        <v>2014</v>
      </c>
      <c r="X2051" s="3">
        <v>11</v>
      </c>
    </row>
    <row r="2052" spans="1:24" ht="89.25">
      <c r="A2052" s="3" t="s">
        <v>15541</v>
      </c>
      <c r="B2052" s="6" t="s">
        <v>361</v>
      </c>
      <c r="C2052" s="6" t="s">
        <v>16620</v>
      </c>
      <c r="D2052" s="6" t="s">
        <v>4285</v>
      </c>
      <c r="E2052" s="6" t="s">
        <v>16621</v>
      </c>
      <c r="F2052" s="42" t="s">
        <v>4632</v>
      </c>
      <c r="G2052" s="3" t="s">
        <v>11450</v>
      </c>
      <c r="H2052" s="54">
        <v>0</v>
      </c>
      <c r="I2052" s="55">
        <v>470000000</v>
      </c>
      <c r="J2052" s="56" t="s">
        <v>229</v>
      </c>
      <c r="K2052" s="6" t="s">
        <v>220</v>
      </c>
      <c r="L2052" s="17" t="s">
        <v>11411</v>
      </c>
      <c r="M2052" s="162" t="s">
        <v>230</v>
      </c>
      <c r="N2052" s="15" t="s">
        <v>523</v>
      </c>
      <c r="O2052" s="6" t="s">
        <v>4568</v>
      </c>
      <c r="P2052" s="58" t="s">
        <v>235</v>
      </c>
      <c r="Q2052" s="6" t="s">
        <v>236</v>
      </c>
      <c r="R2052" s="3">
        <v>3.6</v>
      </c>
      <c r="S2052" s="1">
        <v>534354</v>
      </c>
      <c r="T2052" s="4">
        <v>0</v>
      </c>
      <c r="U2052" s="4">
        <f t="shared" si="61"/>
        <v>0</v>
      </c>
      <c r="V2052" s="3"/>
      <c r="W2052" s="3">
        <v>2014</v>
      </c>
      <c r="X2052" s="3">
        <v>11.14</v>
      </c>
    </row>
    <row r="2053" spans="1:24" ht="89.25">
      <c r="A2053" s="3" t="s">
        <v>17534</v>
      </c>
      <c r="B2053" s="6" t="s">
        <v>361</v>
      </c>
      <c r="C2053" s="6" t="s">
        <v>16620</v>
      </c>
      <c r="D2053" s="6" t="s">
        <v>4285</v>
      </c>
      <c r="E2053" s="6" t="s">
        <v>16621</v>
      </c>
      <c r="F2053" s="42" t="s">
        <v>4632</v>
      </c>
      <c r="G2053" s="3" t="s">
        <v>11450</v>
      </c>
      <c r="H2053" s="54">
        <v>0</v>
      </c>
      <c r="I2053" s="55">
        <v>470000000</v>
      </c>
      <c r="J2053" s="56" t="s">
        <v>229</v>
      </c>
      <c r="K2053" s="6" t="s">
        <v>222</v>
      </c>
      <c r="L2053" s="17" t="s">
        <v>11411</v>
      </c>
      <c r="M2053" s="162" t="s">
        <v>230</v>
      </c>
      <c r="N2053" s="15" t="s">
        <v>8914</v>
      </c>
      <c r="O2053" s="6" t="s">
        <v>4568</v>
      </c>
      <c r="P2053" s="58" t="s">
        <v>235</v>
      </c>
      <c r="Q2053" s="6" t="s">
        <v>236</v>
      </c>
      <c r="R2053" s="3">
        <v>3.6</v>
      </c>
      <c r="S2053" s="1">
        <v>534354</v>
      </c>
      <c r="T2053" s="4">
        <f>R2053*S2053</f>
        <v>1923674.4000000001</v>
      </c>
      <c r="U2053" s="4">
        <f t="shared" si="61"/>
        <v>2154515.3280000002</v>
      </c>
      <c r="V2053" s="3"/>
      <c r="W2053" s="3">
        <v>2014</v>
      </c>
      <c r="X2053" s="3"/>
    </row>
    <row r="2054" spans="1:24" ht="89.25">
      <c r="A2054" s="3" t="s">
        <v>1336</v>
      </c>
      <c r="B2054" s="6" t="s">
        <v>361</v>
      </c>
      <c r="C2054" s="6" t="s">
        <v>16588</v>
      </c>
      <c r="D2054" s="6" t="s">
        <v>343</v>
      </c>
      <c r="E2054" s="6" t="s">
        <v>16589</v>
      </c>
      <c r="F2054" s="42" t="s">
        <v>4633</v>
      </c>
      <c r="G2054" s="3" t="s">
        <v>11450</v>
      </c>
      <c r="H2054" s="54">
        <v>0</v>
      </c>
      <c r="I2054" s="16">
        <v>470000000</v>
      </c>
      <c r="J2054" s="56" t="s">
        <v>229</v>
      </c>
      <c r="K2054" s="6" t="s">
        <v>516</v>
      </c>
      <c r="L2054" s="16" t="s">
        <v>4567</v>
      </c>
      <c r="M2054" s="162" t="s">
        <v>230</v>
      </c>
      <c r="N2054" s="15" t="s">
        <v>523</v>
      </c>
      <c r="O2054" s="6" t="s">
        <v>4568</v>
      </c>
      <c r="P2054" s="58" t="s">
        <v>235</v>
      </c>
      <c r="Q2054" s="6" t="s">
        <v>236</v>
      </c>
      <c r="R2054" s="1">
        <v>0.4</v>
      </c>
      <c r="S2054" s="74">
        <v>507432</v>
      </c>
      <c r="T2054" s="4">
        <v>0</v>
      </c>
      <c r="U2054" s="4">
        <f t="shared" si="61"/>
        <v>0</v>
      </c>
      <c r="V2054" s="3"/>
      <c r="W2054" s="3">
        <v>2014</v>
      </c>
      <c r="X2054" s="3">
        <v>11.12</v>
      </c>
    </row>
    <row r="2055" spans="1:24" ht="89.25">
      <c r="A2055" s="3" t="s">
        <v>12388</v>
      </c>
      <c r="B2055" s="6" t="s">
        <v>361</v>
      </c>
      <c r="C2055" s="6" t="s">
        <v>16588</v>
      </c>
      <c r="D2055" s="6" t="s">
        <v>343</v>
      </c>
      <c r="E2055" s="6" t="s">
        <v>16589</v>
      </c>
      <c r="F2055" s="42" t="s">
        <v>4633</v>
      </c>
      <c r="G2055" s="3" t="s">
        <v>11450</v>
      </c>
      <c r="H2055" s="54">
        <v>0</v>
      </c>
      <c r="I2055" s="16">
        <v>470000000</v>
      </c>
      <c r="J2055" s="56" t="s">
        <v>229</v>
      </c>
      <c r="K2055" s="6" t="s">
        <v>12372</v>
      </c>
      <c r="L2055" s="17" t="s">
        <v>11411</v>
      </c>
      <c r="M2055" s="162" t="s">
        <v>230</v>
      </c>
      <c r="N2055" s="15" t="s">
        <v>523</v>
      </c>
      <c r="O2055" s="6" t="s">
        <v>4568</v>
      </c>
      <c r="P2055" s="58" t="s">
        <v>235</v>
      </c>
      <c r="Q2055" s="6" t="s">
        <v>236</v>
      </c>
      <c r="R2055" s="1">
        <v>0.4</v>
      </c>
      <c r="S2055" s="74">
        <v>507432</v>
      </c>
      <c r="T2055" s="4">
        <v>0</v>
      </c>
      <c r="U2055" s="4">
        <f t="shared" si="61"/>
        <v>0</v>
      </c>
      <c r="V2055" s="3"/>
      <c r="W2055" s="3">
        <v>2014</v>
      </c>
      <c r="X2055" s="3">
        <v>11</v>
      </c>
    </row>
    <row r="2056" spans="1:24" ht="89.25">
      <c r="A2056" s="3" t="s">
        <v>15542</v>
      </c>
      <c r="B2056" s="6" t="s">
        <v>361</v>
      </c>
      <c r="C2056" s="6" t="s">
        <v>16588</v>
      </c>
      <c r="D2056" s="6" t="s">
        <v>343</v>
      </c>
      <c r="E2056" s="6" t="s">
        <v>16589</v>
      </c>
      <c r="F2056" s="42" t="s">
        <v>4633</v>
      </c>
      <c r="G2056" s="3" t="s">
        <v>11450</v>
      </c>
      <c r="H2056" s="54">
        <v>0</v>
      </c>
      <c r="I2056" s="16">
        <v>470000000</v>
      </c>
      <c r="J2056" s="56" t="s">
        <v>229</v>
      </c>
      <c r="K2056" s="6" t="s">
        <v>220</v>
      </c>
      <c r="L2056" s="17" t="s">
        <v>11411</v>
      </c>
      <c r="M2056" s="162" t="s">
        <v>230</v>
      </c>
      <c r="N2056" s="15" t="s">
        <v>523</v>
      </c>
      <c r="O2056" s="6" t="s">
        <v>4568</v>
      </c>
      <c r="P2056" s="58" t="s">
        <v>235</v>
      </c>
      <c r="Q2056" s="6" t="s">
        <v>236</v>
      </c>
      <c r="R2056" s="1">
        <v>0.4</v>
      </c>
      <c r="S2056" s="74">
        <v>507432</v>
      </c>
      <c r="T2056" s="4">
        <v>0</v>
      </c>
      <c r="U2056" s="4">
        <f t="shared" si="61"/>
        <v>0</v>
      </c>
      <c r="V2056" s="3"/>
      <c r="W2056" s="3">
        <v>2014</v>
      </c>
      <c r="X2056" s="3">
        <v>11.14</v>
      </c>
    </row>
    <row r="2057" spans="1:24" ht="89.25">
      <c r="A2057" s="3" t="s">
        <v>17535</v>
      </c>
      <c r="B2057" s="6" t="s">
        <v>361</v>
      </c>
      <c r="C2057" s="6" t="s">
        <v>16588</v>
      </c>
      <c r="D2057" s="6" t="s">
        <v>343</v>
      </c>
      <c r="E2057" s="6" t="s">
        <v>16589</v>
      </c>
      <c r="F2057" s="42" t="s">
        <v>4633</v>
      </c>
      <c r="G2057" s="3" t="s">
        <v>11450</v>
      </c>
      <c r="H2057" s="54">
        <v>0</v>
      </c>
      <c r="I2057" s="16">
        <v>470000000</v>
      </c>
      <c r="J2057" s="56" t="s">
        <v>229</v>
      </c>
      <c r="K2057" s="6" t="s">
        <v>222</v>
      </c>
      <c r="L2057" s="17" t="s">
        <v>11411</v>
      </c>
      <c r="M2057" s="162" t="s">
        <v>230</v>
      </c>
      <c r="N2057" s="15" t="s">
        <v>8914</v>
      </c>
      <c r="O2057" s="6" t="s">
        <v>4568</v>
      </c>
      <c r="P2057" s="58" t="s">
        <v>235</v>
      </c>
      <c r="Q2057" s="6" t="s">
        <v>236</v>
      </c>
      <c r="R2057" s="1">
        <v>0.4</v>
      </c>
      <c r="S2057" s="74">
        <v>507432</v>
      </c>
      <c r="T2057" s="4">
        <f>R2057*S2057</f>
        <v>202972.80000000002</v>
      </c>
      <c r="U2057" s="4">
        <f t="shared" si="61"/>
        <v>227329.53600000005</v>
      </c>
      <c r="V2057" s="3"/>
      <c r="W2057" s="3">
        <v>2014</v>
      </c>
      <c r="X2057" s="3"/>
    </row>
    <row r="2058" spans="1:24" ht="89.25">
      <c r="A2058" s="3" t="s">
        <v>1337</v>
      </c>
      <c r="B2058" s="6" t="s">
        <v>361</v>
      </c>
      <c r="C2058" s="6" t="s">
        <v>16586</v>
      </c>
      <c r="D2058" s="6" t="s">
        <v>343</v>
      </c>
      <c r="E2058" s="6" t="s">
        <v>16587</v>
      </c>
      <c r="F2058" s="42" t="s">
        <v>4634</v>
      </c>
      <c r="G2058" s="3" t="s">
        <v>11450</v>
      </c>
      <c r="H2058" s="54">
        <v>0</v>
      </c>
      <c r="I2058" s="55">
        <v>470000000</v>
      </c>
      <c r="J2058" s="56" t="s">
        <v>229</v>
      </c>
      <c r="K2058" s="6" t="s">
        <v>516</v>
      </c>
      <c r="L2058" s="16" t="s">
        <v>4570</v>
      </c>
      <c r="M2058" s="162" t="s">
        <v>230</v>
      </c>
      <c r="N2058" s="15" t="s">
        <v>523</v>
      </c>
      <c r="O2058" s="6" t="s">
        <v>4568</v>
      </c>
      <c r="P2058" s="58" t="s">
        <v>235</v>
      </c>
      <c r="Q2058" s="6" t="s">
        <v>236</v>
      </c>
      <c r="R2058" s="3">
        <v>0.3</v>
      </c>
      <c r="S2058" s="1">
        <v>234657</v>
      </c>
      <c r="T2058" s="4">
        <v>0</v>
      </c>
      <c r="U2058" s="4">
        <f t="shared" si="61"/>
        <v>0</v>
      </c>
      <c r="V2058" s="3"/>
      <c r="W2058" s="3">
        <v>2014</v>
      </c>
      <c r="X2058" s="3">
        <v>11.12</v>
      </c>
    </row>
    <row r="2059" spans="1:24" ht="89.25">
      <c r="A2059" s="3" t="s">
        <v>12389</v>
      </c>
      <c r="B2059" s="6" t="s">
        <v>361</v>
      </c>
      <c r="C2059" s="6" t="s">
        <v>16586</v>
      </c>
      <c r="D2059" s="6" t="s">
        <v>343</v>
      </c>
      <c r="E2059" s="6" t="s">
        <v>16587</v>
      </c>
      <c r="F2059" s="42" t="s">
        <v>4634</v>
      </c>
      <c r="G2059" s="3" t="s">
        <v>11450</v>
      </c>
      <c r="H2059" s="54">
        <v>0</v>
      </c>
      <c r="I2059" s="55">
        <v>470000000</v>
      </c>
      <c r="J2059" s="56" t="s">
        <v>229</v>
      </c>
      <c r="K2059" s="6" t="s">
        <v>12372</v>
      </c>
      <c r="L2059" s="17" t="s">
        <v>11411</v>
      </c>
      <c r="M2059" s="162" t="s">
        <v>230</v>
      </c>
      <c r="N2059" s="15" t="s">
        <v>523</v>
      </c>
      <c r="O2059" s="6" t="s">
        <v>4568</v>
      </c>
      <c r="P2059" s="58" t="s">
        <v>235</v>
      </c>
      <c r="Q2059" s="6" t="s">
        <v>236</v>
      </c>
      <c r="R2059" s="3">
        <v>0.3</v>
      </c>
      <c r="S2059" s="1">
        <v>234657</v>
      </c>
      <c r="T2059" s="4">
        <v>0</v>
      </c>
      <c r="U2059" s="4">
        <f t="shared" si="61"/>
        <v>0</v>
      </c>
      <c r="V2059" s="3"/>
      <c r="W2059" s="3">
        <v>2014</v>
      </c>
      <c r="X2059" s="3">
        <v>11</v>
      </c>
    </row>
    <row r="2060" spans="1:24" ht="89.25">
      <c r="A2060" s="3" t="s">
        <v>15543</v>
      </c>
      <c r="B2060" s="6" t="s">
        <v>361</v>
      </c>
      <c r="C2060" s="6" t="s">
        <v>16586</v>
      </c>
      <c r="D2060" s="6" t="s">
        <v>343</v>
      </c>
      <c r="E2060" s="6" t="s">
        <v>16587</v>
      </c>
      <c r="F2060" s="42" t="s">
        <v>4634</v>
      </c>
      <c r="G2060" s="3" t="s">
        <v>11450</v>
      </c>
      <c r="H2060" s="54">
        <v>0</v>
      </c>
      <c r="I2060" s="55">
        <v>470000000</v>
      </c>
      <c r="J2060" s="56" t="s">
        <v>229</v>
      </c>
      <c r="K2060" s="6" t="s">
        <v>220</v>
      </c>
      <c r="L2060" s="17" t="s">
        <v>11411</v>
      </c>
      <c r="M2060" s="162" t="s">
        <v>230</v>
      </c>
      <c r="N2060" s="15" t="s">
        <v>523</v>
      </c>
      <c r="O2060" s="6" t="s">
        <v>4568</v>
      </c>
      <c r="P2060" s="58" t="s">
        <v>235</v>
      </c>
      <c r="Q2060" s="6" t="s">
        <v>236</v>
      </c>
      <c r="R2060" s="3">
        <v>0.3</v>
      </c>
      <c r="S2060" s="1">
        <v>234657</v>
      </c>
      <c r="T2060" s="4">
        <v>0</v>
      </c>
      <c r="U2060" s="4">
        <f t="shared" si="61"/>
        <v>0</v>
      </c>
      <c r="V2060" s="3"/>
      <c r="W2060" s="3">
        <v>2014</v>
      </c>
      <c r="X2060" s="3">
        <v>11.14</v>
      </c>
    </row>
    <row r="2061" spans="1:24" ht="89.25">
      <c r="A2061" s="3" t="s">
        <v>17536</v>
      </c>
      <c r="B2061" s="6" t="s">
        <v>361</v>
      </c>
      <c r="C2061" s="6" t="s">
        <v>16586</v>
      </c>
      <c r="D2061" s="6" t="s">
        <v>343</v>
      </c>
      <c r="E2061" s="6" t="s">
        <v>16587</v>
      </c>
      <c r="F2061" s="42" t="s">
        <v>4634</v>
      </c>
      <c r="G2061" s="3" t="s">
        <v>11450</v>
      </c>
      <c r="H2061" s="54">
        <v>0</v>
      </c>
      <c r="I2061" s="55">
        <v>470000000</v>
      </c>
      <c r="J2061" s="56" t="s">
        <v>229</v>
      </c>
      <c r="K2061" s="6" t="s">
        <v>222</v>
      </c>
      <c r="L2061" s="17" t="s">
        <v>11411</v>
      </c>
      <c r="M2061" s="162" t="s">
        <v>230</v>
      </c>
      <c r="N2061" s="15" t="s">
        <v>8914</v>
      </c>
      <c r="O2061" s="6" t="s">
        <v>4568</v>
      </c>
      <c r="P2061" s="58" t="s">
        <v>235</v>
      </c>
      <c r="Q2061" s="6" t="s">
        <v>236</v>
      </c>
      <c r="R2061" s="3">
        <v>0.3</v>
      </c>
      <c r="S2061" s="1">
        <v>234657</v>
      </c>
      <c r="T2061" s="4">
        <f>R2061*S2061</f>
        <v>70397.099999999991</v>
      </c>
      <c r="U2061" s="4">
        <f t="shared" si="61"/>
        <v>78844.751999999993</v>
      </c>
      <c r="V2061" s="3"/>
      <c r="W2061" s="3">
        <v>2014</v>
      </c>
      <c r="X2061" s="3"/>
    </row>
    <row r="2062" spans="1:24" ht="89.25">
      <c r="A2062" s="3" t="s">
        <v>1338</v>
      </c>
      <c r="B2062" s="6" t="s">
        <v>361</v>
      </c>
      <c r="C2062" s="6" t="s">
        <v>16584</v>
      </c>
      <c r="D2062" s="6" t="s">
        <v>343</v>
      </c>
      <c r="E2062" s="6" t="s">
        <v>16585</v>
      </c>
      <c r="F2062" s="42" t="s">
        <v>4635</v>
      </c>
      <c r="G2062" s="3" t="s">
        <v>11450</v>
      </c>
      <c r="H2062" s="54">
        <v>0</v>
      </c>
      <c r="I2062" s="16">
        <v>470000000</v>
      </c>
      <c r="J2062" s="56" t="s">
        <v>229</v>
      </c>
      <c r="K2062" s="6" t="s">
        <v>516</v>
      </c>
      <c r="L2062" s="16" t="s">
        <v>4567</v>
      </c>
      <c r="M2062" s="162" t="s">
        <v>230</v>
      </c>
      <c r="N2062" s="15" t="s">
        <v>523</v>
      </c>
      <c r="O2062" s="6" t="s">
        <v>4568</v>
      </c>
      <c r="P2062" s="58" t="s">
        <v>235</v>
      </c>
      <c r="Q2062" s="6" t="s">
        <v>236</v>
      </c>
      <c r="R2062" s="1">
        <v>0.4</v>
      </c>
      <c r="S2062" s="74">
        <v>304546</v>
      </c>
      <c r="T2062" s="4">
        <v>0</v>
      </c>
      <c r="U2062" s="4">
        <f t="shared" si="61"/>
        <v>0</v>
      </c>
      <c r="V2062" s="3"/>
      <c r="W2062" s="3">
        <v>2014</v>
      </c>
      <c r="X2062" s="3">
        <v>11.12</v>
      </c>
    </row>
    <row r="2063" spans="1:24" ht="89.25">
      <c r="A2063" s="3" t="s">
        <v>12390</v>
      </c>
      <c r="B2063" s="6" t="s">
        <v>361</v>
      </c>
      <c r="C2063" s="6" t="s">
        <v>16584</v>
      </c>
      <c r="D2063" s="6" t="s">
        <v>343</v>
      </c>
      <c r="E2063" s="6" t="s">
        <v>16585</v>
      </c>
      <c r="F2063" s="42" t="s">
        <v>4635</v>
      </c>
      <c r="G2063" s="3" t="s">
        <v>11450</v>
      </c>
      <c r="H2063" s="54">
        <v>0</v>
      </c>
      <c r="I2063" s="16">
        <v>470000000</v>
      </c>
      <c r="J2063" s="56" t="s">
        <v>229</v>
      </c>
      <c r="K2063" s="6" t="s">
        <v>12372</v>
      </c>
      <c r="L2063" s="17" t="s">
        <v>11411</v>
      </c>
      <c r="M2063" s="162" t="s">
        <v>230</v>
      </c>
      <c r="N2063" s="15" t="s">
        <v>523</v>
      </c>
      <c r="O2063" s="6" t="s">
        <v>4568</v>
      </c>
      <c r="P2063" s="58" t="s">
        <v>235</v>
      </c>
      <c r="Q2063" s="6" t="s">
        <v>236</v>
      </c>
      <c r="R2063" s="1">
        <v>0.4</v>
      </c>
      <c r="S2063" s="74">
        <v>304546</v>
      </c>
      <c r="T2063" s="4">
        <v>0</v>
      </c>
      <c r="U2063" s="4">
        <f t="shared" si="61"/>
        <v>0</v>
      </c>
      <c r="V2063" s="3"/>
      <c r="W2063" s="3">
        <v>2014</v>
      </c>
      <c r="X2063" s="3">
        <v>11</v>
      </c>
    </row>
    <row r="2064" spans="1:24" ht="89.25">
      <c r="A2064" s="3" t="s">
        <v>15544</v>
      </c>
      <c r="B2064" s="6" t="s">
        <v>361</v>
      </c>
      <c r="C2064" s="6" t="s">
        <v>16584</v>
      </c>
      <c r="D2064" s="6" t="s">
        <v>343</v>
      </c>
      <c r="E2064" s="6" t="s">
        <v>16585</v>
      </c>
      <c r="F2064" s="42" t="s">
        <v>4635</v>
      </c>
      <c r="G2064" s="3" t="s">
        <v>11450</v>
      </c>
      <c r="H2064" s="54">
        <v>0</v>
      </c>
      <c r="I2064" s="16">
        <v>470000000</v>
      </c>
      <c r="J2064" s="56" t="s">
        <v>229</v>
      </c>
      <c r="K2064" s="6" t="s">
        <v>220</v>
      </c>
      <c r="L2064" s="17" t="s">
        <v>11411</v>
      </c>
      <c r="M2064" s="162" t="s">
        <v>230</v>
      </c>
      <c r="N2064" s="15" t="s">
        <v>523</v>
      </c>
      <c r="O2064" s="6" t="s">
        <v>4568</v>
      </c>
      <c r="P2064" s="58" t="s">
        <v>235</v>
      </c>
      <c r="Q2064" s="6" t="s">
        <v>236</v>
      </c>
      <c r="R2064" s="1">
        <v>0.4</v>
      </c>
      <c r="S2064" s="74">
        <v>304546</v>
      </c>
      <c r="T2064" s="4">
        <v>0</v>
      </c>
      <c r="U2064" s="4">
        <f t="shared" si="61"/>
        <v>0</v>
      </c>
      <c r="V2064" s="3"/>
      <c r="W2064" s="3">
        <v>2014</v>
      </c>
      <c r="X2064" s="3">
        <v>11.14</v>
      </c>
    </row>
    <row r="2065" spans="1:24" ht="89.25">
      <c r="A2065" s="3" t="s">
        <v>17537</v>
      </c>
      <c r="B2065" s="6" t="s">
        <v>361</v>
      </c>
      <c r="C2065" s="6" t="s">
        <v>16584</v>
      </c>
      <c r="D2065" s="6" t="s">
        <v>343</v>
      </c>
      <c r="E2065" s="6" t="s">
        <v>16585</v>
      </c>
      <c r="F2065" s="42" t="s">
        <v>4635</v>
      </c>
      <c r="G2065" s="3" t="s">
        <v>11450</v>
      </c>
      <c r="H2065" s="54">
        <v>0</v>
      </c>
      <c r="I2065" s="16">
        <v>470000000</v>
      </c>
      <c r="J2065" s="56" t="s">
        <v>229</v>
      </c>
      <c r="K2065" s="6" t="s">
        <v>222</v>
      </c>
      <c r="L2065" s="17" t="s">
        <v>11411</v>
      </c>
      <c r="M2065" s="162" t="s">
        <v>230</v>
      </c>
      <c r="N2065" s="15" t="s">
        <v>8914</v>
      </c>
      <c r="O2065" s="6" t="s">
        <v>4568</v>
      </c>
      <c r="P2065" s="58" t="s">
        <v>235</v>
      </c>
      <c r="Q2065" s="6" t="s">
        <v>236</v>
      </c>
      <c r="R2065" s="1">
        <v>0.4</v>
      </c>
      <c r="S2065" s="74">
        <v>304546</v>
      </c>
      <c r="T2065" s="4">
        <f>R2065*S2065</f>
        <v>121818.40000000001</v>
      </c>
      <c r="U2065" s="4">
        <f t="shared" si="61"/>
        <v>136436.60800000004</v>
      </c>
      <c r="V2065" s="3"/>
      <c r="W2065" s="3">
        <v>2014</v>
      </c>
      <c r="X2065" s="3"/>
    </row>
    <row r="2066" spans="1:24" ht="89.25">
      <c r="A2066" s="3" t="s">
        <v>1339</v>
      </c>
      <c r="B2066" s="6" t="s">
        <v>361</v>
      </c>
      <c r="C2066" s="6" t="s">
        <v>4286</v>
      </c>
      <c r="D2066" s="42" t="s">
        <v>4285</v>
      </c>
      <c r="E2066" s="42" t="s">
        <v>11461</v>
      </c>
      <c r="F2066" s="76" t="s">
        <v>4636</v>
      </c>
      <c r="G2066" s="3" t="s">
        <v>11450</v>
      </c>
      <c r="H2066" s="54">
        <v>0.8</v>
      </c>
      <c r="I2066" s="16">
        <v>470000000</v>
      </c>
      <c r="J2066" s="56" t="s">
        <v>229</v>
      </c>
      <c r="K2066" s="6" t="s">
        <v>519</v>
      </c>
      <c r="L2066" s="16" t="s">
        <v>4567</v>
      </c>
      <c r="M2066" s="162" t="s">
        <v>230</v>
      </c>
      <c r="N2066" s="15" t="s">
        <v>524</v>
      </c>
      <c r="O2066" s="6" t="s">
        <v>4568</v>
      </c>
      <c r="P2066" s="58" t="s">
        <v>247</v>
      </c>
      <c r="Q2066" s="6" t="s">
        <v>240</v>
      </c>
      <c r="R2066" s="1">
        <v>9.4</v>
      </c>
      <c r="S2066" s="74">
        <v>609465</v>
      </c>
      <c r="T2066" s="4">
        <v>0</v>
      </c>
      <c r="U2066" s="4">
        <f t="shared" si="61"/>
        <v>0</v>
      </c>
      <c r="V2066" s="3"/>
      <c r="W2066" s="3">
        <v>2014</v>
      </c>
      <c r="X2066" s="3">
        <v>12.22</v>
      </c>
    </row>
    <row r="2067" spans="1:24" ht="89.25">
      <c r="A2067" s="3" t="s">
        <v>18443</v>
      </c>
      <c r="B2067" s="6" t="s">
        <v>361</v>
      </c>
      <c r="C2067" s="6" t="s">
        <v>4286</v>
      </c>
      <c r="D2067" s="42" t="s">
        <v>4285</v>
      </c>
      <c r="E2067" s="42" t="s">
        <v>11461</v>
      </c>
      <c r="F2067" s="76" t="s">
        <v>4636</v>
      </c>
      <c r="G2067" s="3" t="s">
        <v>11450</v>
      </c>
      <c r="H2067" s="54">
        <v>0.8</v>
      </c>
      <c r="I2067" s="16">
        <v>470000000</v>
      </c>
      <c r="J2067" s="56" t="s">
        <v>229</v>
      </c>
      <c r="K2067" s="6" t="s">
        <v>519</v>
      </c>
      <c r="L2067" s="17" t="s">
        <v>11411</v>
      </c>
      <c r="M2067" s="162" t="s">
        <v>230</v>
      </c>
      <c r="N2067" s="15" t="s">
        <v>524</v>
      </c>
      <c r="O2067" s="6" t="s">
        <v>4568</v>
      </c>
      <c r="P2067" s="58" t="s">
        <v>247</v>
      </c>
      <c r="Q2067" s="6" t="s">
        <v>240</v>
      </c>
      <c r="R2067" s="1">
        <v>9.4</v>
      </c>
      <c r="S2067" s="74">
        <v>609465</v>
      </c>
      <c r="T2067" s="4">
        <v>0</v>
      </c>
      <c r="U2067" s="4">
        <f t="shared" si="61"/>
        <v>0</v>
      </c>
      <c r="V2067" s="3" t="s">
        <v>362</v>
      </c>
      <c r="W2067" s="3">
        <v>2014</v>
      </c>
      <c r="X2067" s="3">
        <v>11.14</v>
      </c>
    </row>
    <row r="2068" spans="1:24" ht="89.25">
      <c r="A2068" s="3" t="s">
        <v>18442</v>
      </c>
      <c r="B2068" s="6" t="s">
        <v>361</v>
      </c>
      <c r="C2068" s="6" t="s">
        <v>4286</v>
      </c>
      <c r="D2068" s="42" t="s">
        <v>4285</v>
      </c>
      <c r="E2068" s="42" t="s">
        <v>11461</v>
      </c>
      <c r="F2068" s="76" t="s">
        <v>4636</v>
      </c>
      <c r="G2068" s="3" t="s">
        <v>11450</v>
      </c>
      <c r="H2068" s="54">
        <v>0.8</v>
      </c>
      <c r="I2068" s="16">
        <v>470000000</v>
      </c>
      <c r="J2068" s="56" t="s">
        <v>229</v>
      </c>
      <c r="K2068" s="6" t="s">
        <v>222</v>
      </c>
      <c r="L2068" s="17" t="s">
        <v>11411</v>
      </c>
      <c r="M2068" s="162" t="s">
        <v>230</v>
      </c>
      <c r="N2068" s="15" t="s">
        <v>521</v>
      </c>
      <c r="O2068" s="6" t="s">
        <v>4568</v>
      </c>
      <c r="P2068" s="58" t="s">
        <v>247</v>
      </c>
      <c r="Q2068" s="6" t="s">
        <v>240</v>
      </c>
      <c r="R2068" s="1">
        <v>9.4</v>
      </c>
      <c r="S2068" s="74">
        <v>609465</v>
      </c>
      <c r="T2068" s="4">
        <v>0</v>
      </c>
      <c r="U2068" s="4">
        <f t="shared" si="61"/>
        <v>0</v>
      </c>
      <c r="V2068" s="3" t="s">
        <v>362</v>
      </c>
      <c r="W2068" s="3">
        <v>2014</v>
      </c>
      <c r="X2068" s="3">
        <v>11.14</v>
      </c>
    </row>
    <row r="2069" spans="1:24" ht="89.25">
      <c r="A2069" s="3" t="s">
        <v>18441</v>
      </c>
      <c r="B2069" s="6" t="s">
        <v>361</v>
      </c>
      <c r="C2069" s="6" t="s">
        <v>4286</v>
      </c>
      <c r="D2069" s="42" t="s">
        <v>4285</v>
      </c>
      <c r="E2069" s="42" t="s">
        <v>11461</v>
      </c>
      <c r="F2069" s="76" t="s">
        <v>4636</v>
      </c>
      <c r="G2069" s="3" t="s">
        <v>11450</v>
      </c>
      <c r="H2069" s="54">
        <v>0.8</v>
      </c>
      <c r="I2069" s="16">
        <v>470000000</v>
      </c>
      <c r="J2069" s="56" t="s">
        <v>229</v>
      </c>
      <c r="K2069" s="6" t="s">
        <v>18439</v>
      </c>
      <c r="L2069" s="17" t="s">
        <v>11411</v>
      </c>
      <c r="M2069" s="162" t="s">
        <v>230</v>
      </c>
      <c r="N2069" s="15" t="s">
        <v>8914</v>
      </c>
      <c r="O2069" s="6" t="s">
        <v>4568</v>
      </c>
      <c r="P2069" s="58" t="s">
        <v>247</v>
      </c>
      <c r="Q2069" s="6" t="s">
        <v>240</v>
      </c>
      <c r="R2069" s="1">
        <v>9.4</v>
      </c>
      <c r="S2069" s="74">
        <v>609465</v>
      </c>
      <c r="T2069" s="4">
        <f>R2069*S2069</f>
        <v>5728971</v>
      </c>
      <c r="U2069" s="4">
        <f t="shared" si="61"/>
        <v>6416447.5200000005</v>
      </c>
      <c r="V2069" s="3" t="s">
        <v>362</v>
      </c>
      <c r="W2069" s="3">
        <v>2014</v>
      </c>
      <c r="X2069" s="3"/>
    </row>
    <row r="2070" spans="1:24" ht="89.25">
      <c r="A2070" s="3" t="s">
        <v>1340</v>
      </c>
      <c r="B2070" s="6" t="s">
        <v>361</v>
      </c>
      <c r="C2070" s="6" t="s">
        <v>4287</v>
      </c>
      <c r="D2070" s="42" t="s">
        <v>4285</v>
      </c>
      <c r="E2070" s="42" t="s">
        <v>11462</v>
      </c>
      <c r="F2070" s="76" t="s">
        <v>4637</v>
      </c>
      <c r="G2070" s="3" t="s">
        <v>11450</v>
      </c>
      <c r="H2070" s="54">
        <v>0.8</v>
      </c>
      <c r="I2070" s="55">
        <v>470000000</v>
      </c>
      <c r="J2070" s="56" t="s">
        <v>229</v>
      </c>
      <c r="K2070" s="6" t="s">
        <v>519</v>
      </c>
      <c r="L2070" s="16" t="s">
        <v>4570</v>
      </c>
      <c r="M2070" s="162" t="s">
        <v>230</v>
      </c>
      <c r="N2070" s="15" t="s">
        <v>521</v>
      </c>
      <c r="O2070" s="6" t="s">
        <v>4568</v>
      </c>
      <c r="P2070" s="58" t="s">
        <v>247</v>
      </c>
      <c r="Q2070" s="6" t="s">
        <v>240</v>
      </c>
      <c r="R2070" s="3">
        <v>0.8</v>
      </c>
      <c r="S2070" s="1">
        <v>625364</v>
      </c>
      <c r="T2070" s="4">
        <v>0</v>
      </c>
      <c r="U2070" s="4">
        <f t="shared" si="61"/>
        <v>0</v>
      </c>
      <c r="V2070" s="3"/>
      <c r="W2070" s="3">
        <v>2014</v>
      </c>
      <c r="X2070" s="3">
        <v>12.22</v>
      </c>
    </row>
    <row r="2071" spans="1:24" ht="89.25">
      <c r="A2071" s="3" t="s">
        <v>14011</v>
      </c>
      <c r="B2071" s="6" t="s">
        <v>361</v>
      </c>
      <c r="C2071" s="6" t="s">
        <v>4287</v>
      </c>
      <c r="D2071" s="42" t="s">
        <v>4285</v>
      </c>
      <c r="E2071" s="42" t="s">
        <v>11462</v>
      </c>
      <c r="F2071" s="76" t="s">
        <v>4637</v>
      </c>
      <c r="G2071" s="3" t="s">
        <v>11450</v>
      </c>
      <c r="H2071" s="54">
        <v>0.8</v>
      </c>
      <c r="I2071" s="55">
        <v>470000000</v>
      </c>
      <c r="J2071" s="56" t="s">
        <v>229</v>
      </c>
      <c r="K2071" s="6" t="s">
        <v>519</v>
      </c>
      <c r="L2071" s="17" t="s">
        <v>11411</v>
      </c>
      <c r="M2071" s="162" t="s">
        <v>230</v>
      </c>
      <c r="N2071" s="15" t="s">
        <v>521</v>
      </c>
      <c r="O2071" s="6" t="s">
        <v>4568</v>
      </c>
      <c r="P2071" s="58" t="s">
        <v>247</v>
      </c>
      <c r="Q2071" s="6" t="s">
        <v>240</v>
      </c>
      <c r="R2071" s="3">
        <v>0.8</v>
      </c>
      <c r="S2071" s="1">
        <v>625364</v>
      </c>
      <c r="T2071" s="4">
        <f t="shared" ref="T2071:T2077" si="66">R2071*S2071</f>
        <v>500291.2</v>
      </c>
      <c r="U2071" s="4">
        <f t="shared" si="61"/>
        <v>560326.14400000009</v>
      </c>
      <c r="V2071" s="3" t="s">
        <v>362</v>
      </c>
      <c r="W2071" s="3">
        <v>2014</v>
      </c>
      <c r="X2071" s="3"/>
    </row>
    <row r="2072" spans="1:24" ht="102">
      <c r="A2072" s="3" t="s">
        <v>1341</v>
      </c>
      <c r="B2072" s="6" t="s">
        <v>361</v>
      </c>
      <c r="C2072" s="42" t="s">
        <v>4288</v>
      </c>
      <c r="D2072" s="42" t="s">
        <v>457</v>
      </c>
      <c r="E2072" s="168" t="s">
        <v>4289</v>
      </c>
      <c r="F2072" s="6" t="s">
        <v>4638</v>
      </c>
      <c r="G2072" s="3" t="s">
        <v>11450</v>
      </c>
      <c r="H2072" s="54">
        <v>0</v>
      </c>
      <c r="I2072" s="16">
        <v>470000000</v>
      </c>
      <c r="J2072" s="56" t="s">
        <v>229</v>
      </c>
      <c r="K2072" s="6" t="s">
        <v>519</v>
      </c>
      <c r="L2072" s="16" t="s">
        <v>4567</v>
      </c>
      <c r="M2072" s="162" t="s">
        <v>230</v>
      </c>
      <c r="N2072" s="15" t="s">
        <v>521</v>
      </c>
      <c r="O2072" s="6" t="s">
        <v>4568</v>
      </c>
      <c r="P2072" s="58" t="s">
        <v>241</v>
      </c>
      <c r="Q2072" s="6" t="s">
        <v>234</v>
      </c>
      <c r="R2072" s="4">
        <v>0</v>
      </c>
      <c r="S2072" s="74">
        <v>12345</v>
      </c>
      <c r="T2072" s="4">
        <f t="shared" si="66"/>
        <v>0</v>
      </c>
      <c r="U2072" s="4">
        <f t="shared" si="61"/>
        <v>0</v>
      </c>
      <c r="V2072" s="3"/>
      <c r="W2072" s="3">
        <v>2014</v>
      </c>
      <c r="X2072" s="3" t="s">
        <v>12076</v>
      </c>
    </row>
    <row r="2073" spans="1:24" ht="102">
      <c r="A2073" s="3" t="s">
        <v>1342</v>
      </c>
      <c r="B2073" s="6" t="s">
        <v>361</v>
      </c>
      <c r="C2073" s="42" t="s">
        <v>4288</v>
      </c>
      <c r="D2073" s="42" t="s">
        <v>457</v>
      </c>
      <c r="E2073" s="168" t="s">
        <v>4289</v>
      </c>
      <c r="F2073" s="6" t="s">
        <v>4639</v>
      </c>
      <c r="G2073" s="3" t="s">
        <v>11450</v>
      </c>
      <c r="H2073" s="54">
        <v>0</v>
      </c>
      <c r="I2073" s="55">
        <v>470000000</v>
      </c>
      <c r="J2073" s="56" t="s">
        <v>229</v>
      </c>
      <c r="K2073" s="6" t="s">
        <v>519</v>
      </c>
      <c r="L2073" s="16" t="s">
        <v>4570</v>
      </c>
      <c r="M2073" s="162" t="s">
        <v>230</v>
      </c>
      <c r="N2073" s="15" t="s">
        <v>521</v>
      </c>
      <c r="O2073" s="6" t="s">
        <v>4568</v>
      </c>
      <c r="P2073" s="58" t="s">
        <v>241</v>
      </c>
      <c r="Q2073" s="6" t="s">
        <v>234</v>
      </c>
      <c r="R2073" s="3">
        <v>0</v>
      </c>
      <c r="S2073" s="74">
        <v>12345</v>
      </c>
      <c r="T2073" s="4">
        <f t="shared" si="66"/>
        <v>0</v>
      </c>
      <c r="U2073" s="4">
        <f t="shared" si="61"/>
        <v>0</v>
      </c>
      <c r="V2073" s="3"/>
      <c r="W2073" s="3">
        <v>2014</v>
      </c>
      <c r="X2073" s="3" t="s">
        <v>12076</v>
      </c>
    </row>
    <row r="2074" spans="1:24" ht="153">
      <c r="A2074" s="3" t="s">
        <v>1343</v>
      </c>
      <c r="B2074" s="6" t="s">
        <v>361</v>
      </c>
      <c r="C2074" s="42" t="s">
        <v>4290</v>
      </c>
      <c r="D2074" s="42" t="s">
        <v>457</v>
      </c>
      <c r="E2074" s="168" t="s">
        <v>4291</v>
      </c>
      <c r="F2074" s="6" t="s">
        <v>4640</v>
      </c>
      <c r="G2074" s="3" t="s">
        <v>11450</v>
      </c>
      <c r="H2074" s="54">
        <v>0</v>
      </c>
      <c r="I2074" s="16">
        <v>470000000</v>
      </c>
      <c r="J2074" s="56" t="s">
        <v>229</v>
      </c>
      <c r="K2074" s="6" t="s">
        <v>519</v>
      </c>
      <c r="L2074" s="16" t="s">
        <v>4567</v>
      </c>
      <c r="M2074" s="162" t="s">
        <v>230</v>
      </c>
      <c r="N2074" s="15" t="s">
        <v>521</v>
      </c>
      <c r="O2074" s="6" t="s">
        <v>4568</v>
      </c>
      <c r="P2074" s="58" t="s">
        <v>241</v>
      </c>
      <c r="Q2074" s="6" t="s">
        <v>234</v>
      </c>
      <c r="R2074" s="4">
        <v>94</v>
      </c>
      <c r="S2074" s="74">
        <v>15464</v>
      </c>
      <c r="T2074" s="4">
        <v>0</v>
      </c>
      <c r="U2074" s="4">
        <f t="shared" si="61"/>
        <v>0</v>
      </c>
      <c r="V2074" s="3"/>
      <c r="W2074" s="3">
        <v>2014</v>
      </c>
      <c r="X2074" s="3">
        <v>11</v>
      </c>
    </row>
    <row r="2075" spans="1:24" ht="153">
      <c r="A2075" s="3" t="s">
        <v>15545</v>
      </c>
      <c r="B2075" s="6" t="s">
        <v>361</v>
      </c>
      <c r="C2075" s="42" t="s">
        <v>4290</v>
      </c>
      <c r="D2075" s="42" t="s">
        <v>457</v>
      </c>
      <c r="E2075" s="168" t="s">
        <v>4291</v>
      </c>
      <c r="F2075" s="6" t="s">
        <v>4640</v>
      </c>
      <c r="G2075" s="3" t="s">
        <v>11450</v>
      </c>
      <c r="H2075" s="54">
        <v>0</v>
      </c>
      <c r="I2075" s="16">
        <v>470000000</v>
      </c>
      <c r="J2075" s="56" t="s">
        <v>229</v>
      </c>
      <c r="K2075" s="6" t="s">
        <v>222</v>
      </c>
      <c r="L2075" s="16" t="s">
        <v>4567</v>
      </c>
      <c r="M2075" s="162" t="s">
        <v>230</v>
      </c>
      <c r="N2075" s="15" t="s">
        <v>521</v>
      </c>
      <c r="O2075" s="6" t="s">
        <v>4568</v>
      </c>
      <c r="P2075" s="58" t="s">
        <v>241</v>
      </c>
      <c r="Q2075" s="6" t="s">
        <v>234</v>
      </c>
      <c r="R2075" s="4">
        <v>94</v>
      </c>
      <c r="S2075" s="74">
        <v>15464</v>
      </c>
      <c r="T2075" s="4">
        <v>0</v>
      </c>
      <c r="U2075" s="4">
        <f t="shared" si="61"/>
        <v>0</v>
      </c>
      <c r="V2075" s="3"/>
      <c r="W2075" s="3">
        <v>2014</v>
      </c>
      <c r="X2075" s="3">
        <v>14</v>
      </c>
    </row>
    <row r="2076" spans="1:24" ht="153">
      <c r="A2076" s="3" t="s">
        <v>17538</v>
      </c>
      <c r="B2076" s="6" t="s">
        <v>361</v>
      </c>
      <c r="C2076" s="42" t="s">
        <v>4290</v>
      </c>
      <c r="D2076" s="42" t="s">
        <v>457</v>
      </c>
      <c r="E2076" s="168" t="s">
        <v>4291</v>
      </c>
      <c r="F2076" s="6" t="s">
        <v>4640</v>
      </c>
      <c r="G2076" s="3" t="s">
        <v>11450</v>
      </c>
      <c r="H2076" s="54">
        <v>0</v>
      </c>
      <c r="I2076" s="16">
        <v>470000000</v>
      </c>
      <c r="J2076" s="56" t="s">
        <v>229</v>
      </c>
      <c r="K2076" s="6" t="s">
        <v>222</v>
      </c>
      <c r="L2076" s="16" t="s">
        <v>4567</v>
      </c>
      <c r="M2076" s="162" t="s">
        <v>230</v>
      </c>
      <c r="N2076" s="15" t="s">
        <v>528</v>
      </c>
      <c r="O2076" s="6" t="s">
        <v>4568</v>
      </c>
      <c r="P2076" s="58" t="s">
        <v>241</v>
      </c>
      <c r="Q2076" s="6" t="s">
        <v>234</v>
      </c>
      <c r="R2076" s="4">
        <v>94</v>
      </c>
      <c r="S2076" s="74">
        <v>15464</v>
      </c>
      <c r="T2076" s="4">
        <v>0</v>
      </c>
      <c r="U2076" s="4">
        <f t="shared" si="61"/>
        <v>0</v>
      </c>
      <c r="V2076" s="3"/>
      <c r="W2076" s="3">
        <v>2014</v>
      </c>
      <c r="X2076" s="3" t="s">
        <v>12076</v>
      </c>
    </row>
    <row r="2077" spans="1:24" ht="153">
      <c r="A2077" s="3" t="s">
        <v>1344</v>
      </c>
      <c r="B2077" s="6" t="s">
        <v>361</v>
      </c>
      <c r="C2077" s="42" t="s">
        <v>4290</v>
      </c>
      <c r="D2077" s="42" t="s">
        <v>457</v>
      </c>
      <c r="E2077" s="168" t="s">
        <v>4291</v>
      </c>
      <c r="F2077" s="6" t="s">
        <v>4641</v>
      </c>
      <c r="G2077" s="3" t="s">
        <v>11450</v>
      </c>
      <c r="H2077" s="54">
        <v>0</v>
      </c>
      <c r="I2077" s="55">
        <v>470000000</v>
      </c>
      <c r="J2077" s="56" t="s">
        <v>229</v>
      </c>
      <c r="K2077" s="6" t="s">
        <v>519</v>
      </c>
      <c r="L2077" s="16" t="s">
        <v>4570</v>
      </c>
      <c r="M2077" s="162" t="s">
        <v>230</v>
      </c>
      <c r="N2077" s="15" t="s">
        <v>521</v>
      </c>
      <c r="O2077" s="6" t="s">
        <v>4568</v>
      </c>
      <c r="P2077" s="58" t="s">
        <v>241</v>
      </c>
      <c r="Q2077" s="6" t="s">
        <v>234</v>
      </c>
      <c r="R2077" s="3">
        <v>0</v>
      </c>
      <c r="S2077" s="1">
        <v>17264</v>
      </c>
      <c r="T2077" s="4">
        <f t="shared" si="66"/>
        <v>0</v>
      </c>
      <c r="U2077" s="4">
        <f t="shared" si="61"/>
        <v>0</v>
      </c>
      <c r="V2077" s="3"/>
      <c r="W2077" s="3">
        <v>2014</v>
      </c>
      <c r="X2077" s="3" t="s">
        <v>12076</v>
      </c>
    </row>
    <row r="2078" spans="1:24" ht="89.25">
      <c r="A2078" s="3" t="s">
        <v>1345</v>
      </c>
      <c r="B2078" s="6" t="s">
        <v>361</v>
      </c>
      <c r="C2078" s="6" t="s">
        <v>4292</v>
      </c>
      <c r="D2078" s="6" t="s">
        <v>4293</v>
      </c>
      <c r="E2078" s="6" t="s">
        <v>4294</v>
      </c>
      <c r="F2078" s="6" t="s">
        <v>4642</v>
      </c>
      <c r="G2078" s="3" t="s">
        <v>11450</v>
      </c>
      <c r="H2078" s="54">
        <v>0</v>
      </c>
      <c r="I2078" s="16">
        <v>470000000</v>
      </c>
      <c r="J2078" s="56" t="s">
        <v>229</v>
      </c>
      <c r="K2078" s="6" t="s">
        <v>520</v>
      </c>
      <c r="L2078" s="16" t="s">
        <v>4567</v>
      </c>
      <c r="M2078" s="162" t="s">
        <v>230</v>
      </c>
      <c r="N2078" s="15" t="s">
        <v>521</v>
      </c>
      <c r="O2078" s="6" t="s">
        <v>4568</v>
      </c>
      <c r="P2078" s="58" t="s">
        <v>241</v>
      </c>
      <c r="Q2078" s="6" t="s">
        <v>234</v>
      </c>
      <c r="R2078" s="4">
        <v>10</v>
      </c>
      <c r="S2078" s="74">
        <v>3460</v>
      </c>
      <c r="T2078" s="4">
        <v>0</v>
      </c>
      <c r="U2078" s="4">
        <f t="shared" si="61"/>
        <v>0</v>
      </c>
      <c r="V2078" s="3"/>
      <c r="W2078" s="3">
        <v>2014</v>
      </c>
      <c r="X2078" s="3">
        <v>11</v>
      </c>
    </row>
    <row r="2079" spans="1:24" ht="89.25">
      <c r="A2079" s="3" t="s">
        <v>15546</v>
      </c>
      <c r="B2079" s="6" t="s">
        <v>361</v>
      </c>
      <c r="C2079" s="6" t="s">
        <v>4292</v>
      </c>
      <c r="D2079" s="6" t="s">
        <v>4293</v>
      </c>
      <c r="E2079" s="6" t="s">
        <v>4294</v>
      </c>
      <c r="F2079" s="6" t="s">
        <v>4642</v>
      </c>
      <c r="G2079" s="3" t="s">
        <v>11450</v>
      </c>
      <c r="H2079" s="54">
        <v>0</v>
      </c>
      <c r="I2079" s="16">
        <v>470000000</v>
      </c>
      <c r="J2079" s="56" t="s">
        <v>229</v>
      </c>
      <c r="K2079" s="6" t="s">
        <v>222</v>
      </c>
      <c r="L2079" s="16" t="s">
        <v>4567</v>
      </c>
      <c r="M2079" s="162" t="s">
        <v>230</v>
      </c>
      <c r="N2079" s="15" t="s">
        <v>521</v>
      </c>
      <c r="O2079" s="6" t="s">
        <v>4568</v>
      </c>
      <c r="P2079" s="58" t="s">
        <v>241</v>
      </c>
      <c r="Q2079" s="6" t="s">
        <v>234</v>
      </c>
      <c r="R2079" s="4">
        <v>10</v>
      </c>
      <c r="S2079" s="74">
        <v>3460</v>
      </c>
      <c r="T2079" s="4">
        <v>0</v>
      </c>
      <c r="U2079" s="4">
        <f t="shared" si="61"/>
        <v>0</v>
      </c>
      <c r="V2079" s="3"/>
      <c r="W2079" s="3">
        <v>2014</v>
      </c>
      <c r="X2079" s="3">
        <v>14</v>
      </c>
    </row>
    <row r="2080" spans="1:24" ht="89.25">
      <c r="A2080" s="3" t="s">
        <v>17539</v>
      </c>
      <c r="B2080" s="6" t="s">
        <v>361</v>
      </c>
      <c r="C2080" s="6" t="s">
        <v>4292</v>
      </c>
      <c r="D2080" s="6" t="s">
        <v>4293</v>
      </c>
      <c r="E2080" s="6" t="s">
        <v>4294</v>
      </c>
      <c r="F2080" s="6" t="s">
        <v>4642</v>
      </c>
      <c r="G2080" s="3" t="s">
        <v>11450</v>
      </c>
      <c r="H2080" s="54">
        <v>0</v>
      </c>
      <c r="I2080" s="16">
        <v>470000000</v>
      </c>
      <c r="J2080" s="56" t="s">
        <v>229</v>
      </c>
      <c r="K2080" s="6" t="s">
        <v>222</v>
      </c>
      <c r="L2080" s="16" t="s">
        <v>4567</v>
      </c>
      <c r="M2080" s="162" t="s">
        <v>230</v>
      </c>
      <c r="N2080" s="15" t="s">
        <v>17491</v>
      </c>
      <c r="O2080" s="6" t="s">
        <v>4568</v>
      </c>
      <c r="P2080" s="58" t="s">
        <v>241</v>
      </c>
      <c r="Q2080" s="6" t="s">
        <v>234</v>
      </c>
      <c r="R2080" s="4">
        <v>10</v>
      </c>
      <c r="S2080" s="74">
        <v>3460</v>
      </c>
      <c r="T2080" s="4">
        <v>0</v>
      </c>
      <c r="U2080" s="4">
        <f t="shared" si="61"/>
        <v>0</v>
      </c>
      <c r="V2080" s="3"/>
      <c r="W2080" s="3">
        <v>2014</v>
      </c>
      <c r="X2080" s="3">
        <v>11</v>
      </c>
    </row>
    <row r="2081" spans="1:24" ht="89.25">
      <c r="A2081" s="3" t="s">
        <v>18556</v>
      </c>
      <c r="B2081" s="6" t="s">
        <v>361</v>
      </c>
      <c r="C2081" s="6" t="s">
        <v>4292</v>
      </c>
      <c r="D2081" s="6" t="s">
        <v>4293</v>
      </c>
      <c r="E2081" s="6" t="s">
        <v>4294</v>
      </c>
      <c r="F2081" s="6" t="s">
        <v>4642</v>
      </c>
      <c r="G2081" s="3" t="s">
        <v>11450</v>
      </c>
      <c r="H2081" s="54">
        <v>0</v>
      </c>
      <c r="I2081" s="16">
        <v>470000000</v>
      </c>
      <c r="J2081" s="56" t="s">
        <v>229</v>
      </c>
      <c r="K2081" s="6" t="s">
        <v>18439</v>
      </c>
      <c r="L2081" s="16" t="s">
        <v>4567</v>
      </c>
      <c r="M2081" s="162" t="s">
        <v>230</v>
      </c>
      <c r="N2081" s="15" t="s">
        <v>17491</v>
      </c>
      <c r="O2081" s="6" t="s">
        <v>4568</v>
      </c>
      <c r="P2081" s="58" t="s">
        <v>241</v>
      </c>
      <c r="Q2081" s="6" t="s">
        <v>234</v>
      </c>
      <c r="R2081" s="4">
        <v>10</v>
      </c>
      <c r="S2081" s="74">
        <v>3460</v>
      </c>
      <c r="T2081" s="4">
        <f>R2081*S2081</f>
        <v>34600</v>
      </c>
      <c r="U2081" s="4">
        <f t="shared" si="61"/>
        <v>38752.000000000007</v>
      </c>
      <c r="V2081" s="3"/>
      <c r="W2081" s="3">
        <v>2014</v>
      </c>
      <c r="X2081" s="3"/>
    </row>
    <row r="2082" spans="1:24" ht="89.25">
      <c r="A2082" s="3" t="s">
        <v>1346</v>
      </c>
      <c r="B2082" s="6" t="s">
        <v>361</v>
      </c>
      <c r="C2082" s="6" t="s">
        <v>4292</v>
      </c>
      <c r="D2082" s="6" t="s">
        <v>4293</v>
      </c>
      <c r="E2082" s="6" t="s">
        <v>4294</v>
      </c>
      <c r="F2082" s="6" t="s">
        <v>4643</v>
      </c>
      <c r="G2082" s="3" t="s">
        <v>11450</v>
      </c>
      <c r="H2082" s="54">
        <v>0</v>
      </c>
      <c r="I2082" s="55">
        <v>470000000</v>
      </c>
      <c r="J2082" s="56" t="s">
        <v>229</v>
      </c>
      <c r="K2082" s="6" t="s">
        <v>520</v>
      </c>
      <c r="L2082" s="16" t="s">
        <v>4570</v>
      </c>
      <c r="M2082" s="162" t="s">
        <v>230</v>
      </c>
      <c r="N2082" s="15" t="s">
        <v>521</v>
      </c>
      <c r="O2082" s="6" t="s">
        <v>4568</v>
      </c>
      <c r="P2082" s="58" t="s">
        <v>241</v>
      </c>
      <c r="Q2082" s="6" t="s">
        <v>234</v>
      </c>
      <c r="R2082" s="3">
        <v>10</v>
      </c>
      <c r="S2082" s="1">
        <v>3154</v>
      </c>
      <c r="T2082" s="4">
        <v>0</v>
      </c>
      <c r="U2082" s="4">
        <f t="shared" si="61"/>
        <v>0</v>
      </c>
      <c r="V2082" s="3"/>
      <c r="W2082" s="3">
        <v>2014</v>
      </c>
      <c r="X2082" s="3">
        <v>11</v>
      </c>
    </row>
    <row r="2083" spans="1:24" ht="89.25">
      <c r="A2083" s="3" t="s">
        <v>15547</v>
      </c>
      <c r="B2083" s="6" t="s">
        <v>361</v>
      </c>
      <c r="C2083" s="6" t="s">
        <v>4292</v>
      </c>
      <c r="D2083" s="6" t="s">
        <v>4293</v>
      </c>
      <c r="E2083" s="6" t="s">
        <v>4294</v>
      </c>
      <c r="F2083" s="6" t="s">
        <v>4643</v>
      </c>
      <c r="G2083" s="3" t="s">
        <v>11450</v>
      </c>
      <c r="H2083" s="54">
        <v>0</v>
      </c>
      <c r="I2083" s="55">
        <v>470000000</v>
      </c>
      <c r="J2083" s="56" t="s">
        <v>229</v>
      </c>
      <c r="K2083" s="6" t="s">
        <v>222</v>
      </c>
      <c r="L2083" s="16" t="s">
        <v>4570</v>
      </c>
      <c r="M2083" s="162" t="s">
        <v>230</v>
      </c>
      <c r="N2083" s="15" t="s">
        <v>521</v>
      </c>
      <c r="O2083" s="6" t="s">
        <v>4568</v>
      </c>
      <c r="P2083" s="58" t="s">
        <v>241</v>
      </c>
      <c r="Q2083" s="6" t="s">
        <v>234</v>
      </c>
      <c r="R2083" s="3">
        <v>10</v>
      </c>
      <c r="S2083" s="1">
        <v>3154</v>
      </c>
      <c r="T2083" s="4">
        <v>0</v>
      </c>
      <c r="U2083" s="4">
        <f t="shared" si="61"/>
        <v>0</v>
      </c>
      <c r="V2083" s="3"/>
      <c r="W2083" s="3">
        <v>2014</v>
      </c>
      <c r="X2083" s="3">
        <v>14</v>
      </c>
    </row>
    <row r="2084" spans="1:24" ht="89.25">
      <c r="A2084" s="3" t="s">
        <v>17540</v>
      </c>
      <c r="B2084" s="6" t="s">
        <v>361</v>
      </c>
      <c r="C2084" s="6" t="s">
        <v>4292</v>
      </c>
      <c r="D2084" s="6" t="s">
        <v>4293</v>
      </c>
      <c r="E2084" s="6" t="s">
        <v>4294</v>
      </c>
      <c r="F2084" s="6" t="s">
        <v>4643</v>
      </c>
      <c r="G2084" s="3" t="s">
        <v>11450</v>
      </c>
      <c r="H2084" s="54">
        <v>0</v>
      </c>
      <c r="I2084" s="55">
        <v>470000000</v>
      </c>
      <c r="J2084" s="56" t="s">
        <v>229</v>
      </c>
      <c r="K2084" s="6" t="s">
        <v>222</v>
      </c>
      <c r="L2084" s="16" t="s">
        <v>4570</v>
      </c>
      <c r="M2084" s="162" t="s">
        <v>230</v>
      </c>
      <c r="N2084" s="15" t="s">
        <v>17491</v>
      </c>
      <c r="O2084" s="6" t="s">
        <v>4568</v>
      </c>
      <c r="P2084" s="58" t="s">
        <v>241</v>
      </c>
      <c r="Q2084" s="6" t="s">
        <v>234</v>
      </c>
      <c r="R2084" s="3">
        <v>10</v>
      </c>
      <c r="S2084" s="1">
        <v>3154</v>
      </c>
      <c r="T2084" s="4">
        <v>0</v>
      </c>
      <c r="U2084" s="4">
        <f t="shared" si="61"/>
        <v>0</v>
      </c>
      <c r="V2084" s="3"/>
      <c r="W2084" s="3">
        <v>2014</v>
      </c>
      <c r="X2084" s="3">
        <v>11</v>
      </c>
    </row>
    <row r="2085" spans="1:24" ht="89.25">
      <c r="A2085" s="3" t="s">
        <v>18557</v>
      </c>
      <c r="B2085" s="6" t="s">
        <v>361</v>
      </c>
      <c r="C2085" s="6" t="s">
        <v>4292</v>
      </c>
      <c r="D2085" s="6" t="s">
        <v>4293</v>
      </c>
      <c r="E2085" s="6" t="s">
        <v>4294</v>
      </c>
      <c r="F2085" s="6" t="s">
        <v>4643</v>
      </c>
      <c r="G2085" s="3" t="s">
        <v>11450</v>
      </c>
      <c r="H2085" s="54">
        <v>0</v>
      </c>
      <c r="I2085" s="55">
        <v>470000000</v>
      </c>
      <c r="J2085" s="56" t="s">
        <v>229</v>
      </c>
      <c r="K2085" s="6" t="s">
        <v>18439</v>
      </c>
      <c r="L2085" s="16" t="s">
        <v>4570</v>
      </c>
      <c r="M2085" s="162" t="s">
        <v>230</v>
      </c>
      <c r="N2085" s="15" t="s">
        <v>17491</v>
      </c>
      <c r="O2085" s="6" t="s">
        <v>4568</v>
      </c>
      <c r="P2085" s="58" t="s">
        <v>241</v>
      </c>
      <c r="Q2085" s="6" t="s">
        <v>234</v>
      </c>
      <c r="R2085" s="3">
        <v>10</v>
      </c>
      <c r="S2085" s="1">
        <v>3154</v>
      </c>
      <c r="T2085" s="4">
        <f>R2085*S2085</f>
        <v>31540</v>
      </c>
      <c r="U2085" s="4">
        <f t="shared" si="61"/>
        <v>35324.800000000003</v>
      </c>
      <c r="V2085" s="3"/>
      <c r="W2085" s="3">
        <v>2014</v>
      </c>
      <c r="X2085" s="3"/>
    </row>
    <row r="2086" spans="1:24" ht="89.25">
      <c r="A2086" s="3" t="s">
        <v>1347</v>
      </c>
      <c r="B2086" s="6" t="s">
        <v>361</v>
      </c>
      <c r="C2086" s="6" t="s">
        <v>4292</v>
      </c>
      <c r="D2086" s="6" t="s">
        <v>4293</v>
      </c>
      <c r="E2086" s="6" t="s">
        <v>4294</v>
      </c>
      <c r="F2086" s="6" t="s">
        <v>4644</v>
      </c>
      <c r="G2086" s="3" t="s">
        <v>11450</v>
      </c>
      <c r="H2086" s="54">
        <v>0</v>
      </c>
      <c r="I2086" s="16">
        <v>470000000</v>
      </c>
      <c r="J2086" s="56" t="s">
        <v>229</v>
      </c>
      <c r="K2086" s="6" t="s">
        <v>520</v>
      </c>
      <c r="L2086" s="16" t="s">
        <v>4567</v>
      </c>
      <c r="M2086" s="162" t="s">
        <v>230</v>
      </c>
      <c r="N2086" s="15" t="s">
        <v>521</v>
      </c>
      <c r="O2086" s="6" t="s">
        <v>4568</v>
      </c>
      <c r="P2086" s="58" t="s">
        <v>241</v>
      </c>
      <c r="Q2086" s="6" t="s">
        <v>234</v>
      </c>
      <c r="R2086" s="4">
        <v>10</v>
      </c>
      <c r="S2086" s="74">
        <v>2321</v>
      </c>
      <c r="T2086" s="4">
        <v>0</v>
      </c>
      <c r="U2086" s="4">
        <f t="shared" si="61"/>
        <v>0</v>
      </c>
      <c r="V2086" s="3"/>
      <c r="W2086" s="3">
        <v>2014</v>
      </c>
      <c r="X2086" s="3">
        <v>11</v>
      </c>
    </row>
    <row r="2087" spans="1:24" ht="89.25">
      <c r="A2087" s="3" t="s">
        <v>15548</v>
      </c>
      <c r="B2087" s="6" t="s">
        <v>361</v>
      </c>
      <c r="C2087" s="6" t="s">
        <v>4292</v>
      </c>
      <c r="D2087" s="6" t="s">
        <v>4293</v>
      </c>
      <c r="E2087" s="6" t="s">
        <v>4294</v>
      </c>
      <c r="F2087" s="6" t="s">
        <v>4644</v>
      </c>
      <c r="G2087" s="3" t="s">
        <v>11450</v>
      </c>
      <c r="H2087" s="54">
        <v>0</v>
      </c>
      <c r="I2087" s="16">
        <v>470000000</v>
      </c>
      <c r="J2087" s="56" t="s">
        <v>229</v>
      </c>
      <c r="K2087" s="6" t="s">
        <v>222</v>
      </c>
      <c r="L2087" s="16" t="s">
        <v>4567</v>
      </c>
      <c r="M2087" s="162" t="s">
        <v>230</v>
      </c>
      <c r="N2087" s="15" t="s">
        <v>521</v>
      </c>
      <c r="O2087" s="6" t="s">
        <v>4568</v>
      </c>
      <c r="P2087" s="58" t="s">
        <v>241</v>
      </c>
      <c r="Q2087" s="6" t="s">
        <v>234</v>
      </c>
      <c r="R2087" s="4">
        <v>10</v>
      </c>
      <c r="S2087" s="74">
        <v>2321</v>
      </c>
      <c r="T2087" s="4">
        <v>0</v>
      </c>
      <c r="U2087" s="4">
        <f t="shared" si="61"/>
        <v>0</v>
      </c>
      <c r="V2087" s="3"/>
      <c r="W2087" s="3">
        <v>2014</v>
      </c>
      <c r="X2087" s="3">
        <v>14</v>
      </c>
    </row>
    <row r="2088" spans="1:24" ht="89.25">
      <c r="A2088" s="3" t="s">
        <v>17541</v>
      </c>
      <c r="B2088" s="6" t="s">
        <v>361</v>
      </c>
      <c r="C2088" s="6" t="s">
        <v>4292</v>
      </c>
      <c r="D2088" s="6" t="s">
        <v>4293</v>
      </c>
      <c r="E2088" s="6" t="s">
        <v>4294</v>
      </c>
      <c r="F2088" s="6" t="s">
        <v>4644</v>
      </c>
      <c r="G2088" s="3" t="s">
        <v>11450</v>
      </c>
      <c r="H2088" s="54">
        <v>0</v>
      </c>
      <c r="I2088" s="16">
        <v>470000000</v>
      </c>
      <c r="J2088" s="56" t="s">
        <v>229</v>
      </c>
      <c r="K2088" s="6" t="s">
        <v>222</v>
      </c>
      <c r="L2088" s="16" t="s">
        <v>4567</v>
      </c>
      <c r="M2088" s="162" t="s">
        <v>230</v>
      </c>
      <c r="N2088" s="15" t="s">
        <v>17491</v>
      </c>
      <c r="O2088" s="6" t="s">
        <v>4568</v>
      </c>
      <c r="P2088" s="58" t="s">
        <v>241</v>
      </c>
      <c r="Q2088" s="6" t="s">
        <v>234</v>
      </c>
      <c r="R2088" s="4">
        <v>10</v>
      </c>
      <c r="S2088" s="74">
        <v>2321</v>
      </c>
      <c r="T2088" s="4">
        <v>0</v>
      </c>
      <c r="U2088" s="4">
        <f t="shared" si="61"/>
        <v>0</v>
      </c>
      <c r="V2088" s="3"/>
      <c r="W2088" s="3">
        <v>2014</v>
      </c>
      <c r="X2088" s="3">
        <v>11</v>
      </c>
    </row>
    <row r="2089" spans="1:24" ht="89.25">
      <c r="A2089" s="3" t="s">
        <v>18558</v>
      </c>
      <c r="B2089" s="6" t="s">
        <v>361</v>
      </c>
      <c r="C2089" s="6" t="s">
        <v>4292</v>
      </c>
      <c r="D2089" s="6" t="s">
        <v>4293</v>
      </c>
      <c r="E2089" s="6" t="s">
        <v>4294</v>
      </c>
      <c r="F2089" s="6" t="s">
        <v>4644</v>
      </c>
      <c r="G2089" s="3" t="s">
        <v>11450</v>
      </c>
      <c r="H2089" s="54">
        <v>0</v>
      </c>
      <c r="I2089" s="16">
        <v>470000000</v>
      </c>
      <c r="J2089" s="56" t="s">
        <v>229</v>
      </c>
      <c r="K2089" s="6" t="s">
        <v>18439</v>
      </c>
      <c r="L2089" s="16" t="s">
        <v>4567</v>
      </c>
      <c r="M2089" s="162" t="s">
        <v>230</v>
      </c>
      <c r="N2089" s="15" t="s">
        <v>17491</v>
      </c>
      <c r="O2089" s="6" t="s">
        <v>4568</v>
      </c>
      <c r="P2089" s="58" t="s">
        <v>241</v>
      </c>
      <c r="Q2089" s="6" t="s">
        <v>234</v>
      </c>
      <c r="R2089" s="4">
        <v>10</v>
      </c>
      <c r="S2089" s="74">
        <v>2321</v>
      </c>
      <c r="T2089" s="4">
        <f>R2089*S2089</f>
        <v>23210</v>
      </c>
      <c r="U2089" s="4">
        <f t="shared" ref="U2089:U2152" si="67">T2089*1.12</f>
        <v>25995.200000000001</v>
      </c>
      <c r="V2089" s="3"/>
      <c r="W2089" s="3">
        <v>2014</v>
      </c>
      <c r="X2089" s="3"/>
    </row>
    <row r="2090" spans="1:24" ht="89.25">
      <c r="A2090" s="3" t="s">
        <v>1348</v>
      </c>
      <c r="B2090" s="6" t="s">
        <v>361</v>
      </c>
      <c r="C2090" s="6" t="s">
        <v>4292</v>
      </c>
      <c r="D2090" s="6" t="s">
        <v>4293</v>
      </c>
      <c r="E2090" s="6" t="s">
        <v>4294</v>
      </c>
      <c r="F2090" s="6" t="s">
        <v>4645</v>
      </c>
      <c r="G2090" s="3" t="s">
        <v>11450</v>
      </c>
      <c r="H2090" s="54">
        <v>0</v>
      </c>
      <c r="I2090" s="55">
        <v>470000000</v>
      </c>
      <c r="J2090" s="56" t="s">
        <v>229</v>
      </c>
      <c r="K2090" s="6" t="s">
        <v>520</v>
      </c>
      <c r="L2090" s="16" t="s">
        <v>4570</v>
      </c>
      <c r="M2090" s="162" t="s">
        <v>230</v>
      </c>
      <c r="N2090" s="15" t="s">
        <v>521</v>
      </c>
      <c r="O2090" s="6" t="s">
        <v>4568</v>
      </c>
      <c r="P2090" s="58" t="s">
        <v>241</v>
      </c>
      <c r="Q2090" s="6" t="s">
        <v>234</v>
      </c>
      <c r="R2090" s="3">
        <v>10</v>
      </c>
      <c r="S2090" s="1">
        <v>3432</v>
      </c>
      <c r="T2090" s="4">
        <v>0</v>
      </c>
      <c r="U2090" s="4">
        <f t="shared" si="67"/>
        <v>0</v>
      </c>
      <c r="V2090" s="3"/>
      <c r="W2090" s="3">
        <v>2014</v>
      </c>
      <c r="X2090" s="3">
        <v>11</v>
      </c>
    </row>
    <row r="2091" spans="1:24" ht="89.25">
      <c r="A2091" s="3" t="s">
        <v>15549</v>
      </c>
      <c r="B2091" s="6" t="s">
        <v>361</v>
      </c>
      <c r="C2091" s="6" t="s">
        <v>4292</v>
      </c>
      <c r="D2091" s="6" t="s">
        <v>4293</v>
      </c>
      <c r="E2091" s="6" t="s">
        <v>4294</v>
      </c>
      <c r="F2091" s="6" t="s">
        <v>4645</v>
      </c>
      <c r="G2091" s="3" t="s">
        <v>11450</v>
      </c>
      <c r="H2091" s="54">
        <v>0</v>
      </c>
      <c r="I2091" s="55">
        <v>470000000</v>
      </c>
      <c r="J2091" s="56" t="s">
        <v>229</v>
      </c>
      <c r="K2091" s="6" t="s">
        <v>222</v>
      </c>
      <c r="L2091" s="16" t="s">
        <v>4570</v>
      </c>
      <c r="M2091" s="162" t="s">
        <v>230</v>
      </c>
      <c r="N2091" s="15" t="s">
        <v>521</v>
      </c>
      <c r="O2091" s="6" t="s">
        <v>4568</v>
      </c>
      <c r="P2091" s="58" t="s">
        <v>241</v>
      </c>
      <c r="Q2091" s="6" t="s">
        <v>234</v>
      </c>
      <c r="R2091" s="3">
        <v>10</v>
      </c>
      <c r="S2091" s="1">
        <v>3432</v>
      </c>
      <c r="T2091" s="4">
        <v>0</v>
      </c>
      <c r="U2091" s="4">
        <f t="shared" si="67"/>
        <v>0</v>
      </c>
      <c r="V2091" s="3"/>
      <c r="W2091" s="3">
        <v>2014</v>
      </c>
      <c r="X2091" s="3">
        <v>14</v>
      </c>
    </row>
    <row r="2092" spans="1:24" ht="89.25">
      <c r="A2092" s="3" t="s">
        <v>17542</v>
      </c>
      <c r="B2092" s="6" t="s">
        <v>361</v>
      </c>
      <c r="C2092" s="6" t="s">
        <v>4292</v>
      </c>
      <c r="D2092" s="6" t="s">
        <v>4293</v>
      </c>
      <c r="E2092" s="6" t="s">
        <v>4294</v>
      </c>
      <c r="F2092" s="6" t="s">
        <v>4645</v>
      </c>
      <c r="G2092" s="3" t="s">
        <v>11450</v>
      </c>
      <c r="H2092" s="54">
        <v>0</v>
      </c>
      <c r="I2092" s="55">
        <v>470000000</v>
      </c>
      <c r="J2092" s="56" t="s">
        <v>229</v>
      </c>
      <c r="K2092" s="6" t="s">
        <v>222</v>
      </c>
      <c r="L2092" s="16" t="s">
        <v>4570</v>
      </c>
      <c r="M2092" s="162" t="s">
        <v>230</v>
      </c>
      <c r="N2092" s="15" t="s">
        <v>17491</v>
      </c>
      <c r="O2092" s="6" t="s">
        <v>4568</v>
      </c>
      <c r="P2092" s="58" t="s">
        <v>241</v>
      </c>
      <c r="Q2092" s="6" t="s">
        <v>234</v>
      </c>
      <c r="R2092" s="3">
        <v>10</v>
      </c>
      <c r="S2092" s="1">
        <v>3432</v>
      </c>
      <c r="T2092" s="4">
        <v>0</v>
      </c>
      <c r="U2092" s="4">
        <f t="shared" si="67"/>
        <v>0</v>
      </c>
      <c r="V2092" s="3"/>
      <c r="W2092" s="3">
        <v>2014</v>
      </c>
      <c r="X2092" s="3">
        <v>11</v>
      </c>
    </row>
    <row r="2093" spans="1:24" ht="89.25">
      <c r="A2093" s="3" t="s">
        <v>18559</v>
      </c>
      <c r="B2093" s="6" t="s">
        <v>361</v>
      </c>
      <c r="C2093" s="6" t="s">
        <v>4292</v>
      </c>
      <c r="D2093" s="6" t="s">
        <v>4293</v>
      </c>
      <c r="E2093" s="6" t="s">
        <v>4294</v>
      </c>
      <c r="F2093" s="6" t="s">
        <v>4645</v>
      </c>
      <c r="G2093" s="3" t="s">
        <v>11450</v>
      </c>
      <c r="H2093" s="54">
        <v>0</v>
      </c>
      <c r="I2093" s="55">
        <v>470000000</v>
      </c>
      <c r="J2093" s="56" t="s">
        <v>229</v>
      </c>
      <c r="K2093" s="6" t="s">
        <v>18439</v>
      </c>
      <c r="L2093" s="16" t="s">
        <v>4570</v>
      </c>
      <c r="M2093" s="162" t="s">
        <v>230</v>
      </c>
      <c r="N2093" s="15" t="s">
        <v>17491</v>
      </c>
      <c r="O2093" s="6" t="s">
        <v>4568</v>
      </c>
      <c r="P2093" s="58" t="s">
        <v>241</v>
      </c>
      <c r="Q2093" s="6" t="s">
        <v>234</v>
      </c>
      <c r="R2093" s="3">
        <v>10</v>
      </c>
      <c r="S2093" s="1">
        <v>3432</v>
      </c>
      <c r="T2093" s="4">
        <f>R2093*S2093</f>
        <v>34320</v>
      </c>
      <c r="U2093" s="4">
        <f t="shared" si="67"/>
        <v>38438.400000000001</v>
      </c>
      <c r="V2093" s="3"/>
      <c r="W2093" s="3">
        <v>2014</v>
      </c>
      <c r="X2093" s="3"/>
    </row>
    <row r="2094" spans="1:24" ht="89.25">
      <c r="A2094" s="3" t="s">
        <v>1349</v>
      </c>
      <c r="B2094" s="6" t="s">
        <v>361</v>
      </c>
      <c r="C2094" s="6" t="s">
        <v>4292</v>
      </c>
      <c r="D2094" s="6" t="s">
        <v>4293</v>
      </c>
      <c r="E2094" s="6" t="s">
        <v>4294</v>
      </c>
      <c r="F2094" s="6" t="s">
        <v>4646</v>
      </c>
      <c r="G2094" s="3" t="s">
        <v>11450</v>
      </c>
      <c r="H2094" s="54">
        <v>0</v>
      </c>
      <c r="I2094" s="16">
        <v>470000000</v>
      </c>
      <c r="J2094" s="56" t="s">
        <v>229</v>
      </c>
      <c r="K2094" s="6" t="s">
        <v>520</v>
      </c>
      <c r="L2094" s="16" t="s">
        <v>4567</v>
      </c>
      <c r="M2094" s="162" t="s">
        <v>230</v>
      </c>
      <c r="N2094" s="15" t="s">
        <v>521</v>
      </c>
      <c r="O2094" s="6" t="s">
        <v>4568</v>
      </c>
      <c r="P2094" s="58" t="s">
        <v>241</v>
      </c>
      <c r="Q2094" s="6" t="s">
        <v>234</v>
      </c>
      <c r="R2094" s="1">
        <v>10</v>
      </c>
      <c r="S2094" s="74">
        <v>2425</v>
      </c>
      <c r="T2094" s="4">
        <v>0</v>
      </c>
      <c r="U2094" s="4">
        <f t="shared" si="67"/>
        <v>0</v>
      </c>
      <c r="V2094" s="3"/>
      <c r="W2094" s="3">
        <v>2014</v>
      </c>
      <c r="X2094" s="3">
        <v>11</v>
      </c>
    </row>
    <row r="2095" spans="1:24" ht="89.25">
      <c r="A2095" s="3" t="s">
        <v>15550</v>
      </c>
      <c r="B2095" s="6" t="s">
        <v>361</v>
      </c>
      <c r="C2095" s="6" t="s">
        <v>4292</v>
      </c>
      <c r="D2095" s="6" t="s">
        <v>4293</v>
      </c>
      <c r="E2095" s="6" t="s">
        <v>4294</v>
      </c>
      <c r="F2095" s="6" t="s">
        <v>4646</v>
      </c>
      <c r="G2095" s="3" t="s">
        <v>11450</v>
      </c>
      <c r="H2095" s="54">
        <v>0</v>
      </c>
      <c r="I2095" s="16">
        <v>470000000</v>
      </c>
      <c r="J2095" s="56" t="s">
        <v>229</v>
      </c>
      <c r="K2095" s="6" t="s">
        <v>222</v>
      </c>
      <c r="L2095" s="16" t="s">
        <v>4567</v>
      </c>
      <c r="M2095" s="162" t="s">
        <v>230</v>
      </c>
      <c r="N2095" s="15" t="s">
        <v>521</v>
      </c>
      <c r="O2095" s="6" t="s">
        <v>4568</v>
      </c>
      <c r="P2095" s="58" t="s">
        <v>241</v>
      </c>
      <c r="Q2095" s="6" t="s">
        <v>234</v>
      </c>
      <c r="R2095" s="1">
        <v>10</v>
      </c>
      <c r="S2095" s="74">
        <v>2425</v>
      </c>
      <c r="T2095" s="4">
        <v>0</v>
      </c>
      <c r="U2095" s="4">
        <f t="shared" si="67"/>
        <v>0</v>
      </c>
      <c r="V2095" s="3"/>
      <c r="W2095" s="3">
        <v>2014</v>
      </c>
      <c r="X2095" s="3">
        <v>14</v>
      </c>
    </row>
    <row r="2096" spans="1:24" ht="89.25">
      <c r="A2096" s="3" t="s">
        <v>17543</v>
      </c>
      <c r="B2096" s="6" t="s">
        <v>361</v>
      </c>
      <c r="C2096" s="6" t="s">
        <v>4292</v>
      </c>
      <c r="D2096" s="6" t="s">
        <v>4293</v>
      </c>
      <c r="E2096" s="6" t="s">
        <v>4294</v>
      </c>
      <c r="F2096" s="6" t="s">
        <v>4646</v>
      </c>
      <c r="G2096" s="3" t="s">
        <v>11450</v>
      </c>
      <c r="H2096" s="54">
        <v>0</v>
      </c>
      <c r="I2096" s="16">
        <v>470000000</v>
      </c>
      <c r="J2096" s="56" t="s">
        <v>229</v>
      </c>
      <c r="K2096" s="6" t="s">
        <v>222</v>
      </c>
      <c r="L2096" s="16" t="s">
        <v>4567</v>
      </c>
      <c r="M2096" s="162" t="s">
        <v>230</v>
      </c>
      <c r="N2096" s="15" t="s">
        <v>17491</v>
      </c>
      <c r="O2096" s="6" t="s">
        <v>4568</v>
      </c>
      <c r="P2096" s="58" t="s">
        <v>241</v>
      </c>
      <c r="Q2096" s="6" t="s">
        <v>234</v>
      </c>
      <c r="R2096" s="1">
        <v>10</v>
      </c>
      <c r="S2096" s="74">
        <v>2425</v>
      </c>
      <c r="T2096" s="4">
        <v>0</v>
      </c>
      <c r="U2096" s="4">
        <f t="shared" si="67"/>
        <v>0</v>
      </c>
      <c r="V2096" s="3"/>
      <c r="W2096" s="3">
        <v>2014</v>
      </c>
      <c r="X2096" s="3">
        <v>11</v>
      </c>
    </row>
    <row r="2097" spans="1:24" ht="89.25">
      <c r="A2097" s="3" t="s">
        <v>18560</v>
      </c>
      <c r="B2097" s="6" t="s">
        <v>361</v>
      </c>
      <c r="C2097" s="6" t="s">
        <v>4292</v>
      </c>
      <c r="D2097" s="6" t="s">
        <v>4293</v>
      </c>
      <c r="E2097" s="6" t="s">
        <v>4294</v>
      </c>
      <c r="F2097" s="6" t="s">
        <v>4646</v>
      </c>
      <c r="G2097" s="3" t="s">
        <v>11450</v>
      </c>
      <c r="H2097" s="54">
        <v>0</v>
      </c>
      <c r="I2097" s="16">
        <v>470000000</v>
      </c>
      <c r="J2097" s="56" t="s">
        <v>229</v>
      </c>
      <c r="K2097" s="6" t="s">
        <v>18439</v>
      </c>
      <c r="L2097" s="16" t="s">
        <v>4567</v>
      </c>
      <c r="M2097" s="162" t="s">
        <v>230</v>
      </c>
      <c r="N2097" s="15" t="s">
        <v>17491</v>
      </c>
      <c r="O2097" s="6" t="s">
        <v>4568</v>
      </c>
      <c r="P2097" s="58" t="s">
        <v>241</v>
      </c>
      <c r="Q2097" s="6" t="s">
        <v>234</v>
      </c>
      <c r="R2097" s="1">
        <v>10</v>
      </c>
      <c r="S2097" s="74">
        <v>2425</v>
      </c>
      <c r="T2097" s="4">
        <f>R2097*S2097</f>
        <v>24250</v>
      </c>
      <c r="U2097" s="4">
        <f t="shared" si="67"/>
        <v>27160.000000000004</v>
      </c>
      <c r="V2097" s="3"/>
      <c r="W2097" s="3">
        <v>2014</v>
      </c>
      <c r="X2097" s="3"/>
    </row>
    <row r="2098" spans="1:24" ht="89.25">
      <c r="A2098" s="3" t="s">
        <v>1350</v>
      </c>
      <c r="B2098" s="6" t="s">
        <v>361</v>
      </c>
      <c r="C2098" s="6" t="s">
        <v>4292</v>
      </c>
      <c r="D2098" s="6" t="s">
        <v>4293</v>
      </c>
      <c r="E2098" s="6" t="s">
        <v>4294</v>
      </c>
      <c r="F2098" s="6" t="s">
        <v>4647</v>
      </c>
      <c r="G2098" s="3" t="s">
        <v>11450</v>
      </c>
      <c r="H2098" s="54">
        <v>0</v>
      </c>
      <c r="I2098" s="55">
        <v>470000000</v>
      </c>
      <c r="J2098" s="56" t="s">
        <v>229</v>
      </c>
      <c r="K2098" s="6" t="s">
        <v>520</v>
      </c>
      <c r="L2098" s="16" t="s">
        <v>4570</v>
      </c>
      <c r="M2098" s="162" t="s">
        <v>230</v>
      </c>
      <c r="N2098" s="15" t="s">
        <v>521</v>
      </c>
      <c r="O2098" s="6" t="s">
        <v>4568</v>
      </c>
      <c r="P2098" s="58" t="s">
        <v>241</v>
      </c>
      <c r="Q2098" s="6" t="s">
        <v>234</v>
      </c>
      <c r="R2098" s="3">
        <v>10</v>
      </c>
      <c r="S2098" s="1">
        <v>3455</v>
      </c>
      <c r="T2098" s="4">
        <v>0</v>
      </c>
      <c r="U2098" s="4">
        <f t="shared" si="67"/>
        <v>0</v>
      </c>
      <c r="V2098" s="3"/>
      <c r="W2098" s="3">
        <v>2014</v>
      </c>
      <c r="X2098" s="3">
        <v>11</v>
      </c>
    </row>
    <row r="2099" spans="1:24" ht="89.25">
      <c r="A2099" s="3" t="s">
        <v>15551</v>
      </c>
      <c r="B2099" s="6" t="s">
        <v>361</v>
      </c>
      <c r="C2099" s="6" t="s">
        <v>4292</v>
      </c>
      <c r="D2099" s="6" t="s">
        <v>4293</v>
      </c>
      <c r="E2099" s="6" t="s">
        <v>4294</v>
      </c>
      <c r="F2099" s="6" t="s">
        <v>4647</v>
      </c>
      <c r="G2099" s="3" t="s">
        <v>11450</v>
      </c>
      <c r="H2099" s="54">
        <v>0</v>
      </c>
      <c r="I2099" s="55">
        <v>470000000</v>
      </c>
      <c r="J2099" s="56" t="s">
        <v>229</v>
      </c>
      <c r="K2099" s="6" t="s">
        <v>222</v>
      </c>
      <c r="L2099" s="16" t="s">
        <v>4570</v>
      </c>
      <c r="M2099" s="162" t="s">
        <v>230</v>
      </c>
      <c r="N2099" s="15" t="s">
        <v>521</v>
      </c>
      <c r="O2099" s="6" t="s">
        <v>4568</v>
      </c>
      <c r="P2099" s="58" t="s">
        <v>241</v>
      </c>
      <c r="Q2099" s="6" t="s">
        <v>234</v>
      </c>
      <c r="R2099" s="3">
        <v>10</v>
      </c>
      <c r="S2099" s="1">
        <v>3455</v>
      </c>
      <c r="T2099" s="4">
        <v>0</v>
      </c>
      <c r="U2099" s="4">
        <f t="shared" si="67"/>
        <v>0</v>
      </c>
      <c r="V2099" s="3"/>
      <c r="W2099" s="3">
        <v>2014</v>
      </c>
      <c r="X2099" s="3">
        <v>14</v>
      </c>
    </row>
    <row r="2100" spans="1:24" ht="89.25">
      <c r="A2100" s="3" t="s">
        <v>17544</v>
      </c>
      <c r="B2100" s="6" t="s">
        <v>361</v>
      </c>
      <c r="C2100" s="6" t="s">
        <v>4292</v>
      </c>
      <c r="D2100" s="6" t="s">
        <v>4293</v>
      </c>
      <c r="E2100" s="6" t="s">
        <v>4294</v>
      </c>
      <c r="F2100" s="6" t="s">
        <v>4647</v>
      </c>
      <c r="G2100" s="3" t="s">
        <v>11450</v>
      </c>
      <c r="H2100" s="54">
        <v>0</v>
      </c>
      <c r="I2100" s="55">
        <v>470000000</v>
      </c>
      <c r="J2100" s="56" t="s">
        <v>229</v>
      </c>
      <c r="K2100" s="6" t="s">
        <v>222</v>
      </c>
      <c r="L2100" s="16" t="s">
        <v>4570</v>
      </c>
      <c r="M2100" s="162" t="s">
        <v>230</v>
      </c>
      <c r="N2100" s="15" t="s">
        <v>17491</v>
      </c>
      <c r="O2100" s="6" t="s">
        <v>4568</v>
      </c>
      <c r="P2100" s="58" t="s">
        <v>241</v>
      </c>
      <c r="Q2100" s="6" t="s">
        <v>234</v>
      </c>
      <c r="R2100" s="3">
        <v>10</v>
      </c>
      <c r="S2100" s="1">
        <v>3455</v>
      </c>
      <c r="T2100" s="4">
        <v>0</v>
      </c>
      <c r="U2100" s="4">
        <f t="shared" si="67"/>
        <v>0</v>
      </c>
      <c r="V2100" s="3"/>
      <c r="W2100" s="3">
        <v>2014</v>
      </c>
      <c r="X2100" s="3">
        <v>11</v>
      </c>
    </row>
    <row r="2101" spans="1:24" ht="89.25">
      <c r="A2101" s="3" t="s">
        <v>18561</v>
      </c>
      <c r="B2101" s="6" t="s">
        <v>361</v>
      </c>
      <c r="C2101" s="6" t="s">
        <v>4292</v>
      </c>
      <c r="D2101" s="6" t="s">
        <v>4293</v>
      </c>
      <c r="E2101" s="6" t="s">
        <v>4294</v>
      </c>
      <c r="F2101" s="6" t="s">
        <v>4647</v>
      </c>
      <c r="G2101" s="3" t="s">
        <v>11450</v>
      </c>
      <c r="H2101" s="54">
        <v>0</v>
      </c>
      <c r="I2101" s="55">
        <v>470000000</v>
      </c>
      <c r="J2101" s="56" t="s">
        <v>229</v>
      </c>
      <c r="K2101" s="6" t="s">
        <v>18439</v>
      </c>
      <c r="L2101" s="16" t="s">
        <v>4570</v>
      </c>
      <c r="M2101" s="162" t="s">
        <v>230</v>
      </c>
      <c r="N2101" s="15" t="s">
        <v>17491</v>
      </c>
      <c r="O2101" s="6" t="s">
        <v>4568</v>
      </c>
      <c r="P2101" s="58" t="s">
        <v>241</v>
      </c>
      <c r="Q2101" s="6" t="s">
        <v>234</v>
      </c>
      <c r="R2101" s="3">
        <v>10</v>
      </c>
      <c r="S2101" s="1">
        <v>3455</v>
      </c>
      <c r="T2101" s="4">
        <f>R2101*S2101</f>
        <v>34550</v>
      </c>
      <c r="U2101" s="4">
        <f t="shared" si="67"/>
        <v>38696.000000000007</v>
      </c>
      <c r="V2101" s="3"/>
      <c r="W2101" s="3">
        <v>2014</v>
      </c>
      <c r="X2101" s="3"/>
    </row>
    <row r="2102" spans="1:24" ht="89.25">
      <c r="A2102" s="3" t="s">
        <v>1351</v>
      </c>
      <c r="B2102" s="6" t="s">
        <v>361</v>
      </c>
      <c r="C2102" s="6" t="s">
        <v>4292</v>
      </c>
      <c r="D2102" s="6" t="s">
        <v>4293</v>
      </c>
      <c r="E2102" s="6" t="s">
        <v>4294</v>
      </c>
      <c r="F2102" s="6" t="s">
        <v>4648</v>
      </c>
      <c r="G2102" s="3" t="s">
        <v>11450</v>
      </c>
      <c r="H2102" s="54">
        <v>0</v>
      </c>
      <c r="I2102" s="16">
        <v>470000000</v>
      </c>
      <c r="J2102" s="56" t="s">
        <v>229</v>
      </c>
      <c r="K2102" s="6" t="s">
        <v>520</v>
      </c>
      <c r="L2102" s="16" t="s">
        <v>4567</v>
      </c>
      <c r="M2102" s="162" t="s">
        <v>230</v>
      </c>
      <c r="N2102" s="15" t="s">
        <v>521</v>
      </c>
      <c r="O2102" s="6" t="s">
        <v>4568</v>
      </c>
      <c r="P2102" s="58" t="s">
        <v>241</v>
      </c>
      <c r="Q2102" s="6" t="s">
        <v>234</v>
      </c>
      <c r="R2102" s="4">
        <v>2</v>
      </c>
      <c r="S2102" s="74">
        <v>25268</v>
      </c>
      <c r="T2102" s="4">
        <v>0</v>
      </c>
      <c r="U2102" s="4">
        <f t="shared" si="67"/>
        <v>0</v>
      </c>
      <c r="V2102" s="3"/>
      <c r="W2102" s="3">
        <v>2014</v>
      </c>
      <c r="X2102" s="3">
        <v>11</v>
      </c>
    </row>
    <row r="2103" spans="1:24" ht="89.25">
      <c r="A2103" s="3" t="s">
        <v>15552</v>
      </c>
      <c r="B2103" s="6" t="s">
        <v>361</v>
      </c>
      <c r="C2103" s="6" t="s">
        <v>4292</v>
      </c>
      <c r="D2103" s="6" t="s">
        <v>4293</v>
      </c>
      <c r="E2103" s="6" t="s">
        <v>4294</v>
      </c>
      <c r="F2103" s="6" t="s">
        <v>4648</v>
      </c>
      <c r="G2103" s="3" t="s">
        <v>11450</v>
      </c>
      <c r="H2103" s="54">
        <v>0</v>
      </c>
      <c r="I2103" s="16">
        <v>470000000</v>
      </c>
      <c r="J2103" s="56" t="s">
        <v>229</v>
      </c>
      <c r="K2103" s="6" t="s">
        <v>222</v>
      </c>
      <c r="L2103" s="16" t="s">
        <v>4567</v>
      </c>
      <c r="M2103" s="162" t="s">
        <v>230</v>
      </c>
      <c r="N2103" s="15" t="s">
        <v>521</v>
      </c>
      <c r="O2103" s="6" t="s">
        <v>4568</v>
      </c>
      <c r="P2103" s="58" t="s">
        <v>241</v>
      </c>
      <c r="Q2103" s="6" t="s">
        <v>234</v>
      </c>
      <c r="R2103" s="4">
        <v>2</v>
      </c>
      <c r="S2103" s="74">
        <v>25268</v>
      </c>
      <c r="T2103" s="4">
        <v>0</v>
      </c>
      <c r="U2103" s="4">
        <f t="shared" si="67"/>
        <v>0</v>
      </c>
      <c r="V2103" s="3"/>
      <c r="W2103" s="3">
        <v>2014</v>
      </c>
      <c r="X2103" s="3">
        <v>14</v>
      </c>
    </row>
    <row r="2104" spans="1:24" ht="89.25">
      <c r="A2104" s="3" t="s">
        <v>17545</v>
      </c>
      <c r="B2104" s="6" t="s">
        <v>361</v>
      </c>
      <c r="C2104" s="6" t="s">
        <v>4292</v>
      </c>
      <c r="D2104" s="6" t="s">
        <v>4293</v>
      </c>
      <c r="E2104" s="6" t="s">
        <v>4294</v>
      </c>
      <c r="F2104" s="6" t="s">
        <v>4648</v>
      </c>
      <c r="G2104" s="3" t="s">
        <v>11450</v>
      </c>
      <c r="H2104" s="54">
        <v>0</v>
      </c>
      <c r="I2104" s="16">
        <v>470000000</v>
      </c>
      <c r="J2104" s="56" t="s">
        <v>229</v>
      </c>
      <c r="K2104" s="6" t="s">
        <v>222</v>
      </c>
      <c r="L2104" s="16" t="s">
        <v>4567</v>
      </c>
      <c r="M2104" s="162" t="s">
        <v>230</v>
      </c>
      <c r="N2104" s="15" t="s">
        <v>17491</v>
      </c>
      <c r="O2104" s="6" t="s">
        <v>4568</v>
      </c>
      <c r="P2104" s="58" t="s">
        <v>241</v>
      </c>
      <c r="Q2104" s="6" t="s">
        <v>234</v>
      </c>
      <c r="R2104" s="4">
        <v>2</v>
      </c>
      <c r="S2104" s="74">
        <v>25268</v>
      </c>
      <c r="T2104" s="4">
        <v>0</v>
      </c>
      <c r="U2104" s="4">
        <f t="shared" si="67"/>
        <v>0</v>
      </c>
      <c r="V2104" s="3"/>
      <c r="W2104" s="3">
        <v>2014</v>
      </c>
      <c r="X2104" s="3">
        <v>11</v>
      </c>
    </row>
    <row r="2105" spans="1:24" ht="89.25">
      <c r="A2105" s="3" t="s">
        <v>18562</v>
      </c>
      <c r="B2105" s="6" t="s">
        <v>361</v>
      </c>
      <c r="C2105" s="6" t="s">
        <v>4292</v>
      </c>
      <c r="D2105" s="6" t="s">
        <v>4293</v>
      </c>
      <c r="E2105" s="6" t="s">
        <v>4294</v>
      </c>
      <c r="F2105" s="6" t="s">
        <v>4648</v>
      </c>
      <c r="G2105" s="3" t="s">
        <v>11450</v>
      </c>
      <c r="H2105" s="54">
        <v>0</v>
      </c>
      <c r="I2105" s="16">
        <v>470000000</v>
      </c>
      <c r="J2105" s="56" t="s">
        <v>229</v>
      </c>
      <c r="K2105" s="6" t="s">
        <v>18439</v>
      </c>
      <c r="L2105" s="16" t="s">
        <v>4567</v>
      </c>
      <c r="M2105" s="162" t="s">
        <v>230</v>
      </c>
      <c r="N2105" s="15" t="s">
        <v>17491</v>
      </c>
      <c r="O2105" s="6" t="s">
        <v>4568</v>
      </c>
      <c r="P2105" s="58" t="s">
        <v>241</v>
      </c>
      <c r="Q2105" s="6" t="s">
        <v>234</v>
      </c>
      <c r="R2105" s="4">
        <v>2</v>
      </c>
      <c r="S2105" s="74">
        <v>25268</v>
      </c>
      <c r="T2105" s="4">
        <f>R2105*S2105</f>
        <v>50536</v>
      </c>
      <c r="U2105" s="4">
        <f t="shared" si="67"/>
        <v>56600.320000000007</v>
      </c>
      <c r="V2105" s="3"/>
      <c r="W2105" s="3">
        <v>2014</v>
      </c>
      <c r="X2105" s="3"/>
    </row>
    <row r="2106" spans="1:24" ht="127.5">
      <c r="A2106" s="3" t="s">
        <v>1352</v>
      </c>
      <c r="B2106" s="6" t="s">
        <v>361</v>
      </c>
      <c r="C2106" s="6" t="s">
        <v>4295</v>
      </c>
      <c r="D2106" s="14" t="s">
        <v>4296</v>
      </c>
      <c r="E2106" s="14" t="s">
        <v>4297</v>
      </c>
      <c r="F2106" s="6" t="s">
        <v>4649</v>
      </c>
      <c r="G2106" s="3" t="s">
        <v>11450</v>
      </c>
      <c r="H2106" s="54">
        <v>0</v>
      </c>
      <c r="I2106" s="55">
        <v>470000000</v>
      </c>
      <c r="J2106" s="56" t="s">
        <v>229</v>
      </c>
      <c r="K2106" s="6" t="s">
        <v>516</v>
      </c>
      <c r="L2106" s="16" t="s">
        <v>4570</v>
      </c>
      <c r="M2106" s="162" t="s">
        <v>230</v>
      </c>
      <c r="N2106" s="15" t="s">
        <v>521</v>
      </c>
      <c r="O2106" s="6" t="s">
        <v>4568</v>
      </c>
      <c r="P2106" s="58" t="s">
        <v>241</v>
      </c>
      <c r="Q2106" s="6" t="s">
        <v>234</v>
      </c>
      <c r="R2106" s="3">
        <v>110</v>
      </c>
      <c r="S2106" s="1">
        <v>262</v>
      </c>
      <c r="T2106" s="4">
        <v>0</v>
      </c>
      <c r="U2106" s="4">
        <f t="shared" si="67"/>
        <v>0</v>
      </c>
      <c r="V2106" s="3"/>
      <c r="W2106" s="3">
        <v>2014</v>
      </c>
      <c r="X2106" s="3">
        <v>11.12</v>
      </c>
    </row>
    <row r="2107" spans="1:24" ht="127.5">
      <c r="A2107" s="3" t="s">
        <v>12391</v>
      </c>
      <c r="B2107" s="6" t="s">
        <v>361</v>
      </c>
      <c r="C2107" s="6" t="s">
        <v>4295</v>
      </c>
      <c r="D2107" s="14" t="s">
        <v>4296</v>
      </c>
      <c r="E2107" s="14" t="s">
        <v>4297</v>
      </c>
      <c r="F2107" s="6" t="s">
        <v>4649</v>
      </c>
      <c r="G2107" s="3" t="s">
        <v>11450</v>
      </c>
      <c r="H2107" s="54">
        <v>0</v>
      </c>
      <c r="I2107" s="55">
        <v>470000000</v>
      </c>
      <c r="J2107" s="56" t="s">
        <v>229</v>
      </c>
      <c r="K2107" s="6" t="s">
        <v>12372</v>
      </c>
      <c r="L2107" s="17" t="s">
        <v>11411</v>
      </c>
      <c r="M2107" s="162" t="s">
        <v>230</v>
      </c>
      <c r="N2107" s="15" t="s">
        <v>521</v>
      </c>
      <c r="O2107" s="6" t="s">
        <v>4568</v>
      </c>
      <c r="P2107" s="58" t="s">
        <v>241</v>
      </c>
      <c r="Q2107" s="6" t="s">
        <v>234</v>
      </c>
      <c r="R2107" s="3">
        <v>0</v>
      </c>
      <c r="S2107" s="1">
        <v>262</v>
      </c>
      <c r="T2107" s="4">
        <f>R2107*S2107</f>
        <v>0</v>
      </c>
      <c r="U2107" s="4">
        <f t="shared" si="67"/>
        <v>0</v>
      </c>
      <c r="V2107" s="3"/>
      <c r="W2107" s="3">
        <v>2014</v>
      </c>
      <c r="X2107" s="3" t="s">
        <v>12076</v>
      </c>
    </row>
    <row r="2108" spans="1:24" ht="140.25">
      <c r="A2108" s="3" t="s">
        <v>1353</v>
      </c>
      <c r="B2108" s="6" t="s">
        <v>361</v>
      </c>
      <c r="C2108" s="6" t="s">
        <v>4298</v>
      </c>
      <c r="D2108" s="6" t="s">
        <v>4296</v>
      </c>
      <c r="E2108" s="6" t="s">
        <v>4299</v>
      </c>
      <c r="F2108" s="6" t="s">
        <v>4650</v>
      </c>
      <c r="G2108" s="3" t="s">
        <v>11450</v>
      </c>
      <c r="H2108" s="54">
        <v>0</v>
      </c>
      <c r="I2108" s="16">
        <v>470000000</v>
      </c>
      <c r="J2108" s="56" t="s">
        <v>229</v>
      </c>
      <c r="K2108" s="6" t="s">
        <v>516</v>
      </c>
      <c r="L2108" s="16" t="s">
        <v>4567</v>
      </c>
      <c r="M2108" s="162" t="s">
        <v>230</v>
      </c>
      <c r="N2108" s="15" t="s">
        <v>521</v>
      </c>
      <c r="O2108" s="6" t="s">
        <v>4568</v>
      </c>
      <c r="P2108" s="58" t="s">
        <v>241</v>
      </c>
      <c r="Q2108" s="6" t="s">
        <v>234</v>
      </c>
      <c r="R2108" s="4">
        <v>10</v>
      </c>
      <c r="S2108" s="74">
        <v>26135</v>
      </c>
      <c r="T2108" s="4">
        <v>0</v>
      </c>
      <c r="U2108" s="4">
        <f t="shared" si="67"/>
        <v>0</v>
      </c>
      <c r="V2108" s="3"/>
      <c r="W2108" s="3">
        <v>2014</v>
      </c>
      <c r="X2108" s="3">
        <v>11.12</v>
      </c>
    </row>
    <row r="2109" spans="1:24" ht="140.25">
      <c r="A2109" s="3" t="s">
        <v>12392</v>
      </c>
      <c r="B2109" s="6" t="s">
        <v>361</v>
      </c>
      <c r="C2109" s="6" t="s">
        <v>4298</v>
      </c>
      <c r="D2109" s="6" t="s">
        <v>4296</v>
      </c>
      <c r="E2109" s="6" t="s">
        <v>4299</v>
      </c>
      <c r="F2109" s="6" t="s">
        <v>4650</v>
      </c>
      <c r="G2109" s="3" t="s">
        <v>11450</v>
      </c>
      <c r="H2109" s="54">
        <v>0</v>
      </c>
      <c r="I2109" s="16">
        <v>470000000</v>
      </c>
      <c r="J2109" s="56" t="s">
        <v>229</v>
      </c>
      <c r="K2109" s="6" t="s">
        <v>12372</v>
      </c>
      <c r="L2109" s="17" t="s">
        <v>11411</v>
      </c>
      <c r="M2109" s="162" t="s">
        <v>230</v>
      </c>
      <c r="N2109" s="15" t="s">
        <v>521</v>
      </c>
      <c r="O2109" s="6" t="s">
        <v>4568</v>
      </c>
      <c r="P2109" s="58" t="s">
        <v>241</v>
      </c>
      <c r="Q2109" s="6" t="s">
        <v>234</v>
      </c>
      <c r="R2109" s="4">
        <v>0</v>
      </c>
      <c r="S2109" s="74">
        <v>26135</v>
      </c>
      <c r="T2109" s="4">
        <f>R2109*S2109</f>
        <v>0</v>
      </c>
      <c r="U2109" s="4">
        <f t="shared" si="67"/>
        <v>0</v>
      </c>
      <c r="V2109" s="3"/>
      <c r="W2109" s="3">
        <v>2014</v>
      </c>
      <c r="X2109" s="3" t="s">
        <v>12076</v>
      </c>
    </row>
    <row r="2110" spans="1:24" ht="89.25">
      <c r="A2110" s="3" t="s">
        <v>1354</v>
      </c>
      <c r="B2110" s="6" t="s">
        <v>361</v>
      </c>
      <c r="C2110" s="6" t="s">
        <v>4300</v>
      </c>
      <c r="D2110" s="14" t="s">
        <v>4296</v>
      </c>
      <c r="E2110" s="14" t="s">
        <v>4301</v>
      </c>
      <c r="F2110" s="6" t="s">
        <v>4651</v>
      </c>
      <c r="G2110" s="3" t="s">
        <v>11450</v>
      </c>
      <c r="H2110" s="54">
        <v>0</v>
      </c>
      <c r="I2110" s="55">
        <v>470000000</v>
      </c>
      <c r="J2110" s="56" t="s">
        <v>229</v>
      </c>
      <c r="K2110" s="6" t="s">
        <v>516</v>
      </c>
      <c r="L2110" s="16" t="s">
        <v>4570</v>
      </c>
      <c r="M2110" s="162" t="s">
        <v>230</v>
      </c>
      <c r="N2110" s="15" t="s">
        <v>521</v>
      </c>
      <c r="O2110" s="6" t="s">
        <v>4568</v>
      </c>
      <c r="P2110" s="58" t="s">
        <v>241</v>
      </c>
      <c r="Q2110" s="6" t="s">
        <v>234</v>
      </c>
      <c r="R2110" s="3">
        <v>10</v>
      </c>
      <c r="S2110" s="1">
        <v>18250</v>
      </c>
      <c r="T2110" s="4">
        <v>0</v>
      </c>
      <c r="U2110" s="4">
        <f t="shared" si="67"/>
        <v>0</v>
      </c>
      <c r="V2110" s="3"/>
      <c r="W2110" s="3">
        <v>2014</v>
      </c>
      <c r="X2110" s="3">
        <v>11.12</v>
      </c>
    </row>
    <row r="2111" spans="1:24" ht="89.25">
      <c r="A2111" s="3" t="s">
        <v>12393</v>
      </c>
      <c r="B2111" s="6" t="s">
        <v>361</v>
      </c>
      <c r="C2111" s="6" t="s">
        <v>4300</v>
      </c>
      <c r="D2111" s="14" t="s">
        <v>4296</v>
      </c>
      <c r="E2111" s="14" t="s">
        <v>4301</v>
      </c>
      <c r="F2111" s="6" t="s">
        <v>4651</v>
      </c>
      <c r="G2111" s="3" t="s">
        <v>11450</v>
      </c>
      <c r="H2111" s="54">
        <v>0</v>
      </c>
      <c r="I2111" s="55">
        <v>470000000</v>
      </c>
      <c r="J2111" s="56" t="s">
        <v>229</v>
      </c>
      <c r="K2111" s="6" t="s">
        <v>12372</v>
      </c>
      <c r="L2111" s="17" t="s">
        <v>11411</v>
      </c>
      <c r="M2111" s="162" t="s">
        <v>230</v>
      </c>
      <c r="N2111" s="15" t="s">
        <v>521</v>
      </c>
      <c r="O2111" s="6" t="s">
        <v>4568</v>
      </c>
      <c r="P2111" s="58" t="s">
        <v>241</v>
      </c>
      <c r="Q2111" s="6" t="s">
        <v>234</v>
      </c>
      <c r="R2111" s="3">
        <v>0</v>
      </c>
      <c r="S2111" s="1">
        <v>18250</v>
      </c>
      <c r="T2111" s="4">
        <f>R2111*S2111</f>
        <v>0</v>
      </c>
      <c r="U2111" s="4">
        <f t="shared" si="67"/>
        <v>0</v>
      </c>
      <c r="V2111" s="3"/>
      <c r="W2111" s="3">
        <v>2014</v>
      </c>
      <c r="X2111" s="3" t="s">
        <v>12076</v>
      </c>
    </row>
    <row r="2112" spans="1:24" ht="89.25">
      <c r="A2112" s="3" t="s">
        <v>1355</v>
      </c>
      <c r="B2112" s="6" t="s">
        <v>361</v>
      </c>
      <c r="C2112" s="6" t="s">
        <v>4302</v>
      </c>
      <c r="D2112" s="6" t="s">
        <v>4296</v>
      </c>
      <c r="E2112" s="6" t="s">
        <v>4303</v>
      </c>
      <c r="F2112" s="6" t="s">
        <v>4652</v>
      </c>
      <c r="G2112" s="3" t="s">
        <v>11450</v>
      </c>
      <c r="H2112" s="54">
        <v>0</v>
      </c>
      <c r="I2112" s="16">
        <v>470000000</v>
      </c>
      <c r="J2112" s="56" t="s">
        <v>229</v>
      </c>
      <c r="K2112" s="6" t="s">
        <v>516</v>
      </c>
      <c r="L2112" s="16" t="s">
        <v>4567</v>
      </c>
      <c r="M2112" s="162" t="s">
        <v>230</v>
      </c>
      <c r="N2112" s="15" t="s">
        <v>521</v>
      </c>
      <c r="O2112" s="6" t="s">
        <v>4568</v>
      </c>
      <c r="P2112" s="58" t="s">
        <v>241</v>
      </c>
      <c r="Q2112" s="6" t="s">
        <v>234</v>
      </c>
      <c r="R2112" s="4">
        <v>5</v>
      </c>
      <c r="S2112" s="74">
        <v>55600</v>
      </c>
      <c r="T2112" s="4">
        <v>0</v>
      </c>
      <c r="U2112" s="4">
        <f t="shared" si="67"/>
        <v>0</v>
      </c>
      <c r="V2112" s="3"/>
      <c r="W2112" s="3">
        <v>2014</v>
      </c>
      <c r="X2112" s="3">
        <v>11.12</v>
      </c>
    </row>
    <row r="2113" spans="1:24" ht="89.25">
      <c r="A2113" s="3" t="s">
        <v>12394</v>
      </c>
      <c r="B2113" s="6" t="s">
        <v>361</v>
      </c>
      <c r="C2113" s="6" t="s">
        <v>4302</v>
      </c>
      <c r="D2113" s="6" t="s">
        <v>4296</v>
      </c>
      <c r="E2113" s="6" t="s">
        <v>4303</v>
      </c>
      <c r="F2113" s="6" t="s">
        <v>4652</v>
      </c>
      <c r="G2113" s="3" t="s">
        <v>11450</v>
      </c>
      <c r="H2113" s="54">
        <v>0</v>
      </c>
      <c r="I2113" s="16">
        <v>470000000</v>
      </c>
      <c r="J2113" s="56" t="s">
        <v>229</v>
      </c>
      <c r="K2113" s="6" t="s">
        <v>12372</v>
      </c>
      <c r="L2113" s="17" t="s">
        <v>11411</v>
      </c>
      <c r="M2113" s="162" t="s">
        <v>230</v>
      </c>
      <c r="N2113" s="15" t="s">
        <v>521</v>
      </c>
      <c r="O2113" s="6" t="s">
        <v>4568</v>
      </c>
      <c r="P2113" s="58" t="s">
        <v>241</v>
      </c>
      <c r="Q2113" s="6" t="s">
        <v>234</v>
      </c>
      <c r="R2113" s="4">
        <v>5</v>
      </c>
      <c r="S2113" s="74">
        <v>55600</v>
      </c>
      <c r="T2113" s="4">
        <v>0</v>
      </c>
      <c r="U2113" s="4">
        <f t="shared" si="67"/>
        <v>0</v>
      </c>
      <c r="V2113" s="3"/>
      <c r="W2113" s="3">
        <v>2014</v>
      </c>
      <c r="X2113" s="3">
        <v>11</v>
      </c>
    </row>
    <row r="2114" spans="1:24" ht="89.25">
      <c r="A2114" s="3" t="s">
        <v>15553</v>
      </c>
      <c r="B2114" s="6" t="s">
        <v>361</v>
      </c>
      <c r="C2114" s="6" t="s">
        <v>4302</v>
      </c>
      <c r="D2114" s="6" t="s">
        <v>4296</v>
      </c>
      <c r="E2114" s="6" t="s">
        <v>4303</v>
      </c>
      <c r="F2114" s="6" t="s">
        <v>4652</v>
      </c>
      <c r="G2114" s="3" t="s">
        <v>11450</v>
      </c>
      <c r="H2114" s="54">
        <v>0</v>
      </c>
      <c r="I2114" s="16">
        <v>470000000</v>
      </c>
      <c r="J2114" s="56" t="s">
        <v>229</v>
      </c>
      <c r="K2114" s="6" t="s">
        <v>222</v>
      </c>
      <c r="L2114" s="17" t="s">
        <v>11411</v>
      </c>
      <c r="M2114" s="162" t="s">
        <v>230</v>
      </c>
      <c r="N2114" s="15" t="s">
        <v>521</v>
      </c>
      <c r="O2114" s="6" t="s">
        <v>4568</v>
      </c>
      <c r="P2114" s="58" t="s">
        <v>241</v>
      </c>
      <c r="Q2114" s="6" t="s">
        <v>234</v>
      </c>
      <c r="R2114" s="4">
        <v>5</v>
      </c>
      <c r="S2114" s="74">
        <v>55600</v>
      </c>
      <c r="T2114" s="4">
        <v>0</v>
      </c>
      <c r="U2114" s="4">
        <f t="shared" si="67"/>
        <v>0</v>
      </c>
      <c r="V2114" s="3"/>
      <c r="W2114" s="3">
        <v>2014</v>
      </c>
      <c r="X2114" s="3">
        <v>14</v>
      </c>
    </row>
    <row r="2115" spans="1:24" ht="89.25">
      <c r="A2115" s="3" t="s">
        <v>17546</v>
      </c>
      <c r="B2115" s="6" t="s">
        <v>361</v>
      </c>
      <c r="C2115" s="6" t="s">
        <v>4302</v>
      </c>
      <c r="D2115" s="6" t="s">
        <v>4296</v>
      </c>
      <c r="E2115" s="6" t="s">
        <v>4303</v>
      </c>
      <c r="F2115" s="6" t="s">
        <v>4652</v>
      </c>
      <c r="G2115" s="3" t="s">
        <v>11450</v>
      </c>
      <c r="H2115" s="54">
        <v>0</v>
      </c>
      <c r="I2115" s="16">
        <v>470000000</v>
      </c>
      <c r="J2115" s="56" t="s">
        <v>229</v>
      </c>
      <c r="K2115" s="6" t="s">
        <v>222</v>
      </c>
      <c r="L2115" s="17" t="s">
        <v>11411</v>
      </c>
      <c r="M2115" s="162" t="s">
        <v>230</v>
      </c>
      <c r="N2115" s="15" t="s">
        <v>17491</v>
      </c>
      <c r="O2115" s="6" t="s">
        <v>4568</v>
      </c>
      <c r="P2115" s="58" t="s">
        <v>241</v>
      </c>
      <c r="Q2115" s="6" t="s">
        <v>234</v>
      </c>
      <c r="R2115" s="4">
        <v>5</v>
      </c>
      <c r="S2115" s="74">
        <v>55600</v>
      </c>
      <c r="T2115" s="4">
        <v>0</v>
      </c>
      <c r="U2115" s="4">
        <f t="shared" si="67"/>
        <v>0</v>
      </c>
      <c r="V2115" s="3"/>
      <c r="W2115" s="3">
        <v>2014</v>
      </c>
      <c r="X2115" s="3">
        <v>11</v>
      </c>
    </row>
    <row r="2116" spans="1:24" ht="89.25">
      <c r="A2116" s="3" t="s">
        <v>18563</v>
      </c>
      <c r="B2116" s="6" t="s">
        <v>361</v>
      </c>
      <c r="C2116" s="6" t="s">
        <v>4302</v>
      </c>
      <c r="D2116" s="6" t="s">
        <v>4296</v>
      </c>
      <c r="E2116" s="6" t="s">
        <v>4303</v>
      </c>
      <c r="F2116" s="6" t="s">
        <v>4652</v>
      </c>
      <c r="G2116" s="3" t="s">
        <v>11450</v>
      </c>
      <c r="H2116" s="54">
        <v>0</v>
      </c>
      <c r="I2116" s="16">
        <v>470000000</v>
      </c>
      <c r="J2116" s="56" t="s">
        <v>229</v>
      </c>
      <c r="K2116" s="6" t="s">
        <v>18439</v>
      </c>
      <c r="L2116" s="17" t="s">
        <v>11411</v>
      </c>
      <c r="M2116" s="162" t="s">
        <v>230</v>
      </c>
      <c r="N2116" s="15" t="s">
        <v>17491</v>
      </c>
      <c r="O2116" s="6" t="s">
        <v>4568</v>
      </c>
      <c r="P2116" s="58" t="s">
        <v>241</v>
      </c>
      <c r="Q2116" s="6" t="s">
        <v>234</v>
      </c>
      <c r="R2116" s="4">
        <v>5</v>
      </c>
      <c r="S2116" s="74">
        <v>55600</v>
      </c>
      <c r="T2116" s="4">
        <f>R2116*S2116</f>
        <v>278000</v>
      </c>
      <c r="U2116" s="4">
        <f t="shared" si="67"/>
        <v>311360.00000000006</v>
      </c>
      <c r="V2116" s="3"/>
      <c r="W2116" s="3">
        <v>2014</v>
      </c>
      <c r="X2116" s="3"/>
    </row>
    <row r="2117" spans="1:24" ht="89.25">
      <c r="A2117" s="3" t="s">
        <v>1356</v>
      </c>
      <c r="B2117" s="6" t="s">
        <v>361</v>
      </c>
      <c r="C2117" s="6" t="s">
        <v>4302</v>
      </c>
      <c r="D2117" s="6" t="s">
        <v>4296</v>
      </c>
      <c r="E2117" s="6" t="s">
        <v>4303</v>
      </c>
      <c r="F2117" s="6" t="s">
        <v>4653</v>
      </c>
      <c r="G2117" s="3" t="s">
        <v>11450</v>
      </c>
      <c r="H2117" s="54">
        <v>0</v>
      </c>
      <c r="I2117" s="55">
        <v>470000000</v>
      </c>
      <c r="J2117" s="56" t="s">
        <v>229</v>
      </c>
      <c r="K2117" s="6" t="s">
        <v>516</v>
      </c>
      <c r="L2117" s="16" t="s">
        <v>4570</v>
      </c>
      <c r="M2117" s="162" t="s">
        <v>230</v>
      </c>
      <c r="N2117" s="15" t="s">
        <v>521</v>
      </c>
      <c r="O2117" s="6" t="s">
        <v>4568</v>
      </c>
      <c r="P2117" s="58" t="s">
        <v>241</v>
      </c>
      <c r="Q2117" s="6" t="s">
        <v>234</v>
      </c>
      <c r="R2117" s="3">
        <v>4</v>
      </c>
      <c r="S2117" s="1">
        <v>58200</v>
      </c>
      <c r="T2117" s="4">
        <v>0</v>
      </c>
      <c r="U2117" s="4">
        <f t="shared" si="67"/>
        <v>0</v>
      </c>
      <c r="V2117" s="3"/>
      <c r="W2117" s="3">
        <v>2014</v>
      </c>
      <c r="X2117" s="3">
        <v>11.12</v>
      </c>
    </row>
    <row r="2118" spans="1:24" ht="89.25">
      <c r="A2118" s="3" t="s">
        <v>12395</v>
      </c>
      <c r="B2118" s="6" t="s">
        <v>361</v>
      </c>
      <c r="C2118" s="6" t="s">
        <v>4302</v>
      </c>
      <c r="D2118" s="6" t="s">
        <v>4296</v>
      </c>
      <c r="E2118" s="6" t="s">
        <v>4303</v>
      </c>
      <c r="F2118" s="6" t="s">
        <v>4653</v>
      </c>
      <c r="G2118" s="3" t="s">
        <v>11450</v>
      </c>
      <c r="H2118" s="54">
        <v>0</v>
      </c>
      <c r="I2118" s="55">
        <v>470000000</v>
      </c>
      <c r="J2118" s="56" t="s">
        <v>229</v>
      </c>
      <c r="K2118" s="6" t="s">
        <v>12372</v>
      </c>
      <c r="L2118" s="17" t="s">
        <v>11411</v>
      </c>
      <c r="M2118" s="162" t="s">
        <v>230</v>
      </c>
      <c r="N2118" s="15" t="s">
        <v>521</v>
      </c>
      <c r="O2118" s="6" t="s">
        <v>4568</v>
      </c>
      <c r="P2118" s="58" t="s">
        <v>241</v>
      </c>
      <c r="Q2118" s="6" t="s">
        <v>234</v>
      </c>
      <c r="R2118" s="3">
        <v>4</v>
      </c>
      <c r="S2118" s="1">
        <v>58200</v>
      </c>
      <c r="T2118" s="4">
        <v>0</v>
      </c>
      <c r="U2118" s="4">
        <f t="shared" si="67"/>
        <v>0</v>
      </c>
      <c r="V2118" s="3"/>
      <c r="W2118" s="3">
        <v>2014</v>
      </c>
      <c r="X2118" s="3">
        <v>11</v>
      </c>
    </row>
    <row r="2119" spans="1:24" ht="89.25">
      <c r="A2119" s="3" t="s">
        <v>15554</v>
      </c>
      <c r="B2119" s="6" t="s">
        <v>361</v>
      </c>
      <c r="C2119" s="6" t="s">
        <v>4302</v>
      </c>
      <c r="D2119" s="6" t="s">
        <v>4296</v>
      </c>
      <c r="E2119" s="6" t="s">
        <v>4303</v>
      </c>
      <c r="F2119" s="6" t="s">
        <v>4653</v>
      </c>
      <c r="G2119" s="3" t="s">
        <v>11450</v>
      </c>
      <c r="H2119" s="54">
        <v>0</v>
      </c>
      <c r="I2119" s="55">
        <v>470000000</v>
      </c>
      <c r="J2119" s="56" t="s">
        <v>229</v>
      </c>
      <c r="K2119" s="6" t="s">
        <v>222</v>
      </c>
      <c r="L2119" s="17" t="s">
        <v>11411</v>
      </c>
      <c r="M2119" s="162" t="s">
        <v>230</v>
      </c>
      <c r="N2119" s="15" t="s">
        <v>521</v>
      </c>
      <c r="O2119" s="6" t="s">
        <v>4568</v>
      </c>
      <c r="P2119" s="58" t="s">
        <v>241</v>
      </c>
      <c r="Q2119" s="6" t="s">
        <v>234</v>
      </c>
      <c r="R2119" s="3">
        <v>4</v>
      </c>
      <c r="S2119" s="1">
        <v>58200</v>
      </c>
      <c r="T2119" s="4">
        <v>0</v>
      </c>
      <c r="U2119" s="4">
        <f t="shared" si="67"/>
        <v>0</v>
      </c>
      <c r="V2119" s="3"/>
      <c r="W2119" s="3">
        <v>2014</v>
      </c>
      <c r="X2119" s="3">
        <v>14</v>
      </c>
    </row>
    <row r="2120" spans="1:24" ht="89.25">
      <c r="A2120" s="3" t="s">
        <v>17547</v>
      </c>
      <c r="B2120" s="6" t="s">
        <v>361</v>
      </c>
      <c r="C2120" s="6" t="s">
        <v>4302</v>
      </c>
      <c r="D2120" s="6" t="s">
        <v>4296</v>
      </c>
      <c r="E2120" s="6" t="s">
        <v>4303</v>
      </c>
      <c r="F2120" s="6" t="s">
        <v>4653</v>
      </c>
      <c r="G2120" s="3" t="s">
        <v>11450</v>
      </c>
      <c r="H2120" s="54">
        <v>0</v>
      </c>
      <c r="I2120" s="55">
        <v>470000000</v>
      </c>
      <c r="J2120" s="56" t="s">
        <v>229</v>
      </c>
      <c r="K2120" s="6" t="s">
        <v>222</v>
      </c>
      <c r="L2120" s="17" t="s">
        <v>11411</v>
      </c>
      <c r="M2120" s="162" t="s">
        <v>230</v>
      </c>
      <c r="N2120" s="15" t="s">
        <v>17491</v>
      </c>
      <c r="O2120" s="6" t="s">
        <v>4568</v>
      </c>
      <c r="P2120" s="58" t="s">
        <v>241</v>
      </c>
      <c r="Q2120" s="6" t="s">
        <v>234</v>
      </c>
      <c r="R2120" s="3">
        <v>4</v>
      </c>
      <c r="S2120" s="1">
        <v>58200</v>
      </c>
      <c r="T2120" s="4">
        <v>0</v>
      </c>
      <c r="U2120" s="4">
        <f t="shared" si="67"/>
        <v>0</v>
      </c>
      <c r="V2120" s="3"/>
      <c r="W2120" s="3">
        <v>2014</v>
      </c>
      <c r="X2120" s="3">
        <v>11</v>
      </c>
    </row>
    <row r="2121" spans="1:24" ht="89.25">
      <c r="A2121" s="3" t="s">
        <v>18564</v>
      </c>
      <c r="B2121" s="6" t="s">
        <v>361</v>
      </c>
      <c r="C2121" s="6" t="s">
        <v>4302</v>
      </c>
      <c r="D2121" s="6" t="s">
        <v>4296</v>
      </c>
      <c r="E2121" s="6" t="s">
        <v>4303</v>
      </c>
      <c r="F2121" s="6" t="s">
        <v>4653</v>
      </c>
      <c r="G2121" s="3" t="s">
        <v>11450</v>
      </c>
      <c r="H2121" s="54">
        <v>0</v>
      </c>
      <c r="I2121" s="55">
        <v>470000000</v>
      </c>
      <c r="J2121" s="56" t="s">
        <v>229</v>
      </c>
      <c r="K2121" s="6" t="s">
        <v>18439</v>
      </c>
      <c r="L2121" s="17" t="s">
        <v>11411</v>
      </c>
      <c r="M2121" s="162" t="s">
        <v>230</v>
      </c>
      <c r="N2121" s="15" t="s">
        <v>17491</v>
      </c>
      <c r="O2121" s="6" t="s">
        <v>4568</v>
      </c>
      <c r="P2121" s="58" t="s">
        <v>241</v>
      </c>
      <c r="Q2121" s="6" t="s">
        <v>234</v>
      </c>
      <c r="R2121" s="3">
        <v>4</v>
      </c>
      <c r="S2121" s="1">
        <v>58200</v>
      </c>
      <c r="T2121" s="4">
        <f>R2121*S2121</f>
        <v>232800</v>
      </c>
      <c r="U2121" s="4">
        <f t="shared" si="67"/>
        <v>260736.00000000003</v>
      </c>
      <c r="V2121" s="3"/>
      <c r="W2121" s="3">
        <v>2014</v>
      </c>
      <c r="X2121" s="3"/>
    </row>
    <row r="2122" spans="1:24" ht="89.25">
      <c r="A2122" s="3" t="s">
        <v>1357</v>
      </c>
      <c r="B2122" s="6" t="s">
        <v>361</v>
      </c>
      <c r="C2122" s="6" t="s">
        <v>4304</v>
      </c>
      <c r="D2122" s="6" t="s">
        <v>4305</v>
      </c>
      <c r="E2122" s="6" t="s">
        <v>4306</v>
      </c>
      <c r="F2122" s="6" t="s">
        <v>4654</v>
      </c>
      <c r="G2122" s="3" t="s">
        <v>11450</v>
      </c>
      <c r="H2122" s="54">
        <v>0</v>
      </c>
      <c r="I2122" s="16">
        <v>470000000</v>
      </c>
      <c r="J2122" s="56" t="s">
        <v>229</v>
      </c>
      <c r="K2122" s="6" t="s">
        <v>516</v>
      </c>
      <c r="L2122" s="16" t="s">
        <v>4567</v>
      </c>
      <c r="M2122" s="162" t="s">
        <v>230</v>
      </c>
      <c r="N2122" s="15" t="s">
        <v>521</v>
      </c>
      <c r="O2122" s="6" t="s">
        <v>4568</v>
      </c>
      <c r="P2122" s="58" t="s">
        <v>241</v>
      </c>
      <c r="Q2122" s="6" t="s">
        <v>234</v>
      </c>
      <c r="R2122" s="4">
        <v>10</v>
      </c>
      <c r="S2122" s="74">
        <v>4150</v>
      </c>
      <c r="T2122" s="4">
        <v>0</v>
      </c>
      <c r="U2122" s="4">
        <f t="shared" si="67"/>
        <v>0</v>
      </c>
      <c r="V2122" s="3"/>
      <c r="W2122" s="3">
        <v>2014</v>
      </c>
      <c r="X2122" s="3">
        <v>11.12</v>
      </c>
    </row>
    <row r="2123" spans="1:24" ht="89.25">
      <c r="A2123" s="3" t="s">
        <v>12396</v>
      </c>
      <c r="B2123" s="6" t="s">
        <v>361</v>
      </c>
      <c r="C2123" s="6" t="s">
        <v>4304</v>
      </c>
      <c r="D2123" s="6" t="s">
        <v>4305</v>
      </c>
      <c r="E2123" s="6" t="s">
        <v>4306</v>
      </c>
      <c r="F2123" s="6" t="s">
        <v>4654</v>
      </c>
      <c r="G2123" s="3" t="s">
        <v>11450</v>
      </c>
      <c r="H2123" s="54">
        <v>0</v>
      </c>
      <c r="I2123" s="16">
        <v>470000000</v>
      </c>
      <c r="J2123" s="56" t="s">
        <v>229</v>
      </c>
      <c r="K2123" s="6" t="s">
        <v>12372</v>
      </c>
      <c r="L2123" s="17" t="s">
        <v>11411</v>
      </c>
      <c r="M2123" s="162" t="s">
        <v>230</v>
      </c>
      <c r="N2123" s="15" t="s">
        <v>521</v>
      </c>
      <c r="O2123" s="6" t="s">
        <v>4568</v>
      </c>
      <c r="P2123" s="58" t="s">
        <v>241</v>
      </c>
      <c r="Q2123" s="6" t="s">
        <v>234</v>
      </c>
      <c r="R2123" s="4">
        <v>10</v>
      </c>
      <c r="S2123" s="74">
        <v>4150</v>
      </c>
      <c r="T2123" s="4">
        <v>0</v>
      </c>
      <c r="U2123" s="4">
        <f t="shared" si="67"/>
        <v>0</v>
      </c>
      <c r="V2123" s="3"/>
      <c r="W2123" s="3">
        <v>2014</v>
      </c>
      <c r="X2123" s="3">
        <v>11</v>
      </c>
    </row>
    <row r="2124" spans="1:24" ht="89.25">
      <c r="A2124" s="3" t="s">
        <v>15555</v>
      </c>
      <c r="B2124" s="6" t="s">
        <v>361</v>
      </c>
      <c r="C2124" s="6" t="s">
        <v>4304</v>
      </c>
      <c r="D2124" s="6" t="s">
        <v>4305</v>
      </c>
      <c r="E2124" s="6" t="s">
        <v>4306</v>
      </c>
      <c r="F2124" s="6" t="s">
        <v>4654</v>
      </c>
      <c r="G2124" s="3" t="s">
        <v>11450</v>
      </c>
      <c r="H2124" s="54">
        <v>0</v>
      </c>
      <c r="I2124" s="16">
        <v>470000000</v>
      </c>
      <c r="J2124" s="56" t="s">
        <v>229</v>
      </c>
      <c r="K2124" s="6" t="s">
        <v>8309</v>
      </c>
      <c r="L2124" s="17" t="s">
        <v>11411</v>
      </c>
      <c r="M2124" s="162" t="s">
        <v>230</v>
      </c>
      <c r="N2124" s="15" t="s">
        <v>521</v>
      </c>
      <c r="O2124" s="6" t="s">
        <v>4568</v>
      </c>
      <c r="P2124" s="58" t="s">
        <v>241</v>
      </c>
      <c r="Q2124" s="6" t="s">
        <v>234</v>
      </c>
      <c r="R2124" s="4">
        <v>10</v>
      </c>
      <c r="S2124" s="74">
        <v>4150</v>
      </c>
      <c r="T2124" s="4">
        <v>0</v>
      </c>
      <c r="U2124" s="4">
        <f t="shared" si="67"/>
        <v>0</v>
      </c>
      <c r="V2124" s="3"/>
      <c r="W2124" s="3">
        <v>2014</v>
      </c>
      <c r="X2124" s="3">
        <v>14</v>
      </c>
    </row>
    <row r="2125" spans="1:24" ht="89.25">
      <c r="A2125" s="3" t="s">
        <v>17548</v>
      </c>
      <c r="B2125" s="6" t="s">
        <v>361</v>
      </c>
      <c r="C2125" s="6" t="s">
        <v>4304</v>
      </c>
      <c r="D2125" s="6" t="s">
        <v>4305</v>
      </c>
      <c r="E2125" s="6" t="s">
        <v>4306</v>
      </c>
      <c r="F2125" s="6" t="s">
        <v>4654</v>
      </c>
      <c r="G2125" s="3" t="s">
        <v>11450</v>
      </c>
      <c r="H2125" s="54">
        <v>0</v>
      </c>
      <c r="I2125" s="16">
        <v>470000000</v>
      </c>
      <c r="J2125" s="56" t="s">
        <v>229</v>
      </c>
      <c r="K2125" s="6" t="s">
        <v>8309</v>
      </c>
      <c r="L2125" s="17" t="s">
        <v>11411</v>
      </c>
      <c r="M2125" s="162" t="s">
        <v>230</v>
      </c>
      <c r="N2125" s="15" t="s">
        <v>17491</v>
      </c>
      <c r="O2125" s="6" t="s">
        <v>4568</v>
      </c>
      <c r="P2125" s="58" t="s">
        <v>241</v>
      </c>
      <c r="Q2125" s="6" t="s">
        <v>234</v>
      </c>
      <c r="R2125" s="4">
        <v>10</v>
      </c>
      <c r="S2125" s="74">
        <v>4150</v>
      </c>
      <c r="T2125" s="4">
        <v>0</v>
      </c>
      <c r="U2125" s="4">
        <f t="shared" si="67"/>
        <v>0</v>
      </c>
      <c r="V2125" s="3"/>
      <c r="W2125" s="3">
        <v>2014</v>
      </c>
      <c r="X2125" s="3" t="s">
        <v>12076</v>
      </c>
    </row>
    <row r="2126" spans="1:24" ht="89.25">
      <c r="A2126" s="3" t="s">
        <v>1358</v>
      </c>
      <c r="B2126" s="6" t="s">
        <v>361</v>
      </c>
      <c r="C2126" s="6" t="s">
        <v>4307</v>
      </c>
      <c r="D2126" s="6" t="s">
        <v>4305</v>
      </c>
      <c r="E2126" s="6" t="s">
        <v>4308</v>
      </c>
      <c r="F2126" s="6" t="s">
        <v>4655</v>
      </c>
      <c r="G2126" s="3" t="s">
        <v>11450</v>
      </c>
      <c r="H2126" s="54">
        <v>0</v>
      </c>
      <c r="I2126" s="55">
        <v>470000000</v>
      </c>
      <c r="J2126" s="56" t="s">
        <v>229</v>
      </c>
      <c r="K2126" s="6" t="s">
        <v>516</v>
      </c>
      <c r="L2126" s="16" t="s">
        <v>4570</v>
      </c>
      <c r="M2126" s="162" t="s">
        <v>230</v>
      </c>
      <c r="N2126" s="15" t="s">
        <v>521</v>
      </c>
      <c r="O2126" s="6" t="s">
        <v>4568</v>
      </c>
      <c r="P2126" s="58" t="s">
        <v>241</v>
      </c>
      <c r="Q2126" s="6" t="s">
        <v>234</v>
      </c>
      <c r="R2126" s="3">
        <v>10</v>
      </c>
      <c r="S2126" s="1">
        <v>6150</v>
      </c>
      <c r="T2126" s="4">
        <v>0</v>
      </c>
      <c r="U2126" s="4">
        <f t="shared" si="67"/>
        <v>0</v>
      </c>
      <c r="V2126" s="3"/>
      <c r="W2126" s="3">
        <v>2014</v>
      </c>
      <c r="X2126" s="3">
        <v>11.12</v>
      </c>
    </row>
    <row r="2127" spans="1:24" ht="89.25">
      <c r="A2127" s="3" t="s">
        <v>12397</v>
      </c>
      <c r="B2127" s="6" t="s">
        <v>361</v>
      </c>
      <c r="C2127" s="6" t="s">
        <v>4307</v>
      </c>
      <c r="D2127" s="6" t="s">
        <v>4305</v>
      </c>
      <c r="E2127" s="6" t="s">
        <v>4308</v>
      </c>
      <c r="F2127" s="6" t="s">
        <v>4655</v>
      </c>
      <c r="G2127" s="3" t="s">
        <v>11450</v>
      </c>
      <c r="H2127" s="54">
        <v>0</v>
      </c>
      <c r="I2127" s="55">
        <v>470000000</v>
      </c>
      <c r="J2127" s="56" t="s">
        <v>229</v>
      </c>
      <c r="K2127" s="6" t="s">
        <v>12372</v>
      </c>
      <c r="L2127" s="17" t="s">
        <v>11411</v>
      </c>
      <c r="M2127" s="162" t="s">
        <v>230</v>
      </c>
      <c r="N2127" s="15" t="s">
        <v>521</v>
      </c>
      <c r="O2127" s="6" t="s">
        <v>4568</v>
      </c>
      <c r="P2127" s="58" t="s">
        <v>241</v>
      </c>
      <c r="Q2127" s="6" t="s">
        <v>234</v>
      </c>
      <c r="R2127" s="3">
        <v>10</v>
      </c>
      <c r="S2127" s="1">
        <v>6150</v>
      </c>
      <c r="T2127" s="4">
        <v>0</v>
      </c>
      <c r="U2127" s="4">
        <f t="shared" si="67"/>
        <v>0</v>
      </c>
      <c r="V2127" s="3"/>
      <c r="W2127" s="3">
        <v>2014</v>
      </c>
      <c r="X2127" s="3">
        <v>11</v>
      </c>
    </row>
    <row r="2128" spans="1:24" ht="89.25">
      <c r="A2128" s="3" t="s">
        <v>15556</v>
      </c>
      <c r="B2128" s="6" t="s">
        <v>361</v>
      </c>
      <c r="C2128" s="6" t="s">
        <v>4307</v>
      </c>
      <c r="D2128" s="6" t="s">
        <v>4305</v>
      </c>
      <c r="E2128" s="6" t="s">
        <v>4308</v>
      </c>
      <c r="F2128" s="6" t="s">
        <v>4655</v>
      </c>
      <c r="G2128" s="3" t="s">
        <v>11450</v>
      </c>
      <c r="H2128" s="54">
        <v>0</v>
      </c>
      <c r="I2128" s="55">
        <v>470000000</v>
      </c>
      <c r="J2128" s="56" t="s">
        <v>229</v>
      </c>
      <c r="K2128" s="6" t="s">
        <v>8309</v>
      </c>
      <c r="L2128" s="17" t="s">
        <v>11411</v>
      </c>
      <c r="M2128" s="162" t="s">
        <v>230</v>
      </c>
      <c r="N2128" s="15" t="s">
        <v>521</v>
      </c>
      <c r="O2128" s="6" t="s">
        <v>4568</v>
      </c>
      <c r="P2128" s="58" t="s">
        <v>241</v>
      </c>
      <c r="Q2128" s="6" t="s">
        <v>234</v>
      </c>
      <c r="R2128" s="3">
        <v>10</v>
      </c>
      <c r="S2128" s="1">
        <v>6150</v>
      </c>
      <c r="T2128" s="4">
        <v>0</v>
      </c>
      <c r="U2128" s="4">
        <f t="shared" si="67"/>
        <v>0</v>
      </c>
      <c r="V2128" s="3"/>
      <c r="W2128" s="3">
        <v>2014</v>
      </c>
      <c r="X2128" s="3">
        <v>14</v>
      </c>
    </row>
    <row r="2129" spans="1:24" ht="89.25">
      <c r="A2129" s="3" t="s">
        <v>17549</v>
      </c>
      <c r="B2129" s="6" t="s">
        <v>361</v>
      </c>
      <c r="C2129" s="6" t="s">
        <v>4307</v>
      </c>
      <c r="D2129" s="6" t="s">
        <v>4305</v>
      </c>
      <c r="E2129" s="6" t="s">
        <v>4308</v>
      </c>
      <c r="F2129" s="6" t="s">
        <v>4655</v>
      </c>
      <c r="G2129" s="3" t="s">
        <v>11450</v>
      </c>
      <c r="H2129" s="54">
        <v>0</v>
      </c>
      <c r="I2129" s="55">
        <v>470000000</v>
      </c>
      <c r="J2129" s="56" t="s">
        <v>229</v>
      </c>
      <c r="K2129" s="6" t="s">
        <v>8309</v>
      </c>
      <c r="L2129" s="17" t="s">
        <v>11411</v>
      </c>
      <c r="M2129" s="162" t="s">
        <v>230</v>
      </c>
      <c r="N2129" s="15" t="s">
        <v>17491</v>
      </c>
      <c r="O2129" s="6" t="s">
        <v>4568</v>
      </c>
      <c r="P2129" s="58" t="s">
        <v>241</v>
      </c>
      <c r="Q2129" s="6" t="s">
        <v>234</v>
      </c>
      <c r="R2129" s="3">
        <v>10</v>
      </c>
      <c r="S2129" s="1">
        <v>6150</v>
      </c>
      <c r="T2129" s="4">
        <v>0</v>
      </c>
      <c r="U2129" s="4">
        <f t="shared" si="67"/>
        <v>0</v>
      </c>
      <c r="V2129" s="3"/>
      <c r="W2129" s="3">
        <v>2014</v>
      </c>
      <c r="X2129" s="3" t="s">
        <v>12076</v>
      </c>
    </row>
    <row r="2130" spans="1:24" ht="89.25">
      <c r="A2130" s="3" t="s">
        <v>1359</v>
      </c>
      <c r="B2130" s="6" t="s">
        <v>361</v>
      </c>
      <c r="C2130" s="6" t="s">
        <v>4309</v>
      </c>
      <c r="D2130" s="6" t="s">
        <v>4305</v>
      </c>
      <c r="E2130" s="6" t="s">
        <v>4310</v>
      </c>
      <c r="F2130" s="6" t="s">
        <v>4656</v>
      </c>
      <c r="G2130" s="3" t="s">
        <v>11450</v>
      </c>
      <c r="H2130" s="54">
        <v>0</v>
      </c>
      <c r="I2130" s="16">
        <v>470000000</v>
      </c>
      <c r="J2130" s="56" t="s">
        <v>229</v>
      </c>
      <c r="K2130" s="6" t="s">
        <v>516</v>
      </c>
      <c r="L2130" s="16" t="s">
        <v>4567</v>
      </c>
      <c r="M2130" s="162" t="s">
        <v>230</v>
      </c>
      <c r="N2130" s="15" t="s">
        <v>521</v>
      </c>
      <c r="O2130" s="6" t="s">
        <v>4568</v>
      </c>
      <c r="P2130" s="58" t="s">
        <v>241</v>
      </c>
      <c r="Q2130" s="6" t="s">
        <v>234</v>
      </c>
      <c r="R2130" s="4">
        <v>10</v>
      </c>
      <c r="S2130" s="74">
        <v>7550</v>
      </c>
      <c r="T2130" s="4">
        <v>0</v>
      </c>
      <c r="U2130" s="4">
        <f t="shared" si="67"/>
        <v>0</v>
      </c>
      <c r="V2130" s="3"/>
      <c r="W2130" s="3">
        <v>2014</v>
      </c>
      <c r="X2130" s="3">
        <v>11.12</v>
      </c>
    </row>
    <row r="2131" spans="1:24" ht="89.25">
      <c r="A2131" s="3" t="s">
        <v>12398</v>
      </c>
      <c r="B2131" s="6" t="s">
        <v>361</v>
      </c>
      <c r="C2131" s="6" t="s">
        <v>4309</v>
      </c>
      <c r="D2131" s="6" t="s">
        <v>4305</v>
      </c>
      <c r="E2131" s="6" t="s">
        <v>4310</v>
      </c>
      <c r="F2131" s="6" t="s">
        <v>4656</v>
      </c>
      <c r="G2131" s="3" t="s">
        <v>11450</v>
      </c>
      <c r="H2131" s="54">
        <v>0</v>
      </c>
      <c r="I2131" s="16">
        <v>470000000</v>
      </c>
      <c r="J2131" s="56" t="s">
        <v>229</v>
      </c>
      <c r="K2131" s="6" t="s">
        <v>12372</v>
      </c>
      <c r="L2131" s="17" t="s">
        <v>11411</v>
      </c>
      <c r="M2131" s="162" t="s">
        <v>230</v>
      </c>
      <c r="N2131" s="15" t="s">
        <v>521</v>
      </c>
      <c r="O2131" s="6" t="s">
        <v>4568</v>
      </c>
      <c r="P2131" s="58" t="s">
        <v>241</v>
      </c>
      <c r="Q2131" s="6" t="s">
        <v>234</v>
      </c>
      <c r="R2131" s="4">
        <v>10</v>
      </c>
      <c r="S2131" s="74">
        <v>7550</v>
      </c>
      <c r="T2131" s="4">
        <v>0</v>
      </c>
      <c r="U2131" s="4">
        <f t="shared" si="67"/>
        <v>0</v>
      </c>
      <c r="V2131" s="3"/>
      <c r="W2131" s="3">
        <v>2014</v>
      </c>
      <c r="X2131" s="3">
        <v>11</v>
      </c>
    </row>
    <row r="2132" spans="1:24" ht="89.25">
      <c r="A2132" s="3" t="s">
        <v>15557</v>
      </c>
      <c r="B2132" s="6" t="s">
        <v>361</v>
      </c>
      <c r="C2132" s="6" t="s">
        <v>4309</v>
      </c>
      <c r="D2132" s="6" t="s">
        <v>4305</v>
      </c>
      <c r="E2132" s="6" t="s">
        <v>4310</v>
      </c>
      <c r="F2132" s="6" t="s">
        <v>4656</v>
      </c>
      <c r="G2132" s="3" t="s">
        <v>11450</v>
      </c>
      <c r="H2132" s="54">
        <v>0</v>
      </c>
      <c r="I2132" s="16">
        <v>470000000</v>
      </c>
      <c r="J2132" s="56" t="s">
        <v>229</v>
      </c>
      <c r="K2132" s="6" t="s">
        <v>8309</v>
      </c>
      <c r="L2132" s="17" t="s">
        <v>11411</v>
      </c>
      <c r="M2132" s="162" t="s">
        <v>230</v>
      </c>
      <c r="N2132" s="15" t="s">
        <v>521</v>
      </c>
      <c r="O2132" s="6" t="s">
        <v>4568</v>
      </c>
      <c r="P2132" s="58" t="s">
        <v>241</v>
      </c>
      <c r="Q2132" s="6" t="s">
        <v>234</v>
      </c>
      <c r="R2132" s="4">
        <v>10</v>
      </c>
      <c r="S2132" s="74">
        <v>7550</v>
      </c>
      <c r="T2132" s="4">
        <v>0</v>
      </c>
      <c r="U2132" s="4">
        <f t="shared" si="67"/>
        <v>0</v>
      </c>
      <c r="V2132" s="3"/>
      <c r="W2132" s="3">
        <v>2014</v>
      </c>
      <c r="X2132" s="3">
        <v>14</v>
      </c>
    </row>
    <row r="2133" spans="1:24" ht="89.25">
      <c r="A2133" s="3" t="s">
        <v>17550</v>
      </c>
      <c r="B2133" s="6" t="s">
        <v>361</v>
      </c>
      <c r="C2133" s="6" t="s">
        <v>4309</v>
      </c>
      <c r="D2133" s="6" t="s">
        <v>4305</v>
      </c>
      <c r="E2133" s="6" t="s">
        <v>4310</v>
      </c>
      <c r="F2133" s="6" t="s">
        <v>4656</v>
      </c>
      <c r="G2133" s="3" t="s">
        <v>11450</v>
      </c>
      <c r="H2133" s="54">
        <v>0</v>
      </c>
      <c r="I2133" s="16">
        <v>470000000</v>
      </c>
      <c r="J2133" s="56" t="s">
        <v>229</v>
      </c>
      <c r="K2133" s="6" t="s">
        <v>8309</v>
      </c>
      <c r="L2133" s="17" t="s">
        <v>11411</v>
      </c>
      <c r="M2133" s="162" t="s">
        <v>230</v>
      </c>
      <c r="N2133" s="15" t="s">
        <v>17491</v>
      </c>
      <c r="O2133" s="6" t="s">
        <v>4568</v>
      </c>
      <c r="P2133" s="58" t="s">
        <v>241</v>
      </c>
      <c r="Q2133" s="6" t="s">
        <v>234</v>
      </c>
      <c r="R2133" s="4">
        <v>10</v>
      </c>
      <c r="S2133" s="74">
        <v>7550</v>
      </c>
      <c r="T2133" s="4">
        <f>R2133*S2133</f>
        <v>75500</v>
      </c>
      <c r="U2133" s="4">
        <f t="shared" si="67"/>
        <v>84560.000000000015</v>
      </c>
      <c r="V2133" s="3"/>
      <c r="W2133" s="3">
        <v>2014</v>
      </c>
      <c r="X2133" s="3"/>
    </row>
    <row r="2134" spans="1:24" ht="89.25">
      <c r="A2134" s="3" t="s">
        <v>1360</v>
      </c>
      <c r="B2134" s="6" t="s">
        <v>361</v>
      </c>
      <c r="C2134" s="6" t="s">
        <v>4311</v>
      </c>
      <c r="D2134" s="6" t="s">
        <v>4305</v>
      </c>
      <c r="E2134" s="6" t="s">
        <v>4312</v>
      </c>
      <c r="F2134" s="6" t="s">
        <v>4657</v>
      </c>
      <c r="G2134" s="3" t="s">
        <v>11450</v>
      </c>
      <c r="H2134" s="54">
        <v>0</v>
      </c>
      <c r="I2134" s="55">
        <v>470000000</v>
      </c>
      <c r="J2134" s="56" t="s">
        <v>229</v>
      </c>
      <c r="K2134" s="6" t="s">
        <v>516</v>
      </c>
      <c r="L2134" s="16" t="s">
        <v>4570</v>
      </c>
      <c r="M2134" s="162" t="s">
        <v>230</v>
      </c>
      <c r="N2134" s="15" t="s">
        <v>521</v>
      </c>
      <c r="O2134" s="6" t="s">
        <v>4568</v>
      </c>
      <c r="P2134" s="58" t="s">
        <v>241</v>
      </c>
      <c r="Q2134" s="6" t="s">
        <v>234</v>
      </c>
      <c r="R2134" s="3">
        <v>10</v>
      </c>
      <c r="S2134" s="1">
        <v>7580</v>
      </c>
      <c r="T2134" s="4">
        <v>0</v>
      </c>
      <c r="U2134" s="4">
        <f t="shared" si="67"/>
        <v>0</v>
      </c>
      <c r="V2134" s="3"/>
      <c r="W2134" s="3">
        <v>2014</v>
      </c>
      <c r="X2134" s="3">
        <v>11.12</v>
      </c>
    </row>
    <row r="2135" spans="1:24" ht="89.25">
      <c r="A2135" s="3" t="s">
        <v>12399</v>
      </c>
      <c r="B2135" s="6" t="s">
        <v>361</v>
      </c>
      <c r="C2135" s="6" t="s">
        <v>4311</v>
      </c>
      <c r="D2135" s="6" t="s">
        <v>4305</v>
      </c>
      <c r="E2135" s="6" t="s">
        <v>4312</v>
      </c>
      <c r="F2135" s="6" t="s">
        <v>4657</v>
      </c>
      <c r="G2135" s="3" t="s">
        <v>11450</v>
      </c>
      <c r="H2135" s="54">
        <v>0</v>
      </c>
      <c r="I2135" s="55">
        <v>470000000</v>
      </c>
      <c r="J2135" s="56" t="s">
        <v>229</v>
      </c>
      <c r="K2135" s="6" t="s">
        <v>12372</v>
      </c>
      <c r="L2135" s="17" t="s">
        <v>11411</v>
      </c>
      <c r="M2135" s="162" t="s">
        <v>230</v>
      </c>
      <c r="N2135" s="15" t="s">
        <v>521</v>
      </c>
      <c r="O2135" s="6" t="s">
        <v>4568</v>
      </c>
      <c r="P2135" s="58" t="s">
        <v>241</v>
      </c>
      <c r="Q2135" s="6" t="s">
        <v>234</v>
      </c>
      <c r="R2135" s="3">
        <v>10</v>
      </c>
      <c r="S2135" s="1">
        <v>7580</v>
      </c>
      <c r="T2135" s="4">
        <v>0</v>
      </c>
      <c r="U2135" s="4">
        <f t="shared" si="67"/>
        <v>0</v>
      </c>
      <c r="V2135" s="3"/>
      <c r="W2135" s="3">
        <v>2014</v>
      </c>
      <c r="X2135" s="3">
        <v>11</v>
      </c>
    </row>
    <row r="2136" spans="1:24" ht="89.25">
      <c r="A2136" s="3" t="s">
        <v>15558</v>
      </c>
      <c r="B2136" s="6" t="s">
        <v>361</v>
      </c>
      <c r="C2136" s="6" t="s">
        <v>4311</v>
      </c>
      <c r="D2136" s="6" t="s">
        <v>4305</v>
      </c>
      <c r="E2136" s="6" t="s">
        <v>4312</v>
      </c>
      <c r="F2136" s="6" t="s">
        <v>4657</v>
      </c>
      <c r="G2136" s="3" t="s">
        <v>11450</v>
      </c>
      <c r="H2136" s="54">
        <v>0</v>
      </c>
      <c r="I2136" s="55">
        <v>470000000</v>
      </c>
      <c r="J2136" s="56" t="s">
        <v>229</v>
      </c>
      <c r="K2136" s="6" t="s">
        <v>8309</v>
      </c>
      <c r="L2136" s="17" t="s">
        <v>11411</v>
      </c>
      <c r="M2136" s="162" t="s">
        <v>230</v>
      </c>
      <c r="N2136" s="15" t="s">
        <v>521</v>
      </c>
      <c r="O2136" s="6" t="s">
        <v>4568</v>
      </c>
      <c r="P2136" s="58" t="s">
        <v>241</v>
      </c>
      <c r="Q2136" s="6" t="s">
        <v>234</v>
      </c>
      <c r="R2136" s="3">
        <v>10</v>
      </c>
      <c r="S2136" s="1">
        <v>7580</v>
      </c>
      <c r="T2136" s="4">
        <v>0</v>
      </c>
      <c r="U2136" s="4">
        <f t="shared" si="67"/>
        <v>0</v>
      </c>
      <c r="V2136" s="3"/>
      <c r="W2136" s="3">
        <v>2014</v>
      </c>
      <c r="X2136" s="3">
        <v>14</v>
      </c>
    </row>
    <row r="2137" spans="1:24" ht="89.25">
      <c r="A2137" s="3" t="s">
        <v>17551</v>
      </c>
      <c r="B2137" s="6" t="s">
        <v>361</v>
      </c>
      <c r="C2137" s="6" t="s">
        <v>4311</v>
      </c>
      <c r="D2137" s="6" t="s">
        <v>4305</v>
      </c>
      <c r="E2137" s="6" t="s">
        <v>4312</v>
      </c>
      <c r="F2137" s="6" t="s">
        <v>4657</v>
      </c>
      <c r="G2137" s="3" t="s">
        <v>11450</v>
      </c>
      <c r="H2137" s="54">
        <v>0</v>
      </c>
      <c r="I2137" s="55">
        <v>470000000</v>
      </c>
      <c r="J2137" s="56" t="s">
        <v>229</v>
      </c>
      <c r="K2137" s="6" t="s">
        <v>8309</v>
      </c>
      <c r="L2137" s="17" t="s">
        <v>11411</v>
      </c>
      <c r="M2137" s="162" t="s">
        <v>230</v>
      </c>
      <c r="N2137" s="15" t="s">
        <v>17491</v>
      </c>
      <c r="O2137" s="6" t="s">
        <v>4568</v>
      </c>
      <c r="P2137" s="58" t="s">
        <v>241</v>
      </c>
      <c r="Q2137" s="6" t="s">
        <v>234</v>
      </c>
      <c r="R2137" s="3">
        <v>10</v>
      </c>
      <c r="S2137" s="1">
        <v>7580</v>
      </c>
      <c r="T2137" s="4">
        <f>R2137*S2137</f>
        <v>75800</v>
      </c>
      <c r="U2137" s="4">
        <f t="shared" si="67"/>
        <v>84896.000000000015</v>
      </c>
      <c r="V2137" s="3"/>
      <c r="W2137" s="3">
        <v>2014</v>
      </c>
      <c r="X2137" s="3"/>
    </row>
    <row r="2138" spans="1:24" ht="89.25">
      <c r="A2138" s="3" t="s">
        <v>1361</v>
      </c>
      <c r="B2138" s="6" t="s">
        <v>361</v>
      </c>
      <c r="C2138" s="6" t="s">
        <v>4313</v>
      </c>
      <c r="D2138" s="6" t="s">
        <v>4305</v>
      </c>
      <c r="E2138" s="6" t="s">
        <v>4314</v>
      </c>
      <c r="F2138" s="6" t="s">
        <v>4658</v>
      </c>
      <c r="G2138" s="3" t="s">
        <v>11450</v>
      </c>
      <c r="H2138" s="54">
        <v>0</v>
      </c>
      <c r="I2138" s="16">
        <v>470000000</v>
      </c>
      <c r="J2138" s="56" t="s">
        <v>229</v>
      </c>
      <c r="K2138" s="6" t="s">
        <v>516</v>
      </c>
      <c r="L2138" s="16" t="s">
        <v>4567</v>
      </c>
      <c r="M2138" s="162" t="s">
        <v>230</v>
      </c>
      <c r="N2138" s="15" t="s">
        <v>521</v>
      </c>
      <c r="O2138" s="6" t="s">
        <v>4568</v>
      </c>
      <c r="P2138" s="58" t="s">
        <v>241</v>
      </c>
      <c r="Q2138" s="6" t="s">
        <v>234</v>
      </c>
      <c r="R2138" s="4">
        <v>10</v>
      </c>
      <c r="S2138" s="74">
        <v>29254</v>
      </c>
      <c r="T2138" s="4">
        <v>0</v>
      </c>
      <c r="U2138" s="4">
        <f t="shared" si="67"/>
        <v>0</v>
      </c>
      <c r="V2138" s="3"/>
      <c r="W2138" s="3">
        <v>2014</v>
      </c>
      <c r="X2138" s="3">
        <v>11.12</v>
      </c>
    </row>
    <row r="2139" spans="1:24" ht="89.25">
      <c r="A2139" s="3" t="s">
        <v>12400</v>
      </c>
      <c r="B2139" s="6" t="s">
        <v>361</v>
      </c>
      <c r="C2139" s="6" t="s">
        <v>4313</v>
      </c>
      <c r="D2139" s="6" t="s">
        <v>4305</v>
      </c>
      <c r="E2139" s="6" t="s">
        <v>4314</v>
      </c>
      <c r="F2139" s="6" t="s">
        <v>4658</v>
      </c>
      <c r="G2139" s="3" t="s">
        <v>11450</v>
      </c>
      <c r="H2139" s="54">
        <v>0</v>
      </c>
      <c r="I2139" s="16">
        <v>470000000</v>
      </c>
      <c r="J2139" s="56" t="s">
        <v>229</v>
      </c>
      <c r="K2139" s="6" t="s">
        <v>12372</v>
      </c>
      <c r="L2139" s="17" t="s">
        <v>11411</v>
      </c>
      <c r="M2139" s="162" t="s">
        <v>230</v>
      </c>
      <c r="N2139" s="15" t="s">
        <v>521</v>
      </c>
      <c r="O2139" s="6" t="s">
        <v>4568</v>
      </c>
      <c r="P2139" s="58" t="s">
        <v>241</v>
      </c>
      <c r="Q2139" s="6" t="s">
        <v>234</v>
      </c>
      <c r="R2139" s="4">
        <v>10</v>
      </c>
      <c r="S2139" s="74">
        <v>29254</v>
      </c>
      <c r="T2139" s="4">
        <v>0</v>
      </c>
      <c r="U2139" s="4">
        <f t="shared" si="67"/>
        <v>0</v>
      </c>
      <c r="V2139" s="3"/>
      <c r="W2139" s="3">
        <v>2014</v>
      </c>
      <c r="X2139" s="3">
        <v>11</v>
      </c>
    </row>
    <row r="2140" spans="1:24" ht="89.25">
      <c r="A2140" s="3" t="s">
        <v>15559</v>
      </c>
      <c r="B2140" s="6" t="s">
        <v>361</v>
      </c>
      <c r="C2140" s="6" t="s">
        <v>4313</v>
      </c>
      <c r="D2140" s="6" t="s">
        <v>4305</v>
      </c>
      <c r="E2140" s="6" t="s">
        <v>4314</v>
      </c>
      <c r="F2140" s="6" t="s">
        <v>4658</v>
      </c>
      <c r="G2140" s="3" t="s">
        <v>11450</v>
      </c>
      <c r="H2140" s="54">
        <v>0</v>
      </c>
      <c r="I2140" s="16">
        <v>470000000</v>
      </c>
      <c r="J2140" s="56" t="s">
        <v>229</v>
      </c>
      <c r="K2140" s="6" t="s">
        <v>8309</v>
      </c>
      <c r="L2140" s="17" t="s">
        <v>11411</v>
      </c>
      <c r="M2140" s="162" t="s">
        <v>230</v>
      </c>
      <c r="N2140" s="15" t="s">
        <v>521</v>
      </c>
      <c r="O2140" s="6" t="s">
        <v>4568</v>
      </c>
      <c r="P2140" s="58" t="s">
        <v>241</v>
      </c>
      <c r="Q2140" s="6" t="s">
        <v>234</v>
      </c>
      <c r="R2140" s="4">
        <v>10</v>
      </c>
      <c r="S2140" s="74">
        <v>29254</v>
      </c>
      <c r="T2140" s="4">
        <v>0</v>
      </c>
      <c r="U2140" s="4">
        <f t="shared" si="67"/>
        <v>0</v>
      </c>
      <c r="V2140" s="3"/>
      <c r="W2140" s="3">
        <v>2014</v>
      </c>
      <c r="X2140" s="3">
        <v>14</v>
      </c>
    </row>
    <row r="2141" spans="1:24" ht="89.25">
      <c r="A2141" s="3" t="s">
        <v>17552</v>
      </c>
      <c r="B2141" s="6" t="s">
        <v>361</v>
      </c>
      <c r="C2141" s="6" t="s">
        <v>4313</v>
      </c>
      <c r="D2141" s="6" t="s">
        <v>4305</v>
      </c>
      <c r="E2141" s="6" t="s">
        <v>4314</v>
      </c>
      <c r="F2141" s="6" t="s">
        <v>4658</v>
      </c>
      <c r="G2141" s="3" t="s">
        <v>11450</v>
      </c>
      <c r="H2141" s="54">
        <v>0</v>
      </c>
      <c r="I2141" s="16">
        <v>470000000</v>
      </c>
      <c r="J2141" s="56" t="s">
        <v>229</v>
      </c>
      <c r="K2141" s="6" t="s">
        <v>8309</v>
      </c>
      <c r="L2141" s="17" t="s">
        <v>11411</v>
      </c>
      <c r="M2141" s="162" t="s">
        <v>230</v>
      </c>
      <c r="N2141" s="15" t="s">
        <v>17491</v>
      </c>
      <c r="O2141" s="6" t="s">
        <v>4568</v>
      </c>
      <c r="P2141" s="58" t="s">
        <v>241</v>
      </c>
      <c r="Q2141" s="6" t="s">
        <v>234</v>
      </c>
      <c r="R2141" s="4">
        <v>10</v>
      </c>
      <c r="S2141" s="74">
        <v>29254</v>
      </c>
      <c r="T2141" s="4">
        <f>R2141*S2141</f>
        <v>292540</v>
      </c>
      <c r="U2141" s="4">
        <f t="shared" si="67"/>
        <v>327644.80000000005</v>
      </c>
      <c r="V2141" s="3"/>
      <c r="W2141" s="3">
        <v>2014</v>
      </c>
      <c r="X2141" s="3"/>
    </row>
    <row r="2142" spans="1:24" ht="89.25">
      <c r="A2142" s="3" t="s">
        <v>1362</v>
      </c>
      <c r="B2142" s="6" t="s">
        <v>361</v>
      </c>
      <c r="C2142" s="6" t="s">
        <v>4315</v>
      </c>
      <c r="D2142" s="6" t="s">
        <v>4305</v>
      </c>
      <c r="E2142" s="6" t="s">
        <v>4316</v>
      </c>
      <c r="F2142" s="6" t="s">
        <v>4659</v>
      </c>
      <c r="G2142" s="3" t="s">
        <v>11450</v>
      </c>
      <c r="H2142" s="54">
        <v>0</v>
      </c>
      <c r="I2142" s="55">
        <v>470000000</v>
      </c>
      <c r="J2142" s="56" t="s">
        <v>229</v>
      </c>
      <c r="K2142" s="6" t="s">
        <v>516</v>
      </c>
      <c r="L2142" s="16" t="s">
        <v>4570</v>
      </c>
      <c r="M2142" s="162" t="s">
        <v>230</v>
      </c>
      <c r="N2142" s="15" t="s">
        <v>521</v>
      </c>
      <c r="O2142" s="6" t="s">
        <v>4568</v>
      </c>
      <c r="P2142" s="58" t="s">
        <v>241</v>
      </c>
      <c r="Q2142" s="6" t="s">
        <v>234</v>
      </c>
      <c r="R2142" s="3">
        <v>5</v>
      </c>
      <c r="S2142" s="1">
        <v>7265</v>
      </c>
      <c r="T2142" s="4">
        <v>0</v>
      </c>
      <c r="U2142" s="4">
        <f t="shared" si="67"/>
        <v>0</v>
      </c>
      <c r="V2142" s="3"/>
      <c r="W2142" s="3">
        <v>2014</v>
      </c>
      <c r="X2142" s="3">
        <v>11.12</v>
      </c>
    </row>
    <row r="2143" spans="1:24" ht="89.25">
      <c r="A2143" s="3" t="s">
        <v>12401</v>
      </c>
      <c r="B2143" s="6" t="s">
        <v>361</v>
      </c>
      <c r="C2143" s="6" t="s">
        <v>4315</v>
      </c>
      <c r="D2143" s="6" t="s">
        <v>4305</v>
      </c>
      <c r="E2143" s="6" t="s">
        <v>4316</v>
      </c>
      <c r="F2143" s="6" t="s">
        <v>4659</v>
      </c>
      <c r="G2143" s="3" t="s">
        <v>11450</v>
      </c>
      <c r="H2143" s="54">
        <v>0</v>
      </c>
      <c r="I2143" s="55">
        <v>470000000</v>
      </c>
      <c r="J2143" s="56" t="s">
        <v>229</v>
      </c>
      <c r="K2143" s="6" t="s">
        <v>12372</v>
      </c>
      <c r="L2143" s="17" t="s">
        <v>11411</v>
      </c>
      <c r="M2143" s="162" t="s">
        <v>230</v>
      </c>
      <c r="N2143" s="15" t="s">
        <v>521</v>
      </c>
      <c r="O2143" s="6" t="s">
        <v>4568</v>
      </c>
      <c r="P2143" s="58" t="s">
        <v>241</v>
      </c>
      <c r="Q2143" s="6" t="s">
        <v>234</v>
      </c>
      <c r="R2143" s="3">
        <v>5</v>
      </c>
      <c r="S2143" s="1">
        <v>7265</v>
      </c>
      <c r="T2143" s="4">
        <v>0</v>
      </c>
      <c r="U2143" s="4">
        <f t="shared" si="67"/>
        <v>0</v>
      </c>
      <c r="V2143" s="3"/>
      <c r="W2143" s="3">
        <v>2014</v>
      </c>
      <c r="X2143" s="3">
        <v>11</v>
      </c>
    </row>
    <row r="2144" spans="1:24" ht="89.25">
      <c r="A2144" s="3" t="s">
        <v>15560</v>
      </c>
      <c r="B2144" s="6" t="s">
        <v>361</v>
      </c>
      <c r="C2144" s="6" t="s">
        <v>4315</v>
      </c>
      <c r="D2144" s="6" t="s">
        <v>4305</v>
      </c>
      <c r="E2144" s="6" t="s">
        <v>4316</v>
      </c>
      <c r="F2144" s="6" t="s">
        <v>4659</v>
      </c>
      <c r="G2144" s="3" t="s">
        <v>11450</v>
      </c>
      <c r="H2144" s="54">
        <v>0</v>
      </c>
      <c r="I2144" s="55">
        <v>470000000</v>
      </c>
      <c r="J2144" s="56" t="s">
        <v>229</v>
      </c>
      <c r="K2144" s="6" t="s">
        <v>8309</v>
      </c>
      <c r="L2144" s="17" t="s">
        <v>11411</v>
      </c>
      <c r="M2144" s="162" t="s">
        <v>230</v>
      </c>
      <c r="N2144" s="15" t="s">
        <v>521</v>
      </c>
      <c r="O2144" s="6" t="s">
        <v>4568</v>
      </c>
      <c r="P2144" s="58" t="s">
        <v>241</v>
      </c>
      <c r="Q2144" s="6" t="s">
        <v>234</v>
      </c>
      <c r="R2144" s="3">
        <v>5</v>
      </c>
      <c r="S2144" s="1">
        <v>7265</v>
      </c>
      <c r="T2144" s="4">
        <v>0</v>
      </c>
      <c r="U2144" s="4">
        <f t="shared" si="67"/>
        <v>0</v>
      </c>
      <c r="V2144" s="3"/>
      <c r="W2144" s="3">
        <v>2014</v>
      </c>
      <c r="X2144" s="3">
        <v>14</v>
      </c>
    </row>
    <row r="2145" spans="1:24" ht="89.25">
      <c r="A2145" s="3" t="s">
        <v>17553</v>
      </c>
      <c r="B2145" s="6" t="s">
        <v>361</v>
      </c>
      <c r="C2145" s="6" t="s">
        <v>4315</v>
      </c>
      <c r="D2145" s="6" t="s">
        <v>4305</v>
      </c>
      <c r="E2145" s="6" t="s">
        <v>4316</v>
      </c>
      <c r="F2145" s="6" t="s">
        <v>4659</v>
      </c>
      <c r="G2145" s="3" t="s">
        <v>11450</v>
      </c>
      <c r="H2145" s="54">
        <v>0</v>
      </c>
      <c r="I2145" s="55">
        <v>470000000</v>
      </c>
      <c r="J2145" s="56" t="s">
        <v>229</v>
      </c>
      <c r="K2145" s="6" t="s">
        <v>8309</v>
      </c>
      <c r="L2145" s="17" t="s">
        <v>11411</v>
      </c>
      <c r="M2145" s="162" t="s">
        <v>230</v>
      </c>
      <c r="N2145" s="15" t="s">
        <v>17491</v>
      </c>
      <c r="O2145" s="6" t="s">
        <v>4568</v>
      </c>
      <c r="P2145" s="58" t="s">
        <v>241</v>
      </c>
      <c r="Q2145" s="6" t="s">
        <v>234</v>
      </c>
      <c r="R2145" s="3">
        <v>5</v>
      </c>
      <c r="S2145" s="1">
        <v>7265</v>
      </c>
      <c r="T2145" s="4">
        <f>R2145*S2145</f>
        <v>36325</v>
      </c>
      <c r="U2145" s="4">
        <f t="shared" si="67"/>
        <v>40684.000000000007</v>
      </c>
      <c r="V2145" s="3"/>
      <c r="W2145" s="3">
        <v>2014</v>
      </c>
      <c r="X2145" s="3"/>
    </row>
    <row r="2146" spans="1:24" ht="89.25">
      <c r="A2146" s="3" t="s">
        <v>1363</v>
      </c>
      <c r="B2146" s="6" t="s">
        <v>361</v>
      </c>
      <c r="C2146" s="6" t="s">
        <v>4317</v>
      </c>
      <c r="D2146" s="6" t="s">
        <v>4305</v>
      </c>
      <c r="E2146" s="6" t="s">
        <v>4318</v>
      </c>
      <c r="F2146" s="6" t="s">
        <v>4660</v>
      </c>
      <c r="G2146" s="3" t="s">
        <v>11450</v>
      </c>
      <c r="H2146" s="54">
        <v>0</v>
      </c>
      <c r="I2146" s="16">
        <v>470000000</v>
      </c>
      <c r="J2146" s="56" t="s">
        <v>229</v>
      </c>
      <c r="K2146" s="6" t="s">
        <v>516</v>
      </c>
      <c r="L2146" s="16" t="s">
        <v>4567</v>
      </c>
      <c r="M2146" s="162" t="s">
        <v>230</v>
      </c>
      <c r="N2146" s="15" t="s">
        <v>521</v>
      </c>
      <c r="O2146" s="6" t="s">
        <v>4568</v>
      </c>
      <c r="P2146" s="58" t="s">
        <v>241</v>
      </c>
      <c r="Q2146" s="6" t="s">
        <v>234</v>
      </c>
      <c r="R2146" s="4">
        <v>10</v>
      </c>
      <c r="S2146" s="74">
        <v>17360</v>
      </c>
      <c r="T2146" s="4">
        <v>0</v>
      </c>
      <c r="U2146" s="4">
        <f t="shared" si="67"/>
        <v>0</v>
      </c>
      <c r="V2146" s="3"/>
      <c r="W2146" s="3">
        <v>2014</v>
      </c>
      <c r="X2146" s="3">
        <v>11.12</v>
      </c>
    </row>
    <row r="2147" spans="1:24" ht="89.25">
      <c r="A2147" s="3" t="s">
        <v>12402</v>
      </c>
      <c r="B2147" s="6" t="s">
        <v>361</v>
      </c>
      <c r="C2147" s="6" t="s">
        <v>4317</v>
      </c>
      <c r="D2147" s="6" t="s">
        <v>4305</v>
      </c>
      <c r="E2147" s="6" t="s">
        <v>4318</v>
      </c>
      <c r="F2147" s="6" t="s">
        <v>4660</v>
      </c>
      <c r="G2147" s="3" t="s">
        <v>11450</v>
      </c>
      <c r="H2147" s="54">
        <v>0</v>
      </c>
      <c r="I2147" s="16">
        <v>470000000</v>
      </c>
      <c r="J2147" s="56" t="s">
        <v>229</v>
      </c>
      <c r="K2147" s="6" t="s">
        <v>12372</v>
      </c>
      <c r="L2147" s="17" t="s">
        <v>11411</v>
      </c>
      <c r="M2147" s="162" t="s">
        <v>230</v>
      </c>
      <c r="N2147" s="15" t="s">
        <v>521</v>
      </c>
      <c r="O2147" s="6" t="s">
        <v>4568</v>
      </c>
      <c r="P2147" s="58" t="s">
        <v>241</v>
      </c>
      <c r="Q2147" s="6" t="s">
        <v>234</v>
      </c>
      <c r="R2147" s="4">
        <v>10</v>
      </c>
      <c r="S2147" s="74">
        <v>17360</v>
      </c>
      <c r="T2147" s="4">
        <v>0</v>
      </c>
      <c r="U2147" s="4">
        <f t="shared" si="67"/>
        <v>0</v>
      </c>
      <c r="V2147" s="3"/>
      <c r="W2147" s="3">
        <v>2014</v>
      </c>
      <c r="X2147" s="3">
        <v>11</v>
      </c>
    </row>
    <row r="2148" spans="1:24" ht="89.25">
      <c r="A2148" s="3" t="s">
        <v>15561</v>
      </c>
      <c r="B2148" s="6" t="s">
        <v>361</v>
      </c>
      <c r="C2148" s="6" t="s">
        <v>4317</v>
      </c>
      <c r="D2148" s="6" t="s">
        <v>4305</v>
      </c>
      <c r="E2148" s="6" t="s">
        <v>4318</v>
      </c>
      <c r="F2148" s="6" t="s">
        <v>4660</v>
      </c>
      <c r="G2148" s="3" t="s">
        <v>11450</v>
      </c>
      <c r="H2148" s="54">
        <v>0</v>
      </c>
      <c r="I2148" s="16">
        <v>470000000</v>
      </c>
      <c r="J2148" s="56" t="s">
        <v>229</v>
      </c>
      <c r="K2148" s="6" t="s">
        <v>8309</v>
      </c>
      <c r="L2148" s="17" t="s">
        <v>11411</v>
      </c>
      <c r="M2148" s="162" t="s">
        <v>230</v>
      </c>
      <c r="N2148" s="15" t="s">
        <v>521</v>
      </c>
      <c r="O2148" s="6" t="s">
        <v>4568</v>
      </c>
      <c r="P2148" s="58" t="s">
        <v>241</v>
      </c>
      <c r="Q2148" s="6" t="s">
        <v>234</v>
      </c>
      <c r="R2148" s="4">
        <v>10</v>
      </c>
      <c r="S2148" s="74">
        <v>17360</v>
      </c>
      <c r="T2148" s="4">
        <v>0</v>
      </c>
      <c r="U2148" s="4">
        <f t="shared" si="67"/>
        <v>0</v>
      </c>
      <c r="V2148" s="3"/>
      <c r="W2148" s="3">
        <v>2014</v>
      </c>
      <c r="X2148" s="3">
        <v>14</v>
      </c>
    </row>
    <row r="2149" spans="1:24" ht="89.25">
      <c r="A2149" s="3" t="s">
        <v>17554</v>
      </c>
      <c r="B2149" s="6" t="s">
        <v>361</v>
      </c>
      <c r="C2149" s="6" t="s">
        <v>4317</v>
      </c>
      <c r="D2149" s="6" t="s">
        <v>4305</v>
      </c>
      <c r="E2149" s="6" t="s">
        <v>4318</v>
      </c>
      <c r="F2149" s="6" t="s">
        <v>4660</v>
      </c>
      <c r="G2149" s="3" t="s">
        <v>11450</v>
      </c>
      <c r="H2149" s="54">
        <v>0</v>
      </c>
      <c r="I2149" s="16">
        <v>470000000</v>
      </c>
      <c r="J2149" s="56" t="s">
        <v>229</v>
      </c>
      <c r="K2149" s="6" t="s">
        <v>8309</v>
      </c>
      <c r="L2149" s="17" t="s">
        <v>11411</v>
      </c>
      <c r="M2149" s="162" t="s">
        <v>230</v>
      </c>
      <c r="N2149" s="15" t="s">
        <v>17491</v>
      </c>
      <c r="O2149" s="6" t="s">
        <v>4568</v>
      </c>
      <c r="P2149" s="58" t="s">
        <v>241</v>
      </c>
      <c r="Q2149" s="6" t="s">
        <v>234</v>
      </c>
      <c r="R2149" s="4">
        <v>10</v>
      </c>
      <c r="S2149" s="74">
        <v>17360</v>
      </c>
      <c r="T2149" s="4">
        <f>R2149*S2149</f>
        <v>173600</v>
      </c>
      <c r="U2149" s="4">
        <f t="shared" si="67"/>
        <v>194432.00000000003</v>
      </c>
      <c r="V2149" s="3"/>
      <c r="W2149" s="3">
        <v>2014</v>
      </c>
      <c r="X2149" s="3"/>
    </row>
    <row r="2150" spans="1:24" ht="89.25">
      <c r="A2150" s="3" t="s">
        <v>1364</v>
      </c>
      <c r="B2150" s="6" t="s">
        <v>361</v>
      </c>
      <c r="C2150" s="6" t="s">
        <v>4319</v>
      </c>
      <c r="D2150" s="6" t="s">
        <v>359</v>
      </c>
      <c r="E2150" s="6" t="s">
        <v>4320</v>
      </c>
      <c r="F2150" s="6" t="s">
        <v>4661</v>
      </c>
      <c r="G2150" s="3" t="s">
        <v>11450</v>
      </c>
      <c r="H2150" s="54">
        <v>0</v>
      </c>
      <c r="I2150" s="55">
        <v>470000000</v>
      </c>
      <c r="J2150" s="56" t="s">
        <v>229</v>
      </c>
      <c r="K2150" s="6" t="s">
        <v>516</v>
      </c>
      <c r="L2150" s="16" t="s">
        <v>4570</v>
      </c>
      <c r="M2150" s="162" t="s">
        <v>230</v>
      </c>
      <c r="N2150" s="15" t="s">
        <v>524</v>
      </c>
      <c r="O2150" s="6" t="s">
        <v>4568</v>
      </c>
      <c r="P2150" s="58" t="s">
        <v>241</v>
      </c>
      <c r="Q2150" s="6" t="s">
        <v>234</v>
      </c>
      <c r="R2150" s="3">
        <v>100</v>
      </c>
      <c r="S2150" s="1">
        <v>3500</v>
      </c>
      <c r="T2150" s="4">
        <v>0</v>
      </c>
      <c r="U2150" s="4">
        <f t="shared" si="67"/>
        <v>0</v>
      </c>
      <c r="V2150" s="3"/>
      <c r="W2150" s="3">
        <v>2014</v>
      </c>
      <c r="X2150" s="3">
        <v>11.12</v>
      </c>
    </row>
    <row r="2151" spans="1:24" ht="89.25">
      <c r="A2151" s="3" t="s">
        <v>12403</v>
      </c>
      <c r="B2151" s="6" t="s">
        <v>361</v>
      </c>
      <c r="C2151" s="6" t="s">
        <v>4319</v>
      </c>
      <c r="D2151" s="6" t="s">
        <v>359</v>
      </c>
      <c r="E2151" s="6" t="s">
        <v>4320</v>
      </c>
      <c r="F2151" s="6" t="s">
        <v>4661</v>
      </c>
      <c r="G2151" s="3" t="s">
        <v>11450</v>
      </c>
      <c r="H2151" s="54">
        <v>0</v>
      </c>
      <c r="I2151" s="55">
        <v>470000000</v>
      </c>
      <c r="J2151" s="56" t="s">
        <v>229</v>
      </c>
      <c r="K2151" s="6" t="s">
        <v>12372</v>
      </c>
      <c r="L2151" s="17" t="s">
        <v>11411</v>
      </c>
      <c r="M2151" s="162" t="s">
        <v>230</v>
      </c>
      <c r="N2151" s="15" t="s">
        <v>524</v>
      </c>
      <c r="O2151" s="6" t="s">
        <v>4568</v>
      </c>
      <c r="P2151" s="58" t="s">
        <v>241</v>
      </c>
      <c r="Q2151" s="6" t="s">
        <v>234</v>
      </c>
      <c r="R2151" s="3">
        <v>100</v>
      </c>
      <c r="S2151" s="1">
        <v>3500</v>
      </c>
      <c r="T2151" s="4">
        <v>0</v>
      </c>
      <c r="U2151" s="4">
        <f t="shared" si="67"/>
        <v>0</v>
      </c>
      <c r="V2151" s="3"/>
      <c r="W2151" s="3">
        <v>2014</v>
      </c>
      <c r="X2151" s="3">
        <v>11</v>
      </c>
    </row>
    <row r="2152" spans="1:24" ht="89.25">
      <c r="A2152" s="3" t="s">
        <v>15562</v>
      </c>
      <c r="B2152" s="6" t="s">
        <v>361</v>
      </c>
      <c r="C2152" s="6" t="s">
        <v>4319</v>
      </c>
      <c r="D2152" s="6" t="s">
        <v>359</v>
      </c>
      <c r="E2152" s="6" t="s">
        <v>4320</v>
      </c>
      <c r="F2152" s="6" t="s">
        <v>4661</v>
      </c>
      <c r="G2152" s="3" t="s">
        <v>11450</v>
      </c>
      <c r="H2152" s="54">
        <v>0</v>
      </c>
      <c r="I2152" s="55">
        <v>470000000</v>
      </c>
      <c r="J2152" s="56" t="s">
        <v>229</v>
      </c>
      <c r="K2152" s="6" t="s">
        <v>220</v>
      </c>
      <c r="L2152" s="17" t="s">
        <v>11411</v>
      </c>
      <c r="M2152" s="162" t="s">
        <v>230</v>
      </c>
      <c r="N2152" s="15" t="s">
        <v>524</v>
      </c>
      <c r="O2152" s="6" t="s">
        <v>4568</v>
      </c>
      <c r="P2152" s="58" t="s">
        <v>241</v>
      </c>
      <c r="Q2152" s="6" t="s">
        <v>234</v>
      </c>
      <c r="R2152" s="3">
        <v>100</v>
      </c>
      <c r="S2152" s="1">
        <v>3500</v>
      </c>
      <c r="T2152" s="4">
        <f>R2152*S2152</f>
        <v>350000</v>
      </c>
      <c r="U2152" s="4">
        <f t="shared" si="67"/>
        <v>392000.00000000006</v>
      </c>
      <c r="V2152" s="3"/>
      <c r="W2152" s="3">
        <v>2014</v>
      </c>
      <c r="X2152" s="3"/>
    </row>
    <row r="2153" spans="1:24" ht="89.25">
      <c r="A2153" s="3" t="s">
        <v>1365</v>
      </c>
      <c r="B2153" s="6" t="s">
        <v>361</v>
      </c>
      <c r="C2153" s="160" t="s">
        <v>4321</v>
      </c>
      <c r="D2153" s="160" t="s">
        <v>359</v>
      </c>
      <c r="E2153" s="160" t="s">
        <v>4322</v>
      </c>
      <c r="F2153" s="169" t="s">
        <v>4662</v>
      </c>
      <c r="G2153" s="3" t="s">
        <v>11450</v>
      </c>
      <c r="H2153" s="54">
        <v>0</v>
      </c>
      <c r="I2153" s="16">
        <v>470000000</v>
      </c>
      <c r="J2153" s="56" t="s">
        <v>229</v>
      </c>
      <c r="K2153" s="6" t="s">
        <v>516</v>
      </c>
      <c r="L2153" s="16" t="s">
        <v>4567</v>
      </c>
      <c r="M2153" s="162" t="s">
        <v>230</v>
      </c>
      <c r="N2153" s="15" t="s">
        <v>524</v>
      </c>
      <c r="O2153" s="6" t="s">
        <v>4568</v>
      </c>
      <c r="P2153" s="58" t="s">
        <v>241</v>
      </c>
      <c r="Q2153" s="6" t="s">
        <v>234</v>
      </c>
      <c r="R2153" s="4">
        <v>100</v>
      </c>
      <c r="S2153" s="74">
        <v>3650</v>
      </c>
      <c r="T2153" s="4">
        <v>0</v>
      </c>
      <c r="U2153" s="4">
        <f t="shared" ref="U2153:U2367" si="68">T2153*1.12</f>
        <v>0</v>
      </c>
      <c r="V2153" s="3"/>
      <c r="W2153" s="3">
        <v>2014</v>
      </c>
      <c r="X2153" s="3">
        <v>11.12</v>
      </c>
    </row>
    <row r="2154" spans="1:24" ht="89.25">
      <c r="A2154" s="3" t="s">
        <v>12404</v>
      </c>
      <c r="B2154" s="6" t="s">
        <v>361</v>
      </c>
      <c r="C2154" s="160" t="s">
        <v>4321</v>
      </c>
      <c r="D2154" s="160" t="s">
        <v>359</v>
      </c>
      <c r="E2154" s="160" t="s">
        <v>4322</v>
      </c>
      <c r="F2154" s="169" t="s">
        <v>4662</v>
      </c>
      <c r="G2154" s="3" t="s">
        <v>11450</v>
      </c>
      <c r="H2154" s="54">
        <v>0</v>
      </c>
      <c r="I2154" s="16">
        <v>470000000</v>
      </c>
      <c r="J2154" s="56" t="s">
        <v>229</v>
      </c>
      <c r="K2154" s="6" t="s">
        <v>12372</v>
      </c>
      <c r="L2154" s="17" t="s">
        <v>11411</v>
      </c>
      <c r="M2154" s="162" t="s">
        <v>230</v>
      </c>
      <c r="N2154" s="15" t="s">
        <v>524</v>
      </c>
      <c r="O2154" s="6" t="s">
        <v>4568</v>
      </c>
      <c r="P2154" s="58" t="s">
        <v>241</v>
      </c>
      <c r="Q2154" s="6" t="s">
        <v>234</v>
      </c>
      <c r="R2154" s="4">
        <v>100</v>
      </c>
      <c r="S2154" s="74">
        <v>3650</v>
      </c>
      <c r="T2154" s="4">
        <v>0</v>
      </c>
      <c r="U2154" s="4">
        <f t="shared" si="68"/>
        <v>0</v>
      </c>
      <c r="V2154" s="3"/>
      <c r="W2154" s="3">
        <v>2014</v>
      </c>
      <c r="X2154" s="3">
        <v>11</v>
      </c>
    </row>
    <row r="2155" spans="1:24" ht="89.25">
      <c r="A2155" s="3" t="s">
        <v>15563</v>
      </c>
      <c r="B2155" s="6" t="s">
        <v>361</v>
      </c>
      <c r="C2155" s="160" t="s">
        <v>4321</v>
      </c>
      <c r="D2155" s="160" t="s">
        <v>359</v>
      </c>
      <c r="E2155" s="160" t="s">
        <v>4322</v>
      </c>
      <c r="F2155" s="169" t="s">
        <v>4662</v>
      </c>
      <c r="G2155" s="3" t="s">
        <v>11450</v>
      </c>
      <c r="H2155" s="54">
        <v>0</v>
      </c>
      <c r="I2155" s="16">
        <v>470000000</v>
      </c>
      <c r="J2155" s="56" t="s">
        <v>229</v>
      </c>
      <c r="K2155" s="6" t="s">
        <v>220</v>
      </c>
      <c r="L2155" s="17" t="s">
        <v>11411</v>
      </c>
      <c r="M2155" s="162" t="s">
        <v>230</v>
      </c>
      <c r="N2155" s="15" t="s">
        <v>524</v>
      </c>
      <c r="O2155" s="6" t="s">
        <v>4568</v>
      </c>
      <c r="P2155" s="58" t="s">
        <v>241</v>
      </c>
      <c r="Q2155" s="6" t="s">
        <v>234</v>
      </c>
      <c r="R2155" s="4">
        <v>100</v>
      </c>
      <c r="S2155" s="74">
        <v>3650</v>
      </c>
      <c r="T2155" s="4">
        <f>R2155*S2155</f>
        <v>365000</v>
      </c>
      <c r="U2155" s="4">
        <f t="shared" si="68"/>
        <v>408800.00000000006</v>
      </c>
      <c r="V2155" s="3"/>
      <c r="W2155" s="3">
        <v>2014</v>
      </c>
      <c r="X2155" s="3"/>
    </row>
    <row r="2156" spans="1:24" ht="89.25">
      <c r="A2156" s="3" t="s">
        <v>1366</v>
      </c>
      <c r="B2156" s="6" t="s">
        <v>361</v>
      </c>
      <c r="C2156" s="160" t="s">
        <v>11463</v>
      </c>
      <c r="D2156" s="160" t="s">
        <v>454</v>
      </c>
      <c r="E2156" s="160" t="s">
        <v>11464</v>
      </c>
      <c r="F2156" s="6" t="s">
        <v>4663</v>
      </c>
      <c r="G2156" s="3" t="s">
        <v>11449</v>
      </c>
      <c r="H2156" s="54">
        <v>0</v>
      </c>
      <c r="I2156" s="55">
        <v>470000000</v>
      </c>
      <c r="J2156" s="56" t="s">
        <v>229</v>
      </c>
      <c r="K2156" s="6" t="s">
        <v>516</v>
      </c>
      <c r="L2156" s="16" t="s">
        <v>4570</v>
      </c>
      <c r="M2156" s="162" t="s">
        <v>230</v>
      </c>
      <c r="N2156" s="15" t="s">
        <v>525</v>
      </c>
      <c r="O2156" s="6" t="s">
        <v>4568</v>
      </c>
      <c r="P2156" s="58" t="s">
        <v>241</v>
      </c>
      <c r="Q2156" s="6" t="s">
        <v>234</v>
      </c>
      <c r="R2156" s="3">
        <v>100</v>
      </c>
      <c r="S2156" s="1">
        <v>60860</v>
      </c>
      <c r="T2156" s="4">
        <v>0</v>
      </c>
      <c r="U2156" s="4">
        <f t="shared" si="68"/>
        <v>0</v>
      </c>
      <c r="V2156" s="3"/>
      <c r="W2156" s="3">
        <v>2014</v>
      </c>
      <c r="X2156" s="3">
        <v>11.12</v>
      </c>
    </row>
    <row r="2157" spans="1:24" ht="89.25">
      <c r="A2157" s="3" t="s">
        <v>12405</v>
      </c>
      <c r="B2157" s="6" t="s">
        <v>361</v>
      </c>
      <c r="C2157" s="160" t="s">
        <v>11463</v>
      </c>
      <c r="D2157" s="160" t="s">
        <v>454</v>
      </c>
      <c r="E2157" s="160" t="s">
        <v>11464</v>
      </c>
      <c r="F2157" s="6" t="s">
        <v>4663</v>
      </c>
      <c r="G2157" s="3" t="s">
        <v>11449</v>
      </c>
      <c r="H2157" s="54">
        <v>0</v>
      </c>
      <c r="I2157" s="55">
        <v>470000000</v>
      </c>
      <c r="J2157" s="56" t="s">
        <v>229</v>
      </c>
      <c r="K2157" s="6" t="s">
        <v>12372</v>
      </c>
      <c r="L2157" s="17" t="s">
        <v>11411</v>
      </c>
      <c r="M2157" s="162" t="s">
        <v>230</v>
      </c>
      <c r="N2157" s="15" t="s">
        <v>525</v>
      </c>
      <c r="O2157" s="6" t="s">
        <v>4568</v>
      </c>
      <c r="P2157" s="58" t="s">
        <v>241</v>
      </c>
      <c r="Q2157" s="6" t="s">
        <v>234</v>
      </c>
      <c r="R2157" s="3">
        <v>100</v>
      </c>
      <c r="S2157" s="1">
        <v>60860</v>
      </c>
      <c r="T2157" s="4">
        <v>0</v>
      </c>
      <c r="U2157" s="4">
        <f t="shared" si="68"/>
        <v>0</v>
      </c>
      <c r="V2157" s="3"/>
      <c r="W2157" s="3">
        <v>2014</v>
      </c>
      <c r="X2157" s="3" t="s">
        <v>14780</v>
      </c>
    </row>
    <row r="2158" spans="1:24" ht="89.25">
      <c r="A2158" s="3" t="s">
        <v>14919</v>
      </c>
      <c r="B2158" s="6" t="s">
        <v>361</v>
      </c>
      <c r="C2158" s="160" t="s">
        <v>11463</v>
      </c>
      <c r="D2158" s="160" t="s">
        <v>454</v>
      </c>
      <c r="E2158" s="160" t="s">
        <v>11464</v>
      </c>
      <c r="F2158" s="6" t="s">
        <v>4663</v>
      </c>
      <c r="G2158" s="3" t="s">
        <v>11449</v>
      </c>
      <c r="H2158" s="54">
        <v>0</v>
      </c>
      <c r="I2158" s="55">
        <v>470000000</v>
      </c>
      <c r="J2158" s="56" t="s">
        <v>229</v>
      </c>
      <c r="K2158" s="6" t="s">
        <v>14920</v>
      </c>
      <c r="L2158" s="17" t="s">
        <v>11411</v>
      </c>
      <c r="M2158" s="162" t="s">
        <v>230</v>
      </c>
      <c r="N2158" s="15" t="s">
        <v>525</v>
      </c>
      <c r="O2158" s="6" t="s">
        <v>4568</v>
      </c>
      <c r="P2158" s="58" t="s">
        <v>241</v>
      </c>
      <c r="Q2158" s="6" t="s">
        <v>234</v>
      </c>
      <c r="R2158" s="3">
        <v>75</v>
      </c>
      <c r="S2158" s="1">
        <v>60860</v>
      </c>
      <c r="T2158" s="4">
        <v>0</v>
      </c>
      <c r="U2158" s="4">
        <f t="shared" si="68"/>
        <v>0</v>
      </c>
      <c r="V2158" s="3"/>
      <c r="W2158" s="3">
        <v>2014</v>
      </c>
      <c r="X2158" s="3" t="s">
        <v>17321</v>
      </c>
    </row>
    <row r="2159" spans="1:24" ht="89.25">
      <c r="A2159" s="3" t="s">
        <v>17555</v>
      </c>
      <c r="B2159" s="6" t="s">
        <v>361</v>
      </c>
      <c r="C2159" s="160" t="s">
        <v>11463</v>
      </c>
      <c r="D2159" s="160" t="s">
        <v>454</v>
      </c>
      <c r="E2159" s="160" t="s">
        <v>11464</v>
      </c>
      <c r="F2159" s="6" t="s">
        <v>4663</v>
      </c>
      <c r="G2159" s="3" t="s">
        <v>11449</v>
      </c>
      <c r="H2159" s="54">
        <v>0</v>
      </c>
      <c r="I2159" s="55">
        <v>470000000</v>
      </c>
      <c r="J2159" s="56" t="s">
        <v>229</v>
      </c>
      <c r="K2159" s="6" t="s">
        <v>222</v>
      </c>
      <c r="L2159" s="17" t="s">
        <v>11411</v>
      </c>
      <c r="M2159" s="162" t="s">
        <v>230</v>
      </c>
      <c r="N2159" s="15" t="s">
        <v>521</v>
      </c>
      <c r="O2159" s="6" t="s">
        <v>4568</v>
      </c>
      <c r="P2159" s="58" t="s">
        <v>241</v>
      </c>
      <c r="Q2159" s="6" t="s">
        <v>234</v>
      </c>
      <c r="R2159" s="3">
        <v>50</v>
      </c>
      <c r="S2159" s="1">
        <v>89804</v>
      </c>
      <c r="T2159" s="4">
        <v>0</v>
      </c>
      <c r="U2159" s="4">
        <f t="shared" si="68"/>
        <v>0</v>
      </c>
      <c r="V2159" s="3"/>
      <c r="W2159" s="3">
        <v>2014</v>
      </c>
      <c r="X2159" s="3" t="s">
        <v>12076</v>
      </c>
    </row>
    <row r="2160" spans="1:24" ht="89.25">
      <c r="A2160" s="3" t="s">
        <v>1367</v>
      </c>
      <c r="B2160" s="6" t="s">
        <v>361</v>
      </c>
      <c r="C2160" s="64" t="s">
        <v>4323</v>
      </c>
      <c r="D2160" s="6" t="s">
        <v>454</v>
      </c>
      <c r="E2160" s="6" t="s">
        <v>4324</v>
      </c>
      <c r="F2160" s="6" t="s">
        <v>4664</v>
      </c>
      <c r="G2160" s="3" t="s">
        <v>11449</v>
      </c>
      <c r="H2160" s="54">
        <v>0</v>
      </c>
      <c r="I2160" s="16">
        <v>470000000</v>
      </c>
      <c r="J2160" s="56" t="s">
        <v>229</v>
      </c>
      <c r="K2160" s="6" t="s">
        <v>516</v>
      </c>
      <c r="L2160" s="16" t="s">
        <v>4567</v>
      </c>
      <c r="M2160" s="162" t="s">
        <v>230</v>
      </c>
      <c r="N2160" s="15" t="s">
        <v>525</v>
      </c>
      <c r="O2160" s="6" t="s">
        <v>4568</v>
      </c>
      <c r="P2160" s="58" t="s">
        <v>241</v>
      </c>
      <c r="Q2160" s="6" t="s">
        <v>234</v>
      </c>
      <c r="R2160" s="1">
        <v>10</v>
      </c>
      <c r="S2160" s="74">
        <v>35546</v>
      </c>
      <c r="T2160" s="4">
        <v>0</v>
      </c>
      <c r="U2160" s="4">
        <f t="shared" si="68"/>
        <v>0</v>
      </c>
      <c r="V2160" s="3"/>
      <c r="W2160" s="3">
        <v>2014</v>
      </c>
      <c r="X2160" s="3">
        <v>11.12</v>
      </c>
    </row>
    <row r="2161" spans="1:24" ht="89.25">
      <c r="A2161" s="3" t="s">
        <v>12406</v>
      </c>
      <c r="B2161" s="6" t="s">
        <v>361</v>
      </c>
      <c r="C2161" s="64" t="s">
        <v>4323</v>
      </c>
      <c r="D2161" s="6" t="s">
        <v>454</v>
      </c>
      <c r="E2161" s="6" t="s">
        <v>4324</v>
      </c>
      <c r="F2161" s="6" t="s">
        <v>4664</v>
      </c>
      <c r="G2161" s="3" t="s">
        <v>11449</v>
      </c>
      <c r="H2161" s="54">
        <v>0</v>
      </c>
      <c r="I2161" s="16">
        <v>470000000</v>
      </c>
      <c r="J2161" s="56" t="s">
        <v>229</v>
      </c>
      <c r="K2161" s="6" t="s">
        <v>12372</v>
      </c>
      <c r="L2161" s="17" t="s">
        <v>11411</v>
      </c>
      <c r="M2161" s="162" t="s">
        <v>230</v>
      </c>
      <c r="N2161" s="15" t="s">
        <v>525</v>
      </c>
      <c r="O2161" s="6" t="s">
        <v>4568</v>
      </c>
      <c r="P2161" s="58" t="s">
        <v>241</v>
      </c>
      <c r="Q2161" s="6" t="s">
        <v>234</v>
      </c>
      <c r="R2161" s="1">
        <v>10</v>
      </c>
      <c r="S2161" s="74">
        <v>35546</v>
      </c>
      <c r="T2161" s="4">
        <v>0</v>
      </c>
      <c r="U2161" s="4">
        <f t="shared" si="68"/>
        <v>0</v>
      </c>
      <c r="V2161" s="3"/>
      <c r="W2161" s="3">
        <v>2014</v>
      </c>
      <c r="X2161" s="3">
        <v>11</v>
      </c>
    </row>
    <row r="2162" spans="1:24" ht="89.25">
      <c r="A2162" s="3" t="s">
        <v>15564</v>
      </c>
      <c r="B2162" s="6" t="s">
        <v>361</v>
      </c>
      <c r="C2162" s="64" t="s">
        <v>4323</v>
      </c>
      <c r="D2162" s="6" t="s">
        <v>454</v>
      </c>
      <c r="E2162" s="6" t="s">
        <v>4324</v>
      </c>
      <c r="F2162" s="6" t="s">
        <v>4664</v>
      </c>
      <c r="G2162" s="3" t="s">
        <v>11449</v>
      </c>
      <c r="H2162" s="54">
        <v>0</v>
      </c>
      <c r="I2162" s="16">
        <v>470000000</v>
      </c>
      <c r="J2162" s="56" t="s">
        <v>229</v>
      </c>
      <c r="K2162" s="6" t="s">
        <v>220</v>
      </c>
      <c r="L2162" s="17" t="s">
        <v>11411</v>
      </c>
      <c r="M2162" s="162" t="s">
        <v>230</v>
      </c>
      <c r="N2162" s="15" t="s">
        <v>525</v>
      </c>
      <c r="O2162" s="6" t="s">
        <v>4568</v>
      </c>
      <c r="P2162" s="58" t="s">
        <v>241</v>
      </c>
      <c r="Q2162" s="6" t="s">
        <v>234</v>
      </c>
      <c r="R2162" s="1">
        <v>10</v>
      </c>
      <c r="S2162" s="74">
        <v>35546</v>
      </c>
      <c r="T2162" s="4">
        <v>0</v>
      </c>
      <c r="U2162" s="4">
        <f t="shared" si="68"/>
        <v>0</v>
      </c>
      <c r="V2162" s="3"/>
      <c r="W2162" s="3">
        <v>2014</v>
      </c>
      <c r="X2162" s="3">
        <v>11.14</v>
      </c>
    </row>
    <row r="2163" spans="1:24" ht="89.25">
      <c r="A2163" s="3" t="s">
        <v>17556</v>
      </c>
      <c r="B2163" s="6" t="s">
        <v>361</v>
      </c>
      <c r="C2163" s="64" t="s">
        <v>4323</v>
      </c>
      <c r="D2163" s="6" t="s">
        <v>454</v>
      </c>
      <c r="E2163" s="6" t="s">
        <v>4324</v>
      </c>
      <c r="F2163" s="6" t="s">
        <v>4664</v>
      </c>
      <c r="G2163" s="3" t="s">
        <v>11449</v>
      </c>
      <c r="H2163" s="54">
        <v>0</v>
      </c>
      <c r="I2163" s="16">
        <v>470000000</v>
      </c>
      <c r="J2163" s="56" t="s">
        <v>229</v>
      </c>
      <c r="K2163" s="6" t="s">
        <v>222</v>
      </c>
      <c r="L2163" s="17" t="s">
        <v>11411</v>
      </c>
      <c r="M2163" s="162" t="s">
        <v>230</v>
      </c>
      <c r="N2163" s="15" t="s">
        <v>521</v>
      </c>
      <c r="O2163" s="6" t="s">
        <v>4568</v>
      </c>
      <c r="P2163" s="58" t="s">
        <v>241</v>
      </c>
      <c r="Q2163" s="6" t="s">
        <v>234</v>
      </c>
      <c r="R2163" s="1">
        <v>10</v>
      </c>
      <c r="S2163" s="74">
        <v>35546</v>
      </c>
      <c r="T2163" s="4">
        <v>0</v>
      </c>
      <c r="U2163" s="4">
        <f t="shared" si="68"/>
        <v>0</v>
      </c>
      <c r="V2163" s="3"/>
      <c r="W2163" s="3">
        <v>2014</v>
      </c>
      <c r="X2163" s="3">
        <v>11</v>
      </c>
    </row>
    <row r="2164" spans="1:24" ht="89.25">
      <c r="A2164" s="3" t="s">
        <v>19065</v>
      </c>
      <c r="B2164" s="6" t="s">
        <v>361</v>
      </c>
      <c r="C2164" s="64" t="s">
        <v>4323</v>
      </c>
      <c r="D2164" s="6" t="s">
        <v>454</v>
      </c>
      <c r="E2164" s="6" t="s">
        <v>4324</v>
      </c>
      <c r="F2164" s="6" t="s">
        <v>4664</v>
      </c>
      <c r="G2164" s="3" t="s">
        <v>11449</v>
      </c>
      <c r="H2164" s="54">
        <v>0</v>
      </c>
      <c r="I2164" s="16">
        <v>470000000</v>
      </c>
      <c r="J2164" s="56" t="s">
        <v>229</v>
      </c>
      <c r="K2164" s="6" t="s">
        <v>18824</v>
      </c>
      <c r="L2164" s="17" t="s">
        <v>11411</v>
      </c>
      <c r="M2164" s="162" t="s">
        <v>230</v>
      </c>
      <c r="N2164" s="15" t="s">
        <v>521</v>
      </c>
      <c r="O2164" s="6" t="s">
        <v>4568</v>
      </c>
      <c r="P2164" s="58" t="s">
        <v>241</v>
      </c>
      <c r="Q2164" s="6" t="s">
        <v>234</v>
      </c>
      <c r="R2164" s="1">
        <v>10</v>
      </c>
      <c r="S2164" s="74">
        <v>35546</v>
      </c>
      <c r="T2164" s="4">
        <f>R2164*S2164</f>
        <v>355460</v>
      </c>
      <c r="U2164" s="4">
        <f t="shared" ref="U2164" si="69">T2164*1.12</f>
        <v>398115.2</v>
      </c>
      <c r="V2164" s="3"/>
      <c r="W2164" s="3">
        <v>2014</v>
      </c>
      <c r="X2164" s="3"/>
    </row>
    <row r="2165" spans="1:24" ht="89.25">
      <c r="A2165" s="3" t="s">
        <v>1368</v>
      </c>
      <c r="B2165" s="6" t="s">
        <v>361</v>
      </c>
      <c r="C2165" s="64" t="s">
        <v>4325</v>
      </c>
      <c r="D2165" s="6" t="s">
        <v>3277</v>
      </c>
      <c r="E2165" s="6" t="s">
        <v>4326</v>
      </c>
      <c r="F2165" s="6" t="s">
        <v>4665</v>
      </c>
      <c r="G2165" s="3" t="s">
        <v>11449</v>
      </c>
      <c r="H2165" s="54">
        <v>0</v>
      </c>
      <c r="I2165" s="55">
        <v>470000000</v>
      </c>
      <c r="J2165" s="56" t="s">
        <v>229</v>
      </c>
      <c r="K2165" s="6" t="s">
        <v>516</v>
      </c>
      <c r="L2165" s="16" t="s">
        <v>4570</v>
      </c>
      <c r="M2165" s="162" t="s">
        <v>230</v>
      </c>
      <c r="N2165" s="15" t="s">
        <v>525</v>
      </c>
      <c r="O2165" s="6" t="s">
        <v>4568</v>
      </c>
      <c r="P2165" s="58" t="s">
        <v>241</v>
      </c>
      <c r="Q2165" s="6" t="s">
        <v>234</v>
      </c>
      <c r="R2165" s="3">
        <v>90</v>
      </c>
      <c r="S2165" s="1">
        <v>15434</v>
      </c>
      <c r="T2165" s="4">
        <v>0</v>
      </c>
      <c r="U2165" s="4">
        <f t="shared" si="68"/>
        <v>0</v>
      </c>
      <c r="V2165" s="3"/>
      <c r="W2165" s="3">
        <v>2014</v>
      </c>
      <c r="X2165" s="3">
        <v>11.12</v>
      </c>
    </row>
    <row r="2166" spans="1:24" ht="89.25">
      <c r="A2166" s="3" t="s">
        <v>12407</v>
      </c>
      <c r="B2166" s="6" t="s">
        <v>361</v>
      </c>
      <c r="C2166" s="64" t="s">
        <v>4325</v>
      </c>
      <c r="D2166" s="6" t="s">
        <v>3277</v>
      </c>
      <c r="E2166" s="6" t="s">
        <v>4326</v>
      </c>
      <c r="F2166" s="6" t="s">
        <v>4665</v>
      </c>
      <c r="G2166" s="3" t="s">
        <v>11449</v>
      </c>
      <c r="H2166" s="54">
        <v>0</v>
      </c>
      <c r="I2166" s="55">
        <v>470000000</v>
      </c>
      <c r="J2166" s="56" t="s">
        <v>229</v>
      </c>
      <c r="K2166" s="6" t="s">
        <v>12372</v>
      </c>
      <c r="L2166" s="17" t="s">
        <v>11411</v>
      </c>
      <c r="M2166" s="162" t="s">
        <v>230</v>
      </c>
      <c r="N2166" s="15" t="s">
        <v>525</v>
      </c>
      <c r="O2166" s="6" t="s">
        <v>4568</v>
      </c>
      <c r="P2166" s="58" t="s">
        <v>241</v>
      </c>
      <c r="Q2166" s="6" t="s">
        <v>234</v>
      </c>
      <c r="R2166" s="3">
        <v>90</v>
      </c>
      <c r="S2166" s="1">
        <v>15434</v>
      </c>
      <c r="T2166" s="4">
        <v>0</v>
      </c>
      <c r="U2166" s="4">
        <f t="shared" si="68"/>
        <v>0</v>
      </c>
      <c r="V2166" s="3"/>
      <c r="W2166" s="3">
        <v>2014</v>
      </c>
      <c r="X2166" s="3">
        <v>11</v>
      </c>
    </row>
    <row r="2167" spans="1:24" ht="89.25">
      <c r="A2167" s="3" t="s">
        <v>15565</v>
      </c>
      <c r="B2167" s="6" t="s">
        <v>361</v>
      </c>
      <c r="C2167" s="64" t="s">
        <v>4325</v>
      </c>
      <c r="D2167" s="6" t="s">
        <v>3277</v>
      </c>
      <c r="E2167" s="6" t="s">
        <v>4326</v>
      </c>
      <c r="F2167" s="6" t="s">
        <v>4665</v>
      </c>
      <c r="G2167" s="3" t="s">
        <v>11449</v>
      </c>
      <c r="H2167" s="54">
        <v>0</v>
      </c>
      <c r="I2167" s="55">
        <v>470000000</v>
      </c>
      <c r="J2167" s="56" t="s">
        <v>229</v>
      </c>
      <c r="K2167" s="6" t="s">
        <v>220</v>
      </c>
      <c r="L2167" s="17" t="s">
        <v>11411</v>
      </c>
      <c r="M2167" s="162" t="s">
        <v>230</v>
      </c>
      <c r="N2167" s="15" t="s">
        <v>525</v>
      </c>
      <c r="O2167" s="6" t="s">
        <v>4568</v>
      </c>
      <c r="P2167" s="58" t="s">
        <v>241</v>
      </c>
      <c r="Q2167" s="6" t="s">
        <v>234</v>
      </c>
      <c r="R2167" s="3">
        <v>90</v>
      </c>
      <c r="S2167" s="1">
        <v>15434</v>
      </c>
      <c r="T2167" s="4">
        <v>0</v>
      </c>
      <c r="U2167" s="4">
        <f t="shared" si="68"/>
        <v>0</v>
      </c>
      <c r="V2167" s="3"/>
      <c r="W2167" s="3">
        <v>2014</v>
      </c>
      <c r="X2167" s="3" t="s">
        <v>17317</v>
      </c>
    </row>
    <row r="2168" spans="1:24" ht="89.25">
      <c r="A2168" s="3" t="s">
        <v>17557</v>
      </c>
      <c r="B2168" s="6" t="s">
        <v>361</v>
      </c>
      <c r="C2168" s="64" t="s">
        <v>4325</v>
      </c>
      <c r="D2168" s="6" t="s">
        <v>3277</v>
      </c>
      <c r="E2168" s="6" t="s">
        <v>4326</v>
      </c>
      <c r="F2168" s="6" t="s">
        <v>4665</v>
      </c>
      <c r="G2168" s="3" t="s">
        <v>11449</v>
      </c>
      <c r="H2168" s="54">
        <v>0</v>
      </c>
      <c r="I2168" s="55">
        <v>470000000</v>
      </c>
      <c r="J2168" s="56" t="s">
        <v>229</v>
      </c>
      <c r="K2168" s="6" t="s">
        <v>222</v>
      </c>
      <c r="L2168" s="17" t="s">
        <v>11411</v>
      </c>
      <c r="M2168" s="162" t="s">
        <v>230</v>
      </c>
      <c r="N2168" s="15" t="s">
        <v>521</v>
      </c>
      <c r="O2168" s="6" t="s">
        <v>4568</v>
      </c>
      <c r="P2168" s="58" t="s">
        <v>241</v>
      </c>
      <c r="Q2168" s="6" t="s">
        <v>234</v>
      </c>
      <c r="R2168" s="3">
        <v>50</v>
      </c>
      <c r="S2168" s="1">
        <v>15434</v>
      </c>
      <c r="T2168" s="4">
        <f>R2168*S2168</f>
        <v>771700</v>
      </c>
      <c r="U2168" s="4">
        <f t="shared" si="68"/>
        <v>864304.00000000012</v>
      </c>
      <c r="V2168" s="3"/>
      <c r="W2168" s="3">
        <v>2014</v>
      </c>
      <c r="X2168" s="3"/>
    </row>
    <row r="2169" spans="1:24" ht="89.25">
      <c r="A2169" s="3" t="s">
        <v>1369</v>
      </c>
      <c r="B2169" s="6" t="s">
        <v>361</v>
      </c>
      <c r="C2169" s="64" t="s">
        <v>4327</v>
      </c>
      <c r="D2169" s="6" t="s">
        <v>454</v>
      </c>
      <c r="E2169" s="6" t="s">
        <v>4328</v>
      </c>
      <c r="F2169" s="6" t="s">
        <v>4666</v>
      </c>
      <c r="G2169" s="3" t="s">
        <v>11449</v>
      </c>
      <c r="H2169" s="54">
        <v>0</v>
      </c>
      <c r="I2169" s="16">
        <v>470000000</v>
      </c>
      <c r="J2169" s="56" t="s">
        <v>229</v>
      </c>
      <c r="K2169" s="6" t="s">
        <v>516</v>
      </c>
      <c r="L2169" s="16" t="s">
        <v>4567</v>
      </c>
      <c r="M2169" s="162" t="s">
        <v>230</v>
      </c>
      <c r="N2169" s="15" t="s">
        <v>525</v>
      </c>
      <c r="O2169" s="6" t="s">
        <v>4568</v>
      </c>
      <c r="P2169" s="58" t="s">
        <v>241</v>
      </c>
      <c r="Q2169" s="6" t="s">
        <v>234</v>
      </c>
      <c r="R2169" s="4">
        <v>186</v>
      </c>
      <c r="S2169" s="74">
        <v>37145</v>
      </c>
      <c r="T2169" s="4">
        <v>0</v>
      </c>
      <c r="U2169" s="4">
        <f t="shared" si="68"/>
        <v>0</v>
      </c>
      <c r="V2169" s="3"/>
      <c r="W2169" s="3">
        <v>2014</v>
      </c>
      <c r="X2169" s="3">
        <v>11.12</v>
      </c>
    </row>
    <row r="2170" spans="1:24" ht="89.25">
      <c r="A2170" s="3" t="s">
        <v>12408</v>
      </c>
      <c r="B2170" s="6" t="s">
        <v>361</v>
      </c>
      <c r="C2170" s="64" t="s">
        <v>4327</v>
      </c>
      <c r="D2170" s="6" t="s">
        <v>454</v>
      </c>
      <c r="E2170" s="6" t="s">
        <v>4328</v>
      </c>
      <c r="F2170" s="6" t="s">
        <v>4666</v>
      </c>
      <c r="G2170" s="3" t="s">
        <v>11449</v>
      </c>
      <c r="H2170" s="54">
        <v>0</v>
      </c>
      <c r="I2170" s="16">
        <v>470000000</v>
      </c>
      <c r="J2170" s="56" t="s">
        <v>229</v>
      </c>
      <c r="K2170" s="6" t="s">
        <v>12372</v>
      </c>
      <c r="L2170" s="17" t="s">
        <v>11411</v>
      </c>
      <c r="M2170" s="162" t="s">
        <v>230</v>
      </c>
      <c r="N2170" s="15" t="s">
        <v>525</v>
      </c>
      <c r="O2170" s="6" t="s">
        <v>4568</v>
      </c>
      <c r="P2170" s="58" t="s">
        <v>241</v>
      </c>
      <c r="Q2170" s="6" t="s">
        <v>234</v>
      </c>
      <c r="R2170" s="4">
        <v>186</v>
      </c>
      <c r="S2170" s="74">
        <v>37145</v>
      </c>
      <c r="T2170" s="4">
        <v>0</v>
      </c>
      <c r="U2170" s="4">
        <f t="shared" si="68"/>
        <v>0</v>
      </c>
      <c r="V2170" s="3"/>
      <c r="W2170" s="3">
        <v>2014</v>
      </c>
      <c r="X2170" s="3" t="s">
        <v>14780</v>
      </c>
    </row>
    <row r="2171" spans="1:24" ht="89.25">
      <c r="A2171" s="3" t="s">
        <v>14921</v>
      </c>
      <c r="B2171" s="6" t="s">
        <v>361</v>
      </c>
      <c r="C2171" s="64" t="s">
        <v>4327</v>
      </c>
      <c r="D2171" s="6" t="s">
        <v>454</v>
      </c>
      <c r="E2171" s="6" t="s">
        <v>4328</v>
      </c>
      <c r="F2171" s="6" t="s">
        <v>4666</v>
      </c>
      <c r="G2171" s="3" t="s">
        <v>11449</v>
      </c>
      <c r="H2171" s="54">
        <v>0</v>
      </c>
      <c r="I2171" s="16">
        <v>470000000</v>
      </c>
      <c r="J2171" s="56" t="s">
        <v>229</v>
      </c>
      <c r="K2171" s="6" t="s">
        <v>220</v>
      </c>
      <c r="L2171" s="17" t="s">
        <v>11411</v>
      </c>
      <c r="M2171" s="162" t="s">
        <v>230</v>
      </c>
      <c r="N2171" s="15" t="s">
        <v>525</v>
      </c>
      <c r="O2171" s="6" t="s">
        <v>4568</v>
      </c>
      <c r="P2171" s="58" t="s">
        <v>241</v>
      </c>
      <c r="Q2171" s="6" t="s">
        <v>234</v>
      </c>
      <c r="R2171" s="4">
        <v>100</v>
      </c>
      <c r="S2171" s="74">
        <v>37145</v>
      </c>
      <c r="T2171" s="4">
        <v>0</v>
      </c>
      <c r="U2171" s="4">
        <f t="shared" si="68"/>
        <v>0</v>
      </c>
      <c r="V2171" s="3"/>
      <c r="W2171" s="3">
        <v>2014</v>
      </c>
      <c r="X2171" s="3" t="s">
        <v>17317</v>
      </c>
    </row>
    <row r="2172" spans="1:24" ht="89.25">
      <c r="A2172" s="3" t="s">
        <v>17558</v>
      </c>
      <c r="B2172" s="6" t="s">
        <v>361</v>
      </c>
      <c r="C2172" s="64" t="s">
        <v>4327</v>
      </c>
      <c r="D2172" s="6" t="s">
        <v>454</v>
      </c>
      <c r="E2172" s="6" t="s">
        <v>4328</v>
      </c>
      <c r="F2172" s="6" t="s">
        <v>4666</v>
      </c>
      <c r="G2172" s="3" t="s">
        <v>11449</v>
      </c>
      <c r="H2172" s="54">
        <v>0</v>
      </c>
      <c r="I2172" s="16">
        <v>470000000</v>
      </c>
      <c r="J2172" s="56" t="s">
        <v>229</v>
      </c>
      <c r="K2172" s="6" t="s">
        <v>222</v>
      </c>
      <c r="L2172" s="17" t="s">
        <v>11411</v>
      </c>
      <c r="M2172" s="162" t="s">
        <v>230</v>
      </c>
      <c r="N2172" s="15" t="s">
        <v>521</v>
      </c>
      <c r="O2172" s="6" t="s">
        <v>4568</v>
      </c>
      <c r="P2172" s="58" t="s">
        <v>241</v>
      </c>
      <c r="Q2172" s="6" t="s">
        <v>234</v>
      </c>
      <c r="R2172" s="4">
        <v>50</v>
      </c>
      <c r="S2172" s="74">
        <v>37145</v>
      </c>
      <c r="T2172" s="4">
        <f>R2172*S2172</f>
        <v>1857250</v>
      </c>
      <c r="U2172" s="4">
        <f t="shared" si="68"/>
        <v>2080120.0000000002</v>
      </c>
      <c r="V2172" s="3"/>
      <c r="W2172" s="3">
        <v>2014</v>
      </c>
      <c r="X2172" s="3"/>
    </row>
    <row r="2173" spans="1:24" ht="89.25">
      <c r="A2173" s="3" t="s">
        <v>1370</v>
      </c>
      <c r="B2173" s="6" t="s">
        <v>361</v>
      </c>
      <c r="C2173" s="6" t="s">
        <v>4329</v>
      </c>
      <c r="D2173" s="6" t="s">
        <v>4330</v>
      </c>
      <c r="E2173" s="6" t="s">
        <v>4331</v>
      </c>
      <c r="F2173" s="6" t="s">
        <v>4667</v>
      </c>
      <c r="G2173" s="3" t="s">
        <v>11449</v>
      </c>
      <c r="H2173" s="54">
        <v>0</v>
      </c>
      <c r="I2173" s="55">
        <v>470000000</v>
      </c>
      <c r="J2173" s="56" t="s">
        <v>229</v>
      </c>
      <c r="K2173" s="6" t="s">
        <v>519</v>
      </c>
      <c r="L2173" s="16" t="s">
        <v>4570</v>
      </c>
      <c r="M2173" s="162" t="s">
        <v>230</v>
      </c>
      <c r="N2173" s="15" t="s">
        <v>521</v>
      </c>
      <c r="O2173" s="6" t="s">
        <v>4568</v>
      </c>
      <c r="P2173" s="58" t="s">
        <v>241</v>
      </c>
      <c r="Q2173" s="6" t="s">
        <v>234</v>
      </c>
      <c r="R2173" s="3">
        <v>6</v>
      </c>
      <c r="S2173" s="1">
        <v>75452</v>
      </c>
      <c r="T2173" s="4">
        <v>0</v>
      </c>
      <c r="U2173" s="4">
        <f t="shared" si="68"/>
        <v>0</v>
      </c>
      <c r="V2173" s="3"/>
      <c r="W2173" s="3">
        <v>2014</v>
      </c>
      <c r="X2173" s="3">
        <v>7.22</v>
      </c>
    </row>
    <row r="2174" spans="1:24" ht="89.25">
      <c r="A2174" s="3" t="s">
        <v>14012</v>
      </c>
      <c r="B2174" s="6" t="s">
        <v>361</v>
      </c>
      <c r="C2174" s="6" t="s">
        <v>4329</v>
      </c>
      <c r="D2174" s="6" t="s">
        <v>4330</v>
      </c>
      <c r="E2174" s="6" t="s">
        <v>4331</v>
      </c>
      <c r="F2174" s="6" t="s">
        <v>4667</v>
      </c>
      <c r="G2174" s="3" t="s">
        <v>11450</v>
      </c>
      <c r="H2174" s="54">
        <v>0</v>
      </c>
      <c r="I2174" s="55">
        <v>470000000</v>
      </c>
      <c r="J2174" s="56" t="s">
        <v>229</v>
      </c>
      <c r="K2174" s="6" t="s">
        <v>519</v>
      </c>
      <c r="L2174" s="16" t="s">
        <v>4570</v>
      </c>
      <c r="M2174" s="162" t="s">
        <v>230</v>
      </c>
      <c r="N2174" s="15" t="s">
        <v>521</v>
      </c>
      <c r="O2174" s="6" t="s">
        <v>4568</v>
      </c>
      <c r="P2174" s="58" t="s">
        <v>241</v>
      </c>
      <c r="Q2174" s="6" t="s">
        <v>234</v>
      </c>
      <c r="R2174" s="3">
        <v>6</v>
      </c>
      <c r="S2174" s="1">
        <v>75452</v>
      </c>
      <c r="T2174" s="4">
        <v>0</v>
      </c>
      <c r="U2174" s="4">
        <f t="shared" si="68"/>
        <v>0</v>
      </c>
      <c r="V2174" s="3" t="s">
        <v>362</v>
      </c>
      <c r="W2174" s="3">
        <v>2014</v>
      </c>
      <c r="X2174" s="3">
        <v>11</v>
      </c>
    </row>
    <row r="2175" spans="1:24" ht="89.25">
      <c r="A2175" s="3" t="s">
        <v>15566</v>
      </c>
      <c r="B2175" s="6" t="s">
        <v>361</v>
      </c>
      <c r="C2175" s="6" t="s">
        <v>4329</v>
      </c>
      <c r="D2175" s="6" t="s">
        <v>4330</v>
      </c>
      <c r="E2175" s="6" t="s">
        <v>4331</v>
      </c>
      <c r="F2175" s="6" t="s">
        <v>4667</v>
      </c>
      <c r="G2175" s="3" t="s">
        <v>11450</v>
      </c>
      <c r="H2175" s="54">
        <v>0</v>
      </c>
      <c r="I2175" s="55">
        <v>470000000</v>
      </c>
      <c r="J2175" s="56" t="s">
        <v>229</v>
      </c>
      <c r="K2175" s="6" t="s">
        <v>220</v>
      </c>
      <c r="L2175" s="16" t="s">
        <v>4570</v>
      </c>
      <c r="M2175" s="162" t="s">
        <v>230</v>
      </c>
      <c r="N2175" s="15" t="s">
        <v>521</v>
      </c>
      <c r="O2175" s="6" t="s">
        <v>4568</v>
      </c>
      <c r="P2175" s="58" t="s">
        <v>241</v>
      </c>
      <c r="Q2175" s="6" t="s">
        <v>234</v>
      </c>
      <c r="R2175" s="3">
        <v>6</v>
      </c>
      <c r="S2175" s="1">
        <v>75452</v>
      </c>
      <c r="T2175" s="4">
        <v>0</v>
      </c>
      <c r="U2175" s="4">
        <f t="shared" si="68"/>
        <v>0</v>
      </c>
      <c r="V2175" s="3" t="s">
        <v>362</v>
      </c>
      <c r="W2175" s="3">
        <v>2014</v>
      </c>
      <c r="X2175" s="3">
        <v>11.14</v>
      </c>
    </row>
    <row r="2176" spans="1:24" ht="89.25">
      <c r="A2176" s="3" t="s">
        <v>17559</v>
      </c>
      <c r="B2176" s="6" t="s">
        <v>361</v>
      </c>
      <c r="C2176" s="6" t="s">
        <v>4329</v>
      </c>
      <c r="D2176" s="6" t="s">
        <v>4330</v>
      </c>
      <c r="E2176" s="6" t="s">
        <v>4331</v>
      </c>
      <c r="F2176" s="6" t="s">
        <v>4667</v>
      </c>
      <c r="G2176" s="3" t="s">
        <v>11450</v>
      </c>
      <c r="H2176" s="54">
        <v>0</v>
      </c>
      <c r="I2176" s="55">
        <v>470000000</v>
      </c>
      <c r="J2176" s="56" t="s">
        <v>229</v>
      </c>
      <c r="K2176" s="6" t="s">
        <v>222</v>
      </c>
      <c r="L2176" s="16" t="s">
        <v>4570</v>
      </c>
      <c r="M2176" s="162" t="s">
        <v>230</v>
      </c>
      <c r="N2176" s="15" t="s">
        <v>17560</v>
      </c>
      <c r="O2176" s="6" t="s">
        <v>4568</v>
      </c>
      <c r="P2176" s="58" t="s">
        <v>241</v>
      </c>
      <c r="Q2176" s="6" t="s">
        <v>234</v>
      </c>
      <c r="R2176" s="3">
        <v>6</v>
      </c>
      <c r="S2176" s="1">
        <v>75452</v>
      </c>
      <c r="T2176" s="4">
        <f>R2176*S2176</f>
        <v>452712</v>
      </c>
      <c r="U2176" s="4">
        <f t="shared" si="68"/>
        <v>507037.44000000006</v>
      </c>
      <c r="V2176" s="3" t="s">
        <v>362</v>
      </c>
      <c r="W2176" s="3">
        <v>2014</v>
      </c>
      <c r="X2176" s="3"/>
    </row>
    <row r="2177" spans="1:24" ht="89.25">
      <c r="A2177" s="3" t="s">
        <v>1371</v>
      </c>
      <c r="B2177" s="6" t="s">
        <v>361</v>
      </c>
      <c r="C2177" s="6" t="s">
        <v>4329</v>
      </c>
      <c r="D2177" s="6" t="s">
        <v>4330</v>
      </c>
      <c r="E2177" s="6" t="s">
        <v>4331</v>
      </c>
      <c r="F2177" s="6" t="s">
        <v>4668</v>
      </c>
      <c r="G2177" s="3" t="s">
        <v>11449</v>
      </c>
      <c r="H2177" s="54">
        <v>0</v>
      </c>
      <c r="I2177" s="16">
        <v>470000000</v>
      </c>
      <c r="J2177" s="56" t="s">
        <v>229</v>
      </c>
      <c r="K2177" s="6" t="s">
        <v>519</v>
      </c>
      <c r="L2177" s="16" t="s">
        <v>4567</v>
      </c>
      <c r="M2177" s="162" t="s">
        <v>230</v>
      </c>
      <c r="N2177" s="15" t="s">
        <v>521</v>
      </c>
      <c r="O2177" s="6" t="s">
        <v>4568</v>
      </c>
      <c r="P2177" s="58" t="s">
        <v>241</v>
      </c>
      <c r="Q2177" s="6" t="s">
        <v>234</v>
      </c>
      <c r="R2177" s="4">
        <v>3</v>
      </c>
      <c r="S2177" s="74">
        <v>234700</v>
      </c>
      <c r="T2177" s="4">
        <v>0</v>
      </c>
      <c r="U2177" s="4">
        <f t="shared" si="68"/>
        <v>0</v>
      </c>
      <c r="V2177" s="3"/>
      <c r="W2177" s="3">
        <v>2014</v>
      </c>
      <c r="X2177" s="3">
        <v>7.22</v>
      </c>
    </row>
    <row r="2178" spans="1:24" ht="89.25">
      <c r="A2178" s="3" t="s">
        <v>14013</v>
      </c>
      <c r="B2178" s="6" t="s">
        <v>361</v>
      </c>
      <c r="C2178" s="6" t="s">
        <v>4329</v>
      </c>
      <c r="D2178" s="6" t="s">
        <v>4330</v>
      </c>
      <c r="E2178" s="6" t="s">
        <v>4331</v>
      </c>
      <c r="F2178" s="6" t="s">
        <v>4668</v>
      </c>
      <c r="G2178" s="3" t="s">
        <v>11450</v>
      </c>
      <c r="H2178" s="54">
        <v>0</v>
      </c>
      <c r="I2178" s="16">
        <v>470000000</v>
      </c>
      <c r="J2178" s="56" t="s">
        <v>229</v>
      </c>
      <c r="K2178" s="6" t="s">
        <v>519</v>
      </c>
      <c r="L2178" s="16" t="s">
        <v>4567</v>
      </c>
      <c r="M2178" s="162" t="s">
        <v>230</v>
      </c>
      <c r="N2178" s="15" t="s">
        <v>521</v>
      </c>
      <c r="O2178" s="6" t="s">
        <v>4568</v>
      </c>
      <c r="P2178" s="58" t="s">
        <v>241</v>
      </c>
      <c r="Q2178" s="6" t="s">
        <v>234</v>
      </c>
      <c r="R2178" s="4">
        <v>0</v>
      </c>
      <c r="S2178" s="74">
        <v>234700</v>
      </c>
      <c r="T2178" s="4">
        <f>R2178*S2178</f>
        <v>0</v>
      </c>
      <c r="U2178" s="4">
        <f t="shared" si="68"/>
        <v>0</v>
      </c>
      <c r="V2178" s="3" t="s">
        <v>362</v>
      </c>
      <c r="W2178" s="3">
        <v>2014</v>
      </c>
      <c r="X2178" s="3" t="s">
        <v>12076</v>
      </c>
    </row>
    <row r="2179" spans="1:24" ht="89.25">
      <c r="A2179" s="3" t="s">
        <v>1372</v>
      </c>
      <c r="B2179" s="6" t="s">
        <v>361</v>
      </c>
      <c r="C2179" s="6" t="s">
        <v>4329</v>
      </c>
      <c r="D2179" s="6" t="s">
        <v>4330</v>
      </c>
      <c r="E2179" s="6" t="s">
        <v>4331</v>
      </c>
      <c r="F2179" s="6" t="s">
        <v>4669</v>
      </c>
      <c r="G2179" s="3" t="s">
        <v>11449</v>
      </c>
      <c r="H2179" s="54">
        <v>0</v>
      </c>
      <c r="I2179" s="55">
        <v>470000000</v>
      </c>
      <c r="J2179" s="56" t="s">
        <v>229</v>
      </c>
      <c r="K2179" s="6" t="s">
        <v>519</v>
      </c>
      <c r="L2179" s="16" t="s">
        <v>4570</v>
      </c>
      <c r="M2179" s="162" t="s">
        <v>230</v>
      </c>
      <c r="N2179" s="15" t="s">
        <v>521</v>
      </c>
      <c r="O2179" s="6" t="s">
        <v>4568</v>
      </c>
      <c r="P2179" s="58" t="s">
        <v>241</v>
      </c>
      <c r="Q2179" s="6" t="s">
        <v>234</v>
      </c>
      <c r="R2179" s="3">
        <v>3</v>
      </c>
      <c r="S2179" s="1">
        <v>198500</v>
      </c>
      <c r="T2179" s="4">
        <v>0</v>
      </c>
      <c r="U2179" s="4">
        <f t="shared" si="68"/>
        <v>0</v>
      </c>
      <c r="V2179" s="166" t="s">
        <v>362</v>
      </c>
      <c r="W2179" s="3">
        <v>2014</v>
      </c>
      <c r="X2179" s="3">
        <v>7</v>
      </c>
    </row>
    <row r="2180" spans="1:24" ht="89.25">
      <c r="A2180" s="3" t="s">
        <v>14014</v>
      </c>
      <c r="B2180" s="6" t="s">
        <v>361</v>
      </c>
      <c r="C2180" s="6" t="s">
        <v>4329</v>
      </c>
      <c r="D2180" s="6" t="s">
        <v>4330</v>
      </c>
      <c r="E2180" s="6" t="s">
        <v>4331</v>
      </c>
      <c r="F2180" s="6" t="s">
        <v>4669</v>
      </c>
      <c r="G2180" s="3" t="s">
        <v>11450</v>
      </c>
      <c r="H2180" s="54">
        <v>0</v>
      </c>
      <c r="I2180" s="55">
        <v>470000000</v>
      </c>
      <c r="J2180" s="56" t="s">
        <v>229</v>
      </c>
      <c r="K2180" s="6" t="s">
        <v>519</v>
      </c>
      <c r="L2180" s="16" t="s">
        <v>4570</v>
      </c>
      <c r="M2180" s="162" t="s">
        <v>230</v>
      </c>
      <c r="N2180" s="15" t="s">
        <v>521</v>
      </c>
      <c r="O2180" s="6" t="s">
        <v>4568</v>
      </c>
      <c r="P2180" s="58" t="s">
        <v>241</v>
      </c>
      <c r="Q2180" s="6" t="s">
        <v>234</v>
      </c>
      <c r="R2180" s="3">
        <v>0</v>
      </c>
      <c r="S2180" s="1">
        <v>198500</v>
      </c>
      <c r="T2180" s="4">
        <f>R2180*S2180</f>
        <v>0</v>
      </c>
      <c r="U2180" s="4">
        <f t="shared" si="68"/>
        <v>0</v>
      </c>
      <c r="V2180" s="166" t="s">
        <v>362</v>
      </c>
      <c r="W2180" s="3">
        <v>2014</v>
      </c>
      <c r="X2180" s="3" t="s">
        <v>12076</v>
      </c>
    </row>
    <row r="2181" spans="1:24" ht="102">
      <c r="A2181" s="3" t="s">
        <v>1373</v>
      </c>
      <c r="B2181" s="6" t="s">
        <v>361</v>
      </c>
      <c r="C2181" s="64" t="s">
        <v>4332</v>
      </c>
      <c r="D2181" s="3" t="s">
        <v>4333</v>
      </c>
      <c r="E2181" s="6" t="s">
        <v>4334</v>
      </c>
      <c r="F2181" s="6" t="s">
        <v>4670</v>
      </c>
      <c r="G2181" s="3" t="s">
        <v>11449</v>
      </c>
      <c r="H2181" s="54">
        <v>0.75</v>
      </c>
      <c r="I2181" s="16">
        <v>470000000</v>
      </c>
      <c r="J2181" s="56" t="s">
        <v>229</v>
      </c>
      <c r="K2181" s="6" t="s">
        <v>519</v>
      </c>
      <c r="L2181" s="16" t="s">
        <v>4567</v>
      </c>
      <c r="M2181" s="162" t="s">
        <v>230</v>
      </c>
      <c r="N2181" s="15" t="s">
        <v>526</v>
      </c>
      <c r="O2181" s="6" t="s">
        <v>4568</v>
      </c>
      <c r="P2181" s="58" t="s">
        <v>241</v>
      </c>
      <c r="Q2181" s="6" t="s">
        <v>234</v>
      </c>
      <c r="R2181" s="4">
        <v>0</v>
      </c>
      <c r="S2181" s="74">
        <v>1420800</v>
      </c>
      <c r="T2181" s="4">
        <f>R2181*S2181</f>
        <v>0</v>
      </c>
      <c r="U2181" s="4">
        <f t="shared" si="68"/>
        <v>0</v>
      </c>
      <c r="V2181" s="3" t="s">
        <v>362</v>
      </c>
      <c r="W2181" s="3">
        <v>2014</v>
      </c>
      <c r="X2181" s="3" t="s">
        <v>12076</v>
      </c>
    </row>
    <row r="2182" spans="1:24" ht="89.25">
      <c r="A2182" s="3" t="s">
        <v>1374</v>
      </c>
      <c r="B2182" s="6" t="s">
        <v>361</v>
      </c>
      <c r="C2182" s="42" t="s">
        <v>4335</v>
      </c>
      <c r="D2182" s="42" t="s">
        <v>4336</v>
      </c>
      <c r="E2182" s="42" t="s">
        <v>4337</v>
      </c>
      <c r="F2182" s="6" t="s">
        <v>4671</v>
      </c>
      <c r="G2182" s="3" t="s">
        <v>11449</v>
      </c>
      <c r="H2182" s="54">
        <v>0.75</v>
      </c>
      <c r="I2182" s="55">
        <v>470000000</v>
      </c>
      <c r="J2182" s="56" t="s">
        <v>229</v>
      </c>
      <c r="K2182" s="6" t="s">
        <v>516</v>
      </c>
      <c r="L2182" s="16" t="s">
        <v>4570</v>
      </c>
      <c r="M2182" s="162" t="s">
        <v>230</v>
      </c>
      <c r="N2182" s="15" t="s">
        <v>527</v>
      </c>
      <c r="O2182" s="6" t="s">
        <v>4568</v>
      </c>
      <c r="P2182" s="58" t="s">
        <v>241</v>
      </c>
      <c r="Q2182" s="6" t="s">
        <v>234</v>
      </c>
      <c r="R2182" s="3">
        <v>1500</v>
      </c>
      <c r="S2182" s="1">
        <v>37650</v>
      </c>
      <c r="T2182" s="4">
        <v>0</v>
      </c>
      <c r="U2182" s="4">
        <f t="shared" si="68"/>
        <v>0</v>
      </c>
      <c r="V2182" s="166" t="s">
        <v>362</v>
      </c>
      <c r="W2182" s="3">
        <v>2014</v>
      </c>
      <c r="X2182" s="3">
        <v>11.12</v>
      </c>
    </row>
    <row r="2183" spans="1:24" ht="89.25">
      <c r="A2183" s="3" t="s">
        <v>12409</v>
      </c>
      <c r="B2183" s="6" t="s">
        <v>361</v>
      </c>
      <c r="C2183" s="42" t="s">
        <v>4335</v>
      </c>
      <c r="D2183" s="42" t="s">
        <v>4336</v>
      </c>
      <c r="E2183" s="42" t="s">
        <v>4337</v>
      </c>
      <c r="F2183" s="6" t="s">
        <v>4671</v>
      </c>
      <c r="G2183" s="3" t="s">
        <v>11449</v>
      </c>
      <c r="H2183" s="54">
        <v>0.75</v>
      </c>
      <c r="I2183" s="55">
        <v>470000000</v>
      </c>
      <c r="J2183" s="56" t="s">
        <v>229</v>
      </c>
      <c r="K2183" s="6" t="s">
        <v>12372</v>
      </c>
      <c r="L2183" s="17" t="s">
        <v>11411</v>
      </c>
      <c r="M2183" s="162" t="s">
        <v>230</v>
      </c>
      <c r="N2183" s="15" t="s">
        <v>527</v>
      </c>
      <c r="O2183" s="6" t="s">
        <v>4568</v>
      </c>
      <c r="P2183" s="58" t="s">
        <v>241</v>
      </c>
      <c r="Q2183" s="6" t="s">
        <v>234</v>
      </c>
      <c r="R2183" s="3">
        <v>1500</v>
      </c>
      <c r="S2183" s="1">
        <v>37650</v>
      </c>
      <c r="T2183" s="4">
        <v>0</v>
      </c>
      <c r="U2183" s="4">
        <f t="shared" si="68"/>
        <v>0</v>
      </c>
      <c r="V2183" s="166" t="s">
        <v>362</v>
      </c>
      <c r="W2183" s="3">
        <v>2014</v>
      </c>
      <c r="X2183" s="3" t="s">
        <v>14780</v>
      </c>
    </row>
    <row r="2184" spans="1:24" ht="89.25">
      <c r="A2184" s="3" t="s">
        <v>14319</v>
      </c>
      <c r="B2184" s="6" t="s">
        <v>361</v>
      </c>
      <c r="C2184" s="42" t="s">
        <v>4335</v>
      </c>
      <c r="D2184" s="42" t="s">
        <v>4336</v>
      </c>
      <c r="E2184" s="42" t="s">
        <v>4337</v>
      </c>
      <c r="F2184" s="6" t="s">
        <v>4671</v>
      </c>
      <c r="G2184" s="3" t="s">
        <v>11449</v>
      </c>
      <c r="H2184" s="54">
        <v>0.75</v>
      </c>
      <c r="I2184" s="55">
        <v>470000000</v>
      </c>
      <c r="J2184" s="56" t="s">
        <v>229</v>
      </c>
      <c r="K2184" s="6" t="s">
        <v>15567</v>
      </c>
      <c r="L2184" s="17" t="s">
        <v>11411</v>
      </c>
      <c r="M2184" s="162" t="s">
        <v>230</v>
      </c>
      <c r="N2184" s="15" t="s">
        <v>527</v>
      </c>
      <c r="O2184" s="6" t="s">
        <v>4568</v>
      </c>
      <c r="P2184" s="58" t="s">
        <v>241</v>
      </c>
      <c r="Q2184" s="6" t="s">
        <v>234</v>
      </c>
      <c r="R2184" s="3">
        <v>1305</v>
      </c>
      <c r="S2184" s="1">
        <v>37650</v>
      </c>
      <c r="T2184" s="4">
        <v>0</v>
      </c>
      <c r="U2184" s="4">
        <f t="shared" si="68"/>
        <v>0</v>
      </c>
      <c r="V2184" s="166" t="s">
        <v>362</v>
      </c>
      <c r="W2184" s="3">
        <v>2014</v>
      </c>
      <c r="X2184" s="3">
        <v>14</v>
      </c>
    </row>
    <row r="2185" spans="1:24" ht="89.25">
      <c r="A2185" s="3" t="s">
        <v>18525</v>
      </c>
      <c r="B2185" s="6" t="s">
        <v>361</v>
      </c>
      <c r="C2185" s="42" t="s">
        <v>4335</v>
      </c>
      <c r="D2185" s="42" t="s">
        <v>4336</v>
      </c>
      <c r="E2185" s="42" t="s">
        <v>4337</v>
      </c>
      <c r="F2185" s="6" t="s">
        <v>4671</v>
      </c>
      <c r="G2185" s="3" t="s">
        <v>11449</v>
      </c>
      <c r="H2185" s="54">
        <v>0.75</v>
      </c>
      <c r="I2185" s="55">
        <v>470000000</v>
      </c>
      <c r="J2185" s="56" t="s">
        <v>229</v>
      </c>
      <c r="K2185" s="6" t="s">
        <v>15567</v>
      </c>
      <c r="L2185" s="17" t="s">
        <v>11411</v>
      </c>
      <c r="M2185" s="162" t="s">
        <v>230</v>
      </c>
      <c r="N2185" s="15" t="s">
        <v>521</v>
      </c>
      <c r="O2185" s="6" t="s">
        <v>4568</v>
      </c>
      <c r="P2185" s="58" t="s">
        <v>241</v>
      </c>
      <c r="Q2185" s="6" t="s">
        <v>234</v>
      </c>
      <c r="R2185" s="3">
        <v>1305</v>
      </c>
      <c r="S2185" s="1">
        <v>37650</v>
      </c>
      <c r="T2185" s="4">
        <v>0</v>
      </c>
      <c r="U2185" s="4">
        <f t="shared" si="68"/>
        <v>0</v>
      </c>
      <c r="V2185" s="166" t="s">
        <v>362</v>
      </c>
      <c r="W2185" s="3">
        <v>2014</v>
      </c>
      <c r="X2185" s="3" t="s">
        <v>19393</v>
      </c>
    </row>
    <row r="2186" spans="1:24" ht="89.25">
      <c r="A2186" s="3" t="s">
        <v>19177</v>
      </c>
      <c r="B2186" s="6" t="s">
        <v>361</v>
      </c>
      <c r="C2186" s="42" t="s">
        <v>4335</v>
      </c>
      <c r="D2186" s="42" t="s">
        <v>4336</v>
      </c>
      <c r="E2186" s="42" t="s">
        <v>4337</v>
      </c>
      <c r="F2186" s="6" t="s">
        <v>4671</v>
      </c>
      <c r="G2186" s="3" t="s">
        <v>11449</v>
      </c>
      <c r="H2186" s="54">
        <v>0.75</v>
      </c>
      <c r="I2186" s="55">
        <v>470000000</v>
      </c>
      <c r="J2186" s="56" t="s">
        <v>229</v>
      </c>
      <c r="K2186" s="6" t="s">
        <v>15567</v>
      </c>
      <c r="L2186" s="17" t="s">
        <v>11411</v>
      </c>
      <c r="M2186" s="162" t="s">
        <v>230</v>
      </c>
      <c r="N2186" s="15" t="s">
        <v>521</v>
      </c>
      <c r="O2186" s="6" t="s">
        <v>19408</v>
      </c>
      <c r="P2186" s="58" t="s">
        <v>241</v>
      </c>
      <c r="Q2186" s="6" t="s">
        <v>234</v>
      </c>
      <c r="R2186" s="3">
        <v>1234</v>
      </c>
      <c r="S2186" s="1">
        <v>37650</v>
      </c>
      <c r="T2186" s="4">
        <f>R2186*S2186</f>
        <v>46460100</v>
      </c>
      <c r="U2186" s="4">
        <f t="shared" si="68"/>
        <v>52035312.000000007</v>
      </c>
      <c r="V2186" s="166"/>
      <c r="W2186" s="3">
        <v>2014</v>
      </c>
      <c r="X2186" s="3"/>
    </row>
    <row r="2187" spans="1:24" ht="89.25">
      <c r="A2187" s="3" t="s">
        <v>1375</v>
      </c>
      <c r="B2187" s="6" t="s">
        <v>361</v>
      </c>
      <c r="C2187" s="42" t="s">
        <v>4335</v>
      </c>
      <c r="D2187" s="42" t="s">
        <v>4336</v>
      </c>
      <c r="E2187" s="42" t="s">
        <v>4337</v>
      </c>
      <c r="F2187" s="3" t="s">
        <v>4672</v>
      </c>
      <c r="G2187" s="3" t="s">
        <v>11449</v>
      </c>
      <c r="H2187" s="54">
        <v>0.75</v>
      </c>
      <c r="I2187" s="16">
        <v>470000000</v>
      </c>
      <c r="J2187" s="56" t="s">
        <v>229</v>
      </c>
      <c r="K2187" s="6" t="s">
        <v>516</v>
      </c>
      <c r="L2187" s="16" t="s">
        <v>4567</v>
      </c>
      <c r="M2187" s="162" t="s">
        <v>230</v>
      </c>
      <c r="N2187" s="15" t="s">
        <v>528</v>
      </c>
      <c r="O2187" s="6" t="s">
        <v>4568</v>
      </c>
      <c r="P2187" s="58" t="s">
        <v>241</v>
      </c>
      <c r="Q2187" s="6" t="s">
        <v>234</v>
      </c>
      <c r="R2187" s="4">
        <v>45</v>
      </c>
      <c r="S2187" s="74">
        <v>42249.3</v>
      </c>
      <c r="T2187" s="4">
        <v>0</v>
      </c>
      <c r="U2187" s="4">
        <f t="shared" si="68"/>
        <v>0</v>
      </c>
      <c r="V2187" s="3" t="s">
        <v>362</v>
      </c>
      <c r="W2187" s="3">
        <v>2014</v>
      </c>
      <c r="X2187" s="3">
        <v>11.12</v>
      </c>
    </row>
    <row r="2188" spans="1:24" ht="89.25">
      <c r="A2188" s="3" t="s">
        <v>12410</v>
      </c>
      <c r="B2188" s="6" t="s">
        <v>361</v>
      </c>
      <c r="C2188" s="42" t="s">
        <v>4335</v>
      </c>
      <c r="D2188" s="42" t="s">
        <v>4336</v>
      </c>
      <c r="E2188" s="42" t="s">
        <v>4337</v>
      </c>
      <c r="F2188" s="3" t="s">
        <v>4672</v>
      </c>
      <c r="G2188" s="3" t="s">
        <v>11449</v>
      </c>
      <c r="H2188" s="54">
        <v>0.75</v>
      </c>
      <c r="I2188" s="16">
        <v>470000000</v>
      </c>
      <c r="J2188" s="56" t="s">
        <v>229</v>
      </c>
      <c r="K2188" s="6" t="s">
        <v>12372</v>
      </c>
      <c r="L2188" s="17" t="s">
        <v>11411</v>
      </c>
      <c r="M2188" s="162" t="s">
        <v>230</v>
      </c>
      <c r="N2188" s="15" t="s">
        <v>528</v>
      </c>
      <c r="O2188" s="6" t="s">
        <v>4568</v>
      </c>
      <c r="P2188" s="58" t="s">
        <v>241</v>
      </c>
      <c r="Q2188" s="6" t="s">
        <v>234</v>
      </c>
      <c r="R2188" s="4">
        <v>45</v>
      </c>
      <c r="S2188" s="74">
        <v>42249.3</v>
      </c>
      <c r="T2188" s="4">
        <v>0</v>
      </c>
      <c r="U2188" s="4">
        <f t="shared" si="68"/>
        <v>0</v>
      </c>
      <c r="V2188" s="3" t="s">
        <v>362</v>
      </c>
      <c r="W2188" s="3">
        <v>2014</v>
      </c>
      <c r="X2188" s="3" t="s">
        <v>14780</v>
      </c>
    </row>
    <row r="2189" spans="1:24" ht="89.25">
      <c r="A2189" s="3" t="s">
        <v>14320</v>
      </c>
      <c r="B2189" s="6" t="s">
        <v>361</v>
      </c>
      <c r="C2189" s="42" t="s">
        <v>4335</v>
      </c>
      <c r="D2189" s="42" t="s">
        <v>4336</v>
      </c>
      <c r="E2189" s="42" t="s">
        <v>4337</v>
      </c>
      <c r="F2189" s="3" t="s">
        <v>4672</v>
      </c>
      <c r="G2189" s="3" t="s">
        <v>11449</v>
      </c>
      <c r="H2189" s="54">
        <v>0.75</v>
      </c>
      <c r="I2189" s="16">
        <v>470000000</v>
      </c>
      <c r="J2189" s="56" t="s">
        <v>229</v>
      </c>
      <c r="K2189" s="6" t="s">
        <v>14922</v>
      </c>
      <c r="L2189" s="17" t="s">
        <v>11411</v>
      </c>
      <c r="M2189" s="162" t="s">
        <v>230</v>
      </c>
      <c r="N2189" s="15" t="s">
        <v>528</v>
      </c>
      <c r="O2189" s="6" t="s">
        <v>4568</v>
      </c>
      <c r="P2189" s="58" t="s">
        <v>241</v>
      </c>
      <c r="Q2189" s="6" t="s">
        <v>234</v>
      </c>
      <c r="R2189" s="4">
        <v>195</v>
      </c>
      <c r="S2189" s="74">
        <v>42249.3</v>
      </c>
      <c r="T2189" s="4">
        <v>0</v>
      </c>
      <c r="U2189" s="4">
        <f t="shared" si="68"/>
        <v>0</v>
      </c>
      <c r="V2189" s="3" t="s">
        <v>362</v>
      </c>
      <c r="W2189" s="3">
        <v>2014</v>
      </c>
      <c r="X2189" s="3">
        <v>11</v>
      </c>
    </row>
    <row r="2190" spans="1:24" ht="89.25">
      <c r="A2190" s="3" t="s">
        <v>18438</v>
      </c>
      <c r="B2190" s="6" t="s">
        <v>361</v>
      </c>
      <c r="C2190" s="42" t="s">
        <v>4335</v>
      </c>
      <c r="D2190" s="42" t="s">
        <v>4336</v>
      </c>
      <c r="E2190" s="42" t="s">
        <v>4337</v>
      </c>
      <c r="F2190" s="3" t="s">
        <v>4672</v>
      </c>
      <c r="G2190" s="3" t="s">
        <v>11449</v>
      </c>
      <c r="H2190" s="54">
        <v>0.75</v>
      </c>
      <c r="I2190" s="16">
        <v>470000000</v>
      </c>
      <c r="J2190" s="56" t="s">
        <v>229</v>
      </c>
      <c r="K2190" s="6" t="s">
        <v>9369</v>
      </c>
      <c r="L2190" s="17" t="s">
        <v>12251</v>
      </c>
      <c r="M2190" s="162" t="s">
        <v>12250</v>
      </c>
      <c r="N2190" s="15" t="s">
        <v>528</v>
      </c>
      <c r="O2190" s="6" t="s">
        <v>4568</v>
      </c>
      <c r="P2190" s="58" t="s">
        <v>241</v>
      </c>
      <c r="Q2190" s="6" t="s">
        <v>234</v>
      </c>
      <c r="R2190" s="4">
        <v>195</v>
      </c>
      <c r="S2190" s="74">
        <v>42249.3</v>
      </c>
      <c r="T2190" s="4">
        <v>0</v>
      </c>
      <c r="U2190" s="4">
        <f t="shared" si="68"/>
        <v>0</v>
      </c>
      <c r="V2190" s="3" t="s">
        <v>362</v>
      </c>
      <c r="W2190" s="3">
        <v>2014</v>
      </c>
      <c r="X2190" s="3" t="s">
        <v>19363</v>
      </c>
    </row>
    <row r="2191" spans="1:24" ht="76.5">
      <c r="A2191" s="3" t="s">
        <v>19375</v>
      </c>
      <c r="B2191" s="6" t="s">
        <v>361</v>
      </c>
      <c r="C2191" s="42" t="s">
        <v>4335</v>
      </c>
      <c r="D2191" s="42" t="s">
        <v>4336</v>
      </c>
      <c r="E2191" s="42" t="s">
        <v>4337</v>
      </c>
      <c r="F2191" s="3" t="s">
        <v>4672</v>
      </c>
      <c r="G2191" s="3" t="s">
        <v>11449</v>
      </c>
      <c r="H2191" s="54">
        <v>0</v>
      </c>
      <c r="I2191" s="16">
        <v>470000000</v>
      </c>
      <c r="J2191" s="56" t="s">
        <v>229</v>
      </c>
      <c r="K2191" s="6" t="s">
        <v>18437</v>
      </c>
      <c r="L2191" s="6" t="s">
        <v>19376</v>
      </c>
      <c r="M2191" s="162" t="s">
        <v>12250</v>
      </c>
      <c r="N2191" s="15" t="s">
        <v>528</v>
      </c>
      <c r="O2191" s="6" t="s">
        <v>19407</v>
      </c>
      <c r="P2191" s="58" t="s">
        <v>241</v>
      </c>
      <c r="Q2191" s="6" t="s">
        <v>234</v>
      </c>
      <c r="R2191" s="4">
        <v>195</v>
      </c>
      <c r="S2191" s="74">
        <v>42249.3</v>
      </c>
      <c r="T2191" s="4">
        <f>R2191*S2191</f>
        <v>8238613.5000000009</v>
      </c>
      <c r="U2191" s="4">
        <f t="shared" si="68"/>
        <v>9227247.120000001</v>
      </c>
      <c r="V2191" s="3"/>
      <c r="W2191" s="3">
        <v>2014</v>
      </c>
      <c r="X2191" s="3"/>
    </row>
    <row r="2192" spans="1:24" ht="89.25">
      <c r="A2192" s="3" t="s">
        <v>1376</v>
      </c>
      <c r="B2192" s="6" t="s">
        <v>361</v>
      </c>
      <c r="C2192" s="6" t="s">
        <v>4338</v>
      </c>
      <c r="D2192" s="6" t="s">
        <v>4339</v>
      </c>
      <c r="E2192" s="6" t="s">
        <v>4339</v>
      </c>
      <c r="F2192" s="6" t="s">
        <v>4673</v>
      </c>
      <c r="G2192" s="3" t="s">
        <v>11450</v>
      </c>
      <c r="H2192" s="54">
        <v>0.5</v>
      </c>
      <c r="I2192" s="55">
        <v>470000000</v>
      </c>
      <c r="J2192" s="56" t="s">
        <v>229</v>
      </c>
      <c r="K2192" s="6" t="s">
        <v>517</v>
      </c>
      <c r="L2192" s="16" t="s">
        <v>4570</v>
      </c>
      <c r="M2192" s="162" t="s">
        <v>230</v>
      </c>
      <c r="N2192" s="15" t="s">
        <v>521</v>
      </c>
      <c r="O2192" s="6" t="s">
        <v>4568</v>
      </c>
      <c r="P2192" s="58" t="s">
        <v>241</v>
      </c>
      <c r="Q2192" s="6" t="s">
        <v>234</v>
      </c>
      <c r="R2192" s="3">
        <v>10</v>
      </c>
      <c r="S2192" s="1">
        <v>2629</v>
      </c>
      <c r="T2192" s="4">
        <v>0</v>
      </c>
      <c r="U2192" s="4">
        <f t="shared" si="68"/>
        <v>0</v>
      </c>
      <c r="V2192" s="166" t="s">
        <v>362</v>
      </c>
      <c r="W2192" s="3">
        <v>2014</v>
      </c>
      <c r="X2192" s="3" t="s">
        <v>14010</v>
      </c>
    </row>
    <row r="2193" spans="1:24" ht="89.25">
      <c r="A2193" s="3" t="s">
        <v>12411</v>
      </c>
      <c r="B2193" s="6" t="s">
        <v>361</v>
      </c>
      <c r="C2193" s="6" t="s">
        <v>4338</v>
      </c>
      <c r="D2193" s="6" t="s">
        <v>4339</v>
      </c>
      <c r="E2193" s="6" t="s">
        <v>4339</v>
      </c>
      <c r="F2193" s="6" t="s">
        <v>4673</v>
      </c>
      <c r="G2193" s="3" t="s">
        <v>11449</v>
      </c>
      <c r="H2193" s="54">
        <v>0.5</v>
      </c>
      <c r="I2193" s="55">
        <v>470000000</v>
      </c>
      <c r="J2193" s="56" t="s">
        <v>229</v>
      </c>
      <c r="K2193" s="6" t="s">
        <v>12372</v>
      </c>
      <c r="L2193" s="17" t="s">
        <v>11411</v>
      </c>
      <c r="M2193" s="162" t="s">
        <v>230</v>
      </c>
      <c r="N2193" s="15" t="s">
        <v>521</v>
      </c>
      <c r="O2193" s="6" t="s">
        <v>4568</v>
      </c>
      <c r="P2193" s="58" t="s">
        <v>241</v>
      </c>
      <c r="Q2193" s="6" t="s">
        <v>234</v>
      </c>
      <c r="R2193" s="3">
        <v>10</v>
      </c>
      <c r="S2193" s="1">
        <v>2629</v>
      </c>
      <c r="T2193" s="4">
        <v>0</v>
      </c>
      <c r="U2193" s="4">
        <f t="shared" si="68"/>
        <v>0</v>
      </c>
      <c r="V2193" s="166"/>
      <c r="W2193" s="3">
        <v>2014</v>
      </c>
      <c r="X2193" s="3">
        <v>11</v>
      </c>
    </row>
    <row r="2194" spans="1:24" ht="89.25">
      <c r="A2194" s="3" t="s">
        <v>15568</v>
      </c>
      <c r="B2194" s="6" t="s">
        <v>361</v>
      </c>
      <c r="C2194" s="6" t="s">
        <v>4338</v>
      </c>
      <c r="D2194" s="6" t="s">
        <v>4339</v>
      </c>
      <c r="E2194" s="6" t="s">
        <v>4339</v>
      </c>
      <c r="F2194" s="6" t="s">
        <v>4673</v>
      </c>
      <c r="G2194" s="3" t="s">
        <v>11449</v>
      </c>
      <c r="H2194" s="54">
        <v>0.5</v>
      </c>
      <c r="I2194" s="55">
        <v>470000000</v>
      </c>
      <c r="J2194" s="56" t="s">
        <v>229</v>
      </c>
      <c r="K2194" s="6" t="s">
        <v>222</v>
      </c>
      <c r="L2194" s="17" t="s">
        <v>11411</v>
      </c>
      <c r="M2194" s="162" t="s">
        <v>230</v>
      </c>
      <c r="N2194" s="15" t="s">
        <v>521</v>
      </c>
      <c r="O2194" s="6" t="s">
        <v>4568</v>
      </c>
      <c r="P2194" s="58" t="s">
        <v>241</v>
      </c>
      <c r="Q2194" s="6" t="s">
        <v>234</v>
      </c>
      <c r="R2194" s="3">
        <v>0</v>
      </c>
      <c r="S2194" s="1">
        <v>2629</v>
      </c>
      <c r="T2194" s="4">
        <f>R2194*S2194</f>
        <v>0</v>
      </c>
      <c r="U2194" s="4">
        <f t="shared" si="68"/>
        <v>0</v>
      </c>
      <c r="V2194" s="166"/>
      <c r="W2194" s="3">
        <v>2014</v>
      </c>
      <c r="X2194" s="3" t="s">
        <v>12076</v>
      </c>
    </row>
    <row r="2195" spans="1:24" ht="89.25">
      <c r="A2195" s="3" t="s">
        <v>1377</v>
      </c>
      <c r="B2195" s="6" t="s">
        <v>361</v>
      </c>
      <c r="C2195" s="6" t="s">
        <v>4338</v>
      </c>
      <c r="D2195" s="6" t="s">
        <v>4339</v>
      </c>
      <c r="E2195" s="6" t="s">
        <v>4339</v>
      </c>
      <c r="F2195" s="6" t="s">
        <v>4674</v>
      </c>
      <c r="G2195" s="3" t="s">
        <v>11450</v>
      </c>
      <c r="H2195" s="54">
        <v>0.5</v>
      </c>
      <c r="I2195" s="16">
        <v>470000000</v>
      </c>
      <c r="J2195" s="56" t="s">
        <v>229</v>
      </c>
      <c r="K2195" s="6" t="s">
        <v>517</v>
      </c>
      <c r="L2195" s="16" t="s">
        <v>4567</v>
      </c>
      <c r="M2195" s="162" t="s">
        <v>230</v>
      </c>
      <c r="N2195" s="15" t="s">
        <v>521</v>
      </c>
      <c r="O2195" s="6" t="s">
        <v>4568</v>
      </c>
      <c r="P2195" s="58" t="s">
        <v>241</v>
      </c>
      <c r="Q2195" s="6" t="s">
        <v>234</v>
      </c>
      <c r="R2195" s="4">
        <v>10</v>
      </c>
      <c r="S2195" s="74">
        <v>2075</v>
      </c>
      <c r="T2195" s="4">
        <v>0</v>
      </c>
      <c r="U2195" s="4">
        <f t="shared" si="68"/>
        <v>0</v>
      </c>
      <c r="V2195" s="3" t="s">
        <v>362</v>
      </c>
      <c r="W2195" s="3">
        <v>2014</v>
      </c>
      <c r="X2195" s="3" t="s">
        <v>14010</v>
      </c>
    </row>
    <row r="2196" spans="1:24" ht="89.25">
      <c r="A2196" s="3" t="s">
        <v>12412</v>
      </c>
      <c r="B2196" s="6" t="s">
        <v>361</v>
      </c>
      <c r="C2196" s="6" t="s">
        <v>4338</v>
      </c>
      <c r="D2196" s="6" t="s">
        <v>4339</v>
      </c>
      <c r="E2196" s="6" t="s">
        <v>4339</v>
      </c>
      <c r="F2196" s="6" t="s">
        <v>4674</v>
      </c>
      <c r="G2196" s="3" t="s">
        <v>11449</v>
      </c>
      <c r="H2196" s="54">
        <v>0.5</v>
      </c>
      <c r="I2196" s="16">
        <v>470000000</v>
      </c>
      <c r="J2196" s="56" t="s">
        <v>229</v>
      </c>
      <c r="K2196" s="6" t="s">
        <v>12372</v>
      </c>
      <c r="L2196" s="17" t="s">
        <v>11411</v>
      </c>
      <c r="M2196" s="162" t="s">
        <v>230</v>
      </c>
      <c r="N2196" s="15" t="s">
        <v>521</v>
      </c>
      <c r="O2196" s="6" t="s">
        <v>4568</v>
      </c>
      <c r="P2196" s="58" t="s">
        <v>241</v>
      </c>
      <c r="Q2196" s="6" t="s">
        <v>234</v>
      </c>
      <c r="R2196" s="4">
        <v>10</v>
      </c>
      <c r="S2196" s="74">
        <v>2075</v>
      </c>
      <c r="T2196" s="4">
        <v>0</v>
      </c>
      <c r="U2196" s="4">
        <f t="shared" si="68"/>
        <v>0</v>
      </c>
      <c r="V2196" s="3"/>
      <c r="W2196" s="3">
        <v>2014</v>
      </c>
      <c r="X2196" s="3">
        <v>11</v>
      </c>
    </row>
    <row r="2197" spans="1:24" ht="89.25">
      <c r="A2197" s="3" t="s">
        <v>15569</v>
      </c>
      <c r="B2197" s="6" t="s">
        <v>361</v>
      </c>
      <c r="C2197" s="6" t="s">
        <v>4338</v>
      </c>
      <c r="D2197" s="6" t="s">
        <v>4339</v>
      </c>
      <c r="E2197" s="6" t="s">
        <v>4339</v>
      </c>
      <c r="F2197" s="6" t="s">
        <v>4674</v>
      </c>
      <c r="G2197" s="3" t="s">
        <v>11449</v>
      </c>
      <c r="H2197" s="54">
        <v>0.5</v>
      </c>
      <c r="I2197" s="16">
        <v>470000000</v>
      </c>
      <c r="J2197" s="56" t="s">
        <v>229</v>
      </c>
      <c r="K2197" s="6" t="s">
        <v>222</v>
      </c>
      <c r="L2197" s="17" t="s">
        <v>11411</v>
      </c>
      <c r="M2197" s="162" t="s">
        <v>230</v>
      </c>
      <c r="N2197" s="15" t="s">
        <v>521</v>
      </c>
      <c r="O2197" s="6" t="s">
        <v>4568</v>
      </c>
      <c r="P2197" s="58" t="s">
        <v>241</v>
      </c>
      <c r="Q2197" s="6" t="s">
        <v>234</v>
      </c>
      <c r="R2197" s="4">
        <v>0</v>
      </c>
      <c r="S2197" s="74">
        <v>2075</v>
      </c>
      <c r="T2197" s="4">
        <f>R2197*S2197</f>
        <v>0</v>
      </c>
      <c r="U2197" s="4">
        <f t="shared" si="68"/>
        <v>0</v>
      </c>
      <c r="V2197" s="3"/>
      <c r="W2197" s="3">
        <v>2014</v>
      </c>
      <c r="X2197" s="3" t="s">
        <v>12076</v>
      </c>
    </row>
    <row r="2198" spans="1:24" ht="89.25">
      <c r="A2198" s="3" t="s">
        <v>1378</v>
      </c>
      <c r="B2198" s="6" t="s">
        <v>361</v>
      </c>
      <c r="C2198" s="6" t="s">
        <v>4338</v>
      </c>
      <c r="D2198" s="6" t="s">
        <v>4339</v>
      </c>
      <c r="E2198" s="6" t="s">
        <v>4339</v>
      </c>
      <c r="F2198" s="6" t="s">
        <v>4675</v>
      </c>
      <c r="G2198" s="3" t="s">
        <v>11450</v>
      </c>
      <c r="H2198" s="54">
        <v>0.5</v>
      </c>
      <c r="I2198" s="55">
        <v>470000000</v>
      </c>
      <c r="J2198" s="56" t="s">
        <v>229</v>
      </c>
      <c r="K2198" s="6" t="s">
        <v>517</v>
      </c>
      <c r="L2198" s="16" t="s">
        <v>4570</v>
      </c>
      <c r="M2198" s="162" t="s">
        <v>230</v>
      </c>
      <c r="N2198" s="15" t="s">
        <v>521</v>
      </c>
      <c r="O2198" s="6" t="s">
        <v>4568</v>
      </c>
      <c r="P2198" s="58" t="s">
        <v>241</v>
      </c>
      <c r="Q2198" s="6" t="s">
        <v>234</v>
      </c>
      <c r="R2198" s="3">
        <v>24</v>
      </c>
      <c r="S2198" s="1">
        <v>2185</v>
      </c>
      <c r="T2198" s="4">
        <v>0</v>
      </c>
      <c r="U2198" s="4">
        <f t="shared" si="68"/>
        <v>0</v>
      </c>
      <c r="V2198" s="166" t="s">
        <v>362</v>
      </c>
      <c r="W2198" s="3">
        <v>2014</v>
      </c>
      <c r="X2198" s="3" t="s">
        <v>14010</v>
      </c>
    </row>
    <row r="2199" spans="1:24" ht="89.25">
      <c r="A2199" s="3" t="s">
        <v>12421</v>
      </c>
      <c r="B2199" s="6" t="s">
        <v>361</v>
      </c>
      <c r="C2199" s="6" t="s">
        <v>4338</v>
      </c>
      <c r="D2199" s="6" t="s">
        <v>4339</v>
      </c>
      <c r="E2199" s="6" t="s">
        <v>4339</v>
      </c>
      <c r="F2199" s="6" t="s">
        <v>4675</v>
      </c>
      <c r="G2199" s="3" t="s">
        <v>11449</v>
      </c>
      <c r="H2199" s="54">
        <v>0.5</v>
      </c>
      <c r="I2199" s="55">
        <v>470000000</v>
      </c>
      <c r="J2199" s="56" t="s">
        <v>229</v>
      </c>
      <c r="K2199" s="6" t="s">
        <v>12372</v>
      </c>
      <c r="L2199" s="17" t="s">
        <v>11411</v>
      </c>
      <c r="M2199" s="162" t="s">
        <v>230</v>
      </c>
      <c r="N2199" s="15" t="s">
        <v>521</v>
      </c>
      <c r="O2199" s="6" t="s">
        <v>4568</v>
      </c>
      <c r="P2199" s="58" t="s">
        <v>241</v>
      </c>
      <c r="Q2199" s="6" t="s">
        <v>234</v>
      </c>
      <c r="R2199" s="3">
        <v>24</v>
      </c>
      <c r="S2199" s="1">
        <v>2185</v>
      </c>
      <c r="T2199" s="4">
        <v>0</v>
      </c>
      <c r="U2199" s="4">
        <f t="shared" si="68"/>
        <v>0</v>
      </c>
      <c r="V2199" s="166"/>
      <c r="W2199" s="3">
        <v>2014</v>
      </c>
      <c r="X2199" s="3">
        <v>11</v>
      </c>
    </row>
    <row r="2200" spans="1:24" ht="89.25">
      <c r="A2200" s="3" t="s">
        <v>15570</v>
      </c>
      <c r="B2200" s="6" t="s">
        <v>361</v>
      </c>
      <c r="C2200" s="6" t="s">
        <v>4338</v>
      </c>
      <c r="D2200" s="6" t="s">
        <v>4339</v>
      </c>
      <c r="E2200" s="6" t="s">
        <v>4339</v>
      </c>
      <c r="F2200" s="6" t="s">
        <v>4675</v>
      </c>
      <c r="G2200" s="3" t="s">
        <v>11449</v>
      </c>
      <c r="H2200" s="54">
        <v>0.5</v>
      </c>
      <c r="I2200" s="55">
        <v>470000000</v>
      </c>
      <c r="J2200" s="56" t="s">
        <v>229</v>
      </c>
      <c r="K2200" s="6" t="s">
        <v>222</v>
      </c>
      <c r="L2200" s="17" t="s">
        <v>11411</v>
      </c>
      <c r="M2200" s="162" t="s">
        <v>230</v>
      </c>
      <c r="N2200" s="15" t="s">
        <v>521</v>
      </c>
      <c r="O2200" s="6" t="s">
        <v>4568</v>
      </c>
      <c r="P2200" s="58" t="s">
        <v>241</v>
      </c>
      <c r="Q2200" s="6" t="s">
        <v>234</v>
      </c>
      <c r="R2200" s="3">
        <v>0</v>
      </c>
      <c r="S2200" s="1">
        <v>2185</v>
      </c>
      <c r="T2200" s="4">
        <f>R2200*S2200</f>
        <v>0</v>
      </c>
      <c r="U2200" s="4">
        <f t="shared" si="68"/>
        <v>0</v>
      </c>
      <c r="V2200" s="166"/>
      <c r="W2200" s="3">
        <v>2014</v>
      </c>
      <c r="X2200" s="3" t="s">
        <v>12076</v>
      </c>
    </row>
    <row r="2201" spans="1:24" ht="89.25">
      <c r="A2201" s="3" t="s">
        <v>1379</v>
      </c>
      <c r="B2201" s="6" t="s">
        <v>361</v>
      </c>
      <c r="C2201" s="6" t="s">
        <v>4338</v>
      </c>
      <c r="D2201" s="6" t="s">
        <v>4339</v>
      </c>
      <c r="E2201" s="6" t="s">
        <v>4339</v>
      </c>
      <c r="F2201" s="6" t="s">
        <v>4676</v>
      </c>
      <c r="G2201" s="3" t="s">
        <v>11450</v>
      </c>
      <c r="H2201" s="54">
        <v>0.5</v>
      </c>
      <c r="I2201" s="16">
        <v>470000000</v>
      </c>
      <c r="J2201" s="56" t="s">
        <v>229</v>
      </c>
      <c r="K2201" s="6" t="s">
        <v>517</v>
      </c>
      <c r="L2201" s="16" t="s">
        <v>4567</v>
      </c>
      <c r="M2201" s="162" t="s">
        <v>230</v>
      </c>
      <c r="N2201" s="15" t="s">
        <v>521</v>
      </c>
      <c r="O2201" s="6" t="s">
        <v>4568</v>
      </c>
      <c r="P2201" s="58" t="s">
        <v>241</v>
      </c>
      <c r="Q2201" s="6" t="s">
        <v>234</v>
      </c>
      <c r="R2201" s="4">
        <v>176</v>
      </c>
      <c r="S2201" s="74">
        <v>3692</v>
      </c>
      <c r="T2201" s="4">
        <v>0</v>
      </c>
      <c r="U2201" s="4">
        <f t="shared" si="68"/>
        <v>0</v>
      </c>
      <c r="V2201" s="3" t="s">
        <v>362</v>
      </c>
      <c r="W2201" s="3">
        <v>2014</v>
      </c>
      <c r="X2201" s="3" t="s">
        <v>14010</v>
      </c>
    </row>
    <row r="2202" spans="1:24" ht="89.25">
      <c r="A2202" s="3" t="s">
        <v>12422</v>
      </c>
      <c r="B2202" s="6" t="s">
        <v>361</v>
      </c>
      <c r="C2202" s="6" t="s">
        <v>4338</v>
      </c>
      <c r="D2202" s="6" t="s">
        <v>4339</v>
      </c>
      <c r="E2202" s="6" t="s">
        <v>4339</v>
      </c>
      <c r="F2202" s="6" t="s">
        <v>4676</v>
      </c>
      <c r="G2202" s="3" t="s">
        <v>11449</v>
      </c>
      <c r="H2202" s="54">
        <v>0.5</v>
      </c>
      <c r="I2202" s="16">
        <v>470000000</v>
      </c>
      <c r="J2202" s="56" t="s">
        <v>229</v>
      </c>
      <c r="K2202" s="6" t="s">
        <v>12372</v>
      </c>
      <c r="L2202" s="17" t="s">
        <v>11411</v>
      </c>
      <c r="M2202" s="162" t="s">
        <v>230</v>
      </c>
      <c r="N2202" s="15" t="s">
        <v>521</v>
      </c>
      <c r="O2202" s="6" t="s">
        <v>4568</v>
      </c>
      <c r="P2202" s="58" t="s">
        <v>241</v>
      </c>
      <c r="Q2202" s="6" t="s">
        <v>234</v>
      </c>
      <c r="R2202" s="4">
        <v>176</v>
      </c>
      <c r="S2202" s="74">
        <v>3692</v>
      </c>
      <c r="T2202" s="4">
        <v>0</v>
      </c>
      <c r="U2202" s="4">
        <f t="shared" si="68"/>
        <v>0</v>
      </c>
      <c r="V2202" s="3"/>
      <c r="W2202" s="3">
        <v>2014</v>
      </c>
      <c r="X2202" s="3">
        <v>11</v>
      </c>
    </row>
    <row r="2203" spans="1:24" ht="89.25">
      <c r="A2203" s="3" t="s">
        <v>15571</v>
      </c>
      <c r="B2203" s="6" t="s">
        <v>361</v>
      </c>
      <c r="C2203" s="6" t="s">
        <v>4338</v>
      </c>
      <c r="D2203" s="6" t="s">
        <v>4339</v>
      </c>
      <c r="E2203" s="6" t="s">
        <v>4339</v>
      </c>
      <c r="F2203" s="6" t="s">
        <v>4676</v>
      </c>
      <c r="G2203" s="3" t="s">
        <v>11449</v>
      </c>
      <c r="H2203" s="54">
        <v>0.5</v>
      </c>
      <c r="I2203" s="16">
        <v>470000000</v>
      </c>
      <c r="J2203" s="56" t="s">
        <v>229</v>
      </c>
      <c r="K2203" s="6" t="s">
        <v>222</v>
      </c>
      <c r="L2203" s="17" t="s">
        <v>11411</v>
      </c>
      <c r="M2203" s="162" t="s">
        <v>230</v>
      </c>
      <c r="N2203" s="15" t="s">
        <v>521</v>
      </c>
      <c r="O2203" s="6" t="s">
        <v>4568</v>
      </c>
      <c r="P2203" s="58" t="s">
        <v>241</v>
      </c>
      <c r="Q2203" s="6" t="s">
        <v>234</v>
      </c>
      <c r="R2203" s="4">
        <v>0</v>
      </c>
      <c r="S2203" s="74">
        <v>3692</v>
      </c>
      <c r="T2203" s="4">
        <f>R2203*S2203</f>
        <v>0</v>
      </c>
      <c r="U2203" s="4">
        <f t="shared" si="68"/>
        <v>0</v>
      </c>
      <c r="V2203" s="3"/>
      <c r="W2203" s="3">
        <v>2014</v>
      </c>
      <c r="X2203" s="3" t="s">
        <v>12076</v>
      </c>
    </row>
    <row r="2204" spans="1:24" ht="89.25">
      <c r="A2204" s="3" t="s">
        <v>1380</v>
      </c>
      <c r="B2204" s="6" t="s">
        <v>361</v>
      </c>
      <c r="C2204" s="6" t="s">
        <v>4338</v>
      </c>
      <c r="D2204" s="6" t="s">
        <v>4339</v>
      </c>
      <c r="E2204" s="6" t="s">
        <v>4339</v>
      </c>
      <c r="F2204" s="6" t="s">
        <v>4677</v>
      </c>
      <c r="G2204" s="3" t="s">
        <v>11450</v>
      </c>
      <c r="H2204" s="54">
        <v>0.5</v>
      </c>
      <c r="I2204" s="55">
        <v>470000000</v>
      </c>
      <c r="J2204" s="56" t="s">
        <v>229</v>
      </c>
      <c r="K2204" s="6" t="s">
        <v>517</v>
      </c>
      <c r="L2204" s="16" t="s">
        <v>4570</v>
      </c>
      <c r="M2204" s="162" t="s">
        <v>230</v>
      </c>
      <c r="N2204" s="15" t="s">
        <v>521</v>
      </c>
      <c r="O2204" s="6" t="s">
        <v>4568</v>
      </c>
      <c r="P2204" s="58" t="s">
        <v>241</v>
      </c>
      <c r="Q2204" s="6" t="s">
        <v>234</v>
      </c>
      <c r="R2204" s="3">
        <v>176</v>
      </c>
      <c r="S2204" s="1">
        <v>1824</v>
      </c>
      <c r="T2204" s="4">
        <v>0</v>
      </c>
      <c r="U2204" s="4">
        <f t="shared" si="68"/>
        <v>0</v>
      </c>
      <c r="V2204" s="166" t="s">
        <v>362</v>
      </c>
      <c r="W2204" s="3">
        <v>2014</v>
      </c>
      <c r="X2204" s="3" t="s">
        <v>14010</v>
      </c>
    </row>
    <row r="2205" spans="1:24" ht="89.25">
      <c r="A2205" s="3" t="s">
        <v>12423</v>
      </c>
      <c r="B2205" s="6" t="s">
        <v>361</v>
      </c>
      <c r="C2205" s="6" t="s">
        <v>4338</v>
      </c>
      <c r="D2205" s="6" t="s">
        <v>4339</v>
      </c>
      <c r="E2205" s="6" t="s">
        <v>4339</v>
      </c>
      <c r="F2205" s="6" t="s">
        <v>4677</v>
      </c>
      <c r="G2205" s="3" t="s">
        <v>11449</v>
      </c>
      <c r="H2205" s="54">
        <v>0.5</v>
      </c>
      <c r="I2205" s="55">
        <v>470000000</v>
      </c>
      <c r="J2205" s="56" t="s">
        <v>229</v>
      </c>
      <c r="K2205" s="6" t="s">
        <v>12372</v>
      </c>
      <c r="L2205" s="17" t="s">
        <v>11411</v>
      </c>
      <c r="M2205" s="162" t="s">
        <v>230</v>
      </c>
      <c r="N2205" s="15" t="s">
        <v>521</v>
      </c>
      <c r="O2205" s="6" t="s">
        <v>4568</v>
      </c>
      <c r="P2205" s="58" t="s">
        <v>241</v>
      </c>
      <c r="Q2205" s="6" t="s">
        <v>234</v>
      </c>
      <c r="R2205" s="3">
        <v>176</v>
      </c>
      <c r="S2205" s="1">
        <v>1824</v>
      </c>
      <c r="T2205" s="4">
        <v>0</v>
      </c>
      <c r="U2205" s="4">
        <f t="shared" si="68"/>
        <v>0</v>
      </c>
      <c r="V2205" s="166"/>
      <c r="W2205" s="3">
        <v>2014</v>
      </c>
      <c r="X2205" s="3">
        <v>11</v>
      </c>
    </row>
    <row r="2206" spans="1:24" ht="89.25">
      <c r="A2206" s="3" t="s">
        <v>15572</v>
      </c>
      <c r="B2206" s="6" t="s">
        <v>361</v>
      </c>
      <c r="C2206" s="6" t="s">
        <v>4338</v>
      </c>
      <c r="D2206" s="6" t="s">
        <v>4339</v>
      </c>
      <c r="E2206" s="6" t="s">
        <v>4339</v>
      </c>
      <c r="F2206" s="6" t="s">
        <v>4677</v>
      </c>
      <c r="G2206" s="3" t="s">
        <v>11449</v>
      </c>
      <c r="H2206" s="54">
        <v>0.5</v>
      </c>
      <c r="I2206" s="55">
        <v>470000000</v>
      </c>
      <c r="J2206" s="56" t="s">
        <v>229</v>
      </c>
      <c r="K2206" s="6" t="s">
        <v>222</v>
      </c>
      <c r="L2206" s="17" t="s">
        <v>11411</v>
      </c>
      <c r="M2206" s="162" t="s">
        <v>230</v>
      </c>
      <c r="N2206" s="15" t="s">
        <v>521</v>
      </c>
      <c r="O2206" s="6" t="s">
        <v>4568</v>
      </c>
      <c r="P2206" s="58" t="s">
        <v>241</v>
      </c>
      <c r="Q2206" s="6" t="s">
        <v>234</v>
      </c>
      <c r="R2206" s="3">
        <v>0</v>
      </c>
      <c r="S2206" s="1">
        <v>1824</v>
      </c>
      <c r="T2206" s="4">
        <f>R2206*S2206</f>
        <v>0</v>
      </c>
      <c r="U2206" s="4">
        <f t="shared" si="68"/>
        <v>0</v>
      </c>
      <c r="V2206" s="166"/>
      <c r="W2206" s="3">
        <v>2014</v>
      </c>
      <c r="X2206" s="3" t="s">
        <v>12076</v>
      </c>
    </row>
    <row r="2207" spans="1:24" ht="89.25">
      <c r="A2207" s="3" t="s">
        <v>1381</v>
      </c>
      <c r="B2207" s="6" t="s">
        <v>361</v>
      </c>
      <c r="C2207" s="6" t="s">
        <v>4338</v>
      </c>
      <c r="D2207" s="6" t="s">
        <v>4339</v>
      </c>
      <c r="E2207" s="6" t="s">
        <v>4339</v>
      </c>
      <c r="F2207" s="6" t="s">
        <v>4678</v>
      </c>
      <c r="G2207" s="3" t="s">
        <v>11450</v>
      </c>
      <c r="H2207" s="54">
        <v>0.5</v>
      </c>
      <c r="I2207" s="16">
        <v>470000000</v>
      </c>
      <c r="J2207" s="56" t="s">
        <v>229</v>
      </c>
      <c r="K2207" s="6" t="s">
        <v>517</v>
      </c>
      <c r="L2207" s="16" t="s">
        <v>4567</v>
      </c>
      <c r="M2207" s="162" t="s">
        <v>230</v>
      </c>
      <c r="N2207" s="15" t="s">
        <v>521</v>
      </c>
      <c r="O2207" s="6" t="s">
        <v>4568</v>
      </c>
      <c r="P2207" s="58" t="s">
        <v>241</v>
      </c>
      <c r="Q2207" s="6" t="s">
        <v>234</v>
      </c>
      <c r="R2207" s="4">
        <v>120</v>
      </c>
      <c r="S2207" s="74">
        <v>4462</v>
      </c>
      <c r="T2207" s="4">
        <v>0</v>
      </c>
      <c r="U2207" s="4">
        <f t="shared" si="68"/>
        <v>0</v>
      </c>
      <c r="V2207" s="3" t="s">
        <v>362</v>
      </c>
      <c r="W2207" s="3">
        <v>2014</v>
      </c>
      <c r="X2207" s="3" t="s">
        <v>14010</v>
      </c>
    </row>
    <row r="2208" spans="1:24" ht="89.25">
      <c r="A2208" s="3" t="s">
        <v>12424</v>
      </c>
      <c r="B2208" s="6" t="s">
        <v>361</v>
      </c>
      <c r="C2208" s="6" t="s">
        <v>4338</v>
      </c>
      <c r="D2208" s="6" t="s">
        <v>4339</v>
      </c>
      <c r="E2208" s="6" t="s">
        <v>4339</v>
      </c>
      <c r="F2208" s="6" t="s">
        <v>4678</v>
      </c>
      <c r="G2208" s="3" t="s">
        <v>11449</v>
      </c>
      <c r="H2208" s="54">
        <v>0.5</v>
      </c>
      <c r="I2208" s="16">
        <v>470000000</v>
      </c>
      <c r="J2208" s="56" t="s">
        <v>229</v>
      </c>
      <c r="K2208" s="6" t="s">
        <v>12372</v>
      </c>
      <c r="L2208" s="17" t="s">
        <v>11411</v>
      </c>
      <c r="M2208" s="162" t="s">
        <v>230</v>
      </c>
      <c r="N2208" s="15" t="s">
        <v>521</v>
      </c>
      <c r="O2208" s="6" t="s">
        <v>4568</v>
      </c>
      <c r="P2208" s="58" t="s">
        <v>241</v>
      </c>
      <c r="Q2208" s="6" t="s">
        <v>234</v>
      </c>
      <c r="R2208" s="4">
        <v>120</v>
      </c>
      <c r="S2208" s="74">
        <v>4462</v>
      </c>
      <c r="T2208" s="4">
        <v>0</v>
      </c>
      <c r="U2208" s="4">
        <f t="shared" si="68"/>
        <v>0</v>
      </c>
      <c r="V2208" s="3"/>
      <c r="W2208" s="3">
        <v>2014</v>
      </c>
      <c r="X2208" s="3">
        <v>11</v>
      </c>
    </row>
    <row r="2209" spans="1:24" ht="89.25">
      <c r="A2209" s="3" t="s">
        <v>15573</v>
      </c>
      <c r="B2209" s="6" t="s">
        <v>361</v>
      </c>
      <c r="C2209" s="6" t="s">
        <v>4338</v>
      </c>
      <c r="D2209" s="6" t="s">
        <v>4339</v>
      </c>
      <c r="E2209" s="6" t="s">
        <v>4339</v>
      </c>
      <c r="F2209" s="6" t="s">
        <v>4678</v>
      </c>
      <c r="G2209" s="3" t="s">
        <v>11449</v>
      </c>
      <c r="H2209" s="54">
        <v>0.5</v>
      </c>
      <c r="I2209" s="16">
        <v>470000000</v>
      </c>
      <c r="J2209" s="56" t="s">
        <v>229</v>
      </c>
      <c r="K2209" s="6" t="s">
        <v>222</v>
      </c>
      <c r="L2209" s="17" t="s">
        <v>11411</v>
      </c>
      <c r="M2209" s="162" t="s">
        <v>230</v>
      </c>
      <c r="N2209" s="15" t="s">
        <v>521</v>
      </c>
      <c r="O2209" s="6" t="s">
        <v>4568</v>
      </c>
      <c r="P2209" s="58" t="s">
        <v>241</v>
      </c>
      <c r="Q2209" s="6" t="s">
        <v>234</v>
      </c>
      <c r="R2209" s="4">
        <v>0</v>
      </c>
      <c r="S2209" s="74">
        <v>4462</v>
      </c>
      <c r="T2209" s="4">
        <f>R2209*S2209</f>
        <v>0</v>
      </c>
      <c r="U2209" s="4">
        <f t="shared" si="68"/>
        <v>0</v>
      </c>
      <c r="V2209" s="3"/>
      <c r="W2209" s="3">
        <v>2014</v>
      </c>
      <c r="X2209" s="3" t="s">
        <v>12076</v>
      </c>
    </row>
    <row r="2210" spans="1:24" ht="89.25">
      <c r="A2210" s="3" t="s">
        <v>1382</v>
      </c>
      <c r="B2210" s="6" t="s">
        <v>361</v>
      </c>
      <c r="C2210" s="6" t="s">
        <v>4338</v>
      </c>
      <c r="D2210" s="6" t="s">
        <v>4339</v>
      </c>
      <c r="E2210" s="6" t="s">
        <v>4339</v>
      </c>
      <c r="F2210" s="6" t="s">
        <v>4679</v>
      </c>
      <c r="G2210" s="3" t="s">
        <v>11450</v>
      </c>
      <c r="H2210" s="54">
        <v>0.5</v>
      </c>
      <c r="I2210" s="55">
        <v>470000000</v>
      </c>
      <c r="J2210" s="56" t="s">
        <v>229</v>
      </c>
      <c r="K2210" s="6" t="s">
        <v>517</v>
      </c>
      <c r="L2210" s="16" t="s">
        <v>4570</v>
      </c>
      <c r="M2210" s="162" t="s">
        <v>230</v>
      </c>
      <c r="N2210" s="15" t="s">
        <v>521</v>
      </c>
      <c r="O2210" s="6" t="s">
        <v>4568</v>
      </c>
      <c r="P2210" s="58" t="s">
        <v>241</v>
      </c>
      <c r="Q2210" s="6" t="s">
        <v>234</v>
      </c>
      <c r="R2210" s="3">
        <v>12</v>
      </c>
      <c r="S2210" s="1">
        <v>4158</v>
      </c>
      <c r="T2210" s="4">
        <v>0</v>
      </c>
      <c r="U2210" s="4">
        <f t="shared" si="68"/>
        <v>0</v>
      </c>
      <c r="V2210" s="166" t="s">
        <v>362</v>
      </c>
      <c r="W2210" s="3">
        <v>2014</v>
      </c>
      <c r="X2210" s="3" t="s">
        <v>14010</v>
      </c>
    </row>
    <row r="2211" spans="1:24" ht="89.25">
      <c r="A2211" s="3" t="s">
        <v>12425</v>
      </c>
      <c r="B2211" s="6" t="s">
        <v>361</v>
      </c>
      <c r="C2211" s="6" t="s">
        <v>4338</v>
      </c>
      <c r="D2211" s="6" t="s">
        <v>4339</v>
      </c>
      <c r="E2211" s="6" t="s">
        <v>4339</v>
      </c>
      <c r="F2211" s="6" t="s">
        <v>4679</v>
      </c>
      <c r="G2211" s="3" t="s">
        <v>11449</v>
      </c>
      <c r="H2211" s="54">
        <v>0.5</v>
      </c>
      <c r="I2211" s="55">
        <v>470000000</v>
      </c>
      <c r="J2211" s="56" t="s">
        <v>229</v>
      </c>
      <c r="K2211" s="6" t="s">
        <v>12372</v>
      </c>
      <c r="L2211" s="17" t="s">
        <v>11411</v>
      </c>
      <c r="M2211" s="162" t="s">
        <v>230</v>
      </c>
      <c r="N2211" s="15" t="s">
        <v>521</v>
      </c>
      <c r="O2211" s="6" t="s">
        <v>4568</v>
      </c>
      <c r="P2211" s="58" t="s">
        <v>241</v>
      </c>
      <c r="Q2211" s="6" t="s">
        <v>234</v>
      </c>
      <c r="R2211" s="3">
        <v>12</v>
      </c>
      <c r="S2211" s="1">
        <v>4158</v>
      </c>
      <c r="T2211" s="4">
        <v>0</v>
      </c>
      <c r="U2211" s="4">
        <f t="shared" si="68"/>
        <v>0</v>
      </c>
      <c r="V2211" s="166"/>
      <c r="W2211" s="3">
        <v>2014</v>
      </c>
      <c r="X2211" s="3">
        <v>11</v>
      </c>
    </row>
    <row r="2212" spans="1:24" ht="89.25">
      <c r="A2212" s="3" t="s">
        <v>15574</v>
      </c>
      <c r="B2212" s="6" t="s">
        <v>361</v>
      </c>
      <c r="C2212" s="6" t="s">
        <v>4338</v>
      </c>
      <c r="D2212" s="6" t="s">
        <v>4339</v>
      </c>
      <c r="E2212" s="6" t="s">
        <v>4339</v>
      </c>
      <c r="F2212" s="6" t="s">
        <v>4679</v>
      </c>
      <c r="G2212" s="3" t="s">
        <v>11449</v>
      </c>
      <c r="H2212" s="54">
        <v>0.5</v>
      </c>
      <c r="I2212" s="55">
        <v>470000000</v>
      </c>
      <c r="J2212" s="56" t="s">
        <v>229</v>
      </c>
      <c r="K2212" s="6" t="s">
        <v>222</v>
      </c>
      <c r="L2212" s="17" t="s">
        <v>11411</v>
      </c>
      <c r="M2212" s="162" t="s">
        <v>230</v>
      </c>
      <c r="N2212" s="15" t="s">
        <v>521</v>
      </c>
      <c r="O2212" s="6" t="s">
        <v>4568</v>
      </c>
      <c r="P2212" s="58" t="s">
        <v>241</v>
      </c>
      <c r="Q2212" s="6" t="s">
        <v>234</v>
      </c>
      <c r="R2212" s="3">
        <v>0</v>
      </c>
      <c r="S2212" s="1">
        <v>4158</v>
      </c>
      <c r="T2212" s="4">
        <f>R2212*S2212</f>
        <v>0</v>
      </c>
      <c r="U2212" s="4">
        <f t="shared" si="68"/>
        <v>0</v>
      </c>
      <c r="V2212" s="166"/>
      <c r="W2212" s="3">
        <v>2014</v>
      </c>
      <c r="X2212" s="3" t="s">
        <v>12076</v>
      </c>
    </row>
    <row r="2213" spans="1:24" ht="89.25">
      <c r="A2213" s="3" t="s">
        <v>1383</v>
      </c>
      <c r="B2213" s="6" t="s">
        <v>361</v>
      </c>
      <c r="C2213" s="6" t="s">
        <v>4338</v>
      </c>
      <c r="D2213" s="6" t="s">
        <v>4339</v>
      </c>
      <c r="E2213" s="6" t="s">
        <v>4339</v>
      </c>
      <c r="F2213" s="6" t="s">
        <v>4680</v>
      </c>
      <c r="G2213" s="3" t="s">
        <v>11450</v>
      </c>
      <c r="H2213" s="54">
        <v>0.5</v>
      </c>
      <c r="I2213" s="16">
        <v>470000000</v>
      </c>
      <c r="J2213" s="56" t="s">
        <v>229</v>
      </c>
      <c r="K2213" s="6" t="s">
        <v>517</v>
      </c>
      <c r="L2213" s="16" t="s">
        <v>4567</v>
      </c>
      <c r="M2213" s="162" t="s">
        <v>230</v>
      </c>
      <c r="N2213" s="15" t="s">
        <v>521</v>
      </c>
      <c r="O2213" s="6" t="s">
        <v>4568</v>
      </c>
      <c r="P2213" s="58" t="s">
        <v>241</v>
      </c>
      <c r="Q2213" s="6" t="s">
        <v>234</v>
      </c>
      <c r="R2213" s="4">
        <v>8</v>
      </c>
      <c r="S2213" s="74">
        <v>3215</v>
      </c>
      <c r="T2213" s="4">
        <v>0</v>
      </c>
      <c r="U2213" s="4">
        <f t="shared" si="68"/>
        <v>0</v>
      </c>
      <c r="V2213" s="3" t="s">
        <v>362</v>
      </c>
      <c r="W2213" s="3">
        <v>2014</v>
      </c>
      <c r="X2213" s="3" t="s">
        <v>14010</v>
      </c>
    </row>
    <row r="2214" spans="1:24" ht="89.25">
      <c r="A2214" s="3" t="s">
        <v>12426</v>
      </c>
      <c r="B2214" s="6" t="s">
        <v>361</v>
      </c>
      <c r="C2214" s="6" t="s">
        <v>4338</v>
      </c>
      <c r="D2214" s="6" t="s">
        <v>4339</v>
      </c>
      <c r="E2214" s="6" t="s">
        <v>4339</v>
      </c>
      <c r="F2214" s="6" t="s">
        <v>4680</v>
      </c>
      <c r="G2214" s="3" t="s">
        <v>11449</v>
      </c>
      <c r="H2214" s="54">
        <v>0.5</v>
      </c>
      <c r="I2214" s="16">
        <v>470000000</v>
      </c>
      <c r="J2214" s="56" t="s">
        <v>229</v>
      </c>
      <c r="K2214" s="6" t="s">
        <v>12372</v>
      </c>
      <c r="L2214" s="17" t="s">
        <v>11411</v>
      </c>
      <c r="M2214" s="162" t="s">
        <v>230</v>
      </c>
      <c r="N2214" s="15" t="s">
        <v>521</v>
      </c>
      <c r="O2214" s="6" t="s">
        <v>4568</v>
      </c>
      <c r="P2214" s="58" t="s">
        <v>241</v>
      </c>
      <c r="Q2214" s="6" t="s">
        <v>234</v>
      </c>
      <c r="R2214" s="4">
        <v>8</v>
      </c>
      <c r="S2214" s="74">
        <v>3215</v>
      </c>
      <c r="T2214" s="4">
        <v>0</v>
      </c>
      <c r="U2214" s="4">
        <f t="shared" si="68"/>
        <v>0</v>
      </c>
      <c r="V2214" s="3"/>
      <c r="W2214" s="3">
        <v>2014</v>
      </c>
      <c r="X2214" s="3">
        <v>11</v>
      </c>
    </row>
    <row r="2215" spans="1:24" ht="89.25">
      <c r="A2215" s="3" t="s">
        <v>15575</v>
      </c>
      <c r="B2215" s="6" t="s">
        <v>361</v>
      </c>
      <c r="C2215" s="6" t="s">
        <v>4338</v>
      </c>
      <c r="D2215" s="6" t="s">
        <v>4339</v>
      </c>
      <c r="E2215" s="6" t="s">
        <v>4339</v>
      </c>
      <c r="F2215" s="6" t="s">
        <v>4680</v>
      </c>
      <c r="G2215" s="3" t="s">
        <v>11449</v>
      </c>
      <c r="H2215" s="54">
        <v>0.5</v>
      </c>
      <c r="I2215" s="16">
        <v>470000000</v>
      </c>
      <c r="J2215" s="56" t="s">
        <v>229</v>
      </c>
      <c r="K2215" s="6" t="s">
        <v>222</v>
      </c>
      <c r="L2215" s="17" t="s">
        <v>11411</v>
      </c>
      <c r="M2215" s="162" t="s">
        <v>230</v>
      </c>
      <c r="N2215" s="15" t="s">
        <v>521</v>
      </c>
      <c r="O2215" s="6" t="s">
        <v>4568</v>
      </c>
      <c r="P2215" s="58" t="s">
        <v>241</v>
      </c>
      <c r="Q2215" s="6" t="s">
        <v>234</v>
      </c>
      <c r="R2215" s="4">
        <v>0</v>
      </c>
      <c r="S2215" s="74">
        <v>3215</v>
      </c>
      <c r="T2215" s="4">
        <f>R2215*S2215</f>
        <v>0</v>
      </c>
      <c r="U2215" s="4">
        <f t="shared" si="68"/>
        <v>0</v>
      </c>
      <c r="V2215" s="3"/>
      <c r="W2215" s="3">
        <v>2014</v>
      </c>
      <c r="X2215" s="3" t="s">
        <v>12076</v>
      </c>
    </row>
    <row r="2216" spans="1:24" ht="89.25">
      <c r="A2216" s="3" t="s">
        <v>1384</v>
      </c>
      <c r="B2216" s="6" t="s">
        <v>361</v>
      </c>
      <c r="C2216" s="6" t="s">
        <v>4338</v>
      </c>
      <c r="D2216" s="6" t="s">
        <v>4339</v>
      </c>
      <c r="E2216" s="6" t="s">
        <v>4339</v>
      </c>
      <c r="F2216" s="6" t="s">
        <v>4681</v>
      </c>
      <c r="G2216" s="3" t="s">
        <v>11450</v>
      </c>
      <c r="H2216" s="54">
        <v>0.5</v>
      </c>
      <c r="I2216" s="55">
        <v>470000000</v>
      </c>
      <c r="J2216" s="56" t="s">
        <v>229</v>
      </c>
      <c r="K2216" s="6" t="s">
        <v>518</v>
      </c>
      <c r="L2216" s="16" t="s">
        <v>4570</v>
      </c>
      <c r="M2216" s="162" t="s">
        <v>230</v>
      </c>
      <c r="N2216" s="15" t="s">
        <v>521</v>
      </c>
      <c r="O2216" s="6" t="s">
        <v>4568</v>
      </c>
      <c r="P2216" s="58" t="s">
        <v>241</v>
      </c>
      <c r="Q2216" s="6" t="s">
        <v>234</v>
      </c>
      <c r="R2216" s="3">
        <v>80</v>
      </c>
      <c r="S2216" s="1">
        <v>4326</v>
      </c>
      <c r="T2216" s="4">
        <v>0</v>
      </c>
      <c r="U2216" s="4">
        <f t="shared" si="68"/>
        <v>0</v>
      </c>
      <c r="V2216" s="166" t="s">
        <v>362</v>
      </c>
      <c r="W2216" s="3">
        <v>2014</v>
      </c>
      <c r="X2216" s="3" t="s">
        <v>14010</v>
      </c>
    </row>
    <row r="2217" spans="1:24" ht="89.25">
      <c r="A2217" s="3" t="s">
        <v>12427</v>
      </c>
      <c r="B2217" s="6" t="s">
        <v>361</v>
      </c>
      <c r="C2217" s="6" t="s">
        <v>4338</v>
      </c>
      <c r="D2217" s="6" t="s">
        <v>4339</v>
      </c>
      <c r="E2217" s="6" t="s">
        <v>4339</v>
      </c>
      <c r="F2217" s="6" t="s">
        <v>4681</v>
      </c>
      <c r="G2217" s="3" t="s">
        <v>11449</v>
      </c>
      <c r="H2217" s="54">
        <v>0.5</v>
      </c>
      <c r="I2217" s="55">
        <v>470000000</v>
      </c>
      <c r="J2217" s="56" t="s">
        <v>229</v>
      </c>
      <c r="K2217" s="6" t="s">
        <v>12372</v>
      </c>
      <c r="L2217" s="17" t="s">
        <v>11411</v>
      </c>
      <c r="M2217" s="162" t="s">
        <v>230</v>
      </c>
      <c r="N2217" s="15" t="s">
        <v>521</v>
      </c>
      <c r="O2217" s="6" t="s">
        <v>4568</v>
      </c>
      <c r="P2217" s="58" t="s">
        <v>241</v>
      </c>
      <c r="Q2217" s="6" t="s">
        <v>234</v>
      </c>
      <c r="R2217" s="3">
        <v>80</v>
      </c>
      <c r="S2217" s="1">
        <v>4326</v>
      </c>
      <c r="T2217" s="4">
        <v>0</v>
      </c>
      <c r="U2217" s="4">
        <f t="shared" si="68"/>
        <v>0</v>
      </c>
      <c r="V2217" s="166"/>
      <c r="W2217" s="3">
        <v>2014</v>
      </c>
      <c r="X2217" s="3">
        <v>11</v>
      </c>
    </row>
    <row r="2218" spans="1:24" ht="89.25">
      <c r="A2218" s="3" t="s">
        <v>15576</v>
      </c>
      <c r="B2218" s="6" t="s">
        <v>361</v>
      </c>
      <c r="C2218" s="6" t="s">
        <v>4338</v>
      </c>
      <c r="D2218" s="6" t="s">
        <v>4339</v>
      </c>
      <c r="E2218" s="6" t="s">
        <v>4339</v>
      </c>
      <c r="F2218" s="6" t="s">
        <v>4681</v>
      </c>
      <c r="G2218" s="3" t="s">
        <v>11449</v>
      </c>
      <c r="H2218" s="54">
        <v>0.5</v>
      </c>
      <c r="I2218" s="55">
        <v>470000000</v>
      </c>
      <c r="J2218" s="56" t="s">
        <v>229</v>
      </c>
      <c r="K2218" s="6" t="s">
        <v>222</v>
      </c>
      <c r="L2218" s="17" t="s">
        <v>11411</v>
      </c>
      <c r="M2218" s="162" t="s">
        <v>230</v>
      </c>
      <c r="N2218" s="15" t="s">
        <v>521</v>
      </c>
      <c r="O2218" s="6" t="s">
        <v>4568</v>
      </c>
      <c r="P2218" s="58" t="s">
        <v>241</v>
      </c>
      <c r="Q2218" s="6" t="s">
        <v>234</v>
      </c>
      <c r="R2218" s="3">
        <v>0</v>
      </c>
      <c r="S2218" s="1">
        <v>4326</v>
      </c>
      <c r="T2218" s="4">
        <f>R2218*S2218</f>
        <v>0</v>
      </c>
      <c r="U2218" s="4">
        <f t="shared" si="68"/>
        <v>0</v>
      </c>
      <c r="V2218" s="166"/>
      <c r="W2218" s="3">
        <v>2014</v>
      </c>
      <c r="X2218" s="3" t="s">
        <v>12076</v>
      </c>
    </row>
    <row r="2219" spans="1:24" ht="89.25">
      <c r="A2219" s="3" t="s">
        <v>1385</v>
      </c>
      <c r="B2219" s="6" t="s">
        <v>361</v>
      </c>
      <c r="C2219" s="6" t="s">
        <v>4338</v>
      </c>
      <c r="D2219" s="6" t="s">
        <v>4339</v>
      </c>
      <c r="E2219" s="6" t="s">
        <v>4339</v>
      </c>
      <c r="F2219" s="6" t="s">
        <v>4682</v>
      </c>
      <c r="G2219" s="3" t="s">
        <v>11450</v>
      </c>
      <c r="H2219" s="54">
        <v>0.5</v>
      </c>
      <c r="I2219" s="16">
        <v>470000000</v>
      </c>
      <c r="J2219" s="56" t="s">
        <v>229</v>
      </c>
      <c r="K2219" s="6" t="s">
        <v>517</v>
      </c>
      <c r="L2219" s="16" t="s">
        <v>4567</v>
      </c>
      <c r="M2219" s="162" t="s">
        <v>230</v>
      </c>
      <c r="N2219" s="15" t="s">
        <v>521</v>
      </c>
      <c r="O2219" s="6" t="s">
        <v>4568</v>
      </c>
      <c r="P2219" s="58" t="s">
        <v>241</v>
      </c>
      <c r="Q2219" s="6" t="s">
        <v>234</v>
      </c>
      <c r="R2219" s="4">
        <v>120</v>
      </c>
      <c r="S2219" s="74">
        <v>1865</v>
      </c>
      <c r="T2219" s="4">
        <v>0</v>
      </c>
      <c r="U2219" s="4">
        <f t="shared" si="68"/>
        <v>0</v>
      </c>
      <c r="V2219" s="3" t="s">
        <v>362</v>
      </c>
      <c r="W2219" s="3">
        <v>2014</v>
      </c>
      <c r="X2219" s="3" t="s">
        <v>14010</v>
      </c>
    </row>
    <row r="2220" spans="1:24" ht="89.25">
      <c r="A2220" s="3" t="s">
        <v>12428</v>
      </c>
      <c r="B2220" s="6" t="s">
        <v>361</v>
      </c>
      <c r="C2220" s="6" t="s">
        <v>4338</v>
      </c>
      <c r="D2220" s="6" t="s">
        <v>4339</v>
      </c>
      <c r="E2220" s="6" t="s">
        <v>4339</v>
      </c>
      <c r="F2220" s="6" t="s">
        <v>4682</v>
      </c>
      <c r="G2220" s="3" t="s">
        <v>11449</v>
      </c>
      <c r="H2220" s="54">
        <v>0.5</v>
      </c>
      <c r="I2220" s="16">
        <v>470000000</v>
      </c>
      <c r="J2220" s="56" t="s">
        <v>229</v>
      </c>
      <c r="K2220" s="6" t="s">
        <v>12372</v>
      </c>
      <c r="L2220" s="17" t="s">
        <v>11411</v>
      </c>
      <c r="M2220" s="162" t="s">
        <v>230</v>
      </c>
      <c r="N2220" s="15" t="s">
        <v>521</v>
      </c>
      <c r="O2220" s="6" t="s">
        <v>4568</v>
      </c>
      <c r="P2220" s="58" t="s">
        <v>241</v>
      </c>
      <c r="Q2220" s="6" t="s">
        <v>234</v>
      </c>
      <c r="R2220" s="4">
        <v>120</v>
      </c>
      <c r="S2220" s="74">
        <v>1865</v>
      </c>
      <c r="T2220" s="4">
        <v>0</v>
      </c>
      <c r="U2220" s="4">
        <f t="shared" si="68"/>
        <v>0</v>
      </c>
      <c r="V2220" s="3"/>
      <c r="W2220" s="3">
        <v>2014</v>
      </c>
      <c r="X2220" s="3">
        <v>11</v>
      </c>
    </row>
    <row r="2221" spans="1:24" ht="89.25">
      <c r="A2221" s="3" t="s">
        <v>15577</v>
      </c>
      <c r="B2221" s="6" t="s">
        <v>361</v>
      </c>
      <c r="C2221" s="6" t="s">
        <v>4338</v>
      </c>
      <c r="D2221" s="6" t="s">
        <v>4339</v>
      </c>
      <c r="E2221" s="6" t="s">
        <v>4339</v>
      </c>
      <c r="F2221" s="6" t="s">
        <v>4682</v>
      </c>
      <c r="G2221" s="3" t="s">
        <v>11449</v>
      </c>
      <c r="H2221" s="54">
        <v>0.5</v>
      </c>
      <c r="I2221" s="16">
        <v>470000000</v>
      </c>
      <c r="J2221" s="56" t="s">
        <v>229</v>
      </c>
      <c r="K2221" s="6" t="s">
        <v>222</v>
      </c>
      <c r="L2221" s="17" t="s">
        <v>11411</v>
      </c>
      <c r="M2221" s="162" t="s">
        <v>230</v>
      </c>
      <c r="N2221" s="15" t="s">
        <v>521</v>
      </c>
      <c r="O2221" s="6" t="s">
        <v>4568</v>
      </c>
      <c r="P2221" s="58" t="s">
        <v>241</v>
      </c>
      <c r="Q2221" s="6" t="s">
        <v>234</v>
      </c>
      <c r="R2221" s="4">
        <v>0</v>
      </c>
      <c r="S2221" s="74">
        <v>1865</v>
      </c>
      <c r="T2221" s="4">
        <f>R2221*S2221</f>
        <v>0</v>
      </c>
      <c r="U2221" s="4">
        <f t="shared" si="68"/>
        <v>0</v>
      </c>
      <c r="V2221" s="3"/>
      <c r="W2221" s="3">
        <v>2014</v>
      </c>
      <c r="X2221" s="3" t="s">
        <v>12076</v>
      </c>
    </row>
    <row r="2222" spans="1:24" ht="89.25">
      <c r="A2222" s="3" t="s">
        <v>1386</v>
      </c>
      <c r="B2222" s="6" t="s">
        <v>361</v>
      </c>
      <c r="C2222" s="6" t="s">
        <v>4338</v>
      </c>
      <c r="D2222" s="6" t="s">
        <v>4339</v>
      </c>
      <c r="E2222" s="6" t="s">
        <v>4339</v>
      </c>
      <c r="F2222" s="6" t="s">
        <v>4683</v>
      </c>
      <c r="G2222" s="3" t="s">
        <v>11450</v>
      </c>
      <c r="H2222" s="54">
        <v>0.5</v>
      </c>
      <c r="I2222" s="55">
        <v>470000000</v>
      </c>
      <c r="J2222" s="56" t="s">
        <v>229</v>
      </c>
      <c r="K2222" s="6" t="s">
        <v>517</v>
      </c>
      <c r="L2222" s="16" t="s">
        <v>4570</v>
      </c>
      <c r="M2222" s="162" t="s">
        <v>230</v>
      </c>
      <c r="N2222" s="15" t="s">
        <v>521</v>
      </c>
      <c r="O2222" s="6" t="s">
        <v>4568</v>
      </c>
      <c r="P2222" s="58" t="s">
        <v>241</v>
      </c>
      <c r="Q2222" s="6" t="s">
        <v>234</v>
      </c>
      <c r="R2222" s="3">
        <v>12</v>
      </c>
      <c r="S2222" s="1">
        <v>1739</v>
      </c>
      <c r="T2222" s="4">
        <v>0</v>
      </c>
      <c r="U2222" s="4">
        <f t="shared" si="68"/>
        <v>0</v>
      </c>
      <c r="V2222" s="166" t="s">
        <v>362</v>
      </c>
      <c r="W2222" s="3">
        <v>2014</v>
      </c>
      <c r="X2222" s="3" t="s">
        <v>14010</v>
      </c>
    </row>
    <row r="2223" spans="1:24" ht="89.25">
      <c r="A2223" s="3" t="s">
        <v>12429</v>
      </c>
      <c r="B2223" s="6" t="s">
        <v>361</v>
      </c>
      <c r="C2223" s="6" t="s">
        <v>4338</v>
      </c>
      <c r="D2223" s="6" t="s">
        <v>4339</v>
      </c>
      <c r="E2223" s="6" t="s">
        <v>4339</v>
      </c>
      <c r="F2223" s="6" t="s">
        <v>4683</v>
      </c>
      <c r="G2223" s="3" t="s">
        <v>11449</v>
      </c>
      <c r="H2223" s="54">
        <v>0.5</v>
      </c>
      <c r="I2223" s="55">
        <v>470000000</v>
      </c>
      <c r="J2223" s="56" t="s">
        <v>229</v>
      </c>
      <c r="K2223" s="6" t="s">
        <v>12372</v>
      </c>
      <c r="L2223" s="17" t="s">
        <v>11411</v>
      </c>
      <c r="M2223" s="162" t="s">
        <v>230</v>
      </c>
      <c r="N2223" s="15" t="s">
        <v>521</v>
      </c>
      <c r="O2223" s="6" t="s">
        <v>4568</v>
      </c>
      <c r="P2223" s="58" t="s">
        <v>241</v>
      </c>
      <c r="Q2223" s="6" t="s">
        <v>234</v>
      </c>
      <c r="R2223" s="3">
        <v>12</v>
      </c>
      <c r="S2223" s="1">
        <v>1739</v>
      </c>
      <c r="T2223" s="4">
        <v>0</v>
      </c>
      <c r="U2223" s="4">
        <f t="shared" si="68"/>
        <v>0</v>
      </c>
      <c r="V2223" s="166"/>
      <c r="W2223" s="3">
        <v>2014</v>
      </c>
      <c r="X2223" s="3">
        <v>11</v>
      </c>
    </row>
    <row r="2224" spans="1:24" ht="89.25">
      <c r="A2224" s="3" t="s">
        <v>15578</v>
      </c>
      <c r="B2224" s="6" t="s">
        <v>361</v>
      </c>
      <c r="C2224" s="6" t="s">
        <v>4338</v>
      </c>
      <c r="D2224" s="6" t="s">
        <v>4339</v>
      </c>
      <c r="E2224" s="6" t="s">
        <v>4339</v>
      </c>
      <c r="F2224" s="6" t="s">
        <v>4683</v>
      </c>
      <c r="G2224" s="3" t="s">
        <v>11449</v>
      </c>
      <c r="H2224" s="54">
        <v>0.5</v>
      </c>
      <c r="I2224" s="55">
        <v>470000000</v>
      </c>
      <c r="J2224" s="56" t="s">
        <v>229</v>
      </c>
      <c r="K2224" s="6" t="s">
        <v>222</v>
      </c>
      <c r="L2224" s="17" t="s">
        <v>11411</v>
      </c>
      <c r="M2224" s="162" t="s">
        <v>230</v>
      </c>
      <c r="N2224" s="15" t="s">
        <v>521</v>
      </c>
      <c r="O2224" s="6" t="s">
        <v>4568</v>
      </c>
      <c r="P2224" s="58" t="s">
        <v>241</v>
      </c>
      <c r="Q2224" s="6" t="s">
        <v>234</v>
      </c>
      <c r="R2224" s="3">
        <v>0</v>
      </c>
      <c r="S2224" s="1">
        <v>1739</v>
      </c>
      <c r="T2224" s="4">
        <f>R2224*S2224</f>
        <v>0</v>
      </c>
      <c r="U2224" s="4">
        <f t="shared" si="68"/>
        <v>0</v>
      </c>
      <c r="V2224" s="166"/>
      <c r="W2224" s="3">
        <v>2014</v>
      </c>
      <c r="X2224" s="3" t="s">
        <v>12076</v>
      </c>
    </row>
    <row r="2225" spans="1:24" ht="89.25">
      <c r="A2225" s="3" t="s">
        <v>1387</v>
      </c>
      <c r="B2225" s="6" t="s">
        <v>361</v>
      </c>
      <c r="C2225" s="6" t="s">
        <v>4338</v>
      </c>
      <c r="D2225" s="6" t="s">
        <v>4339</v>
      </c>
      <c r="E2225" s="6" t="s">
        <v>4339</v>
      </c>
      <c r="F2225" s="6" t="s">
        <v>4684</v>
      </c>
      <c r="G2225" s="3" t="s">
        <v>11450</v>
      </c>
      <c r="H2225" s="54">
        <v>0.5</v>
      </c>
      <c r="I2225" s="16">
        <v>470000000</v>
      </c>
      <c r="J2225" s="56" t="s">
        <v>229</v>
      </c>
      <c r="K2225" s="6" t="s">
        <v>517</v>
      </c>
      <c r="L2225" s="16" t="s">
        <v>4567</v>
      </c>
      <c r="M2225" s="162" t="s">
        <v>230</v>
      </c>
      <c r="N2225" s="15" t="s">
        <v>521</v>
      </c>
      <c r="O2225" s="6" t="s">
        <v>4568</v>
      </c>
      <c r="P2225" s="58" t="s">
        <v>241</v>
      </c>
      <c r="Q2225" s="6" t="s">
        <v>234</v>
      </c>
      <c r="R2225" s="4">
        <v>80</v>
      </c>
      <c r="S2225" s="74">
        <v>1719</v>
      </c>
      <c r="T2225" s="4">
        <v>0</v>
      </c>
      <c r="U2225" s="4">
        <f t="shared" si="68"/>
        <v>0</v>
      </c>
      <c r="V2225" s="3" t="s">
        <v>362</v>
      </c>
      <c r="W2225" s="3">
        <v>2014</v>
      </c>
      <c r="X2225" s="3" t="s">
        <v>14010</v>
      </c>
    </row>
    <row r="2226" spans="1:24" ht="89.25">
      <c r="A2226" s="3" t="s">
        <v>12430</v>
      </c>
      <c r="B2226" s="6" t="s">
        <v>361</v>
      </c>
      <c r="C2226" s="6" t="s">
        <v>4338</v>
      </c>
      <c r="D2226" s="6" t="s">
        <v>4339</v>
      </c>
      <c r="E2226" s="6" t="s">
        <v>4339</v>
      </c>
      <c r="F2226" s="6" t="s">
        <v>4684</v>
      </c>
      <c r="G2226" s="3" t="s">
        <v>11449</v>
      </c>
      <c r="H2226" s="54">
        <v>0.5</v>
      </c>
      <c r="I2226" s="16">
        <v>470000000</v>
      </c>
      <c r="J2226" s="56" t="s">
        <v>229</v>
      </c>
      <c r="K2226" s="6" t="s">
        <v>12372</v>
      </c>
      <c r="L2226" s="17" t="s">
        <v>11411</v>
      </c>
      <c r="M2226" s="162" t="s">
        <v>230</v>
      </c>
      <c r="N2226" s="15" t="s">
        <v>521</v>
      </c>
      <c r="O2226" s="6" t="s">
        <v>4568</v>
      </c>
      <c r="P2226" s="58" t="s">
        <v>241</v>
      </c>
      <c r="Q2226" s="6" t="s">
        <v>234</v>
      </c>
      <c r="R2226" s="4">
        <v>80</v>
      </c>
      <c r="S2226" s="74">
        <v>1719</v>
      </c>
      <c r="T2226" s="4">
        <v>0</v>
      </c>
      <c r="U2226" s="4">
        <f t="shared" si="68"/>
        <v>0</v>
      </c>
      <c r="V2226" s="3"/>
      <c r="W2226" s="3">
        <v>2014</v>
      </c>
      <c r="X2226" s="3">
        <v>11</v>
      </c>
    </row>
    <row r="2227" spans="1:24" ht="89.25">
      <c r="A2227" s="3" t="s">
        <v>15579</v>
      </c>
      <c r="B2227" s="6" t="s">
        <v>361</v>
      </c>
      <c r="C2227" s="6" t="s">
        <v>4338</v>
      </c>
      <c r="D2227" s="6" t="s">
        <v>4339</v>
      </c>
      <c r="E2227" s="6" t="s">
        <v>4339</v>
      </c>
      <c r="F2227" s="6" t="s">
        <v>4684</v>
      </c>
      <c r="G2227" s="3" t="s">
        <v>11449</v>
      </c>
      <c r="H2227" s="54">
        <v>0.5</v>
      </c>
      <c r="I2227" s="16">
        <v>470000000</v>
      </c>
      <c r="J2227" s="56" t="s">
        <v>229</v>
      </c>
      <c r="K2227" s="6" t="s">
        <v>222</v>
      </c>
      <c r="L2227" s="17" t="s">
        <v>11411</v>
      </c>
      <c r="M2227" s="162" t="s">
        <v>230</v>
      </c>
      <c r="N2227" s="15" t="s">
        <v>521</v>
      </c>
      <c r="O2227" s="6" t="s">
        <v>4568</v>
      </c>
      <c r="P2227" s="58" t="s">
        <v>241</v>
      </c>
      <c r="Q2227" s="6" t="s">
        <v>234</v>
      </c>
      <c r="R2227" s="4">
        <v>0</v>
      </c>
      <c r="S2227" s="74">
        <v>1719</v>
      </c>
      <c r="T2227" s="4">
        <f>R2227*S2227</f>
        <v>0</v>
      </c>
      <c r="U2227" s="4">
        <f t="shared" si="68"/>
        <v>0</v>
      </c>
      <c r="V2227" s="3"/>
      <c r="W2227" s="3">
        <v>2014</v>
      </c>
      <c r="X2227" s="3" t="s">
        <v>12076</v>
      </c>
    </row>
    <row r="2228" spans="1:24" ht="89.25">
      <c r="A2228" s="3" t="s">
        <v>1388</v>
      </c>
      <c r="B2228" s="6" t="s">
        <v>361</v>
      </c>
      <c r="C2228" s="6" t="s">
        <v>4338</v>
      </c>
      <c r="D2228" s="6" t="s">
        <v>4339</v>
      </c>
      <c r="E2228" s="6" t="s">
        <v>4339</v>
      </c>
      <c r="F2228" s="6" t="s">
        <v>4685</v>
      </c>
      <c r="G2228" s="3" t="s">
        <v>11450</v>
      </c>
      <c r="H2228" s="54">
        <v>0.5</v>
      </c>
      <c r="I2228" s="55">
        <v>470000000</v>
      </c>
      <c r="J2228" s="56" t="s">
        <v>229</v>
      </c>
      <c r="K2228" s="6" t="s">
        <v>517</v>
      </c>
      <c r="L2228" s="16" t="s">
        <v>4570</v>
      </c>
      <c r="M2228" s="162" t="s">
        <v>230</v>
      </c>
      <c r="N2228" s="15" t="s">
        <v>521</v>
      </c>
      <c r="O2228" s="6" t="s">
        <v>4568</v>
      </c>
      <c r="P2228" s="58" t="s">
        <v>241</v>
      </c>
      <c r="Q2228" s="6" t="s">
        <v>234</v>
      </c>
      <c r="R2228" s="3">
        <v>8</v>
      </c>
      <c r="S2228" s="1">
        <v>1324</v>
      </c>
      <c r="T2228" s="4">
        <v>0</v>
      </c>
      <c r="U2228" s="4">
        <f t="shared" si="68"/>
        <v>0</v>
      </c>
      <c r="V2228" s="166" t="s">
        <v>362</v>
      </c>
      <c r="W2228" s="3">
        <v>2014</v>
      </c>
      <c r="X2228" s="3" t="s">
        <v>14010</v>
      </c>
    </row>
    <row r="2229" spans="1:24" ht="89.25">
      <c r="A2229" s="3" t="s">
        <v>12431</v>
      </c>
      <c r="B2229" s="6" t="s">
        <v>361</v>
      </c>
      <c r="C2229" s="6" t="s">
        <v>4338</v>
      </c>
      <c r="D2229" s="6" t="s">
        <v>4339</v>
      </c>
      <c r="E2229" s="6" t="s">
        <v>4339</v>
      </c>
      <c r="F2229" s="6" t="s">
        <v>4685</v>
      </c>
      <c r="G2229" s="3" t="s">
        <v>11449</v>
      </c>
      <c r="H2229" s="54">
        <v>0.5</v>
      </c>
      <c r="I2229" s="55">
        <v>470000000</v>
      </c>
      <c r="J2229" s="56" t="s">
        <v>229</v>
      </c>
      <c r="K2229" s="6" t="s">
        <v>12372</v>
      </c>
      <c r="L2229" s="17" t="s">
        <v>11411</v>
      </c>
      <c r="M2229" s="162" t="s">
        <v>230</v>
      </c>
      <c r="N2229" s="15" t="s">
        <v>521</v>
      </c>
      <c r="O2229" s="6" t="s">
        <v>4568</v>
      </c>
      <c r="P2229" s="58" t="s">
        <v>241</v>
      </c>
      <c r="Q2229" s="6" t="s">
        <v>234</v>
      </c>
      <c r="R2229" s="3">
        <v>8</v>
      </c>
      <c r="S2229" s="1">
        <v>1324</v>
      </c>
      <c r="T2229" s="4">
        <v>0</v>
      </c>
      <c r="U2229" s="4">
        <f t="shared" si="68"/>
        <v>0</v>
      </c>
      <c r="V2229" s="166"/>
      <c r="W2229" s="3">
        <v>2014</v>
      </c>
      <c r="X2229" s="3">
        <v>11</v>
      </c>
    </row>
    <row r="2230" spans="1:24" ht="89.25">
      <c r="A2230" s="3" t="s">
        <v>15580</v>
      </c>
      <c r="B2230" s="6" t="s">
        <v>361</v>
      </c>
      <c r="C2230" s="6" t="s">
        <v>4338</v>
      </c>
      <c r="D2230" s="6" t="s">
        <v>4339</v>
      </c>
      <c r="E2230" s="6" t="s">
        <v>4339</v>
      </c>
      <c r="F2230" s="6" t="s">
        <v>4685</v>
      </c>
      <c r="G2230" s="3" t="s">
        <v>11449</v>
      </c>
      <c r="H2230" s="54">
        <v>0.5</v>
      </c>
      <c r="I2230" s="55">
        <v>470000000</v>
      </c>
      <c r="J2230" s="56" t="s">
        <v>229</v>
      </c>
      <c r="K2230" s="6" t="s">
        <v>222</v>
      </c>
      <c r="L2230" s="17" t="s">
        <v>11411</v>
      </c>
      <c r="M2230" s="162" t="s">
        <v>230</v>
      </c>
      <c r="N2230" s="15" t="s">
        <v>521</v>
      </c>
      <c r="O2230" s="6" t="s">
        <v>4568</v>
      </c>
      <c r="P2230" s="58" t="s">
        <v>241</v>
      </c>
      <c r="Q2230" s="6" t="s">
        <v>234</v>
      </c>
      <c r="R2230" s="3">
        <v>0</v>
      </c>
      <c r="S2230" s="1">
        <v>1324</v>
      </c>
      <c r="T2230" s="4">
        <f>R2230*S2230</f>
        <v>0</v>
      </c>
      <c r="U2230" s="4">
        <f t="shared" si="68"/>
        <v>0</v>
      </c>
      <c r="V2230" s="166"/>
      <c r="W2230" s="3">
        <v>2014</v>
      </c>
      <c r="X2230" s="3" t="s">
        <v>12076</v>
      </c>
    </row>
    <row r="2231" spans="1:24" ht="89.25">
      <c r="A2231" s="3" t="s">
        <v>1389</v>
      </c>
      <c r="B2231" s="6" t="s">
        <v>361</v>
      </c>
      <c r="C2231" s="6" t="s">
        <v>4338</v>
      </c>
      <c r="D2231" s="6" t="s">
        <v>4339</v>
      </c>
      <c r="E2231" s="6" t="s">
        <v>4339</v>
      </c>
      <c r="F2231" s="6" t="s">
        <v>4686</v>
      </c>
      <c r="G2231" s="3" t="s">
        <v>11450</v>
      </c>
      <c r="H2231" s="54">
        <v>0.5</v>
      </c>
      <c r="I2231" s="16">
        <v>470000000</v>
      </c>
      <c r="J2231" s="56" t="s">
        <v>229</v>
      </c>
      <c r="K2231" s="6" t="s">
        <v>517</v>
      </c>
      <c r="L2231" s="16" t="s">
        <v>4567</v>
      </c>
      <c r="M2231" s="162" t="s">
        <v>230</v>
      </c>
      <c r="N2231" s="15" t="s">
        <v>521</v>
      </c>
      <c r="O2231" s="6" t="s">
        <v>4568</v>
      </c>
      <c r="P2231" s="58" t="s">
        <v>241</v>
      </c>
      <c r="Q2231" s="6" t="s">
        <v>234</v>
      </c>
      <c r="R2231" s="4">
        <v>176</v>
      </c>
      <c r="S2231" s="74">
        <v>5548</v>
      </c>
      <c r="T2231" s="4">
        <v>0</v>
      </c>
      <c r="U2231" s="4">
        <f t="shared" si="68"/>
        <v>0</v>
      </c>
      <c r="V2231" s="3" t="s">
        <v>362</v>
      </c>
      <c r="W2231" s="3">
        <v>2014</v>
      </c>
      <c r="X2231" s="3" t="s">
        <v>14010</v>
      </c>
    </row>
    <row r="2232" spans="1:24" ht="89.25">
      <c r="A2232" s="3" t="s">
        <v>12432</v>
      </c>
      <c r="B2232" s="6" t="s">
        <v>361</v>
      </c>
      <c r="C2232" s="6" t="s">
        <v>4338</v>
      </c>
      <c r="D2232" s="6" t="s">
        <v>4339</v>
      </c>
      <c r="E2232" s="6" t="s">
        <v>4339</v>
      </c>
      <c r="F2232" s="6" t="s">
        <v>4686</v>
      </c>
      <c r="G2232" s="3" t="s">
        <v>11449</v>
      </c>
      <c r="H2232" s="54">
        <v>0.5</v>
      </c>
      <c r="I2232" s="16">
        <v>470000000</v>
      </c>
      <c r="J2232" s="56" t="s">
        <v>229</v>
      </c>
      <c r="K2232" s="6" t="s">
        <v>12372</v>
      </c>
      <c r="L2232" s="17" t="s">
        <v>11411</v>
      </c>
      <c r="M2232" s="162" t="s">
        <v>230</v>
      </c>
      <c r="N2232" s="15" t="s">
        <v>521</v>
      </c>
      <c r="O2232" s="6" t="s">
        <v>4568</v>
      </c>
      <c r="P2232" s="58" t="s">
        <v>241</v>
      </c>
      <c r="Q2232" s="6" t="s">
        <v>234</v>
      </c>
      <c r="R2232" s="4">
        <v>176</v>
      </c>
      <c r="S2232" s="74">
        <v>5548</v>
      </c>
      <c r="T2232" s="4">
        <v>0</v>
      </c>
      <c r="U2232" s="4">
        <f t="shared" si="68"/>
        <v>0</v>
      </c>
      <c r="V2232" s="3"/>
      <c r="W2232" s="3">
        <v>2014</v>
      </c>
      <c r="X2232" s="3">
        <v>11</v>
      </c>
    </row>
    <row r="2233" spans="1:24" ht="89.25">
      <c r="A2233" s="3" t="s">
        <v>15581</v>
      </c>
      <c r="B2233" s="6" t="s">
        <v>361</v>
      </c>
      <c r="C2233" s="6" t="s">
        <v>4338</v>
      </c>
      <c r="D2233" s="6" t="s">
        <v>4339</v>
      </c>
      <c r="E2233" s="6" t="s">
        <v>4339</v>
      </c>
      <c r="F2233" s="6" t="s">
        <v>4686</v>
      </c>
      <c r="G2233" s="3" t="s">
        <v>11449</v>
      </c>
      <c r="H2233" s="54">
        <v>0.5</v>
      </c>
      <c r="I2233" s="16">
        <v>470000000</v>
      </c>
      <c r="J2233" s="56" t="s">
        <v>229</v>
      </c>
      <c r="K2233" s="6" t="s">
        <v>222</v>
      </c>
      <c r="L2233" s="17" t="s">
        <v>11411</v>
      </c>
      <c r="M2233" s="162" t="s">
        <v>230</v>
      </c>
      <c r="N2233" s="15" t="s">
        <v>521</v>
      </c>
      <c r="O2233" s="6" t="s">
        <v>4568</v>
      </c>
      <c r="P2233" s="58" t="s">
        <v>241</v>
      </c>
      <c r="Q2233" s="6" t="s">
        <v>234</v>
      </c>
      <c r="R2233" s="4">
        <v>0</v>
      </c>
      <c r="S2233" s="74">
        <v>5548</v>
      </c>
      <c r="T2233" s="4">
        <f>R2233*S2233</f>
        <v>0</v>
      </c>
      <c r="U2233" s="4">
        <f t="shared" si="68"/>
        <v>0</v>
      </c>
      <c r="V2233" s="3"/>
      <c r="W2233" s="3">
        <v>2014</v>
      </c>
      <c r="X2233" s="3" t="s">
        <v>12076</v>
      </c>
    </row>
    <row r="2234" spans="1:24" ht="89.25">
      <c r="A2234" s="3" t="s">
        <v>1390</v>
      </c>
      <c r="B2234" s="6" t="s">
        <v>361</v>
      </c>
      <c r="C2234" s="6" t="s">
        <v>4338</v>
      </c>
      <c r="D2234" s="6" t="s">
        <v>4339</v>
      </c>
      <c r="E2234" s="6" t="s">
        <v>4339</v>
      </c>
      <c r="F2234" s="6" t="s">
        <v>4687</v>
      </c>
      <c r="G2234" s="3" t="s">
        <v>11450</v>
      </c>
      <c r="H2234" s="54">
        <v>0.5</v>
      </c>
      <c r="I2234" s="55">
        <v>470000000</v>
      </c>
      <c r="J2234" s="56" t="s">
        <v>229</v>
      </c>
      <c r="K2234" s="6" t="s">
        <v>517</v>
      </c>
      <c r="L2234" s="16" t="s">
        <v>4570</v>
      </c>
      <c r="M2234" s="162" t="s">
        <v>230</v>
      </c>
      <c r="N2234" s="15" t="s">
        <v>521</v>
      </c>
      <c r="O2234" s="6" t="s">
        <v>4568</v>
      </c>
      <c r="P2234" s="58" t="s">
        <v>241</v>
      </c>
      <c r="Q2234" s="6" t="s">
        <v>234</v>
      </c>
      <c r="R2234" s="3">
        <v>176</v>
      </c>
      <c r="S2234" s="1">
        <v>2439</v>
      </c>
      <c r="T2234" s="4">
        <v>0</v>
      </c>
      <c r="U2234" s="4">
        <f t="shared" si="68"/>
        <v>0</v>
      </c>
      <c r="V2234" s="166" t="s">
        <v>362</v>
      </c>
      <c r="W2234" s="3">
        <v>2014</v>
      </c>
      <c r="X2234" s="3" t="s">
        <v>14010</v>
      </c>
    </row>
    <row r="2235" spans="1:24" ht="89.25">
      <c r="A2235" s="3" t="s">
        <v>12433</v>
      </c>
      <c r="B2235" s="6" t="s">
        <v>361</v>
      </c>
      <c r="C2235" s="6" t="s">
        <v>4338</v>
      </c>
      <c r="D2235" s="6" t="s">
        <v>4339</v>
      </c>
      <c r="E2235" s="6" t="s">
        <v>4339</v>
      </c>
      <c r="F2235" s="6" t="s">
        <v>4687</v>
      </c>
      <c r="G2235" s="3" t="s">
        <v>11449</v>
      </c>
      <c r="H2235" s="54">
        <v>0.5</v>
      </c>
      <c r="I2235" s="55">
        <v>470000000</v>
      </c>
      <c r="J2235" s="56" t="s">
        <v>229</v>
      </c>
      <c r="K2235" s="6" t="s">
        <v>12372</v>
      </c>
      <c r="L2235" s="17" t="s">
        <v>11411</v>
      </c>
      <c r="M2235" s="162" t="s">
        <v>230</v>
      </c>
      <c r="N2235" s="15" t="s">
        <v>521</v>
      </c>
      <c r="O2235" s="6" t="s">
        <v>4568</v>
      </c>
      <c r="P2235" s="58" t="s">
        <v>241</v>
      </c>
      <c r="Q2235" s="6" t="s">
        <v>234</v>
      </c>
      <c r="R2235" s="3">
        <v>176</v>
      </c>
      <c r="S2235" s="1">
        <v>2439</v>
      </c>
      <c r="T2235" s="4">
        <v>0</v>
      </c>
      <c r="U2235" s="4">
        <f t="shared" si="68"/>
        <v>0</v>
      </c>
      <c r="V2235" s="166"/>
      <c r="W2235" s="3">
        <v>2014</v>
      </c>
      <c r="X2235" s="3">
        <v>11</v>
      </c>
    </row>
    <row r="2236" spans="1:24" ht="89.25">
      <c r="A2236" s="3" t="s">
        <v>15582</v>
      </c>
      <c r="B2236" s="6" t="s">
        <v>361</v>
      </c>
      <c r="C2236" s="6" t="s">
        <v>4338</v>
      </c>
      <c r="D2236" s="6" t="s">
        <v>4339</v>
      </c>
      <c r="E2236" s="6" t="s">
        <v>4339</v>
      </c>
      <c r="F2236" s="6" t="s">
        <v>4687</v>
      </c>
      <c r="G2236" s="3" t="s">
        <v>11449</v>
      </c>
      <c r="H2236" s="54">
        <v>0.5</v>
      </c>
      <c r="I2236" s="55">
        <v>470000000</v>
      </c>
      <c r="J2236" s="56" t="s">
        <v>229</v>
      </c>
      <c r="K2236" s="6" t="s">
        <v>222</v>
      </c>
      <c r="L2236" s="17" t="s">
        <v>11411</v>
      </c>
      <c r="M2236" s="162" t="s">
        <v>230</v>
      </c>
      <c r="N2236" s="15" t="s">
        <v>521</v>
      </c>
      <c r="O2236" s="6" t="s">
        <v>4568</v>
      </c>
      <c r="P2236" s="58" t="s">
        <v>241</v>
      </c>
      <c r="Q2236" s="6" t="s">
        <v>234</v>
      </c>
      <c r="R2236" s="3">
        <v>0</v>
      </c>
      <c r="S2236" s="1">
        <v>2439</v>
      </c>
      <c r="T2236" s="4">
        <f>R2236*S2236</f>
        <v>0</v>
      </c>
      <c r="U2236" s="4">
        <f t="shared" si="68"/>
        <v>0</v>
      </c>
      <c r="V2236" s="166"/>
      <c r="W2236" s="3">
        <v>2014</v>
      </c>
      <c r="X2236" s="3" t="s">
        <v>12076</v>
      </c>
    </row>
    <row r="2237" spans="1:24" ht="89.25">
      <c r="A2237" s="3" t="s">
        <v>1391</v>
      </c>
      <c r="B2237" s="6" t="s">
        <v>361</v>
      </c>
      <c r="C2237" s="6" t="s">
        <v>4338</v>
      </c>
      <c r="D2237" s="6" t="s">
        <v>4339</v>
      </c>
      <c r="E2237" s="6" t="s">
        <v>4339</v>
      </c>
      <c r="F2237" s="6" t="s">
        <v>4688</v>
      </c>
      <c r="G2237" s="3" t="s">
        <v>11450</v>
      </c>
      <c r="H2237" s="54">
        <v>0.5</v>
      </c>
      <c r="I2237" s="16">
        <v>470000000</v>
      </c>
      <c r="J2237" s="56" t="s">
        <v>229</v>
      </c>
      <c r="K2237" s="6" t="s">
        <v>517</v>
      </c>
      <c r="L2237" s="16" t="s">
        <v>4567</v>
      </c>
      <c r="M2237" s="162" t="s">
        <v>230</v>
      </c>
      <c r="N2237" s="15" t="s">
        <v>521</v>
      </c>
      <c r="O2237" s="6" t="s">
        <v>4568</v>
      </c>
      <c r="P2237" s="58" t="s">
        <v>241</v>
      </c>
      <c r="Q2237" s="6" t="s">
        <v>234</v>
      </c>
      <c r="R2237" s="4">
        <v>160</v>
      </c>
      <c r="S2237" s="74">
        <v>4559</v>
      </c>
      <c r="T2237" s="4">
        <v>0</v>
      </c>
      <c r="U2237" s="4">
        <f t="shared" si="68"/>
        <v>0</v>
      </c>
      <c r="V2237" s="3" t="s">
        <v>362</v>
      </c>
      <c r="W2237" s="3">
        <v>2014</v>
      </c>
      <c r="X2237" s="3" t="s">
        <v>14010</v>
      </c>
    </row>
    <row r="2238" spans="1:24" ht="89.25">
      <c r="A2238" s="3" t="s">
        <v>12435</v>
      </c>
      <c r="B2238" s="6" t="s">
        <v>361</v>
      </c>
      <c r="C2238" s="6" t="s">
        <v>4338</v>
      </c>
      <c r="D2238" s="6" t="s">
        <v>4339</v>
      </c>
      <c r="E2238" s="6" t="s">
        <v>4339</v>
      </c>
      <c r="F2238" s="6" t="s">
        <v>4688</v>
      </c>
      <c r="G2238" s="3" t="s">
        <v>11449</v>
      </c>
      <c r="H2238" s="54">
        <v>0.5</v>
      </c>
      <c r="I2238" s="16">
        <v>470000000</v>
      </c>
      <c r="J2238" s="56" t="s">
        <v>229</v>
      </c>
      <c r="K2238" s="6" t="s">
        <v>12372</v>
      </c>
      <c r="L2238" s="17" t="s">
        <v>11411</v>
      </c>
      <c r="M2238" s="162" t="s">
        <v>230</v>
      </c>
      <c r="N2238" s="15" t="s">
        <v>521</v>
      </c>
      <c r="O2238" s="6" t="s">
        <v>4568</v>
      </c>
      <c r="P2238" s="58" t="s">
        <v>241</v>
      </c>
      <c r="Q2238" s="6" t="s">
        <v>234</v>
      </c>
      <c r="R2238" s="4">
        <v>160</v>
      </c>
      <c r="S2238" s="74">
        <v>4559</v>
      </c>
      <c r="T2238" s="4">
        <v>0</v>
      </c>
      <c r="U2238" s="4">
        <f t="shared" si="68"/>
        <v>0</v>
      </c>
      <c r="V2238" s="3"/>
      <c r="W2238" s="3">
        <v>2014</v>
      </c>
      <c r="X2238" s="3">
        <v>11</v>
      </c>
    </row>
    <row r="2239" spans="1:24" ht="89.25">
      <c r="A2239" s="3" t="s">
        <v>15583</v>
      </c>
      <c r="B2239" s="6" t="s">
        <v>361</v>
      </c>
      <c r="C2239" s="6" t="s">
        <v>4338</v>
      </c>
      <c r="D2239" s="6" t="s">
        <v>4339</v>
      </c>
      <c r="E2239" s="6" t="s">
        <v>4339</v>
      </c>
      <c r="F2239" s="6" t="s">
        <v>4688</v>
      </c>
      <c r="G2239" s="3" t="s">
        <v>11449</v>
      </c>
      <c r="H2239" s="54">
        <v>0.5</v>
      </c>
      <c r="I2239" s="16">
        <v>470000000</v>
      </c>
      <c r="J2239" s="56" t="s">
        <v>229</v>
      </c>
      <c r="K2239" s="6" t="s">
        <v>222</v>
      </c>
      <c r="L2239" s="17" t="s">
        <v>11411</v>
      </c>
      <c r="M2239" s="162" t="s">
        <v>230</v>
      </c>
      <c r="N2239" s="15" t="s">
        <v>521</v>
      </c>
      <c r="O2239" s="6" t="s">
        <v>4568</v>
      </c>
      <c r="P2239" s="58" t="s">
        <v>241</v>
      </c>
      <c r="Q2239" s="6" t="s">
        <v>234</v>
      </c>
      <c r="R2239" s="4">
        <v>0</v>
      </c>
      <c r="S2239" s="74">
        <v>4559</v>
      </c>
      <c r="T2239" s="4">
        <f>R2239*S2239</f>
        <v>0</v>
      </c>
      <c r="U2239" s="4">
        <f t="shared" si="68"/>
        <v>0</v>
      </c>
      <c r="V2239" s="3"/>
      <c r="W2239" s="3">
        <v>2014</v>
      </c>
      <c r="X2239" s="3" t="s">
        <v>12076</v>
      </c>
    </row>
    <row r="2240" spans="1:24" ht="89.25">
      <c r="A2240" s="3" t="s">
        <v>1392</v>
      </c>
      <c r="B2240" s="6" t="s">
        <v>361</v>
      </c>
      <c r="C2240" s="6" t="s">
        <v>4338</v>
      </c>
      <c r="D2240" s="6" t="s">
        <v>4339</v>
      </c>
      <c r="E2240" s="6" t="s">
        <v>4339</v>
      </c>
      <c r="F2240" s="6" t="s">
        <v>4689</v>
      </c>
      <c r="G2240" s="3" t="s">
        <v>11450</v>
      </c>
      <c r="H2240" s="54">
        <v>0.5</v>
      </c>
      <c r="I2240" s="55">
        <v>470000000</v>
      </c>
      <c r="J2240" s="56" t="s">
        <v>229</v>
      </c>
      <c r="K2240" s="6" t="s">
        <v>517</v>
      </c>
      <c r="L2240" s="16" t="s">
        <v>4570</v>
      </c>
      <c r="M2240" s="162" t="s">
        <v>230</v>
      </c>
      <c r="N2240" s="15" t="s">
        <v>521</v>
      </c>
      <c r="O2240" s="6" t="s">
        <v>4568</v>
      </c>
      <c r="P2240" s="58" t="s">
        <v>241</v>
      </c>
      <c r="Q2240" s="6" t="s">
        <v>234</v>
      </c>
      <c r="R2240" s="3">
        <v>160</v>
      </c>
      <c r="S2240" s="1">
        <v>2774</v>
      </c>
      <c r="T2240" s="4">
        <v>0</v>
      </c>
      <c r="U2240" s="4">
        <f t="shared" si="68"/>
        <v>0</v>
      </c>
      <c r="V2240" s="166" t="s">
        <v>362</v>
      </c>
      <c r="W2240" s="3">
        <v>2014</v>
      </c>
      <c r="X2240" s="3" t="s">
        <v>14010</v>
      </c>
    </row>
    <row r="2241" spans="1:24" ht="89.25">
      <c r="A2241" s="3" t="s">
        <v>12436</v>
      </c>
      <c r="B2241" s="6" t="s">
        <v>361</v>
      </c>
      <c r="C2241" s="6" t="s">
        <v>4338</v>
      </c>
      <c r="D2241" s="6" t="s">
        <v>4339</v>
      </c>
      <c r="E2241" s="6" t="s">
        <v>4339</v>
      </c>
      <c r="F2241" s="6" t="s">
        <v>4689</v>
      </c>
      <c r="G2241" s="3" t="s">
        <v>11449</v>
      </c>
      <c r="H2241" s="54">
        <v>0.5</v>
      </c>
      <c r="I2241" s="55">
        <v>470000000</v>
      </c>
      <c r="J2241" s="56" t="s">
        <v>229</v>
      </c>
      <c r="K2241" s="6" t="s">
        <v>12372</v>
      </c>
      <c r="L2241" s="17" t="s">
        <v>11411</v>
      </c>
      <c r="M2241" s="162" t="s">
        <v>230</v>
      </c>
      <c r="N2241" s="15" t="s">
        <v>521</v>
      </c>
      <c r="O2241" s="6" t="s">
        <v>4568</v>
      </c>
      <c r="P2241" s="58" t="s">
        <v>241</v>
      </c>
      <c r="Q2241" s="6" t="s">
        <v>234</v>
      </c>
      <c r="R2241" s="3">
        <v>160</v>
      </c>
      <c r="S2241" s="1">
        <v>2774</v>
      </c>
      <c r="T2241" s="4">
        <v>0</v>
      </c>
      <c r="U2241" s="4">
        <f t="shared" si="68"/>
        <v>0</v>
      </c>
      <c r="V2241" s="166"/>
      <c r="W2241" s="3">
        <v>2014</v>
      </c>
      <c r="X2241" s="3">
        <v>11</v>
      </c>
    </row>
    <row r="2242" spans="1:24" ht="89.25">
      <c r="A2242" s="3" t="s">
        <v>15584</v>
      </c>
      <c r="B2242" s="6" t="s">
        <v>361</v>
      </c>
      <c r="C2242" s="6" t="s">
        <v>4338</v>
      </c>
      <c r="D2242" s="6" t="s">
        <v>4339</v>
      </c>
      <c r="E2242" s="6" t="s">
        <v>4339</v>
      </c>
      <c r="F2242" s="6" t="s">
        <v>4689</v>
      </c>
      <c r="G2242" s="3" t="s">
        <v>11449</v>
      </c>
      <c r="H2242" s="54">
        <v>0.5</v>
      </c>
      <c r="I2242" s="55">
        <v>470000000</v>
      </c>
      <c r="J2242" s="56" t="s">
        <v>229</v>
      </c>
      <c r="K2242" s="6" t="s">
        <v>222</v>
      </c>
      <c r="L2242" s="17" t="s">
        <v>11411</v>
      </c>
      <c r="M2242" s="162" t="s">
        <v>230</v>
      </c>
      <c r="N2242" s="15" t="s">
        <v>521</v>
      </c>
      <c r="O2242" s="6" t="s">
        <v>4568</v>
      </c>
      <c r="P2242" s="58" t="s">
        <v>241</v>
      </c>
      <c r="Q2242" s="6" t="s">
        <v>234</v>
      </c>
      <c r="R2242" s="3">
        <v>0</v>
      </c>
      <c r="S2242" s="1">
        <v>2774</v>
      </c>
      <c r="T2242" s="4">
        <f>R2242*S2242</f>
        <v>0</v>
      </c>
      <c r="U2242" s="4">
        <f t="shared" si="68"/>
        <v>0</v>
      </c>
      <c r="V2242" s="166"/>
      <c r="W2242" s="3">
        <v>2014</v>
      </c>
      <c r="X2242" s="3" t="s">
        <v>12076</v>
      </c>
    </row>
    <row r="2243" spans="1:24" ht="89.25">
      <c r="A2243" s="3" t="s">
        <v>1393</v>
      </c>
      <c r="B2243" s="6" t="s">
        <v>361</v>
      </c>
      <c r="C2243" s="6" t="s">
        <v>4338</v>
      </c>
      <c r="D2243" s="6" t="s">
        <v>4339</v>
      </c>
      <c r="E2243" s="6" t="s">
        <v>4339</v>
      </c>
      <c r="F2243" s="6" t="s">
        <v>4690</v>
      </c>
      <c r="G2243" s="3" t="s">
        <v>11450</v>
      </c>
      <c r="H2243" s="54">
        <v>0.5</v>
      </c>
      <c r="I2243" s="16">
        <v>470000000</v>
      </c>
      <c r="J2243" s="56" t="s">
        <v>229</v>
      </c>
      <c r="K2243" s="6" t="s">
        <v>517</v>
      </c>
      <c r="L2243" s="16" t="s">
        <v>4567</v>
      </c>
      <c r="M2243" s="162" t="s">
        <v>230</v>
      </c>
      <c r="N2243" s="15" t="s">
        <v>521</v>
      </c>
      <c r="O2243" s="6" t="s">
        <v>4568</v>
      </c>
      <c r="P2243" s="58" t="s">
        <v>241</v>
      </c>
      <c r="Q2243" s="6" t="s">
        <v>234</v>
      </c>
      <c r="R2243" s="4">
        <v>5000</v>
      </c>
      <c r="S2243" s="74">
        <v>745</v>
      </c>
      <c r="T2243" s="4">
        <v>0</v>
      </c>
      <c r="U2243" s="4">
        <f t="shared" si="68"/>
        <v>0</v>
      </c>
      <c r="V2243" s="3" t="s">
        <v>362</v>
      </c>
      <c r="W2243" s="3">
        <v>2014</v>
      </c>
      <c r="X2243" s="3" t="s">
        <v>14010</v>
      </c>
    </row>
    <row r="2244" spans="1:24" ht="89.25">
      <c r="A2244" s="3" t="s">
        <v>12437</v>
      </c>
      <c r="B2244" s="6" t="s">
        <v>361</v>
      </c>
      <c r="C2244" s="6" t="s">
        <v>4338</v>
      </c>
      <c r="D2244" s="6" t="s">
        <v>4339</v>
      </c>
      <c r="E2244" s="6" t="s">
        <v>4339</v>
      </c>
      <c r="F2244" s="6" t="s">
        <v>4690</v>
      </c>
      <c r="G2244" s="3" t="s">
        <v>11449</v>
      </c>
      <c r="H2244" s="54">
        <v>0.5</v>
      </c>
      <c r="I2244" s="16">
        <v>470000000</v>
      </c>
      <c r="J2244" s="56" t="s">
        <v>229</v>
      </c>
      <c r="K2244" s="6" t="s">
        <v>12372</v>
      </c>
      <c r="L2244" s="17" t="s">
        <v>11411</v>
      </c>
      <c r="M2244" s="162" t="s">
        <v>230</v>
      </c>
      <c r="N2244" s="15" t="s">
        <v>521</v>
      </c>
      <c r="O2244" s="6" t="s">
        <v>4568</v>
      </c>
      <c r="P2244" s="58" t="s">
        <v>241</v>
      </c>
      <c r="Q2244" s="6" t="s">
        <v>234</v>
      </c>
      <c r="R2244" s="4">
        <v>5000</v>
      </c>
      <c r="S2244" s="74">
        <v>745</v>
      </c>
      <c r="T2244" s="4">
        <v>0</v>
      </c>
      <c r="U2244" s="4">
        <f t="shared" si="68"/>
        <v>0</v>
      </c>
      <c r="V2244" s="3"/>
      <c r="W2244" s="3">
        <v>2014</v>
      </c>
      <c r="X2244" s="3">
        <v>11</v>
      </c>
    </row>
    <row r="2245" spans="1:24" ht="89.25">
      <c r="A2245" s="3" t="s">
        <v>15585</v>
      </c>
      <c r="B2245" s="6" t="s">
        <v>361</v>
      </c>
      <c r="C2245" s="6" t="s">
        <v>4338</v>
      </c>
      <c r="D2245" s="6" t="s">
        <v>4339</v>
      </c>
      <c r="E2245" s="6" t="s">
        <v>4339</v>
      </c>
      <c r="F2245" s="6" t="s">
        <v>4690</v>
      </c>
      <c r="G2245" s="3" t="s">
        <v>11449</v>
      </c>
      <c r="H2245" s="54">
        <v>0.5</v>
      </c>
      <c r="I2245" s="16">
        <v>470000000</v>
      </c>
      <c r="J2245" s="56" t="s">
        <v>229</v>
      </c>
      <c r="K2245" s="6" t="s">
        <v>222</v>
      </c>
      <c r="L2245" s="17" t="s">
        <v>11411</v>
      </c>
      <c r="M2245" s="162" t="s">
        <v>230</v>
      </c>
      <c r="N2245" s="15" t="s">
        <v>521</v>
      </c>
      <c r="O2245" s="6" t="s">
        <v>4568</v>
      </c>
      <c r="P2245" s="58" t="s">
        <v>241</v>
      </c>
      <c r="Q2245" s="6" t="s">
        <v>234</v>
      </c>
      <c r="R2245" s="4">
        <v>0</v>
      </c>
      <c r="S2245" s="74">
        <v>745</v>
      </c>
      <c r="T2245" s="4">
        <f>R2245*S2245</f>
        <v>0</v>
      </c>
      <c r="U2245" s="4">
        <f t="shared" si="68"/>
        <v>0</v>
      </c>
      <c r="V2245" s="3"/>
      <c r="W2245" s="3">
        <v>2014</v>
      </c>
      <c r="X2245" s="3" t="s">
        <v>12076</v>
      </c>
    </row>
    <row r="2246" spans="1:24" ht="89.25">
      <c r="A2246" s="3" t="s">
        <v>1394</v>
      </c>
      <c r="B2246" s="6" t="s">
        <v>361</v>
      </c>
      <c r="C2246" s="6" t="s">
        <v>4338</v>
      </c>
      <c r="D2246" s="6" t="s">
        <v>4339</v>
      </c>
      <c r="E2246" s="6" t="s">
        <v>4339</v>
      </c>
      <c r="F2246" s="6" t="s">
        <v>4691</v>
      </c>
      <c r="G2246" s="3" t="s">
        <v>11450</v>
      </c>
      <c r="H2246" s="54">
        <v>0.5</v>
      </c>
      <c r="I2246" s="55">
        <v>470000000</v>
      </c>
      <c r="J2246" s="56" t="s">
        <v>229</v>
      </c>
      <c r="K2246" s="6" t="s">
        <v>517</v>
      </c>
      <c r="L2246" s="16" t="s">
        <v>4570</v>
      </c>
      <c r="M2246" s="162" t="s">
        <v>230</v>
      </c>
      <c r="N2246" s="15" t="s">
        <v>521</v>
      </c>
      <c r="O2246" s="6" t="s">
        <v>4568</v>
      </c>
      <c r="P2246" s="58" t="s">
        <v>241</v>
      </c>
      <c r="Q2246" s="6" t="s">
        <v>234</v>
      </c>
      <c r="R2246" s="3">
        <v>5000</v>
      </c>
      <c r="S2246" s="1">
        <v>530</v>
      </c>
      <c r="T2246" s="4">
        <v>0</v>
      </c>
      <c r="U2246" s="4">
        <f t="shared" si="68"/>
        <v>0</v>
      </c>
      <c r="V2246" s="166" t="s">
        <v>362</v>
      </c>
      <c r="W2246" s="3">
        <v>2014</v>
      </c>
      <c r="X2246" s="3" t="s">
        <v>14010</v>
      </c>
    </row>
    <row r="2247" spans="1:24" ht="89.25">
      <c r="A2247" s="3" t="s">
        <v>12438</v>
      </c>
      <c r="B2247" s="6" t="s">
        <v>361</v>
      </c>
      <c r="C2247" s="6" t="s">
        <v>4338</v>
      </c>
      <c r="D2247" s="6" t="s">
        <v>4339</v>
      </c>
      <c r="E2247" s="6" t="s">
        <v>4339</v>
      </c>
      <c r="F2247" s="6" t="s">
        <v>4691</v>
      </c>
      <c r="G2247" s="3" t="s">
        <v>11449</v>
      </c>
      <c r="H2247" s="54">
        <v>0.5</v>
      </c>
      <c r="I2247" s="55">
        <v>470000000</v>
      </c>
      <c r="J2247" s="56" t="s">
        <v>229</v>
      </c>
      <c r="K2247" s="6" t="s">
        <v>12372</v>
      </c>
      <c r="L2247" s="17" t="s">
        <v>11411</v>
      </c>
      <c r="M2247" s="162" t="s">
        <v>230</v>
      </c>
      <c r="N2247" s="15" t="s">
        <v>521</v>
      </c>
      <c r="O2247" s="6" t="s">
        <v>4568</v>
      </c>
      <c r="P2247" s="58" t="s">
        <v>241</v>
      </c>
      <c r="Q2247" s="6" t="s">
        <v>234</v>
      </c>
      <c r="R2247" s="3">
        <v>5000</v>
      </c>
      <c r="S2247" s="1">
        <v>530</v>
      </c>
      <c r="T2247" s="4">
        <v>0</v>
      </c>
      <c r="U2247" s="4">
        <f t="shared" si="68"/>
        <v>0</v>
      </c>
      <c r="V2247" s="166"/>
      <c r="W2247" s="3">
        <v>2014</v>
      </c>
      <c r="X2247" s="3">
        <v>11</v>
      </c>
    </row>
    <row r="2248" spans="1:24" ht="89.25">
      <c r="A2248" s="3" t="s">
        <v>15586</v>
      </c>
      <c r="B2248" s="6" t="s">
        <v>361</v>
      </c>
      <c r="C2248" s="6" t="s">
        <v>4338</v>
      </c>
      <c r="D2248" s="6" t="s">
        <v>4339</v>
      </c>
      <c r="E2248" s="6" t="s">
        <v>4339</v>
      </c>
      <c r="F2248" s="6" t="s">
        <v>4691</v>
      </c>
      <c r="G2248" s="3" t="s">
        <v>11449</v>
      </c>
      <c r="H2248" s="54">
        <v>0.5</v>
      </c>
      <c r="I2248" s="55">
        <v>470000000</v>
      </c>
      <c r="J2248" s="56" t="s">
        <v>229</v>
      </c>
      <c r="K2248" s="6" t="s">
        <v>222</v>
      </c>
      <c r="L2248" s="17" t="s">
        <v>11411</v>
      </c>
      <c r="M2248" s="162" t="s">
        <v>230</v>
      </c>
      <c r="N2248" s="15" t="s">
        <v>521</v>
      </c>
      <c r="O2248" s="6" t="s">
        <v>4568</v>
      </c>
      <c r="P2248" s="58" t="s">
        <v>241</v>
      </c>
      <c r="Q2248" s="6" t="s">
        <v>234</v>
      </c>
      <c r="R2248" s="3">
        <v>0</v>
      </c>
      <c r="S2248" s="1">
        <v>530</v>
      </c>
      <c r="T2248" s="4">
        <f>R2248*S2248</f>
        <v>0</v>
      </c>
      <c r="U2248" s="4">
        <f t="shared" si="68"/>
        <v>0</v>
      </c>
      <c r="V2248" s="166"/>
      <c r="W2248" s="3">
        <v>2014</v>
      </c>
      <c r="X2248" s="3" t="s">
        <v>12076</v>
      </c>
    </row>
    <row r="2249" spans="1:24" ht="89.25">
      <c r="A2249" s="3" t="s">
        <v>1395</v>
      </c>
      <c r="B2249" s="6" t="s">
        <v>361</v>
      </c>
      <c r="C2249" s="6" t="s">
        <v>4338</v>
      </c>
      <c r="D2249" s="6" t="s">
        <v>4339</v>
      </c>
      <c r="E2249" s="6" t="s">
        <v>4339</v>
      </c>
      <c r="F2249" s="6" t="s">
        <v>4692</v>
      </c>
      <c r="G2249" s="3" t="s">
        <v>11450</v>
      </c>
      <c r="H2249" s="54">
        <v>0.5</v>
      </c>
      <c r="I2249" s="16">
        <v>470000000</v>
      </c>
      <c r="J2249" s="56" t="s">
        <v>229</v>
      </c>
      <c r="K2249" s="6" t="s">
        <v>517</v>
      </c>
      <c r="L2249" s="16" t="s">
        <v>4567</v>
      </c>
      <c r="M2249" s="162" t="s">
        <v>230</v>
      </c>
      <c r="N2249" s="15" t="s">
        <v>521</v>
      </c>
      <c r="O2249" s="6" t="s">
        <v>4568</v>
      </c>
      <c r="P2249" s="58" t="s">
        <v>241</v>
      </c>
      <c r="Q2249" s="6" t="s">
        <v>234</v>
      </c>
      <c r="R2249" s="4">
        <v>30</v>
      </c>
      <c r="S2249" s="74">
        <v>1490</v>
      </c>
      <c r="T2249" s="4">
        <v>0</v>
      </c>
      <c r="U2249" s="4">
        <f t="shared" si="68"/>
        <v>0</v>
      </c>
      <c r="V2249" s="3" t="s">
        <v>362</v>
      </c>
      <c r="W2249" s="3">
        <v>2014</v>
      </c>
      <c r="X2249" s="3" t="s">
        <v>14010</v>
      </c>
    </row>
    <row r="2250" spans="1:24" ht="89.25">
      <c r="A2250" s="3" t="s">
        <v>12439</v>
      </c>
      <c r="B2250" s="6" t="s">
        <v>361</v>
      </c>
      <c r="C2250" s="6" t="s">
        <v>4338</v>
      </c>
      <c r="D2250" s="6" t="s">
        <v>4339</v>
      </c>
      <c r="E2250" s="6" t="s">
        <v>4339</v>
      </c>
      <c r="F2250" s="6" t="s">
        <v>4692</v>
      </c>
      <c r="G2250" s="3" t="s">
        <v>11449</v>
      </c>
      <c r="H2250" s="54">
        <v>0.5</v>
      </c>
      <c r="I2250" s="16">
        <v>470000000</v>
      </c>
      <c r="J2250" s="56" t="s">
        <v>229</v>
      </c>
      <c r="K2250" s="6" t="s">
        <v>12372</v>
      </c>
      <c r="L2250" s="17" t="s">
        <v>11411</v>
      </c>
      <c r="M2250" s="162" t="s">
        <v>230</v>
      </c>
      <c r="N2250" s="15" t="s">
        <v>521</v>
      </c>
      <c r="O2250" s="6" t="s">
        <v>4568</v>
      </c>
      <c r="P2250" s="58" t="s">
        <v>241</v>
      </c>
      <c r="Q2250" s="6" t="s">
        <v>234</v>
      </c>
      <c r="R2250" s="4">
        <v>30</v>
      </c>
      <c r="S2250" s="74">
        <v>1490</v>
      </c>
      <c r="T2250" s="4">
        <v>0</v>
      </c>
      <c r="U2250" s="4">
        <f t="shared" si="68"/>
        <v>0</v>
      </c>
      <c r="V2250" s="3"/>
      <c r="W2250" s="3">
        <v>2014</v>
      </c>
      <c r="X2250" s="3">
        <v>11</v>
      </c>
    </row>
    <row r="2251" spans="1:24" ht="89.25">
      <c r="A2251" s="3" t="s">
        <v>15587</v>
      </c>
      <c r="B2251" s="6" t="s">
        <v>361</v>
      </c>
      <c r="C2251" s="6" t="s">
        <v>4338</v>
      </c>
      <c r="D2251" s="6" t="s">
        <v>4339</v>
      </c>
      <c r="E2251" s="6" t="s">
        <v>4339</v>
      </c>
      <c r="F2251" s="6" t="s">
        <v>4692</v>
      </c>
      <c r="G2251" s="3" t="s">
        <v>11449</v>
      </c>
      <c r="H2251" s="54">
        <v>0.5</v>
      </c>
      <c r="I2251" s="16">
        <v>470000000</v>
      </c>
      <c r="J2251" s="56" t="s">
        <v>229</v>
      </c>
      <c r="K2251" s="6" t="s">
        <v>222</v>
      </c>
      <c r="L2251" s="17" t="s">
        <v>11411</v>
      </c>
      <c r="M2251" s="162" t="s">
        <v>230</v>
      </c>
      <c r="N2251" s="15" t="s">
        <v>521</v>
      </c>
      <c r="O2251" s="6" t="s">
        <v>4568</v>
      </c>
      <c r="P2251" s="58" t="s">
        <v>241</v>
      </c>
      <c r="Q2251" s="6" t="s">
        <v>234</v>
      </c>
      <c r="R2251" s="4">
        <v>0</v>
      </c>
      <c r="S2251" s="74">
        <v>1490</v>
      </c>
      <c r="T2251" s="4">
        <f>R2251*S2251</f>
        <v>0</v>
      </c>
      <c r="U2251" s="4">
        <f t="shared" si="68"/>
        <v>0</v>
      </c>
      <c r="V2251" s="3"/>
      <c r="W2251" s="3">
        <v>2014</v>
      </c>
      <c r="X2251" s="3" t="s">
        <v>12076</v>
      </c>
    </row>
    <row r="2252" spans="1:24" ht="89.25">
      <c r="A2252" s="3" t="s">
        <v>1396</v>
      </c>
      <c r="B2252" s="6" t="s">
        <v>361</v>
      </c>
      <c r="C2252" s="42" t="s">
        <v>4340</v>
      </c>
      <c r="D2252" s="42" t="s">
        <v>4341</v>
      </c>
      <c r="E2252" s="170" t="s">
        <v>4342</v>
      </c>
      <c r="F2252" s="6" t="s">
        <v>4693</v>
      </c>
      <c r="G2252" s="3" t="s">
        <v>11450</v>
      </c>
      <c r="H2252" s="54">
        <v>0.5</v>
      </c>
      <c r="I2252" s="55">
        <v>470000000</v>
      </c>
      <c r="J2252" s="56" t="s">
        <v>229</v>
      </c>
      <c r="K2252" s="6" t="s">
        <v>520</v>
      </c>
      <c r="L2252" s="16" t="s">
        <v>4570</v>
      </c>
      <c r="M2252" s="162" t="s">
        <v>230</v>
      </c>
      <c r="N2252" s="15" t="s">
        <v>521</v>
      </c>
      <c r="O2252" s="6" t="s">
        <v>4568</v>
      </c>
      <c r="P2252" s="58" t="s">
        <v>241</v>
      </c>
      <c r="Q2252" s="6" t="s">
        <v>234</v>
      </c>
      <c r="R2252" s="3">
        <v>5</v>
      </c>
      <c r="S2252" s="1">
        <v>16795</v>
      </c>
      <c r="T2252" s="4">
        <v>0</v>
      </c>
      <c r="U2252" s="4">
        <f t="shared" si="68"/>
        <v>0</v>
      </c>
      <c r="V2252" s="166" t="s">
        <v>362</v>
      </c>
      <c r="W2252" s="3">
        <v>2014</v>
      </c>
      <c r="X2252" s="3">
        <v>12.22</v>
      </c>
    </row>
    <row r="2253" spans="1:24" ht="89.25">
      <c r="A2253" s="3" t="s">
        <v>12494</v>
      </c>
      <c r="B2253" s="6" t="s">
        <v>361</v>
      </c>
      <c r="C2253" s="42" t="s">
        <v>4340</v>
      </c>
      <c r="D2253" s="42" t="s">
        <v>4341</v>
      </c>
      <c r="E2253" s="170" t="s">
        <v>4342</v>
      </c>
      <c r="F2253" s="6" t="s">
        <v>4693</v>
      </c>
      <c r="G2253" s="3" t="s">
        <v>11450</v>
      </c>
      <c r="H2253" s="54">
        <v>0.5</v>
      </c>
      <c r="I2253" s="55">
        <v>470000000</v>
      </c>
      <c r="J2253" s="56" t="s">
        <v>229</v>
      </c>
      <c r="K2253" s="6" t="s">
        <v>520</v>
      </c>
      <c r="L2253" s="17" t="s">
        <v>11411</v>
      </c>
      <c r="M2253" s="162" t="s">
        <v>230</v>
      </c>
      <c r="N2253" s="15" t="s">
        <v>521</v>
      </c>
      <c r="O2253" s="6" t="s">
        <v>4568</v>
      </c>
      <c r="P2253" s="58" t="s">
        <v>241</v>
      </c>
      <c r="Q2253" s="6" t="s">
        <v>234</v>
      </c>
      <c r="R2253" s="3">
        <v>5</v>
      </c>
      <c r="S2253" s="1">
        <v>16795</v>
      </c>
      <c r="T2253" s="4">
        <v>0</v>
      </c>
      <c r="U2253" s="4">
        <f t="shared" si="68"/>
        <v>0</v>
      </c>
      <c r="V2253" s="166"/>
      <c r="W2253" s="3">
        <v>2014</v>
      </c>
      <c r="X2253" s="3">
        <v>11.14</v>
      </c>
    </row>
    <row r="2254" spans="1:24" ht="89.25">
      <c r="A2254" s="3" t="s">
        <v>17561</v>
      </c>
      <c r="B2254" s="6" t="s">
        <v>361</v>
      </c>
      <c r="C2254" s="42" t="s">
        <v>4340</v>
      </c>
      <c r="D2254" s="42" t="s">
        <v>4341</v>
      </c>
      <c r="E2254" s="170" t="s">
        <v>4342</v>
      </c>
      <c r="F2254" s="6" t="s">
        <v>4693</v>
      </c>
      <c r="G2254" s="3" t="s">
        <v>11450</v>
      </c>
      <c r="H2254" s="54">
        <v>0.5</v>
      </c>
      <c r="I2254" s="55">
        <v>470000000</v>
      </c>
      <c r="J2254" s="56" t="s">
        <v>229</v>
      </c>
      <c r="K2254" s="6" t="s">
        <v>222</v>
      </c>
      <c r="L2254" s="17" t="s">
        <v>11411</v>
      </c>
      <c r="M2254" s="162" t="s">
        <v>230</v>
      </c>
      <c r="N2254" s="15" t="s">
        <v>17560</v>
      </c>
      <c r="O2254" s="6" t="s">
        <v>4568</v>
      </c>
      <c r="P2254" s="58" t="s">
        <v>241</v>
      </c>
      <c r="Q2254" s="6" t="s">
        <v>234</v>
      </c>
      <c r="R2254" s="3">
        <v>5</v>
      </c>
      <c r="S2254" s="1">
        <v>16795</v>
      </c>
      <c r="T2254" s="4">
        <f>R2254*S2254</f>
        <v>83975</v>
      </c>
      <c r="U2254" s="4">
        <f t="shared" si="68"/>
        <v>94052.000000000015</v>
      </c>
      <c r="V2254" s="166"/>
      <c r="W2254" s="3">
        <v>2014</v>
      </c>
      <c r="X2254" s="3"/>
    </row>
    <row r="2255" spans="1:24" ht="89.25">
      <c r="A2255" s="3" t="s">
        <v>1397</v>
      </c>
      <c r="B2255" s="6" t="s">
        <v>361</v>
      </c>
      <c r="C2255" s="42" t="s">
        <v>4340</v>
      </c>
      <c r="D2255" s="42" t="s">
        <v>4341</v>
      </c>
      <c r="E2255" s="170" t="s">
        <v>4342</v>
      </c>
      <c r="F2255" s="6" t="s">
        <v>4694</v>
      </c>
      <c r="G2255" s="3" t="s">
        <v>11450</v>
      </c>
      <c r="H2255" s="54">
        <v>0.5</v>
      </c>
      <c r="I2255" s="16">
        <v>470000000</v>
      </c>
      <c r="J2255" s="56" t="s">
        <v>229</v>
      </c>
      <c r="K2255" s="6" t="s">
        <v>520</v>
      </c>
      <c r="L2255" s="16" t="s">
        <v>4567</v>
      </c>
      <c r="M2255" s="162" t="s">
        <v>230</v>
      </c>
      <c r="N2255" s="15" t="s">
        <v>521</v>
      </c>
      <c r="O2255" s="6" t="s">
        <v>4568</v>
      </c>
      <c r="P2255" s="58" t="s">
        <v>241</v>
      </c>
      <c r="Q2255" s="6" t="s">
        <v>234</v>
      </c>
      <c r="R2255" s="4">
        <v>5</v>
      </c>
      <c r="S2255" s="74">
        <v>24264</v>
      </c>
      <c r="T2255" s="4">
        <v>0</v>
      </c>
      <c r="U2255" s="4">
        <f t="shared" si="68"/>
        <v>0</v>
      </c>
      <c r="V2255" s="3" t="s">
        <v>362</v>
      </c>
      <c r="W2255" s="3">
        <v>2014</v>
      </c>
      <c r="X2255" s="3">
        <v>12.22</v>
      </c>
    </row>
    <row r="2256" spans="1:24" ht="89.25">
      <c r="A2256" s="3" t="s">
        <v>12495</v>
      </c>
      <c r="B2256" s="6" t="s">
        <v>361</v>
      </c>
      <c r="C2256" s="42" t="s">
        <v>4340</v>
      </c>
      <c r="D2256" s="42" t="s">
        <v>4341</v>
      </c>
      <c r="E2256" s="170" t="s">
        <v>4342</v>
      </c>
      <c r="F2256" s="6" t="s">
        <v>4694</v>
      </c>
      <c r="G2256" s="3" t="s">
        <v>11450</v>
      </c>
      <c r="H2256" s="54">
        <v>0.5</v>
      </c>
      <c r="I2256" s="16">
        <v>470000000</v>
      </c>
      <c r="J2256" s="56" t="s">
        <v>229</v>
      </c>
      <c r="K2256" s="6" t="s">
        <v>520</v>
      </c>
      <c r="L2256" s="17" t="s">
        <v>11411</v>
      </c>
      <c r="M2256" s="162" t="s">
        <v>230</v>
      </c>
      <c r="N2256" s="15" t="s">
        <v>521</v>
      </c>
      <c r="O2256" s="6" t="s">
        <v>4568</v>
      </c>
      <c r="P2256" s="58" t="s">
        <v>241</v>
      </c>
      <c r="Q2256" s="6" t="s">
        <v>234</v>
      </c>
      <c r="R2256" s="4">
        <v>5</v>
      </c>
      <c r="S2256" s="74">
        <v>24264</v>
      </c>
      <c r="T2256" s="4">
        <v>0</v>
      </c>
      <c r="U2256" s="4">
        <f t="shared" si="68"/>
        <v>0</v>
      </c>
      <c r="V2256" s="3"/>
      <c r="W2256" s="3">
        <v>2014</v>
      </c>
      <c r="X2256" s="3">
        <v>11.14</v>
      </c>
    </row>
    <row r="2257" spans="1:24" ht="89.25">
      <c r="A2257" s="3" t="s">
        <v>17562</v>
      </c>
      <c r="B2257" s="6" t="s">
        <v>361</v>
      </c>
      <c r="C2257" s="42" t="s">
        <v>4340</v>
      </c>
      <c r="D2257" s="42" t="s">
        <v>4341</v>
      </c>
      <c r="E2257" s="170" t="s">
        <v>4342</v>
      </c>
      <c r="F2257" s="6" t="s">
        <v>4694</v>
      </c>
      <c r="G2257" s="3" t="s">
        <v>11450</v>
      </c>
      <c r="H2257" s="54">
        <v>0.5</v>
      </c>
      <c r="I2257" s="16">
        <v>470000000</v>
      </c>
      <c r="J2257" s="56" t="s">
        <v>229</v>
      </c>
      <c r="K2257" s="6" t="s">
        <v>222</v>
      </c>
      <c r="L2257" s="17" t="s">
        <v>11411</v>
      </c>
      <c r="M2257" s="162" t="s">
        <v>230</v>
      </c>
      <c r="N2257" s="15" t="s">
        <v>17560</v>
      </c>
      <c r="O2257" s="6" t="s">
        <v>4568</v>
      </c>
      <c r="P2257" s="58" t="s">
        <v>241</v>
      </c>
      <c r="Q2257" s="6" t="s">
        <v>234</v>
      </c>
      <c r="R2257" s="4">
        <v>5</v>
      </c>
      <c r="S2257" s="74">
        <v>24264</v>
      </c>
      <c r="T2257" s="4">
        <f>R2257*S2257</f>
        <v>121320</v>
      </c>
      <c r="U2257" s="4">
        <f t="shared" si="68"/>
        <v>135878.40000000002</v>
      </c>
      <c r="V2257" s="3"/>
      <c r="W2257" s="3">
        <v>2014</v>
      </c>
      <c r="X2257" s="3"/>
    </row>
    <row r="2258" spans="1:24" ht="153">
      <c r="A2258" s="3" t="s">
        <v>1398</v>
      </c>
      <c r="B2258" s="6" t="s">
        <v>361</v>
      </c>
      <c r="C2258" s="42" t="s">
        <v>4343</v>
      </c>
      <c r="D2258" s="42" t="s">
        <v>7654</v>
      </c>
      <c r="E2258" s="170" t="s">
        <v>11465</v>
      </c>
      <c r="F2258" s="6" t="s">
        <v>4695</v>
      </c>
      <c r="G2258" s="3" t="s">
        <v>11450</v>
      </c>
      <c r="H2258" s="54">
        <v>0.5</v>
      </c>
      <c r="I2258" s="55">
        <v>470000000</v>
      </c>
      <c r="J2258" s="56" t="s">
        <v>229</v>
      </c>
      <c r="K2258" s="6" t="s">
        <v>516</v>
      </c>
      <c r="L2258" s="16" t="s">
        <v>4570</v>
      </c>
      <c r="M2258" s="162" t="s">
        <v>230</v>
      </c>
      <c r="N2258" s="15" t="s">
        <v>521</v>
      </c>
      <c r="O2258" s="6" t="s">
        <v>4568</v>
      </c>
      <c r="P2258" s="58" t="s">
        <v>242</v>
      </c>
      <c r="Q2258" s="6" t="s">
        <v>239</v>
      </c>
      <c r="R2258" s="3">
        <v>15</v>
      </c>
      <c r="S2258" s="1">
        <v>46350</v>
      </c>
      <c r="T2258" s="4">
        <v>0</v>
      </c>
      <c r="U2258" s="4">
        <f t="shared" si="68"/>
        <v>0</v>
      </c>
      <c r="V2258" s="166" t="s">
        <v>362</v>
      </c>
      <c r="W2258" s="3">
        <v>2014</v>
      </c>
      <c r="X2258" s="3" t="s">
        <v>12037</v>
      </c>
    </row>
    <row r="2259" spans="1:24" ht="153">
      <c r="A2259" s="3" t="s">
        <v>12496</v>
      </c>
      <c r="B2259" s="6" t="s">
        <v>361</v>
      </c>
      <c r="C2259" s="42" t="s">
        <v>4343</v>
      </c>
      <c r="D2259" s="42" t="s">
        <v>7654</v>
      </c>
      <c r="E2259" s="170" t="s">
        <v>11465</v>
      </c>
      <c r="F2259" s="6" t="s">
        <v>4695</v>
      </c>
      <c r="G2259" s="3" t="s">
        <v>11450</v>
      </c>
      <c r="H2259" s="54">
        <v>0.5</v>
      </c>
      <c r="I2259" s="55">
        <v>470000000</v>
      </c>
      <c r="J2259" s="56" t="s">
        <v>229</v>
      </c>
      <c r="K2259" s="6" t="s">
        <v>520</v>
      </c>
      <c r="L2259" s="17" t="s">
        <v>11411</v>
      </c>
      <c r="M2259" s="162" t="s">
        <v>230</v>
      </c>
      <c r="N2259" s="15" t="s">
        <v>521</v>
      </c>
      <c r="O2259" s="6" t="s">
        <v>4568</v>
      </c>
      <c r="P2259" s="58" t="s">
        <v>242</v>
      </c>
      <c r="Q2259" s="6" t="s">
        <v>239</v>
      </c>
      <c r="R2259" s="3">
        <v>15</v>
      </c>
      <c r="S2259" s="1">
        <v>46350</v>
      </c>
      <c r="T2259" s="4">
        <v>0</v>
      </c>
      <c r="U2259" s="4">
        <f t="shared" si="68"/>
        <v>0</v>
      </c>
      <c r="V2259" s="166"/>
      <c r="W2259" s="3">
        <v>2014</v>
      </c>
      <c r="X2259" s="3">
        <v>11</v>
      </c>
    </row>
    <row r="2260" spans="1:24" ht="153">
      <c r="A2260" s="3" t="s">
        <v>15588</v>
      </c>
      <c r="B2260" s="6" t="s">
        <v>361</v>
      </c>
      <c r="C2260" s="42" t="s">
        <v>4343</v>
      </c>
      <c r="D2260" s="42" t="s">
        <v>7654</v>
      </c>
      <c r="E2260" s="170" t="s">
        <v>11465</v>
      </c>
      <c r="F2260" s="6" t="s">
        <v>4695</v>
      </c>
      <c r="G2260" s="3" t="s">
        <v>11450</v>
      </c>
      <c r="H2260" s="54">
        <v>0.5</v>
      </c>
      <c r="I2260" s="55">
        <v>470000000</v>
      </c>
      <c r="J2260" s="56" t="s">
        <v>229</v>
      </c>
      <c r="K2260" s="6" t="s">
        <v>222</v>
      </c>
      <c r="L2260" s="17" t="s">
        <v>11411</v>
      </c>
      <c r="M2260" s="162" t="s">
        <v>230</v>
      </c>
      <c r="N2260" s="15" t="s">
        <v>521</v>
      </c>
      <c r="O2260" s="6" t="s">
        <v>4568</v>
      </c>
      <c r="P2260" s="58" t="s">
        <v>242</v>
      </c>
      <c r="Q2260" s="6" t="s">
        <v>239</v>
      </c>
      <c r="R2260" s="3">
        <v>15</v>
      </c>
      <c r="S2260" s="1">
        <v>46350</v>
      </c>
      <c r="T2260" s="4">
        <v>0</v>
      </c>
      <c r="U2260" s="4">
        <f t="shared" si="68"/>
        <v>0</v>
      </c>
      <c r="V2260" s="166"/>
      <c r="W2260" s="3">
        <v>2014</v>
      </c>
      <c r="X2260" s="3" t="s">
        <v>18205</v>
      </c>
    </row>
    <row r="2261" spans="1:24" ht="153">
      <c r="A2261" s="3" t="s">
        <v>17563</v>
      </c>
      <c r="B2261" s="6" t="s">
        <v>361</v>
      </c>
      <c r="C2261" s="42" t="s">
        <v>4343</v>
      </c>
      <c r="D2261" s="42" t="s">
        <v>7654</v>
      </c>
      <c r="E2261" s="170" t="s">
        <v>11465</v>
      </c>
      <c r="F2261" s="6" t="s">
        <v>4695</v>
      </c>
      <c r="G2261" s="3" t="s">
        <v>11450</v>
      </c>
      <c r="H2261" s="54">
        <v>0.5</v>
      </c>
      <c r="I2261" s="55">
        <v>470000000</v>
      </c>
      <c r="J2261" s="56" t="s">
        <v>229</v>
      </c>
      <c r="K2261" s="6" t="s">
        <v>222</v>
      </c>
      <c r="L2261" s="17" t="s">
        <v>11411</v>
      </c>
      <c r="M2261" s="162" t="s">
        <v>230</v>
      </c>
      <c r="N2261" s="15" t="s">
        <v>17560</v>
      </c>
      <c r="O2261" s="6" t="s">
        <v>4568</v>
      </c>
      <c r="P2261" s="58" t="s">
        <v>242</v>
      </c>
      <c r="Q2261" s="6" t="s">
        <v>239</v>
      </c>
      <c r="R2261" s="3">
        <v>10</v>
      </c>
      <c r="S2261" s="1">
        <v>56350</v>
      </c>
      <c r="T2261" s="4">
        <f>R2261*S2261</f>
        <v>563500</v>
      </c>
      <c r="U2261" s="4">
        <f t="shared" si="68"/>
        <v>631120.00000000012</v>
      </c>
      <c r="V2261" s="166"/>
      <c r="W2261" s="3">
        <v>2014</v>
      </c>
      <c r="X2261" s="3"/>
    </row>
    <row r="2262" spans="1:24" ht="89.25">
      <c r="A2262" s="3" t="s">
        <v>1399</v>
      </c>
      <c r="B2262" s="6" t="s">
        <v>361</v>
      </c>
      <c r="C2262" s="6" t="s">
        <v>4346</v>
      </c>
      <c r="D2262" s="6" t="s">
        <v>4347</v>
      </c>
      <c r="E2262" s="6" t="s">
        <v>4348</v>
      </c>
      <c r="F2262" s="6" t="s">
        <v>4696</v>
      </c>
      <c r="G2262" s="3" t="s">
        <v>11450</v>
      </c>
      <c r="H2262" s="54">
        <v>0</v>
      </c>
      <c r="I2262" s="16">
        <v>470000000</v>
      </c>
      <c r="J2262" s="56" t="s">
        <v>229</v>
      </c>
      <c r="K2262" s="6" t="s">
        <v>520</v>
      </c>
      <c r="L2262" s="16" t="s">
        <v>4567</v>
      </c>
      <c r="M2262" s="162" t="s">
        <v>230</v>
      </c>
      <c r="N2262" s="15" t="s">
        <v>521</v>
      </c>
      <c r="O2262" s="6" t="s">
        <v>4568</v>
      </c>
      <c r="P2262" s="58" t="s">
        <v>241</v>
      </c>
      <c r="Q2262" s="6" t="s">
        <v>234</v>
      </c>
      <c r="R2262" s="4">
        <v>5</v>
      </c>
      <c r="S2262" s="74">
        <v>15268</v>
      </c>
      <c r="T2262" s="4">
        <v>0</v>
      </c>
      <c r="U2262" s="4">
        <f t="shared" si="68"/>
        <v>0</v>
      </c>
      <c r="V2262" s="3" t="s">
        <v>362</v>
      </c>
      <c r="W2262" s="3">
        <v>2014</v>
      </c>
      <c r="X2262" s="3">
        <v>12.22</v>
      </c>
    </row>
    <row r="2263" spans="1:24" ht="89.25">
      <c r="A2263" s="3" t="s">
        <v>12497</v>
      </c>
      <c r="B2263" s="6" t="s">
        <v>361</v>
      </c>
      <c r="C2263" s="6" t="s">
        <v>4346</v>
      </c>
      <c r="D2263" s="6" t="s">
        <v>4347</v>
      </c>
      <c r="E2263" s="6" t="s">
        <v>4348</v>
      </c>
      <c r="F2263" s="6" t="s">
        <v>4696</v>
      </c>
      <c r="G2263" s="3" t="s">
        <v>11450</v>
      </c>
      <c r="H2263" s="54">
        <v>0</v>
      </c>
      <c r="I2263" s="16">
        <v>470000000</v>
      </c>
      <c r="J2263" s="56" t="s">
        <v>229</v>
      </c>
      <c r="K2263" s="6" t="s">
        <v>520</v>
      </c>
      <c r="L2263" s="17" t="s">
        <v>11411</v>
      </c>
      <c r="M2263" s="162" t="s">
        <v>230</v>
      </c>
      <c r="N2263" s="15" t="s">
        <v>521</v>
      </c>
      <c r="O2263" s="6" t="s">
        <v>4568</v>
      </c>
      <c r="P2263" s="58" t="s">
        <v>241</v>
      </c>
      <c r="Q2263" s="6" t="s">
        <v>234</v>
      </c>
      <c r="R2263" s="4">
        <v>5</v>
      </c>
      <c r="S2263" s="74">
        <v>15268</v>
      </c>
      <c r="T2263" s="4">
        <v>0</v>
      </c>
      <c r="U2263" s="4">
        <f t="shared" si="68"/>
        <v>0</v>
      </c>
      <c r="V2263" s="3"/>
      <c r="W2263" s="3">
        <v>2014</v>
      </c>
      <c r="X2263" s="3">
        <v>11</v>
      </c>
    </row>
    <row r="2264" spans="1:24" ht="89.25">
      <c r="A2264" s="3" t="s">
        <v>15589</v>
      </c>
      <c r="B2264" s="6" t="s">
        <v>361</v>
      </c>
      <c r="C2264" s="6" t="s">
        <v>4346</v>
      </c>
      <c r="D2264" s="6" t="s">
        <v>4347</v>
      </c>
      <c r="E2264" s="6" t="s">
        <v>4348</v>
      </c>
      <c r="F2264" s="6" t="s">
        <v>4696</v>
      </c>
      <c r="G2264" s="3" t="s">
        <v>11450</v>
      </c>
      <c r="H2264" s="54">
        <v>0</v>
      </c>
      <c r="I2264" s="16">
        <v>470000000</v>
      </c>
      <c r="J2264" s="56" t="s">
        <v>229</v>
      </c>
      <c r="K2264" s="6" t="s">
        <v>222</v>
      </c>
      <c r="L2264" s="17" t="s">
        <v>11411</v>
      </c>
      <c r="M2264" s="162" t="s">
        <v>230</v>
      </c>
      <c r="N2264" s="15" t="s">
        <v>521</v>
      </c>
      <c r="O2264" s="6" t="s">
        <v>4568</v>
      </c>
      <c r="P2264" s="58" t="s">
        <v>241</v>
      </c>
      <c r="Q2264" s="6" t="s">
        <v>234</v>
      </c>
      <c r="R2264" s="4">
        <v>5</v>
      </c>
      <c r="S2264" s="74">
        <v>15268</v>
      </c>
      <c r="T2264" s="4">
        <v>0</v>
      </c>
      <c r="U2264" s="4">
        <f t="shared" si="68"/>
        <v>0</v>
      </c>
      <c r="V2264" s="3"/>
      <c r="W2264" s="3">
        <v>2014</v>
      </c>
      <c r="X2264" s="3">
        <v>14</v>
      </c>
    </row>
    <row r="2265" spans="1:24" ht="89.25">
      <c r="A2265" s="3" t="s">
        <v>17564</v>
      </c>
      <c r="B2265" s="6" t="s">
        <v>361</v>
      </c>
      <c r="C2265" s="6" t="s">
        <v>4346</v>
      </c>
      <c r="D2265" s="6" t="s">
        <v>4347</v>
      </c>
      <c r="E2265" s="6" t="s">
        <v>4348</v>
      </c>
      <c r="F2265" s="6" t="s">
        <v>4696</v>
      </c>
      <c r="G2265" s="3" t="s">
        <v>11450</v>
      </c>
      <c r="H2265" s="54">
        <v>0</v>
      </c>
      <c r="I2265" s="16">
        <v>470000000</v>
      </c>
      <c r="J2265" s="56" t="s">
        <v>229</v>
      </c>
      <c r="K2265" s="6" t="s">
        <v>222</v>
      </c>
      <c r="L2265" s="17" t="s">
        <v>11411</v>
      </c>
      <c r="M2265" s="162" t="s">
        <v>230</v>
      </c>
      <c r="N2265" s="15" t="s">
        <v>17491</v>
      </c>
      <c r="O2265" s="6" t="s">
        <v>4568</v>
      </c>
      <c r="P2265" s="58" t="s">
        <v>241</v>
      </c>
      <c r="Q2265" s="6" t="s">
        <v>234</v>
      </c>
      <c r="R2265" s="4">
        <v>5</v>
      </c>
      <c r="S2265" s="74">
        <v>15268</v>
      </c>
      <c r="T2265" s="4">
        <v>0</v>
      </c>
      <c r="U2265" s="4">
        <f t="shared" si="68"/>
        <v>0</v>
      </c>
      <c r="V2265" s="3"/>
      <c r="W2265" s="3">
        <v>2014</v>
      </c>
      <c r="X2265" s="3">
        <v>11</v>
      </c>
    </row>
    <row r="2266" spans="1:24" ht="89.25">
      <c r="A2266" s="3" t="s">
        <v>18553</v>
      </c>
      <c r="B2266" s="6" t="s">
        <v>361</v>
      </c>
      <c r="C2266" s="6" t="s">
        <v>4346</v>
      </c>
      <c r="D2266" s="6" t="s">
        <v>4347</v>
      </c>
      <c r="E2266" s="6" t="s">
        <v>4348</v>
      </c>
      <c r="F2266" s="6" t="s">
        <v>4696</v>
      </c>
      <c r="G2266" s="3" t="s">
        <v>11450</v>
      </c>
      <c r="H2266" s="54">
        <v>0</v>
      </c>
      <c r="I2266" s="16">
        <v>470000000</v>
      </c>
      <c r="J2266" s="56" t="s">
        <v>229</v>
      </c>
      <c r="K2266" s="6" t="s">
        <v>18439</v>
      </c>
      <c r="L2266" s="17" t="s">
        <v>11411</v>
      </c>
      <c r="M2266" s="162" t="s">
        <v>230</v>
      </c>
      <c r="N2266" s="15" t="s">
        <v>17491</v>
      </c>
      <c r="O2266" s="6" t="s">
        <v>4568</v>
      </c>
      <c r="P2266" s="58" t="s">
        <v>241</v>
      </c>
      <c r="Q2266" s="6" t="s">
        <v>234</v>
      </c>
      <c r="R2266" s="4">
        <v>5</v>
      </c>
      <c r="S2266" s="74">
        <v>15268</v>
      </c>
      <c r="T2266" s="4">
        <f>R2266*S2266</f>
        <v>76340</v>
      </c>
      <c r="U2266" s="4">
        <f t="shared" si="68"/>
        <v>85500.800000000003</v>
      </c>
      <c r="V2266" s="3"/>
      <c r="W2266" s="3">
        <v>2014</v>
      </c>
      <c r="X2266" s="3"/>
    </row>
    <row r="2267" spans="1:24" ht="89.25">
      <c r="A2267" s="3" t="s">
        <v>1400</v>
      </c>
      <c r="B2267" s="6" t="s">
        <v>361</v>
      </c>
      <c r="C2267" s="6" t="s">
        <v>4346</v>
      </c>
      <c r="D2267" s="6" t="s">
        <v>4347</v>
      </c>
      <c r="E2267" s="6" t="s">
        <v>4348</v>
      </c>
      <c r="F2267" s="6" t="s">
        <v>4697</v>
      </c>
      <c r="G2267" s="3" t="s">
        <v>11450</v>
      </c>
      <c r="H2267" s="54">
        <v>0</v>
      </c>
      <c r="I2267" s="55">
        <v>470000000</v>
      </c>
      <c r="J2267" s="56" t="s">
        <v>229</v>
      </c>
      <c r="K2267" s="6" t="s">
        <v>520</v>
      </c>
      <c r="L2267" s="16" t="s">
        <v>4570</v>
      </c>
      <c r="M2267" s="162" t="s">
        <v>230</v>
      </c>
      <c r="N2267" s="15" t="s">
        <v>521</v>
      </c>
      <c r="O2267" s="6" t="s">
        <v>4568</v>
      </c>
      <c r="P2267" s="58" t="s">
        <v>241</v>
      </c>
      <c r="Q2267" s="6" t="s">
        <v>234</v>
      </c>
      <c r="R2267" s="3">
        <v>5</v>
      </c>
      <c r="S2267" s="1">
        <v>17253</v>
      </c>
      <c r="T2267" s="4">
        <v>0</v>
      </c>
      <c r="U2267" s="4">
        <f t="shared" si="68"/>
        <v>0</v>
      </c>
      <c r="V2267" s="166" t="s">
        <v>362</v>
      </c>
      <c r="W2267" s="3">
        <v>2014</v>
      </c>
      <c r="X2267" s="3">
        <v>12.22</v>
      </c>
    </row>
    <row r="2268" spans="1:24" ht="89.25">
      <c r="A2268" s="3" t="s">
        <v>12498</v>
      </c>
      <c r="B2268" s="6" t="s">
        <v>361</v>
      </c>
      <c r="C2268" s="6" t="s">
        <v>4346</v>
      </c>
      <c r="D2268" s="6" t="s">
        <v>4347</v>
      </c>
      <c r="E2268" s="6" t="s">
        <v>4348</v>
      </c>
      <c r="F2268" s="6" t="s">
        <v>4697</v>
      </c>
      <c r="G2268" s="3" t="s">
        <v>11450</v>
      </c>
      <c r="H2268" s="54">
        <v>0</v>
      </c>
      <c r="I2268" s="55">
        <v>470000000</v>
      </c>
      <c r="J2268" s="56" t="s">
        <v>229</v>
      </c>
      <c r="K2268" s="6" t="s">
        <v>520</v>
      </c>
      <c r="L2268" s="17" t="s">
        <v>11411</v>
      </c>
      <c r="M2268" s="162" t="s">
        <v>230</v>
      </c>
      <c r="N2268" s="15" t="s">
        <v>521</v>
      </c>
      <c r="O2268" s="6" t="s">
        <v>4568</v>
      </c>
      <c r="P2268" s="58" t="s">
        <v>241</v>
      </c>
      <c r="Q2268" s="6" t="s">
        <v>234</v>
      </c>
      <c r="R2268" s="3">
        <v>5</v>
      </c>
      <c r="S2268" s="1">
        <v>17253</v>
      </c>
      <c r="T2268" s="4">
        <v>0</v>
      </c>
      <c r="U2268" s="4">
        <f t="shared" si="68"/>
        <v>0</v>
      </c>
      <c r="V2268" s="166"/>
      <c r="W2268" s="3">
        <v>2014</v>
      </c>
      <c r="X2268" s="3">
        <v>11</v>
      </c>
    </row>
    <row r="2269" spans="1:24" ht="89.25">
      <c r="A2269" s="3" t="s">
        <v>15590</v>
      </c>
      <c r="B2269" s="6" t="s">
        <v>361</v>
      </c>
      <c r="C2269" s="6" t="s">
        <v>4346</v>
      </c>
      <c r="D2269" s="6" t="s">
        <v>4347</v>
      </c>
      <c r="E2269" s="6" t="s">
        <v>4348</v>
      </c>
      <c r="F2269" s="6" t="s">
        <v>4697</v>
      </c>
      <c r="G2269" s="3" t="s">
        <v>11450</v>
      </c>
      <c r="H2269" s="54">
        <v>0</v>
      </c>
      <c r="I2269" s="55">
        <v>470000000</v>
      </c>
      <c r="J2269" s="56" t="s">
        <v>229</v>
      </c>
      <c r="K2269" s="6" t="s">
        <v>222</v>
      </c>
      <c r="L2269" s="17" t="s">
        <v>11411</v>
      </c>
      <c r="M2269" s="162" t="s">
        <v>230</v>
      </c>
      <c r="N2269" s="15" t="s">
        <v>521</v>
      </c>
      <c r="O2269" s="6" t="s">
        <v>4568</v>
      </c>
      <c r="P2269" s="58" t="s">
        <v>241</v>
      </c>
      <c r="Q2269" s="6" t="s">
        <v>234</v>
      </c>
      <c r="R2269" s="3">
        <v>5</v>
      </c>
      <c r="S2269" s="1">
        <v>17253</v>
      </c>
      <c r="T2269" s="4">
        <v>0</v>
      </c>
      <c r="U2269" s="4">
        <f t="shared" si="68"/>
        <v>0</v>
      </c>
      <c r="V2269" s="166"/>
      <c r="W2269" s="3">
        <v>2014</v>
      </c>
      <c r="X2269" s="3">
        <v>14</v>
      </c>
    </row>
    <row r="2270" spans="1:24" ht="89.25">
      <c r="A2270" s="3" t="s">
        <v>17565</v>
      </c>
      <c r="B2270" s="6" t="s">
        <v>361</v>
      </c>
      <c r="C2270" s="6" t="s">
        <v>4346</v>
      </c>
      <c r="D2270" s="6" t="s">
        <v>4347</v>
      </c>
      <c r="E2270" s="6" t="s">
        <v>4348</v>
      </c>
      <c r="F2270" s="6" t="s">
        <v>4697</v>
      </c>
      <c r="G2270" s="3" t="s">
        <v>11450</v>
      </c>
      <c r="H2270" s="54">
        <v>0</v>
      </c>
      <c r="I2270" s="55">
        <v>470000000</v>
      </c>
      <c r="J2270" s="56" t="s">
        <v>229</v>
      </c>
      <c r="K2270" s="6" t="s">
        <v>222</v>
      </c>
      <c r="L2270" s="17" t="s">
        <v>11411</v>
      </c>
      <c r="M2270" s="162" t="s">
        <v>230</v>
      </c>
      <c r="N2270" s="15" t="s">
        <v>17491</v>
      </c>
      <c r="O2270" s="6" t="s">
        <v>4568</v>
      </c>
      <c r="P2270" s="58" t="s">
        <v>241</v>
      </c>
      <c r="Q2270" s="6" t="s">
        <v>234</v>
      </c>
      <c r="R2270" s="3">
        <v>5</v>
      </c>
      <c r="S2270" s="1">
        <v>17253</v>
      </c>
      <c r="T2270" s="4">
        <v>0</v>
      </c>
      <c r="U2270" s="4">
        <f t="shared" si="68"/>
        <v>0</v>
      </c>
      <c r="V2270" s="166"/>
      <c r="W2270" s="3">
        <v>2014</v>
      </c>
      <c r="X2270" s="3">
        <v>11</v>
      </c>
    </row>
    <row r="2271" spans="1:24" ht="89.25">
      <c r="A2271" s="3" t="s">
        <v>18554</v>
      </c>
      <c r="B2271" s="6" t="s">
        <v>361</v>
      </c>
      <c r="C2271" s="6" t="s">
        <v>4346</v>
      </c>
      <c r="D2271" s="6" t="s">
        <v>4347</v>
      </c>
      <c r="E2271" s="6" t="s">
        <v>4348</v>
      </c>
      <c r="F2271" s="6" t="s">
        <v>4697</v>
      </c>
      <c r="G2271" s="3" t="s">
        <v>11450</v>
      </c>
      <c r="H2271" s="54">
        <v>0</v>
      </c>
      <c r="I2271" s="55">
        <v>470000000</v>
      </c>
      <c r="J2271" s="56" t="s">
        <v>229</v>
      </c>
      <c r="K2271" s="6" t="s">
        <v>18439</v>
      </c>
      <c r="L2271" s="17" t="s">
        <v>11411</v>
      </c>
      <c r="M2271" s="162" t="s">
        <v>230</v>
      </c>
      <c r="N2271" s="15" t="s">
        <v>17491</v>
      </c>
      <c r="O2271" s="6" t="s">
        <v>4568</v>
      </c>
      <c r="P2271" s="58" t="s">
        <v>241</v>
      </c>
      <c r="Q2271" s="6" t="s">
        <v>234</v>
      </c>
      <c r="R2271" s="3">
        <v>5</v>
      </c>
      <c r="S2271" s="1">
        <v>17253</v>
      </c>
      <c r="T2271" s="4">
        <f>R2271*S2271</f>
        <v>86265</v>
      </c>
      <c r="U2271" s="4">
        <f t="shared" si="68"/>
        <v>96616.8</v>
      </c>
      <c r="V2271" s="166"/>
      <c r="W2271" s="3">
        <v>2014</v>
      </c>
      <c r="X2271" s="3"/>
    </row>
    <row r="2272" spans="1:24" ht="89.25">
      <c r="A2272" s="3" t="s">
        <v>1401</v>
      </c>
      <c r="B2272" s="6" t="s">
        <v>361</v>
      </c>
      <c r="C2272" s="6" t="s">
        <v>4346</v>
      </c>
      <c r="D2272" s="6" t="s">
        <v>4347</v>
      </c>
      <c r="E2272" s="6" t="s">
        <v>4348</v>
      </c>
      <c r="F2272" s="6" t="s">
        <v>4698</v>
      </c>
      <c r="G2272" s="3" t="s">
        <v>11450</v>
      </c>
      <c r="H2272" s="54">
        <v>0</v>
      </c>
      <c r="I2272" s="16">
        <v>470000000</v>
      </c>
      <c r="J2272" s="56" t="s">
        <v>229</v>
      </c>
      <c r="K2272" s="6" t="s">
        <v>520</v>
      </c>
      <c r="L2272" s="16" t="s">
        <v>4567</v>
      </c>
      <c r="M2272" s="162" t="s">
        <v>230</v>
      </c>
      <c r="N2272" s="15" t="s">
        <v>521</v>
      </c>
      <c r="O2272" s="6" t="s">
        <v>4568</v>
      </c>
      <c r="P2272" s="58" t="s">
        <v>241</v>
      </c>
      <c r="Q2272" s="6" t="s">
        <v>234</v>
      </c>
      <c r="R2272" s="4">
        <v>5</v>
      </c>
      <c r="S2272" s="74">
        <v>18582</v>
      </c>
      <c r="T2272" s="4">
        <v>0</v>
      </c>
      <c r="U2272" s="4">
        <f t="shared" si="68"/>
        <v>0</v>
      </c>
      <c r="V2272" s="3" t="s">
        <v>362</v>
      </c>
      <c r="W2272" s="3">
        <v>2014</v>
      </c>
      <c r="X2272" s="3">
        <v>12.22</v>
      </c>
    </row>
    <row r="2273" spans="1:24" ht="89.25">
      <c r="A2273" s="3" t="s">
        <v>12499</v>
      </c>
      <c r="B2273" s="6" t="s">
        <v>361</v>
      </c>
      <c r="C2273" s="6" t="s">
        <v>4346</v>
      </c>
      <c r="D2273" s="6" t="s">
        <v>4347</v>
      </c>
      <c r="E2273" s="6" t="s">
        <v>4348</v>
      </c>
      <c r="F2273" s="6" t="s">
        <v>4698</v>
      </c>
      <c r="G2273" s="3" t="s">
        <v>11450</v>
      </c>
      <c r="H2273" s="54">
        <v>0</v>
      </c>
      <c r="I2273" s="16">
        <v>470000000</v>
      </c>
      <c r="J2273" s="56" t="s">
        <v>229</v>
      </c>
      <c r="K2273" s="6" t="s">
        <v>520</v>
      </c>
      <c r="L2273" s="17" t="s">
        <v>11411</v>
      </c>
      <c r="M2273" s="162" t="s">
        <v>230</v>
      </c>
      <c r="N2273" s="15" t="s">
        <v>521</v>
      </c>
      <c r="O2273" s="6" t="s">
        <v>4568</v>
      </c>
      <c r="P2273" s="58" t="s">
        <v>241</v>
      </c>
      <c r="Q2273" s="6" t="s">
        <v>234</v>
      </c>
      <c r="R2273" s="4">
        <v>5</v>
      </c>
      <c r="S2273" s="74">
        <v>18582</v>
      </c>
      <c r="T2273" s="4">
        <v>0</v>
      </c>
      <c r="U2273" s="4">
        <f t="shared" si="68"/>
        <v>0</v>
      </c>
      <c r="V2273" s="3"/>
      <c r="W2273" s="3">
        <v>2014</v>
      </c>
      <c r="X2273" s="3">
        <v>11</v>
      </c>
    </row>
    <row r="2274" spans="1:24" ht="89.25">
      <c r="A2274" s="3" t="s">
        <v>15591</v>
      </c>
      <c r="B2274" s="6" t="s">
        <v>361</v>
      </c>
      <c r="C2274" s="6" t="s">
        <v>4346</v>
      </c>
      <c r="D2274" s="6" t="s">
        <v>4347</v>
      </c>
      <c r="E2274" s="6" t="s">
        <v>4348</v>
      </c>
      <c r="F2274" s="6" t="s">
        <v>4698</v>
      </c>
      <c r="G2274" s="3" t="s">
        <v>11450</v>
      </c>
      <c r="H2274" s="54">
        <v>0</v>
      </c>
      <c r="I2274" s="16">
        <v>470000000</v>
      </c>
      <c r="J2274" s="56" t="s">
        <v>229</v>
      </c>
      <c r="K2274" s="6" t="s">
        <v>222</v>
      </c>
      <c r="L2274" s="17" t="s">
        <v>11411</v>
      </c>
      <c r="M2274" s="162" t="s">
        <v>230</v>
      </c>
      <c r="N2274" s="15" t="s">
        <v>521</v>
      </c>
      <c r="O2274" s="6" t="s">
        <v>4568</v>
      </c>
      <c r="P2274" s="58" t="s">
        <v>241</v>
      </c>
      <c r="Q2274" s="6" t="s">
        <v>234</v>
      </c>
      <c r="R2274" s="4">
        <v>5</v>
      </c>
      <c r="S2274" s="74">
        <v>18582</v>
      </c>
      <c r="T2274" s="4">
        <v>0</v>
      </c>
      <c r="U2274" s="4">
        <f t="shared" si="68"/>
        <v>0</v>
      </c>
      <c r="V2274" s="3"/>
      <c r="W2274" s="3">
        <v>2014</v>
      </c>
      <c r="X2274" s="3">
        <v>14</v>
      </c>
    </row>
    <row r="2275" spans="1:24" ht="89.25">
      <c r="A2275" s="3" t="s">
        <v>17566</v>
      </c>
      <c r="B2275" s="6" t="s">
        <v>361</v>
      </c>
      <c r="C2275" s="6" t="s">
        <v>4346</v>
      </c>
      <c r="D2275" s="6" t="s">
        <v>4347</v>
      </c>
      <c r="E2275" s="6" t="s">
        <v>4348</v>
      </c>
      <c r="F2275" s="6" t="s">
        <v>4698</v>
      </c>
      <c r="G2275" s="3" t="s">
        <v>11450</v>
      </c>
      <c r="H2275" s="54">
        <v>0</v>
      </c>
      <c r="I2275" s="16">
        <v>470000000</v>
      </c>
      <c r="J2275" s="56" t="s">
        <v>229</v>
      </c>
      <c r="K2275" s="6" t="s">
        <v>222</v>
      </c>
      <c r="L2275" s="17" t="s">
        <v>11411</v>
      </c>
      <c r="M2275" s="162" t="s">
        <v>230</v>
      </c>
      <c r="N2275" s="15" t="s">
        <v>17491</v>
      </c>
      <c r="O2275" s="6" t="s">
        <v>4568</v>
      </c>
      <c r="P2275" s="58" t="s">
        <v>241</v>
      </c>
      <c r="Q2275" s="6" t="s">
        <v>234</v>
      </c>
      <c r="R2275" s="4">
        <v>5</v>
      </c>
      <c r="S2275" s="74">
        <v>18582</v>
      </c>
      <c r="T2275" s="4">
        <v>0</v>
      </c>
      <c r="U2275" s="4">
        <f t="shared" si="68"/>
        <v>0</v>
      </c>
      <c r="V2275" s="3"/>
      <c r="W2275" s="3">
        <v>2014</v>
      </c>
      <c r="X2275" s="3">
        <v>11</v>
      </c>
    </row>
    <row r="2276" spans="1:24" ht="89.25">
      <c r="A2276" s="3" t="s">
        <v>18555</v>
      </c>
      <c r="B2276" s="6" t="s">
        <v>361</v>
      </c>
      <c r="C2276" s="6" t="s">
        <v>4346</v>
      </c>
      <c r="D2276" s="6" t="s">
        <v>4347</v>
      </c>
      <c r="E2276" s="6" t="s">
        <v>4348</v>
      </c>
      <c r="F2276" s="6" t="s">
        <v>4698</v>
      </c>
      <c r="G2276" s="3" t="s">
        <v>11450</v>
      </c>
      <c r="H2276" s="54">
        <v>0</v>
      </c>
      <c r="I2276" s="16">
        <v>470000000</v>
      </c>
      <c r="J2276" s="56" t="s">
        <v>229</v>
      </c>
      <c r="K2276" s="6" t="s">
        <v>18439</v>
      </c>
      <c r="L2276" s="17" t="s">
        <v>11411</v>
      </c>
      <c r="M2276" s="162" t="s">
        <v>230</v>
      </c>
      <c r="N2276" s="15" t="s">
        <v>17491</v>
      </c>
      <c r="O2276" s="6" t="s">
        <v>4568</v>
      </c>
      <c r="P2276" s="58" t="s">
        <v>241</v>
      </c>
      <c r="Q2276" s="6" t="s">
        <v>234</v>
      </c>
      <c r="R2276" s="4">
        <v>5</v>
      </c>
      <c r="S2276" s="74">
        <v>18582</v>
      </c>
      <c r="T2276" s="4">
        <f>R2276*S2276</f>
        <v>92910</v>
      </c>
      <c r="U2276" s="4">
        <f t="shared" si="68"/>
        <v>104059.20000000001</v>
      </c>
      <c r="V2276" s="3"/>
      <c r="W2276" s="3">
        <v>2014</v>
      </c>
      <c r="X2276" s="3"/>
    </row>
    <row r="2277" spans="1:24" ht="89.25">
      <c r="A2277" s="3" t="s">
        <v>1402</v>
      </c>
      <c r="B2277" s="6" t="s">
        <v>361</v>
      </c>
      <c r="C2277" s="159" t="s">
        <v>4349</v>
      </c>
      <c r="D2277" s="159" t="s">
        <v>346</v>
      </c>
      <c r="E2277" s="159" t="s">
        <v>4350</v>
      </c>
      <c r="F2277" s="6" t="s">
        <v>4699</v>
      </c>
      <c r="G2277" s="3" t="s">
        <v>11450</v>
      </c>
      <c r="H2277" s="54">
        <v>0</v>
      </c>
      <c r="I2277" s="55">
        <v>470000000</v>
      </c>
      <c r="J2277" s="56" t="s">
        <v>229</v>
      </c>
      <c r="K2277" s="6" t="s">
        <v>520</v>
      </c>
      <c r="L2277" s="16" t="s">
        <v>4570</v>
      </c>
      <c r="M2277" s="162" t="s">
        <v>230</v>
      </c>
      <c r="N2277" s="15" t="s">
        <v>521</v>
      </c>
      <c r="O2277" s="6" t="s">
        <v>4568</v>
      </c>
      <c r="P2277" s="58" t="s">
        <v>241</v>
      </c>
      <c r="Q2277" s="6" t="s">
        <v>234</v>
      </c>
      <c r="R2277" s="3">
        <v>700</v>
      </c>
      <c r="S2277" s="1">
        <v>2750</v>
      </c>
      <c r="T2277" s="4">
        <v>0</v>
      </c>
      <c r="U2277" s="4">
        <f t="shared" si="68"/>
        <v>0</v>
      </c>
      <c r="V2277" s="166" t="s">
        <v>362</v>
      </c>
      <c r="W2277" s="3">
        <v>2014</v>
      </c>
      <c r="X2277" s="3">
        <v>12.22</v>
      </c>
    </row>
    <row r="2278" spans="1:24" ht="89.25">
      <c r="A2278" s="3" t="s">
        <v>12500</v>
      </c>
      <c r="B2278" s="6" t="s">
        <v>361</v>
      </c>
      <c r="C2278" s="159" t="s">
        <v>4349</v>
      </c>
      <c r="D2278" s="159" t="s">
        <v>346</v>
      </c>
      <c r="E2278" s="159" t="s">
        <v>4350</v>
      </c>
      <c r="F2278" s="6" t="s">
        <v>4699</v>
      </c>
      <c r="G2278" s="3" t="s">
        <v>11450</v>
      </c>
      <c r="H2278" s="54">
        <v>0</v>
      </c>
      <c r="I2278" s="55">
        <v>470000000</v>
      </c>
      <c r="J2278" s="56" t="s">
        <v>229</v>
      </c>
      <c r="K2278" s="6" t="s">
        <v>520</v>
      </c>
      <c r="L2278" s="17" t="s">
        <v>11411</v>
      </c>
      <c r="M2278" s="162" t="s">
        <v>230</v>
      </c>
      <c r="N2278" s="15" t="s">
        <v>521</v>
      </c>
      <c r="O2278" s="6" t="s">
        <v>4568</v>
      </c>
      <c r="P2278" s="58" t="s">
        <v>241</v>
      </c>
      <c r="Q2278" s="6" t="s">
        <v>234</v>
      </c>
      <c r="R2278" s="3">
        <v>700</v>
      </c>
      <c r="S2278" s="1">
        <v>2750</v>
      </c>
      <c r="T2278" s="4">
        <v>0</v>
      </c>
      <c r="U2278" s="4">
        <f t="shared" si="68"/>
        <v>0</v>
      </c>
      <c r="V2278" s="166"/>
      <c r="W2278" s="3">
        <v>2014</v>
      </c>
      <c r="X2278" s="3">
        <v>11</v>
      </c>
    </row>
    <row r="2279" spans="1:24" ht="89.25">
      <c r="A2279" s="3" t="s">
        <v>15592</v>
      </c>
      <c r="B2279" s="6" t="s">
        <v>361</v>
      </c>
      <c r="C2279" s="159" t="s">
        <v>4349</v>
      </c>
      <c r="D2279" s="159" t="s">
        <v>346</v>
      </c>
      <c r="E2279" s="159" t="s">
        <v>4350</v>
      </c>
      <c r="F2279" s="6" t="s">
        <v>4699</v>
      </c>
      <c r="G2279" s="3" t="s">
        <v>11450</v>
      </c>
      <c r="H2279" s="54">
        <v>0</v>
      </c>
      <c r="I2279" s="55">
        <v>470000000</v>
      </c>
      <c r="J2279" s="56" t="s">
        <v>229</v>
      </c>
      <c r="K2279" s="6" t="s">
        <v>8309</v>
      </c>
      <c r="L2279" s="17" t="s">
        <v>11411</v>
      </c>
      <c r="M2279" s="162" t="s">
        <v>230</v>
      </c>
      <c r="N2279" s="15" t="s">
        <v>521</v>
      </c>
      <c r="O2279" s="6" t="s">
        <v>4568</v>
      </c>
      <c r="P2279" s="58" t="s">
        <v>241</v>
      </c>
      <c r="Q2279" s="6" t="s">
        <v>234</v>
      </c>
      <c r="R2279" s="3">
        <v>700</v>
      </c>
      <c r="S2279" s="1">
        <v>2750</v>
      </c>
      <c r="T2279" s="4">
        <v>0</v>
      </c>
      <c r="U2279" s="4">
        <f t="shared" si="68"/>
        <v>0</v>
      </c>
      <c r="V2279" s="166"/>
      <c r="W2279" s="3">
        <v>2014</v>
      </c>
      <c r="X2279" s="3" t="s">
        <v>18204</v>
      </c>
    </row>
    <row r="2280" spans="1:24" ht="89.25">
      <c r="A2280" s="3" t="s">
        <v>17567</v>
      </c>
      <c r="B2280" s="6" t="s">
        <v>361</v>
      </c>
      <c r="C2280" s="159" t="s">
        <v>4349</v>
      </c>
      <c r="D2280" s="159" t="s">
        <v>346</v>
      </c>
      <c r="E2280" s="159" t="s">
        <v>4350</v>
      </c>
      <c r="F2280" s="6" t="s">
        <v>4699</v>
      </c>
      <c r="G2280" s="3" t="s">
        <v>11450</v>
      </c>
      <c r="H2280" s="54">
        <v>0</v>
      </c>
      <c r="I2280" s="55">
        <v>470000000</v>
      </c>
      <c r="J2280" s="56" t="s">
        <v>229</v>
      </c>
      <c r="K2280" s="6" t="s">
        <v>8309</v>
      </c>
      <c r="L2280" s="17" t="s">
        <v>11411</v>
      </c>
      <c r="M2280" s="162" t="s">
        <v>230</v>
      </c>
      <c r="N2280" s="15" t="s">
        <v>17491</v>
      </c>
      <c r="O2280" s="6" t="s">
        <v>4568</v>
      </c>
      <c r="P2280" s="58" t="s">
        <v>241</v>
      </c>
      <c r="Q2280" s="6" t="s">
        <v>234</v>
      </c>
      <c r="R2280" s="3">
        <v>350</v>
      </c>
      <c r="S2280" s="1">
        <v>2750</v>
      </c>
      <c r="T2280" s="4">
        <f>R2280*S2280</f>
        <v>962500</v>
      </c>
      <c r="U2280" s="4">
        <f t="shared" si="68"/>
        <v>1078000</v>
      </c>
      <c r="V2280" s="166"/>
      <c r="W2280" s="3">
        <v>2014</v>
      </c>
      <c r="X2280" s="3"/>
    </row>
    <row r="2281" spans="1:24" ht="89.25">
      <c r="A2281" s="3" t="s">
        <v>1403</v>
      </c>
      <c r="B2281" s="6" t="s">
        <v>361</v>
      </c>
      <c r="C2281" s="159" t="s">
        <v>4351</v>
      </c>
      <c r="D2281" s="159" t="s">
        <v>640</v>
      </c>
      <c r="E2281" s="159" t="s">
        <v>4352</v>
      </c>
      <c r="F2281" s="6" t="s">
        <v>4700</v>
      </c>
      <c r="G2281" s="3" t="s">
        <v>11450</v>
      </c>
      <c r="H2281" s="54">
        <v>0</v>
      </c>
      <c r="I2281" s="16">
        <v>470000000</v>
      </c>
      <c r="J2281" s="56" t="s">
        <v>229</v>
      </c>
      <c r="K2281" s="6" t="s">
        <v>520</v>
      </c>
      <c r="L2281" s="16" t="s">
        <v>4567</v>
      </c>
      <c r="M2281" s="162" t="s">
        <v>230</v>
      </c>
      <c r="N2281" s="15" t="s">
        <v>521</v>
      </c>
      <c r="O2281" s="6" t="s">
        <v>4568</v>
      </c>
      <c r="P2281" s="58" t="s">
        <v>241</v>
      </c>
      <c r="Q2281" s="6" t="s">
        <v>234</v>
      </c>
      <c r="R2281" s="4">
        <v>580</v>
      </c>
      <c r="S2281" s="74">
        <v>690</v>
      </c>
      <c r="T2281" s="4">
        <v>0</v>
      </c>
      <c r="U2281" s="4">
        <f t="shared" si="68"/>
        <v>0</v>
      </c>
      <c r="V2281" s="3" t="s">
        <v>362</v>
      </c>
      <c r="W2281" s="3">
        <v>2014</v>
      </c>
      <c r="X2281" s="3">
        <v>12.22</v>
      </c>
    </row>
    <row r="2282" spans="1:24" ht="89.25">
      <c r="A2282" s="3" t="s">
        <v>12501</v>
      </c>
      <c r="B2282" s="6" t="s">
        <v>361</v>
      </c>
      <c r="C2282" s="159" t="s">
        <v>4351</v>
      </c>
      <c r="D2282" s="159" t="s">
        <v>640</v>
      </c>
      <c r="E2282" s="159" t="s">
        <v>4352</v>
      </c>
      <c r="F2282" s="6" t="s">
        <v>4700</v>
      </c>
      <c r="G2282" s="3" t="s">
        <v>11450</v>
      </c>
      <c r="H2282" s="54">
        <v>0</v>
      </c>
      <c r="I2282" s="16">
        <v>470000000</v>
      </c>
      <c r="J2282" s="56" t="s">
        <v>229</v>
      </c>
      <c r="K2282" s="6" t="s">
        <v>520</v>
      </c>
      <c r="L2282" s="17" t="s">
        <v>11411</v>
      </c>
      <c r="M2282" s="162" t="s">
        <v>230</v>
      </c>
      <c r="N2282" s="15" t="s">
        <v>521</v>
      </c>
      <c r="O2282" s="6" t="s">
        <v>4568</v>
      </c>
      <c r="P2282" s="58" t="s">
        <v>241</v>
      </c>
      <c r="Q2282" s="6" t="s">
        <v>234</v>
      </c>
      <c r="R2282" s="4">
        <v>580</v>
      </c>
      <c r="S2282" s="74">
        <v>690</v>
      </c>
      <c r="T2282" s="4">
        <v>0</v>
      </c>
      <c r="U2282" s="4">
        <f t="shared" si="68"/>
        <v>0</v>
      </c>
      <c r="V2282" s="3"/>
      <c r="W2282" s="3">
        <v>2014</v>
      </c>
      <c r="X2282" s="3">
        <v>11</v>
      </c>
    </row>
    <row r="2283" spans="1:24" ht="89.25">
      <c r="A2283" s="3" t="s">
        <v>15593</v>
      </c>
      <c r="B2283" s="6" t="s">
        <v>361</v>
      </c>
      <c r="C2283" s="159" t="s">
        <v>4351</v>
      </c>
      <c r="D2283" s="159" t="s">
        <v>640</v>
      </c>
      <c r="E2283" s="159" t="s">
        <v>4352</v>
      </c>
      <c r="F2283" s="6" t="s">
        <v>4700</v>
      </c>
      <c r="G2283" s="3" t="s">
        <v>11450</v>
      </c>
      <c r="H2283" s="54">
        <v>0</v>
      </c>
      <c r="I2283" s="16">
        <v>470000000</v>
      </c>
      <c r="J2283" s="56" t="s">
        <v>229</v>
      </c>
      <c r="K2283" s="6" t="s">
        <v>8309</v>
      </c>
      <c r="L2283" s="17" t="s">
        <v>11411</v>
      </c>
      <c r="M2283" s="162" t="s">
        <v>230</v>
      </c>
      <c r="N2283" s="15" t="s">
        <v>521</v>
      </c>
      <c r="O2283" s="6" t="s">
        <v>4568</v>
      </c>
      <c r="P2283" s="58" t="s">
        <v>241</v>
      </c>
      <c r="Q2283" s="6" t="s">
        <v>234</v>
      </c>
      <c r="R2283" s="4">
        <v>580</v>
      </c>
      <c r="S2283" s="74">
        <v>690</v>
      </c>
      <c r="T2283" s="4">
        <v>0</v>
      </c>
      <c r="U2283" s="4">
        <f t="shared" si="68"/>
        <v>0</v>
      </c>
      <c r="V2283" s="3"/>
      <c r="W2283" s="3">
        <v>2014</v>
      </c>
      <c r="X2283" s="3" t="s">
        <v>18204</v>
      </c>
    </row>
    <row r="2284" spans="1:24" ht="89.25">
      <c r="A2284" s="3" t="s">
        <v>17568</v>
      </c>
      <c r="B2284" s="6" t="s">
        <v>361</v>
      </c>
      <c r="C2284" s="159" t="s">
        <v>4351</v>
      </c>
      <c r="D2284" s="159" t="s">
        <v>640</v>
      </c>
      <c r="E2284" s="159" t="s">
        <v>4352</v>
      </c>
      <c r="F2284" s="6" t="s">
        <v>4700</v>
      </c>
      <c r="G2284" s="3" t="s">
        <v>11450</v>
      </c>
      <c r="H2284" s="54">
        <v>0</v>
      </c>
      <c r="I2284" s="16">
        <v>470000000</v>
      </c>
      <c r="J2284" s="56" t="s">
        <v>229</v>
      </c>
      <c r="K2284" s="6" t="s">
        <v>8309</v>
      </c>
      <c r="L2284" s="17" t="s">
        <v>11411</v>
      </c>
      <c r="M2284" s="162" t="s">
        <v>230</v>
      </c>
      <c r="N2284" s="15" t="s">
        <v>17491</v>
      </c>
      <c r="O2284" s="6" t="s">
        <v>4568</v>
      </c>
      <c r="P2284" s="58" t="s">
        <v>241</v>
      </c>
      <c r="Q2284" s="6" t="s">
        <v>234</v>
      </c>
      <c r="R2284" s="4">
        <v>250</v>
      </c>
      <c r="S2284" s="74">
        <v>690</v>
      </c>
      <c r="T2284" s="4">
        <f>R2284*S2284</f>
        <v>172500</v>
      </c>
      <c r="U2284" s="4">
        <f t="shared" si="68"/>
        <v>193200.00000000003</v>
      </c>
      <c r="V2284" s="3"/>
      <c r="W2284" s="3">
        <v>2014</v>
      </c>
      <c r="X2284" s="3"/>
    </row>
    <row r="2285" spans="1:24" ht="102">
      <c r="A2285" s="3" t="s">
        <v>1404</v>
      </c>
      <c r="B2285" s="6" t="s">
        <v>361</v>
      </c>
      <c r="C2285" s="159" t="s">
        <v>4353</v>
      </c>
      <c r="D2285" s="159" t="s">
        <v>345</v>
      </c>
      <c r="E2285" s="159" t="s">
        <v>4354</v>
      </c>
      <c r="F2285" s="6" t="s">
        <v>4701</v>
      </c>
      <c r="G2285" s="3" t="s">
        <v>11450</v>
      </c>
      <c r="H2285" s="54">
        <v>0</v>
      </c>
      <c r="I2285" s="55">
        <v>470000000</v>
      </c>
      <c r="J2285" s="56" t="s">
        <v>229</v>
      </c>
      <c r="K2285" s="6" t="s">
        <v>520</v>
      </c>
      <c r="L2285" s="16" t="s">
        <v>4570</v>
      </c>
      <c r="M2285" s="162" t="s">
        <v>230</v>
      </c>
      <c r="N2285" s="15" t="s">
        <v>521</v>
      </c>
      <c r="O2285" s="6" t="s">
        <v>4568</v>
      </c>
      <c r="P2285" s="58" t="s">
        <v>241</v>
      </c>
      <c r="Q2285" s="6" t="s">
        <v>234</v>
      </c>
      <c r="R2285" s="3">
        <v>540</v>
      </c>
      <c r="S2285" s="1">
        <v>725</v>
      </c>
      <c r="T2285" s="4">
        <v>0</v>
      </c>
      <c r="U2285" s="4">
        <f t="shared" si="68"/>
        <v>0</v>
      </c>
      <c r="V2285" s="166" t="s">
        <v>362</v>
      </c>
      <c r="W2285" s="3">
        <v>2014</v>
      </c>
      <c r="X2285" s="3">
        <v>12.22</v>
      </c>
    </row>
    <row r="2286" spans="1:24" ht="102">
      <c r="A2286" s="3" t="s">
        <v>12502</v>
      </c>
      <c r="B2286" s="6" t="s">
        <v>361</v>
      </c>
      <c r="C2286" s="159" t="s">
        <v>4353</v>
      </c>
      <c r="D2286" s="159" t="s">
        <v>345</v>
      </c>
      <c r="E2286" s="159" t="s">
        <v>4354</v>
      </c>
      <c r="F2286" s="6" t="s">
        <v>4701</v>
      </c>
      <c r="G2286" s="3" t="s">
        <v>11450</v>
      </c>
      <c r="H2286" s="54">
        <v>0</v>
      </c>
      <c r="I2286" s="55">
        <v>470000000</v>
      </c>
      <c r="J2286" s="56" t="s">
        <v>229</v>
      </c>
      <c r="K2286" s="6" t="s">
        <v>520</v>
      </c>
      <c r="L2286" s="17" t="s">
        <v>11411</v>
      </c>
      <c r="M2286" s="162" t="s">
        <v>230</v>
      </c>
      <c r="N2286" s="15" t="s">
        <v>521</v>
      </c>
      <c r="O2286" s="6" t="s">
        <v>4568</v>
      </c>
      <c r="P2286" s="58" t="s">
        <v>241</v>
      </c>
      <c r="Q2286" s="6" t="s">
        <v>234</v>
      </c>
      <c r="R2286" s="3">
        <v>540</v>
      </c>
      <c r="S2286" s="1">
        <v>725</v>
      </c>
      <c r="T2286" s="4">
        <v>0</v>
      </c>
      <c r="U2286" s="4">
        <f t="shared" si="68"/>
        <v>0</v>
      </c>
      <c r="V2286" s="166"/>
      <c r="W2286" s="3">
        <v>2014</v>
      </c>
      <c r="X2286" s="3">
        <v>11</v>
      </c>
    </row>
    <row r="2287" spans="1:24" ht="102">
      <c r="A2287" s="3" t="s">
        <v>15594</v>
      </c>
      <c r="B2287" s="6" t="s">
        <v>361</v>
      </c>
      <c r="C2287" s="159" t="s">
        <v>4353</v>
      </c>
      <c r="D2287" s="159" t="s">
        <v>345</v>
      </c>
      <c r="E2287" s="159" t="s">
        <v>4354</v>
      </c>
      <c r="F2287" s="6" t="s">
        <v>4701</v>
      </c>
      <c r="G2287" s="3" t="s">
        <v>11450</v>
      </c>
      <c r="H2287" s="54">
        <v>0</v>
      </c>
      <c r="I2287" s="55">
        <v>470000000</v>
      </c>
      <c r="J2287" s="56" t="s">
        <v>229</v>
      </c>
      <c r="K2287" s="6" t="s">
        <v>8309</v>
      </c>
      <c r="L2287" s="17" t="s">
        <v>11411</v>
      </c>
      <c r="M2287" s="162" t="s">
        <v>230</v>
      </c>
      <c r="N2287" s="15" t="s">
        <v>521</v>
      </c>
      <c r="O2287" s="6" t="s">
        <v>4568</v>
      </c>
      <c r="P2287" s="58" t="s">
        <v>241</v>
      </c>
      <c r="Q2287" s="6" t="s">
        <v>234</v>
      </c>
      <c r="R2287" s="3">
        <v>540</v>
      </c>
      <c r="S2287" s="1">
        <v>725</v>
      </c>
      <c r="T2287" s="4">
        <v>0</v>
      </c>
      <c r="U2287" s="4">
        <f t="shared" si="68"/>
        <v>0</v>
      </c>
      <c r="V2287" s="166"/>
      <c r="W2287" s="3">
        <v>2014</v>
      </c>
      <c r="X2287" s="3" t="s">
        <v>18204</v>
      </c>
    </row>
    <row r="2288" spans="1:24" ht="102">
      <c r="A2288" s="3" t="s">
        <v>17569</v>
      </c>
      <c r="B2288" s="6" t="s">
        <v>361</v>
      </c>
      <c r="C2288" s="159" t="s">
        <v>4353</v>
      </c>
      <c r="D2288" s="159" t="s">
        <v>345</v>
      </c>
      <c r="E2288" s="159" t="s">
        <v>4354</v>
      </c>
      <c r="F2288" s="6" t="s">
        <v>4701</v>
      </c>
      <c r="G2288" s="3" t="s">
        <v>11450</v>
      </c>
      <c r="H2288" s="54">
        <v>0</v>
      </c>
      <c r="I2288" s="55">
        <v>470000000</v>
      </c>
      <c r="J2288" s="56" t="s">
        <v>229</v>
      </c>
      <c r="K2288" s="6" t="s">
        <v>8309</v>
      </c>
      <c r="L2288" s="17" t="s">
        <v>11411</v>
      </c>
      <c r="M2288" s="162" t="s">
        <v>230</v>
      </c>
      <c r="N2288" s="15" t="s">
        <v>17491</v>
      </c>
      <c r="O2288" s="6" t="s">
        <v>4568</v>
      </c>
      <c r="P2288" s="58" t="s">
        <v>241</v>
      </c>
      <c r="Q2288" s="6" t="s">
        <v>234</v>
      </c>
      <c r="R2288" s="3">
        <v>350</v>
      </c>
      <c r="S2288" s="1">
        <v>725</v>
      </c>
      <c r="T2288" s="4">
        <f>R2288*S2288</f>
        <v>253750</v>
      </c>
      <c r="U2288" s="4">
        <f t="shared" si="68"/>
        <v>284200</v>
      </c>
      <c r="V2288" s="166"/>
      <c r="W2288" s="3">
        <v>2014</v>
      </c>
      <c r="X2288" s="3"/>
    </row>
    <row r="2289" spans="1:24" ht="89.25">
      <c r="A2289" s="3" t="s">
        <v>1405</v>
      </c>
      <c r="B2289" s="6" t="s">
        <v>361</v>
      </c>
      <c r="C2289" s="159" t="s">
        <v>4355</v>
      </c>
      <c r="D2289" s="159" t="s">
        <v>4356</v>
      </c>
      <c r="E2289" s="171" t="s">
        <v>4357</v>
      </c>
      <c r="F2289" s="6" t="s">
        <v>4702</v>
      </c>
      <c r="G2289" s="3" t="s">
        <v>11450</v>
      </c>
      <c r="H2289" s="54">
        <v>0</v>
      </c>
      <c r="I2289" s="16">
        <v>470000000</v>
      </c>
      <c r="J2289" s="56" t="s">
        <v>229</v>
      </c>
      <c r="K2289" s="6" t="s">
        <v>520</v>
      </c>
      <c r="L2289" s="16" t="s">
        <v>4567</v>
      </c>
      <c r="M2289" s="162" t="s">
        <v>230</v>
      </c>
      <c r="N2289" s="15" t="s">
        <v>521</v>
      </c>
      <c r="O2289" s="6" t="s">
        <v>4568</v>
      </c>
      <c r="P2289" s="58" t="s">
        <v>241</v>
      </c>
      <c r="Q2289" s="6" t="s">
        <v>234</v>
      </c>
      <c r="R2289" s="4">
        <v>600</v>
      </c>
      <c r="S2289" s="74">
        <v>1215</v>
      </c>
      <c r="T2289" s="4">
        <v>0</v>
      </c>
      <c r="U2289" s="4">
        <f t="shared" si="68"/>
        <v>0</v>
      </c>
      <c r="V2289" s="3" t="s">
        <v>362</v>
      </c>
      <c r="W2289" s="3">
        <v>2014</v>
      </c>
      <c r="X2289" s="3">
        <v>12.22</v>
      </c>
    </row>
    <row r="2290" spans="1:24" ht="89.25">
      <c r="A2290" s="3" t="s">
        <v>12503</v>
      </c>
      <c r="B2290" s="6" t="s">
        <v>361</v>
      </c>
      <c r="C2290" s="159" t="s">
        <v>4355</v>
      </c>
      <c r="D2290" s="159" t="s">
        <v>4356</v>
      </c>
      <c r="E2290" s="171" t="s">
        <v>4357</v>
      </c>
      <c r="F2290" s="6" t="s">
        <v>4702</v>
      </c>
      <c r="G2290" s="3" t="s">
        <v>11450</v>
      </c>
      <c r="H2290" s="54">
        <v>0</v>
      </c>
      <c r="I2290" s="16">
        <v>470000000</v>
      </c>
      <c r="J2290" s="56" t="s">
        <v>229</v>
      </c>
      <c r="K2290" s="6" t="s">
        <v>520</v>
      </c>
      <c r="L2290" s="17" t="s">
        <v>11411</v>
      </c>
      <c r="M2290" s="162" t="s">
        <v>230</v>
      </c>
      <c r="N2290" s="15" t="s">
        <v>521</v>
      </c>
      <c r="O2290" s="6" t="s">
        <v>4568</v>
      </c>
      <c r="P2290" s="58" t="s">
        <v>241</v>
      </c>
      <c r="Q2290" s="6" t="s">
        <v>234</v>
      </c>
      <c r="R2290" s="4">
        <v>600</v>
      </c>
      <c r="S2290" s="74">
        <v>1215</v>
      </c>
      <c r="T2290" s="4">
        <v>0</v>
      </c>
      <c r="U2290" s="4">
        <f t="shared" si="68"/>
        <v>0</v>
      </c>
      <c r="V2290" s="3"/>
      <c r="W2290" s="3">
        <v>2014</v>
      </c>
      <c r="X2290" s="3">
        <v>11</v>
      </c>
    </row>
    <row r="2291" spans="1:24" ht="89.25">
      <c r="A2291" s="3" t="s">
        <v>15595</v>
      </c>
      <c r="B2291" s="6" t="s">
        <v>361</v>
      </c>
      <c r="C2291" s="159" t="s">
        <v>4355</v>
      </c>
      <c r="D2291" s="159" t="s">
        <v>4356</v>
      </c>
      <c r="E2291" s="171" t="s">
        <v>4357</v>
      </c>
      <c r="F2291" s="6" t="s">
        <v>4702</v>
      </c>
      <c r="G2291" s="3" t="s">
        <v>11450</v>
      </c>
      <c r="H2291" s="54">
        <v>0</v>
      </c>
      <c r="I2291" s="16">
        <v>470000000</v>
      </c>
      <c r="J2291" s="56" t="s">
        <v>229</v>
      </c>
      <c r="K2291" s="6" t="s">
        <v>8309</v>
      </c>
      <c r="L2291" s="17" t="s">
        <v>11411</v>
      </c>
      <c r="M2291" s="162" t="s">
        <v>230</v>
      </c>
      <c r="N2291" s="15" t="s">
        <v>521</v>
      </c>
      <c r="O2291" s="6" t="s">
        <v>4568</v>
      </c>
      <c r="P2291" s="58" t="s">
        <v>241</v>
      </c>
      <c r="Q2291" s="6" t="s">
        <v>234</v>
      </c>
      <c r="R2291" s="4">
        <v>600</v>
      </c>
      <c r="S2291" s="74">
        <v>1215</v>
      </c>
      <c r="T2291" s="4">
        <v>0</v>
      </c>
      <c r="U2291" s="4">
        <f t="shared" si="68"/>
        <v>0</v>
      </c>
      <c r="V2291" s="3"/>
      <c r="W2291" s="3">
        <v>2014</v>
      </c>
      <c r="X2291" s="3" t="s">
        <v>18204</v>
      </c>
    </row>
    <row r="2292" spans="1:24" ht="89.25">
      <c r="A2292" s="3" t="s">
        <v>17570</v>
      </c>
      <c r="B2292" s="6" t="s">
        <v>361</v>
      </c>
      <c r="C2292" s="159" t="s">
        <v>4355</v>
      </c>
      <c r="D2292" s="159" t="s">
        <v>4356</v>
      </c>
      <c r="E2292" s="171" t="s">
        <v>4357</v>
      </c>
      <c r="F2292" s="6" t="s">
        <v>4702</v>
      </c>
      <c r="G2292" s="3" t="s">
        <v>11450</v>
      </c>
      <c r="H2292" s="54">
        <v>0</v>
      </c>
      <c r="I2292" s="16">
        <v>470000000</v>
      </c>
      <c r="J2292" s="56" t="s">
        <v>229</v>
      </c>
      <c r="K2292" s="6" t="s">
        <v>8309</v>
      </c>
      <c r="L2292" s="17" t="s">
        <v>11411</v>
      </c>
      <c r="M2292" s="162" t="s">
        <v>230</v>
      </c>
      <c r="N2292" s="15" t="s">
        <v>17491</v>
      </c>
      <c r="O2292" s="6" t="s">
        <v>4568</v>
      </c>
      <c r="P2292" s="58" t="s">
        <v>241</v>
      </c>
      <c r="Q2292" s="6" t="s">
        <v>234</v>
      </c>
      <c r="R2292" s="4">
        <v>300</v>
      </c>
      <c r="S2292" s="74">
        <v>1215</v>
      </c>
      <c r="T2292" s="4">
        <f>R2292*S2292</f>
        <v>364500</v>
      </c>
      <c r="U2292" s="4">
        <f t="shared" si="68"/>
        <v>408240.00000000006</v>
      </c>
      <c r="V2292" s="3"/>
      <c r="W2292" s="3">
        <v>2014</v>
      </c>
      <c r="X2292" s="3"/>
    </row>
    <row r="2293" spans="1:24" ht="89.25">
      <c r="A2293" s="3" t="s">
        <v>1406</v>
      </c>
      <c r="B2293" s="6" t="s">
        <v>361</v>
      </c>
      <c r="C2293" s="159" t="s">
        <v>4358</v>
      </c>
      <c r="D2293" s="159" t="s">
        <v>4359</v>
      </c>
      <c r="E2293" s="159" t="s">
        <v>4360</v>
      </c>
      <c r="F2293" s="6" t="s">
        <v>4703</v>
      </c>
      <c r="G2293" s="3" t="s">
        <v>11450</v>
      </c>
      <c r="H2293" s="54">
        <v>0</v>
      </c>
      <c r="I2293" s="55">
        <v>470000000</v>
      </c>
      <c r="J2293" s="56" t="s">
        <v>229</v>
      </c>
      <c r="K2293" s="6" t="s">
        <v>520</v>
      </c>
      <c r="L2293" s="16" t="s">
        <v>4570</v>
      </c>
      <c r="M2293" s="162" t="s">
        <v>230</v>
      </c>
      <c r="N2293" s="15" t="s">
        <v>521</v>
      </c>
      <c r="O2293" s="6" t="s">
        <v>4568</v>
      </c>
      <c r="P2293" s="58" t="s">
        <v>241</v>
      </c>
      <c r="Q2293" s="6" t="s">
        <v>234</v>
      </c>
      <c r="R2293" s="3">
        <v>140</v>
      </c>
      <c r="S2293" s="1">
        <v>835</v>
      </c>
      <c r="T2293" s="4">
        <v>0</v>
      </c>
      <c r="U2293" s="4">
        <f t="shared" si="68"/>
        <v>0</v>
      </c>
      <c r="V2293" s="166" t="s">
        <v>362</v>
      </c>
      <c r="W2293" s="3">
        <v>2014</v>
      </c>
      <c r="X2293" s="3">
        <v>12.22</v>
      </c>
    </row>
    <row r="2294" spans="1:24" ht="89.25">
      <c r="A2294" s="3" t="s">
        <v>12504</v>
      </c>
      <c r="B2294" s="6" t="s">
        <v>361</v>
      </c>
      <c r="C2294" s="159" t="s">
        <v>4358</v>
      </c>
      <c r="D2294" s="159" t="s">
        <v>4359</v>
      </c>
      <c r="E2294" s="159" t="s">
        <v>4360</v>
      </c>
      <c r="F2294" s="6" t="s">
        <v>4703</v>
      </c>
      <c r="G2294" s="3" t="s">
        <v>11450</v>
      </c>
      <c r="H2294" s="54">
        <v>0</v>
      </c>
      <c r="I2294" s="55">
        <v>470000000</v>
      </c>
      <c r="J2294" s="56" t="s">
        <v>229</v>
      </c>
      <c r="K2294" s="6" t="s">
        <v>520</v>
      </c>
      <c r="L2294" s="17" t="s">
        <v>11411</v>
      </c>
      <c r="M2294" s="162" t="s">
        <v>230</v>
      </c>
      <c r="N2294" s="15" t="s">
        <v>521</v>
      </c>
      <c r="O2294" s="6" t="s">
        <v>4568</v>
      </c>
      <c r="P2294" s="58" t="s">
        <v>241</v>
      </c>
      <c r="Q2294" s="6" t="s">
        <v>234</v>
      </c>
      <c r="R2294" s="3">
        <v>140</v>
      </c>
      <c r="S2294" s="1">
        <v>835</v>
      </c>
      <c r="T2294" s="4">
        <v>0</v>
      </c>
      <c r="U2294" s="4">
        <f t="shared" si="68"/>
        <v>0</v>
      </c>
      <c r="V2294" s="166"/>
      <c r="W2294" s="3">
        <v>2014</v>
      </c>
      <c r="X2294" s="3">
        <v>11</v>
      </c>
    </row>
    <row r="2295" spans="1:24" ht="89.25">
      <c r="A2295" s="3" t="s">
        <v>15596</v>
      </c>
      <c r="B2295" s="6" t="s">
        <v>361</v>
      </c>
      <c r="C2295" s="159" t="s">
        <v>4358</v>
      </c>
      <c r="D2295" s="159" t="s">
        <v>4359</v>
      </c>
      <c r="E2295" s="159" t="s">
        <v>4360</v>
      </c>
      <c r="F2295" s="6" t="s">
        <v>4703</v>
      </c>
      <c r="G2295" s="3" t="s">
        <v>11450</v>
      </c>
      <c r="H2295" s="54">
        <v>0</v>
      </c>
      <c r="I2295" s="55">
        <v>470000000</v>
      </c>
      <c r="J2295" s="56" t="s">
        <v>229</v>
      </c>
      <c r="K2295" s="6" t="s">
        <v>8309</v>
      </c>
      <c r="L2295" s="17" t="s">
        <v>11411</v>
      </c>
      <c r="M2295" s="162" t="s">
        <v>230</v>
      </c>
      <c r="N2295" s="15" t="s">
        <v>521</v>
      </c>
      <c r="O2295" s="6" t="s">
        <v>4568</v>
      </c>
      <c r="P2295" s="58" t="s">
        <v>241</v>
      </c>
      <c r="Q2295" s="6" t="s">
        <v>234</v>
      </c>
      <c r="R2295" s="3">
        <v>0</v>
      </c>
      <c r="S2295" s="1">
        <v>835</v>
      </c>
      <c r="T2295" s="4">
        <f>R2295*S2295</f>
        <v>0</v>
      </c>
      <c r="U2295" s="4">
        <f t="shared" si="68"/>
        <v>0</v>
      </c>
      <c r="V2295" s="166"/>
      <c r="W2295" s="3">
        <v>2014</v>
      </c>
      <c r="X2295" s="3" t="s">
        <v>12076</v>
      </c>
    </row>
    <row r="2296" spans="1:24" ht="89.25">
      <c r="A2296" s="3" t="s">
        <v>1407</v>
      </c>
      <c r="B2296" s="6" t="s">
        <v>361</v>
      </c>
      <c r="C2296" s="159" t="s">
        <v>4361</v>
      </c>
      <c r="D2296" s="159" t="s">
        <v>346</v>
      </c>
      <c r="E2296" s="159" t="s">
        <v>4362</v>
      </c>
      <c r="F2296" s="6" t="s">
        <v>4704</v>
      </c>
      <c r="G2296" s="3" t="s">
        <v>11450</v>
      </c>
      <c r="H2296" s="54">
        <v>0</v>
      </c>
      <c r="I2296" s="16">
        <v>470000000</v>
      </c>
      <c r="J2296" s="56" t="s">
        <v>229</v>
      </c>
      <c r="K2296" s="6" t="s">
        <v>520</v>
      </c>
      <c r="L2296" s="16" t="s">
        <v>4567</v>
      </c>
      <c r="M2296" s="162" t="s">
        <v>230</v>
      </c>
      <c r="N2296" s="15" t="s">
        <v>521</v>
      </c>
      <c r="O2296" s="6" t="s">
        <v>4568</v>
      </c>
      <c r="P2296" s="58" t="s">
        <v>241</v>
      </c>
      <c r="Q2296" s="6" t="s">
        <v>234</v>
      </c>
      <c r="R2296" s="4">
        <v>40</v>
      </c>
      <c r="S2296" s="74">
        <v>885</v>
      </c>
      <c r="T2296" s="4">
        <v>0</v>
      </c>
      <c r="U2296" s="4">
        <f t="shared" si="68"/>
        <v>0</v>
      </c>
      <c r="V2296" s="3" t="s">
        <v>362</v>
      </c>
      <c r="W2296" s="3">
        <v>2014</v>
      </c>
      <c r="X2296" s="3">
        <v>12.22</v>
      </c>
    </row>
    <row r="2297" spans="1:24" ht="89.25">
      <c r="A2297" s="3" t="s">
        <v>12505</v>
      </c>
      <c r="B2297" s="6" t="s">
        <v>361</v>
      </c>
      <c r="C2297" s="159" t="s">
        <v>4361</v>
      </c>
      <c r="D2297" s="159" t="s">
        <v>346</v>
      </c>
      <c r="E2297" s="159" t="s">
        <v>4362</v>
      </c>
      <c r="F2297" s="6" t="s">
        <v>4704</v>
      </c>
      <c r="G2297" s="3" t="s">
        <v>11450</v>
      </c>
      <c r="H2297" s="54">
        <v>0</v>
      </c>
      <c r="I2297" s="16">
        <v>470000000</v>
      </c>
      <c r="J2297" s="56" t="s">
        <v>229</v>
      </c>
      <c r="K2297" s="6" t="s">
        <v>520</v>
      </c>
      <c r="L2297" s="17" t="s">
        <v>11411</v>
      </c>
      <c r="M2297" s="162" t="s">
        <v>230</v>
      </c>
      <c r="N2297" s="15" t="s">
        <v>521</v>
      </c>
      <c r="O2297" s="6" t="s">
        <v>4568</v>
      </c>
      <c r="P2297" s="58" t="s">
        <v>241</v>
      </c>
      <c r="Q2297" s="6" t="s">
        <v>234</v>
      </c>
      <c r="R2297" s="4">
        <v>40</v>
      </c>
      <c r="S2297" s="74">
        <v>885</v>
      </c>
      <c r="T2297" s="4">
        <v>0</v>
      </c>
      <c r="U2297" s="4">
        <f t="shared" si="68"/>
        <v>0</v>
      </c>
      <c r="V2297" s="3"/>
      <c r="W2297" s="3">
        <v>2014</v>
      </c>
      <c r="X2297" s="3">
        <v>11</v>
      </c>
    </row>
    <row r="2298" spans="1:24" ht="89.25">
      <c r="A2298" s="3" t="s">
        <v>15597</v>
      </c>
      <c r="B2298" s="6" t="s">
        <v>361</v>
      </c>
      <c r="C2298" s="159" t="s">
        <v>4361</v>
      </c>
      <c r="D2298" s="159" t="s">
        <v>346</v>
      </c>
      <c r="E2298" s="159" t="s">
        <v>4362</v>
      </c>
      <c r="F2298" s="6" t="s">
        <v>4704</v>
      </c>
      <c r="G2298" s="3" t="s">
        <v>11450</v>
      </c>
      <c r="H2298" s="54">
        <v>0</v>
      </c>
      <c r="I2298" s="16">
        <v>470000000</v>
      </c>
      <c r="J2298" s="56" t="s">
        <v>229</v>
      </c>
      <c r="K2298" s="6" t="s">
        <v>8309</v>
      </c>
      <c r="L2298" s="17" t="s">
        <v>11411</v>
      </c>
      <c r="M2298" s="162" t="s">
        <v>230</v>
      </c>
      <c r="N2298" s="15" t="s">
        <v>521</v>
      </c>
      <c r="O2298" s="6" t="s">
        <v>4568</v>
      </c>
      <c r="P2298" s="58" t="s">
        <v>241</v>
      </c>
      <c r="Q2298" s="6" t="s">
        <v>234</v>
      </c>
      <c r="R2298" s="4">
        <v>0</v>
      </c>
      <c r="S2298" s="74">
        <v>885</v>
      </c>
      <c r="T2298" s="4">
        <f>R2298*S2298</f>
        <v>0</v>
      </c>
      <c r="U2298" s="4">
        <f t="shared" si="68"/>
        <v>0</v>
      </c>
      <c r="V2298" s="3"/>
      <c r="W2298" s="3">
        <v>2014</v>
      </c>
      <c r="X2298" s="3" t="s">
        <v>12076</v>
      </c>
    </row>
    <row r="2299" spans="1:24" ht="89.25">
      <c r="A2299" s="3" t="s">
        <v>1408</v>
      </c>
      <c r="B2299" s="6" t="s">
        <v>361</v>
      </c>
      <c r="C2299" s="159" t="s">
        <v>4363</v>
      </c>
      <c r="D2299" s="159" t="s">
        <v>346</v>
      </c>
      <c r="E2299" s="159" t="s">
        <v>4364</v>
      </c>
      <c r="F2299" s="6" t="s">
        <v>4705</v>
      </c>
      <c r="G2299" s="3" t="s">
        <v>11450</v>
      </c>
      <c r="H2299" s="54">
        <v>0</v>
      </c>
      <c r="I2299" s="55">
        <v>470000000</v>
      </c>
      <c r="J2299" s="56" t="s">
        <v>229</v>
      </c>
      <c r="K2299" s="6" t="s">
        <v>520</v>
      </c>
      <c r="L2299" s="16" t="s">
        <v>4570</v>
      </c>
      <c r="M2299" s="162" t="s">
        <v>230</v>
      </c>
      <c r="N2299" s="15" t="s">
        <v>521</v>
      </c>
      <c r="O2299" s="6" t="s">
        <v>4568</v>
      </c>
      <c r="P2299" s="58" t="s">
        <v>241</v>
      </c>
      <c r="Q2299" s="6" t="s">
        <v>234</v>
      </c>
      <c r="R2299" s="3">
        <v>10</v>
      </c>
      <c r="S2299" s="1">
        <v>885</v>
      </c>
      <c r="T2299" s="4">
        <v>0</v>
      </c>
      <c r="U2299" s="4">
        <f t="shared" si="68"/>
        <v>0</v>
      </c>
      <c r="V2299" s="166" t="s">
        <v>362</v>
      </c>
      <c r="W2299" s="3">
        <v>2014</v>
      </c>
      <c r="X2299" s="3">
        <v>12.22</v>
      </c>
    </row>
    <row r="2300" spans="1:24" ht="89.25">
      <c r="A2300" s="3" t="s">
        <v>12506</v>
      </c>
      <c r="B2300" s="6" t="s">
        <v>361</v>
      </c>
      <c r="C2300" s="159" t="s">
        <v>4363</v>
      </c>
      <c r="D2300" s="159" t="s">
        <v>346</v>
      </c>
      <c r="E2300" s="159" t="s">
        <v>4364</v>
      </c>
      <c r="F2300" s="6" t="s">
        <v>4705</v>
      </c>
      <c r="G2300" s="3" t="s">
        <v>11450</v>
      </c>
      <c r="H2300" s="54">
        <v>0</v>
      </c>
      <c r="I2300" s="55">
        <v>470000000</v>
      </c>
      <c r="J2300" s="56" t="s">
        <v>229</v>
      </c>
      <c r="K2300" s="6" t="s">
        <v>520</v>
      </c>
      <c r="L2300" s="17" t="s">
        <v>11411</v>
      </c>
      <c r="M2300" s="162" t="s">
        <v>230</v>
      </c>
      <c r="N2300" s="15" t="s">
        <v>521</v>
      </c>
      <c r="O2300" s="6" t="s">
        <v>4568</v>
      </c>
      <c r="P2300" s="58" t="s">
        <v>241</v>
      </c>
      <c r="Q2300" s="6" t="s">
        <v>234</v>
      </c>
      <c r="R2300" s="3">
        <v>10</v>
      </c>
      <c r="S2300" s="1">
        <v>885</v>
      </c>
      <c r="T2300" s="4">
        <v>0</v>
      </c>
      <c r="U2300" s="4">
        <f t="shared" si="68"/>
        <v>0</v>
      </c>
      <c r="V2300" s="166"/>
      <c r="W2300" s="3">
        <v>2014</v>
      </c>
      <c r="X2300" s="3">
        <v>11</v>
      </c>
    </row>
    <row r="2301" spans="1:24" ht="89.25">
      <c r="A2301" s="3" t="s">
        <v>15598</v>
      </c>
      <c r="B2301" s="6" t="s">
        <v>361</v>
      </c>
      <c r="C2301" s="159" t="s">
        <v>4363</v>
      </c>
      <c r="D2301" s="159" t="s">
        <v>346</v>
      </c>
      <c r="E2301" s="159" t="s">
        <v>4364</v>
      </c>
      <c r="F2301" s="6" t="s">
        <v>4705</v>
      </c>
      <c r="G2301" s="3" t="s">
        <v>11450</v>
      </c>
      <c r="H2301" s="54">
        <v>0</v>
      </c>
      <c r="I2301" s="55">
        <v>470000000</v>
      </c>
      <c r="J2301" s="56" t="s">
        <v>229</v>
      </c>
      <c r="K2301" s="6" t="s">
        <v>8309</v>
      </c>
      <c r="L2301" s="17" t="s">
        <v>11411</v>
      </c>
      <c r="M2301" s="162" t="s">
        <v>230</v>
      </c>
      <c r="N2301" s="15" t="s">
        <v>521</v>
      </c>
      <c r="O2301" s="6" t="s">
        <v>4568</v>
      </c>
      <c r="P2301" s="58" t="s">
        <v>241</v>
      </c>
      <c r="Q2301" s="6" t="s">
        <v>234</v>
      </c>
      <c r="R2301" s="3">
        <v>10</v>
      </c>
      <c r="S2301" s="1">
        <v>885</v>
      </c>
      <c r="T2301" s="4">
        <v>0</v>
      </c>
      <c r="U2301" s="4">
        <f t="shared" si="68"/>
        <v>0</v>
      </c>
      <c r="V2301" s="166"/>
      <c r="W2301" s="3">
        <v>2014</v>
      </c>
      <c r="X2301" s="3">
        <v>14</v>
      </c>
    </row>
    <row r="2302" spans="1:24" ht="89.25">
      <c r="A2302" s="3" t="s">
        <v>17571</v>
      </c>
      <c r="B2302" s="6" t="s">
        <v>361</v>
      </c>
      <c r="C2302" s="159" t="s">
        <v>4363</v>
      </c>
      <c r="D2302" s="159" t="s">
        <v>346</v>
      </c>
      <c r="E2302" s="159" t="s">
        <v>4364</v>
      </c>
      <c r="F2302" s="6" t="s">
        <v>4705</v>
      </c>
      <c r="G2302" s="3" t="s">
        <v>11450</v>
      </c>
      <c r="H2302" s="54">
        <v>0</v>
      </c>
      <c r="I2302" s="55">
        <v>470000000</v>
      </c>
      <c r="J2302" s="56" t="s">
        <v>229</v>
      </c>
      <c r="K2302" s="6" t="s">
        <v>8309</v>
      </c>
      <c r="L2302" s="17" t="s">
        <v>11411</v>
      </c>
      <c r="M2302" s="162" t="s">
        <v>230</v>
      </c>
      <c r="N2302" s="15" t="s">
        <v>17491</v>
      </c>
      <c r="O2302" s="6" t="s">
        <v>4568</v>
      </c>
      <c r="P2302" s="58" t="s">
        <v>241</v>
      </c>
      <c r="Q2302" s="6" t="s">
        <v>234</v>
      </c>
      <c r="R2302" s="3">
        <v>10</v>
      </c>
      <c r="S2302" s="1">
        <v>885</v>
      </c>
      <c r="T2302" s="4">
        <f>R2302*S2302</f>
        <v>8850</v>
      </c>
      <c r="U2302" s="4">
        <f t="shared" si="68"/>
        <v>9912.0000000000018</v>
      </c>
      <c r="V2302" s="166"/>
      <c r="W2302" s="3">
        <v>2014</v>
      </c>
      <c r="X2302" s="3"/>
    </row>
    <row r="2303" spans="1:24" ht="89.25">
      <c r="A2303" s="3" t="s">
        <v>1409</v>
      </c>
      <c r="B2303" s="6" t="s">
        <v>361</v>
      </c>
      <c r="C2303" s="159" t="s">
        <v>4363</v>
      </c>
      <c r="D2303" s="159" t="s">
        <v>346</v>
      </c>
      <c r="E2303" s="159" t="s">
        <v>4364</v>
      </c>
      <c r="F2303" s="6" t="s">
        <v>4706</v>
      </c>
      <c r="G2303" s="3" t="s">
        <v>11450</v>
      </c>
      <c r="H2303" s="54">
        <v>0</v>
      </c>
      <c r="I2303" s="16">
        <v>470000000</v>
      </c>
      <c r="J2303" s="56" t="s">
        <v>229</v>
      </c>
      <c r="K2303" s="6" t="s">
        <v>520</v>
      </c>
      <c r="L2303" s="16" t="s">
        <v>4567</v>
      </c>
      <c r="M2303" s="162" t="s">
        <v>230</v>
      </c>
      <c r="N2303" s="15" t="s">
        <v>521</v>
      </c>
      <c r="O2303" s="6" t="s">
        <v>4568</v>
      </c>
      <c r="P2303" s="58" t="s">
        <v>241</v>
      </c>
      <c r="Q2303" s="6" t="s">
        <v>234</v>
      </c>
      <c r="R2303" s="4">
        <v>470</v>
      </c>
      <c r="S2303" s="74">
        <v>655</v>
      </c>
      <c r="T2303" s="4">
        <v>0</v>
      </c>
      <c r="U2303" s="4">
        <f t="shared" si="68"/>
        <v>0</v>
      </c>
      <c r="V2303" s="3" t="s">
        <v>362</v>
      </c>
      <c r="W2303" s="3">
        <v>2014</v>
      </c>
      <c r="X2303" s="3">
        <v>12.22</v>
      </c>
    </row>
    <row r="2304" spans="1:24" ht="89.25">
      <c r="A2304" s="3" t="s">
        <v>12507</v>
      </c>
      <c r="B2304" s="6" t="s">
        <v>361</v>
      </c>
      <c r="C2304" s="159" t="s">
        <v>4363</v>
      </c>
      <c r="D2304" s="159" t="s">
        <v>346</v>
      </c>
      <c r="E2304" s="159" t="s">
        <v>4364</v>
      </c>
      <c r="F2304" s="6" t="s">
        <v>4706</v>
      </c>
      <c r="G2304" s="3" t="s">
        <v>11450</v>
      </c>
      <c r="H2304" s="54">
        <v>0</v>
      </c>
      <c r="I2304" s="16">
        <v>470000000</v>
      </c>
      <c r="J2304" s="56" t="s">
        <v>229</v>
      </c>
      <c r="K2304" s="6" t="s">
        <v>520</v>
      </c>
      <c r="L2304" s="17" t="s">
        <v>11411</v>
      </c>
      <c r="M2304" s="162" t="s">
        <v>230</v>
      </c>
      <c r="N2304" s="15" t="s">
        <v>521</v>
      </c>
      <c r="O2304" s="6" t="s">
        <v>4568</v>
      </c>
      <c r="P2304" s="58" t="s">
        <v>241</v>
      </c>
      <c r="Q2304" s="6" t="s">
        <v>234</v>
      </c>
      <c r="R2304" s="4">
        <v>470</v>
      </c>
      <c r="S2304" s="74">
        <v>655</v>
      </c>
      <c r="T2304" s="4">
        <v>0</v>
      </c>
      <c r="U2304" s="4">
        <f t="shared" si="68"/>
        <v>0</v>
      </c>
      <c r="V2304" s="3"/>
      <c r="W2304" s="3">
        <v>2014</v>
      </c>
      <c r="X2304" s="3">
        <v>11</v>
      </c>
    </row>
    <row r="2305" spans="1:24" ht="89.25">
      <c r="A2305" s="3" t="s">
        <v>15599</v>
      </c>
      <c r="B2305" s="6" t="s">
        <v>361</v>
      </c>
      <c r="C2305" s="159" t="s">
        <v>4363</v>
      </c>
      <c r="D2305" s="159" t="s">
        <v>346</v>
      </c>
      <c r="E2305" s="159" t="s">
        <v>4364</v>
      </c>
      <c r="F2305" s="6" t="s">
        <v>4706</v>
      </c>
      <c r="G2305" s="3" t="s">
        <v>11450</v>
      </c>
      <c r="H2305" s="54">
        <v>0</v>
      </c>
      <c r="I2305" s="16">
        <v>470000000</v>
      </c>
      <c r="J2305" s="56" t="s">
        <v>229</v>
      </c>
      <c r="K2305" s="6" t="s">
        <v>8309</v>
      </c>
      <c r="L2305" s="17" t="s">
        <v>11411</v>
      </c>
      <c r="M2305" s="162" t="s">
        <v>230</v>
      </c>
      <c r="N2305" s="15" t="s">
        <v>521</v>
      </c>
      <c r="O2305" s="6" t="s">
        <v>4568</v>
      </c>
      <c r="P2305" s="58" t="s">
        <v>241</v>
      </c>
      <c r="Q2305" s="6" t="s">
        <v>234</v>
      </c>
      <c r="R2305" s="4">
        <v>470</v>
      </c>
      <c r="S2305" s="74">
        <v>655</v>
      </c>
      <c r="T2305" s="4">
        <v>0</v>
      </c>
      <c r="U2305" s="4">
        <f t="shared" si="68"/>
        <v>0</v>
      </c>
      <c r="V2305" s="3"/>
      <c r="W2305" s="3">
        <v>2014</v>
      </c>
      <c r="X2305" s="3">
        <v>14</v>
      </c>
    </row>
    <row r="2306" spans="1:24" ht="89.25">
      <c r="A2306" s="3" t="s">
        <v>17572</v>
      </c>
      <c r="B2306" s="6" t="s">
        <v>361</v>
      </c>
      <c r="C2306" s="159" t="s">
        <v>4363</v>
      </c>
      <c r="D2306" s="159" t="s">
        <v>346</v>
      </c>
      <c r="E2306" s="159" t="s">
        <v>4364</v>
      </c>
      <c r="F2306" s="6" t="s">
        <v>4706</v>
      </c>
      <c r="G2306" s="3" t="s">
        <v>11450</v>
      </c>
      <c r="H2306" s="54">
        <v>0</v>
      </c>
      <c r="I2306" s="16">
        <v>470000000</v>
      </c>
      <c r="J2306" s="56" t="s">
        <v>229</v>
      </c>
      <c r="K2306" s="6" t="s">
        <v>8309</v>
      </c>
      <c r="L2306" s="17" t="s">
        <v>11411</v>
      </c>
      <c r="M2306" s="162" t="s">
        <v>230</v>
      </c>
      <c r="N2306" s="15" t="s">
        <v>17491</v>
      </c>
      <c r="O2306" s="6" t="s">
        <v>4568</v>
      </c>
      <c r="P2306" s="58" t="s">
        <v>241</v>
      </c>
      <c r="Q2306" s="6" t="s">
        <v>234</v>
      </c>
      <c r="R2306" s="4">
        <v>470</v>
      </c>
      <c r="S2306" s="74">
        <v>655</v>
      </c>
      <c r="T2306" s="4">
        <f>R2306*S2306</f>
        <v>307850</v>
      </c>
      <c r="U2306" s="4">
        <f t="shared" si="68"/>
        <v>344792.00000000006</v>
      </c>
      <c r="V2306" s="3"/>
      <c r="W2306" s="3">
        <v>2014</v>
      </c>
      <c r="X2306" s="3"/>
    </row>
    <row r="2307" spans="1:24" ht="89.25">
      <c r="A2307" s="3" t="s">
        <v>1410</v>
      </c>
      <c r="B2307" s="6" t="s">
        <v>361</v>
      </c>
      <c r="C2307" s="159" t="s">
        <v>4363</v>
      </c>
      <c r="D2307" s="159" t="s">
        <v>346</v>
      </c>
      <c r="E2307" s="159" t="s">
        <v>4364</v>
      </c>
      <c r="F2307" s="6" t="s">
        <v>4707</v>
      </c>
      <c r="G2307" s="3" t="s">
        <v>11450</v>
      </c>
      <c r="H2307" s="54">
        <v>0</v>
      </c>
      <c r="I2307" s="55">
        <v>470000000</v>
      </c>
      <c r="J2307" s="56" t="s">
        <v>229</v>
      </c>
      <c r="K2307" s="6" t="s">
        <v>520</v>
      </c>
      <c r="L2307" s="16" t="s">
        <v>4570</v>
      </c>
      <c r="M2307" s="162" t="s">
        <v>230</v>
      </c>
      <c r="N2307" s="15" t="s">
        <v>521</v>
      </c>
      <c r="O2307" s="6" t="s">
        <v>4568</v>
      </c>
      <c r="P2307" s="58" t="s">
        <v>241</v>
      </c>
      <c r="Q2307" s="6" t="s">
        <v>234</v>
      </c>
      <c r="R2307" s="3">
        <v>160</v>
      </c>
      <c r="S2307" s="1">
        <v>355</v>
      </c>
      <c r="T2307" s="4">
        <v>0</v>
      </c>
      <c r="U2307" s="4">
        <f t="shared" si="68"/>
        <v>0</v>
      </c>
      <c r="V2307" s="166" t="s">
        <v>362</v>
      </c>
      <c r="W2307" s="3">
        <v>2014</v>
      </c>
      <c r="X2307" s="3">
        <v>12.22</v>
      </c>
    </row>
    <row r="2308" spans="1:24" ht="89.25">
      <c r="A2308" s="3" t="s">
        <v>12508</v>
      </c>
      <c r="B2308" s="6" t="s">
        <v>361</v>
      </c>
      <c r="C2308" s="159" t="s">
        <v>4363</v>
      </c>
      <c r="D2308" s="159" t="s">
        <v>346</v>
      </c>
      <c r="E2308" s="159" t="s">
        <v>4364</v>
      </c>
      <c r="F2308" s="6" t="s">
        <v>4707</v>
      </c>
      <c r="G2308" s="3" t="s">
        <v>11450</v>
      </c>
      <c r="H2308" s="54">
        <v>0</v>
      </c>
      <c r="I2308" s="55">
        <v>470000000</v>
      </c>
      <c r="J2308" s="56" t="s">
        <v>229</v>
      </c>
      <c r="K2308" s="6" t="s">
        <v>520</v>
      </c>
      <c r="L2308" s="17" t="s">
        <v>11411</v>
      </c>
      <c r="M2308" s="162" t="s">
        <v>230</v>
      </c>
      <c r="N2308" s="15" t="s">
        <v>521</v>
      </c>
      <c r="O2308" s="6" t="s">
        <v>4568</v>
      </c>
      <c r="P2308" s="58" t="s">
        <v>241</v>
      </c>
      <c r="Q2308" s="6" t="s">
        <v>234</v>
      </c>
      <c r="R2308" s="3">
        <v>160</v>
      </c>
      <c r="S2308" s="1">
        <v>355</v>
      </c>
      <c r="T2308" s="4">
        <v>0</v>
      </c>
      <c r="U2308" s="4">
        <f t="shared" si="68"/>
        <v>0</v>
      </c>
      <c r="V2308" s="166"/>
      <c r="W2308" s="3">
        <v>2014</v>
      </c>
      <c r="X2308" s="3">
        <v>11</v>
      </c>
    </row>
    <row r="2309" spans="1:24" ht="89.25">
      <c r="A2309" s="3" t="s">
        <v>15600</v>
      </c>
      <c r="B2309" s="6" t="s">
        <v>361</v>
      </c>
      <c r="C2309" s="159" t="s">
        <v>4363</v>
      </c>
      <c r="D2309" s="159" t="s">
        <v>346</v>
      </c>
      <c r="E2309" s="159" t="s">
        <v>4364</v>
      </c>
      <c r="F2309" s="6" t="s">
        <v>4707</v>
      </c>
      <c r="G2309" s="3" t="s">
        <v>11450</v>
      </c>
      <c r="H2309" s="54">
        <v>0</v>
      </c>
      <c r="I2309" s="55">
        <v>470000000</v>
      </c>
      <c r="J2309" s="56" t="s">
        <v>229</v>
      </c>
      <c r="K2309" s="6" t="s">
        <v>8309</v>
      </c>
      <c r="L2309" s="17" t="s">
        <v>11411</v>
      </c>
      <c r="M2309" s="162" t="s">
        <v>230</v>
      </c>
      <c r="N2309" s="15" t="s">
        <v>521</v>
      </c>
      <c r="O2309" s="6" t="s">
        <v>4568</v>
      </c>
      <c r="P2309" s="58" t="s">
        <v>241</v>
      </c>
      <c r="Q2309" s="6" t="s">
        <v>234</v>
      </c>
      <c r="R2309" s="3">
        <v>160</v>
      </c>
      <c r="S2309" s="1">
        <v>355</v>
      </c>
      <c r="T2309" s="4">
        <v>0</v>
      </c>
      <c r="U2309" s="4">
        <f t="shared" si="68"/>
        <v>0</v>
      </c>
      <c r="V2309" s="166"/>
      <c r="W2309" s="3">
        <v>2014</v>
      </c>
      <c r="X2309" s="3">
        <v>14</v>
      </c>
    </row>
    <row r="2310" spans="1:24" ht="89.25">
      <c r="A2310" s="3" t="s">
        <v>17573</v>
      </c>
      <c r="B2310" s="6" t="s">
        <v>361</v>
      </c>
      <c r="C2310" s="159" t="s">
        <v>4363</v>
      </c>
      <c r="D2310" s="159" t="s">
        <v>346</v>
      </c>
      <c r="E2310" s="159" t="s">
        <v>4364</v>
      </c>
      <c r="F2310" s="6" t="s">
        <v>4707</v>
      </c>
      <c r="G2310" s="3" t="s">
        <v>11450</v>
      </c>
      <c r="H2310" s="54">
        <v>0</v>
      </c>
      <c r="I2310" s="55">
        <v>470000000</v>
      </c>
      <c r="J2310" s="56" t="s">
        <v>229</v>
      </c>
      <c r="K2310" s="6" t="s">
        <v>8309</v>
      </c>
      <c r="L2310" s="17" t="s">
        <v>11411</v>
      </c>
      <c r="M2310" s="162" t="s">
        <v>230</v>
      </c>
      <c r="N2310" s="15" t="s">
        <v>17491</v>
      </c>
      <c r="O2310" s="6" t="s">
        <v>4568</v>
      </c>
      <c r="P2310" s="58" t="s">
        <v>241</v>
      </c>
      <c r="Q2310" s="6" t="s">
        <v>234</v>
      </c>
      <c r="R2310" s="3">
        <v>160</v>
      </c>
      <c r="S2310" s="1">
        <v>355</v>
      </c>
      <c r="T2310" s="4">
        <f>R2310*S2310</f>
        <v>56800</v>
      </c>
      <c r="U2310" s="4">
        <f t="shared" si="68"/>
        <v>63616.000000000007</v>
      </c>
      <c r="V2310" s="166"/>
      <c r="W2310" s="3">
        <v>2014</v>
      </c>
      <c r="X2310" s="3"/>
    </row>
    <row r="2311" spans="1:24" ht="89.25">
      <c r="A2311" s="3" t="s">
        <v>1411</v>
      </c>
      <c r="B2311" s="6" t="s">
        <v>361</v>
      </c>
      <c r="C2311" s="159" t="s">
        <v>4363</v>
      </c>
      <c r="D2311" s="159" t="s">
        <v>346</v>
      </c>
      <c r="E2311" s="159" t="s">
        <v>4364</v>
      </c>
      <c r="F2311" s="6" t="s">
        <v>4708</v>
      </c>
      <c r="G2311" s="3" t="s">
        <v>11450</v>
      </c>
      <c r="H2311" s="54">
        <v>0</v>
      </c>
      <c r="I2311" s="16">
        <v>470000000</v>
      </c>
      <c r="J2311" s="56" t="s">
        <v>229</v>
      </c>
      <c r="K2311" s="6" t="s">
        <v>520</v>
      </c>
      <c r="L2311" s="16" t="s">
        <v>4567</v>
      </c>
      <c r="M2311" s="162" t="s">
        <v>230</v>
      </c>
      <c r="N2311" s="15" t="s">
        <v>521</v>
      </c>
      <c r="O2311" s="6" t="s">
        <v>4568</v>
      </c>
      <c r="P2311" s="58" t="s">
        <v>241</v>
      </c>
      <c r="Q2311" s="6" t="s">
        <v>234</v>
      </c>
      <c r="R2311" s="4">
        <v>170</v>
      </c>
      <c r="S2311" s="74">
        <v>834</v>
      </c>
      <c r="T2311" s="4">
        <v>0</v>
      </c>
      <c r="U2311" s="4">
        <f t="shared" si="68"/>
        <v>0</v>
      </c>
      <c r="V2311" s="3" t="s">
        <v>362</v>
      </c>
      <c r="W2311" s="3">
        <v>2014</v>
      </c>
      <c r="X2311" s="3">
        <v>12.22</v>
      </c>
    </row>
    <row r="2312" spans="1:24" ht="89.25">
      <c r="A2312" s="3" t="s">
        <v>12509</v>
      </c>
      <c r="B2312" s="6" t="s">
        <v>361</v>
      </c>
      <c r="C2312" s="159" t="s">
        <v>4363</v>
      </c>
      <c r="D2312" s="159" t="s">
        <v>346</v>
      </c>
      <c r="E2312" s="159" t="s">
        <v>4364</v>
      </c>
      <c r="F2312" s="6" t="s">
        <v>4708</v>
      </c>
      <c r="G2312" s="3" t="s">
        <v>11450</v>
      </c>
      <c r="H2312" s="54">
        <v>0</v>
      </c>
      <c r="I2312" s="16">
        <v>470000000</v>
      </c>
      <c r="J2312" s="56" t="s">
        <v>229</v>
      </c>
      <c r="K2312" s="6" t="s">
        <v>520</v>
      </c>
      <c r="L2312" s="17" t="s">
        <v>11411</v>
      </c>
      <c r="M2312" s="162" t="s">
        <v>230</v>
      </c>
      <c r="N2312" s="15" t="s">
        <v>521</v>
      </c>
      <c r="O2312" s="6" t="s">
        <v>4568</v>
      </c>
      <c r="P2312" s="58" t="s">
        <v>241</v>
      </c>
      <c r="Q2312" s="6" t="s">
        <v>234</v>
      </c>
      <c r="R2312" s="4">
        <v>170</v>
      </c>
      <c r="S2312" s="74">
        <v>834</v>
      </c>
      <c r="T2312" s="4">
        <v>0</v>
      </c>
      <c r="U2312" s="4">
        <f t="shared" si="68"/>
        <v>0</v>
      </c>
      <c r="V2312" s="3"/>
      <c r="W2312" s="3">
        <v>2014</v>
      </c>
      <c r="X2312" s="3">
        <v>11</v>
      </c>
    </row>
    <row r="2313" spans="1:24" ht="89.25">
      <c r="A2313" s="3" t="s">
        <v>15601</v>
      </c>
      <c r="B2313" s="6" t="s">
        <v>361</v>
      </c>
      <c r="C2313" s="159" t="s">
        <v>4363</v>
      </c>
      <c r="D2313" s="159" t="s">
        <v>346</v>
      </c>
      <c r="E2313" s="159" t="s">
        <v>4364</v>
      </c>
      <c r="F2313" s="6" t="s">
        <v>4708</v>
      </c>
      <c r="G2313" s="3" t="s">
        <v>11450</v>
      </c>
      <c r="H2313" s="54">
        <v>0</v>
      </c>
      <c r="I2313" s="16">
        <v>470000000</v>
      </c>
      <c r="J2313" s="56" t="s">
        <v>229</v>
      </c>
      <c r="K2313" s="6" t="s">
        <v>8309</v>
      </c>
      <c r="L2313" s="17" t="s">
        <v>11411</v>
      </c>
      <c r="M2313" s="162" t="s">
        <v>230</v>
      </c>
      <c r="N2313" s="15" t="s">
        <v>521</v>
      </c>
      <c r="O2313" s="6" t="s">
        <v>4568</v>
      </c>
      <c r="P2313" s="58" t="s">
        <v>241</v>
      </c>
      <c r="Q2313" s="6" t="s">
        <v>234</v>
      </c>
      <c r="R2313" s="4">
        <v>170</v>
      </c>
      <c r="S2313" s="74">
        <v>834</v>
      </c>
      <c r="T2313" s="4">
        <v>0</v>
      </c>
      <c r="U2313" s="4">
        <f t="shared" si="68"/>
        <v>0</v>
      </c>
      <c r="V2313" s="3"/>
      <c r="W2313" s="3">
        <v>2014</v>
      </c>
      <c r="X2313" s="3">
        <v>14</v>
      </c>
    </row>
    <row r="2314" spans="1:24" ht="89.25">
      <c r="A2314" s="3" t="s">
        <v>17574</v>
      </c>
      <c r="B2314" s="6" t="s">
        <v>361</v>
      </c>
      <c r="C2314" s="159" t="s">
        <v>4363</v>
      </c>
      <c r="D2314" s="159" t="s">
        <v>346</v>
      </c>
      <c r="E2314" s="159" t="s">
        <v>4364</v>
      </c>
      <c r="F2314" s="6" t="s">
        <v>4708</v>
      </c>
      <c r="G2314" s="3" t="s">
        <v>11450</v>
      </c>
      <c r="H2314" s="54">
        <v>0</v>
      </c>
      <c r="I2314" s="16">
        <v>470000000</v>
      </c>
      <c r="J2314" s="56" t="s">
        <v>229</v>
      </c>
      <c r="K2314" s="6" t="s">
        <v>8309</v>
      </c>
      <c r="L2314" s="17" t="s">
        <v>11411</v>
      </c>
      <c r="M2314" s="162" t="s">
        <v>230</v>
      </c>
      <c r="N2314" s="15" t="s">
        <v>17491</v>
      </c>
      <c r="O2314" s="6" t="s">
        <v>4568</v>
      </c>
      <c r="P2314" s="58" t="s">
        <v>241</v>
      </c>
      <c r="Q2314" s="6" t="s">
        <v>234</v>
      </c>
      <c r="R2314" s="4">
        <v>170</v>
      </c>
      <c r="S2314" s="74">
        <v>834</v>
      </c>
      <c r="T2314" s="4">
        <v>0</v>
      </c>
      <c r="U2314" s="4">
        <f t="shared" si="68"/>
        <v>0</v>
      </c>
      <c r="V2314" s="3"/>
      <c r="W2314" s="3">
        <v>2014</v>
      </c>
      <c r="X2314" s="3" t="s">
        <v>12076</v>
      </c>
    </row>
    <row r="2315" spans="1:24" ht="89.25">
      <c r="A2315" s="3" t="s">
        <v>1412</v>
      </c>
      <c r="B2315" s="6" t="s">
        <v>361</v>
      </c>
      <c r="C2315" s="159" t="s">
        <v>11641</v>
      </c>
      <c r="D2315" s="159" t="s">
        <v>4365</v>
      </c>
      <c r="E2315" s="159" t="s">
        <v>11642</v>
      </c>
      <c r="F2315" s="172" t="s">
        <v>4709</v>
      </c>
      <c r="G2315" s="3" t="s">
        <v>11450</v>
      </c>
      <c r="H2315" s="54">
        <v>0</v>
      </c>
      <c r="I2315" s="55">
        <v>470000000</v>
      </c>
      <c r="J2315" s="56" t="s">
        <v>229</v>
      </c>
      <c r="K2315" s="6" t="s">
        <v>519</v>
      </c>
      <c r="L2315" s="16" t="s">
        <v>4570</v>
      </c>
      <c r="M2315" s="162" t="s">
        <v>230</v>
      </c>
      <c r="N2315" s="15" t="s">
        <v>521</v>
      </c>
      <c r="O2315" s="6" t="s">
        <v>4568</v>
      </c>
      <c r="P2315" s="58" t="s">
        <v>241</v>
      </c>
      <c r="Q2315" s="6" t="s">
        <v>234</v>
      </c>
      <c r="R2315" s="3">
        <v>40</v>
      </c>
      <c r="S2315" s="1">
        <v>2785</v>
      </c>
      <c r="T2315" s="4">
        <v>0</v>
      </c>
      <c r="U2315" s="4">
        <f t="shared" si="68"/>
        <v>0</v>
      </c>
      <c r="V2315" s="166" t="s">
        <v>362</v>
      </c>
      <c r="W2315" s="3">
        <v>2014</v>
      </c>
      <c r="X2315" s="3">
        <v>12.22</v>
      </c>
    </row>
    <row r="2316" spans="1:24" ht="89.25">
      <c r="A2316" s="3" t="s">
        <v>12510</v>
      </c>
      <c r="B2316" s="6" t="s">
        <v>361</v>
      </c>
      <c r="C2316" s="159" t="s">
        <v>11641</v>
      </c>
      <c r="D2316" s="159" t="s">
        <v>4365</v>
      </c>
      <c r="E2316" s="159" t="s">
        <v>11642</v>
      </c>
      <c r="F2316" s="172" t="s">
        <v>4709</v>
      </c>
      <c r="G2316" s="3" t="s">
        <v>11450</v>
      </c>
      <c r="H2316" s="54">
        <v>0</v>
      </c>
      <c r="I2316" s="55">
        <v>470000000</v>
      </c>
      <c r="J2316" s="56" t="s">
        <v>229</v>
      </c>
      <c r="K2316" s="6" t="s">
        <v>519</v>
      </c>
      <c r="L2316" s="17" t="s">
        <v>11411</v>
      </c>
      <c r="M2316" s="162" t="s">
        <v>230</v>
      </c>
      <c r="N2316" s="15" t="s">
        <v>521</v>
      </c>
      <c r="O2316" s="6" t="s">
        <v>4568</v>
      </c>
      <c r="P2316" s="58" t="s">
        <v>241</v>
      </c>
      <c r="Q2316" s="6" t="s">
        <v>234</v>
      </c>
      <c r="R2316" s="3">
        <v>40</v>
      </c>
      <c r="S2316" s="1">
        <v>2785</v>
      </c>
      <c r="T2316" s="4">
        <v>0</v>
      </c>
      <c r="U2316" s="4">
        <f t="shared" si="68"/>
        <v>0</v>
      </c>
      <c r="V2316" s="166"/>
      <c r="W2316" s="3">
        <v>2014</v>
      </c>
      <c r="X2316" s="3">
        <v>11</v>
      </c>
    </row>
    <row r="2317" spans="1:24" ht="89.25">
      <c r="A2317" s="3" t="s">
        <v>15602</v>
      </c>
      <c r="B2317" s="6" t="s">
        <v>361</v>
      </c>
      <c r="C2317" s="159" t="s">
        <v>11641</v>
      </c>
      <c r="D2317" s="159" t="s">
        <v>4365</v>
      </c>
      <c r="E2317" s="159" t="s">
        <v>11642</v>
      </c>
      <c r="F2317" s="172" t="s">
        <v>4709</v>
      </c>
      <c r="G2317" s="3" t="s">
        <v>11450</v>
      </c>
      <c r="H2317" s="54">
        <v>0</v>
      </c>
      <c r="I2317" s="55">
        <v>470000000</v>
      </c>
      <c r="J2317" s="56" t="s">
        <v>229</v>
      </c>
      <c r="K2317" s="6" t="s">
        <v>222</v>
      </c>
      <c r="L2317" s="17" t="s">
        <v>11411</v>
      </c>
      <c r="M2317" s="162" t="s">
        <v>230</v>
      </c>
      <c r="N2317" s="15" t="s">
        <v>521</v>
      </c>
      <c r="O2317" s="6" t="s">
        <v>4568</v>
      </c>
      <c r="P2317" s="58" t="s">
        <v>241</v>
      </c>
      <c r="Q2317" s="6" t="s">
        <v>234</v>
      </c>
      <c r="R2317" s="3">
        <v>40</v>
      </c>
      <c r="S2317" s="1">
        <v>2785</v>
      </c>
      <c r="T2317" s="4">
        <v>0</v>
      </c>
      <c r="U2317" s="4">
        <f t="shared" si="68"/>
        <v>0</v>
      </c>
      <c r="V2317" s="166"/>
      <c r="W2317" s="3">
        <v>2014</v>
      </c>
      <c r="X2317" s="3">
        <v>14</v>
      </c>
    </row>
    <row r="2318" spans="1:24" ht="89.25">
      <c r="A2318" s="3" t="s">
        <v>17575</v>
      </c>
      <c r="B2318" s="6" t="s">
        <v>361</v>
      </c>
      <c r="C2318" s="159" t="s">
        <v>11641</v>
      </c>
      <c r="D2318" s="159" t="s">
        <v>4365</v>
      </c>
      <c r="E2318" s="159" t="s">
        <v>11642</v>
      </c>
      <c r="F2318" s="172" t="s">
        <v>4709</v>
      </c>
      <c r="G2318" s="3" t="s">
        <v>11450</v>
      </c>
      <c r="H2318" s="54">
        <v>0</v>
      </c>
      <c r="I2318" s="55">
        <v>470000000</v>
      </c>
      <c r="J2318" s="56" t="s">
        <v>229</v>
      </c>
      <c r="K2318" s="6" t="s">
        <v>222</v>
      </c>
      <c r="L2318" s="17" t="s">
        <v>11411</v>
      </c>
      <c r="M2318" s="162" t="s">
        <v>230</v>
      </c>
      <c r="N2318" s="15" t="s">
        <v>17560</v>
      </c>
      <c r="O2318" s="6" t="s">
        <v>4568</v>
      </c>
      <c r="P2318" s="58" t="s">
        <v>241</v>
      </c>
      <c r="Q2318" s="6" t="s">
        <v>234</v>
      </c>
      <c r="R2318" s="3">
        <v>40</v>
      </c>
      <c r="S2318" s="1">
        <v>2785</v>
      </c>
      <c r="T2318" s="4">
        <v>0</v>
      </c>
      <c r="U2318" s="4">
        <f t="shared" si="68"/>
        <v>0</v>
      </c>
      <c r="V2318" s="166"/>
      <c r="W2318" s="3">
        <v>2014</v>
      </c>
      <c r="X2318" s="3" t="s">
        <v>12076</v>
      </c>
    </row>
    <row r="2319" spans="1:24" ht="89.25">
      <c r="A2319" s="3" t="s">
        <v>1413</v>
      </c>
      <c r="B2319" s="6" t="s">
        <v>361</v>
      </c>
      <c r="C2319" s="159" t="s">
        <v>11643</v>
      </c>
      <c r="D2319" s="159" t="s">
        <v>4365</v>
      </c>
      <c r="E2319" s="159" t="s">
        <v>11644</v>
      </c>
      <c r="F2319" s="172" t="s">
        <v>4710</v>
      </c>
      <c r="G2319" s="3" t="s">
        <v>11450</v>
      </c>
      <c r="H2319" s="54">
        <v>0</v>
      </c>
      <c r="I2319" s="16">
        <v>470000000</v>
      </c>
      <c r="J2319" s="56" t="s">
        <v>229</v>
      </c>
      <c r="K2319" s="6" t="s">
        <v>519</v>
      </c>
      <c r="L2319" s="16" t="s">
        <v>4567</v>
      </c>
      <c r="M2319" s="162" t="s">
        <v>230</v>
      </c>
      <c r="N2319" s="15" t="s">
        <v>521</v>
      </c>
      <c r="O2319" s="6" t="s">
        <v>4568</v>
      </c>
      <c r="P2319" s="58" t="s">
        <v>241</v>
      </c>
      <c r="Q2319" s="6" t="s">
        <v>234</v>
      </c>
      <c r="R2319" s="4">
        <v>10</v>
      </c>
      <c r="S2319" s="74">
        <v>14368</v>
      </c>
      <c r="T2319" s="4">
        <v>0</v>
      </c>
      <c r="U2319" s="4">
        <f t="shared" si="68"/>
        <v>0</v>
      </c>
      <c r="V2319" s="3" t="s">
        <v>362</v>
      </c>
      <c r="W2319" s="3">
        <v>2014</v>
      </c>
      <c r="X2319" s="3">
        <v>12.22</v>
      </c>
    </row>
    <row r="2320" spans="1:24" ht="89.25">
      <c r="A2320" s="3" t="s">
        <v>12511</v>
      </c>
      <c r="B2320" s="6" t="s">
        <v>361</v>
      </c>
      <c r="C2320" s="159" t="s">
        <v>11643</v>
      </c>
      <c r="D2320" s="159" t="s">
        <v>4365</v>
      </c>
      <c r="E2320" s="159" t="s">
        <v>11644</v>
      </c>
      <c r="F2320" s="172" t="s">
        <v>4710</v>
      </c>
      <c r="G2320" s="3" t="s">
        <v>11450</v>
      </c>
      <c r="H2320" s="54">
        <v>0</v>
      </c>
      <c r="I2320" s="16">
        <v>470000000</v>
      </c>
      <c r="J2320" s="56" t="s">
        <v>229</v>
      </c>
      <c r="K2320" s="6" t="s">
        <v>519</v>
      </c>
      <c r="L2320" s="17" t="s">
        <v>11411</v>
      </c>
      <c r="M2320" s="162" t="s">
        <v>230</v>
      </c>
      <c r="N2320" s="15" t="s">
        <v>521</v>
      </c>
      <c r="O2320" s="6" t="s">
        <v>4568</v>
      </c>
      <c r="P2320" s="58" t="s">
        <v>241</v>
      </c>
      <c r="Q2320" s="6" t="s">
        <v>234</v>
      </c>
      <c r="R2320" s="4">
        <v>10</v>
      </c>
      <c r="S2320" s="74">
        <v>14368</v>
      </c>
      <c r="T2320" s="4">
        <v>0</v>
      </c>
      <c r="U2320" s="4">
        <f t="shared" si="68"/>
        <v>0</v>
      </c>
      <c r="V2320" s="3"/>
      <c r="W2320" s="3">
        <v>2014</v>
      </c>
      <c r="X2320" s="3">
        <v>11</v>
      </c>
    </row>
    <row r="2321" spans="1:24" ht="89.25">
      <c r="A2321" s="3" t="s">
        <v>15603</v>
      </c>
      <c r="B2321" s="6" t="s">
        <v>361</v>
      </c>
      <c r="C2321" s="159" t="s">
        <v>11643</v>
      </c>
      <c r="D2321" s="159" t="s">
        <v>4365</v>
      </c>
      <c r="E2321" s="159" t="s">
        <v>11644</v>
      </c>
      <c r="F2321" s="172" t="s">
        <v>4710</v>
      </c>
      <c r="G2321" s="3" t="s">
        <v>11450</v>
      </c>
      <c r="H2321" s="54">
        <v>0</v>
      </c>
      <c r="I2321" s="16">
        <v>470000000</v>
      </c>
      <c r="J2321" s="56" t="s">
        <v>229</v>
      </c>
      <c r="K2321" s="6" t="s">
        <v>222</v>
      </c>
      <c r="L2321" s="17" t="s">
        <v>11411</v>
      </c>
      <c r="M2321" s="162" t="s">
        <v>230</v>
      </c>
      <c r="N2321" s="15" t="s">
        <v>521</v>
      </c>
      <c r="O2321" s="6" t="s">
        <v>4568</v>
      </c>
      <c r="P2321" s="58" t="s">
        <v>241</v>
      </c>
      <c r="Q2321" s="6" t="s">
        <v>234</v>
      </c>
      <c r="R2321" s="4">
        <v>10</v>
      </c>
      <c r="S2321" s="74">
        <v>14368</v>
      </c>
      <c r="T2321" s="4">
        <v>0</v>
      </c>
      <c r="U2321" s="4">
        <f t="shared" si="68"/>
        <v>0</v>
      </c>
      <c r="V2321" s="3"/>
      <c r="W2321" s="3">
        <v>2014</v>
      </c>
      <c r="X2321" s="3">
        <v>14</v>
      </c>
    </row>
    <row r="2322" spans="1:24" ht="89.25">
      <c r="A2322" s="3" t="s">
        <v>17576</v>
      </c>
      <c r="B2322" s="6" t="s">
        <v>361</v>
      </c>
      <c r="C2322" s="159" t="s">
        <v>11643</v>
      </c>
      <c r="D2322" s="159" t="s">
        <v>4365</v>
      </c>
      <c r="E2322" s="159" t="s">
        <v>11644</v>
      </c>
      <c r="F2322" s="172" t="s">
        <v>4710</v>
      </c>
      <c r="G2322" s="3" t="s">
        <v>11450</v>
      </c>
      <c r="H2322" s="54">
        <v>0</v>
      </c>
      <c r="I2322" s="16">
        <v>470000000</v>
      </c>
      <c r="J2322" s="56" t="s">
        <v>229</v>
      </c>
      <c r="K2322" s="6" t="s">
        <v>222</v>
      </c>
      <c r="L2322" s="17" t="s">
        <v>11411</v>
      </c>
      <c r="M2322" s="162" t="s">
        <v>230</v>
      </c>
      <c r="N2322" s="15" t="s">
        <v>17560</v>
      </c>
      <c r="O2322" s="6" t="s">
        <v>4568</v>
      </c>
      <c r="P2322" s="58" t="s">
        <v>241</v>
      </c>
      <c r="Q2322" s="6" t="s">
        <v>234</v>
      </c>
      <c r="R2322" s="4">
        <v>10</v>
      </c>
      <c r="S2322" s="74">
        <v>14368</v>
      </c>
      <c r="T2322" s="4">
        <v>0</v>
      </c>
      <c r="U2322" s="4">
        <f t="shared" si="68"/>
        <v>0</v>
      </c>
      <c r="V2322" s="3"/>
      <c r="W2322" s="3">
        <v>2014</v>
      </c>
      <c r="X2322" s="3">
        <v>11</v>
      </c>
    </row>
    <row r="2323" spans="1:24" ht="89.25">
      <c r="A2323" s="3" t="s">
        <v>18647</v>
      </c>
      <c r="B2323" s="6" t="s">
        <v>361</v>
      </c>
      <c r="C2323" s="159" t="s">
        <v>11643</v>
      </c>
      <c r="D2323" s="159" t="s">
        <v>4365</v>
      </c>
      <c r="E2323" s="159" t="s">
        <v>11644</v>
      </c>
      <c r="F2323" s="172" t="s">
        <v>4710</v>
      </c>
      <c r="G2323" s="3" t="s">
        <v>11450</v>
      </c>
      <c r="H2323" s="54">
        <v>0</v>
      </c>
      <c r="I2323" s="16">
        <v>470000000</v>
      </c>
      <c r="J2323" s="56" t="s">
        <v>229</v>
      </c>
      <c r="K2323" s="6" t="s">
        <v>18439</v>
      </c>
      <c r="L2323" s="17" t="s">
        <v>11411</v>
      </c>
      <c r="M2323" s="162" t="s">
        <v>230</v>
      </c>
      <c r="N2323" s="15" t="s">
        <v>17560</v>
      </c>
      <c r="O2323" s="6" t="s">
        <v>4568</v>
      </c>
      <c r="P2323" s="58" t="s">
        <v>241</v>
      </c>
      <c r="Q2323" s="6" t="s">
        <v>234</v>
      </c>
      <c r="R2323" s="4">
        <v>10</v>
      </c>
      <c r="S2323" s="74">
        <v>14368</v>
      </c>
      <c r="T2323" s="4">
        <f>R2323*S2323</f>
        <v>143680</v>
      </c>
      <c r="U2323" s="4">
        <f t="shared" si="68"/>
        <v>160921.60000000001</v>
      </c>
      <c r="V2323" s="3"/>
      <c r="W2323" s="3">
        <v>2014</v>
      </c>
      <c r="X2323" s="3"/>
    </row>
    <row r="2324" spans="1:24" ht="89.25">
      <c r="A2324" s="3" t="s">
        <v>1414</v>
      </c>
      <c r="B2324" s="6" t="s">
        <v>361</v>
      </c>
      <c r="C2324" s="159" t="s">
        <v>11643</v>
      </c>
      <c r="D2324" s="159" t="s">
        <v>4365</v>
      </c>
      <c r="E2324" s="159" t="s">
        <v>11644</v>
      </c>
      <c r="F2324" s="172" t="s">
        <v>4711</v>
      </c>
      <c r="G2324" s="3" t="s">
        <v>11450</v>
      </c>
      <c r="H2324" s="54">
        <v>0</v>
      </c>
      <c r="I2324" s="55">
        <v>470000000</v>
      </c>
      <c r="J2324" s="56" t="s">
        <v>229</v>
      </c>
      <c r="K2324" s="6" t="s">
        <v>519</v>
      </c>
      <c r="L2324" s="16" t="s">
        <v>4570</v>
      </c>
      <c r="M2324" s="162" t="s">
        <v>230</v>
      </c>
      <c r="N2324" s="15" t="s">
        <v>521</v>
      </c>
      <c r="O2324" s="6" t="s">
        <v>4568</v>
      </c>
      <c r="P2324" s="58" t="s">
        <v>241</v>
      </c>
      <c r="Q2324" s="6" t="s">
        <v>234</v>
      </c>
      <c r="R2324" s="3">
        <v>10</v>
      </c>
      <c r="S2324" s="1">
        <v>12265</v>
      </c>
      <c r="T2324" s="4">
        <v>0</v>
      </c>
      <c r="U2324" s="4">
        <f t="shared" si="68"/>
        <v>0</v>
      </c>
      <c r="V2324" s="166" t="s">
        <v>362</v>
      </c>
      <c r="W2324" s="3">
        <v>2014</v>
      </c>
      <c r="X2324" s="3">
        <v>12.22</v>
      </c>
    </row>
    <row r="2325" spans="1:24" ht="89.25">
      <c r="A2325" s="3" t="s">
        <v>12512</v>
      </c>
      <c r="B2325" s="6" t="s">
        <v>361</v>
      </c>
      <c r="C2325" s="159" t="s">
        <v>11643</v>
      </c>
      <c r="D2325" s="159" t="s">
        <v>4365</v>
      </c>
      <c r="E2325" s="159" t="s">
        <v>11644</v>
      </c>
      <c r="F2325" s="172" t="s">
        <v>4711</v>
      </c>
      <c r="G2325" s="3" t="s">
        <v>11450</v>
      </c>
      <c r="H2325" s="54">
        <v>0</v>
      </c>
      <c r="I2325" s="55">
        <v>470000000</v>
      </c>
      <c r="J2325" s="56" t="s">
        <v>229</v>
      </c>
      <c r="K2325" s="6" t="s">
        <v>519</v>
      </c>
      <c r="L2325" s="17" t="s">
        <v>11411</v>
      </c>
      <c r="M2325" s="162" t="s">
        <v>230</v>
      </c>
      <c r="N2325" s="15" t="s">
        <v>521</v>
      </c>
      <c r="O2325" s="6" t="s">
        <v>4568</v>
      </c>
      <c r="P2325" s="58" t="s">
        <v>241</v>
      </c>
      <c r="Q2325" s="6" t="s">
        <v>234</v>
      </c>
      <c r="R2325" s="3">
        <v>10</v>
      </c>
      <c r="S2325" s="1">
        <v>12265</v>
      </c>
      <c r="T2325" s="4">
        <v>0</v>
      </c>
      <c r="U2325" s="4">
        <f t="shared" si="68"/>
        <v>0</v>
      </c>
      <c r="V2325" s="166"/>
      <c r="W2325" s="3">
        <v>2014</v>
      </c>
      <c r="X2325" s="3">
        <v>11</v>
      </c>
    </row>
    <row r="2326" spans="1:24" ht="89.25">
      <c r="A2326" s="3" t="s">
        <v>15604</v>
      </c>
      <c r="B2326" s="6" t="s">
        <v>361</v>
      </c>
      <c r="C2326" s="159" t="s">
        <v>11643</v>
      </c>
      <c r="D2326" s="159" t="s">
        <v>4365</v>
      </c>
      <c r="E2326" s="159" t="s">
        <v>11644</v>
      </c>
      <c r="F2326" s="172" t="s">
        <v>4711</v>
      </c>
      <c r="G2326" s="3" t="s">
        <v>11450</v>
      </c>
      <c r="H2326" s="54">
        <v>0</v>
      </c>
      <c r="I2326" s="55">
        <v>470000000</v>
      </c>
      <c r="J2326" s="56" t="s">
        <v>229</v>
      </c>
      <c r="K2326" s="6" t="s">
        <v>222</v>
      </c>
      <c r="L2326" s="17" t="s">
        <v>11411</v>
      </c>
      <c r="M2326" s="162" t="s">
        <v>230</v>
      </c>
      <c r="N2326" s="15" t="s">
        <v>521</v>
      </c>
      <c r="O2326" s="6" t="s">
        <v>4568</v>
      </c>
      <c r="P2326" s="58" t="s">
        <v>241</v>
      </c>
      <c r="Q2326" s="6" t="s">
        <v>234</v>
      </c>
      <c r="R2326" s="3">
        <v>10</v>
      </c>
      <c r="S2326" s="1">
        <v>12265</v>
      </c>
      <c r="T2326" s="4">
        <v>0</v>
      </c>
      <c r="U2326" s="4">
        <f t="shared" si="68"/>
        <v>0</v>
      </c>
      <c r="V2326" s="166"/>
      <c r="W2326" s="3">
        <v>2014</v>
      </c>
      <c r="X2326" s="3">
        <v>14</v>
      </c>
    </row>
    <row r="2327" spans="1:24" ht="89.25">
      <c r="A2327" s="3" t="s">
        <v>17577</v>
      </c>
      <c r="B2327" s="6" t="s">
        <v>361</v>
      </c>
      <c r="C2327" s="159" t="s">
        <v>11643</v>
      </c>
      <c r="D2327" s="159" t="s">
        <v>4365</v>
      </c>
      <c r="E2327" s="159" t="s">
        <v>11644</v>
      </c>
      <c r="F2327" s="172" t="s">
        <v>4711</v>
      </c>
      <c r="G2327" s="3" t="s">
        <v>11450</v>
      </c>
      <c r="H2327" s="54">
        <v>0</v>
      </c>
      <c r="I2327" s="55">
        <v>470000000</v>
      </c>
      <c r="J2327" s="56" t="s">
        <v>229</v>
      </c>
      <c r="K2327" s="6" t="s">
        <v>222</v>
      </c>
      <c r="L2327" s="17" t="s">
        <v>11411</v>
      </c>
      <c r="M2327" s="162" t="s">
        <v>230</v>
      </c>
      <c r="N2327" s="15" t="s">
        <v>17560</v>
      </c>
      <c r="O2327" s="6" t="s">
        <v>4568</v>
      </c>
      <c r="P2327" s="58" t="s">
        <v>241</v>
      </c>
      <c r="Q2327" s="6" t="s">
        <v>234</v>
      </c>
      <c r="R2327" s="3">
        <v>10</v>
      </c>
      <c r="S2327" s="1">
        <v>12265</v>
      </c>
      <c r="T2327" s="4">
        <v>0</v>
      </c>
      <c r="U2327" s="4">
        <f t="shared" si="68"/>
        <v>0</v>
      </c>
      <c r="V2327" s="166"/>
      <c r="W2327" s="3">
        <v>2014</v>
      </c>
      <c r="X2327" s="3">
        <v>11</v>
      </c>
    </row>
    <row r="2328" spans="1:24" ht="89.25">
      <c r="A2328" s="3" t="s">
        <v>18648</v>
      </c>
      <c r="B2328" s="6" t="s">
        <v>361</v>
      </c>
      <c r="C2328" s="159" t="s">
        <v>11643</v>
      </c>
      <c r="D2328" s="159" t="s">
        <v>4365</v>
      </c>
      <c r="E2328" s="159" t="s">
        <v>11644</v>
      </c>
      <c r="F2328" s="172" t="s">
        <v>4711</v>
      </c>
      <c r="G2328" s="3" t="s">
        <v>11450</v>
      </c>
      <c r="H2328" s="54">
        <v>0</v>
      </c>
      <c r="I2328" s="55">
        <v>470000000</v>
      </c>
      <c r="J2328" s="56" t="s">
        <v>229</v>
      </c>
      <c r="K2328" s="6" t="s">
        <v>18439</v>
      </c>
      <c r="L2328" s="17" t="s">
        <v>11411</v>
      </c>
      <c r="M2328" s="162" t="s">
        <v>230</v>
      </c>
      <c r="N2328" s="15" t="s">
        <v>17560</v>
      </c>
      <c r="O2328" s="6" t="s">
        <v>4568</v>
      </c>
      <c r="P2328" s="58" t="s">
        <v>241</v>
      </c>
      <c r="Q2328" s="6" t="s">
        <v>234</v>
      </c>
      <c r="R2328" s="3">
        <v>10</v>
      </c>
      <c r="S2328" s="1">
        <v>12265</v>
      </c>
      <c r="T2328" s="4">
        <f>R2328*S2328</f>
        <v>122650</v>
      </c>
      <c r="U2328" s="4">
        <f t="shared" si="68"/>
        <v>137368</v>
      </c>
      <c r="V2328" s="166"/>
      <c r="W2328" s="3">
        <v>2014</v>
      </c>
      <c r="X2328" s="3"/>
    </row>
    <row r="2329" spans="1:24" ht="89.25">
      <c r="A2329" s="3" t="s">
        <v>1415</v>
      </c>
      <c r="B2329" s="6" t="s">
        <v>361</v>
      </c>
      <c r="C2329" s="100" t="s">
        <v>7642</v>
      </c>
      <c r="D2329" s="100" t="s">
        <v>7643</v>
      </c>
      <c r="E2329" s="100" t="s">
        <v>7644</v>
      </c>
      <c r="F2329" s="6" t="s">
        <v>4712</v>
      </c>
      <c r="G2329" s="3" t="s">
        <v>11450</v>
      </c>
      <c r="H2329" s="54">
        <v>0</v>
      </c>
      <c r="I2329" s="16">
        <v>470000000</v>
      </c>
      <c r="J2329" s="56" t="s">
        <v>229</v>
      </c>
      <c r="K2329" s="6" t="s">
        <v>520</v>
      </c>
      <c r="L2329" s="16" t="s">
        <v>4567</v>
      </c>
      <c r="M2329" s="162" t="s">
        <v>230</v>
      </c>
      <c r="N2329" s="15" t="s">
        <v>524</v>
      </c>
      <c r="O2329" s="6" t="s">
        <v>4568</v>
      </c>
      <c r="P2329" s="58" t="s">
        <v>241</v>
      </c>
      <c r="Q2329" s="6" t="s">
        <v>234</v>
      </c>
      <c r="R2329" s="4">
        <v>2</v>
      </c>
      <c r="S2329" s="74">
        <v>91500</v>
      </c>
      <c r="T2329" s="4">
        <v>0</v>
      </c>
      <c r="U2329" s="4">
        <f t="shared" si="68"/>
        <v>0</v>
      </c>
      <c r="V2329" s="3" t="s">
        <v>362</v>
      </c>
      <c r="W2329" s="3">
        <v>2014</v>
      </c>
      <c r="X2329" s="3">
        <v>12.22</v>
      </c>
    </row>
    <row r="2330" spans="1:24" ht="89.25">
      <c r="A2330" s="3" t="s">
        <v>12513</v>
      </c>
      <c r="B2330" s="6" t="s">
        <v>361</v>
      </c>
      <c r="C2330" s="100" t="s">
        <v>7642</v>
      </c>
      <c r="D2330" s="100" t="s">
        <v>7643</v>
      </c>
      <c r="E2330" s="100" t="s">
        <v>7644</v>
      </c>
      <c r="F2330" s="6" t="s">
        <v>4712</v>
      </c>
      <c r="G2330" s="3" t="s">
        <v>11450</v>
      </c>
      <c r="H2330" s="54">
        <v>0</v>
      </c>
      <c r="I2330" s="16">
        <v>470000000</v>
      </c>
      <c r="J2330" s="56" t="s">
        <v>229</v>
      </c>
      <c r="K2330" s="6" t="s">
        <v>520</v>
      </c>
      <c r="L2330" s="17" t="s">
        <v>11411</v>
      </c>
      <c r="M2330" s="162" t="s">
        <v>230</v>
      </c>
      <c r="N2330" s="15" t="s">
        <v>524</v>
      </c>
      <c r="O2330" s="6" t="s">
        <v>4568</v>
      </c>
      <c r="P2330" s="58" t="s">
        <v>241</v>
      </c>
      <c r="Q2330" s="6" t="s">
        <v>234</v>
      </c>
      <c r="R2330" s="4">
        <v>2</v>
      </c>
      <c r="S2330" s="74">
        <v>91500</v>
      </c>
      <c r="T2330" s="4">
        <v>0</v>
      </c>
      <c r="U2330" s="4">
        <f t="shared" si="68"/>
        <v>0</v>
      </c>
      <c r="V2330" s="3"/>
      <c r="W2330" s="3">
        <v>2014</v>
      </c>
      <c r="X2330" s="3">
        <v>11</v>
      </c>
    </row>
    <row r="2331" spans="1:24" ht="89.25">
      <c r="A2331" s="3" t="s">
        <v>15605</v>
      </c>
      <c r="B2331" s="6" t="s">
        <v>361</v>
      </c>
      <c r="C2331" s="100" t="s">
        <v>7642</v>
      </c>
      <c r="D2331" s="100" t="s">
        <v>7643</v>
      </c>
      <c r="E2331" s="100" t="s">
        <v>7644</v>
      </c>
      <c r="F2331" s="6" t="s">
        <v>4712</v>
      </c>
      <c r="G2331" s="3" t="s">
        <v>11450</v>
      </c>
      <c r="H2331" s="54">
        <v>0</v>
      </c>
      <c r="I2331" s="16">
        <v>470000000</v>
      </c>
      <c r="J2331" s="56" t="s">
        <v>229</v>
      </c>
      <c r="K2331" s="6" t="s">
        <v>222</v>
      </c>
      <c r="L2331" s="17" t="s">
        <v>11411</v>
      </c>
      <c r="M2331" s="162" t="s">
        <v>230</v>
      </c>
      <c r="N2331" s="15" t="s">
        <v>524</v>
      </c>
      <c r="O2331" s="6" t="s">
        <v>4568</v>
      </c>
      <c r="P2331" s="58" t="s">
        <v>241</v>
      </c>
      <c r="Q2331" s="6" t="s">
        <v>234</v>
      </c>
      <c r="R2331" s="4">
        <v>2</v>
      </c>
      <c r="S2331" s="74">
        <v>91500</v>
      </c>
      <c r="T2331" s="4">
        <v>0</v>
      </c>
      <c r="U2331" s="4">
        <f t="shared" si="68"/>
        <v>0</v>
      </c>
      <c r="V2331" s="3"/>
      <c r="W2331" s="3">
        <v>2014</v>
      </c>
      <c r="X2331" s="3">
        <v>14</v>
      </c>
    </row>
    <row r="2332" spans="1:24" ht="89.25">
      <c r="A2332" s="3" t="s">
        <v>17578</v>
      </c>
      <c r="B2332" s="6" t="s">
        <v>361</v>
      </c>
      <c r="C2332" s="100" t="s">
        <v>7642</v>
      </c>
      <c r="D2332" s="100" t="s">
        <v>7643</v>
      </c>
      <c r="E2332" s="100" t="s">
        <v>7644</v>
      </c>
      <c r="F2332" s="6" t="s">
        <v>4712</v>
      </c>
      <c r="G2332" s="3" t="s">
        <v>11450</v>
      </c>
      <c r="H2332" s="54">
        <v>0</v>
      </c>
      <c r="I2332" s="16">
        <v>470000000</v>
      </c>
      <c r="J2332" s="56" t="s">
        <v>229</v>
      </c>
      <c r="K2332" s="6" t="s">
        <v>222</v>
      </c>
      <c r="L2332" s="17" t="s">
        <v>11411</v>
      </c>
      <c r="M2332" s="162" t="s">
        <v>230</v>
      </c>
      <c r="N2332" s="15" t="s">
        <v>17560</v>
      </c>
      <c r="O2332" s="6" t="s">
        <v>4568</v>
      </c>
      <c r="P2332" s="58" t="s">
        <v>241</v>
      </c>
      <c r="Q2332" s="6" t="s">
        <v>234</v>
      </c>
      <c r="R2332" s="4">
        <v>2</v>
      </c>
      <c r="S2332" s="74">
        <v>91500</v>
      </c>
      <c r="T2332" s="4">
        <f>R2332*S2332</f>
        <v>183000</v>
      </c>
      <c r="U2332" s="4">
        <f t="shared" si="68"/>
        <v>204960.00000000003</v>
      </c>
      <c r="V2332" s="3"/>
      <c r="W2332" s="3">
        <v>2014</v>
      </c>
      <c r="X2332" s="3"/>
    </row>
    <row r="2333" spans="1:24" ht="89.25">
      <c r="A2333" s="3" t="s">
        <v>1416</v>
      </c>
      <c r="B2333" s="6" t="s">
        <v>361</v>
      </c>
      <c r="C2333" s="160" t="s">
        <v>4366</v>
      </c>
      <c r="D2333" s="160" t="s">
        <v>4367</v>
      </c>
      <c r="E2333" s="160" t="s">
        <v>4368</v>
      </c>
      <c r="F2333" s="49" t="s">
        <v>11759</v>
      </c>
      <c r="G2333" s="3" t="s">
        <v>11450</v>
      </c>
      <c r="H2333" s="54">
        <v>0.5</v>
      </c>
      <c r="I2333" s="55">
        <v>470000000</v>
      </c>
      <c r="J2333" s="56" t="s">
        <v>229</v>
      </c>
      <c r="K2333" s="6" t="s">
        <v>516</v>
      </c>
      <c r="L2333" s="16" t="s">
        <v>4570</v>
      </c>
      <c r="M2333" s="162" t="s">
        <v>230</v>
      </c>
      <c r="N2333" s="15" t="s">
        <v>524</v>
      </c>
      <c r="O2333" s="6" t="s">
        <v>4568</v>
      </c>
      <c r="P2333" s="58" t="s">
        <v>241</v>
      </c>
      <c r="Q2333" s="6" t="s">
        <v>234</v>
      </c>
      <c r="R2333" s="3">
        <v>60</v>
      </c>
      <c r="S2333" s="1">
        <v>27609</v>
      </c>
      <c r="T2333" s="4">
        <v>0</v>
      </c>
      <c r="U2333" s="4">
        <f t="shared" si="68"/>
        <v>0</v>
      </c>
      <c r="V2333" s="166" t="s">
        <v>362</v>
      </c>
      <c r="W2333" s="3">
        <v>2014</v>
      </c>
      <c r="X2333" s="3" t="s">
        <v>12037</v>
      </c>
    </row>
    <row r="2334" spans="1:24" ht="89.25">
      <c r="A2334" s="3" t="s">
        <v>12440</v>
      </c>
      <c r="B2334" s="6" t="s">
        <v>361</v>
      </c>
      <c r="C2334" s="160" t="s">
        <v>4366</v>
      </c>
      <c r="D2334" s="160" t="s">
        <v>4367</v>
      </c>
      <c r="E2334" s="160" t="s">
        <v>4368</v>
      </c>
      <c r="F2334" s="49" t="s">
        <v>11759</v>
      </c>
      <c r="G2334" s="3" t="s">
        <v>11450</v>
      </c>
      <c r="H2334" s="54">
        <v>0.5</v>
      </c>
      <c r="I2334" s="55">
        <v>470000000</v>
      </c>
      <c r="J2334" s="56" t="s">
        <v>229</v>
      </c>
      <c r="K2334" s="6" t="s">
        <v>12441</v>
      </c>
      <c r="L2334" s="17" t="s">
        <v>11411</v>
      </c>
      <c r="M2334" s="162" t="s">
        <v>230</v>
      </c>
      <c r="N2334" s="15" t="s">
        <v>524</v>
      </c>
      <c r="O2334" s="6" t="s">
        <v>4568</v>
      </c>
      <c r="P2334" s="58" t="s">
        <v>241</v>
      </c>
      <c r="Q2334" s="6" t="s">
        <v>234</v>
      </c>
      <c r="R2334" s="3">
        <v>60</v>
      </c>
      <c r="S2334" s="1">
        <v>27609</v>
      </c>
      <c r="T2334" s="4">
        <v>0</v>
      </c>
      <c r="U2334" s="4">
        <f t="shared" si="68"/>
        <v>0</v>
      </c>
      <c r="V2334" s="166"/>
      <c r="W2334" s="3">
        <v>2014</v>
      </c>
      <c r="X2334" s="3">
        <v>11</v>
      </c>
    </row>
    <row r="2335" spans="1:24" ht="89.25">
      <c r="A2335" s="3" t="s">
        <v>15606</v>
      </c>
      <c r="B2335" s="6" t="s">
        <v>361</v>
      </c>
      <c r="C2335" s="160" t="s">
        <v>4366</v>
      </c>
      <c r="D2335" s="160" t="s">
        <v>4367</v>
      </c>
      <c r="E2335" s="160" t="s">
        <v>4368</v>
      </c>
      <c r="F2335" s="49" t="s">
        <v>11759</v>
      </c>
      <c r="G2335" s="3" t="s">
        <v>11450</v>
      </c>
      <c r="H2335" s="54">
        <v>0.5</v>
      </c>
      <c r="I2335" s="55">
        <v>470000000</v>
      </c>
      <c r="J2335" s="56" t="s">
        <v>229</v>
      </c>
      <c r="K2335" s="6" t="s">
        <v>8309</v>
      </c>
      <c r="L2335" s="17" t="s">
        <v>11411</v>
      </c>
      <c r="M2335" s="162" t="s">
        <v>230</v>
      </c>
      <c r="N2335" s="15" t="s">
        <v>524</v>
      </c>
      <c r="O2335" s="6" t="s">
        <v>4568</v>
      </c>
      <c r="P2335" s="58" t="s">
        <v>241</v>
      </c>
      <c r="Q2335" s="6" t="s">
        <v>234</v>
      </c>
      <c r="R2335" s="3">
        <v>60</v>
      </c>
      <c r="S2335" s="1">
        <v>27609</v>
      </c>
      <c r="T2335" s="4">
        <v>0</v>
      </c>
      <c r="U2335" s="4">
        <f t="shared" si="68"/>
        <v>0</v>
      </c>
      <c r="V2335" s="166"/>
      <c r="W2335" s="3">
        <v>2014</v>
      </c>
      <c r="X2335" s="3">
        <v>14</v>
      </c>
    </row>
    <row r="2336" spans="1:24" ht="89.25">
      <c r="A2336" s="3" t="s">
        <v>17579</v>
      </c>
      <c r="B2336" s="6" t="s">
        <v>361</v>
      </c>
      <c r="C2336" s="160" t="s">
        <v>4366</v>
      </c>
      <c r="D2336" s="160" t="s">
        <v>4367</v>
      </c>
      <c r="E2336" s="160" t="s">
        <v>4368</v>
      </c>
      <c r="F2336" s="49" t="s">
        <v>11759</v>
      </c>
      <c r="G2336" s="3" t="s">
        <v>11450</v>
      </c>
      <c r="H2336" s="54">
        <v>0.5</v>
      </c>
      <c r="I2336" s="55">
        <v>470000000</v>
      </c>
      <c r="J2336" s="56" t="s">
        <v>229</v>
      </c>
      <c r="K2336" s="6" t="s">
        <v>8309</v>
      </c>
      <c r="L2336" s="17" t="s">
        <v>11411</v>
      </c>
      <c r="M2336" s="162" t="s">
        <v>230</v>
      </c>
      <c r="N2336" s="15" t="s">
        <v>17491</v>
      </c>
      <c r="O2336" s="6" t="s">
        <v>4568</v>
      </c>
      <c r="P2336" s="58" t="s">
        <v>241</v>
      </c>
      <c r="Q2336" s="6" t="s">
        <v>234</v>
      </c>
      <c r="R2336" s="3">
        <v>60</v>
      </c>
      <c r="S2336" s="1">
        <v>27609</v>
      </c>
      <c r="T2336" s="4">
        <f>R2336*S2336</f>
        <v>1656540</v>
      </c>
      <c r="U2336" s="4">
        <f t="shared" si="68"/>
        <v>1855324.8000000003</v>
      </c>
      <c r="V2336" s="166"/>
      <c r="W2336" s="3">
        <v>2014</v>
      </c>
      <c r="X2336" s="3"/>
    </row>
    <row r="2337" spans="1:24" ht="178.5">
      <c r="A2337" s="3" t="s">
        <v>1417</v>
      </c>
      <c r="B2337" s="6" t="s">
        <v>361</v>
      </c>
      <c r="C2337" s="42" t="s">
        <v>4369</v>
      </c>
      <c r="D2337" s="42" t="s">
        <v>4370</v>
      </c>
      <c r="E2337" s="168" t="s">
        <v>4371</v>
      </c>
      <c r="F2337" s="6" t="s">
        <v>4713</v>
      </c>
      <c r="G2337" s="3" t="s">
        <v>11450</v>
      </c>
      <c r="H2337" s="54">
        <v>0.5</v>
      </c>
      <c r="I2337" s="16">
        <v>470000000</v>
      </c>
      <c r="J2337" s="56" t="s">
        <v>229</v>
      </c>
      <c r="K2337" s="6" t="s">
        <v>516</v>
      </c>
      <c r="L2337" s="16" t="s">
        <v>4567</v>
      </c>
      <c r="M2337" s="162" t="s">
        <v>230</v>
      </c>
      <c r="N2337" s="15" t="s">
        <v>524</v>
      </c>
      <c r="O2337" s="6" t="s">
        <v>4568</v>
      </c>
      <c r="P2337" s="58" t="s">
        <v>241</v>
      </c>
      <c r="Q2337" s="6" t="s">
        <v>234</v>
      </c>
      <c r="R2337" s="4">
        <v>15</v>
      </c>
      <c r="S2337" s="74">
        <v>25347</v>
      </c>
      <c r="T2337" s="4">
        <v>0</v>
      </c>
      <c r="U2337" s="4">
        <f t="shared" si="68"/>
        <v>0</v>
      </c>
      <c r="V2337" s="3" t="s">
        <v>362</v>
      </c>
      <c r="W2337" s="3">
        <v>2014</v>
      </c>
      <c r="X2337" s="3" t="s">
        <v>12037</v>
      </c>
    </row>
    <row r="2338" spans="1:24" ht="178.5">
      <c r="A2338" s="3" t="s">
        <v>12442</v>
      </c>
      <c r="B2338" s="6" t="s">
        <v>361</v>
      </c>
      <c r="C2338" s="42" t="s">
        <v>4369</v>
      </c>
      <c r="D2338" s="42" t="s">
        <v>4370</v>
      </c>
      <c r="E2338" s="168" t="s">
        <v>4371</v>
      </c>
      <c r="F2338" s="6" t="s">
        <v>4713</v>
      </c>
      <c r="G2338" s="3" t="s">
        <v>11450</v>
      </c>
      <c r="H2338" s="54">
        <v>0.5</v>
      </c>
      <c r="I2338" s="16">
        <v>470000000</v>
      </c>
      <c r="J2338" s="56" t="s">
        <v>229</v>
      </c>
      <c r="K2338" s="6" t="s">
        <v>12441</v>
      </c>
      <c r="L2338" s="17" t="s">
        <v>11411</v>
      </c>
      <c r="M2338" s="162" t="s">
        <v>230</v>
      </c>
      <c r="N2338" s="15" t="s">
        <v>524</v>
      </c>
      <c r="O2338" s="6" t="s">
        <v>4568</v>
      </c>
      <c r="P2338" s="58" t="s">
        <v>241</v>
      </c>
      <c r="Q2338" s="6" t="s">
        <v>234</v>
      </c>
      <c r="R2338" s="4">
        <v>15</v>
      </c>
      <c r="S2338" s="74">
        <v>25347</v>
      </c>
      <c r="T2338" s="4">
        <v>0</v>
      </c>
      <c r="U2338" s="4">
        <f t="shared" si="68"/>
        <v>0</v>
      </c>
      <c r="V2338" s="3"/>
      <c r="W2338" s="3">
        <v>2014</v>
      </c>
      <c r="X2338" s="3">
        <v>11</v>
      </c>
    </row>
    <row r="2339" spans="1:24" ht="178.5">
      <c r="A2339" s="3" t="s">
        <v>15607</v>
      </c>
      <c r="B2339" s="6" t="s">
        <v>361</v>
      </c>
      <c r="C2339" s="42" t="s">
        <v>4369</v>
      </c>
      <c r="D2339" s="42" t="s">
        <v>4370</v>
      </c>
      <c r="E2339" s="168" t="s">
        <v>4371</v>
      </c>
      <c r="F2339" s="6" t="s">
        <v>4713</v>
      </c>
      <c r="G2339" s="3" t="s">
        <v>11450</v>
      </c>
      <c r="H2339" s="54">
        <v>0.5</v>
      </c>
      <c r="I2339" s="16">
        <v>470000000</v>
      </c>
      <c r="J2339" s="56" t="s">
        <v>229</v>
      </c>
      <c r="K2339" s="6" t="s">
        <v>8309</v>
      </c>
      <c r="L2339" s="17" t="s">
        <v>11411</v>
      </c>
      <c r="M2339" s="162" t="s">
        <v>230</v>
      </c>
      <c r="N2339" s="15" t="s">
        <v>524</v>
      </c>
      <c r="O2339" s="6" t="s">
        <v>4568</v>
      </c>
      <c r="P2339" s="58" t="s">
        <v>241</v>
      </c>
      <c r="Q2339" s="6" t="s">
        <v>234</v>
      </c>
      <c r="R2339" s="4">
        <v>15</v>
      </c>
      <c r="S2339" s="74">
        <v>25347</v>
      </c>
      <c r="T2339" s="4">
        <v>0</v>
      </c>
      <c r="U2339" s="4">
        <f t="shared" si="68"/>
        <v>0</v>
      </c>
      <c r="V2339" s="3"/>
      <c r="W2339" s="3">
        <v>2014</v>
      </c>
      <c r="X2339" s="3">
        <v>14</v>
      </c>
    </row>
    <row r="2340" spans="1:24" ht="178.5">
      <c r="A2340" s="3" t="s">
        <v>17580</v>
      </c>
      <c r="B2340" s="6" t="s">
        <v>361</v>
      </c>
      <c r="C2340" s="42" t="s">
        <v>4369</v>
      </c>
      <c r="D2340" s="42" t="s">
        <v>4370</v>
      </c>
      <c r="E2340" s="168" t="s">
        <v>4371</v>
      </c>
      <c r="F2340" s="6" t="s">
        <v>4713</v>
      </c>
      <c r="G2340" s="3" t="s">
        <v>11450</v>
      </c>
      <c r="H2340" s="54">
        <v>0.5</v>
      </c>
      <c r="I2340" s="16">
        <v>470000000</v>
      </c>
      <c r="J2340" s="56" t="s">
        <v>229</v>
      </c>
      <c r="K2340" s="6" t="s">
        <v>8309</v>
      </c>
      <c r="L2340" s="17" t="s">
        <v>11411</v>
      </c>
      <c r="M2340" s="162" t="s">
        <v>230</v>
      </c>
      <c r="N2340" s="15" t="s">
        <v>17491</v>
      </c>
      <c r="O2340" s="6" t="s">
        <v>4568</v>
      </c>
      <c r="P2340" s="58" t="s">
        <v>241</v>
      </c>
      <c r="Q2340" s="6" t="s">
        <v>234</v>
      </c>
      <c r="R2340" s="4">
        <v>15</v>
      </c>
      <c r="S2340" s="74">
        <v>25347</v>
      </c>
      <c r="T2340" s="4">
        <f>R2340*S2340</f>
        <v>380205</v>
      </c>
      <c r="U2340" s="4">
        <f t="shared" si="68"/>
        <v>425829.60000000003</v>
      </c>
      <c r="V2340" s="3"/>
      <c r="W2340" s="3">
        <v>2014</v>
      </c>
      <c r="X2340" s="3"/>
    </row>
    <row r="2341" spans="1:24" ht="89.25">
      <c r="A2341" s="3" t="s">
        <v>1418</v>
      </c>
      <c r="B2341" s="6" t="s">
        <v>361</v>
      </c>
      <c r="C2341" s="6" t="s">
        <v>4372</v>
      </c>
      <c r="D2341" s="6" t="s">
        <v>4367</v>
      </c>
      <c r="E2341" s="6" t="s">
        <v>4373</v>
      </c>
      <c r="F2341" s="6" t="s">
        <v>4714</v>
      </c>
      <c r="G2341" s="3" t="s">
        <v>11450</v>
      </c>
      <c r="H2341" s="54">
        <v>0.5</v>
      </c>
      <c r="I2341" s="55">
        <v>470000000</v>
      </c>
      <c r="J2341" s="56" t="s">
        <v>229</v>
      </c>
      <c r="K2341" s="6" t="s">
        <v>516</v>
      </c>
      <c r="L2341" s="16" t="s">
        <v>4570</v>
      </c>
      <c r="M2341" s="162" t="s">
        <v>230</v>
      </c>
      <c r="N2341" s="15" t="s">
        <v>524</v>
      </c>
      <c r="O2341" s="6" t="s">
        <v>4568</v>
      </c>
      <c r="P2341" s="58" t="s">
        <v>241</v>
      </c>
      <c r="Q2341" s="6" t="s">
        <v>234</v>
      </c>
      <c r="R2341" s="3">
        <v>15</v>
      </c>
      <c r="S2341" s="1">
        <v>22236</v>
      </c>
      <c r="T2341" s="4">
        <v>0</v>
      </c>
      <c r="U2341" s="4">
        <f t="shared" si="68"/>
        <v>0</v>
      </c>
      <c r="V2341" s="166" t="s">
        <v>362</v>
      </c>
      <c r="W2341" s="3">
        <v>2014</v>
      </c>
      <c r="X2341" s="3" t="s">
        <v>12037</v>
      </c>
    </row>
    <row r="2342" spans="1:24" ht="89.25">
      <c r="A2342" s="3" t="s">
        <v>12443</v>
      </c>
      <c r="B2342" s="6" t="s">
        <v>361</v>
      </c>
      <c r="C2342" s="6" t="s">
        <v>4372</v>
      </c>
      <c r="D2342" s="6" t="s">
        <v>4367</v>
      </c>
      <c r="E2342" s="6" t="s">
        <v>4373</v>
      </c>
      <c r="F2342" s="6" t="s">
        <v>4714</v>
      </c>
      <c r="G2342" s="3" t="s">
        <v>11450</v>
      </c>
      <c r="H2342" s="54">
        <v>0.5</v>
      </c>
      <c r="I2342" s="55">
        <v>470000000</v>
      </c>
      <c r="J2342" s="56" t="s">
        <v>229</v>
      </c>
      <c r="K2342" s="6" t="s">
        <v>12441</v>
      </c>
      <c r="L2342" s="17" t="s">
        <v>11411</v>
      </c>
      <c r="M2342" s="162" t="s">
        <v>230</v>
      </c>
      <c r="N2342" s="15" t="s">
        <v>524</v>
      </c>
      <c r="O2342" s="6" t="s">
        <v>4568</v>
      </c>
      <c r="P2342" s="58" t="s">
        <v>241</v>
      </c>
      <c r="Q2342" s="6" t="s">
        <v>234</v>
      </c>
      <c r="R2342" s="3">
        <v>15</v>
      </c>
      <c r="S2342" s="1">
        <v>22236</v>
      </c>
      <c r="T2342" s="4">
        <v>0</v>
      </c>
      <c r="U2342" s="4">
        <f t="shared" si="68"/>
        <v>0</v>
      </c>
      <c r="V2342" s="166"/>
      <c r="W2342" s="3">
        <v>2014</v>
      </c>
      <c r="X2342" s="3">
        <v>11</v>
      </c>
    </row>
    <row r="2343" spans="1:24" ht="89.25">
      <c r="A2343" s="3" t="s">
        <v>15608</v>
      </c>
      <c r="B2343" s="6" t="s">
        <v>361</v>
      </c>
      <c r="C2343" s="6" t="s">
        <v>4372</v>
      </c>
      <c r="D2343" s="6" t="s">
        <v>4367</v>
      </c>
      <c r="E2343" s="6" t="s">
        <v>4373</v>
      </c>
      <c r="F2343" s="6" t="s">
        <v>4714</v>
      </c>
      <c r="G2343" s="3" t="s">
        <v>11450</v>
      </c>
      <c r="H2343" s="54">
        <v>0.5</v>
      </c>
      <c r="I2343" s="55">
        <v>470000000</v>
      </c>
      <c r="J2343" s="56" t="s">
        <v>229</v>
      </c>
      <c r="K2343" s="6" t="s">
        <v>8309</v>
      </c>
      <c r="L2343" s="17" t="s">
        <v>11411</v>
      </c>
      <c r="M2343" s="162" t="s">
        <v>230</v>
      </c>
      <c r="N2343" s="15" t="s">
        <v>524</v>
      </c>
      <c r="O2343" s="6" t="s">
        <v>4568</v>
      </c>
      <c r="P2343" s="58" t="s">
        <v>241</v>
      </c>
      <c r="Q2343" s="6" t="s">
        <v>234</v>
      </c>
      <c r="R2343" s="3">
        <v>15</v>
      </c>
      <c r="S2343" s="1">
        <v>22236</v>
      </c>
      <c r="T2343" s="4">
        <v>0</v>
      </c>
      <c r="U2343" s="4">
        <f t="shared" si="68"/>
        <v>0</v>
      </c>
      <c r="V2343" s="166"/>
      <c r="W2343" s="3">
        <v>2014</v>
      </c>
      <c r="X2343" s="3">
        <v>14</v>
      </c>
    </row>
    <row r="2344" spans="1:24" ht="89.25">
      <c r="A2344" s="3" t="s">
        <v>17581</v>
      </c>
      <c r="B2344" s="6" t="s">
        <v>361</v>
      </c>
      <c r="C2344" s="6" t="s">
        <v>4372</v>
      </c>
      <c r="D2344" s="6" t="s">
        <v>4367</v>
      </c>
      <c r="E2344" s="6" t="s">
        <v>4373</v>
      </c>
      <c r="F2344" s="6" t="s">
        <v>4714</v>
      </c>
      <c r="G2344" s="3" t="s">
        <v>11450</v>
      </c>
      <c r="H2344" s="54">
        <v>0.5</v>
      </c>
      <c r="I2344" s="55">
        <v>470000000</v>
      </c>
      <c r="J2344" s="56" t="s">
        <v>229</v>
      </c>
      <c r="K2344" s="6" t="s">
        <v>8309</v>
      </c>
      <c r="L2344" s="17" t="s">
        <v>11411</v>
      </c>
      <c r="M2344" s="162" t="s">
        <v>230</v>
      </c>
      <c r="N2344" s="15" t="s">
        <v>17491</v>
      </c>
      <c r="O2344" s="6" t="s">
        <v>4568</v>
      </c>
      <c r="P2344" s="58" t="s">
        <v>241</v>
      </c>
      <c r="Q2344" s="6" t="s">
        <v>234</v>
      </c>
      <c r="R2344" s="3">
        <v>15</v>
      </c>
      <c r="S2344" s="1">
        <v>22236</v>
      </c>
      <c r="T2344" s="4">
        <v>0</v>
      </c>
      <c r="U2344" s="4">
        <f t="shared" si="68"/>
        <v>0</v>
      </c>
      <c r="V2344" s="166"/>
      <c r="W2344" s="3">
        <v>2014</v>
      </c>
      <c r="X2344" s="3" t="s">
        <v>12076</v>
      </c>
    </row>
    <row r="2345" spans="1:24" ht="89.25">
      <c r="A2345" s="3" t="s">
        <v>1419</v>
      </c>
      <c r="B2345" s="6" t="s">
        <v>361</v>
      </c>
      <c r="C2345" s="6" t="s">
        <v>11466</v>
      </c>
      <c r="D2345" s="6" t="s">
        <v>4367</v>
      </c>
      <c r="E2345" s="6" t="s">
        <v>11467</v>
      </c>
      <c r="F2345" s="6" t="s">
        <v>4715</v>
      </c>
      <c r="G2345" s="3" t="s">
        <v>11450</v>
      </c>
      <c r="H2345" s="54">
        <v>0</v>
      </c>
      <c r="I2345" s="16">
        <v>470000000</v>
      </c>
      <c r="J2345" s="56" t="s">
        <v>229</v>
      </c>
      <c r="K2345" s="6" t="s">
        <v>516</v>
      </c>
      <c r="L2345" s="16" t="s">
        <v>4567</v>
      </c>
      <c r="M2345" s="162" t="s">
        <v>230</v>
      </c>
      <c r="N2345" s="15" t="s">
        <v>524</v>
      </c>
      <c r="O2345" s="6" t="s">
        <v>4568</v>
      </c>
      <c r="P2345" s="58" t="s">
        <v>241</v>
      </c>
      <c r="Q2345" s="6" t="s">
        <v>234</v>
      </c>
      <c r="R2345" s="4">
        <v>35</v>
      </c>
      <c r="S2345" s="74">
        <v>15160</v>
      </c>
      <c r="T2345" s="4">
        <v>0</v>
      </c>
      <c r="U2345" s="4">
        <f t="shared" si="68"/>
        <v>0</v>
      </c>
      <c r="V2345" s="3" t="s">
        <v>362</v>
      </c>
      <c r="W2345" s="3">
        <v>2014</v>
      </c>
      <c r="X2345" s="3" t="s">
        <v>12037</v>
      </c>
    </row>
    <row r="2346" spans="1:24" ht="89.25">
      <c r="A2346" s="3" t="s">
        <v>12444</v>
      </c>
      <c r="B2346" s="6" t="s">
        <v>361</v>
      </c>
      <c r="C2346" s="6" t="s">
        <v>11466</v>
      </c>
      <c r="D2346" s="6" t="s">
        <v>4367</v>
      </c>
      <c r="E2346" s="6" t="s">
        <v>11467</v>
      </c>
      <c r="F2346" s="6" t="s">
        <v>4715</v>
      </c>
      <c r="G2346" s="3" t="s">
        <v>11450</v>
      </c>
      <c r="H2346" s="54">
        <v>0</v>
      </c>
      <c r="I2346" s="16">
        <v>470000000</v>
      </c>
      <c r="J2346" s="56" t="s">
        <v>229</v>
      </c>
      <c r="K2346" s="6" t="s">
        <v>12441</v>
      </c>
      <c r="L2346" s="17" t="s">
        <v>11411</v>
      </c>
      <c r="M2346" s="162" t="s">
        <v>230</v>
      </c>
      <c r="N2346" s="15" t="s">
        <v>524</v>
      </c>
      <c r="O2346" s="6" t="s">
        <v>4568</v>
      </c>
      <c r="P2346" s="58" t="s">
        <v>241</v>
      </c>
      <c r="Q2346" s="6" t="s">
        <v>234</v>
      </c>
      <c r="R2346" s="4">
        <v>35</v>
      </c>
      <c r="S2346" s="74">
        <v>15160</v>
      </c>
      <c r="T2346" s="4">
        <v>0</v>
      </c>
      <c r="U2346" s="4">
        <f t="shared" si="68"/>
        <v>0</v>
      </c>
      <c r="V2346" s="3"/>
      <c r="W2346" s="3">
        <v>2014</v>
      </c>
      <c r="X2346" s="3">
        <v>11</v>
      </c>
    </row>
    <row r="2347" spans="1:24" ht="89.25">
      <c r="A2347" s="3" t="s">
        <v>15609</v>
      </c>
      <c r="B2347" s="6" t="s">
        <v>361</v>
      </c>
      <c r="C2347" s="6" t="s">
        <v>11466</v>
      </c>
      <c r="D2347" s="6" t="s">
        <v>4367</v>
      </c>
      <c r="E2347" s="6" t="s">
        <v>11467</v>
      </c>
      <c r="F2347" s="6" t="s">
        <v>4715</v>
      </c>
      <c r="G2347" s="3" t="s">
        <v>11450</v>
      </c>
      <c r="H2347" s="54">
        <v>0</v>
      </c>
      <c r="I2347" s="16">
        <v>470000000</v>
      </c>
      <c r="J2347" s="56" t="s">
        <v>229</v>
      </c>
      <c r="K2347" s="6" t="s">
        <v>220</v>
      </c>
      <c r="L2347" s="17" t="s">
        <v>11411</v>
      </c>
      <c r="M2347" s="162" t="s">
        <v>230</v>
      </c>
      <c r="N2347" s="15" t="s">
        <v>524</v>
      </c>
      <c r="O2347" s="6" t="s">
        <v>4568</v>
      </c>
      <c r="P2347" s="58" t="s">
        <v>241</v>
      </c>
      <c r="Q2347" s="6" t="s">
        <v>234</v>
      </c>
      <c r="R2347" s="4">
        <v>0</v>
      </c>
      <c r="S2347" s="74">
        <v>15160</v>
      </c>
      <c r="T2347" s="4">
        <f>R2347*S2347</f>
        <v>0</v>
      </c>
      <c r="U2347" s="4">
        <f t="shared" si="68"/>
        <v>0</v>
      </c>
      <c r="V2347" s="3"/>
      <c r="W2347" s="3">
        <v>2014</v>
      </c>
      <c r="X2347" s="3" t="s">
        <v>12076</v>
      </c>
    </row>
    <row r="2348" spans="1:24" ht="89.25">
      <c r="A2348" s="3" t="s">
        <v>1420</v>
      </c>
      <c r="B2348" s="6" t="s">
        <v>361</v>
      </c>
      <c r="C2348" s="6" t="s">
        <v>11466</v>
      </c>
      <c r="D2348" s="6" t="s">
        <v>4367</v>
      </c>
      <c r="E2348" s="6" t="s">
        <v>11467</v>
      </c>
      <c r="F2348" s="6" t="s">
        <v>4716</v>
      </c>
      <c r="G2348" s="3" t="s">
        <v>11450</v>
      </c>
      <c r="H2348" s="54">
        <v>0</v>
      </c>
      <c r="I2348" s="55">
        <v>470000000</v>
      </c>
      <c r="J2348" s="56" t="s">
        <v>229</v>
      </c>
      <c r="K2348" s="6" t="s">
        <v>516</v>
      </c>
      <c r="L2348" s="16" t="s">
        <v>4570</v>
      </c>
      <c r="M2348" s="162" t="s">
        <v>230</v>
      </c>
      <c r="N2348" s="15" t="s">
        <v>524</v>
      </c>
      <c r="O2348" s="6" t="s">
        <v>4568</v>
      </c>
      <c r="P2348" s="58" t="s">
        <v>241</v>
      </c>
      <c r="Q2348" s="6" t="s">
        <v>234</v>
      </c>
      <c r="R2348" s="3">
        <v>100</v>
      </c>
      <c r="S2348" s="1">
        <v>16165</v>
      </c>
      <c r="T2348" s="4">
        <v>0</v>
      </c>
      <c r="U2348" s="4">
        <f t="shared" si="68"/>
        <v>0</v>
      </c>
      <c r="V2348" s="166" t="s">
        <v>362</v>
      </c>
      <c r="W2348" s="3">
        <v>2014</v>
      </c>
      <c r="X2348" s="3" t="s">
        <v>12037</v>
      </c>
    </row>
    <row r="2349" spans="1:24" ht="89.25">
      <c r="A2349" s="3" t="s">
        <v>12445</v>
      </c>
      <c r="B2349" s="6" t="s">
        <v>361</v>
      </c>
      <c r="C2349" s="6" t="s">
        <v>11466</v>
      </c>
      <c r="D2349" s="6" t="s">
        <v>4367</v>
      </c>
      <c r="E2349" s="6" t="s">
        <v>11467</v>
      </c>
      <c r="F2349" s="6" t="s">
        <v>4716</v>
      </c>
      <c r="G2349" s="3" t="s">
        <v>11450</v>
      </c>
      <c r="H2349" s="54">
        <v>0</v>
      </c>
      <c r="I2349" s="55">
        <v>470000000</v>
      </c>
      <c r="J2349" s="56" t="s">
        <v>229</v>
      </c>
      <c r="K2349" s="6" t="s">
        <v>12441</v>
      </c>
      <c r="L2349" s="17" t="s">
        <v>11411</v>
      </c>
      <c r="M2349" s="162" t="s">
        <v>230</v>
      </c>
      <c r="N2349" s="15" t="s">
        <v>524</v>
      </c>
      <c r="O2349" s="6" t="s">
        <v>4568</v>
      </c>
      <c r="P2349" s="58" t="s">
        <v>241</v>
      </c>
      <c r="Q2349" s="6" t="s">
        <v>234</v>
      </c>
      <c r="R2349" s="3">
        <v>100</v>
      </c>
      <c r="S2349" s="1">
        <v>16165</v>
      </c>
      <c r="T2349" s="4">
        <v>0</v>
      </c>
      <c r="U2349" s="4">
        <f t="shared" si="68"/>
        <v>0</v>
      </c>
      <c r="V2349" s="166"/>
      <c r="W2349" s="3">
        <v>2014</v>
      </c>
      <c r="X2349" s="3">
        <v>11</v>
      </c>
    </row>
    <row r="2350" spans="1:24" ht="89.25">
      <c r="A2350" s="3" t="s">
        <v>15610</v>
      </c>
      <c r="B2350" s="6" t="s">
        <v>361</v>
      </c>
      <c r="C2350" s="6" t="s">
        <v>11466</v>
      </c>
      <c r="D2350" s="6" t="s">
        <v>4367</v>
      </c>
      <c r="E2350" s="6" t="s">
        <v>11467</v>
      </c>
      <c r="F2350" s="6" t="s">
        <v>4716</v>
      </c>
      <c r="G2350" s="3" t="s">
        <v>11450</v>
      </c>
      <c r="H2350" s="54">
        <v>0</v>
      </c>
      <c r="I2350" s="55">
        <v>470000000</v>
      </c>
      <c r="J2350" s="56" t="s">
        <v>229</v>
      </c>
      <c r="K2350" s="6" t="s">
        <v>220</v>
      </c>
      <c r="L2350" s="17" t="s">
        <v>11411</v>
      </c>
      <c r="M2350" s="162" t="s">
        <v>230</v>
      </c>
      <c r="N2350" s="15" t="s">
        <v>524</v>
      </c>
      <c r="O2350" s="6" t="s">
        <v>4568</v>
      </c>
      <c r="P2350" s="58" t="s">
        <v>241</v>
      </c>
      <c r="Q2350" s="6" t="s">
        <v>234</v>
      </c>
      <c r="R2350" s="3">
        <v>0</v>
      </c>
      <c r="S2350" s="1">
        <v>16165</v>
      </c>
      <c r="T2350" s="4">
        <f>R2350*S2350</f>
        <v>0</v>
      </c>
      <c r="U2350" s="4">
        <f t="shared" si="68"/>
        <v>0</v>
      </c>
      <c r="V2350" s="166"/>
      <c r="W2350" s="3">
        <v>2014</v>
      </c>
      <c r="X2350" s="3" t="s">
        <v>12076</v>
      </c>
    </row>
    <row r="2351" spans="1:24" ht="89.25">
      <c r="A2351" s="3" t="s">
        <v>1421</v>
      </c>
      <c r="B2351" s="6" t="s">
        <v>361</v>
      </c>
      <c r="C2351" s="160" t="s">
        <v>4374</v>
      </c>
      <c r="D2351" s="160" t="s">
        <v>4375</v>
      </c>
      <c r="E2351" s="160" t="s">
        <v>4376</v>
      </c>
      <c r="F2351" s="6" t="s">
        <v>4717</v>
      </c>
      <c r="G2351" s="3" t="s">
        <v>11450</v>
      </c>
      <c r="H2351" s="54">
        <v>0</v>
      </c>
      <c r="I2351" s="16">
        <v>470000000</v>
      </c>
      <c r="J2351" s="56" t="s">
        <v>229</v>
      </c>
      <c r="K2351" s="6" t="s">
        <v>516</v>
      </c>
      <c r="L2351" s="16" t="s">
        <v>4567</v>
      </c>
      <c r="M2351" s="162" t="s">
        <v>230</v>
      </c>
      <c r="N2351" s="15" t="s">
        <v>524</v>
      </c>
      <c r="O2351" s="6" t="s">
        <v>4568</v>
      </c>
      <c r="P2351" s="58" t="s">
        <v>241</v>
      </c>
      <c r="Q2351" s="6" t="s">
        <v>234</v>
      </c>
      <c r="R2351" s="4">
        <v>80</v>
      </c>
      <c r="S2351" s="74">
        <v>12135</v>
      </c>
      <c r="T2351" s="4">
        <v>0</v>
      </c>
      <c r="U2351" s="4">
        <f t="shared" si="68"/>
        <v>0</v>
      </c>
      <c r="V2351" s="3" t="s">
        <v>362</v>
      </c>
      <c r="W2351" s="3">
        <v>2014</v>
      </c>
      <c r="X2351" s="3" t="s">
        <v>14010</v>
      </c>
    </row>
    <row r="2352" spans="1:24" ht="89.25">
      <c r="A2352" s="3" t="s">
        <v>12446</v>
      </c>
      <c r="B2352" s="6" t="s">
        <v>361</v>
      </c>
      <c r="C2352" s="160" t="s">
        <v>4374</v>
      </c>
      <c r="D2352" s="160" t="s">
        <v>4375</v>
      </c>
      <c r="E2352" s="160" t="s">
        <v>4376</v>
      </c>
      <c r="F2352" s="6" t="s">
        <v>4717</v>
      </c>
      <c r="G2352" s="3" t="s">
        <v>11449</v>
      </c>
      <c r="H2352" s="54">
        <v>0</v>
      </c>
      <c r="I2352" s="16">
        <v>470000000</v>
      </c>
      <c r="J2352" s="56" t="s">
        <v>229</v>
      </c>
      <c r="K2352" s="6" t="s">
        <v>12441</v>
      </c>
      <c r="L2352" s="17" t="s">
        <v>11411</v>
      </c>
      <c r="M2352" s="162" t="s">
        <v>230</v>
      </c>
      <c r="N2352" s="15" t="s">
        <v>524</v>
      </c>
      <c r="O2352" s="6" t="s">
        <v>4568</v>
      </c>
      <c r="P2352" s="58" t="s">
        <v>241</v>
      </c>
      <c r="Q2352" s="6" t="s">
        <v>234</v>
      </c>
      <c r="R2352" s="4">
        <v>80</v>
      </c>
      <c r="S2352" s="74">
        <v>12135</v>
      </c>
      <c r="T2352" s="4">
        <v>0</v>
      </c>
      <c r="U2352" s="4">
        <f t="shared" si="68"/>
        <v>0</v>
      </c>
      <c r="V2352" s="3"/>
      <c r="W2352" s="3">
        <v>2014</v>
      </c>
      <c r="X2352" s="3">
        <v>11</v>
      </c>
    </row>
    <row r="2353" spans="1:24" ht="89.25">
      <c r="A2353" s="3" t="s">
        <v>15611</v>
      </c>
      <c r="B2353" s="6" t="s">
        <v>361</v>
      </c>
      <c r="C2353" s="160" t="s">
        <v>4374</v>
      </c>
      <c r="D2353" s="160" t="s">
        <v>4375</v>
      </c>
      <c r="E2353" s="160" t="s">
        <v>4376</v>
      </c>
      <c r="F2353" s="6" t="s">
        <v>4717</v>
      </c>
      <c r="G2353" s="3" t="s">
        <v>11449</v>
      </c>
      <c r="H2353" s="54">
        <v>0</v>
      </c>
      <c r="I2353" s="16">
        <v>470000000</v>
      </c>
      <c r="J2353" s="56" t="s">
        <v>229</v>
      </c>
      <c r="K2353" s="6" t="s">
        <v>220</v>
      </c>
      <c r="L2353" s="17" t="s">
        <v>11411</v>
      </c>
      <c r="M2353" s="162" t="s">
        <v>230</v>
      </c>
      <c r="N2353" s="15" t="s">
        <v>524</v>
      </c>
      <c r="O2353" s="6" t="s">
        <v>4568</v>
      </c>
      <c r="P2353" s="58" t="s">
        <v>241</v>
      </c>
      <c r="Q2353" s="6" t="s">
        <v>234</v>
      </c>
      <c r="R2353" s="4">
        <v>0</v>
      </c>
      <c r="S2353" s="74">
        <v>12135</v>
      </c>
      <c r="T2353" s="4">
        <f>R2353*S2353</f>
        <v>0</v>
      </c>
      <c r="U2353" s="4">
        <f t="shared" si="68"/>
        <v>0</v>
      </c>
      <c r="V2353" s="3"/>
      <c r="W2353" s="3">
        <v>2014</v>
      </c>
      <c r="X2353" s="3" t="s">
        <v>12076</v>
      </c>
    </row>
    <row r="2354" spans="1:24" ht="89.25">
      <c r="A2354" s="3" t="s">
        <v>1422</v>
      </c>
      <c r="B2354" s="6" t="s">
        <v>361</v>
      </c>
      <c r="C2354" s="6" t="s">
        <v>4377</v>
      </c>
      <c r="D2354" s="6" t="s">
        <v>4375</v>
      </c>
      <c r="E2354" s="6" t="s">
        <v>4378</v>
      </c>
      <c r="F2354" s="6" t="s">
        <v>4718</v>
      </c>
      <c r="G2354" s="3" t="s">
        <v>11450</v>
      </c>
      <c r="H2354" s="54">
        <v>0</v>
      </c>
      <c r="I2354" s="55">
        <v>470000000</v>
      </c>
      <c r="J2354" s="56" t="s">
        <v>229</v>
      </c>
      <c r="K2354" s="6" t="s">
        <v>516</v>
      </c>
      <c r="L2354" s="16" t="s">
        <v>4570</v>
      </c>
      <c r="M2354" s="162" t="s">
        <v>230</v>
      </c>
      <c r="N2354" s="15" t="s">
        <v>524</v>
      </c>
      <c r="O2354" s="6" t="s">
        <v>4568</v>
      </c>
      <c r="P2354" s="58" t="s">
        <v>241</v>
      </c>
      <c r="Q2354" s="6" t="s">
        <v>234</v>
      </c>
      <c r="R2354" s="3">
        <v>10</v>
      </c>
      <c r="S2354" s="1">
        <v>23769</v>
      </c>
      <c r="T2354" s="4">
        <v>0</v>
      </c>
      <c r="U2354" s="4">
        <f t="shared" si="68"/>
        <v>0</v>
      </c>
      <c r="V2354" s="166" t="s">
        <v>362</v>
      </c>
      <c r="W2354" s="3">
        <v>2014</v>
      </c>
      <c r="X2354" s="3" t="s">
        <v>14010</v>
      </c>
    </row>
    <row r="2355" spans="1:24" ht="89.25">
      <c r="A2355" s="3" t="s">
        <v>12447</v>
      </c>
      <c r="B2355" s="6" t="s">
        <v>361</v>
      </c>
      <c r="C2355" s="6" t="s">
        <v>4377</v>
      </c>
      <c r="D2355" s="6" t="s">
        <v>4375</v>
      </c>
      <c r="E2355" s="6" t="s">
        <v>4378</v>
      </c>
      <c r="F2355" s="6" t="s">
        <v>4718</v>
      </c>
      <c r="G2355" s="3" t="s">
        <v>11449</v>
      </c>
      <c r="H2355" s="54">
        <v>0</v>
      </c>
      <c r="I2355" s="55">
        <v>470000000</v>
      </c>
      <c r="J2355" s="56" t="s">
        <v>229</v>
      </c>
      <c r="K2355" s="6" t="s">
        <v>12441</v>
      </c>
      <c r="L2355" s="17" t="s">
        <v>11411</v>
      </c>
      <c r="M2355" s="162" t="s">
        <v>230</v>
      </c>
      <c r="N2355" s="15" t="s">
        <v>524</v>
      </c>
      <c r="O2355" s="6" t="s">
        <v>4568</v>
      </c>
      <c r="P2355" s="58" t="s">
        <v>241</v>
      </c>
      <c r="Q2355" s="6" t="s">
        <v>234</v>
      </c>
      <c r="R2355" s="3">
        <v>10</v>
      </c>
      <c r="S2355" s="1">
        <v>23769</v>
      </c>
      <c r="T2355" s="4">
        <v>0</v>
      </c>
      <c r="U2355" s="4">
        <f t="shared" si="68"/>
        <v>0</v>
      </c>
      <c r="V2355" s="166"/>
      <c r="W2355" s="3">
        <v>2014</v>
      </c>
      <c r="X2355" s="3">
        <v>11</v>
      </c>
    </row>
    <row r="2356" spans="1:24" ht="89.25">
      <c r="A2356" s="3" t="s">
        <v>15612</v>
      </c>
      <c r="B2356" s="6" t="s">
        <v>361</v>
      </c>
      <c r="C2356" s="6" t="s">
        <v>4377</v>
      </c>
      <c r="D2356" s="6" t="s">
        <v>4375</v>
      </c>
      <c r="E2356" s="6" t="s">
        <v>4378</v>
      </c>
      <c r="F2356" s="6" t="s">
        <v>4718</v>
      </c>
      <c r="G2356" s="3" t="s">
        <v>11449</v>
      </c>
      <c r="H2356" s="54">
        <v>0</v>
      </c>
      <c r="I2356" s="55">
        <v>470000000</v>
      </c>
      <c r="J2356" s="56" t="s">
        <v>229</v>
      </c>
      <c r="K2356" s="6" t="s">
        <v>220</v>
      </c>
      <c r="L2356" s="17" t="s">
        <v>11411</v>
      </c>
      <c r="M2356" s="162" t="s">
        <v>230</v>
      </c>
      <c r="N2356" s="15" t="s">
        <v>524</v>
      </c>
      <c r="O2356" s="6" t="s">
        <v>4568</v>
      </c>
      <c r="P2356" s="58" t="s">
        <v>241</v>
      </c>
      <c r="Q2356" s="6" t="s">
        <v>234</v>
      </c>
      <c r="R2356" s="3">
        <v>0</v>
      </c>
      <c r="S2356" s="1">
        <v>23769</v>
      </c>
      <c r="T2356" s="4">
        <f>R2356*S2356</f>
        <v>0</v>
      </c>
      <c r="U2356" s="4">
        <f t="shared" si="68"/>
        <v>0</v>
      </c>
      <c r="V2356" s="166"/>
      <c r="W2356" s="3">
        <v>2014</v>
      </c>
      <c r="X2356" s="3" t="s">
        <v>12076</v>
      </c>
    </row>
    <row r="2357" spans="1:24" ht="89.25">
      <c r="A2357" s="3" t="s">
        <v>1423</v>
      </c>
      <c r="B2357" s="6" t="s">
        <v>361</v>
      </c>
      <c r="C2357" s="6" t="s">
        <v>4377</v>
      </c>
      <c r="D2357" s="6" t="s">
        <v>4375</v>
      </c>
      <c r="E2357" s="6" t="s">
        <v>4378</v>
      </c>
      <c r="F2357" s="6" t="s">
        <v>4719</v>
      </c>
      <c r="G2357" s="3" t="s">
        <v>11450</v>
      </c>
      <c r="H2357" s="54">
        <v>0</v>
      </c>
      <c r="I2357" s="16">
        <v>470000000</v>
      </c>
      <c r="J2357" s="56" t="s">
        <v>229</v>
      </c>
      <c r="K2357" s="6" t="s">
        <v>516</v>
      </c>
      <c r="L2357" s="16" t="s">
        <v>4567</v>
      </c>
      <c r="M2357" s="162" t="s">
        <v>230</v>
      </c>
      <c r="N2357" s="15" t="s">
        <v>524</v>
      </c>
      <c r="O2357" s="6" t="s">
        <v>4568</v>
      </c>
      <c r="P2357" s="58" t="s">
        <v>241</v>
      </c>
      <c r="Q2357" s="6" t="s">
        <v>234</v>
      </c>
      <c r="R2357" s="4">
        <v>50</v>
      </c>
      <c r="S2357" s="74">
        <v>6347</v>
      </c>
      <c r="T2357" s="4">
        <v>0</v>
      </c>
      <c r="U2357" s="4">
        <f t="shared" si="68"/>
        <v>0</v>
      </c>
      <c r="V2357" s="3" t="s">
        <v>362</v>
      </c>
      <c r="W2357" s="3">
        <v>2014</v>
      </c>
      <c r="X2357" s="3" t="s">
        <v>14010</v>
      </c>
    </row>
    <row r="2358" spans="1:24" ht="89.25">
      <c r="A2358" s="3" t="s">
        <v>12448</v>
      </c>
      <c r="B2358" s="6" t="s">
        <v>361</v>
      </c>
      <c r="C2358" s="6" t="s">
        <v>4377</v>
      </c>
      <c r="D2358" s="6" t="s">
        <v>4375</v>
      </c>
      <c r="E2358" s="6" t="s">
        <v>4378</v>
      </c>
      <c r="F2358" s="6" t="s">
        <v>4719</v>
      </c>
      <c r="G2358" s="3" t="s">
        <v>11449</v>
      </c>
      <c r="H2358" s="54">
        <v>0</v>
      </c>
      <c r="I2358" s="16">
        <v>470000000</v>
      </c>
      <c r="J2358" s="56" t="s">
        <v>229</v>
      </c>
      <c r="K2358" s="6" t="s">
        <v>12441</v>
      </c>
      <c r="L2358" s="17" t="s">
        <v>11411</v>
      </c>
      <c r="M2358" s="162" t="s">
        <v>230</v>
      </c>
      <c r="N2358" s="15" t="s">
        <v>524</v>
      </c>
      <c r="O2358" s="6" t="s">
        <v>4568</v>
      </c>
      <c r="P2358" s="58" t="s">
        <v>241</v>
      </c>
      <c r="Q2358" s="6" t="s">
        <v>234</v>
      </c>
      <c r="R2358" s="4">
        <v>50</v>
      </c>
      <c r="S2358" s="74">
        <v>6347</v>
      </c>
      <c r="T2358" s="4">
        <v>0</v>
      </c>
      <c r="U2358" s="4">
        <f t="shared" si="68"/>
        <v>0</v>
      </c>
      <c r="V2358" s="3"/>
      <c r="W2358" s="3">
        <v>2014</v>
      </c>
      <c r="X2358" s="3">
        <v>11</v>
      </c>
    </row>
    <row r="2359" spans="1:24" ht="89.25">
      <c r="A2359" s="3" t="s">
        <v>15613</v>
      </c>
      <c r="B2359" s="6" t="s">
        <v>361</v>
      </c>
      <c r="C2359" s="6" t="s">
        <v>4377</v>
      </c>
      <c r="D2359" s="6" t="s">
        <v>4375</v>
      </c>
      <c r="E2359" s="6" t="s">
        <v>4378</v>
      </c>
      <c r="F2359" s="6" t="s">
        <v>4719</v>
      </c>
      <c r="G2359" s="3" t="s">
        <v>11449</v>
      </c>
      <c r="H2359" s="54">
        <v>0</v>
      </c>
      <c r="I2359" s="16">
        <v>470000000</v>
      </c>
      <c r="J2359" s="56" t="s">
        <v>229</v>
      </c>
      <c r="K2359" s="6" t="s">
        <v>220</v>
      </c>
      <c r="L2359" s="17" t="s">
        <v>11411</v>
      </c>
      <c r="M2359" s="162" t="s">
        <v>230</v>
      </c>
      <c r="N2359" s="15" t="s">
        <v>524</v>
      </c>
      <c r="O2359" s="6" t="s">
        <v>4568</v>
      </c>
      <c r="P2359" s="58" t="s">
        <v>241</v>
      </c>
      <c r="Q2359" s="6" t="s">
        <v>234</v>
      </c>
      <c r="R2359" s="4">
        <v>0</v>
      </c>
      <c r="S2359" s="74">
        <v>6347</v>
      </c>
      <c r="T2359" s="4">
        <f>R2359*S2359</f>
        <v>0</v>
      </c>
      <c r="U2359" s="4">
        <f t="shared" si="68"/>
        <v>0</v>
      </c>
      <c r="V2359" s="3"/>
      <c r="W2359" s="3">
        <v>2014</v>
      </c>
      <c r="X2359" s="3" t="s">
        <v>12076</v>
      </c>
    </row>
    <row r="2360" spans="1:24" ht="89.25">
      <c r="A2360" s="3" t="s">
        <v>1424</v>
      </c>
      <c r="B2360" s="6" t="s">
        <v>361</v>
      </c>
      <c r="C2360" s="6" t="s">
        <v>4379</v>
      </c>
      <c r="D2360" s="6" t="s">
        <v>4375</v>
      </c>
      <c r="E2360" s="6" t="s">
        <v>4380</v>
      </c>
      <c r="F2360" s="6" t="s">
        <v>4720</v>
      </c>
      <c r="G2360" s="3" t="s">
        <v>11450</v>
      </c>
      <c r="H2360" s="54">
        <v>0</v>
      </c>
      <c r="I2360" s="55">
        <v>470000000</v>
      </c>
      <c r="J2360" s="56" t="s">
        <v>229</v>
      </c>
      <c r="K2360" s="6" t="s">
        <v>516</v>
      </c>
      <c r="L2360" s="16" t="s">
        <v>4570</v>
      </c>
      <c r="M2360" s="162" t="s">
        <v>230</v>
      </c>
      <c r="N2360" s="15" t="s">
        <v>524</v>
      </c>
      <c r="O2360" s="6" t="s">
        <v>4568</v>
      </c>
      <c r="P2360" s="58" t="s">
        <v>241</v>
      </c>
      <c r="Q2360" s="6" t="s">
        <v>234</v>
      </c>
      <c r="R2360" s="3">
        <v>60</v>
      </c>
      <c r="S2360" s="1">
        <v>7364</v>
      </c>
      <c r="T2360" s="4">
        <v>0</v>
      </c>
      <c r="U2360" s="4">
        <f t="shared" si="68"/>
        <v>0</v>
      </c>
      <c r="V2360" s="166" t="s">
        <v>362</v>
      </c>
      <c r="W2360" s="3">
        <v>2014</v>
      </c>
      <c r="X2360" s="3" t="s">
        <v>14010</v>
      </c>
    </row>
    <row r="2361" spans="1:24" ht="89.25">
      <c r="A2361" s="3" t="s">
        <v>12514</v>
      </c>
      <c r="B2361" s="6" t="s">
        <v>361</v>
      </c>
      <c r="C2361" s="6" t="s">
        <v>4379</v>
      </c>
      <c r="D2361" s="6" t="s">
        <v>4375</v>
      </c>
      <c r="E2361" s="6" t="s">
        <v>4380</v>
      </c>
      <c r="F2361" s="6" t="s">
        <v>4720</v>
      </c>
      <c r="G2361" s="3" t="s">
        <v>11449</v>
      </c>
      <c r="H2361" s="54">
        <v>0</v>
      </c>
      <c r="I2361" s="55">
        <v>470000000</v>
      </c>
      <c r="J2361" s="56" t="s">
        <v>229</v>
      </c>
      <c r="K2361" s="6" t="s">
        <v>12441</v>
      </c>
      <c r="L2361" s="17" t="s">
        <v>11411</v>
      </c>
      <c r="M2361" s="162" t="s">
        <v>230</v>
      </c>
      <c r="N2361" s="15" t="s">
        <v>524</v>
      </c>
      <c r="O2361" s="6" t="s">
        <v>4568</v>
      </c>
      <c r="P2361" s="58" t="s">
        <v>241</v>
      </c>
      <c r="Q2361" s="6" t="s">
        <v>234</v>
      </c>
      <c r="R2361" s="3">
        <v>60</v>
      </c>
      <c r="S2361" s="1">
        <v>7364</v>
      </c>
      <c r="T2361" s="4">
        <v>0</v>
      </c>
      <c r="U2361" s="4">
        <f t="shared" si="68"/>
        <v>0</v>
      </c>
      <c r="V2361" s="166"/>
      <c r="W2361" s="3">
        <v>2014</v>
      </c>
      <c r="X2361" s="3">
        <v>11</v>
      </c>
    </row>
    <row r="2362" spans="1:24" ht="89.25">
      <c r="A2362" s="3" t="s">
        <v>15614</v>
      </c>
      <c r="B2362" s="6" t="s">
        <v>361</v>
      </c>
      <c r="C2362" s="6" t="s">
        <v>4379</v>
      </c>
      <c r="D2362" s="6" t="s">
        <v>4375</v>
      </c>
      <c r="E2362" s="6" t="s">
        <v>4380</v>
      </c>
      <c r="F2362" s="6" t="s">
        <v>4720</v>
      </c>
      <c r="G2362" s="3" t="s">
        <v>11449</v>
      </c>
      <c r="H2362" s="54">
        <v>0</v>
      </c>
      <c r="I2362" s="55">
        <v>470000000</v>
      </c>
      <c r="J2362" s="56" t="s">
        <v>229</v>
      </c>
      <c r="K2362" s="6" t="s">
        <v>220</v>
      </c>
      <c r="L2362" s="17" t="s">
        <v>11411</v>
      </c>
      <c r="M2362" s="162" t="s">
        <v>230</v>
      </c>
      <c r="N2362" s="15" t="s">
        <v>524</v>
      </c>
      <c r="O2362" s="6" t="s">
        <v>4568</v>
      </c>
      <c r="P2362" s="58" t="s">
        <v>241</v>
      </c>
      <c r="Q2362" s="6" t="s">
        <v>234</v>
      </c>
      <c r="R2362" s="3">
        <v>0</v>
      </c>
      <c r="S2362" s="1">
        <v>7364</v>
      </c>
      <c r="T2362" s="4">
        <f>R2362*S2362</f>
        <v>0</v>
      </c>
      <c r="U2362" s="4">
        <f t="shared" si="68"/>
        <v>0</v>
      </c>
      <c r="V2362" s="166"/>
      <c r="W2362" s="3">
        <v>2014</v>
      </c>
      <c r="X2362" s="3" t="s">
        <v>12076</v>
      </c>
    </row>
    <row r="2363" spans="1:24" ht="89.25">
      <c r="A2363" s="3" t="s">
        <v>1425</v>
      </c>
      <c r="B2363" s="6" t="s">
        <v>361</v>
      </c>
      <c r="C2363" s="6" t="s">
        <v>4379</v>
      </c>
      <c r="D2363" s="6" t="s">
        <v>4375</v>
      </c>
      <c r="E2363" s="6" t="s">
        <v>4380</v>
      </c>
      <c r="F2363" s="6" t="s">
        <v>4721</v>
      </c>
      <c r="G2363" s="3" t="s">
        <v>11450</v>
      </c>
      <c r="H2363" s="54">
        <v>0</v>
      </c>
      <c r="I2363" s="16">
        <v>470000000</v>
      </c>
      <c r="J2363" s="56" t="s">
        <v>229</v>
      </c>
      <c r="K2363" s="6" t="s">
        <v>516</v>
      </c>
      <c r="L2363" s="16" t="s">
        <v>4567</v>
      </c>
      <c r="M2363" s="162" t="s">
        <v>230</v>
      </c>
      <c r="N2363" s="15" t="s">
        <v>524</v>
      </c>
      <c r="O2363" s="6" t="s">
        <v>4568</v>
      </c>
      <c r="P2363" s="58" t="s">
        <v>241</v>
      </c>
      <c r="Q2363" s="6" t="s">
        <v>234</v>
      </c>
      <c r="R2363" s="4">
        <v>60</v>
      </c>
      <c r="S2363" s="74">
        <v>22650</v>
      </c>
      <c r="T2363" s="4">
        <v>0</v>
      </c>
      <c r="U2363" s="4">
        <f t="shared" si="68"/>
        <v>0</v>
      </c>
      <c r="V2363" s="3" t="s">
        <v>362</v>
      </c>
      <c r="W2363" s="3">
        <v>2014</v>
      </c>
      <c r="X2363" s="3" t="s">
        <v>14010</v>
      </c>
    </row>
    <row r="2364" spans="1:24" ht="89.25">
      <c r="A2364" s="3" t="s">
        <v>12515</v>
      </c>
      <c r="B2364" s="6" t="s">
        <v>361</v>
      </c>
      <c r="C2364" s="6" t="s">
        <v>4379</v>
      </c>
      <c r="D2364" s="6" t="s">
        <v>4375</v>
      </c>
      <c r="E2364" s="6" t="s">
        <v>4380</v>
      </c>
      <c r="F2364" s="6" t="s">
        <v>4721</v>
      </c>
      <c r="G2364" s="3" t="s">
        <v>11449</v>
      </c>
      <c r="H2364" s="54">
        <v>0</v>
      </c>
      <c r="I2364" s="16">
        <v>470000000</v>
      </c>
      <c r="J2364" s="56" t="s">
        <v>229</v>
      </c>
      <c r="K2364" s="6" t="s">
        <v>12441</v>
      </c>
      <c r="L2364" s="17" t="s">
        <v>11411</v>
      </c>
      <c r="M2364" s="162" t="s">
        <v>230</v>
      </c>
      <c r="N2364" s="15" t="s">
        <v>524</v>
      </c>
      <c r="O2364" s="6" t="s">
        <v>4568</v>
      </c>
      <c r="P2364" s="58" t="s">
        <v>241</v>
      </c>
      <c r="Q2364" s="6" t="s">
        <v>234</v>
      </c>
      <c r="R2364" s="4">
        <v>60</v>
      </c>
      <c r="S2364" s="74">
        <v>22650</v>
      </c>
      <c r="T2364" s="4">
        <v>0</v>
      </c>
      <c r="U2364" s="4">
        <f t="shared" si="68"/>
        <v>0</v>
      </c>
      <c r="V2364" s="3"/>
      <c r="W2364" s="3">
        <v>2014</v>
      </c>
      <c r="X2364" s="3">
        <v>11</v>
      </c>
    </row>
    <row r="2365" spans="1:24" ht="89.25">
      <c r="A2365" s="3" t="s">
        <v>15615</v>
      </c>
      <c r="B2365" s="6" t="s">
        <v>361</v>
      </c>
      <c r="C2365" s="6" t="s">
        <v>4379</v>
      </c>
      <c r="D2365" s="6" t="s">
        <v>4375</v>
      </c>
      <c r="E2365" s="6" t="s">
        <v>4380</v>
      </c>
      <c r="F2365" s="6" t="s">
        <v>4721</v>
      </c>
      <c r="G2365" s="3" t="s">
        <v>11449</v>
      </c>
      <c r="H2365" s="54">
        <v>0</v>
      </c>
      <c r="I2365" s="16">
        <v>470000000</v>
      </c>
      <c r="J2365" s="56" t="s">
        <v>229</v>
      </c>
      <c r="K2365" s="6" t="s">
        <v>8309</v>
      </c>
      <c r="L2365" s="17" t="s">
        <v>11411</v>
      </c>
      <c r="M2365" s="162" t="s">
        <v>230</v>
      </c>
      <c r="N2365" s="15" t="s">
        <v>524</v>
      </c>
      <c r="O2365" s="6" t="s">
        <v>4568</v>
      </c>
      <c r="P2365" s="58" t="s">
        <v>241</v>
      </c>
      <c r="Q2365" s="6" t="s">
        <v>234</v>
      </c>
      <c r="R2365" s="4">
        <v>60</v>
      </c>
      <c r="S2365" s="74">
        <v>22650</v>
      </c>
      <c r="T2365" s="4">
        <v>0</v>
      </c>
      <c r="U2365" s="4">
        <f t="shared" si="68"/>
        <v>0</v>
      </c>
      <c r="V2365" s="3"/>
      <c r="W2365" s="3">
        <v>2014</v>
      </c>
      <c r="X2365" s="3">
        <v>14</v>
      </c>
    </row>
    <row r="2366" spans="1:24" ht="89.25">
      <c r="A2366" s="3" t="s">
        <v>17582</v>
      </c>
      <c r="B2366" s="6" t="s">
        <v>361</v>
      </c>
      <c r="C2366" s="6" t="s">
        <v>4379</v>
      </c>
      <c r="D2366" s="6" t="s">
        <v>4375</v>
      </c>
      <c r="E2366" s="6" t="s">
        <v>4380</v>
      </c>
      <c r="F2366" s="6" t="s">
        <v>4721</v>
      </c>
      <c r="G2366" s="3" t="s">
        <v>11449</v>
      </c>
      <c r="H2366" s="54">
        <v>0</v>
      </c>
      <c r="I2366" s="16">
        <v>470000000</v>
      </c>
      <c r="J2366" s="56" t="s">
        <v>229</v>
      </c>
      <c r="K2366" s="6" t="s">
        <v>8309</v>
      </c>
      <c r="L2366" s="17" t="s">
        <v>11411</v>
      </c>
      <c r="M2366" s="162" t="s">
        <v>230</v>
      </c>
      <c r="N2366" s="15" t="s">
        <v>17491</v>
      </c>
      <c r="O2366" s="6" t="s">
        <v>4568</v>
      </c>
      <c r="P2366" s="58" t="s">
        <v>241</v>
      </c>
      <c r="Q2366" s="6" t="s">
        <v>234</v>
      </c>
      <c r="R2366" s="4">
        <v>60</v>
      </c>
      <c r="S2366" s="74">
        <v>22650</v>
      </c>
      <c r="T2366" s="4">
        <f>R2366*S2366</f>
        <v>1359000</v>
      </c>
      <c r="U2366" s="4">
        <f t="shared" si="68"/>
        <v>1522080.0000000002</v>
      </c>
      <c r="V2366" s="3"/>
      <c r="W2366" s="3">
        <v>2014</v>
      </c>
      <c r="X2366" s="3"/>
    </row>
    <row r="2367" spans="1:24" ht="89.25">
      <c r="A2367" s="3" t="s">
        <v>1426</v>
      </c>
      <c r="B2367" s="6" t="s">
        <v>361</v>
      </c>
      <c r="C2367" s="6" t="s">
        <v>4379</v>
      </c>
      <c r="D2367" s="6" t="s">
        <v>4375</v>
      </c>
      <c r="E2367" s="6" t="s">
        <v>4380</v>
      </c>
      <c r="F2367" s="6" t="s">
        <v>4722</v>
      </c>
      <c r="G2367" s="3" t="s">
        <v>11450</v>
      </c>
      <c r="H2367" s="54">
        <v>0</v>
      </c>
      <c r="I2367" s="55">
        <v>470000000</v>
      </c>
      <c r="J2367" s="56" t="s">
        <v>229</v>
      </c>
      <c r="K2367" s="6" t="s">
        <v>516</v>
      </c>
      <c r="L2367" s="16" t="s">
        <v>4570</v>
      </c>
      <c r="M2367" s="162" t="s">
        <v>230</v>
      </c>
      <c r="N2367" s="15" t="s">
        <v>524</v>
      </c>
      <c r="O2367" s="6" t="s">
        <v>4568</v>
      </c>
      <c r="P2367" s="58" t="s">
        <v>241</v>
      </c>
      <c r="Q2367" s="6" t="s">
        <v>234</v>
      </c>
      <c r="R2367" s="3">
        <v>250</v>
      </c>
      <c r="S2367" s="1">
        <v>17365</v>
      </c>
      <c r="T2367" s="4">
        <v>0</v>
      </c>
      <c r="U2367" s="4">
        <f t="shared" si="68"/>
        <v>0</v>
      </c>
      <c r="V2367" s="166" t="s">
        <v>362</v>
      </c>
      <c r="W2367" s="3">
        <v>2014</v>
      </c>
      <c r="X2367" s="3" t="s">
        <v>14010</v>
      </c>
    </row>
    <row r="2368" spans="1:24" ht="89.25">
      <c r="A2368" s="3" t="s">
        <v>12516</v>
      </c>
      <c r="B2368" s="6" t="s">
        <v>361</v>
      </c>
      <c r="C2368" s="6" t="s">
        <v>4379</v>
      </c>
      <c r="D2368" s="6" t="s">
        <v>4375</v>
      </c>
      <c r="E2368" s="6" t="s">
        <v>4380</v>
      </c>
      <c r="F2368" s="6" t="s">
        <v>4722</v>
      </c>
      <c r="G2368" s="3" t="s">
        <v>11449</v>
      </c>
      <c r="H2368" s="54">
        <v>0</v>
      </c>
      <c r="I2368" s="55">
        <v>470000000</v>
      </c>
      <c r="J2368" s="56" t="s">
        <v>229</v>
      </c>
      <c r="K2368" s="6" t="s">
        <v>12441</v>
      </c>
      <c r="L2368" s="17" t="s">
        <v>11411</v>
      </c>
      <c r="M2368" s="162" t="s">
        <v>230</v>
      </c>
      <c r="N2368" s="15" t="s">
        <v>524</v>
      </c>
      <c r="O2368" s="6" t="s">
        <v>4568</v>
      </c>
      <c r="P2368" s="58" t="s">
        <v>241</v>
      </c>
      <c r="Q2368" s="6" t="s">
        <v>234</v>
      </c>
      <c r="R2368" s="3">
        <v>250</v>
      </c>
      <c r="S2368" s="1">
        <v>17365</v>
      </c>
      <c r="T2368" s="4">
        <v>0</v>
      </c>
      <c r="U2368" s="4">
        <f t="shared" ref="U2368:U2606" si="70">T2368*1.12</f>
        <v>0</v>
      </c>
      <c r="V2368" s="166"/>
      <c r="W2368" s="3">
        <v>2014</v>
      </c>
      <c r="X2368" s="3">
        <v>11</v>
      </c>
    </row>
    <row r="2369" spans="1:24" ht="89.25">
      <c r="A2369" s="3" t="s">
        <v>15616</v>
      </c>
      <c r="B2369" s="6" t="s">
        <v>361</v>
      </c>
      <c r="C2369" s="6" t="s">
        <v>4379</v>
      </c>
      <c r="D2369" s="6" t="s">
        <v>4375</v>
      </c>
      <c r="E2369" s="6" t="s">
        <v>4380</v>
      </c>
      <c r="F2369" s="6" t="s">
        <v>4722</v>
      </c>
      <c r="G2369" s="3" t="s">
        <v>11449</v>
      </c>
      <c r="H2369" s="54">
        <v>0</v>
      </c>
      <c r="I2369" s="55">
        <v>470000000</v>
      </c>
      <c r="J2369" s="56" t="s">
        <v>229</v>
      </c>
      <c r="K2369" s="6" t="s">
        <v>8309</v>
      </c>
      <c r="L2369" s="17" t="s">
        <v>11411</v>
      </c>
      <c r="M2369" s="162" t="s">
        <v>230</v>
      </c>
      <c r="N2369" s="15" t="s">
        <v>524</v>
      </c>
      <c r="O2369" s="6" t="s">
        <v>4568</v>
      </c>
      <c r="P2369" s="58" t="s">
        <v>241</v>
      </c>
      <c r="Q2369" s="6" t="s">
        <v>234</v>
      </c>
      <c r="R2369" s="3">
        <v>0</v>
      </c>
      <c r="S2369" s="1">
        <v>17365</v>
      </c>
      <c r="T2369" s="4">
        <f>R2369*S2369</f>
        <v>0</v>
      </c>
      <c r="U2369" s="4">
        <f t="shared" si="70"/>
        <v>0</v>
      </c>
      <c r="V2369" s="166"/>
      <c r="W2369" s="3">
        <v>2014</v>
      </c>
      <c r="X2369" s="3" t="s">
        <v>12076</v>
      </c>
    </row>
    <row r="2370" spans="1:24" ht="89.25">
      <c r="A2370" s="3" t="s">
        <v>1427</v>
      </c>
      <c r="B2370" s="6" t="s">
        <v>361</v>
      </c>
      <c r="C2370" s="6" t="s">
        <v>4381</v>
      </c>
      <c r="D2370" s="6" t="s">
        <v>4382</v>
      </c>
      <c r="E2370" s="6" t="s">
        <v>4383</v>
      </c>
      <c r="F2370" s="6" t="s">
        <v>4723</v>
      </c>
      <c r="G2370" s="3" t="s">
        <v>11450</v>
      </c>
      <c r="H2370" s="54">
        <v>0</v>
      </c>
      <c r="I2370" s="16">
        <v>470000000</v>
      </c>
      <c r="J2370" s="56" t="s">
        <v>229</v>
      </c>
      <c r="K2370" s="6" t="s">
        <v>516</v>
      </c>
      <c r="L2370" s="16" t="s">
        <v>4567</v>
      </c>
      <c r="M2370" s="162" t="s">
        <v>230</v>
      </c>
      <c r="N2370" s="15" t="s">
        <v>524</v>
      </c>
      <c r="O2370" s="6" t="s">
        <v>4568</v>
      </c>
      <c r="P2370" s="58" t="s">
        <v>241</v>
      </c>
      <c r="Q2370" s="6" t="s">
        <v>234</v>
      </c>
      <c r="R2370" s="4">
        <v>15</v>
      </c>
      <c r="S2370" s="74">
        <v>23164</v>
      </c>
      <c r="T2370" s="4">
        <v>0</v>
      </c>
      <c r="U2370" s="4">
        <f t="shared" si="70"/>
        <v>0</v>
      </c>
      <c r="V2370" s="3" t="s">
        <v>362</v>
      </c>
      <c r="W2370" s="3">
        <v>2014</v>
      </c>
      <c r="X2370" s="3" t="s">
        <v>14010</v>
      </c>
    </row>
    <row r="2371" spans="1:24" ht="89.25">
      <c r="A2371" s="3" t="s">
        <v>12517</v>
      </c>
      <c r="B2371" s="6" t="s">
        <v>361</v>
      </c>
      <c r="C2371" s="6" t="s">
        <v>4381</v>
      </c>
      <c r="D2371" s="6" t="s">
        <v>4382</v>
      </c>
      <c r="E2371" s="6" t="s">
        <v>4383</v>
      </c>
      <c r="F2371" s="6" t="s">
        <v>4723</v>
      </c>
      <c r="G2371" s="3" t="s">
        <v>11449</v>
      </c>
      <c r="H2371" s="54">
        <v>0</v>
      </c>
      <c r="I2371" s="16">
        <v>470000000</v>
      </c>
      <c r="J2371" s="56" t="s">
        <v>229</v>
      </c>
      <c r="K2371" s="6" t="s">
        <v>12441</v>
      </c>
      <c r="L2371" s="17" t="s">
        <v>11411</v>
      </c>
      <c r="M2371" s="162" t="s">
        <v>230</v>
      </c>
      <c r="N2371" s="15" t="s">
        <v>524</v>
      </c>
      <c r="O2371" s="6" t="s">
        <v>4568</v>
      </c>
      <c r="P2371" s="58" t="s">
        <v>241</v>
      </c>
      <c r="Q2371" s="6" t="s">
        <v>234</v>
      </c>
      <c r="R2371" s="4">
        <v>15</v>
      </c>
      <c r="S2371" s="74">
        <v>23164</v>
      </c>
      <c r="T2371" s="4">
        <v>0</v>
      </c>
      <c r="U2371" s="4">
        <f t="shared" si="70"/>
        <v>0</v>
      </c>
      <c r="V2371" s="3"/>
      <c r="W2371" s="3">
        <v>2014</v>
      </c>
      <c r="X2371" s="3">
        <v>11</v>
      </c>
    </row>
    <row r="2372" spans="1:24" ht="89.25">
      <c r="A2372" s="3" t="s">
        <v>15617</v>
      </c>
      <c r="B2372" s="6" t="s">
        <v>361</v>
      </c>
      <c r="C2372" s="6" t="s">
        <v>4381</v>
      </c>
      <c r="D2372" s="6" t="s">
        <v>4382</v>
      </c>
      <c r="E2372" s="6" t="s">
        <v>4383</v>
      </c>
      <c r="F2372" s="6" t="s">
        <v>4723</v>
      </c>
      <c r="G2372" s="3" t="s">
        <v>11449</v>
      </c>
      <c r="H2372" s="54">
        <v>0</v>
      </c>
      <c r="I2372" s="16">
        <v>470000000</v>
      </c>
      <c r="J2372" s="56" t="s">
        <v>229</v>
      </c>
      <c r="K2372" s="6" t="s">
        <v>220</v>
      </c>
      <c r="L2372" s="17" t="s">
        <v>11411</v>
      </c>
      <c r="M2372" s="162" t="s">
        <v>230</v>
      </c>
      <c r="N2372" s="15" t="s">
        <v>524</v>
      </c>
      <c r="O2372" s="6" t="s">
        <v>4568</v>
      </c>
      <c r="P2372" s="58" t="s">
        <v>241</v>
      </c>
      <c r="Q2372" s="6" t="s">
        <v>234</v>
      </c>
      <c r="R2372" s="4">
        <v>15</v>
      </c>
      <c r="S2372" s="74">
        <v>23164</v>
      </c>
      <c r="T2372" s="4">
        <v>0</v>
      </c>
      <c r="U2372" s="4">
        <f t="shared" si="70"/>
        <v>0</v>
      </c>
      <c r="V2372" s="3"/>
      <c r="W2372" s="3">
        <v>2014</v>
      </c>
      <c r="X2372" s="3">
        <v>11.14</v>
      </c>
    </row>
    <row r="2373" spans="1:24" ht="89.25">
      <c r="A2373" s="3" t="s">
        <v>17583</v>
      </c>
      <c r="B2373" s="6" t="s">
        <v>361</v>
      </c>
      <c r="C2373" s="6" t="s">
        <v>4381</v>
      </c>
      <c r="D2373" s="6" t="s">
        <v>4382</v>
      </c>
      <c r="E2373" s="6" t="s">
        <v>4383</v>
      </c>
      <c r="F2373" s="6" t="s">
        <v>4723</v>
      </c>
      <c r="G2373" s="3" t="s">
        <v>11449</v>
      </c>
      <c r="H2373" s="54">
        <v>0</v>
      </c>
      <c r="I2373" s="16">
        <v>470000000</v>
      </c>
      <c r="J2373" s="56" t="s">
        <v>229</v>
      </c>
      <c r="K2373" s="6" t="s">
        <v>222</v>
      </c>
      <c r="L2373" s="17" t="s">
        <v>11411</v>
      </c>
      <c r="M2373" s="162" t="s">
        <v>230</v>
      </c>
      <c r="N2373" s="15" t="s">
        <v>17491</v>
      </c>
      <c r="O2373" s="6" t="s">
        <v>4568</v>
      </c>
      <c r="P2373" s="58" t="s">
        <v>241</v>
      </c>
      <c r="Q2373" s="6" t="s">
        <v>234</v>
      </c>
      <c r="R2373" s="4">
        <v>15</v>
      </c>
      <c r="S2373" s="74">
        <v>23164</v>
      </c>
      <c r="T2373" s="4">
        <v>0</v>
      </c>
      <c r="U2373" s="4">
        <f t="shared" si="70"/>
        <v>0</v>
      </c>
      <c r="V2373" s="3"/>
      <c r="W2373" s="3">
        <v>2014</v>
      </c>
      <c r="X2373" s="3">
        <v>11</v>
      </c>
    </row>
    <row r="2374" spans="1:24" ht="89.25">
      <c r="A2374" s="3" t="s">
        <v>18445</v>
      </c>
      <c r="B2374" s="6" t="s">
        <v>361</v>
      </c>
      <c r="C2374" s="6" t="s">
        <v>4381</v>
      </c>
      <c r="D2374" s="6" t="s">
        <v>4382</v>
      </c>
      <c r="E2374" s="6" t="s">
        <v>4383</v>
      </c>
      <c r="F2374" s="6" t="s">
        <v>4723</v>
      </c>
      <c r="G2374" s="3" t="s">
        <v>11449</v>
      </c>
      <c r="H2374" s="54">
        <v>0</v>
      </c>
      <c r="I2374" s="16">
        <v>470000000</v>
      </c>
      <c r="J2374" s="56" t="s">
        <v>229</v>
      </c>
      <c r="K2374" s="6" t="s">
        <v>15646</v>
      </c>
      <c r="L2374" s="17" t="s">
        <v>11411</v>
      </c>
      <c r="M2374" s="162" t="s">
        <v>230</v>
      </c>
      <c r="N2374" s="15" t="s">
        <v>17491</v>
      </c>
      <c r="O2374" s="6" t="s">
        <v>4568</v>
      </c>
      <c r="P2374" s="58" t="s">
        <v>241</v>
      </c>
      <c r="Q2374" s="6" t="s">
        <v>234</v>
      </c>
      <c r="R2374" s="4">
        <v>15</v>
      </c>
      <c r="S2374" s="74">
        <v>23164</v>
      </c>
      <c r="T2374" s="4">
        <f>R2374*S2374</f>
        <v>347460</v>
      </c>
      <c r="U2374" s="4">
        <f t="shared" si="70"/>
        <v>389155.2</v>
      </c>
      <c r="V2374" s="3"/>
      <c r="W2374" s="3">
        <v>2014</v>
      </c>
      <c r="X2374" s="3"/>
    </row>
    <row r="2375" spans="1:24" ht="89.25">
      <c r="A2375" s="3" t="s">
        <v>1428</v>
      </c>
      <c r="B2375" s="6" t="s">
        <v>361</v>
      </c>
      <c r="C2375" s="6" t="s">
        <v>4384</v>
      </c>
      <c r="D2375" s="6" t="s">
        <v>4375</v>
      </c>
      <c r="E2375" s="6" t="s">
        <v>4385</v>
      </c>
      <c r="F2375" s="6" t="s">
        <v>4724</v>
      </c>
      <c r="G2375" s="3" t="s">
        <v>11450</v>
      </c>
      <c r="H2375" s="54">
        <v>0</v>
      </c>
      <c r="I2375" s="55">
        <v>470000000</v>
      </c>
      <c r="J2375" s="56" t="s">
        <v>229</v>
      </c>
      <c r="K2375" s="6" t="s">
        <v>516</v>
      </c>
      <c r="L2375" s="16" t="s">
        <v>4570</v>
      </c>
      <c r="M2375" s="162" t="s">
        <v>230</v>
      </c>
      <c r="N2375" s="15" t="s">
        <v>524</v>
      </c>
      <c r="O2375" s="6" t="s">
        <v>4568</v>
      </c>
      <c r="P2375" s="58" t="s">
        <v>241</v>
      </c>
      <c r="Q2375" s="6" t="s">
        <v>234</v>
      </c>
      <c r="R2375" s="3">
        <v>20</v>
      </c>
      <c r="S2375" s="1">
        <v>74298</v>
      </c>
      <c r="T2375" s="4">
        <v>0</v>
      </c>
      <c r="U2375" s="4">
        <f t="shared" si="70"/>
        <v>0</v>
      </c>
      <c r="V2375" s="166" t="s">
        <v>362</v>
      </c>
      <c r="W2375" s="3">
        <v>2014</v>
      </c>
      <c r="X2375" s="3" t="s">
        <v>14010</v>
      </c>
    </row>
    <row r="2376" spans="1:24" ht="89.25">
      <c r="A2376" s="3" t="s">
        <v>12518</v>
      </c>
      <c r="B2376" s="6" t="s">
        <v>361</v>
      </c>
      <c r="C2376" s="6" t="s">
        <v>4384</v>
      </c>
      <c r="D2376" s="6" t="s">
        <v>4375</v>
      </c>
      <c r="E2376" s="6" t="s">
        <v>4385</v>
      </c>
      <c r="F2376" s="6" t="s">
        <v>4724</v>
      </c>
      <c r="G2376" s="3" t="s">
        <v>11449</v>
      </c>
      <c r="H2376" s="54">
        <v>0</v>
      </c>
      <c r="I2376" s="55">
        <v>470000000</v>
      </c>
      <c r="J2376" s="56" t="s">
        <v>229</v>
      </c>
      <c r="K2376" s="6" t="s">
        <v>12441</v>
      </c>
      <c r="L2376" s="17" t="s">
        <v>11411</v>
      </c>
      <c r="M2376" s="162" t="s">
        <v>230</v>
      </c>
      <c r="N2376" s="15" t="s">
        <v>524</v>
      </c>
      <c r="O2376" s="6" t="s">
        <v>4568</v>
      </c>
      <c r="P2376" s="58" t="s">
        <v>241</v>
      </c>
      <c r="Q2376" s="6" t="s">
        <v>234</v>
      </c>
      <c r="R2376" s="3">
        <v>20</v>
      </c>
      <c r="S2376" s="1">
        <v>74298</v>
      </c>
      <c r="T2376" s="4">
        <v>0</v>
      </c>
      <c r="U2376" s="4">
        <f t="shared" si="70"/>
        <v>0</v>
      </c>
      <c r="V2376" s="166"/>
      <c r="W2376" s="3">
        <v>2014</v>
      </c>
      <c r="X2376" s="3">
        <v>11</v>
      </c>
    </row>
    <row r="2377" spans="1:24" ht="89.25">
      <c r="A2377" s="3" t="s">
        <v>15618</v>
      </c>
      <c r="B2377" s="6" t="s">
        <v>361</v>
      </c>
      <c r="C2377" s="6" t="s">
        <v>4384</v>
      </c>
      <c r="D2377" s="6" t="s">
        <v>4375</v>
      </c>
      <c r="E2377" s="6" t="s">
        <v>4385</v>
      </c>
      <c r="F2377" s="6" t="s">
        <v>4724</v>
      </c>
      <c r="G2377" s="3" t="s">
        <v>11449</v>
      </c>
      <c r="H2377" s="54">
        <v>0</v>
      </c>
      <c r="I2377" s="55">
        <v>470000000</v>
      </c>
      <c r="J2377" s="56" t="s">
        <v>229</v>
      </c>
      <c r="K2377" s="6" t="s">
        <v>220</v>
      </c>
      <c r="L2377" s="17" t="s">
        <v>11411</v>
      </c>
      <c r="M2377" s="162" t="s">
        <v>230</v>
      </c>
      <c r="N2377" s="15" t="s">
        <v>524</v>
      </c>
      <c r="O2377" s="6" t="s">
        <v>4568</v>
      </c>
      <c r="P2377" s="58" t="s">
        <v>241</v>
      </c>
      <c r="Q2377" s="6" t="s">
        <v>234</v>
      </c>
      <c r="R2377" s="3">
        <v>20</v>
      </c>
      <c r="S2377" s="1">
        <v>74298</v>
      </c>
      <c r="T2377" s="4">
        <v>0</v>
      </c>
      <c r="U2377" s="4">
        <f t="shared" si="70"/>
        <v>0</v>
      </c>
      <c r="V2377" s="166"/>
      <c r="W2377" s="3">
        <v>2014</v>
      </c>
      <c r="X2377" s="3">
        <v>11.14</v>
      </c>
    </row>
    <row r="2378" spans="1:24" ht="89.25">
      <c r="A2378" s="3" t="s">
        <v>17584</v>
      </c>
      <c r="B2378" s="6" t="s">
        <v>361</v>
      </c>
      <c r="C2378" s="6" t="s">
        <v>4384</v>
      </c>
      <c r="D2378" s="6" t="s">
        <v>4375</v>
      </c>
      <c r="E2378" s="6" t="s">
        <v>4385</v>
      </c>
      <c r="F2378" s="6" t="s">
        <v>4724</v>
      </c>
      <c r="G2378" s="3" t="s">
        <v>11449</v>
      </c>
      <c r="H2378" s="54">
        <v>0</v>
      </c>
      <c r="I2378" s="55">
        <v>470000000</v>
      </c>
      <c r="J2378" s="56" t="s">
        <v>229</v>
      </c>
      <c r="K2378" s="6" t="s">
        <v>222</v>
      </c>
      <c r="L2378" s="17" t="s">
        <v>11411</v>
      </c>
      <c r="M2378" s="162" t="s">
        <v>230</v>
      </c>
      <c r="N2378" s="15" t="s">
        <v>17491</v>
      </c>
      <c r="O2378" s="6" t="s">
        <v>4568</v>
      </c>
      <c r="P2378" s="58" t="s">
        <v>241</v>
      </c>
      <c r="Q2378" s="6" t="s">
        <v>234</v>
      </c>
      <c r="R2378" s="3">
        <v>20</v>
      </c>
      <c r="S2378" s="1">
        <v>74298</v>
      </c>
      <c r="T2378" s="4">
        <f>R2378*S2378</f>
        <v>1485960</v>
      </c>
      <c r="U2378" s="4">
        <f t="shared" si="70"/>
        <v>1664275.2000000002</v>
      </c>
      <c r="V2378" s="166"/>
      <c r="W2378" s="3">
        <v>2014</v>
      </c>
      <c r="X2378" s="3"/>
    </row>
    <row r="2379" spans="1:24" ht="89.25">
      <c r="A2379" s="3" t="s">
        <v>1429</v>
      </c>
      <c r="B2379" s="6" t="s">
        <v>361</v>
      </c>
      <c r="C2379" s="6" t="s">
        <v>4384</v>
      </c>
      <c r="D2379" s="6" t="s">
        <v>4375</v>
      </c>
      <c r="E2379" s="6" t="s">
        <v>4385</v>
      </c>
      <c r="F2379" s="6" t="s">
        <v>4725</v>
      </c>
      <c r="G2379" s="3" t="s">
        <v>11450</v>
      </c>
      <c r="H2379" s="54">
        <v>0</v>
      </c>
      <c r="I2379" s="16">
        <v>470000000</v>
      </c>
      <c r="J2379" s="56" t="s">
        <v>229</v>
      </c>
      <c r="K2379" s="6" t="s">
        <v>516</v>
      </c>
      <c r="L2379" s="16" t="s">
        <v>4567</v>
      </c>
      <c r="M2379" s="162" t="s">
        <v>230</v>
      </c>
      <c r="N2379" s="15" t="s">
        <v>524</v>
      </c>
      <c r="O2379" s="6" t="s">
        <v>4568</v>
      </c>
      <c r="P2379" s="58" t="s">
        <v>241</v>
      </c>
      <c r="Q2379" s="6" t="s">
        <v>234</v>
      </c>
      <c r="R2379" s="4">
        <v>15</v>
      </c>
      <c r="S2379" s="74">
        <v>17154</v>
      </c>
      <c r="T2379" s="4">
        <v>0</v>
      </c>
      <c r="U2379" s="4">
        <f t="shared" si="70"/>
        <v>0</v>
      </c>
      <c r="V2379" s="3" t="s">
        <v>362</v>
      </c>
      <c r="W2379" s="3">
        <v>2014</v>
      </c>
      <c r="X2379" s="3" t="s">
        <v>14010</v>
      </c>
    </row>
    <row r="2380" spans="1:24" ht="89.25">
      <c r="A2380" s="3" t="s">
        <v>12519</v>
      </c>
      <c r="B2380" s="6" t="s">
        <v>361</v>
      </c>
      <c r="C2380" s="6" t="s">
        <v>4384</v>
      </c>
      <c r="D2380" s="6" t="s">
        <v>4375</v>
      </c>
      <c r="E2380" s="6" t="s">
        <v>4385</v>
      </c>
      <c r="F2380" s="6" t="s">
        <v>4725</v>
      </c>
      <c r="G2380" s="3" t="s">
        <v>11449</v>
      </c>
      <c r="H2380" s="54">
        <v>0</v>
      </c>
      <c r="I2380" s="16">
        <v>470000000</v>
      </c>
      <c r="J2380" s="56" t="s">
        <v>229</v>
      </c>
      <c r="K2380" s="6" t="s">
        <v>12441</v>
      </c>
      <c r="L2380" s="17" t="s">
        <v>11411</v>
      </c>
      <c r="M2380" s="162" t="s">
        <v>230</v>
      </c>
      <c r="N2380" s="15" t="s">
        <v>524</v>
      </c>
      <c r="O2380" s="6" t="s">
        <v>4568</v>
      </c>
      <c r="P2380" s="58" t="s">
        <v>241</v>
      </c>
      <c r="Q2380" s="6" t="s">
        <v>234</v>
      </c>
      <c r="R2380" s="4">
        <v>15</v>
      </c>
      <c r="S2380" s="74">
        <v>17154</v>
      </c>
      <c r="T2380" s="4">
        <v>0</v>
      </c>
      <c r="U2380" s="4">
        <f t="shared" si="70"/>
        <v>0</v>
      </c>
      <c r="V2380" s="3"/>
      <c r="W2380" s="3">
        <v>2014</v>
      </c>
      <c r="X2380" s="3">
        <v>11</v>
      </c>
    </row>
    <row r="2381" spans="1:24" ht="89.25">
      <c r="A2381" s="3" t="s">
        <v>15619</v>
      </c>
      <c r="B2381" s="6" t="s">
        <v>361</v>
      </c>
      <c r="C2381" s="6" t="s">
        <v>4384</v>
      </c>
      <c r="D2381" s="6" t="s">
        <v>4375</v>
      </c>
      <c r="E2381" s="6" t="s">
        <v>4385</v>
      </c>
      <c r="F2381" s="6" t="s">
        <v>4725</v>
      </c>
      <c r="G2381" s="3" t="s">
        <v>11449</v>
      </c>
      <c r="H2381" s="54">
        <v>0</v>
      </c>
      <c r="I2381" s="16">
        <v>470000000</v>
      </c>
      <c r="J2381" s="56" t="s">
        <v>229</v>
      </c>
      <c r="K2381" s="6" t="s">
        <v>220</v>
      </c>
      <c r="L2381" s="17" t="s">
        <v>11411</v>
      </c>
      <c r="M2381" s="162" t="s">
        <v>230</v>
      </c>
      <c r="N2381" s="15" t="s">
        <v>524</v>
      </c>
      <c r="O2381" s="6" t="s">
        <v>4568</v>
      </c>
      <c r="P2381" s="58" t="s">
        <v>241</v>
      </c>
      <c r="Q2381" s="6" t="s">
        <v>234</v>
      </c>
      <c r="R2381" s="4">
        <v>15</v>
      </c>
      <c r="S2381" s="74">
        <v>17154</v>
      </c>
      <c r="T2381" s="4">
        <v>0</v>
      </c>
      <c r="U2381" s="4">
        <f t="shared" si="70"/>
        <v>0</v>
      </c>
      <c r="V2381" s="3"/>
      <c r="W2381" s="3">
        <v>2014</v>
      </c>
      <c r="X2381" s="3">
        <v>11.14</v>
      </c>
    </row>
    <row r="2382" spans="1:24" ht="89.25">
      <c r="A2382" s="3" t="s">
        <v>17585</v>
      </c>
      <c r="B2382" s="6" t="s">
        <v>361</v>
      </c>
      <c r="C2382" s="6" t="s">
        <v>4384</v>
      </c>
      <c r="D2382" s="6" t="s">
        <v>4375</v>
      </c>
      <c r="E2382" s="6" t="s">
        <v>4385</v>
      </c>
      <c r="F2382" s="6" t="s">
        <v>4725</v>
      </c>
      <c r="G2382" s="3" t="s">
        <v>11449</v>
      </c>
      <c r="H2382" s="54">
        <v>0</v>
      </c>
      <c r="I2382" s="16">
        <v>470000000</v>
      </c>
      <c r="J2382" s="56" t="s">
        <v>229</v>
      </c>
      <c r="K2382" s="6" t="s">
        <v>222</v>
      </c>
      <c r="L2382" s="17" t="s">
        <v>11411</v>
      </c>
      <c r="M2382" s="162" t="s">
        <v>230</v>
      </c>
      <c r="N2382" s="15" t="s">
        <v>17491</v>
      </c>
      <c r="O2382" s="6" t="s">
        <v>4568</v>
      </c>
      <c r="P2382" s="58" t="s">
        <v>241</v>
      </c>
      <c r="Q2382" s="6" t="s">
        <v>234</v>
      </c>
      <c r="R2382" s="4">
        <v>15</v>
      </c>
      <c r="S2382" s="74">
        <v>17154</v>
      </c>
      <c r="T2382" s="4">
        <v>0</v>
      </c>
      <c r="U2382" s="4">
        <f t="shared" si="70"/>
        <v>0</v>
      </c>
      <c r="V2382" s="3"/>
      <c r="W2382" s="3">
        <v>2014</v>
      </c>
      <c r="X2382" s="3">
        <v>11</v>
      </c>
    </row>
    <row r="2383" spans="1:24" ht="89.25">
      <c r="A2383" s="3" t="s">
        <v>18446</v>
      </c>
      <c r="B2383" s="6" t="s">
        <v>361</v>
      </c>
      <c r="C2383" s="6" t="s">
        <v>4384</v>
      </c>
      <c r="D2383" s="6" t="s">
        <v>4375</v>
      </c>
      <c r="E2383" s="6" t="s">
        <v>4385</v>
      </c>
      <c r="F2383" s="6" t="s">
        <v>4725</v>
      </c>
      <c r="G2383" s="3" t="s">
        <v>11449</v>
      </c>
      <c r="H2383" s="54">
        <v>0</v>
      </c>
      <c r="I2383" s="16">
        <v>470000000</v>
      </c>
      <c r="J2383" s="56" t="s">
        <v>229</v>
      </c>
      <c r="K2383" s="6" t="s">
        <v>15646</v>
      </c>
      <c r="L2383" s="17" t="s">
        <v>11411</v>
      </c>
      <c r="M2383" s="162" t="s">
        <v>230</v>
      </c>
      <c r="N2383" s="15" t="s">
        <v>17491</v>
      </c>
      <c r="O2383" s="6" t="s">
        <v>4568</v>
      </c>
      <c r="P2383" s="58" t="s">
        <v>241</v>
      </c>
      <c r="Q2383" s="6" t="s">
        <v>234</v>
      </c>
      <c r="R2383" s="4">
        <v>15</v>
      </c>
      <c r="S2383" s="74">
        <v>17154</v>
      </c>
      <c r="T2383" s="4">
        <f>R2383*S2383</f>
        <v>257310</v>
      </c>
      <c r="U2383" s="4">
        <f t="shared" si="70"/>
        <v>288187.2</v>
      </c>
      <c r="V2383" s="3"/>
      <c r="W2383" s="3">
        <v>2014</v>
      </c>
      <c r="X2383" s="3"/>
    </row>
    <row r="2384" spans="1:24" ht="89.25">
      <c r="A2384" s="3" t="s">
        <v>1430</v>
      </c>
      <c r="B2384" s="6" t="s">
        <v>361</v>
      </c>
      <c r="C2384" s="6" t="s">
        <v>4384</v>
      </c>
      <c r="D2384" s="6" t="s">
        <v>4375</v>
      </c>
      <c r="E2384" s="6" t="s">
        <v>4385</v>
      </c>
      <c r="F2384" s="6" t="s">
        <v>4726</v>
      </c>
      <c r="G2384" s="3" t="s">
        <v>11450</v>
      </c>
      <c r="H2384" s="54">
        <v>0</v>
      </c>
      <c r="I2384" s="55">
        <v>470000000</v>
      </c>
      <c r="J2384" s="56" t="s">
        <v>229</v>
      </c>
      <c r="K2384" s="6" t="s">
        <v>516</v>
      </c>
      <c r="L2384" s="16" t="s">
        <v>4570</v>
      </c>
      <c r="M2384" s="162" t="s">
        <v>230</v>
      </c>
      <c r="N2384" s="15" t="s">
        <v>524</v>
      </c>
      <c r="O2384" s="6" t="s">
        <v>4568</v>
      </c>
      <c r="P2384" s="58" t="s">
        <v>241</v>
      </c>
      <c r="Q2384" s="6" t="s">
        <v>234</v>
      </c>
      <c r="R2384" s="3">
        <v>10</v>
      </c>
      <c r="S2384" s="1">
        <v>74598</v>
      </c>
      <c r="T2384" s="4">
        <v>0</v>
      </c>
      <c r="U2384" s="4">
        <f t="shared" si="70"/>
        <v>0</v>
      </c>
      <c r="V2384" s="166" t="s">
        <v>362</v>
      </c>
      <c r="W2384" s="3">
        <v>2014</v>
      </c>
      <c r="X2384" s="3" t="s">
        <v>14010</v>
      </c>
    </row>
    <row r="2385" spans="1:24" ht="89.25">
      <c r="A2385" s="3" t="s">
        <v>12520</v>
      </c>
      <c r="B2385" s="6" t="s">
        <v>361</v>
      </c>
      <c r="C2385" s="6" t="s">
        <v>4384</v>
      </c>
      <c r="D2385" s="6" t="s">
        <v>4375</v>
      </c>
      <c r="E2385" s="6" t="s">
        <v>4385</v>
      </c>
      <c r="F2385" s="6" t="s">
        <v>4726</v>
      </c>
      <c r="G2385" s="3" t="s">
        <v>11449</v>
      </c>
      <c r="H2385" s="54">
        <v>0</v>
      </c>
      <c r="I2385" s="55">
        <v>470000000</v>
      </c>
      <c r="J2385" s="56" t="s">
        <v>229</v>
      </c>
      <c r="K2385" s="6" t="s">
        <v>12441</v>
      </c>
      <c r="L2385" s="17" t="s">
        <v>11411</v>
      </c>
      <c r="M2385" s="162" t="s">
        <v>230</v>
      </c>
      <c r="N2385" s="15" t="s">
        <v>524</v>
      </c>
      <c r="O2385" s="6" t="s">
        <v>4568</v>
      </c>
      <c r="P2385" s="58" t="s">
        <v>241</v>
      </c>
      <c r="Q2385" s="6" t="s">
        <v>234</v>
      </c>
      <c r="R2385" s="3">
        <v>10</v>
      </c>
      <c r="S2385" s="1">
        <v>74598</v>
      </c>
      <c r="T2385" s="4">
        <v>0</v>
      </c>
      <c r="U2385" s="4">
        <f t="shared" si="70"/>
        <v>0</v>
      </c>
      <c r="V2385" s="166"/>
      <c r="W2385" s="3">
        <v>2014</v>
      </c>
      <c r="X2385" s="3">
        <v>11</v>
      </c>
    </row>
    <row r="2386" spans="1:24" ht="89.25">
      <c r="A2386" s="3" t="s">
        <v>15620</v>
      </c>
      <c r="B2386" s="6" t="s">
        <v>361</v>
      </c>
      <c r="C2386" s="6" t="s">
        <v>4384</v>
      </c>
      <c r="D2386" s="6" t="s">
        <v>4375</v>
      </c>
      <c r="E2386" s="6" t="s">
        <v>4385</v>
      </c>
      <c r="F2386" s="6" t="s">
        <v>4726</v>
      </c>
      <c r="G2386" s="3" t="s">
        <v>11449</v>
      </c>
      <c r="H2386" s="54">
        <v>0</v>
      </c>
      <c r="I2386" s="55">
        <v>470000000</v>
      </c>
      <c r="J2386" s="56" t="s">
        <v>229</v>
      </c>
      <c r="K2386" s="6" t="s">
        <v>220</v>
      </c>
      <c r="L2386" s="17" t="s">
        <v>11411</v>
      </c>
      <c r="M2386" s="162" t="s">
        <v>230</v>
      </c>
      <c r="N2386" s="15" t="s">
        <v>524</v>
      </c>
      <c r="O2386" s="6" t="s">
        <v>4568</v>
      </c>
      <c r="P2386" s="58" t="s">
        <v>241</v>
      </c>
      <c r="Q2386" s="6" t="s">
        <v>234</v>
      </c>
      <c r="R2386" s="3">
        <v>10</v>
      </c>
      <c r="S2386" s="1">
        <v>74598</v>
      </c>
      <c r="T2386" s="4">
        <v>0</v>
      </c>
      <c r="U2386" s="4">
        <f t="shared" si="70"/>
        <v>0</v>
      </c>
      <c r="V2386" s="166"/>
      <c r="W2386" s="3">
        <v>2014</v>
      </c>
      <c r="X2386" s="3">
        <v>11.14</v>
      </c>
    </row>
    <row r="2387" spans="1:24" ht="89.25">
      <c r="A2387" s="3" t="s">
        <v>17586</v>
      </c>
      <c r="B2387" s="6" t="s">
        <v>361</v>
      </c>
      <c r="C2387" s="6" t="s">
        <v>4384</v>
      </c>
      <c r="D2387" s="6" t="s">
        <v>4375</v>
      </c>
      <c r="E2387" s="6" t="s">
        <v>4385</v>
      </c>
      <c r="F2387" s="6" t="s">
        <v>4726</v>
      </c>
      <c r="G2387" s="3" t="s">
        <v>11449</v>
      </c>
      <c r="H2387" s="54">
        <v>0</v>
      </c>
      <c r="I2387" s="55">
        <v>470000000</v>
      </c>
      <c r="J2387" s="56" t="s">
        <v>229</v>
      </c>
      <c r="K2387" s="6" t="s">
        <v>222</v>
      </c>
      <c r="L2387" s="17" t="s">
        <v>11411</v>
      </c>
      <c r="M2387" s="162" t="s">
        <v>230</v>
      </c>
      <c r="N2387" s="15" t="s">
        <v>17491</v>
      </c>
      <c r="O2387" s="6" t="s">
        <v>4568</v>
      </c>
      <c r="P2387" s="58" t="s">
        <v>241</v>
      </c>
      <c r="Q2387" s="6" t="s">
        <v>234</v>
      </c>
      <c r="R2387" s="3">
        <v>10</v>
      </c>
      <c r="S2387" s="1">
        <v>74598</v>
      </c>
      <c r="T2387" s="4">
        <v>0</v>
      </c>
      <c r="U2387" s="4">
        <f t="shared" si="70"/>
        <v>0</v>
      </c>
      <c r="V2387" s="166"/>
      <c r="W2387" s="3">
        <v>2014</v>
      </c>
      <c r="X2387" s="3">
        <v>6.11</v>
      </c>
    </row>
    <row r="2388" spans="1:24" ht="89.25">
      <c r="A2388" s="3" t="s">
        <v>18447</v>
      </c>
      <c r="B2388" s="6" t="s">
        <v>361</v>
      </c>
      <c r="C2388" s="6" t="s">
        <v>4384</v>
      </c>
      <c r="D2388" s="6" t="s">
        <v>4375</v>
      </c>
      <c r="E2388" s="6" t="s">
        <v>4385</v>
      </c>
      <c r="F2388" s="6" t="s">
        <v>18448</v>
      </c>
      <c r="G2388" s="3" t="s">
        <v>11449</v>
      </c>
      <c r="H2388" s="54">
        <v>0</v>
      </c>
      <c r="I2388" s="55">
        <v>470000000</v>
      </c>
      <c r="J2388" s="56" t="s">
        <v>229</v>
      </c>
      <c r="K2388" s="6" t="s">
        <v>15646</v>
      </c>
      <c r="L2388" s="17" t="s">
        <v>11411</v>
      </c>
      <c r="M2388" s="162" t="s">
        <v>230</v>
      </c>
      <c r="N2388" s="15" t="s">
        <v>17491</v>
      </c>
      <c r="O2388" s="6" t="s">
        <v>4568</v>
      </c>
      <c r="P2388" s="58" t="s">
        <v>241</v>
      </c>
      <c r="Q2388" s="6" t="s">
        <v>234</v>
      </c>
      <c r="R2388" s="3">
        <v>10</v>
      </c>
      <c r="S2388" s="1">
        <v>74598</v>
      </c>
      <c r="T2388" s="4">
        <f>R2388*S2388</f>
        <v>745980</v>
      </c>
      <c r="U2388" s="4">
        <f t="shared" si="70"/>
        <v>835497.60000000009</v>
      </c>
      <c r="V2388" s="166"/>
      <c r="W2388" s="3">
        <v>2014</v>
      </c>
      <c r="X2388" s="3"/>
    </row>
    <row r="2389" spans="1:24" ht="89.25">
      <c r="A2389" s="3" t="s">
        <v>1431</v>
      </c>
      <c r="B2389" s="6" t="s">
        <v>361</v>
      </c>
      <c r="C2389" s="6" t="s">
        <v>4384</v>
      </c>
      <c r="D2389" s="6" t="s">
        <v>4375</v>
      </c>
      <c r="E2389" s="6" t="s">
        <v>4385</v>
      </c>
      <c r="F2389" s="6" t="s">
        <v>4727</v>
      </c>
      <c r="G2389" s="3" t="s">
        <v>11450</v>
      </c>
      <c r="H2389" s="54">
        <v>0</v>
      </c>
      <c r="I2389" s="16">
        <v>470000000</v>
      </c>
      <c r="J2389" s="56" t="s">
        <v>229</v>
      </c>
      <c r="K2389" s="6" t="s">
        <v>516</v>
      </c>
      <c r="L2389" s="16" t="s">
        <v>4567</v>
      </c>
      <c r="M2389" s="162" t="s">
        <v>230</v>
      </c>
      <c r="N2389" s="15" t="s">
        <v>524</v>
      </c>
      <c r="O2389" s="6" t="s">
        <v>4568</v>
      </c>
      <c r="P2389" s="58" t="s">
        <v>241</v>
      </c>
      <c r="Q2389" s="6" t="s">
        <v>234</v>
      </c>
      <c r="R2389" s="4">
        <v>10</v>
      </c>
      <c r="S2389" s="74">
        <v>23836</v>
      </c>
      <c r="T2389" s="4">
        <v>0</v>
      </c>
      <c r="U2389" s="4">
        <f t="shared" si="70"/>
        <v>0</v>
      </c>
      <c r="V2389" s="3" t="s">
        <v>362</v>
      </c>
      <c r="W2389" s="3">
        <v>2014</v>
      </c>
      <c r="X2389" s="3" t="s">
        <v>14010</v>
      </c>
    </row>
    <row r="2390" spans="1:24" ht="89.25">
      <c r="A2390" s="3" t="s">
        <v>12521</v>
      </c>
      <c r="B2390" s="6" t="s">
        <v>361</v>
      </c>
      <c r="C2390" s="6" t="s">
        <v>4384</v>
      </c>
      <c r="D2390" s="6" t="s">
        <v>4375</v>
      </c>
      <c r="E2390" s="6" t="s">
        <v>4385</v>
      </c>
      <c r="F2390" s="6" t="s">
        <v>4727</v>
      </c>
      <c r="G2390" s="3" t="s">
        <v>11449</v>
      </c>
      <c r="H2390" s="54">
        <v>0</v>
      </c>
      <c r="I2390" s="16">
        <v>470000000</v>
      </c>
      <c r="J2390" s="56" t="s">
        <v>229</v>
      </c>
      <c r="K2390" s="6" t="s">
        <v>12441</v>
      </c>
      <c r="L2390" s="17" t="s">
        <v>11411</v>
      </c>
      <c r="M2390" s="162" t="s">
        <v>230</v>
      </c>
      <c r="N2390" s="15" t="s">
        <v>524</v>
      </c>
      <c r="O2390" s="6" t="s">
        <v>4568</v>
      </c>
      <c r="P2390" s="58" t="s">
        <v>241</v>
      </c>
      <c r="Q2390" s="6" t="s">
        <v>234</v>
      </c>
      <c r="R2390" s="4">
        <v>10</v>
      </c>
      <c r="S2390" s="74">
        <v>23836</v>
      </c>
      <c r="T2390" s="4">
        <v>0</v>
      </c>
      <c r="U2390" s="4">
        <f t="shared" si="70"/>
        <v>0</v>
      </c>
      <c r="V2390" s="3"/>
      <c r="W2390" s="3">
        <v>2014</v>
      </c>
      <c r="X2390" s="3">
        <v>11</v>
      </c>
    </row>
    <row r="2391" spans="1:24" ht="89.25">
      <c r="A2391" s="3" t="s">
        <v>15621</v>
      </c>
      <c r="B2391" s="6" t="s">
        <v>361</v>
      </c>
      <c r="C2391" s="6" t="s">
        <v>4384</v>
      </c>
      <c r="D2391" s="6" t="s">
        <v>4375</v>
      </c>
      <c r="E2391" s="6" t="s">
        <v>4385</v>
      </c>
      <c r="F2391" s="6" t="s">
        <v>4727</v>
      </c>
      <c r="G2391" s="3" t="s">
        <v>11449</v>
      </c>
      <c r="H2391" s="54">
        <v>0</v>
      </c>
      <c r="I2391" s="16">
        <v>470000000</v>
      </c>
      <c r="J2391" s="56" t="s">
        <v>229</v>
      </c>
      <c r="K2391" s="6" t="s">
        <v>220</v>
      </c>
      <c r="L2391" s="17" t="s">
        <v>11411</v>
      </c>
      <c r="M2391" s="162" t="s">
        <v>230</v>
      </c>
      <c r="N2391" s="15" t="s">
        <v>524</v>
      </c>
      <c r="O2391" s="6" t="s">
        <v>4568</v>
      </c>
      <c r="P2391" s="58" t="s">
        <v>241</v>
      </c>
      <c r="Q2391" s="6" t="s">
        <v>234</v>
      </c>
      <c r="R2391" s="4">
        <v>10</v>
      </c>
      <c r="S2391" s="74">
        <v>23836</v>
      </c>
      <c r="T2391" s="4">
        <v>0</v>
      </c>
      <c r="U2391" s="4">
        <f t="shared" si="70"/>
        <v>0</v>
      </c>
      <c r="V2391" s="3"/>
      <c r="W2391" s="3">
        <v>2014</v>
      </c>
      <c r="X2391" s="3">
        <v>11.14</v>
      </c>
    </row>
    <row r="2392" spans="1:24" ht="89.25">
      <c r="A2392" s="3" t="s">
        <v>17587</v>
      </c>
      <c r="B2392" s="6" t="s">
        <v>361</v>
      </c>
      <c r="C2392" s="6" t="s">
        <v>4384</v>
      </c>
      <c r="D2392" s="6" t="s">
        <v>4375</v>
      </c>
      <c r="E2392" s="6" t="s">
        <v>4385</v>
      </c>
      <c r="F2392" s="6" t="s">
        <v>4727</v>
      </c>
      <c r="G2392" s="3" t="s">
        <v>11449</v>
      </c>
      <c r="H2392" s="54">
        <v>0</v>
      </c>
      <c r="I2392" s="16">
        <v>470000000</v>
      </c>
      <c r="J2392" s="56" t="s">
        <v>229</v>
      </c>
      <c r="K2392" s="6" t="s">
        <v>222</v>
      </c>
      <c r="L2392" s="17" t="s">
        <v>11411</v>
      </c>
      <c r="M2392" s="162" t="s">
        <v>230</v>
      </c>
      <c r="N2392" s="15" t="s">
        <v>17491</v>
      </c>
      <c r="O2392" s="6" t="s">
        <v>4568</v>
      </c>
      <c r="P2392" s="58" t="s">
        <v>241</v>
      </c>
      <c r="Q2392" s="6" t="s">
        <v>234</v>
      </c>
      <c r="R2392" s="4">
        <v>10</v>
      </c>
      <c r="S2392" s="74">
        <v>23836</v>
      </c>
      <c r="T2392" s="4">
        <v>0</v>
      </c>
      <c r="U2392" s="4">
        <f t="shared" si="70"/>
        <v>0</v>
      </c>
      <c r="V2392" s="3"/>
      <c r="W2392" s="3">
        <v>2014</v>
      </c>
      <c r="X2392" s="3">
        <v>11</v>
      </c>
    </row>
    <row r="2393" spans="1:24" ht="89.25">
      <c r="A2393" s="3" t="s">
        <v>18449</v>
      </c>
      <c r="B2393" s="6" t="s">
        <v>361</v>
      </c>
      <c r="C2393" s="6" t="s">
        <v>4384</v>
      </c>
      <c r="D2393" s="6" t="s">
        <v>4375</v>
      </c>
      <c r="E2393" s="6" t="s">
        <v>4385</v>
      </c>
      <c r="F2393" s="6" t="s">
        <v>4727</v>
      </c>
      <c r="G2393" s="3" t="s">
        <v>11449</v>
      </c>
      <c r="H2393" s="54">
        <v>0</v>
      </c>
      <c r="I2393" s="16">
        <v>470000000</v>
      </c>
      <c r="J2393" s="56" t="s">
        <v>229</v>
      </c>
      <c r="K2393" s="6" t="s">
        <v>15646</v>
      </c>
      <c r="L2393" s="17" t="s">
        <v>11411</v>
      </c>
      <c r="M2393" s="162" t="s">
        <v>230</v>
      </c>
      <c r="N2393" s="15" t="s">
        <v>17491</v>
      </c>
      <c r="O2393" s="6" t="s">
        <v>4568</v>
      </c>
      <c r="P2393" s="58" t="s">
        <v>241</v>
      </c>
      <c r="Q2393" s="6" t="s">
        <v>234</v>
      </c>
      <c r="R2393" s="4">
        <v>10</v>
      </c>
      <c r="S2393" s="74">
        <v>23836</v>
      </c>
      <c r="T2393" s="4">
        <f>R2393*S2393</f>
        <v>238360</v>
      </c>
      <c r="U2393" s="4">
        <f t="shared" si="70"/>
        <v>266963.20000000001</v>
      </c>
      <c r="V2393" s="3"/>
      <c r="W2393" s="3">
        <v>2014</v>
      </c>
      <c r="X2393" s="3"/>
    </row>
    <row r="2394" spans="1:24" ht="89.25">
      <c r="A2394" s="3" t="s">
        <v>1432</v>
      </c>
      <c r="B2394" s="6" t="s">
        <v>361</v>
      </c>
      <c r="C2394" s="6" t="s">
        <v>4386</v>
      </c>
      <c r="D2394" s="6" t="s">
        <v>4375</v>
      </c>
      <c r="E2394" s="6" t="s">
        <v>4387</v>
      </c>
      <c r="F2394" s="6" t="s">
        <v>4728</v>
      </c>
      <c r="G2394" s="3" t="s">
        <v>11450</v>
      </c>
      <c r="H2394" s="54">
        <v>0</v>
      </c>
      <c r="I2394" s="55">
        <v>470000000</v>
      </c>
      <c r="J2394" s="56" t="s">
        <v>229</v>
      </c>
      <c r="K2394" s="6" t="s">
        <v>516</v>
      </c>
      <c r="L2394" s="16" t="s">
        <v>4570</v>
      </c>
      <c r="M2394" s="162" t="s">
        <v>230</v>
      </c>
      <c r="N2394" s="15" t="s">
        <v>524</v>
      </c>
      <c r="O2394" s="6" t="s">
        <v>4568</v>
      </c>
      <c r="P2394" s="58" t="s">
        <v>241</v>
      </c>
      <c r="Q2394" s="6" t="s">
        <v>234</v>
      </c>
      <c r="R2394" s="3">
        <v>10</v>
      </c>
      <c r="S2394" s="1">
        <v>8562</v>
      </c>
      <c r="T2394" s="4">
        <v>0</v>
      </c>
      <c r="U2394" s="4">
        <f t="shared" si="70"/>
        <v>0</v>
      </c>
      <c r="V2394" s="166" t="s">
        <v>362</v>
      </c>
      <c r="W2394" s="3">
        <v>2014</v>
      </c>
      <c r="X2394" s="3" t="s">
        <v>14010</v>
      </c>
    </row>
    <row r="2395" spans="1:24" ht="89.25">
      <c r="A2395" s="3" t="s">
        <v>12522</v>
      </c>
      <c r="B2395" s="6" t="s">
        <v>361</v>
      </c>
      <c r="C2395" s="6" t="s">
        <v>4386</v>
      </c>
      <c r="D2395" s="6" t="s">
        <v>4375</v>
      </c>
      <c r="E2395" s="6" t="s">
        <v>4387</v>
      </c>
      <c r="F2395" s="6" t="s">
        <v>4728</v>
      </c>
      <c r="G2395" s="3" t="s">
        <v>11449</v>
      </c>
      <c r="H2395" s="54">
        <v>0</v>
      </c>
      <c r="I2395" s="55">
        <v>470000000</v>
      </c>
      <c r="J2395" s="56" t="s">
        <v>229</v>
      </c>
      <c r="K2395" s="6" t="s">
        <v>12441</v>
      </c>
      <c r="L2395" s="17" t="s">
        <v>11411</v>
      </c>
      <c r="M2395" s="162" t="s">
        <v>230</v>
      </c>
      <c r="N2395" s="15" t="s">
        <v>524</v>
      </c>
      <c r="O2395" s="6" t="s">
        <v>4568</v>
      </c>
      <c r="P2395" s="58" t="s">
        <v>241</v>
      </c>
      <c r="Q2395" s="6" t="s">
        <v>234</v>
      </c>
      <c r="R2395" s="3">
        <v>10</v>
      </c>
      <c r="S2395" s="1">
        <v>8562</v>
      </c>
      <c r="T2395" s="4">
        <v>0</v>
      </c>
      <c r="U2395" s="4">
        <f t="shared" si="70"/>
        <v>0</v>
      </c>
      <c r="V2395" s="166"/>
      <c r="W2395" s="3">
        <v>2014</v>
      </c>
      <c r="X2395" s="3">
        <v>11</v>
      </c>
    </row>
    <row r="2396" spans="1:24" ht="89.25">
      <c r="A2396" s="3" t="s">
        <v>15622</v>
      </c>
      <c r="B2396" s="6" t="s">
        <v>361</v>
      </c>
      <c r="C2396" s="6" t="s">
        <v>4386</v>
      </c>
      <c r="D2396" s="6" t="s">
        <v>4375</v>
      </c>
      <c r="E2396" s="6" t="s">
        <v>4387</v>
      </c>
      <c r="F2396" s="6" t="s">
        <v>4728</v>
      </c>
      <c r="G2396" s="3" t="s">
        <v>11449</v>
      </c>
      <c r="H2396" s="54">
        <v>0</v>
      </c>
      <c r="I2396" s="55">
        <v>470000000</v>
      </c>
      <c r="J2396" s="56" t="s">
        <v>229</v>
      </c>
      <c r="K2396" s="6" t="s">
        <v>8309</v>
      </c>
      <c r="L2396" s="17" t="s">
        <v>11411</v>
      </c>
      <c r="M2396" s="162" t="s">
        <v>230</v>
      </c>
      <c r="N2396" s="15" t="s">
        <v>524</v>
      </c>
      <c r="O2396" s="6" t="s">
        <v>4568</v>
      </c>
      <c r="P2396" s="58" t="s">
        <v>241</v>
      </c>
      <c r="Q2396" s="6" t="s">
        <v>234</v>
      </c>
      <c r="R2396" s="3">
        <v>0</v>
      </c>
      <c r="S2396" s="1">
        <v>8562</v>
      </c>
      <c r="T2396" s="4">
        <f>R2396*S2396</f>
        <v>0</v>
      </c>
      <c r="U2396" s="4">
        <f t="shared" si="70"/>
        <v>0</v>
      </c>
      <c r="V2396" s="166"/>
      <c r="W2396" s="3">
        <v>2014</v>
      </c>
      <c r="X2396" s="3" t="s">
        <v>12076</v>
      </c>
    </row>
    <row r="2397" spans="1:24" ht="89.25">
      <c r="A2397" s="3" t="s">
        <v>1433</v>
      </c>
      <c r="B2397" s="6" t="s">
        <v>361</v>
      </c>
      <c r="C2397" s="6" t="s">
        <v>4388</v>
      </c>
      <c r="D2397" s="6" t="s">
        <v>4375</v>
      </c>
      <c r="E2397" s="6" t="s">
        <v>4389</v>
      </c>
      <c r="F2397" s="6" t="s">
        <v>4729</v>
      </c>
      <c r="G2397" s="3" t="s">
        <v>11450</v>
      </c>
      <c r="H2397" s="54">
        <v>0</v>
      </c>
      <c r="I2397" s="16">
        <v>470000000</v>
      </c>
      <c r="J2397" s="56" t="s">
        <v>229</v>
      </c>
      <c r="K2397" s="6" t="s">
        <v>516</v>
      </c>
      <c r="L2397" s="16" t="s">
        <v>4567</v>
      </c>
      <c r="M2397" s="162" t="s">
        <v>230</v>
      </c>
      <c r="N2397" s="15" t="s">
        <v>524</v>
      </c>
      <c r="O2397" s="6" t="s">
        <v>4568</v>
      </c>
      <c r="P2397" s="58" t="s">
        <v>241</v>
      </c>
      <c r="Q2397" s="6" t="s">
        <v>234</v>
      </c>
      <c r="R2397" s="1">
        <v>20</v>
      </c>
      <c r="S2397" s="74">
        <v>106000</v>
      </c>
      <c r="T2397" s="4">
        <v>0</v>
      </c>
      <c r="U2397" s="4">
        <f t="shared" si="70"/>
        <v>0</v>
      </c>
      <c r="V2397" s="3" t="s">
        <v>362</v>
      </c>
      <c r="W2397" s="3">
        <v>2014</v>
      </c>
      <c r="X2397" s="3" t="s">
        <v>11817</v>
      </c>
    </row>
    <row r="2398" spans="1:24" ht="89.25">
      <c r="A2398" s="3" t="s">
        <v>12523</v>
      </c>
      <c r="B2398" s="6" t="s">
        <v>361</v>
      </c>
      <c r="C2398" s="6" t="s">
        <v>4388</v>
      </c>
      <c r="D2398" s="6" t="s">
        <v>4375</v>
      </c>
      <c r="E2398" s="6" t="s">
        <v>4389</v>
      </c>
      <c r="F2398" s="6" t="s">
        <v>4729</v>
      </c>
      <c r="G2398" s="3" t="s">
        <v>11449</v>
      </c>
      <c r="H2398" s="54">
        <v>0</v>
      </c>
      <c r="I2398" s="16">
        <v>470000000</v>
      </c>
      <c r="J2398" s="56" t="s">
        <v>229</v>
      </c>
      <c r="K2398" s="6" t="s">
        <v>12441</v>
      </c>
      <c r="L2398" s="17" t="s">
        <v>11411</v>
      </c>
      <c r="M2398" s="162" t="s">
        <v>230</v>
      </c>
      <c r="N2398" s="15" t="s">
        <v>524</v>
      </c>
      <c r="O2398" s="6" t="s">
        <v>4568</v>
      </c>
      <c r="P2398" s="58" t="s">
        <v>241</v>
      </c>
      <c r="Q2398" s="6" t="s">
        <v>234</v>
      </c>
      <c r="R2398" s="1">
        <v>0</v>
      </c>
      <c r="S2398" s="74">
        <v>106000</v>
      </c>
      <c r="T2398" s="4">
        <f>R2398*S2398</f>
        <v>0</v>
      </c>
      <c r="U2398" s="4">
        <f t="shared" si="70"/>
        <v>0</v>
      </c>
      <c r="V2398" s="3" t="s">
        <v>362</v>
      </c>
      <c r="W2398" s="3">
        <v>2014</v>
      </c>
      <c r="X2398" s="3" t="s">
        <v>12076</v>
      </c>
    </row>
    <row r="2399" spans="1:24" ht="89.25">
      <c r="A2399" s="3" t="s">
        <v>1434</v>
      </c>
      <c r="B2399" s="6" t="s">
        <v>361</v>
      </c>
      <c r="C2399" s="6" t="s">
        <v>4388</v>
      </c>
      <c r="D2399" s="6" t="s">
        <v>4375</v>
      </c>
      <c r="E2399" s="6" t="s">
        <v>4389</v>
      </c>
      <c r="F2399" s="6" t="s">
        <v>4730</v>
      </c>
      <c r="G2399" s="3" t="s">
        <v>11450</v>
      </c>
      <c r="H2399" s="54">
        <v>0</v>
      </c>
      <c r="I2399" s="55">
        <v>470000000</v>
      </c>
      <c r="J2399" s="56" t="s">
        <v>229</v>
      </c>
      <c r="K2399" s="6" t="s">
        <v>516</v>
      </c>
      <c r="L2399" s="16" t="s">
        <v>4570</v>
      </c>
      <c r="M2399" s="162" t="s">
        <v>230</v>
      </c>
      <c r="N2399" s="15" t="s">
        <v>524</v>
      </c>
      <c r="O2399" s="6" t="s">
        <v>4568</v>
      </c>
      <c r="P2399" s="58" t="s">
        <v>241</v>
      </c>
      <c r="Q2399" s="6" t="s">
        <v>234</v>
      </c>
      <c r="R2399" s="3">
        <v>30</v>
      </c>
      <c r="S2399" s="1">
        <v>167280.64000000001</v>
      </c>
      <c r="T2399" s="4">
        <v>0</v>
      </c>
      <c r="U2399" s="4">
        <f t="shared" si="70"/>
        <v>0</v>
      </c>
      <c r="V2399" s="166" t="s">
        <v>362</v>
      </c>
      <c r="W2399" s="3">
        <v>2014</v>
      </c>
      <c r="X2399" s="3" t="s">
        <v>11817</v>
      </c>
    </row>
    <row r="2400" spans="1:24" ht="89.25">
      <c r="A2400" s="3" t="s">
        <v>12524</v>
      </c>
      <c r="B2400" s="6" t="s">
        <v>361</v>
      </c>
      <c r="C2400" s="6" t="s">
        <v>4388</v>
      </c>
      <c r="D2400" s="6" t="s">
        <v>4375</v>
      </c>
      <c r="E2400" s="6" t="s">
        <v>4389</v>
      </c>
      <c r="F2400" s="6" t="s">
        <v>4730</v>
      </c>
      <c r="G2400" s="3" t="s">
        <v>11449</v>
      </c>
      <c r="H2400" s="54">
        <v>0</v>
      </c>
      <c r="I2400" s="55">
        <v>470000000</v>
      </c>
      <c r="J2400" s="56" t="s">
        <v>229</v>
      </c>
      <c r="K2400" s="6" t="s">
        <v>12441</v>
      </c>
      <c r="L2400" s="17" t="s">
        <v>11411</v>
      </c>
      <c r="M2400" s="162" t="s">
        <v>230</v>
      </c>
      <c r="N2400" s="15" t="s">
        <v>524</v>
      </c>
      <c r="O2400" s="6" t="s">
        <v>4568</v>
      </c>
      <c r="P2400" s="58" t="s">
        <v>241</v>
      </c>
      <c r="Q2400" s="6" t="s">
        <v>234</v>
      </c>
      <c r="R2400" s="3">
        <v>30</v>
      </c>
      <c r="S2400" s="1">
        <v>167280.64000000001</v>
      </c>
      <c r="T2400" s="4">
        <v>0</v>
      </c>
      <c r="U2400" s="4">
        <f t="shared" si="70"/>
        <v>0</v>
      </c>
      <c r="V2400" s="166" t="s">
        <v>362</v>
      </c>
      <c r="W2400" s="3">
        <v>2014</v>
      </c>
      <c r="X2400" s="3">
        <v>11</v>
      </c>
    </row>
    <row r="2401" spans="1:24" ht="89.25">
      <c r="A2401" s="3" t="s">
        <v>15623</v>
      </c>
      <c r="B2401" s="6" t="s">
        <v>361</v>
      </c>
      <c r="C2401" s="6" t="s">
        <v>4388</v>
      </c>
      <c r="D2401" s="6" t="s">
        <v>4375</v>
      </c>
      <c r="E2401" s="6" t="s">
        <v>4389</v>
      </c>
      <c r="F2401" s="6" t="s">
        <v>4730</v>
      </c>
      <c r="G2401" s="3" t="s">
        <v>11449</v>
      </c>
      <c r="H2401" s="54">
        <v>0</v>
      </c>
      <c r="I2401" s="55">
        <v>470000000</v>
      </c>
      <c r="J2401" s="56" t="s">
        <v>229</v>
      </c>
      <c r="K2401" s="6" t="s">
        <v>222</v>
      </c>
      <c r="L2401" s="17" t="s">
        <v>11411</v>
      </c>
      <c r="M2401" s="162" t="s">
        <v>230</v>
      </c>
      <c r="N2401" s="15" t="s">
        <v>524</v>
      </c>
      <c r="O2401" s="6" t="s">
        <v>4568</v>
      </c>
      <c r="P2401" s="58" t="s">
        <v>241</v>
      </c>
      <c r="Q2401" s="6" t="s">
        <v>234</v>
      </c>
      <c r="R2401" s="3">
        <v>30</v>
      </c>
      <c r="S2401" s="1">
        <v>167280.64000000001</v>
      </c>
      <c r="T2401" s="4">
        <v>0</v>
      </c>
      <c r="U2401" s="4">
        <f t="shared" si="70"/>
        <v>0</v>
      </c>
      <c r="V2401" s="166" t="s">
        <v>362</v>
      </c>
      <c r="W2401" s="3">
        <v>2014</v>
      </c>
      <c r="X2401" s="3">
        <v>14</v>
      </c>
    </row>
    <row r="2402" spans="1:24" ht="89.25">
      <c r="A2402" s="3" t="s">
        <v>17588</v>
      </c>
      <c r="B2402" s="6" t="s">
        <v>361</v>
      </c>
      <c r="C2402" s="6" t="s">
        <v>4388</v>
      </c>
      <c r="D2402" s="6" t="s">
        <v>4375</v>
      </c>
      <c r="E2402" s="6" t="s">
        <v>4389</v>
      </c>
      <c r="F2402" s="6" t="s">
        <v>4730</v>
      </c>
      <c r="G2402" s="3" t="s">
        <v>11449</v>
      </c>
      <c r="H2402" s="54">
        <v>0</v>
      </c>
      <c r="I2402" s="55">
        <v>470000000</v>
      </c>
      <c r="J2402" s="56" t="s">
        <v>229</v>
      </c>
      <c r="K2402" s="6" t="s">
        <v>222</v>
      </c>
      <c r="L2402" s="17" t="s">
        <v>11411</v>
      </c>
      <c r="M2402" s="162" t="s">
        <v>230</v>
      </c>
      <c r="N2402" s="15" t="s">
        <v>17491</v>
      </c>
      <c r="O2402" s="6" t="s">
        <v>4568</v>
      </c>
      <c r="P2402" s="58" t="s">
        <v>241</v>
      </c>
      <c r="Q2402" s="6" t="s">
        <v>234</v>
      </c>
      <c r="R2402" s="3">
        <v>30</v>
      </c>
      <c r="S2402" s="1">
        <v>167280.64000000001</v>
      </c>
      <c r="T2402" s="4">
        <v>0</v>
      </c>
      <c r="U2402" s="4">
        <f t="shared" si="70"/>
        <v>0</v>
      </c>
      <c r="V2402" s="166" t="s">
        <v>362</v>
      </c>
      <c r="W2402" s="3">
        <v>2014</v>
      </c>
      <c r="X2402" s="3">
        <v>11</v>
      </c>
    </row>
    <row r="2403" spans="1:24" ht="89.25">
      <c r="A2403" s="3" t="s">
        <v>18458</v>
      </c>
      <c r="B2403" s="6" t="s">
        <v>361</v>
      </c>
      <c r="C2403" s="6" t="s">
        <v>4388</v>
      </c>
      <c r="D2403" s="6" t="s">
        <v>4375</v>
      </c>
      <c r="E2403" s="6" t="s">
        <v>4389</v>
      </c>
      <c r="F2403" s="6" t="s">
        <v>4730</v>
      </c>
      <c r="G2403" s="3" t="s">
        <v>11449</v>
      </c>
      <c r="H2403" s="54">
        <v>0</v>
      </c>
      <c r="I2403" s="55">
        <v>470000000</v>
      </c>
      <c r="J2403" s="56" t="s">
        <v>229</v>
      </c>
      <c r="K2403" s="6" t="s">
        <v>15646</v>
      </c>
      <c r="L2403" s="17" t="s">
        <v>11411</v>
      </c>
      <c r="M2403" s="162" t="s">
        <v>230</v>
      </c>
      <c r="N2403" s="15" t="s">
        <v>17491</v>
      </c>
      <c r="O2403" s="6" t="s">
        <v>4568</v>
      </c>
      <c r="P2403" s="58" t="s">
        <v>241</v>
      </c>
      <c r="Q2403" s="6" t="s">
        <v>234</v>
      </c>
      <c r="R2403" s="3">
        <v>30</v>
      </c>
      <c r="S2403" s="1">
        <v>167280.64000000001</v>
      </c>
      <c r="T2403" s="4">
        <v>0</v>
      </c>
      <c r="U2403" s="4">
        <f t="shared" si="70"/>
        <v>0</v>
      </c>
      <c r="V2403" s="166" t="s">
        <v>362</v>
      </c>
      <c r="W2403" s="3">
        <v>2014</v>
      </c>
      <c r="X2403" s="3" t="s">
        <v>19377</v>
      </c>
    </row>
    <row r="2404" spans="1:24" ht="76.5">
      <c r="A2404" s="3" t="s">
        <v>19374</v>
      </c>
      <c r="B2404" s="6" t="s">
        <v>361</v>
      </c>
      <c r="C2404" s="6" t="s">
        <v>4388</v>
      </c>
      <c r="D2404" s="6" t="s">
        <v>4375</v>
      </c>
      <c r="E2404" s="6" t="s">
        <v>4389</v>
      </c>
      <c r="F2404" s="6" t="s">
        <v>4730</v>
      </c>
      <c r="G2404" s="3" t="s">
        <v>11449</v>
      </c>
      <c r="H2404" s="54">
        <v>0</v>
      </c>
      <c r="I2404" s="55">
        <v>470000000</v>
      </c>
      <c r="J2404" s="56" t="s">
        <v>229</v>
      </c>
      <c r="K2404" s="6" t="s">
        <v>18437</v>
      </c>
      <c r="L2404" s="17" t="s">
        <v>11411</v>
      </c>
      <c r="M2404" s="162" t="s">
        <v>230</v>
      </c>
      <c r="N2404" s="15" t="s">
        <v>17491</v>
      </c>
      <c r="O2404" s="6" t="s">
        <v>19407</v>
      </c>
      <c r="P2404" s="58" t="s">
        <v>241</v>
      </c>
      <c r="Q2404" s="6" t="s">
        <v>234</v>
      </c>
      <c r="R2404" s="3">
        <v>30</v>
      </c>
      <c r="S2404" s="1">
        <v>167280.64000000001</v>
      </c>
      <c r="T2404" s="4">
        <f>R2404*S2404</f>
        <v>5018419.2000000002</v>
      </c>
      <c r="U2404" s="4">
        <f t="shared" si="70"/>
        <v>5620629.5040000007</v>
      </c>
      <c r="V2404" s="166"/>
      <c r="W2404" s="3">
        <v>2014</v>
      </c>
      <c r="X2404" s="3"/>
    </row>
    <row r="2405" spans="1:24" ht="89.25">
      <c r="A2405" s="3" t="s">
        <v>1435</v>
      </c>
      <c r="B2405" s="6" t="s">
        <v>361</v>
      </c>
      <c r="C2405" s="42" t="s">
        <v>4390</v>
      </c>
      <c r="D2405" s="6" t="s">
        <v>4391</v>
      </c>
      <c r="E2405" s="6" t="s">
        <v>4392</v>
      </c>
      <c r="F2405" s="6" t="s">
        <v>4731</v>
      </c>
      <c r="G2405" s="3" t="s">
        <v>11450</v>
      </c>
      <c r="H2405" s="54">
        <v>0.5</v>
      </c>
      <c r="I2405" s="16">
        <v>470000000</v>
      </c>
      <c r="J2405" s="56" t="s">
        <v>229</v>
      </c>
      <c r="K2405" s="6" t="s">
        <v>520</v>
      </c>
      <c r="L2405" s="16" t="s">
        <v>4567</v>
      </c>
      <c r="M2405" s="162" t="s">
        <v>230</v>
      </c>
      <c r="N2405" s="15" t="s">
        <v>521</v>
      </c>
      <c r="O2405" s="6" t="s">
        <v>4568</v>
      </c>
      <c r="P2405" s="58" t="s">
        <v>241</v>
      </c>
      <c r="Q2405" s="6" t="s">
        <v>234</v>
      </c>
      <c r="R2405" s="4">
        <v>130</v>
      </c>
      <c r="S2405" s="74">
        <v>55</v>
      </c>
      <c r="T2405" s="4">
        <v>0</v>
      </c>
      <c r="U2405" s="4">
        <f t="shared" si="70"/>
        <v>0</v>
      </c>
      <c r="V2405" s="3" t="s">
        <v>362</v>
      </c>
      <c r="W2405" s="3">
        <v>2014</v>
      </c>
      <c r="X2405" s="3" t="s">
        <v>14015</v>
      </c>
    </row>
    <row r="2406" spans="1:24" ht="89.25">
      <c r="A2406" s="3" t="s">
        <v>12525</v>
      </c>
      <c r="B2406" s="6" t="s">
        <v>361</v>
      </c>
      <c r="C2406" s="42" t="s">
        <v>4390</v>
      </c>
      <c r="D2406" s="6" t="s">
        <v>4391</v>
      </c>
      <c r="E2406" s="6" t="s">
        <v>4392</v>
      </c>
      <c r="F2406" s="6" t="s">
        <v>4731</v>
      </c>
      <c r="G2406" s="3" t="s">
        <v>11449</v>
      </c>
      <c r="H2406" s="54">
        <v>0.5</v>
      </c>
      <c r="I2406" s="16">
        <v>470000000</v>
      </c>
      <c r="J2406" s="56" t="s">
        <v>229</v>
      </c>
      <c r="K2406" s="6" t="s">
        <v>520</v>
      </c>
      <c r="L2406" s="17" t="s">
        <v>11411</v>
      </c>
      <c r="M2406" s="162" t="s">
        <v>230</v>
      </c>
      <c r="N2406" s="15" t="s">
        <v>521</v>
      </c>
      <c r="O2406" s="6" t="s">
        <v>4568</v>
      </c>
      <c r="P2406" s="58" t="s">
        <v>241</v>
      </c>
      <c r="Q2406" s="6" t="s">
        <v>234</v>
      </c>
      <c r="R2406" s="4">
        <v>130</v>
      </c>
      <c r="S2406" s="74">
        <v>55</v>
      </c>
      <c r="T2406" s="4">
        <v>0</v>
      </c>
      <c r="U2406" s="4">
        <f t="shared" si="70"/>
        <v>0</v>
      </c>
      <c r="V2406" s="3"/>
      <c r="W2406" s="3">
        <v>2014</v>
      </c>
      <c r="X2406" s="3">
        <v>11</v>
      </c>
    </row>
    <row r="2407" spans="1:24" ht="89.25">
      <c r="A2407" s="3" t="s">
        <v>15624</v>
      </c>
      <c r="B2407" s="6" t="s">
        <v>361</v>
      </c>
      <c r="C2407" s="42" t="s">
        <v>4390</v>
      </c>
      <c r="D2407" s="6" t="s">
        <v>4391</v>
      </c>
      <c r="E2407" s="6" t="s">
        <v>4392</v>
      </c>
      <c r="F2407" s="6" t="s">
        <v>4731</v>
      </c>
      <c r="G2407" s="3" t="s">
        <v>11449</v>
      </c>
      <c r="H2407" s="54">
        <v>0.5</v>
      </c>
      <c r="I2407" s="16">
        <v>470000000</v>
      </c>
      <c r="J2407" s="56" t="s">
        <v>229</v>
      </c>
      <c r="K2407" s="6" t="s">
        <v>8309</v>
      </c>
      <c r="L2407" s="17" t="s">
        <v>11411</v>
      </c>
      <c r="M2407" s="162" t="s">
        <v>230</v>
      </c>
      <c r="N2407" s="15" t="s">
        <v>521</v>
      </c>
      <c r="O2407" s="6" t="s">
        <v>4568</v>
      </c>
      <c r="P2407" s="58" t="s">
        <v>241</v>
      </c>
      <c r="Q2407" s="6" t="s">
        <v>234</v>
      </c>
      <c r="R2407" s="4">
        <v>0</v>
      </c>
      <c r="S2407" s="74">
        <v>55</v>
      </c>
      <c r="T2407" s="4">
        <f>R2407*S2407</f>
        <v>0</v>
      </c>
      <c r="U2407" s="4">
        <f t="shared" si="70"/>
        <v>0</v>
      </c>
      <c r="V2407" s="3"/>
      <c r="W2407" s="3">
        <v>2014</v>
      </c>
      <c r="X2407" s="3" t="s">
        <v>12076</v>
      </c>
    </row>
    <row r="2408" spans="1:24" ht="89.25">
      <c r="A2408" s="3" t="s">
        <v>1436</v>
      </c>
      <c r="B2408" s="6" t="s">
        <v>361</v>
      </c>
      <c r="C2408" s="42" t="s">
        <v>4393</v>
      </c>
      <c r="D2408" s="6" t="s">
        <v>4391</v>
      </c>
      <c r="E2408" s="6" t="s">
        <v>4394</v>
      </c>
      <c r="F2408" s="6" t="s">
        <v>4732</v>
      </c>
      <c r="G2408" s="3" t="s">
        <v>11450</v>
      </c>
      <c r="H2408" s="54">
        <v>0.5</v>
      </c>
      <c r="I2408" s="55">
        <v>470000000</v>
      </c>
      <c r="J2408" s="56" t="s">
        <v>229</v>
      </c>
      <c r="K2408" s="6" t="s">
        <v>520</v>
      </c>
      <c r="L2408" s="16" t="s">
        <v>4570</v>
      </c>
      <c r="M2408" s="162" t="s">
        <v>230</v>
      </c>
      <c r="N2408" s="15" t="s">
        <v>521</v>
      </c>
      <c r="O2408" s="6" t="s">
        <v>4568</v>
      </c>
      <c r="P2408" s="58" t="s">
        <v>241</v>
      </c>
      <c r="Q2408" s="6" t="s">
        <v>234</v>
      </c>
      <c r="R2408" s="3">
        <v>100</v>
      </c>
      <c r="S2408" s="1">
        <v>150</v>
      </c>
      <c r="T2408" s="4">
        <v>0</v>
      </c>
      <c r="U2408" s="4">
        <f t="shared" si="70"/>
        <v>0</v>
      </c>
      <c r="V2408" s="166" t="s">
        <v>362</v>
      </c>
      <c r="W2408" s="3">
        <v>2014</v>
      </c>
      <c r="X2408" s="3" t="s">
        <v>14015</v>
      </c>
    </row>
    <row r="2409" spans="1:24" ht="89.25">
      <c r="A2409" s="3" t="s">
        <v>12526</v>
      </c>
      <c r="B2409" s="6" t="s">
        <v>361</v>
      </c>
      <c r="C2409" s="42" t="s">
        <v>4393</v>
      </c>
      <c r="D2409" s="6" t="s">
        <v>4391</v>
      </c>
      <c r="E2409" s="6" t="s">
        <v>4394</v>
      </c>
      <c r="F2409" s="6" t="s">
        <v>4732</v>
      </c>
      <c r="G2409" s="3" t="s">
        <v>11449</v>
      </c>
      <c r="H2409" s="54">
        <v>0.5</v>
      </c>
      <c r="I2409" s="55">
        <v>470000000</v>
      </c>
      <c r="J2409" s="56" t="s">
        <v>229</v>
      </c>
      <c r="K2409" s="6" t="s">
        <v>520</v>
      </c>
      <c r="L2409" s="17" t="s">
        <v>11411</v>
      </c>
      <c r="M2409" s="162" t="s">
        <v>230</v>
      </c>
      <c r="N2409" s="15" t="s">
        <v>521</v>
      </c>
      <c r="O2409" s="6" t="s">
        <v>4568</v>
      </c>
      <c r="P2409" s="58" t="s">
        <v>241</v>
      </c>
      <c r="Q2409" s="6" t="s">
        <v>234</v>
      </c>
      <c r="R2409" s="3">
        <v>100</v>
      </c>
      <c r="S2409" s="1">
        <v>150</v>
      </c>
      <c r="T2409" s="4">
        <v>0</v>
      </c>
      <c r="U2409" s="4">
        <f t="shared" si="70"/>
        <v>0</v>
      </c>
      <c r="V2409" s="166"/>
      <c r="W2409" s="3">
        <v>2014</v>
      </c>
      <c r="X2409" s="3">
        <v>11</v>
      </c>
    </row>
    <row r="2410" spans="1:24" ht="89.25">
      <c r="A2410" s="3" t="s">
        <v>15625</v>
      </c>
      <c r="B2410" s="6" t="s">
        <v>361</v>
      </c>
      <c r="C2410" s="42" t="s">
        <v>4393</v>
      </c>
      <c r="D2410" s="6" t="s">
        <v>4391</v>
      </c>
      <c r="E2410" s="6" t="s">
        <v>4394</v>
      </c>
      <c r="F2410" s="6" t="s">
        <v>4732</v>
      </c>
      <c r="G2410" s="3" t="s">
        <v>11449</v>
      </c>
      <c r="H2410" s="54">
        <v>0.5</v>
      </c>
      <c r="I2410" s="55">
        <v>470000000</v>
      </c>
      <c r="J2410" s="56" t="s">
        <v>229</v>
      </c>
      <c r="K2410" s="6" t="s">
        <v>8309</v>
      </c>
      <c r="L2410" s="17" t="s">
        <v>11411</v>
      </c>
      <c r="M2410" s="162" t="s">
        <v>230</v>
      </c>
      <c r="N2410" s="15" t="s">
        <v>521</v>
      </c>
      <c r="O2410" s="6" t="s">
        <v>4568</v>
      </c>
      <c r="P2410" s="58" t="s">
        <v>241</v>
      </c>
      <c r="Q2410" s="6" t="s">
        <v>234</v>
      </c>
      <c r="R2410" s="3">
        <v>0</v>
      </c>
      <c r="S2410" s="1">
        <v>150</v>
      </c>
      <c r="T2410" s="4">
        <f>R2410*S2410</f>
        <v>0</v>
      </c>
      <c r="U2410" s="4">
        <f t="shared" si="70"/>
        <v>0</v>
      </c>
      <c r="V2410" s="166"/>
      <c r="W2410" s="3">
        <v>2014</v>
      </c>
      <c r="X2410" s="3" t="s">
        <v>12076</v>
      </c>
    </row>
    <row r="2411" spans="1:24" ht="89.25">
      <c r="A2411" s="3" t="s">
        <v>1437</v>
      </c>
      <c r="B2411" s="6" t="s">
        <v>361</v>
      </c>
      <c r="C2411" s="42" t="s">
        <v>4395</v>
      </c>
      <c r="D2411" s="42" t="s">
        <v>4396</v>
      </c>
      <c r="E2411" s="42" t="s">
        <v>4397</v>
      </c>
      <c r="F2411" s="6" t="s">
        <v>11760</v>
      </c>
      <c r="G2411" s="3" t="s">
        <v>11450</v>
      </c>
      <c r="H2411" s="54">
        <v>0</v>
      </c>
      <c r="I2411" s="16">
        <v>470000000</v>
      </c>
      <c r="J2411" s="56" t="s">
        <v>229</v>
      </c>
      <c r="K2411" s="6" t="s">
        <v>520</v>
      </c>
      <c r="L2411" s="16" t="s">
        <v>4567</v>
      </c>
      <c r="M2411" s="162" t="s">
        <v>230</v>
      </c>
      <c r="N2411" s="15" t="s">
        <v>521</v>
      </c>
      <c r="O2411" s="6" t="s">
        <v>4568</v>
      </c>
      <c r="P2411" s="58" t="s">
        <v>241</v>
      </c>
      <c r="Q2411" s="6" t="s">
        <v>234</v>
      </c>
      <c r="R2411" s="4">
        <v>100</v>
      </c>
      <c r="S2411" s="74">
        <v>3650</v>
      </c>
      <c r="T2411" s="4">
        <v>0</v>
      </c>
      <c r="U2411" s="4">
        <f t="shared" si="70"/>
        <v>0</v>
      </c>
      <c r="V2411" s="3" t="s">
        <v>362</v>
      </c>
      <c r="W2411" s="3">
        <v>2014</v>
      </c>
      <c r="X2411" s="3" t="s">
        <v>14015</v>
      </c>
    </row>
    <row r="2412" spans="1:24" ht="89.25">
      <c r="A2412" s="3" t="s">
        <v>12527</v>
      </c>
      <c r="B2412" s="6" t="s">
        <v>361</v>
      </c>
      <c r="C2412" s="42" t="s">
        <v>4395</v>
      </c>
      <c r="D2412" s="42" t="s">
        <v>4396</v>
      </c>
      <c r="E2412" s="42" t="s">
        <v>4397</v>
      </c>
      <c r="F2412" s="6" t="s">
        <v>11760</v>
      </c>
      <c r="G2412" s="3" t="s">
        <v>11449</v>
      </c>
      <c r="H2412" s="54">
        <v>0</v>
      </c>
      <c r="I2412" s="16">
        <v>470000000</v>
      </c>
      <c r="J2412" s="56" t="s">
        <v>229</v>
      </c>
      <c r="K2412" s="6" t="s">
        <v>520</v>
      </c>
      <c r="L2412" s="17" t="s">
        <v>11411</v>
      </c>
      <c r="M2412" s="162" t="s">
        <v>230</v>
      </c>
      <c r="N2412" s="15" t="s">
        <v>521</v>
      </c>
      <c r="O2412" s="6" t="s">
        <v>4568</v>
      </c>
      <c r="P2412" s="58" t="s">
        <v>241</v>
      </c>
      <c r="Q2412" s="6" t="s">
        <v>234</v>
      </c>
      <c r="R2412" s="4">
        <v>100</v>
      </c>
      <c r="S2412" s="74">
        <v>3650</v>
      </c>
      <c r="T2412" s="4">
        <v>0</v>
      </c>
      <c r="U2412" s="4">
        <f t="shared" si="70"/>
        <v>0</v>
      </c>
      <c r="V2412" s="3"/>
      <c r="W2412" s="3">
        <v>2014</v>
      </c>
      <c r="X2412" s="3">
        <v>11</v>
      </c>
    </row>
    <row r="2413" spans="1:24" ht="89.25">
      <c r="A2413" s="3" t="s">
        <v>15626</v>
      </c>
      <c r="B2413" s="6" t="s">
        <v>361</v>
      </c>
      <c r="C2413" s="42" t="s">
        <v>4395</v>
      </c>
      <c r="D2413" s="42" t="s">
        <v>4396</v>
      </c>
      <c r="E2413" s="42" t="s">
        <v>4397</v>
      </c>
      <c r="F2413" s="6" t="s">
        <v>11760</v>
      </c>
      <c r="G2413" s="3" t="s">
        <v>11449</v>
      </c>
      <c r="H2413" s="54">
        <v>0</v>
      </c>
      <c r="I2413" s="16">
        <v>470000000</v>
      </c>
      <c r="J2413" s="56" t="s">
        <v>229</v>
      </c>
      <c r="K2413" s="6" t="s">
        <v>8309</v>
      </c>
      <c r="L2413" s="17" t="s">
        <v>11411</v>
      </c>
      <c r="M2413" s="162" t="s">
        <v>230</v>
      </c>
      <c r="N2413" s="15" t="s">
        <v>521</v>
      </c>
      <c r="O2413" s="6" t="s">
        <v>4568</v>
      </c>
      <c r="P2413" s="58" t="s">
        <v>241</v>
      </c>
      <c r="Q2413" s="6" t="s">
        <v>234</v>
      </c>
      <c r="R2413" s="4">
        <v>0</v>
      </c>
      <c r="S2413" s="74">
        <v>3650</v>
      </c>
      <c r="T2413" s="4">
        <f>R2413*S2413</f>
        <v>0</v>
      </c>
      <c r="U2413" s="4">
        <f t="shared" si="70"/>
        <v>0</v>
      </c>
      <c r="V2413" s="3"/>
      <c r="W2413" s="3">
        <v>2014</v>
      </c>
      <c r="X2413" s="3" t="s">
        <v>12076</v>
      </c>
    </row>
    <row r="2414" spans="1:24" ht="89.25">
      <c r="A2414" s="3" t="s">
        <v>1438</v>
      </c>
      <c r="B2414" s="6" t="s">
        <v>361</v>
      </c>
      <c r="C2414" s="42" t="s">
        <v>4398</v>
      </c>
      <c r="D2414" s="42" t="s">
        <v>4396</v>
      </c>
      <c r="E2414" s="42" t="s">
        <v>4399</v>
      </c>
      <c r="F2414" s="6" t="s">
        <v>11761</v>
      </c>
      <c r="G2414" s="3" t="s">
        <v>11450</v>
      </c>
      <c r="H2414" s="54">
        <v>0</v>
      </c>
      <c r="I2414" s="55">
        <v>470000000</v>
      </c>
      <c r="J2414" s="56" t="s">
        <v>229</v>
      </c>
      <c r="K2414" s="6" t="s">
        <v>520</v>
      </c>
      <c r="L2414" s="16" t="s">
        <v>4570</v>
      </c>
      <c r="M2414" s="162" t="s">
        <v>230</v>
      </c>
      <c r="N2414" s="15" t="s">
        <v>521</v>
      </c>
      <c r="O2414" s="6" t="s">
        <v>4568</v>
      </c>
      <c r="P2414" s="58" t="s">
        <v>241</v>
      </c>
      <c r="Q2414" s="6" t="s">
        <v>234</v>
      </c>
      <c r="R2414" s="3">
        <v>55</v>
      </c>
      <c r="S2414" s="1">
        <v>3880</v>
      </c>
      <c r="T2414" s="4">
        <v>0</v>
      </c>
      <c r="U2414" s="4">
        <f t="shared" si="70"/>
        <v>0</v>
      </c>
      <c r="V2414" s="166" t="s">
        <v>362</v>
      </c>
      <c r="W2414" s="3">
        <v>2014</v>
      </c>
      <c r="X2414" s="3" t="s">
        <v>14015</v>
      </c>
    </row>
    <row r="2415" spans="1:24" ht="89.25">
      <c r="A2415" s="3" t="s">
        <v>12528</v>
      </c>
      <c r="B2415" s="6" t="s">
        <v>361</v>
      </c>
      <c r="C2415" s="42" t="s">
        <v>4398</v>
      </c>
      <c r="D2415" s="42" t="s">
        <v>4396</v>
      </c>
      <c r="E2415" s="42" t="s">
        <v>4399</v>
      </c>
      <c r="F2415" s="6" t="s">
        <v>11761</v>
      </c>
      <c r="G2415" s="3" t="s">
        <v>11449</v>
      </c>
      <c r="H2415" s="54">
        <v>0</v>
      </c>
      <c r="I2415" s="55">
        <v>470000000</v>
      </c>
      <c r="J2415" s="56" t="s">
        <v>229</v>
      </c>
      <c r="K2415" s="6" t="s">
        <v>520</v>
      </c>
      <c r="L2415" s="17" t="s">
        <v>11411</v>
      </c>
      <c r="M2415" s="162" t="s">
        <v>230</v>
      </c>
      <c r="N2415" s="15" t="s">
        <v>521</v>
      </c>
      <c r="O2415" s="6" t="s">
        <v>4568</v>
      </c>
      <c r="P2415" s="58" t="s">
        <v>241</v>
      </c>
      <c r="Q2415" s="6" t="s">
        <v>234</v>
      </c>
      <c r="R2415" s="3">
        <v>55</v>
      </c>
      <c r="S2415" s="1">
        <v>3880</v>
      </c>
      <c r="T2415" s="4">
        <v>0</v>
      </c>
      <c r="U2415" s="4">
        <f t="shared" si="70"/>
        <v>0</v>
      </c>
      <c r="V2415" s="166"/>
      <c r="W2415" s="3">
        <v>2014</v>
      </c>
      <c r="X2415" s="3">
        <v>11</v>
      </c>
    </row>
    <row r="2416" spans="1:24" ht="89.25">
      <c r="A2416" s="3" t="s">
        <v>15627</v>
      </c>
      <c r="B2416" s="6" t="s">
        <v>361</v>
      </c>
      <c r="C2416" s="42" t="s">
        <v>4398</v>
      </c>
      <c r="D2416" s="42" t="s">
        <v>4396</v>
      </c>
      <c r="E2416" s="42" t="s">
        <v>4399</v>
      </c>
      <c r="F2416" s="6" t="s">
        <v>11761</v>
      </c>
      <c r="G2416" s="3" t="s">
        <v>11449</v>
      </c>
      <c r="H2416" s="54">
        <v>0</v>
      </c>
      <c r="I2416" s="55">
        <v>470000000</v>
      </c>
      <c r="J2416" s="56" t="s">
        <v>229</v>
      </c>
      <c r="K2416" s="6" t="s">
        <v>8309</v>
      </c>
      <c r="L2416" s="17" t="s">
        <v>11411</v>
      </c>
      <c r="M2416" s="162" t="s">
        <v>230</v>
      </c>
      <c r="N2416" s="15" t="s">
        <v>521</v>
      </c>
      <c r="O2416" s="6" t="s">
        <v>4568</v>
      </c>
      <c r="P2416" s="58" t="s">
        <v>241</v>
      </c>
      <c r="Q2416" s="6" t="s">
        <v>234</v>
      </c>
      <c r="R2416" s="3">
        <v>0</v>
      </c>
      <c r="S2416" s="1">
        <v>3880</v>
      </c>
      <c r="T2416" s="4">
        <f>R2416*S2416</f>
        <v>0</v>
      </c>
      <c r="U2416" s="4">
        <f t="shared" si="70"/>
        <v>0</v>
      </c>
      <c r="V2416" s="166"/>
      <c r="W2416" s="3">
        <v>2014</v>
      </c>
      <c r="X2416" s="3" t="s">
        <v>12076</v>
      </c>
    </row>
    <row r="2417" spans="1:24" ht="89.25">
      <c r="A2417" s="3" t="s">
        <v>1439</v>
      </c>
      <c r="B2417" s="6" t="s">
        <v>361</v>
      </c>
      <c r="C2417" s="42" t="s">
        <v>4400</v>
      </c>
      <c r="D2417" s="42" t="s">
        <v>4401</v>
      </c>
      <c r="E2417" s="42" t="s">
        <v>4402</v>
      </c>
      <c r="F2417" s="6" t="s">
        <v>4733</v>
      </c>
      <c r="G2417" s="3" t="s">
        <v>11450</v>
      </c>
      <c r="H2417" s="54">
        <v>0</v>
      </c>
      <c r="I2417" s="16">
        <v>470000000</v>
      </c>
      <c r="J2417" s="56" t="s">
        <v>229</v>
      </c>
      <c r="K2417" s="6" t="s">
        <v>520</v>
      </c>
      <c r="L2417" s="16" t="s">
        <v>4567</v>
      </c>
      <c r="M2417" s="162" t="s">
        <v>230</v>
      </c>
      <c r="N2417" s="15" t="s">
        <v>521</v>
      </c>
      <c r="O2417" s="6" t="s">
        <v>4568</v>
      </c>
      <c r="P2417" s="58" t="s">
        <v>241</v>
      </c>
      <c r="Q2417" s="6" t="s">
        <v>234</v>
      </c>
      <c r="R2417" s="4">
        <v>165</v>
      </c>
      <c r="S2417" s="74">
        <v>750</v>
      </c>
      <c r="T2417" s="4">
        <v>0</v>
      </c>
      <c r="U2417" s="4">
        <f t="shared" si="70"/>
        <v>0</v>
      </c>
      <c r="V2417" s="3" t="s">
        <v>362</v>
      </c>
      <c r="W2417" s="3">
        <v>2014</v>
      </c>
      <c r="X2417" s="3" t="s">
        <v>14015</v>
      </c>
    </row>
    <row r="2418" spans="1:24" ht="89.25">
      <c r="A2418" s="3" t="s">
        <v>12529</v>
      </c>
      <c r="B2418" s="6" t="s">
        <v>361</v>
      </c>
      <c r="C2418" s="42" t="s">
        <v>4400</v>
      </c>
      <c r="D2418" s="42" t="s">
        <v>4401</v>
      </c>
      <c r="E2418" s="42" t="s">
        <v>4402</v>
      </c>
      <c r="F2418" s="6" t="s">
        <v>4733</v>
      </c>
      <c r="G2418" s="3" t="s">
        <v>11449</v>
      </c>
      <c r="H2418" s="54">
        <v>0</v>
      </c>
      <c r="I2418" s="16">
        <v>470000000</v>
      </c>
      <c r="J2418" s="56" t="s">
        <v>229</v>
      </c>
      <c r="K2418" s="6" t="s">
        <v>520</v>
      </c>
      <c r="L2418" s="17" t="s">
        <v>11411</v>
      </c>
      <c r="M2418" s="162" t="s">
        <v>230</v>
      </c>
      <c r="N2418" s="15" t="s">
        <v>521</v>
      </c>
      <c r="O2418" s="6" t="s">
        <v>4568</v>
      </c>
      <c r="P2418" s="58" t="s">
        <v>241</v>
      </c>
      <c r="Q2418" s="6" t="s">
        <v>234</v>
      </c>
      <c r="R2418" s="4">
        <v>165</v>
      </c>
      <c r="S2418" s="74">
        <v>750</v>
      </c>
      <c r="T2418" s="4">
        <v>0</v>
      </c>
      <c r="U2418" s="4">
        <f t="shared" si="70"/>
        <v>0</v>
      </c>
      <c r="V2418" s="3"/>
      <c r="W2418" s="3">
        <v>2014</v>
      </c>
      <c r="X2418" s="3">
        <v>11</v>
      </c>
    </row>
    <row r="2419" spans="1:24" ht="89.25">
      <c r="A2419" s="3" t="s">
        <v>15628</v>
      </c>
      <c r="B2419" s="6" t="s">
        <v>361</v>
      </c>
      <c r="C2419" s="42" t="s">
        <v>4400</v>
      </c>
      <c r="D2419" s="42" t="s">
        <v>4401</v>
      </c>
      <c r="E2419" s="42" t="s">
        <v>4402</v>
      </c>
      <c r="F2419" s="6" t="s">
        <v>4733</v>
      </c>
      <c r="G2419" s="3" t="s">
        <v>11449</v>
      </c>
      <c r="H2419" s="54">
        <v>0</v>
      </c>
      <c r="I2419" s="16">
        <v>470000000</v>
      </c>
      <c r="J2419" s="56" t="s">
        <v>229</v>
      </c>
      <c r="K2419" s="6" t="s">
        <v>8309</v>
      </c>
      <c r="L2419" s="17" t="s">
        <v>11411</v>
      </c>
      <c r="M2419" s="162" t="s">
        <v>230</v>
      </c>
      <c r="N2419" s="15" t="s">
        <v>521</v>
      </c>
      <c r="O2419" s="6" t="s">
        <v>4568</v>
      </c>
      <c r="P2419" s="58" t="s">
        <v>241</v>
      </c>
      <c r="Q2419" s="6" t="s">
        <v>234</v>
      </c>
      <c r="R2419" s="4">
        <v>0</v>
      </c>
      <c r="S2419" s="74">
        <v>750</v>
      </c>
      <c r="T2419" s="4">
        <f>R2419*S2419</f>
        <v>0</v>
      </c>
      <c r="U2419" s="4">
        <f t="shared" si="70"/>
        <v>0</v>
      </c>
      <c r="V2419" s="3"/>
      <c r="W2419" s="3">
        <v>2014</v>
      </c>
      <c r="X2419" s="3" t="s">
        <v>12076</v>
      </c>
    </row>
    <row r="2420" spans="1:24" ht="89.25">
      <c r="A2420" s="3" t="s">
        <v>1440</v>
      </c>
      <c r="B2420" s="6" t="s">
        <v>361</v>
      </c>
      <c r="C2420" s="42" t="s">
        <v>4403</v>
      </c>
      <c r="D2420" s="6" t="s">
        <v>4391</v>
      </c>
      <c r="E2420" s="173" t="s">
        <v>4404</v>
      </c>
      <c r="F2420" s="6" t="s">
        <v>4734</v>
      </c>
      <c r="G2420" s="3" t="s">
        <v>11450</v>
      </c>
      <c r="H2420" s="54">
        <v>0</v>
      </c>
      <c r="I2420" s="55">
        <v>470000000</v>
      </c>
      <c r="J2420" s="56" t="s">
        <v>229</v>
      </c>
      <c r="K2420" s="6" t="s">
        <v>520</v>
      </c>
      <c r="L2420" s="16" t="s">
        <v>4570</v>
      </c>
      <c r="M2420" s="162" t="s">
        <v>230</v>
      </c>
      <c r="N2420" s="15" t="s">
        <v>521</v>
      </c>
      <c r="O2420" s="6" t="s">
        <v>4568</v>
      </c>
      <c r="P2420" s="58" t="s">
        <v>241</v>
      </c>
      <c r="Q2420" s="6" t="s">
        <v>234</v>
      </c>
      <c r="R2420" s="3">
        <v>100</v>
      </c>
      <c r="S2420" s="1">
        <v>50</v>
      </c>
      <c r="T2420" s="4">
        <v>0</v>
      </c>
      <c r="U2420" s="4">
        <f t="shared" si="70"/>
        <v>0</v>
      </c>
      <c r="V2420" s="166" t="s">
        <v>362</v>
      </c>
      <c r="W2420" s="3">
        <v>2014</v>
      </c>
      <c r="X2420" s="3" t="s">
        <v>14015</v>
      </c>
    </row>
    <row r="2421" spans="1:24" ht="89.25">
      <c r="A2421" s="3" t="s">
        <v>12530</v>
      </c>
      <c r="B2421" s="6" t="s">
        <v>361</v>
      </c>
      <c r="C2421" s="42" t="s">
        <v>4403</v>
      </c>
      <c r="D2421" s="6" t="s">
        <v>4391</v>
      </c>
      <c r="E2421" s="173" t="s">
        <v>4404</v>
      </c>
      <c r="F2421" s="6" t="s">
        <v>4734</v>
      </c>
      <c r="G2421" s="3" t="s">
        <v>11449</v>
      </c>
      <c r="H2421" s="54">
        <v>0</v>
      </c>
      <c r="I2421" s="55">
        <v>470000000</v>
      </c>
      <c r="J2421" s="56" t="s">
        <v>229</v>
      </c>
      <c r="K2421" s="6" t="s">
        <v>520</v>
      </c>
      <c r="L2421" s="17" t="s">
        <v>11411</v>
      </c>
      <c r="M2421" s="162" t="s">
        <v>230</v>
      </c>
      <c r="N2421" s="15" t="s">
        <v>521</v>
      </c>
      <c r="O2421" s="6" t="s">
        <v>4568</v>
      </c>
      <c r="P2421" s="58" t="s">
        <v>241</v>
      </c>
      <c r="Q2421" s="6" t="s">
        <v>234</v>
      </c>
      <c r="R2421" s="3">
        <v>100</v>
      </c>
      <c r="S2421" s="1">
        <v>50</v>
      </c>
      <c r="T2421" s="4">
        <v>0</v>
      </c>
      <c r="U2421" s="4">
        <f t="shared" si="70"/>
        <v>0</v>
      </c>
      <c r="V2421" s="166"/>
      <c r="W2421" s="3">
        <v>2014</v>
      </c>
      <c r="X2421" s="3">
        <v>11</v>
      </c>
    </row>
    <row r="2422" spans="1:24" ht="89.25">
      <c r="A2422" s="3" t="s">
        <v>15629</v>
      </c>
      <c r="B2422" s="6" t="s">
        <v>361</v>
      </c>
      <c r="C2422" s="42" t="s">
        <v>4403</v>
      </c>
      <c r="D2422" s="6" t="s">
        <v>4391</v>
      </c>
      <c r="E2422" s="173" t="s">
        <v>4404</v>
      </c>
      <c r="F2422" s="6" t="s">
        <v>4734</v>
      </c>
      <c r="G2422" s="3" t="s">
        <v>11449</v>
      </c>
      <c r="H2422" s="54">
        <v>0</v>
      </c>
      <c r="I2422" s="55">
        <v>470000000</v>
      </c>
      <c r="J2422" s="56" t="s">
        <v>229</v>
      </c>
      <c r="K2422" s="6" t="s">
        <v>8309</v>
      </c>
      <c r="L2422" s="17" t="s">
        <v>11411</v>
      </c>
      <c r="M2422" s="162" t="s">
        <v>230</v>
      </c>
      <c r="N2422" s="15" t="s">
        <v>521</v>
      </c>
      <c r="O2422" s="6" t="s">
        <v>4568</v>
      </c>
      <c r="P2422" s="58" t="s">
        <v>241</v>
      </c>
      <c r="Q2422" s="6" t="s">
        <v>234</v>
      </c>
      <c r="R2422" s="3">
        <v>100</v>
      </c>
      <c r="S2422" s="1">
        <v>50</v>
      </c>
      <c r="T2422" s="4">
        <v>0</v>
      </c>
      <c r="U2422" s="4">
        <f t="shared" si="70"/>
        <v>0</v>
      </c>
      <c r="V2422" s="166"/>
      <c r="W2422" s="3">
        <v>2014</v>
      </c>
      <c r="X2422" s="3">
        <v>14</v>
      </c>
    </row>
    <row r="2423" spans="1:24" ht="89.25">
      <c r="A2423" s="3" t="s">
        <v>17589</v>
      </c>
      <c r="B2423" s="6" t="s">
        <v>361</v>
      </c>
      <c r="C2423" s="42" t="s">
        <v>4403</v>
      </c>
      <c r="D2423" s="6" t="s">
        <v>4391</v>
      </c>
      <c r="E2423" s="173" t="s">
        <v>4404</v>
      </c>
      <c r="F2423" s="6" t="s">
        <v>4734</v>
      </c>
      <c r="G2423" s="3" t="s">
        <v>11449</v>
      </c>
      <c r="H2423" s="54">
        <v>0</v>
      </c>
      <c r="I2423" s="55">
        <v>470000000</v>
      </c>
      <c r="J2423" s="56" t="s">
        <v>229</v>
      </c>
      <c r="K2423" s="6" t="s">
        <v>8309</v>
      </c>
      <c r="L2423" s="17" t="s">
        <v>11411</v>
      </c>
      <c r="M2423" s="162" t="s">
        <v>230</v>
      </c>
      <c r="N2423" s="15" t="s">
        <v>17491</v>
      </c>
      <c r="O2423" s="6" t="s">
        <v>4568</v>
      </c>
      <c r="P2423" s="58" t="s">
        <v>241</v>
      </c>
      <c r="Q2423" s="6" t="s">
        <v>234</v>
      </c>
      <c r="R2423" s="3">
        <v>100</v>
      </c>
      <c r="S2423" s="1">
        <v>50</v>
      </c>
      <c r="T2423" s="4">
        <v>0</v>
      </c>
      <c r="U2423" s="4">
        <f t="shared" si="70"/>
        <v>0</v>
      </c>
      <c r="V2423" s="166"/>
      <c r="W2423" s="3">
        <v>2014</v>
      </c>
      <c r="X2423" s="3" t="s">
        <v>12076</v>
      </c>
    </row>
    <row r="2424" spans="1:24" ht="89.25">
      <c r="A2424" s="3" t="s">
        <v>1441</v>
      </c>
      <c r="B2424" s="6" t="s">
        <v>361</v>
      </c>
      <c r="C2424" s="42" t="s">
        <v>4405</v>
      </c>
      <c r="D2424" s="42" t="s">
        <v>4406</v>
      </c>
      <c r="E2424" s="42" t="s">
        <v>4407</v>
      </c>
      <c r="F2424" s="6" t="s">
        <v>4735</v>
      </c>
      <c r="G2424" s="3" t="s">
        <v>11450</v>
      </c>
      <c r="H2424" s="54">
        <v>0</v>
      </c>
      <c r="I2424" s="16">
        <v>470000000</v>
      </c>
      <c r="J2424" s="56" t="s">
        <v>229</v>
      </c>
      <c r="K2424" s="6" t="s">
        <v>520</v>
      </c>
      <c r="L2424" s="16" t="s">
        <v>4567</v>
      </c>
      <c r="M2424" s="162" t="s">
        <v>230</v>
      </c>
      <c r="N2424" s="15" t="s">
        <v>521</v>
      </c>
      <c r="O2424" s="6" t="s">
        <v>4568</v>
      </c>
      <c r="P2424" s="58" t="s">
        <v>241</v>
      </c>
      <c r="Q2424" s="6" t="s">
        <v>234</v>
      </c>
      <c r="R2424" s="4">
        <v>2000</v>
      </c>
      <c r="S2424" s="74">
        <v>540</v>
      </c>
      <c r="T2424" s="4">
        <v>0</v>
      </c>
      <c r="U2424" s="4">
        <f t="shared" si="70"/>
        <v>0</v>
      </c>
      <c r="V2424" s="3" t="s">
        <v>362</v>
      </c>
      <c r="W2424" s="3">
        <v>2014</v>
      </c>
      <c r="X2424" s="3" t="s">
        <v>14015</v>
      </c>
    </row>
    <row r="2425" spans="1:24" ht="89.25">
      <c r="A2425" s="3" t="s">
        <v>12531</v>
      </c>
      <c r="B2425" s="6" t="s">
        <v>361</v>
      </c>
      <c r="C2425" s="42" t="s">
        <v>4405</v>
      </c>
      <c r="D2425" s="42" t="s">
        <v>4406</v>
      </c>
      <c r="E2425" s="42" t="s">
        <v>4407</v>
      </c>
      <c r="F2425" s="6" t="s">
        <v>4735</v>
      </c>
      <c r="G2425" s="3" t="s">
        <v>11449</v>
      </c>
      <c r="H2425" s="54">
        <v>0</v>
      </c>
      <c r="I2425" s="16">
        <v>470000000</v>
      </c>
      <c r="J2425" s="56" t="s">
        <v>229</v>
      </c>
      <c r="K2425" s="6" t="s">
        <v>520</v>
      </c>
      <c r="L2425" s="17" t="s">
        <v>11411</v>
      </c>
      <c r="M2425" s="162" t="s">
        <v>230</v>
      </c>
      <c r="N2425" s="15" t="s">
        <v>521</v>
      </c>
      <c r="O2425" s="6" t="s">
        <v>4568</v>
      </c>
      <c r="P2425" s="58" t="s">
        <v>241</v>
      </c>
      <c r="Q2425" s="6" t="s">
        <v>234</v>
      </c>
      <c r="R2425" s="4">
        <v>2000</v>
      </c>
      <c r="S2425" s="74">
        <v>540</v>
      </c>
      <c r="T2425" s="4">
        <v>0</v>
      </c>
      <c r="U2425" s="4">
        <f t="shared" si="70"/>
        <v>0</v>
      </c>
      <c r="V2425" s="3"/>
      <c r="W2425" s="3">
        <v>2014</v>
      </c>
      <c r="X2425" s="3">
        <v>11</v>
      </c>
    </row>
    <row r="2426" spans="1:24" ht="89.25">
      <c r="A2426" s="3" t="s">
        <v>16365</v>
      </c>
      <c r="B2426" s="6" t="s">
        <v>361</v>
      </c>
      <c r="C2426" s="42" t="s">
        <v>4405</v>
      </c>
      <c r="D2426" s="42" t="s">
        <v>4406</v>
      </c>
      <c r="E2426" s="42" t="s">
        <v>4407</v>
      </c>
      <c r="F2426" s="6" t="s">
        <v>4735</v>
      </c>
      <c r="G2426" s="3" t="s">
        <v>11449</v>
      </c>
      <c r="H2426" s="54">
        <v>0</v>
      </c>
      <c r="I2426" s="16">
        <v>470000000</v>
      </c>
      <c r="J2426" s="56" t="s">
        <v>229</v>
      </c>
      <c r="K2426" s="6" t="s">
        <v>8309</v>
      </c>
      <c r="L2426" s="17" t="s">
        <v>11411</v>
      </c>
      <c r="M2426" s="162" t="s">
        <v>230</v>
      </c>
      <c r="N2426" s="15" t="s">
        <v>521</v>
      </c>
      <c r="O2426" s="6" t="s">
        <v>4568</v>
      </c>
      <c r="P2426" s="58" t="s">
        <v>241</v>
      </c>
      <c r="Q2426" s="6" t="s">
        <v>234</v>
      </c>
      <c r="R2426" s="4">
        <v>2000</v>
      </c>
      <c r="S2426" s="74">
        <v>540</v>
      </c>
      <c r="T2426" s="4">
        <v>0</v>
      </c>
      <c r="U2426" s="4">
        <f t="shared" si="70"/>
        <v>0</v>
      </c>
      <c r="V2426" s="3"/>
      <c r="W2426" s="3">
        <v>2014</v>
      </c>
      <c r="X2426" s="3" t="s">
        <v>18204</v>
      </c>
    </row>
    <row r="2427" spans="1:24" ht="89.25">
      <c r="A2427" s="3" t="s">
        <v>17590</v>
      </c>
      <c r="B2427" s="6" t="s">
        <v>361</v>
      </c>
      <c r="C2427" s="42" t="s">
        <v>4405</v>
      </c>
      <c r="D2427" s="42" t="s">
        <v>4406</v>
      </c>
      <c r="E2427" s="42" t="s">
        <v>4407</v>
      </c>
      <c r="F2427" s="6" t="s">
        <v>4735</v>
      </c>
      <c r="G2427" s="3" t="s">
        <v>11449</v>
      </c>
      <c r="H2427" s="54">
        <v>0</v>
      </c>
      <c r="I2427" s="16">
        <v>470000000</v>
      </c>
      <c r="J2427" s="56" t="s">
        <v>229</v>
      </c>
      <c r="K2427" s="6" t="s">
        <v>8309</v>
      </c>
      <c r="L2427" s="17" t="s">
        <v>11411</v>
      </c>
      <c r="M2427" s="162" t="s">
        <v>230</v>
      </c>
      <c r="N2427" s="15" t="s">
        <v>17491</v>
      </c>
      <c r="O2427" s="6" t="s">
        <v>4568</v>
      </c>
      <c r="P2427" s="58" t="s">
        <v>241</v>
      </c>
      <c r="Q2427" s="6" t="s">
        <v>234</v>
      </c>
      <c r="R2427" s="4">
        <v>500</v>
      </c>
      <c r="S2427" s="74">
        <v>540</v>
      </c>
      <c r="T2427" s="4">
        <v>0</v>
      </c>
      <c r="U2427" s="4">
        <f t="shared" si="70"/>
        <v>0</v>
      </c>
      <c r="V2427" s="3"/>
      <c r="W2427" s="3">
        <v>2014</v>
      </c>
      <c r="X2427" s="3" t="s">
        <v>12076</v>
      </c>
    </row>
    <row r="2428" spans="1:24" ht="89.25">
      <c r="A2428" s="3" t="s">
        <v>1442</v>
      </c>
      <c r="B2428" s="6" t="s">
        <v>361</v>
      </c>
      <c r="C2428" s="42" t="s">
        <v>4408</v>
      </c>
      <c r="D2428" s="42" t="s">
        <v>4409</v>
      </c>
      <c r="E2428" s="42" t="s">
        <v>4410</v>
      </c>
      <c r="F2428" s="6" t="s">
        <v>4736</v>
      </c>
      <c r="G2428" s="3" t="s">
        <v>11450</v>
      </c>
      <c r="H2428" s="54">
        <v>0</v>
      </c>
      <c r="I2428" s="55">
        <v>470000000</v>
      </c>
      <c r="J2428" s="56" t="s">
        <v>229</v>
      </c>
      <c r="K2428" s="6" t="s">
        <v>520</v>
      </c>
      <c r="L2428" s="16" t="s">
        <v>4570</v>
      </c>
      <c r="M2428" s="162" t="s">
        <v>230</v>
      </c>
      <c r="N2428" s="15" t="s">
        <v>521</v>
      </c>
      <c r="O2428" s="6" t="s">
        <v>4568</v>
      </c>
      <c r="P2428" s="58" t="s">
        <v>241</v>
      </c>
      <c r="Q2428" s="6" t="s">
        <v>234</v>
      </c>
      <c r="R2428" s="3">
        <v>500</v>
      </c>
      <c r="S2428" s="1">
        <v>3920</v>
      </c>
      <c r="T2428" s="4">
        <v>0</v>
      </c>
      <c r="U2428" s="4">
        <f t="shared" si="70"/>
        <v>0</v>
      </c>
      <c r="V2428" s="166" t="s">
        <v>362</v>
      </c>
      <c r="W2428" s="3">
        <v>2014</v>
      </c>
      <c r="X2428" s="3" t="s">
        <v>14015</v>
      </c>
    </row>
    <row r="2429" spans="1:24" ht="89.25">
      <c r="A2429" s="3" t="s">
        <v>12532</v>
      </c>
      <c r="B2429" s="6" t="s">
        <v>361</v>
      </c>
      <c r="C2429" s="42" t="s">
        <v>4408</v>
      </c>
      <c r="D2429" s="42" t="s">
        <v>4409</v>
      </c>
      <c r="E2429" s="42" t="s">
        <v>4410</v>
      </c>
      <c r="F2429" s="6" t="s">
        <v>4736</v>
      </c>
      <c r="G2429" s="3" t="s">
        <v>11449</v>
      </c>
      <c r="H2429" s="54">
        <v>0</v>
      </c>
      <c r="I2429" s="55">
        <v>470000000</v>
      </c>
      <c r="J2429" s="56" t="s">
        <v>229</v>
      </c>
      <c r="K2429" s="6" t="s">
        <v>520</v>
      </c>
      <c r="L2429" s="17" t="s">
        <v>11411</v>
      </c>
      <c r="M2429" s="162" t="s">
        <v>230</v>
      </c>
      <c r="N2429" s="15" t="s">
        <v>521</v>
      </c>
      <c r="O2429" s="6" t="s">
        <v>4568</v>
      </c>
      <c r="P2429" s="58" t="s">
        <v>241</v>
      </c>
      <c r="Q2429" s="6" t="s">
        <v>234</v>
      </c>
      <c r="R2429" s="3">
        <v>500</v>
      </c>
      <c r="S2429" s="1">
        <v>3920</v>
      </c>
      <c r="T2429" s="4">
        <v>0</v>
      </c>
      <c r="U2429" s="4">
        <f t="shared" si="70"/>
        <v>0</v>
      </c>
      <c r="V2429" s="166"/>
      <c r="W2429" s="3">
        <v>2014</v>
      </c>
      <c r="X2429" s="3">
        <v>11</v>
      </c>
    </row>
    <row r="2430" spans="1:24" ht="89.25">
      <c r="A2430" s="3" t="s">
        <v>15630</v>
      </c>
      <c r="B2430" s="6" t="s">
        <v>361</v>
      </c>
      <c r="C2430" s="42" t="s">
        <v>4408</v>
      </c>
      <c r="D2430" s="42" t="s">
        <v>4409</v>
      </c>
      <c r="E2430" s="42" t="s">
        <v>4410</v>
      </c>
      <c r="F2430" s="6" t="s">
        <v>4736</v>
      </c>
      <c r="G2430" s="3" t="s">
        <v>11449</v>
      </c>
      <c r="H2430" s="54">
        <v>0</v>
      </c>
      <c r="I2430" s="55">
        <v>470000000</v>
      </c>
      <c r="J2430" s="56" t="s">
        <v>229</v>
      </c>
      <c r="K2430" s="6" t="s">
        <v>8309</v>
      </c>
      <c r="L2430" s="17" t="s">
        <v>11411</v>
      </c>
      <c r="M2430" s="162" t="s">
        <v>230</v>
      </c>
      <c r="N2430" s="15" t="s">
        <v>521</v>
      </c>
      <c r="O2430" s="6" t="s">
        <v>4568</v>
      </c>
      <c r="P2430" s="58" t="s">
        <v>241</v>
      </c>
      <c r="Q2430" s="6" t="s">
        <v>234</v>
      </c>
      <c r="R2430" s="3">
        <v>500</v>
      </c>
      <c r="S2430" s="1">
        <v>3920</v>
      </c>
      <c r="T2430" s="4">
        <v>0</v>
      </c>
      <c r="U2430" s="4">
        <f t="shared" si="70"/>
        <v>0</v>
      </c>
      <c r="V2430" s="166"/>
      <c r="W2430" s="3">
        <v>2014</v>
      </c>
      <c r="X2430" s="3">
        <v>14</v>
      </c>
    </row>
    <row r="2431" spans="1:24" ht="89.25">
      <c r="A2431" s="3" t="s">
        <v>17591</v>
      </c>
      <c r="B2431" s="6" t="s">
        <v>361</v>
      </c>
      <c r="C2431" s="42" t="s">
        <v>4408</v>
      </c>
      <c r="D2431" s="42" t="s">
        <v>4409</v>
      </c>
      <c r="E2431" s="42" t="s">
        <v>4410</v>
      </c>
      <c r="F2431" s="6" t="s">
        <v>4736</v>
      </c>
      <c r="G2431" s="3" t="s">
        <v>11449</v>
      </c>
      <c r="H2431" s="54">
        <v>0</v>
      </c>
      <c r="I2431" s="55">
        <v>470000000</v>
      </c>
      <c r="J2431" s="56" t="s">
        <v>229</v>
      </c>
      <c r="K2431" s="6" t="s">
        <v>8309</v>
      </c>
      <c r="L2431" s="17" t="s">
        <v>11411</v>
      </c>
      <c r="M2431" s="162" t="s">
        <v>230</v>
      </c>
      <c r="N2431" s="15" t="s">
        <v>17491</v>
      </c>
      <c r="O2431" s="6" t="s">
        <v>4568</v>
      </c>
      <c r="P2431" s="58" t="s">
        <v>241</v>
      </c>
      <c r="Q2431" s="6" t="s">
        <v>234</v>
      </c>
      <c r="R2431" s="3">
        <v>500</v>
      </c>
      <c r="S2431" s="1">
        <v>3920</v>
      </c>
      <c r="T2431" s="4">
        <v>0</v>
      </c>
      <c r="U2431" s="4">
        <f t="shared" si="70"/>
        <v>0</v>
      </c>
      <c r="V2431" s="166"/>
      <c r="W2431" s="3">
        <v>2014</v>
      </c>
      <c r="X2431" s="3" t="s">
        <v>12076</v>
      </c>
    </row>
    <row r="2432" spans="1:24" ht="89.25">
      <c r="A2432" s="3" t="s">
        <v>1443</v>
      </c>
      <c r="B2432" s="6" t="s">
        <v>361</v>
      </c>
      <c r="C2432" s="42" t="s">
        <v>4411</v>
      </c>
      <c r="D2432" s="42" t="s">
        <v>4409</v>
      </c>
      <c r="E2432" s="42" t="s">
        <v>4412</v>
      </c>
      <c r="F2432" s="6" t="s">
        <v>4737</v>
      </c>
      <c r="G2432" s="3" t="s">
        <v>11450</v>
      </c>
      <c r="H2432" s="54">
        <v>0</v>
      </c>
      <c r="I2432" s="16">
        <v>470000000</v>
      </c>
      <c r="J2432" s="56" t="s">
        <v>229</v>
      </c>
      <c r="K2432" s="6" t="s">
        <v>4738</v>
      </c>
      <c r="L2432" s="16" t="s">
        <v>4567</v>
      </c>
      <c r="M2432" s="162" t="s">
        <v>230</v>
      </c>
      <c r="N2432" s="15" t="s">
        <v>521</v>
      </c>
      <c r="O2432" s="6" t="s">
        <v>4568</v>
      </c>
      <c r="P2432" s="58" t="s">
        <v>241</v>
      </c>
      <c r="Q2432" s="6" t="s">
        <v>234</v>
      </c>
      <c r="R2432" s="4">
        <v>500</v>
      </c>
      <c r="S2432" s="74">
        <v>6100</v>
      </c>
      <c r="T2432" s="4">
        <v>0</v>
      </c>
      <c r="U2432" s="4">
        <f t="shared" si="70"/>
        <v>0</v>
      </c>
      <c r="V2432" s="3" t="s">
        <v>362</v>
      </c>
      <c r="W2432" s="3">
        <v>2014</v>
      </c>
      <c r="X2432" s="3" t="s">
        <v>14015</v>
      </c>
    </row>
    <row r="2433" spans="1:24" ht="89.25">
      <c r="A2433" s="3" t="s">
        <v>12533</v>
      </c>
      <c r="B2433" s="6" t="s">
        <v>361</v>
      </c>
      <c r="C2433" s="42" t="s">
        <v>4411</v>
      </c>
      <c r="D2433" s="42" t="s">
        <v>4409</v>
      </c>
      <c r="E2433" s="42" t="s">
        <v>4412</v>
      </c>
      <c r="F2433" s="6" t="s">
        <v>4737</v>
      </c>
      <c r="G2433" s="3" t="s">
        <v>11449</v>
      </c>
      <c r="H2433" s="54">
        <v>0</v>
      </c>
      <c r="I2433" s="16">
        <v>470000000</v>
      </c>
      <c r="J2433" s="56" t="s">
        <v>229</v>
      </c>
      <c r="K2433" s="6" t="s">
        <v>4738</v>
      </c>
      <c r="L2433" s="17" t="s">
        <v>11411</v>
      </c>
      <c r="M2433" s="162" t="s">
        <v>230</v>
      </c>
      <c r="N2433" s="15" t="s">
        <v>521</v>
      </c>
      <c r="O2433" s="6" t="s">
        <v>4568</v>
      </c>
      <c r="P2433" s="58" t="s">
        <v>241</v>
      </c>
      <c r="Q2433" s="6" t="s">
        <v>234</v>
      </c>
      <c r="R2433" s="4">
        <v>500</v>
      </c>
      <c r="S2433" s="74">
        <v>6100</v>
      </c>
      <c r="T2433" s="4">
        <v>0</v>
      </c>
      <c r="U2433" s="4">
        <f t="shared" si="70"/>
        <v>0</v>
      </c>
      <c r="V2433" s="3"/>
      <c r="W2433" s="3">
        <v>2014</v>
      </c>
      <c r="X2433" s="3">
        <v>11</v>
      </c>
    </row>
    <row r="2434" spans="1:24" ht="89.25">
      <c r="A2434" s="3" t="s">
        <v>15631</v>
      </c>
      <c r="B2434" s="6" t="s">
        <v>361</v>
      </c>
      <c r="C2434" s="42" t="s">
        <v>4411</v>
      </c>
      <c r="D2434" s="42" t="s">
        <v>4409</v>
      </c>
      <c r="E2434" s="42" t="s">
        <v>4412</v>
      </c>
      <c r="F2434" s="6" t="s">
        <v>4737</v>
      </c>
      <c r="G2434" s="3" t="s">
        <v>11449</v>
      </c>
      <c r="H2434" s="54">
        <v>0</v>
      </c>
      <c r="I2434" s="16">
        <v>470000000</v>
      </c>
      <c r="J2434" s="56" t="s">
        <v>229</v>
      </c>
      <c r="K2434" s="6" t="s">
        <v>8309</v>
      </c>
      <c r="L2434" s="17" t="s">
        <v>11411</v>
      </c>
      <c r="M2434" s="162" t="s">
        <v>230</v>
      </c>
      <c r="N2434" s="15" t="s">
        <v>521</v>
      </c>
      <c r="O2434" s="6" t="s">
        <v>4568</v>
      </c>
      <c r="P2434" s="58" t="s">
        <v>241</v>
      </c>
      <c r="Q2434" s="6" t="s">
        <v>234</v>
      </c>
      <c r="R2434" s="4">
        <v>500</v>
      </c>
      <c r="S2434" s="74">
        <v>6100</v>
      </c>
      <c r="T2434" s="4">
        <v>0</v>
      </c>
      <c r="U2434" s="4">
        <f t="shared" si="70"/>
        <v>0</v>
      </c>
      <c r="V2434" s="3"/>
      <c r="W2434" s="3">
        <v>2014</v>
      </c>
      <c r="X2434" s="3">
        <v>14</v>
      </c>
    </row>
    <row r="2435" spans="1:24" ht="89.25">
      <c r="A2435" s="3" t="s">
        <v>17592</v>
      </c>
      <c r="B2435" s="6" t="s">
        <v>361</v>
      </c>
      <c r="C2435" s="42" t="s">
        <v>4411</v>
      </c>
      <c r="D2435" s="42" t="s">
        <v>4409</v>
      </c>
      <c r="E2435" s="42" t="s">
        <v>4412</v>
      </c>
      <c r="F2435" s="6" t="s">
        <v>4737</v>
      </c>
      <c r="G2435" s="3" t="s">
        <v>11449</v>
      </c>
      <c r="H2435" s="54">
        <v>0</v>
      </c>
      <c r="I2435" s="16">
        <v>470000000</v>
      </c>
      <c r="J2435" s="56" t="s">
        <v>229</v>
      </c>
      <c r="K2435" s="6" t="s">
        <v>8309</v>
      </c>
      <c r="L2435" s="17" t="s">
        <v>11411</v>
      </c>
      <c r="M2435" s="162" t="s">
        <v>230</v>
      </c>
      <c r="N2435" s="15" t="s">
        <v>17491</v>
      </c>
      <c r="O2435" s="6" t="s">
        <v>4568</v>
      </c>
      <c r="P2435" s="58" t="s">
        <v>241</v>
      </c>
      <c r="Q2435" s="6" t="s">
        <v>234</v>
      </c>
      <c r="R2435" s="4">
        <v>500</v>
      </c>
      <c r="S2435" s="74">
        <v>6100</v>
      </c>
      <c r="T2435" s="4">
        <v>0</v>
      </c>
      <c r="U2435" s="4">
        <f t="shared" si="70"/>
        <v>0</v>
      </c>
      <c r="V2435" s="3"/>
      <c r="W2435" s="3">
        <v>2014</v>
      </c>
      <c r="X2435" s="3" t="s">
        <v>12076</v>
      </c>
    </row>
    <row r="2436" spans="1:24" ht="89.25">
      <c r="A2436" s="3" t="s">
        <v>1444</v>
      </c>
      <c r="B2436" s="6" t="s">
        <v>361</v>
      </c>
      <c r="C2436" s="42" t="s">
        <v>4413</v>
      </c>
      <c r="D2436" s="42" t="s">
        <v>4409</v>
      </c>
      <c r="E2436" s="42" t="s">
        <v>4414</v>
      </c>
      <c r="F2436" s="6" t="s">
        <v>4739</v>
      </c>
      <c r="G2436" s="3" t="s">
        <v>11450</v>
      </c>
      <c r="H2436" s="54">
        <v>0</v>
      </c>
      <c r="I2436" s="55">
        <v>470000000</v>
      </c>
      <c r="J2436" s="56" t="s">
        <v>229</v>
      </c>
      <c r="K2436" s="6" t="s">
        <v>520</v>
      </c>
      <c r="L2436" s="16" t="s">
        <v>4570</v>
      </c>
      <c r="M2436" s="162" t="s">
        <v>230</v>
      </c>
      <c r="N2436" s="15" t="s">
        <v>521</v>
      </c>
      <c r="O2436" s="6" t="s">
        <v>4568</v>
      </c>
      <c r="P2436" s="58" t="s">
        <v>241</v>
      </c>
      <c r="Q2436" s="6" t="s">
        <v>234</v>
      </c>
      <c r="R2436" s="3">
        <v>1000</v>
      </c>
      <c r="S2436" s="1">
        <v>1675</v>
      </c>
      <c r="T2436" s="4">
        <v>0</v>
      </c>
      <c r="U2436" s="4">
        <f t="shared" si="70"/>
        <v>0</v>
      </c>
      <c r="V2436" s="166" t="s">
        <v>362</v>
      </c>
      <c r="W2436" s="3">
        <v>2014</v>
      </c>
      <c r="X2436" s="3" t="s">
        <v>14015</v>
      </c>
    </row>
    <row r="2437" spans="1:24" ht="89.25">
      <c r="A2437" s="3" t="s">
        <v>12534</v>
      </c>
      <c r="B2437" s="6" t="s">
        <v>361</v>
      </c>
      <c r="C2437" s="42" t="s">
        <v>4413</v>
      </c>
      <c r="D2437" s="42" t="s">
        <v>4409</v>
      </c>
      <c r="E2437" s="42" t="s">
        <v>4414</v>
      </c>
      <c r="F2437" s="6" t="s">
        <v>4739</v>
      </c>
      <c r="G2437" s="3" t="s">
        <v>11449</v>
      </c>
      <c r="H2437" s="54">
        <v>0</v>
      </c>
      <c r="I2437" s="55">
        <v>470000000</v>
      </c>
      <c r="J2437" s="56" t="s">
        <v>229</v>
      </c>
      <c r="K2437" s="6" t="s">
        <v>520</v>
      </c>
      <c r="L2437" s="17" t="s">
        <v>11411</v>
      </c>
      <c r="M2437" s="162" t="s">
        <v>230</v>
      </c>
      <c r="N2437" s="15" t="s">
        <v>521</v>
      </c>
      <c r="O2437" s="6" t="s">
        <v>4568</v>
      </c>
      <c r="P2437" s="58" t="s">
        <v>241</v>
      </c>
      <c r="Q2437" s="6" t="s">
        <v>234</v>
      </c>
      <c r="R2437" s="3">
        <v>1000</v>
      </c>
      <c r="S2437" s="1">
        <v>1675</v>
      </c>
      <c r="T2437" s="4">
        <v>0</v>
      </c>
      <c r="U2437" s="4">
        <f t="shared" si="70"/>
        <v>0</v>
      </c>
      <c r="V2437" s="166"/>
      <c r="W2437" s="3">
        <v>2014</v>
      </c>
      <c r="X2437" s="3">
        <v>11</v>
      </c>
    </row>
    <row r="2438" spans="1:24" ht="89.25">
      <c r="A2438" s="3" t="s">
        <v>15632</v>
      </c>
      <c r="B2438" s="6" t="s">
        <v>361</v>
      </c>
      <c r="C2438" s="42" t="s">
        <v>4413</v>
      </c>
      <c r="D2438" s="42" t="s">
        <v>4409</v>
      </c>
      <c r="E2438" s="42" t="s">
        <v>4414</v>
      </c>
      <c r="F2438" s="6" t="s">
        <v>4739</v>
      </c>
      <c r="G2438" s="3" t="s">
        <v>11449</v>
      </c>
      <c r="H2438" s="54">
        <v>0</v>
      </c>
      <c r="I2438" s="55">
        <v>470000000</v>
      </c>
      <c r="J2438" s="56" t="s">
        <v>229</v>
      </c>
      <c r="K2438" s="6" t="s">
        <v>8309</v>
      </c>
      <c r="L2438" s="17" t="s">
        <v>11411</v>
      </c>
      <c r="M2438" s="162" t="s">
        <v>230</v>
      </c>
      <c r="N2438" s="15" t="s">
        <v>521</v>
      </c>
      <c r="O2438" s="6" t="s">
        <v>4568</v>
      </c>
      <c r="P2438" s="58" t="s">
        <v>241</v>
      </c>
      <c r="Q2438" s="6" t="s">
        <v>234</v>
      </c>
      <c r="R2438" s="3">
        <v>1000</v>
      </c>
      <c r="S2438" s="1">
        <v>1675</v>
      </c>
      <c r="T2438" s="4">
        <v>0</v>
      </c>
      <c r="U2438" s="4">
        <f t="shared" si="70"/>
        <v>0</v>
      </c>
      <c r="V2438" s="166"/>
      <c r="W2438" s="3">
        <v>2014</v>
      </c>
      <c r="X2438" s="3">
        <v>14</v>
      </c>
    </row>
    <row r="2439" spans="1:24" ht="89.25">
      <c r="A2439" s="3" t="s">
        <v>17593</v>
      </c>
      <c r="B2439" s="6" t="s">
        <v>361</v>
      </c>
      <c r="C2439" s="42" t="s">
        <v>4413</v>
      </c>
      <c r="D2439" s="42" t="s">
        <v>4409</v>
      </c>
      <c r="E2439" s="42" t="s">
        <v>4414</v>
      </c>
      <c r="F2439" s="6" t="s">
        <v>4739</v>
      </c>
      <c r="G2439" s="3" t="s">
        <v>11449</v>
      </c>
      <c r="H2439" s="54">
        <v>0</v>
      </c>
      <c r="I2439" s="55">
        <v>470000000</v>
      </c>
      <c r="J2439" s="56" t="s">
        <v>229</v>
      </c>
      <c r="K2439" s="6" t="s">
        <v>8309</v>
      </c>
      <c r="L2439" s="17" t="s">
        <v>11411</v>
      </c>
      <c r="M2439" s="162" t="s">
        <v>230</v>
      </c>
      <c r="N2439" s="15" t="s">
        <v>17491</v>
      </c>
      <c r="O2439" s="6" t="s">
        <v>4568</v>
      </c>
      <c r="P2439" s="58" t="s">
        <v>241</v>
      </c>
      <c r="Q2439" s="6" t="s">
        <v>234</v>
      </c>
      <c r="R2439" s="3">
        <v>1000</v>
      </c>
      <c r="S2439" s="1">
        <v>1675</v>
      </c>
      <c r="T2439" s="4">
        <v>0</v>
      </c>
      <c r="U2439" s="4">
        <f t="shared" si="70"/>
        <v>0</v>
      </c>
      <c r="V2439" s="166"/>
      <c r="W2439" s="3">
        <v>2014</v>
      </c>
      <c r="X2439" s="3" t="s">
        <v>12076</v>
      </c>
    </row>
    <row r="2440" spans="1:24" ht="89.25">
      <c r="A2440" s="3" t="s">
        <v>1445</v>
      </c>
      <c r="B2440" s="6" t="s">
        <v>361</v>
      </c>
      <c r="C2440" s="42" t="s">
        <v>4415</v>
      </c>
      <c r="D2440" s="42" t="s">
        <v>4416</v>
      </c>
      <c r="E2440" s="42" t="s">
        <v>4417</v>
      </c>
      <c r="F2440" s="6" t="s">
        <v>4740</v>
      </c>
      <c r="G2440" s="3" t="s">
        <v>11450</v>
      </c>
      <c r="H2440" s="54">
        <v>0</v>
      </c>
      <c r="I2440" s="16">
        <v>470000000</v>
      </c>
      <c r="J2440" s="56" t="s">
        <v>229</v>
      </c>
      <c r="K2440" s="6" t="s">
        <v>520</v>
      </c>
      <c r="L2440" s="16" t="s">
        <v>4567</v>
      </c>
      <c r="M2440" s="162" t="s">
        <v>230</v>
      </c>
      <c r="N2440" s="15" t="s">
        <v>521</v>
      </c>
      <c r="O2440" s="6" t="s">
        <v>4568</v>
      </c>
      <c r="P2440" s="58" t="s">
        <v>241</v>
      </c>
      <c r="Q2440" s="6" t="s">
        <v>234</v>
      </c>
      <c r="R2440" s="4">
        <v>100</v>
      </c>
      <c r="S2440" s="74">
        <v>2730</v>
      </c>
      <c r="T2440" s="4">
        <v>0</v>
      </c>
      <c r="U2440" s="4">
        <f t="shared" si="70"/>
        <v>0</v>
      </c>
      <c r="V2440" s="3" t="s">
        <v>362</v>
      </c>
      <c r="W2440" s="3">
        <v>2014</v>
      </c>
      <c r="X2440" s="3" t="s">
        <v>14015</v>
      </c>
    </row>
    <row r="2441" spans="1:24" ht="89.25">
      <c r="A2441" s="3" t="s">
        <v>12535</v>
      </c>
      <c r="B2441" s="6" t="s">
        <v>361</v>
      </c>
      <c r="C2441" s="42" t="s">
        <v>4415</v>
      </c>
      <c r="D2441" s="42" t="s">
        <v>4416</v>
      </c>
      <c r="E2441" s="42" t="s">
        <v>4417</v>
      </c>
      <c r="F2441" s="6" t="s">
        <v>4740</v>
      </c>
      <c r="G2441" s="3" t="s">
        <v>11449</v>
      </c>
      <c r="H2441" s="54">
        <v>0</v>
      </c>
      <c r="I2441" s="16">
        <v>470000000</v>
      </c>
      <c r="J2441" s="56" t="s">
        <v>229</v>
      </c>
      <c r="K2441" s="6" t="s">
        <v>520</v>
      </c>
      <c r="L2441" s="17" t="s">
        <v>11411</v>
      </c>
      <c r="M2441" s="162" t="s">
        <v>230</v>
      </c>
      <c r="N2441" s="15" t="s">
        <v>521</v>
      </c>
      <c r="O2441" s="6" t="s">
        <v>4568</v>
      </c>
      <c r="P2441" s="58" t="s">
        <v>241</v>
      </c>
      <c r="Q2441" s="6" t="s">
        <v>234</v>
      </c>
      <c r="R2441" s="4">
        <v>100</v>
      </c>
      <c r="S2441" s="74">
        <v>2730</v>
      </c>
      <c r="T2441" s="4">
        <v>0</v>
      </c>
      <c r="U2441" s="4">
        <f t="shared" si="70"/>
        <v>0</v>
      </c>
      <c r="V2441" s="3"/>
      <c r="W2441" s="3">
        <v>2014</v>
      </c>
      <c r="X2441" s="3">
        <v>11</v>
      </c>
    </row>
    <row r="2442" spans="1:24" ht="89.25">
      <c r="A2442" s="3" t="s">
        <v>15633</v>
      </c>
      <c r="B2442" s="6" t="s">
        <v>361</v>
      </c>
      <c r="C2442" s="42" t="s">
        <v>4415</v>
      </c>
      <c r="D2442" s="42" t="s">
        <v>4416</v>
      </c>
      <c r="E2442" s="42" t="s">
        <v>4417</v>
      </c>
      <c r="F2442" s="6" t="s">
        <v>4740</v>
      </c>
      <c r="G2442" s="3" t="s">
        <v>11449</v>
      </c>
      <c r="H2442" s="54">
        <v>0</v>
      </c>
      <c r="I2442" s="16">
        <v>470000000</v>
      </c>
      <c r="J2442" s="56" t="s">
        <v>229</v>
      </c>
      <c r="K2442" s="6" t="s">
        <v>8309</v>
      </c>
      <c r="L2442" s="17" t="s">
        <v>11411</v>
      </c>
      <c r="M2442" s="162" t="s">
        <v>230</v>
      </c>
      <c r="N2442" s="15" t="s">
        <v>521</v>
      </c>
      <c r="O2442" s="6" t="s">
        <v>4568</v>
      </c>
      <c r="P2442" s="58" t="s">
        <v>241</v>
      </c>
      <c r="Q2442" s="6" t="s">
        <v>234</v>
      </c>
      <c r="R2442" s="4">
        <v>100</v>
      </c>
      <c r="S2442" s="74">
        <v>2730</v>
      </c>
      <c r="T2442" s="4">
        <v>0</v>
      </c>
      <c r="U2442" s="4">
        <f t="shared" si="70"/>
        <v>0</v>
      </c>
      <c r="V2442" s="3"/>
      <c r="W2442" s="3">
        <v>2014</v>
      </c>
      <c r="X2442" s="3">
        <v>14</v>
      </c>
    </row>
    <row r="2443" spans="1:24" ht="89.25">
      <c r="A2443" s="3" t="s">
        <v>17594</v>
      </c>
      <c r="B2443" s="6" t="s">
        <v>361</v>
      </c>
      <c r="C2443" s="42" t="s">
        <v>4415</v>
      </c>
      <c r="D2443" s="42" t="s">
        <v>4416</v>
      </c>
      <c r="E2443" s="42" t="s">
        <v>4417</v>
      </c>
      <c r="F2443" s="6" t="s">
        <v>4740</v>
      </c>
      <c r="G2443" s="3" t="s">
        <v>11449</v>
      </c>
      <c r="H2443" s="54">
        <v>0</v>
      </c>
      <c r="I2443" s="16">
        <v>470000000</v>
      </c>
      <c r="J2443" s="56" t="s">
        <v>229</v>
      </c>
      <c r="K2443" s="6" t="s">
        <v>8309</v>
      </c>
      <c r="L2443" s="17" t="s">
        <v>11411</v>
      </c>
      <c r="M2443" s="162" t="s">
        <v>230</v>
      </c>
      <c r="N2443" s="15" t="s">
        <v>17491</v>
      </c>
      <c r="O2443" s="6" t="s">
        <v>4568</v>
      </c>
      <c r="P2443" s="58" t="s">
        <v>241</v>
      </c>
      <c r="Q2443" s="6" t="s">
        <v>234</v>
      </c>
      <c r="R2443" s="4">
        <v>50</v>
      </c>
      <c r="S2443" s="74">
        <v>2730</v>
      </c>
      <c r="T2443" s="4">
        <v>0</v>
      </c>
      <c r="U2443" s="4">
        <f t="shared" si="70"/>
        <v>0</v>
      </c>
      <c r="V2443" s="3"/>
      <c r="W2443" s="3">
        <v>2014</v>
      </c>
      <c r="X2443" s="3" t="s">
        <v>12076</v>
      </c>
    </row>
    <row r="2444" spans="1:24" ht="89.25">
      <c r="A2444" s="3" t="s">
        <v>1446</v>
      </c>
      <c r="B2444" s="6" t="s">
        <v>361</v>
      </c>
      <c r="C2444" s="42" t="s">
        <v>4418</v>
      </c>
      <c r="D2444" s="42" t="s">
        <v>4416</v>
      </c>
      <c r="E2444" s="42" t="s">
        <v>4419</v>
      </c>
      <c r="F2444" s="6" t="s">
        <v>4741</v>
      </c>
      <c r="G2444" s="3" t="s">
        <v>11450</v>
      </c>
      <c r="H2444" s="54">
        <v>0</v>
      </c>
      <c r="I2444" s="55">
        <v>470000000</v>
      </c>
      <c r="J2444" s="56" t="s">
        <v>229</v>
      </c>
      <c r="K2444" s="6" t="s">
        <v>520</v>
      </c>
      <c r="L2444" s="16" t="s">
        <v>4570</v>
      </c>
      <c r="M2444" s="162" t="s">
        <v>230</v>
      </c>
      <c r="N2444" s="15" t="s">
        <v>524</v>
      </c>
      <c r="O2444" s="6" t="s">
        <v>4568</v>
      </c>
      <c r="P2444" s="58" t="s">
        <v>241</v>
      </c>
      <c r="Q2444" s="6" t="s">
        <v>234</v>
      </c>
      <c r="R2444" s="3">
        <v>110</v>
      </c>
      <c r="S2444" s="1">
        <v>3210</v>
      </c>
      <c r="T2444" s="4">
        <v>0</v>
      </c>
      <c r="U2444" s="4">
        <f t="shared" si="70"/>
        <v>0</v>
      </c>
      <c r="V2444" s="166" t="s">
        <v>362</v>
      </c>
      <c r="W2444" s="3">
        <v>2014</v>
      </c>
      <c r="X2444" s="3" t="s">
        <v>14015</v>
      </c>
    </row>
    <row r="2445" spans="1:24" ht="89.25">
      <c r="A2445" s="3" t="s">
        <v>12536</v>
      </c>
      <c r="B2445" s="6" t="s">
        <v>361</v>
      </c>
      <c r="C2445" s="42" t="s">
        <v>4418</v>
      </c>
      <c r="D2445" s="42" t="s">
        <v>4416</v>
      </c>
      <c r="E2445" s="42" t="s">
        <v>4419</v>
      </c>
      <c r="F2445" s="6" t="s">
        <v>4741</v>
      </c>
      <c r="G2445" s="3" t="s">
        <v>11449</v>
      </c>
      <c r="H2445" s="54">
        <v>0</v>
      </c>
      <c r="I2445" s="55">
        <v>470000000</v>
      </c>
      <c r="J2445" s="56" t="s">
        <v>229</v>
      </c>
      <c r="K2445" s="6" t="s">
        <v>520</v>
      </c>
      <c r="L2445" s="17" t="s">
        <v>11411</v>
      </c>
      <c r="M2445" s="162" t="s">
        <v>230</v>
      </c>
      <c r="N2445" s="15" t="s">
        <v>524</v>
      </c>
      <c r="O2445" s="6" t="s">
        <v>4568</v>
      </c>
      <c r="P2445" s="58" t="s">
        <v>241</v>
      </c>
      <c r="Q2445" s="6" t="s">
        <v>234</v>
      </c>
      <c r="R2445" s="3">
        <v>110</v>
      </c>
      <c r="S2445" s="1">
        <v>3210</v>
      </c>
      <c r="T2445" s="4">
        <v>0</v>
      </c>
      <c r="U2445" s="4">
        <f t="shared" si="70"/>
        <v>0</v>
      </c>
      <c r="V2445" s="166"/>
      <c r="W2445" s="3">
        <v>2014</v>
      </c>
      <c r="X2445" s="3">
        <v>11</v>
      </c>
    </row>
    <row r="2446" spans="1:24" ht="89.25">
      <c r="A2446" s="3" t="s">
        <v>15634</v>
      </c>
      <c r="B2446" s="6" t="s">
        <v>361</v>
      </c>
      <c r="C2446" s="42" t="s">
        <v>4418</v>
      </c>
      <c r="D2446" s="42" t="s">
        <v>4416</v>
      </c>
      <c r="E2446" s="42" t="s">
        <v>4419</v>
      </c>
      <c r="F2446" s="6" t="s">
        <v>4741</v>
      </c>
      <c r="G2446" s="3" t="s">
        <v>11449</v>
      </c>
      <c r="H2446" s="54">
        <v>0</v>
      </c>
      <c r="I2446" s="55">
        <v>470000000</v>
      </c>
      <c r="J2446" s="56" t="s">
        <v>229</v>
      </c>
      <c r="K2446" s="6" t="s">
        <v>8309</v>
      </c>
      <c r="L2446" s="17" t="s">
        <v>11411</v>
      </c>
      <c r="M2446" s="162" t="s">
        <v>230</v>
      </c>
      <c r="N2446" s="15" t="s">
        <v>524</v>
      </c>
      <c r="O2446" s="6" t="s">
        <v>4568</v>
      </c>
      <c r="P2446" s="58" t="s">
        <v>241</v>
      </c>
      <c r="Q2446" s="6" t="s">
        <v>234</v>
      </c>
      <c r="R2446" s="3">
        <v>110</v>
      </c>
      <c r="S2446" s="1">
        <v>3210</v>
      </c>
      <c r="T2446" s="4">
        <v>0</v>
      </c>
      <c r="U2446" s="4">
        <f t="shared" si="70"/>
        <v>0</v>
      </c>
      <c r="V2446" s="166"/>
      <c r="W2446" s="3">
        <v>2014</v>
      </c>
      <c r="X2446" s="3">
        <v>14</v>
      </c>
    </row>
    <row r="2447" spans="1:24" ht="89.25">
      <c r="A2447" s="3" t="s">
        <v>17595</v>
      </c>
      <c r="B2447" s="6" t="s">
        <v>361</v>
      </c>
      <c r="C2447" s="42" t="s">
        <v>4418</v>
      </c>
      <c r="D2447" s="42" t="s">
        <v>4416</v>
      </c>
      <c r="E2447" s="42" t="s">
        <v>4419</v>
      </c>
      <c r="F2447" s="6" t="s">
        <v>4741</v>
      </c>
      <c r="G2447" s="3" t="s">
        <v>11449</v>
      </c>
      <c r="H2447" s="54">
        <v>0</v>
      </c>
      <c r="I2447" s="55">
        <v>470000000</v>
      </c>
      <c r="J2447" s="56" t="s">
        <v>229</v>
      </c>
      <c r="K2447" s="6" t="s">
        <v>8309</v>
      </c>
      <c r="L2447" s="17" t="s">
        <v>11411</v>
      </c>
      <c r="M2447" s="162" t="s">
        <v>230</v>
      </c>
      <c r="N2447" s="15" t="s">
        <v>17491</v>
      </c>
      <c r="O2447" s="6" t="s">
        <v>4568</v>
      </c>
      <c r="P2447" s="58" t="s">
        <v>241</v>
      </c>
      <c r="Q2447" s="6" t="s">
        <v>234</v>
      </c>
      <c r="R2447" s="3">
        <v>110</v>
      </c>
      <c r="S2447" s="1">
        <v>3210</v>
      </c>
      <c r="T2447" s="4">
        <v>0</v>
      </c>
      <c r="U2447" s="4">
        <f t="shared" si="70"/>
        <v>0</v>
      </c>
      <c r="V2447" s="166"/>
      <c r="W2447" s="3">
        <v>2014</v>
      </c>
      <c r="X2447" s="3" t="s">
        <v>12076</v>
      </c>
    </row>
    <row r="2448" spans="1:24" ht="89.25">
      <c r="A2448" s="3" t="s">
        <v>1447</v>
      </c>
      <c r="B2448" s="6" t="s">
        <v>361</v>
      </c>
      <c r="C2448" s="42" t="s">
        <v>4420</v>
      </c>
      <c r="D2448" s="6" t="s">
        <v>4421</v>
      </c>
      <c r="E2448" s="6" t="s">
        <v>4422</v>
      </c>
      <c r="F2448" s="6" t="s">
        <v>347</v>
      </c>
      <c r="G2448" s="3" t="s">
        <v>11450</v>
      </c>
      <c r="H2448" s="54">
        <v>0</v>
      </c>
      <c r="I2448" s="16">
        <v>470000000</v>
      </c>
      <c r="J2448" s="56" t="s">
        <v>229</v>
      </c>
      <c r="K2448" s="6" t="s">
        <v>516</v>
      </c>
      <c r="L2448" s="16" t="s">
        <v>4567</v>
      </c>
      <c r="M2448" s="162" t="s">
        <v>230</v>
      </c>
      <c r="N2448" s="15" t="s">
        <v>521</v>
      </c>
      <c r="O2448" s="6" t="s">
        <v>4568</v>
      </c>
      <c r="P2448" s="58" t="s">
        <v>241</v>
      </c>
      <c r="Q2448" s="6" t="s">
        <v>234</v>
      </c>
      <c r="R2448" s="4">
        <v>75</v>
      </c>
      <c r="S2448" s="74">
        <v>550</v>
      </c>
      <c r="T2448" s="4">
        <v>0</v>
      </c>
      <c r="U2448" s="4">
        <f t="shared" si="70"/>
        <v>0</v>
      </c>
      <c r="V2448" s="3" t="s">
        <v>362</v>
      </c>
      <c r="W2448" s="3">
        <v>2014</v>
      </c>
      <c r="X2448" s="3" t="s">
        <v>12037</v>
      </c>
    </row>
    <row r="2449" spans="1:24" ht="89.25">
      <c r="A2449" s="3" t="s">
        <v>12537</v>
      </c>
      <c r="B2449" s="6" t="s">
        <v>361</v>
      </c>
      <c r="C2449" s="42" t="s">
        <v>4420</v>
      </c>
      <c r="D2449" s="6" t="s">
        <v>4421</v>
      </c>
      <c r="E2449" s="6" t="s">
        <v>4422</v>
      </c>
      <c r="F2449" s="6" t="s">
        <v>347</v>
      </c>
      <c r="G2449" s="3" t="s">
        <v>11450</v>
      </c>
      <c r="H2449" s="54">
        <v>0</v>
      </c>
      <c r="I2449" s="16">
        <v>470000000</v>
      </c>
      <c r="J2449" s="56" t="s">
        <v>229</v>
      </c>
      <c r="K2449" s="6" t="s">
        <v>12441</v>
      </c>
      <c r="L2449" s="17" t="s">
        <v>11411</v>
      </c>
      <c r="M2449" s="162" t="s">
        <v>230</v>
      </c>
      <c r="N2449" s="15" t="s">
        <v>521</v>
      </c>
      <c r="O2449" s="6" t="s">
        <v>4568</v>
      </c>
      <c r="P2449" s="58" t="s">
        <v>241</v>
      </c>
      <c r="Q2449" s="6" t="s">
        <v>234</v>
      </c>
      <c r="R2449" s="4">
        <v>75</v>
      </c>
      <c r="S2449" s="74">
        <v>550</v>
      </c>
      <c r="T2449" s="4">
        <v>0</v>
      </c>
      <c r="U2449" s="4">
        <f t="shared" si="70"/>
        <v>0</v>
      </c>
      <c r="V2449" s="3"/>
      <c r="W2449" s="3">
        <v>2014</v>
      </c>
      <c r="X2449" s="3">
        <v>11</v>
      </c>
    </row>
    <row r="2450" spans="1:24" ht="89.25">
      <c r="A2450" s="3" t="s">
        <v>15635</v>
      </c>
      <c r="B2450" s="6" t="s">
        <v>361</v>
      </c>
      <c r="C2450" s="42" t="s">
        <v>4420</v>
      </c>
      <c r="D2450" s="6" t="s">
        <v>4421</v>
      </c>
      <c r="E2450" s="6" t="s">
        <v>4422</v>
      </c>
      <c r="F2450" s="6" t="s">
        <v>347</v>
      </c>
      <c r="G2450" s="3" t="s">
        <v>11450</v>
      </c>
      <c r="H2450" s="54">
        <v>0</v>
      </c>
      <c r="I2450" s="16">
        <v>470000000</v>
      </c>
      <c r="J2450" s="56" t="s">
        <v>229</v>
      </c>
      <c r="K2450" s="6" t="s">
        <v>8309</v>
      </c>
      <c r="L2450" s="17" t="s">
        <v>11411</v>
      </c>
      <c r="M2450" s="162" t="s">
        <v>230</v>
      </c>
      <c r="N2450" s="15" t="s">
        <v>521</v>
      </c>
      <c r="O2450" s="6" t="s">
        <v>4568</v>
      </c>
      <c r="P2450" s="58" t="s">
        <v>241</v>
      </c>
      <c r="Q2450" s="6" t="s">
        <v>234</v>
      </c>
      <c r="R2450" s="4">
        <v>75</v>
      </c>
      <c r="S2450" s="74">
        <v>550</v>
      </c>
      <c r="T2450" s="4">
        <v>0</v>
      </c>
      <c r="U2450" s="4">
        <f t="shared" si="70"/>
        <v>0</v>
      </c>
      <c r="V2450" s="3"/>
      <c r="W2450" s="3">
        <v>2014</v>
      </c>
      <c r="X2450" s="3">
        <v>14</v>
      </c>
    </row>
    <row r="2451" spans="1:24" ht="89.25">
      <c r="A2451" s="3" t="s">
        <v>17596</v>
      </c>
      <c r="B2451" s="6" t="s">
        <v>361</v>
      </c>
      <c r="C2451" s="42" t="s">
        <v>4420</v>
      </c>
      <c r="D2451" s="6" t="s">
        <v>4421</v>
      </c>
      <c r="E2451" s="6" t="s">
        <v>4422</v>
      </c>
      <c r="F2451" s="6" t="s">
        <v>347</v>
      </c>
      <c r="G2451" s="3" t="s">
        <v>11450</v>
      </c>
      <c r="H2451" s="54">
        <v>0</v>
      </c>
      <c r="I2451" s="16">
        <v>470000000</v>
      </c>
      <c r="J2451" s="56" t="s">
        <v>229</v>
      </c>
      <c r="K2451" s="6" t="s">
        <v>8309</v>
      </c>
      <c r="L2451" s="17" t="s">
        <v>11411</v>
      </c>
      <c r="M2451" s="162" t="s">
        <v>230</v>
      </c>
      <c r="N2451" s="15" t="s">
        <v>17491</v>
      </c>
      <c r="O2451" s="6" t="s">
        <v>4568</v>
      </c>
      <c r="P2451" s="58" t="s">
        <v>241</v>
      </c>
      <c r="Q2451" s="6" t="s">
        <v>234</v>
      </c>
      <c r="R2451" s="4">
        <v>75</v>
      </c>
      <c r="S2451" s="74">
        <v>550</v>
      </c>
      <c r="T2451" s="4">
        <f>R2451*S2451</f>
        <v>41250</v>
      </c>
      <c r="U2451" s="4">
        <f t="shared" si="70"/>
        <v>46200.000000000007</v>
      </c>
      <c r="V2451" s="3"/>
      <c r="W2451" s="3">
        <v>2014</v>
      </c>
      <c r="X2451" s="3"/>
    </row>
    <row r="2452" spans="1:24" ht="89.25">
      <c r="A2452" s="3" t="s">
        <v>1448</v>
      </c>
      <c r="B2452" s="6" t="s">
        <v>361</v>
      </c>
      <c r="C2452" s="42" t="s">
        <v>4420</v>
      </c>
      <c r="D2452" s="6" t="s">
        <v>4421</v>
      </c>
      <c r="E2452" s="6" t="s">
        <v>4422</v>
      </c>
      <c r="F2452" s="6" t="s">
        <v>11762</v>
      </c>
      <c r="G2452" s="3" t="s">
        <v>11450</v>
      </c>
      <c r="H2452" s="54">
        <v>0</v>
      </c>
      <c r="I2452" s="55">
        <v>470000000</v>
      </c>
      <c r="J2452" s="56" t="s">
        <v>229</v>
      </c>
      <c r="K2452" s="6" t="s">
        <v>516</v>
      </c>
      <c r="L2452" s="16" t="s">
        <v>4570</v>
      </c>
      <c r="M2452" s="162" t="s">
        <v>230</v>
      </c>
      <c r="N2452" s="15" t="s">
        <v>521</v>
      </c>
      <c r="O2452" s="6" t="s">
        <v>4568</v>
      </c>
      <c r="P2452" s="58" t="s">
        <v>241</v>
      </c>
      <c r="Q2452" s="6" t="s">
        <v>234</v>
      </c>
      <c r="R2452" s="3">
        <v>50</v>
      </c>
      <c r="S2452" s="1">
        <v>405</v>
      </c>
      <c r="T2452" s="4">
        <v>0</v>
      </c>
      <c r="U2452" s="4">
        <f t="shared" si="70"/>
        <v>0</v>
      </c>
      <c r="V2452" s="166" t="s">
        <v>362</v>
      </c>
      <c r="W2452" s="3">
        <v>2014</v>
      </c>
      <c r="X2452" s="3" t="s">
        <v>12037</v>
      </c>
    </row>
    <row r="2453" spans="1:24" ht="89.25">
      <c r="A2453" s="3" t="s">
        <v>12538</v>
      </c>
      <c r="B2453" s="6" t="s">
        <v>361</v>
      </c>
      <c r="C2453" s="42" t="s">
        <v>4420</v>
      </c>
      <c r="D2453" s="6" t="s">
        <v>4421</v>
      </c>
      <c r="E2453" s="6" t="s">
        <v>4422</v>
      </c>
      <c r="F2453" s="6" t="s">
        <v>11762</v>
      </c>
      <c r="G2453" s="3" t="s">
        <v>11450</v>
      </c>
      <c r="H2453" s="54">
        <v>0</v>
      </c>
      <c r="I2453" s="55">
        <v>470000000</v>
      </c>
      <c r="J2453" s="56" t="s">
        <v>229</v>
      </c>
      <c r="K2453" s="6" t="s">
        <v>12441</v>
      </c>
      <c r="L2453" s="17" t="s">
        <v>11411</v>
      </c>
      <c r="M2453" s="162" t="s">
        <v>230</v>
      </c>
      <c r="N2453" s="15" t="s">
        <v>521</v>
      </c>
      <c r="O2453" s="6" t="s">
        <v>4568</v>
      </c>
      <c r="P2453" s="58" t="s">
        <v>241</v>
      </c>
      <c r="Q2453" s="6" t="s">
        <v>234</v>
      </c>
      <c r="R2453" s="3">
        <v>50</v>
      </c>
      <c r="S2453" s="1">
        <v>405</v>
      </c>
      <c r="T2453" s="4">
        <v>0</v>
      </c>
      <c r="U2453" s="4">
        <f t="shared" si="70"/>
        <v>0</v>
      </c>
      <c r="V2453" s="166"/>
      <c r="W2453" s="3">
        <v>2014</v>
      </c>
      <c r="X2453" s="3">
        <v>11</v>
      </c>
    </row>
    <row r="2454" spans="1:24" ht="89.25">
      <c r="A2454" s="3" t="s">
        <v>15636</v>
      </c>
      <c r="B2454" s="6" t="s">
        <v>361</v>
      </c>
      <c r="C2454" s="42" t="s">
        <v>4420</v>
      </c>
      <c r="D2454" s="6" t="s">
        <v>4421</v>
      </c>
      <c r="E2454" s="6" t="s">
        <v>4422</v>
      </c>
      <c r="F2454" s="6" t="s">
        <v>11762</v>
      </c>
      <c r="G2454" s="3" t="s">
        <v>11450</v>
      </c>
      <c r="H2454" s="54">
        <v>0</v>
      </c>
      <c r="I2454" s="55">
        <v>470000000</v>
      </c>
      <c r="J2454" s="56" t="s">
        <v>229</v>
      </c>
      <c r="K2454" s="6" t="s">
        <v>8309</v>
      </c>
      <c r="L2454" s="17" t="s">
        <v>11411</v>
      </c>
      <c r="M2454" s="162" t="s">
        <v>230</v>
      </c>
      <c r="N2454" s="15" t="s">
        <v>521</v>
      </c>
      <c r="O2454" s="6" t="s">
        <v>4568</v>
      </c>
      <c r="P2454" s="58" t="s">
        <v>241</v>
      </c>
      <c r="Q2454" s="6" t="s">
        <v>234</v>
      </c>
      <c r="R2454" s="3">
        <v>50</v>
      </c>
      <c r="S2454" s="1">
        <v>405</v>
      </c>
      <c r="T2454" s="4">
        <v>0</v>
      </c>
      <c r="U2454" s="4">
        <f t="shared" si="70"/>
        <v>0</v>
      </c>
      <c r="V2454" s="166"/>
      <c r="W2454" s="3">
        <v>2014</v>
      </c>
      <c r="X2454" s="3">
        <v>14</v>
      </c>
    </row>
    <row r="2455" spans="1:24" ht="89.25">
      <c r="A2455" s="3" t="s">
        <v>17597</v>
      </c>
      <c r="B2455" s="6" t="s">
        <v>361</v>
      </c>
      <c r="C2455" s="42" t="s">
        <v>4420</v>
      </c>
      <c r="D2455" s="6" t="s">
        <v>4421</v>
      </c>
      <c r="E2455" s="6" t="s">
        <v>4422</v>
      </c>
      <c r="F2455" s="6" t="s">
        <v>11762</v>
      </c>
      <c r="G2455" s="3" t="s">
        <v>11450</v>
      </c>
      <c r="H2455" s="54">
        <v>0</v>
      </c>
      <c r="I2455" s="55">
        <v>470000000</v>
      </c>
      <c r="J2455" s="56" t="s">
        <v>229</v>
      </c>
      <c r="K2455" s="6" t="s">
        <v>8309</v>
      </c>
      <c r="L2455" s="17" t="s">
        <v>11411</v>
      </c>
      <c r="M2455" s="162" t="s">
        <v>230</v>
      </c>
      <c r="N2455" s="15" t="s">
        <v>17491</v>
      </c>
      <c r="O2455" s="6" t="s">
        <v>4568</v>
      </c>
      <c r="P2455" s="58" t="s">
        <v>241</v>
      </c>
      <c r="Q2455" s="6" t="s">
        <v>234</v>
      </c>
      <c r="R2455" s="3">
        <v>50</v>
      </c>
      <c r="S2455" s="1">
        <v>405</v>
      </c>
      <c r="T2455" s="4">
        <f>R2455*S2455</f>
        <v>20250</v>
      </c>
      <c r="U2455" s="4">
        <f t="shared" si="70"/>
        <v>22680.000000000004</v>
      </c>
      <c r="V2455" s="166"/>
      <c r="W2455" s="3">
        <v>2014</v>
      </c>
      <c r="X2455" s="3"/>
    </row>
    <row r="2456" spans="1:24" ht="89.25">
      <c r="A2456" s="3" t="s">
        <v>1449</v>
      </c>
      <c r="B2456" s="6" t="s">
        <v>361</v>
      </c>
      <c r="C2456" s="42" t="s">
        <v>4423</v>
      </c>
      <c r="D2456" s="6" t="s">
        <v>4424</v>
      </c>
      <c r="E2456" s="3" t="s">
        <v>4425</v>
      </c>
      <c r="F2456" s="6" t="s">
        <v>4742</v>
      </c>
      <c r="G2456" s="3" t="s">
        <v>11450</v>
      </c>
      <c r="H2456" s="54">
        <v>0</v>
      </c>
      <c r="I2456" s="16">
        <v>470000000</v>
      </c>
      <c r="J2456" s="56" t="s">
        <v>229</v>
      </c>
      <c r="K2456" s="6" t="s">
        <v>516</v>
      </c>
      <c r="L2456" s="16" t="s">
        <v>4567</v>
      </c>
      <c r="M2456" s="162" t="s">
        <v>230</v>
      </c>
      <c r="N2456" s="15" t="s">
        <v>521</v>
      </c>
      <c r="O2456" s="6" t="s">
        <v>4568</v>
      </c>
      <c r="P2456" s="58" t="s">
        <v>241</v>
      </c>
      <c r="Q2456" s="6" t="s">
        <v>234</v>
      </c>
      <c r="R2456" s="4">
        <v>184</v>
      </c>
      <c r="S2456" s="74">
        <v>1550</v>
      </c>
      <c r="T2456" s="4">
        <v>0</v>
      </c>
      <c r="U2456" s="4">
        <f t="shared" si="70"/>
        <v>0</v>
      </c>
      <c r="V2456" s="3" t="s">
        <v>362</v>
      </c>
      <c r="W2456" s="3">
        <v>2014</v>
      </c>
      <c r="X2456" s="3" t="s">
        <v>12037</v>
      </c>
    </row>
    <row r="2457" spans="1:24" ht="89.25">
      <c r="A2457" s="3" t="s">
        <v>12539</v>
      </c>
      <c r="B2457" s="6" t="s">
        <v>361</v>
      </c>
      <c r="C2457" s="42" t="s">
        <v>4423</v>
      </c>
      <c r="D2457" s="6" t="s">
        <v>4424</v>
      </c>
      <c r="E2457" s="3" t="s">
        <v>4425</v>
      </c>
      <c r="F2457" s="6" t="s">
        <v>4742</v>
      </c>
      <c r="G2457" s="3" t="s">
        <v>11450</v>
      </c>
      <c r="H2457" s="54">
        <v>0</v>
      </c>
      <c r="I2457" s="16">
        <v>470000000</v>
      </c>
      <c r="J2457" s="56" t="s">
        <v>229</v>
      </c>
      <c r="K2457" s="6" t="s">
        <v>12441</v>
      </c>
      <c r="L2457" s="17" t="s">
        <v>11411</v>
      </c>
      <c r="M2457" s="162" t="s">
        <v>230</v>
      </c>
      <c r="N2457" s="15" t="s">
        <v>521</v>
      </c>
      <c r="O2457" s="6" t="s">
        <v>4568</v>
      </c>
      <c r="P2457" s="58" t="s">
        <v>241</v>
      </c>
      <c r="Q2457" s="6" t="s">
        <v>234</v>
      </c>
      <c r="R2457" s="4">
        <v>184</v>
      </c>
      <c r="S2457" s="74">
        <v>1550</v>
      </c>
      <c r="T2457" s="4">
        <v>0</v>
      </c>
      <c r="U2457" s="4">
        <f t="shared" si="70"/>
        <v>0</v>
      </c>
      <c r="V2457" s="3"/>
      <c r="W2457" s="3">
        <v>2014</v>
      </c>
      <c r="X2457" s="3" t="s">
        <v>14785</v>
      </c>
    </row>
    <row r="2458" spans="1:24" ht="89.25">
      <c r="A2458" s="3" t="s">
        <v>14231</v>
      </c>
      <c r="B2458" s="6" t="s">
        <v>361</v>
      </c>
      <c r="C2458" s="42" t="s">
        <v>4423</v>
      </c>
      <c r="D2458" s="6" t="s">
        <v>4424</v>
      </c>
      <c r="E2458" s="3" t="s">
        <v>4425</v>
      </c>
      <c r="F2458" s="6" t="s">
        <v>4742</v>
      </c>
      <c r="G2458" s="3" t="s">
        <v>11450</v>
      </c>
      <c r="H2458" s="54">
        <v>0</v>
      </c>
      <c r="I2458" s="16">
        <v>470000000</v>
      </c>
      <c r="J2458" s="56" t="s">
        <v>229</v>
      </c>
      <c r="K2458" s="6" t="s">
        <v>8309</v>
      </c>
      <c r="L2458" s="17" t="s">
        <v>11411</v>
      </c>
      <c r="M2458" s="162" t="s">
        <v>230</v>
      </c>
      <c r="N2458" s="15" t="s">
        <v>521</v>
      </c>
      <c r="O2458" s="6" t="s">
        <v>4568</v>
      </c>
      <c r="P2458" s="58" t="s">
        <v>241</v>
      </c>
      <c r="Q2458" s="6" t="s">
        <v>234</v>
      </c>
      <c r="R2458" s="4">
        <v>184</v>
      </c>
      <c r="S2458" s="74">
        <v>1550.82</v>
      </c>
      <c r="T2458" s="4">
        <v>0</v>
      </c>
      <c r="U2458" s="4">
        <f t="shared" si="70"/>
        <v>0</v>
      </c>
      <c r="V2458" s="3"/>
      <c r="W2458" s="3">
        <v>2014</v>
      </c>
      <c r="X2458" s="3">
        <v>14</v>
      </c>
    </row>
    <row r="2459" spans="1:24" ht="89.25">
      <c r="A2459" s="3" t="s">
        <v>17598</v>
      </c>
      <c r="B2459" s="6" t="s">
        <v>361</v>
      </c>
      <c r="C2459" s="42" t="s">
        <v>4423</v>
      </c>
      <c r="D2459" s="6" t="s">
        <v>4424</v>
      </c>
      <c r="E2459" s="3" t="s">
        <v>4425</v>
      </c>
      <c r="F2459" s="6" t="s">
        <v>4742</v>
      </c>
      <c r="G2459" s="3" t="s">
        <v>11450</v>
      </c>
      <c r="H2459" s="54">
        <v>0</v>
      </c>
      <c r="I2459" s="16">
        <v>470000000</v>
      </c>
      <c r="J2459" s="56" t="s">
        <v>229</v>
      </c>
      <c r="K2459" s="6" t="s">
        <v>8309</v>
      </c>
      <c r="L2459" s="17" t="s">
        <v>11411</v>
      </c>
      <c r="M2459" s="162" t="s">
        <v>230</v>
      </c>
      <c r="N2459" s="15" t="s">
        <v>17491</v>
      </c>
      <c r="O2459" s="6" t="s">
        <v>4568</v>
      </c>
      <c r="P2459" s="58" t="s">
        <v>241</v>
      </c>
      <c r="Q2459" s="6" t="s">
        <v>234</v>
      </c>
      <c r="R2459" s="4">
        <v>184</v>
      </c>
      <c r="S2459" s="74">
        <v>1550.82</v>
      </c>
      <c r="T2459" s="4">
        <f>R2459*S2459</f>
        <v>285350.88</v>
      </c>
      <c r="U2459" s="4">
        <f t="shared" si="70"/>
        <v>319592.98560000001</v>
      </c>
      <c r="V2459" s="3"/>
      <c r="W2459" s="3">
        <v>2014</v>
      </c>
      <c r="X2459" s="3"/>
    </row>
    <row r="2460" spans="1:24" ht="89.25">
      <c r="A2460" s="3" t="s">
        <v>1450</v>
      </c>
      <c r="B2460" s="6" t="s">
        <v>361</v>
      </c>
      <c r="C2460" s="42" t="s">
        <v>4426</v>
      </c>
      <c r="D2460" s="6" t="s">
        <v>344</v>
      </c>
      <c r="E2460" s="65" t="s">
        <v>4427</v>
      </c>
      <c r="F2460" s="6" t="s">
        <v>348</v>
      </c>
      <c r="G2460" s="3" t="s">
        <v>11450</v>
      </c>
      <c r="H2460" s="54">
        <v>0</v>
      </c>
      <c r="I2460" s="55">
        <v>470000000</v>
      </c>
      <c r="J2460" s="56" t="s">
        <v>229</v>
      </c>
      <c r="K2460" s="6" t="s">
        <v>516</v>
      </c>
      <c r="L2460" s="16" t="s">
        <v>4570</v>
      </c>
      <c r="M2460" s="162" t="s">
        <v>230</v>
      </c>
      <c r="N2460" s="15" t="s">
        <v>521</v>
      </c>
      <c r="O2460" s="6" t="s">
        <v>4568</v>
      </c>
      <c r="P2460" s="58" t="s">
        <v>241</v>
      </c>
      <c r="Q2460" s="6" t="s">
        <v>234</v>
      </c>
      <c r="R2460" s="3">
        <v>100</v>
      </c>
      <c r="S2460" s="1">
        <v>375</v>
      </c>
      <c r="T2460" s="4">
        <v>0</v>
      </c>
      <c r="U2460" s="4">
        <f t="shared" si="70"/>
        <v>0</v>
      </c>
      <c r="V2460" s="166" t="s">
        <v>362</v>
      </c>
      <c r="W2460" s="3">
        <v>2014</v>
      </c>
      <c r="X2460" s="3" t="s">
        <v>12037</v>
      </c>
    </row>
    <row r="2461" spans="1:24" ht="89.25">
      <c r="A2461" s="3" t="s">
        <v>12540</v>
      </c>
      <c r="B2461" s="6" t="s">
        <v>361</v>
      </c>
      <c r="C2461" s="42" t="s">
        <v>4426</v>
      </c>
      <c r="D2461" s="6" t="s">
        <v>344</v>
      </c>
      <c r="E2461" s="65" t="s">
        <v>4427</v>
      </c>
      <c r="F2461" s="6" t="s">
        <v>348</v>
      </c>
      <c r="G2461" s="3" t="s">
        <v>11450</v>
      </c>
      <c r="H2461" s="54">
        <v>0</v>
      </c>
      <c r="I2461" s="55">
        <v>470000000</v>
      </c>
      <c r="J2461" s="56" t="s">
        <v>229</v>
      </c>
      <c r="K2461" s="6" t="s">
        <v>12441</v>
      </c>
      <c r="L2461" s="17" t="s">
        <v>11411</v>
      </c>
      <c r="M2461" s="162" t="s">
        <v>230</v>
      </c>
      <c r="N2461" s="15" t="s">
        <v>521</v>
      </c>
      <c r="O2461" s="6" t="s">
        <v>4568</v>
      </c>
      <c r="P2461" s="58" t="s">
        <v>241</v>
      </c>
      <c r="Q2461" s="6" t="s">
        <v>234</v>
      </c>
      <c r="R2461" s="3">
        <v>100</v>
      </c>
      <c r="S2461" s="1">
        <v>375</v>
      </c>
      <c r="T2461" s="4">
        <v>0</v>
      </c>
      <c r="U2461" s="4">
        <f t="shared" si="70"/>
        <v>0</v>
      </c>
      <c r="V2461" s="166"/>
      <c r="W2461" s="3">
        <v>2014</v>
      </c>
      <c r="X2461" s="3">
        <v>11</v>
      </c>
    </row>
    <row r="2462" spans="1:24" ht="89.25">
      <c r="A2462" s="3" t="s">
        <v>15637</v>
      </c>
      <c r="B2462" s="6" t="s">
        <v>361</v>
      </c>
      <c r="C2462" s="42" t="s">
        <v>4426</v>
      </c>
      <c r="D2462" s="6" t="s">
        <v>344</v>
      </c>
      <c r="E2462" s="65" t="s">
        <v>4427</v>
      </c>
      <c r="F2462" s="6" t="s">
        <v>348</v>
      </c>
      <c r="G2462" s="3" t="s">
        <v>11450</v>
      </c>
      <c r="H2462" s="54">
        <v>0</v>
      </c>
      <c r="I2462" s="55">
        <v>470000000</v>
      </c>
      <c r="J2462" s="56" t="s">
        <v>229</v>
      </c>
      <c r="K2462" s="6" t="s">
        <v>8309</v>
      </c>
      <c r="L2462" s="17" t="s">
        <v>11411</v>
      </c>
      <c r="M2462" s="162" t="s">
        <v>230</v>
      </c>
      <c r="N2462" s="15" t="s">
        <v>521</v>
      </c>
      <c r="O2462" s="6" t="s">
        <v>4568</v>
      </c>
      <c r="P2462" s="58" t="s">
        <v>241</v>
      </c>
      <c r="Q2462" s="6" t="s">
        <v>234</v>
      </c>
      <c r="R2462" s="3">
        <v>100</v>
      </c>
      <c r="S2462" s="1">
        <v>375</v>
      </c>
      <c r="T2462" s="4">
        <v>0</v>
      </c>
      <c r="U2462" s="4">
        <f t="shared" si="70"/>
        <v>0</v>
      </c>
      <c r="V2462" s="166"/>
      <c r="W2462" s="3">
        <v>2014</v>
      </c>
      <c r="X2462" s="3">
        <v>14</v>
      </c>
    </row>
    <row r="2463" spans="1:24" ht="89.25">
      <c r="A2463" s="3" t="s">
        <v>17599</v>
      </c>
      <c r="B2463" s="6" t="s">
        <v>361</v>
      </c>
      <c r="C2463" s="42" t="s">
        <v>4426</v>
      </c>
      <c r="D2463" s="6" t="s">
        <v>344</v>
      </c>
      <c r="E2463" s="65" t="s">
        <v>4427</v>
      </c>
      <c r="F2463" s="6" t="s">
        <v>348</v>
      </c>
      <c r="G2463" s="3" t="s">
        <v>11450</v>
      </c>
      <c r="H2463" s="54">
        <v>0</v>
      </c>
      <c r="I2463" s="55">
        <v>470000000</v>
      </c>
      <c r="J2463" s="56" t="s">
        <v>229</v>
      </c>
      <c r="K2463" s="6" t="s">
        <v>8309</v>
      </c>
      <c r="L2463" s="17" t="s">
        <v>11411</v>
      </c>
      <c r="M2463" s="162" t="s">
        <v>230</v>
      </c>
      <c r="N2463" s="15" t="s">
        <v>17491</v>
      </c>
      <c r="O2463" s="6" t="s">
        <v>4568</v>
      </c>
      <c r="P2463" s="58" t="s">
        <v>241</v>
      </c>
      <c r="Q2463" s="6" t="s">
        <v>234</v>
      </c>
      <c r="R2463" s="3">
        <v>100</v>
      </c>
      <c r="S2463" s="1">
        <v>375</v>
      </c>
      <c r="T2463" s="4">
        <f>R2463*S2463</f>
        <v>37500</v>
      </c>
      <c r="U2463" s="4">
        <f t="shared" si="70"/>
        <v>42000.000000000007</v>
      </c>
      <c r="V2463" s="166"/>
      <c r="W2463" s="3">
        <v>2014</v>
      </c>
      <c r="X2463" s="3"/>
    </row>
    <row r="2464" spans="1:24" ht="89.25">
      <c r="A2464" s="3" t="s">
        <v>1451</v>
      </c>
      <c r="B2464" s="6" t="s">
        <v>361</v>
      </c>
      <c r="C2464" s="42" t="s">
        <v>4428</v>
      </c>
      <c r="D2464" s="6" t="s">
        <v>344</v>
      </c>
      <c r="E2464" s="65" t="s">
        <v>4429</v>
      </c>
      <c r="F2464" s="6" t="s">
        <v>11763</v>
      </c>
      <c r="G2464" s="3" t="s">
        <v>11450</v>
      </c>
      <c r="H2464" s="54">
        <v>0</v>
      </c>
      <c r="I2464" s="16">
        <v>470000000</v>
      </c>
      <c r="J2464" s="56" t="s">
        <v>229</v>
      </c>
      <c r="K2464" s="6" t="s">
        <v>516</v>
      </c>
      <c r="L2464" s="16" t="s">
        <v>4567</v>
      </c>
      <c r="M2464" s="162" t="s">
        <v>230</v>
      </c>
      <c r="N2464" s="15" t="s">
        <v>521</v>
      </c>
      <c r="O2464" s="6" t="s">
        <v>4568</v>
      </c>
      <c r="P2464" s="58" t="s">
        <v>241</v>
      </c>
      <c r="Q2464" s="6" t="s">
        <v>234</v>
      </c>
      <c r="R2464" s="4">
        <v>50</v>
      </c>
      <c r="S2464" s="74">
        <v>455</v>
      </c>
      <c r="T2464" s="4">
        <v>0</v>
      </c>
      <c r="U2464" s="4">
        <f t="shared" si="70"/>
        <v>0</v>
      </c>
      <c r="V2464" s="3" t="s">
        <v>362</v>
      </c>
      <c r="W2464" s="3">
        <v>2014</v>
      </c>
      <c r="X2464" s="3" t="s">
        <v>12037</v>
      </c>
    </row>
    <row r="2465" spans="1:24" ht="89.25">
      <c r="A2465" s="3" t="s">
        <v>12541</v>
      </c>
      <c r="B2465" s="6" t="s">
        <v>361</v>
      </c>
      <c r="C2465" s="42" t="s">
        <v>4428</v>
      </c>
      <c r="D2465" s="6" t="s">
        <v>344</v>
      </c>
      <c r="E2465" s="65" t="s">
        <v>4429</v>
      </c>
      <c r="F2465" s="6" t="s">
        <v>11763</v>
      </c>
      <c r="G2465" s="3" t="s">
        <v>11450</v>
      </c>
      <c r="H2465" s="54">
        <v>0</v>
      </c>
      <c r="I2465" s="16">
        <v>470000000</v>
      </c>
      <c r="J2465" s="56" t="s">
        <v>229</v>
      </c>
      <c r="K2465" s="6" t="s">
        <v>12441</v>
      </c>
      <c r="L2465" s="17" t="s">
        <v>11411</v>
      </c>
      <c r="M2465" s="162" t="s">
        <v>230</v>
      </c>
      <c r="N2465" s="15" t="s">
        <v>521</v>
      </c>
      <c r="O2465" s="6" t="s">
        <v>4568</v>
      </c>
      <c r="P2465" s="58" t="s">
        <v>241</v>
      </c>
      <c r="Q2465" s="6" t="s">
        <v>234</v>
      </c>
      <c r="R2465" s="4">
        <v>50</v>
      </c>
      <c r="S2465" s="74">
        <v>455</v>
      </c>
      <c r="T2465" s="4">
        <v>0</v>
      </c>
      <c r="U2465" s="4">
        <f t="shared" si="70"/>
        <v>0</v>
      </c>
      <c r="V2465" s="3"/>
      <c r="W2465" s="3">
        <v>2014</v>
      </c>
      <c r="X2465" s="3">
        <v>11</v>
      </c>
    </row>
    <row r="2466" spans="1:24" ht="89.25">
      <c r="A2466" s="3" t="s">
        <v>15638</v>
      </c>
      <c r="B2466" s="6" t="s">
        <v>361</v>
      </c>
      <c r="C2466" s="42" t="s">
        <v>4428</v>
      </c>
      <c r="D2466" s="6" t="s">
        <v>344</v>
      </c>
      <c r="E2466" s="65" t="s">
        <v>4429</v>
      </c>
      <c r="F2466" s="6" t="s">
        <v>11763</v>
      </c>
      <c r="G2466" s="3" t="s">
        <v>11450</v>
      </c>
      <c r="H2466" s="54">
        <v>0</v>
      </c>
      <c r="I2466" s="16">
        <v>470000000</v>
      </c>
      <c r="J2466" s="56" t="s">
        <v>229</v>
      </c>
      <c r="K2466" s="6" t="s">
        <v>8309</v>
      </c>
      <c r="L2466" s="17" t="s">
        <v>11411</v>
      </c>
      <c r="M2466" s="162" t="s">
        <v>230</v>
      </c>
      <c r="N2466" s="15" t="s">
        <v>521</v>
      </c>
      <c r="O2466" s="6" t="s">
        <v>4568</v>
      </c>
      <c r="P2466" s="58" t="s">
        <v>241</v>
      </c>
      <c r="Q2466" s="6" t="s">
        <v>234</v>
      </c>
      <c r="R2466" s="4">
        <v>50</v>
      </c>
      <c r="S2466" s="74">
        <v>455</v>
      </c>
      <c r="T2466" s="4">
        <v>0</v>
      </c>
      <c r="U2466" s="4">
        <f t="shared" si="70"/>
        <v>0</v>
      </c>
      <c r="V2466" s="3"/>
      <c r="W2466" s="3">
        <v>2014</v>
      </c>
      <c r="X2466" s="3">
        <v>14</v>
      </c>
    </row>
    <row r="2467" spans="1:24" ht="89.25">
      <c r="A2467" s="3" t="s">
        <v>17600</v>
      </c>
      <c r="B2467" s="6" t="s">
        <v>361</v>
      </c>
      <c r="C2467" s="42" t="s">
        <v>4428</v>
      </c>
      <c r="D2467" s="6" t="s">
        <v>344</v>
      </c>
      <c r="E2467" s="65" t="s">
        <v>4429</v>
      </c>
      <c r="F2467" s="6" t="s">
        <v>11763</v>
      </c>
      <c r="G2467" s="3" t="s">
        <v>11450</v>
      </c>
      <c r="H2467" s="54">
        <v>0</v>
      </c>
      <c r="I2467" s="16">
        <v>470000000</v>
      </c>
      <c r="J2467" s="56" t="s">
        <v>229</v>
      </c>
      <c r="K2467" s="6" t="s">
        <v>8309</v>
      </c>
      <c r="L2467" s="17" t="s">
        <v>11411</v>
      </c>
      <c r="M2467" s="162" t="s">
        <v>230</v>
      </c>
      <c r="N2467" s="15" t="s">
        <v>17491</v>
      </c>
      <c r="O2467" s="6" t="s">
        <v>4568</v>
      </c>
      <c r="P2467" s="58" t="s">
        <v>241</v>
      </c>
      <c r="Q2467" s="6" t="s">
        <v>234</v>
      </c>
      <c r="R2467" s="4">
        <v>50</v>
      </c>
      <c r="S2467" s="74">
        <v>455</v>
      </c>
      <c r="T2467" s="4">
        <f>R2467*S2467</f>
        <v>22750</v>
      </c>
      <c r="U2467" s="4">
        <f t="shared" si="70"/>
        <v>25480.000000000004</v>
      </c>
      <c r="V2467" s="3"/>
      <c r="W2467" s="3">
        <v>2014</v>
      </c>
      <c r="X2467" s="3"/>
    </row>
    <row r="2468" spans="1:24" ht="89.25">
      <c r="A2468" s="3" t="s">
        <v>1452</v>
      </c>
      <c r="B2468" s="6" t="s">
        <v>361</v>
      </c>
      <c r="C2468" s="42" t="s">
        <v>4430</v>
      </c>
      <c r="D2468" s="6" t="s">
        <v>344</v>
      </c>
      <c r="E2468" s="6" t="s">
        <v>4431</v>
      </c>
      <c r="F2468" s="6" t="s">
        <v>11764</v>
      </c>
      <c r="G2468" s="3" t="s">
        <v>11450</v>
      </c>
      <c r="H2468" s="54">
        <v>0</v>
      </c>
      <c r="I2468" s="55">
        <v>470000000</v>
      </c>
      <c r="J2468" s="56" t="s">
        <v>229</v>
      </c>
      <c r="K2468" s="6" t="s">
        <v>516</v>
      </c>
      <c r="L2468" s="16" t="s">
        <v>4570</v>
      </c>
      <c r="M2468" s="162" t="s">
        <v>230</v>
      </c>
      <c r="N2468" s="15" t="s">
        <v>521</v>
      </c>
      <c r="O2468" s="6" t="s">
        <v>4568</v>
      </c>
      <c r="P2468" s="58" t="s">
        <v>241</v>
      </c>
      <c r="Q2468" s="6" t="s">
        <v>234</v>
      </c>
      <c r="R2468" s="3">
        <v>50</v>
      </c>
      <c r="S2468" s="1">
        <v>455</v>
      </c>
      <c r="T2468" s="4">
        <v>0</v>
      </c>
      <c r="U2468" s="4">
        <f t="shared" si="70"/>
        <v>0</v>
      </c>
      <c r="V2468" s="166" t="s">
        <v>362</v>
      </c>
      <c r="W2468" s="3">
        <v>2014</v>
      </c>
      <c r="X2468" s="3" t="s">
        <v>12037</v>
      </c>
    </row>
    <row r="2469" spans="1:24" ht="89.25">
      <c r="A2469" s="3" t="s">
        <v>12542</v>
      </c>
      <c r="B2469" s="6" t="s">
        <v>361</v>
      </c>
      <c r="C2469" s="42" t="s">
        <v>4430</v>
      </c>
      <c r="D2469" s="6" t="s">
        <v>344</v>
      </c>
      <c r="E2469" s="6" t="s">
        <v>4431</v>
      </c>
      <c r="F2469" s="6" t="s">
        <v>11764</v>
      </c>
      <c r="G2469" s="3" t="s">
        <v>11450</v>
      </c>
      <c r="H2469" s="54">
        <v>0</v>
      </c>
      <c r="I2469" s="55">
        <v>470000000</v>
      </c>
      <c r="J2469" s="56" t="s">
        <v>229</v>
      </c>
      <c r="K2469" s="6" t="s">
        <v>12441</v>
      </c>
      <c r="L2469" s="17" t="s">
        <v>11411</v>
      </c>
      <c r="M2469" s="162" t="s">
        <v>230</v>
      </c>
      <c r="N2469" s="15" t="s">
        <v>521</v>
      </c>
      <c r="O2469" s="6" t="s">
        <v>4568</v>
      </c>
      <c r="P2469" s="58" t="s">
        <v>241</v>
      </c>
      <c r="Q2469" s="6" t="s">
        <v>234</v>
      </c>
      <c r="R2469" s="3">
        <v>50</v>
      </c>
      <c r="S2469" s="1">
        <v>455</v>
      </c>
      <c r="T2469" s="4">
        <v>0</v>
      </c>
      <c r="U2469" s="4">
        <f t="shared" si="70"/>
        <v>0</v>
      </c>
      <c r="V2469" s="166"/>
      <c r="W2469" s="3">
        <v>2014</v>
      </c>
      <c r="X2469" s="3">
        <v>11</v>
      </c>
    </row>
    <row r="2470" spans="1:24" ht="89.25">
      <c r="A2470" s="3" t="s">
        <v>15639</v>
      </c>
      <c r="B2470" s="6" t="s">
        <v>361</v>
      </c>
      <c r="C2470" s="42" t="s">
        <v>4430</v>
      </c>
      <c r="D2470" s="6" t="s">
        <v>344</v>
      </c>
      <c r="E2470" s="6" t="s">
        <v>4431</v>
      </c>
      <c r="F2470" s="6" t="s">
        <v>11764</v>
      </c>
      <c r="G2470" s="3" t="s">
        <v>11450</v>
      </c>
      <c r="H2470" s="54">
        <v>0</v>
      </c>
      <c r="I2470" s="55">
        <v>470000000</v>
      </c>
      <c r="J2470" s="56" t="s">
        <v>229</v>
      </c>
      <c r="K2470" s="6" t="s">
        <v>8309</v>
      </c>
      <c r="L2470" s="17" t="s">
        <v>11411</v>
      </c>
      <c r="M2470" s="162" t="s">
        <v>230</v>
      </c>
      <c r="N2470" s="15" t="s">
        <v>521</v>
      </c>
      <c r="O2470" s="6" t="s">
        <v>4568</v>
      </c>
      <c r="P2470" s="58" t="s">
        <v>241</v>
      </c>
      <c r="Q2470" s="6" t="s">
        <v>234</v>
      </c>
      <c r="R2470" s="3">
        <v>50</v>
      </c>
      <c r="S2470" s="1">
        <v>455</v>
      </c>
      <c r="T2470" s="4">
        <v>0</v>
      </c>
      <c r="U2470" s="4">
        <f t="shared" si="70"/>
        <v>0</v>
      </c>
      <c r="V2470" s="166"/>
      <c r="W2470" s="3">
        <v>2014</v>
      </c>
      <c r="X2470" s="3">
        <v>14</v>
      </c>
    </row>
    <row r="2471" spans="1:24" ht="89.25">
      <c r="A2471" s="3" t="s">
        <v>17601</v>
      </c>
      <c r="B2471" s="6" t="s">
        <v>361</v>
      </c>
      <c r="C2471" s="42" t="s">
        <v>4430</v>
      </c>
      <c r="D2471" s="6" t="s">
        <v>344</v>
      </c>
      <c r="E2471" s="6" t="s">
        <v>4431</v>
      </c>
      <c r="F2471" s="6" t="s">
        <v>11764</v>
      </c>
      <c r="G2471" s="3" t="s">
        <v>11450</v>
      </c>
      <c r="H2471" s="54">
        <v>0</v>
      </c>
      <c r="I2471" s="55">
        <v>470000000</v>
      </c>
      <c r="J2471" s="56" t="s">
        <v>229</v>
      </c>
      <c r="K2471" s="6" t="s">
        <v>8309</v>
      </c>
      <c r="L2471" s="17" t="s">
        <v>11411</v>
      </c>
      <c r="M2471" s="162" t="s">
        <v>230</v>
      </c>
      <c r="N2471" s="15" t="s">
        <v>17491</v>
      </c>
      <c r="O2471" s="6" t="s">
        <v>4568</v>
      </c>
      <c r="P2471" s="58" t="s">
        <v>241</v>
      </c>
      <c r="Q2471" s="6" t="s">
        <v>234</v>
      </c>
      <c r="R2471" s="3">
        <v>50</v>
      </c>
      <c r="S2471" s="1">
        <v>455</v>
      </c>
      <c r="T2471" s="4">
        <f>R2471*S2471</f>
        <v>22750</v>
      </c>
      <c r="U2471" s="4">
        <f t="shared" si="70"/>
        <v>25480.000000000004</v>
      </c>
      <c r="V2471" s="166"/>
      <c r="W2471" s="3">
        <v>2014</v>
      </c>
      <c r="X2471" s="3"/>
    </row>
    <row r="2472" spans="1:24" ht="89.25">
      <c r="A2472" s="3" t="s">
        <v>1453</v>
      </c>
      <c r="B2472" s="6" t="s">
        <v>361</v>
      </c>
      <c r="C2472" s="42" t="s">
        <v>4426</v>
      </c>
      <c r="D2472" s="6" t="s">
        <v>344</v>
      </c>
      <c r="E2472" s="6" t="s">
        <v>4427</v>
      </c>
      <c r="F2472" s="6" t="s">
        <v>11765</v>
      </c>
      <c r="G2472" s="3" t="s">
        <v>11450</v>
      </c>
      <c r="H2472" s="54">
        <v>0</v>
      </c>
      <c r="I2472" s="16">
        <v>470000000</v>
      </c>
      <c r="J2472" s="56" t="s">
        <v>229</v>
      </c>
      <c r="K2472" s="6" t="s">
        <v>516</v>
      </c>
      <c r="L2472" s="16" t="s">
        <v>4567</v>
      </c>
      <c r="M2472" s="162" t="s">
        <v>230</v>
      </c>
      <c r="N2472" s="15" t="s">
        <v>521</v>
      </c>
      <c r="O2472" s="6" t="s">
        <v>4568</v>
      </c>
      <c r="P2472" s="58" t="s">
        <v>241</v>
      </c>
      <c r="Q2472" s="6" t="s">
        <v>234</v>
      </c>
      <c r="R2472" s="4">
        <v>20</v>
      </c>
      <c r="S2472" s="74">
        <v>465</v>
      </c>
      <c r="T2472" s="4">
        <v>0</v>
      </c>
      <c r="U2472" s="4">
        <f t="shared" si="70"/>
        <v>0</v>
      </c>
      <c r="V2472" s="3" t="s">
        <v>362</v>
      </c>
      <c r="W2472" s="3">
        <v>2014</v>
      </c>
      <c r="X2472" s="3" t="s">
        <v>12037</v>
      </c>
    </row>
    <row r="2473" spans="1:24" ht="89.25">
      <c r="A2473" s="3" t="s">
        <v>12543</v>
      </c>
      <c r="B2473" s="6" t="s">
        <v>361</v>
      </c>
      <c r="C2473" s="42" t="s">
        <v>4426</v>
      </c>
      <c r="D2473" s="6" t="s">
        <v>344</v>
      </c>
      <c r="E2473" s="6" t="s">
        <v>4427</v>
      </c>
      <c r="F2473" s="6" t="s">
        <v>11765</v>
      </c>
      <c r="G2473" s="3" t="s">
        <v>11450</v>
      </c>
      <c r="H2473" s="54">
        <v>0</v>
      </c>
      <c r="I2473" s="16">
        <v>470000000</v>
      </c>
      <c r="J2473" s="56" t="s">
        <v>229</v>
      </c>
      <c r="K2473" s="6" t="s">
        <v>12441</v>
      </c>
      <c r="L2473" s="17" t="s">
        <v>11411</v>
      </c>
      <c r="M2473" s="162" t="s">
        <v>230</v>
      </c>
      <c r="N2473" s="15" t="s">
        <v>521</v>
      </c>
      <c r="O2473" s="6" t="s">
        <v>4568</v>
      </c>
      <c r="P2473" s="58" t="s">
        <v>241</v>
      </c>
      <c r="Q2473" s="6" t="s">
        <v>234</v>
      </c>
      <c r="R2473" s="4">
        <v>20</v>
      </c>
      <c r="S2473" s="74">
        <v>465</v>
      </c>
      <c r="T2473" s="4">
        <v>0</v>
      </c>
      <c r="U2473" s="4">
        <f t="shared" si="70"/>
        <v>0</v>
      </c>
      <c r="V2473" s="3"/>
      <c r="W2473" s="3">
        <v>2014</v>
      </c>
      <c r="X2473" s="3">
        <v>11</v>
      </c>
    </row>
    <row r="2474" spans="1:24" ht="89.25">
      <c r="A2474" s="3" t="s">
        <v>15640</v>
      </c>
      <c r="B2474" s="6" t="s">
        <v>361</v>
      </c>
      <c r="C2474" s="42" t="s">
        <v>4426</v>
      </c>
      <c r="D2474" s="6" t="s">
        <v>344</v>
      </c>
      <c r="E2474" s="6" t="s">
        <v>4427</v>
      </c>
      <c r="F2474" s="6" t="s">
        <v>11765</v>
      </c>
      <c r="G2474" s="3" t="s">
        <v>11450</v>
      </c>
      <c r="H2474" s="54">
        <v>0</v>
      </c>
      <c r="I2474" s="16">
        <v>470000000</v>
      </c>
      <c r="J2474" s="56" t="s">
        <v>229</v>
      </c>
      <c r="K2474" s="6" t="s">
        <v>8309</v>
      </c>
      <c r="L2474" s="17" t="s">
        <v>11411</v>
      </c>
      <c r="M2474" s="162" t="s">
        <v>230</v>
      </c>
      <c r="N2474" s="15" t="s">
        <v>521</v>
      </c>
      <c r="O2474" s="6" t="s">
        <v>4568</v>
      </c>
      <c r="P2474" s="58" t="s">
        <v>241</v>
      </c>
      <c r="Q2474" s="6" t="s">
        <v>234</v>
      </c>
      <c r="R2474" s="4">
        <v>20</v>
      </c>
      <c r="S2474" s="74">
        <v>465</v>
      </c>
      <c r="T2474" s="4">
        <v>0</v>
      </c>
      <c r="U2474" s="4">
        <f t="shared" si="70"/>
        <v>0</v>
      </c>
      <c r="V2474" s="3"/>
      <c r="W2474" s="3">
        <v>2014</v>
      </c>
      <c r="X2474" s="3">
        <v>14</v>
      </c>
    </row>
    <row r="2475" spans="1:24" ht="89.25">
      <c r="A2475" s="3" t="s">
        <v>17602</v>
      </c>
      <c r="B2475" s="6" t="s">
        <v>361</v>
      </c>
      <c r="C2475" s="42" t="s">
        <v>4426</v>
      </c>
      <c r="D2475" s="6" t="s">
        <v>344</v>
      </c>
      <c r="E2475" s="6" t="s">
        <v>4427</v>
      </c>
      <c r="F2475" s="6" t="s">
        <v>11765</v>
      </c>
      <c r="G2475" s="3" t="s">
        <v>11450</v>
      </c>
      <c r="H2475" s="54">
        <v>0</v>
      </c>
      <c r="I2475" s="16">
        <v>470000000</v>
      </c>
      <c r="J2475" s="56" t="s">
        <v>229</v>
      </c>
      <c r="K2475" s="6" t="s">
        <v>8309</v>
      </c>
      <c r="L2475" s="17" t="s">
        <v>11411</v>
      </c>
      <c r="M2475" s="162" t="s">
        <v>230</v>
      </c>
      <c r="N2475" s="15" t="s">
        <v>17491</v>
      </c>
      <c r="O2475" s="6" t="s">
        <v>4568</v>
      </c>
      <c r="P2475" s="58" t="s">
        <v>241</v>
      </c>
      <c r="Q2475" s="6" t="s">
        <v>234</v>
      </c>
      <c r="R2475" s="4">
        <v>20</v>
      </c>
      <c r="S2475" s="74">
        <v>465</v>
      </c>
      <c r="T2475" s="4">
        <f>R2475*S2475</f>
        <v>9300</v>
      </c>
      <c r="U2475" s="4">
        <f t="shared" si="70"/>
        <v>10416.000000000002</v>
      </c>
      <c r="V2475" s="3"/>
      <c r="W2475" s="3">
        <v>2014</v>
      </c>
      <c r="X2475" s="3"/>
    </row>
    <row r="2476" spans="1:24" ht="89.25">
      <c r="A2476" s="3" t="s">
        <v>1454</v>
      </c>
      <c r="B2476" s="6" t="s">
        <v>361</v>
      </c>
      <c r="C2476" s="42" t="s">
        <v>4432</v>
      </c>
      <c r="D2476" s="6" t="s">
        <v>4433</v>
      </c>
      <c r="E2476" s="6" t="s">
        <v>4434</v>
      </c>
      <c r="F2476" s="6" t="s">
        <v>4743</v>
      </c>
      <c r="G2476" s="3" t="s">
        <v>11450</v>
      </c>
      <c r="H2476" s="54">
        <v>0</v>
      </c>
      <c r="I2476" s="55">
        <v>470000000</v>
      </c>
      <c r="J2476" s="56" t="s">
        <v>229</v>
      </c>
      <c r="K2476" s="6" t="s">
        <v>516</v>
      </c>
      <c r="L2476" s="16" t="s">
        <v>4570</v>
      </c>
      <c r="M2476" s="162" t="s">
        <v>230</v>
      </c>
      <c r="N2476" s="15" t="s">
        <v>521</v>
      </c>
      <c r="O2476" s="6" t="s">
        <v>4568</v>
      </c>
      <c r="P2476" s="58" t="s">
        <v>241</v>
      </c>
      <c r="Q2476" s="6" t="s">
        <v>234</v>
      </c>
      <c r="R2476" s="3">
        <v>20</v>
      </c>
      <c r="S2476" s="1">
        <v>160</v>
      </c>
      <c r="T2476" s="4">
        <v>0</v>
      </c>
      <c r="U2476" s="4">
        <f t="shared" si="70"/>
        <v>0</v>
      </c>
      <c r="V2476" s="166" t="s">
        <v>362</v>
      </c>
      <c r="W2476" s="3">
        <v>2014</v>
      </c>
      <c r="X2476" s="3" t="s">
        <v>12037</v>
      </c>
    </row>
    <row r="2477" spans="1:24" ht="89.25">
      <c r="A2477" s="3" t="s">
        <v>12544</v>
      </c>
      <c r="B2477" s="6" t="s">
        <v>361</v>
      </c>
      <c r="C2477" s="42" t="s">
        <v>4432</v>
      </c>
      <c r="D2477" s="6" t="s">
        <v>4433</v>
      </c>
      <c r="E2477" s="6" t="s">
        <v>4434</v>
      </c>
      <c r="F2477" s="6" t="s">
        <v>4743</v>
      </c>
      <c r="G2477" s="3" t="s">
        <v>11450</v>
      </c>
      <c r="H2477" s="54">
        <v>0</v>
      </c>
      <c r="I2477" s="55">
        <v>470000000</v>
      </c>
      <c r="J2477" s="56" t="s">
        <v>229</v>
      </c>
      <c r="K2477" s="6" t="s">
        <v>12441</v>
      </c>
      <c r="L2477" s="17" t="s">
        <v>11411</v>
      </c>
      <c r="M2477" s="162" t="s">
        <v>230</v>
      </c>
      <c r="N2477" s="15" t="s">
        <v>521</v>
      </c>
      <c r="O2477" s="6" t="s">
        <v>4568</v>
      </c>
      <c r="P2477" s="58" t="s">
        <v>241</v>
      </c>
      <c r="Q2477" s="6" t="s">
        <v>234</v>
      </c>
      <c r="R2477" s="3">
        <v>20</v>
      </c>
      <c r="S2477" s="1">
        <v>160</v>
      </c>
      <c r="T2477" s="4">
        <v>0</v>
      </c>
      <c r="U2477" s="4">
        <f t="shared" si="70"/>
        <v>0</v>
      </c>
      <c r="V2477" s="166"/>
      <c r="W2477" s="3">
        <v>2014</v>
      </c>
      <c r="X2477" s="3" t="s">
        <v>12051</v>
      </c>
    </row>
    <row r="2478" spans="1:24" ht="89.25">
      <c r="A2478" s="3" t="s">
        <v>14923</v>
      </c>
      <c r="B2478" s="6" t="s">
        <v>361</v>
      </c>
      <c r="C2478" s="42" t="s">
        <v>4432</v>
      </c>
      <c r="D2478" s="6" t="s">
        <v>4433</v>
      </c>
      <c r="E2478" s="6" t="s">
        <v>4434</v>
      </c>
      <c r="F2478" s="6" t="s">
        <v>4743</v>
      </c>
      <c r="G2478" s="3" t="s">
        <v>11450</v>
      </c>
      <c r="H2478" s="54">
        <v>0</v>
      </c>
      <c r="I2478" s="55">
        <v>470000000</v>
      </c>
      <c r="J2478" s="56" t="s">
        <v>229</v>
      </c>
      <c r="K2478" s="6" t="s">
        <v>14920</v>
      </c>
      <c r="L2478" s="17" t="s">
        <v>11411</v>
      </c>
      <c r="M2478" s="162" t="s">
        <v>230</v>
      </c>
      <c r="N2478" s="15" t="s">
        <v>521</v>
      </c>
      <c r="O2478" s="6" t="s">
        <v>4568</v>
      </c>
      <c r="P2478" s="58" t="s">
        <v>241</v>
      </c>
      <c r="Q2478" s="6" t="s">
        <v>234</v>
      </c>
      <c r="R2478" s="3">
        <v>150</v>
      </c>
      <c r="S2478" s="1">
        <v>175</v>
      </c>
      <c r="T2478" s="4">
        <v>0</v>
      </c>
      <c r="U2478" s="4">
        <f t="shared" si="70"/>
        <v>0</v>
      </c>
      <c r="V2478" s="166"/>
      <c r="W2478" s="3">
        <v>2014</v>
      </c>
      <c r="X2478" s="3">
        <v>11.14</v>
      </c>
    </row>
    <row r="2479" spans="1:24" ht="89.25">
      <c r="A2479" s="3" t="s">
        <v>17603</v>
      </c>
      <c r="B2479" s="6" t="s">
        <v>361</v>
      </c>
      <c r="C2479" s="42" t="s">
        <v>4432</v>
      </c>
      <c r="D2479" s="6" t="s">
        <v>4433</v>
      </c>
      <c r="E2479" s="6" t="s">
        <v>4434</v>
      </c>
      <c r="F2479" s="6" t="s">
        <v>4743</v>
      </c>
      <c r="G2479" s="3" t="s">
        <v>11450</v>
      </c>
      <c r="H2479" s="54">
        <v>0</v>
      </c>
      <c r="I2479" s="55">
        <v>470000000</v>
      </c>
      <c r="J2479" s="56" t="s">
        <v>229</v>
      </c>
      <c r="K2479" s="6" t="s">
        <v>222</v>
      </c>
      <c r="L2479" s="17" t="s">
        <v>11411</v>
      </c>
      <c r="M2479" s="162" t="s">
        <v>230</v>
      </c>
      <c r="N2479" s="15" t="s">
        <v>17491</v>
      </c>
      <c r="O2479" s="6" t="s">
        <v>4568</v>
      </c>
      <c r="P2479" s="58" t="s">
        <v>241</v>
      </c>
      <c r="Q2479" s="6" t="s">
        <v>234</v>
      </c>
      <c r="R2479" s="3">
        <v>150</v>
      </c>
      <c r="S2479" s="1">
        <v>175</v>
      </c>
      <c r="T2479" s="4">
        <f>R2479*S2479</f>
        <v>26250</v>
      </c>
      <c r="U2479" s="4">
        <f t="shared" si="70"/>
        <v>29400.000000000004</v>
      </c>
      <c r="V2479" s="166"/>
      <c r="W2479" s="3">
        <v>2014</v>
      </c>
      <c r="X2479" s="3"/>
    </row>
    <row r="2480" spans="1:24" ht="89.25">
      <c r="A2480" s="3" t="s">
        <v>1455</v>
      </c>
      <c r="B2480" s="6" t="s">
        <v>361</v>
      </c>
      <c r="C2480" s="42" t="s">
        <v>4435</v>
      </c>
      <c r="D2480" s="6" t="s">
        <v>4436</v>
      </c>
      <c r="E2480" s="6" t="s">
        <v>4437</v>
      </c>
      <c r="F2480" s="6" t="s">
        <v>4744</v>
      </c>
      <c r="G2480" s="3" t="s">
        <v>11450</v>
      </c>
      <c r="H2480" s="54">
        <v>0</v>
      </c>
      <c r="I2480" s="16">
        <v>470000000</v>
      </c>
      <c r="J2480" s="56" t="s">
        <v>229</v>
      </c>
      <c r="K2480" s="6" t="s">
        <v>516</v>
      </c>
      <c r="L2480" s="16" t="s">
        <v>4567</v>
      </c>
      <c r="M2480" s="162" t="s">
        <v>230</v>
      </c>
      <c r="N2480" s="15" t="s">
        <v>521</v>
      </c>
      <c r="O2480" s="6" t="s">
        <v>4568</v>
      </c>
      <c r="P2480" s="58" t="s">
        <v>241</v>
      </c>
      <c r="Q2480" s="6" t="s">
        <v>234</v>
      </c>
      <c r="R2480" s="4">
        <v>35</v>
      </c>
      <c r="S2480" s="74">
        <v>9268</v>
      </c>
      <c r="T2480" s="4">
        <v>0</v>
      </c>
      <c r="U2480" s="4">
        <f t="shared" si="70"/>
        <v>0</v>
      </c>
      <c r="V2480" s="3" t="s">
        <v>362</v>
      </c>
      <c r="W2480" s="3">
        <v>2014</v>
      </c>
      <c r="X2480" s="3" t="s">
        <v>12037</v>
      </c>
    </row>
    <row r="2481" spans="1:24" ht="89.25">
      <c r="A2481" s="3" t="s">
        <v>12545</v>
      </c>
      <c r="B2481" s="6" t="s">
        <v>361</v>
      </c>
      <c r="C2481" s="42" t="s">
        <v>4435</v>
      </c>
      <c r="D2481" s="6" t="s">
        <v>4436</v>
      </c>
      <c r="E2481" s="6" t="s">
        <v>4437</v>
      </c>
      <c r="F2481" s="6" t="s">
        <v>4744</v>
      </c>
      <c r="G2481" s="3" t="s">
        <v>11450</v>
      </c>
      <c r="H2481" s="54">
        <v>0</v>
      </c>
      <c r="I2481" s="16">
        <v>470000000</v>
      </c>
      <c r="J2481" s="56" t="s">
        <v>229</v>
      </c>
      <c r="K2481" s="6" t="s">
        <v>12441</v>
      </c>
      <c r="L2481" s="17" t="s">
        <v>11411</v>
      </c>
      <c r="M2481" s="162" t="s">
        <v>230</v>
      </c>
      <c r="N2481" s="15" t="s">
        <v>521</v>
      </c>
      <c r="O2481" s="6" t="s">
        <v>4568</v>
      </c>
      <c r="P2481" s="58" t="s">
        <v>241</v>
      </c>
      <c r="Q2481" s="6" t="s">
        <v>234</v>
      </c>
      <c r="R2481" s="4">
        <v>35</v>
      </c>
      <c r="S2481" s="74">
        <v>9268</v>
      </c>
      <c r="T2481" s="4">
        <v>0</v>
      </c>
      <c r="U2481" s="4">
        <f t="shared" si="70"/>
        <v>0</v>
      </c>
      <c r="V2481" s="3"/>
      <c r="W2481" s="3">
        <v>2014</v>
      </c>
      <c r="X2481" s="3">
        <v>11</v>
      </c>
    </row>
    <row r="2482" spans="1:24" ht="89.25">
      <c r="A2482" s="3" t="s">
        <v>15641</v>
      </c>
      <c r="B2482" s="6" t="s">
        <v>361</v>
      </c>
      <c r="C2482" s="42" t="s">
        <v>4435</v>
      </c>
      <c r="D2482" s="6" t="s">
        <v>4436</v>
      </c>
      <c r="E2482" s="6" t="s">
        <v>4437</v>
      </c>
      <c r="F2482" s="6" t="s">
        <v>4744</v>
      </c>
      <c r="G2482" s="3" t="s">
        <v>11450</v>
      </c>
      <c r="H2482" s="54">
        <v>0</v>
      </c>
      <c r="I2482" s="16">
        <v>470000000</v>
      </c>
      <c r="J2482" s="56" t="s">
        <v>229</v>
      </c>
      <c r="K2482" s="6" t="s">
        <v>8309</v>
      </c>
      <c r="L2482" s="17" t="s">
        <v>11411</v>
      </c>
      <c r="M2482" s="162" t="s">
        <v>230</v>
      </c>
      <c r="N2482" s="15" t="s">
        <v>521</v>
      </c>
      <c r="O2482" s="6" t="s">
        <v>4568</v>
      </c>
      <c r="P2482" s="58" t="s">
        <v>241</v>
      </c>
      <c r="Q2482" s="6" t="s">
        <v>234</v>
      </c>
      <c r="R2482" s="4">
        <v>35</v>
      </c>
      <c r="S2482" s="74">
        <v>9268</v>
      </c>
      <c r="T2482" s="4">
        <v>0</v>
      </c>
      <c r="U2482" s="4">
        <f t="shared" si="70"/>
        <v>0</v>
      </c>
      <c r="V2482" s="3"/>
      <c r="W2482" s="3">
        <v>2014</v>
      </c>
      <c r="X2482" s="3">
        <v>14</v>
      </c>
    </row>
    <row r="2483" spans="1:24" ht="89.25">
      <c r="A2483" s="3" t="s">
        <v>17604</v>
      </c>
      <c r="B2483" s="6" t="s">
        <v>361</v>
      </c>
      <c r="C2483" s="42" t="s">
        <v>4435</v>
      </c>
      <c r="D2483" s="6" t="s">
        <v>4436</v>
      </c>
      <c r="E2483" s="6" t="s">
        <v>4437</v>
      </c>
      <c r="F2483" s="6" t="s">
        <v>4744</v>
      </c>
      <c r="G2483" s="3" t="s">
        <v>11450</v>
      </c>
      <c r="H2483" s="54">
        <v>0</v>
      </c>
      <c r="I2483" s="16">
        <v>470000000</v>
      </c>
      <c r="J2483" s="56" t="s">
        <v>229</v>
      </c>
      <c r="K2483" s="6" t="s">
        <v>8309</v>
      </c>
      <c r="L2483" s="17" t="s">
        <v>11411</v>
      </c>
      <c r="M2483" s="162" t="s">
        <v>230</v>
      </c>
      <c r="N2483" s="15" t="s">
        <v>17491</v>
      </c>
      <c r="O2483" s="6" t="s">
        <v>4568</v>
      </c>
      <c r="P2483" s="58" t="s">
        <v>241</v>
      </c>
      <c r="Q2483" s="6" t="s">
        <v>234</v>
      </c>
      <c r="R2483" s="4">
        <v>35</v>
      </c>
      <c r="S2483" s="74">
        <v>9268</v>
      </c>
      <c r="T2483" s="4">
        <f>R2483*S2483</f>
        <v>324380</v>
      </c>
      <c r="U2483" s="4">
        <f t="shared" si="70"/>
        <v>363305.60000000003</v>
      </c>
      <c r="V2483" s="3"/>
      <c r="W2483" s="3">
        <v>2014</v>
      </c>
      <c r="X2483" s="3"/>
    </row>
    <row r="2484" spans="1:24" ht="89.25">
      <c r="A2484" s="3" t="s">
        <v>1456</v>
      </c>
      <c r="B2484" s="6" t="s">
        <v>361</v>
      </c>
      <c r="C2484" s="42" t="s">
        <v>4438</v>
      </c>
      <c r="D2484" s="6" t="s">
        <v>4436</v>
      </c>
      <c r="E2484" s="6" t="s">
        <v>4439</v>
      </c>
      <c r="F2484" s="6" t="s">
        <v>4745</v>
      </c>
      <c r="G2484" s="3" t="s">
        <v>11450</v>
      </c>
      <c r="H2484" s="54">
        <v>0</v>
      </c>
      <c r="I2484" s="55">
        <v>470000000</v>
      </c>
      <c r="J2484" s="56" t="s">
        <v>229</v>
      </c>
      <c r="K2484" s="6" t="s">
        <v>516</v>
      </c>
      <c r="L2484" s="16" t="s">
        <v>4570</v>
      </c>
      <c r="M2484" s="162" t="s">
        <v>230</v>
      </c>
      <c r="N2484" s="15" t="s">
        <v>521</v>
      </c>
      <c r="O2484" s="6" t="s">
        <v>4568</v>
      </c>
      <c r="P2484" s="58" t="s">
        <v>241</v>
      </c>
      <c r="Q2484" s="6" t="s">
        <v>234</v>
      </c>
      <c r="R2484" s="3">
        <v>470</v>
      </c>
      <c r="S2484" s="1">
        <v>7259</v>
      </c>
      <c r="T2484" s="4">
        <v>0</v>
      </c>
      <c r="U2484" s="4">
        <f t="shared" si="70"/>
        <v>0</v>
      </c>
      <c r="V2484" s="166" t="s">
        <v>362</v>
      </c>
      <c r="W2484" s="3">
        <v>2014</v>
      </c>
      <c r="X2484" s="3" t="s">
        <v>12037</v>
      </c>
    </row>
    <row r="2485" spans="1:24" ht="89.25">
      <c r="A2485" s="3" t="s">
        <v>12546</v>
      </c>
      <c r="B2485" s="6" t="s">
        <v>361</v>
      </c>
      <c r="C2485" s="42" t="s">
        <v>4438</v>
      </c>
      <c r="D2485" s="6" t="s">
        <v>4436</v>
      </c>
      <c r="E2485" s="6" t="s">
        <v>4439</v>
      </c>
      <c r="F2485" s="6" t="s">
        <v>4745</v>
      </c>
      <c r="G2485" s="3" t="s">
        <v>11450</v>
      </c>
      <c r="H2485" s="54">
        <v>0</v>
      </c>
      <c r="I2485" s="55">
        <v>470000000</v>
      </c>
      <c r="J2485" s="56" t="s">
        <v>229</v>
      </c>
      <c r="K2485" s="6" t="s">
        <v>12441</v>
      </c>
      <c r="L2485" s="17" t="s">
        <v>11411</v>
      </c>
      <c r="M2485" s="162" t="s">
        <v>230</v>
      </c>
      <c r="N2485" s="15" t="s">
        <v>521</v>
      </c>
      <c r="O2485" s="6" t="s">
        <v>4568</v>
      </c>
      <c r="P2485" s="58" t="s">
        <v>241</v>
      </c>
      <c r="Q2485" s="6" t="s">
        <v>234</v>
      </c>
      <c r="R2485" s="3">
        <v>470</v>
      </c>
      <c r="S2485" s="1">
        <v>7259</v>
      </c>
      <c r="T2485" s="4">
        <v>0</v>
      </c>
      <c r="U2485" s="4">
        <f t="shared" si="70"/>
        <v>0</v>
      </c>
      <c r="V2485" s="166"/>
      <c r="W2485" s="3">
        <v>2014</v>
      </c>
      <c r="X2485" s="3">
        <v>11</v>
      </c>
    </row>
    <row r="2486" spans="1:24" ht="89.25">
      <c r="A2486" s="3" t="s">
        <v>15642</v>
      </c>
      <c r="B2486" s="6" t="s">
        <v>361</v>
      </c>
      <c r="C2486" s="42" t="s">
        <v>4438</v>
      </c>
      <c r="D2486" s="6" t="s">
        <v>4436</v>
      </c>
      <c r="E2486" s="6" t="s">
        <v>4439</v>
      </c>
      <c r="F2486" s="6" t="s">
        <v>4745</v>
      </c>
      <c r="G2486" s="3" t="s">
        <v>11450</v>
      </c>
      <c r="H2486" s="54">
        <v>0</v>
      </c>
      <c r="I2486" s="55">
        <v>470000000</v>
      </c>
      <c r="J2486" s="56" t="s">
        <v>229</v>
      </c>
      <c r="K2486" s="6" t="s">
        <v>8309</v>
      </c>
      <c r="L2486" s="17" t="s">
        <v>11411</v>
      </c>
      <c r="M2486" s="162" t="s">
        <v>230</v>
      </c>
      <c r="N2486" s="15" t="s">
        <v>521</v>
      </c>
      <c r="O2486" s="6" t="s">
        <v>4568</v>
      </c>
      <c r="P2486" s="58" t="s">
        <v>241</v>
      </c>
      <c r="Q2486" s="6" t="s">
        <v>234</v>
      </c>
      <c r="R2486" s="3">
        <v>0</v>
      </c>
      <c r="S2486" s="1">
        <v>7259</v>
      </c>
      <c r="T2486" s="4">
        <f>R2486*S2486</f>
        <v>0</v>
      </c>
      <c r="U2486" s="4">
        <f t="shared" si="70"/>
        <v>0</v>
      </c>
      <c r="V2486" s="166"/>
      <c r="W2486" s="3">
        <v>2014</v>
      </c>
      <c r="X2486" s="3" t="s">
        <v>12076</v>
      </c>
    </row>
    <row r="2487" spans="1:24" ht="89.25">
      <c r="A2487" s="3" t="s">
        <v>1457</v>
      </c>
      <c r="B2487" s="6" t="s">
        <v>361</v>
      </c>
      <c r="C2487" s="42" t="s">
        <v>4440</v>
      </c>
      <c r="D2487" s="42" t="s">
        <v>4441</v>
      </c>
      <c r="E2487" s="42" t="s">
        <v>4442</v>
      </c>
      <c r="F2487" s="6" t="s">
        <v>349</v>
      </c>
      <c r="G2487" s="3" t="s">
        <v>11450</v>
      </c>
      <c r="H2487" s="54">
        <v>0</v>
      </c>
      <c r="I2487" s="16">
        <v>470000000</v>
      </c>
      <c r="J2487" s="56" t="s">
        <v>229</v>
      </c>
      <c r="K2487" s="6" t="s">
        <v>516</v>
      </c>
      <c r="L2487" s="16" t="s">
        <v>4567</v>
      </c>
      <c r="M2487" s="162" t="s">
        <v>230</v>
      </c>
      <c r="N2487" s="15" t="s">
        <v>521</v>
      </c>
      <c r="O2487" s="6" t="s">
        <v>4568</v>
      </c>
      <c r="P2487" s="58" t="s">
        <v>241</v>
      </c>
      <c r="Q2487" s="6" t="s">
        <v>234</v>
      </c>
      <c r="R2487" s="4">
        <v>800</v>
      </c>
      <c r="S2487" s="74">
        <v>72</v>
      </c>
      <c r="T2487" s="4">
        <v>0</v>
      </c>
      <c r="U2487" s="4">
        <f t="shared" si="70"/>
        <v>0</v>
      </c>
      <c r="V2487" s="3" t="s">
        <v>362</v>
      </c>
      <c r="W2487" s="3">
        <v>2014</v>
      </c>
      <c r="X2487" s="3" t="s">
        <v>12037</v>
      </c>
    </row>
    <row r="2488" spans="1:24" ht="89.25">
      <c r="A2488" s="3" t="s">
        <v>12547</v>
      </c>
      <c r="B2488" s="6" t="s">
        <v>361</v>
      </c>
      <c r="C2488" s="42" t="s">
        <v>4440</v>
      </c>
      <c r="D2488" s="42" t="s">
        <v>4441</v>
      </c>
      <c r="E2488" s="42" t="s">
        <v>4442</v>
      </c>
      <c r="F2488" s="6" t="s">
        <v>349</v>
      </c>
      <c r="G2488" s="3" t="s">
        <v>11450</v>
      </c>
      <c r="H2488" s="54">
        <v>0</v>
      </c>
      <c r="I2488" s="16">
        <v>470000000</v>
      </c>
      <c r="J2488" s="56" t="s">
        <v>229</v>
      </c>
      <c r="K2488" s="6" t="s">
        <v>12441</v>
      </c>
      <c r="L2488" s="17" t="s">
        <v>11411</v>
      </c>
      <c r="M2488" s="162" t="s">
        <v>230</v>
      </c>
      <c r="N2488" s="15" t="s">
        <v>521</v>
      </c>
      <c r="O2488" s="6" t="s">
        <v>4568</v>
      </c>
      <c r="P2488" s="58" t="s">
        <v>241</v>
      </c>
      <c r="Q2488" s="6" t="s">
        <v>234</v>
      </c>
      <c r="R2488" s="4">
        <v>800</v>
      </c>
      <c r="S2488" s="74">
        <v>72</v>
      </c>
      <c r="T2488" s="4">
        <v>0</v>
      </c>
      <c r="U2488" s="4">
        <f t="shared" si="70"/>
        <v>0</v>
      </c>
      <c r="V2488" s="3"/>
      <c r="W2488" s="3">
        <v>2014</v>
      </c>
      <c r="X2488" s="3">
        <v>11</v>
      </c>
    </row>
    <row r="2489" spans="1:24" ht="89.25">
      <c r="A2489" s="3" t="s">
        <v>15643</v>
      </c>
      <c r="B2489" s="6" t="s">
        <v>361</v>
      </c>
      <c r="C2489" s="42" t="s">
        <v>4440</v>
      </c>
      <c r="D2489" s="42" t="s">
        <v>4441</v>
      </c>
      <c r="E2489" s="42" t="s">
        <v>4442</v>
      </c>
      <c r="F2489" s="6" t="s">
        <v>349</v>
      </c>
      <c r="G2489" s="3" t="s">
        <v>11450</v>
      </c>
      <c r="H2489" s="54">
        <v>0</v>
      </c>
      <c r="I2489" s="16">
        <v>470000000</v>
      </c>
      <c r="J2489" s="56" t="s">
        <v>229</v>
      </c>
      <c r="K2489" s="6" t="s">
        <v>8309</v>
      </c>
      <c r="L2489" s="17" t="s">
        <v>11411</v>
      </c>
      <c r="M2489" s="162" t="s">
        <v>230</v>
      </c>
      <c r="N2489" s="15" t="s">
        <v>521</v>
      </c>
      <c r="O2489" s="6" t="s">
        <v>4568</v>
      </c>
      <c r="P2489" s="58" t="s">
        <v>241</v>
      </c>
      <c r="Q2489" s="6" t="s">
        <v>234</v>
      </c>
      <c r="R2489" s="4">
        <v>800</v>
      </c>
      <c r="S2489" s="74">
        <v>72</v>
      </c>
      <c r="T2489" s="4">
        <v>0</v>
      </c>
      <c r="U2489" s="4">
        <f t="shared" si="70"/>
        <v>0</v>
      </c>
      <c r="V2489" s="3"/>
      <c r="W2489" s="3">
        <v>2014</v>
      </c>
      <c r="X2489" s="3">
        <v>14</v>
      </c>
    </row>
    <row r="2490" spans="1:24" ht="89.25">
      <c r="A2490" s="3" t="s">
        <v>17605</v>
      </c>
      <c r="B2490" s="6" t="s">
        <v>361</v>
      </c>
      <c r="C2490" s="42" t="s">
        <v>4440</v>
      </c>
      <c r="D2490" s="42" t="s">
        <v>4441</v>
      </c>
      <c r="E2490" s="42" t="s">
        <v>4442</v>
      </c>
      <c r="F2490" s="6" t="s">
        <v>349</v>
      </c>
      <c r="G2490" s="3" t="s">
        <v>11450</v>
      </c>
      <c r="H2490" s="54">
        <v>0</v>
      </c>
      <c r="I2490" s="16">
        <v>470000000</v>
      </c>
      <c r="J2490" s="56" t="s">
        <v>229</v>
      </c>
      <c r="K2490" s="6" t="s">
        <v>8309</v>
      </c>
      <c r="L2490" s="17" t="s">
        <v>11411</v>
      </c>
      <c r="M2490" s="162" t="s">
        <v>230</v>
      </c>
      <c r="N2490" s="15" t="s">
        <v>17491</v>
      </c>
      <c r="O2490" s="6" t="s">
        <v>4568</v>
      </c>
      <c r="P2490" s="58" t="s">
        <v>241</v>
      </c>
      <c r="Q2490" s="6" t="s">
        <v>234</v>
      </c>
      <c r="R2490" s="4">
        <v>800</v>
      </c>
      <c r="S2490" s="74">
        <v>72</v>
      </c>
      <c r="T2490" s="4">
        <v>0</v>
      </c>
      <c r="U2490" s="4">
        <f t="shared" si="70"/>
        <v>0</v>
      </c>
      <c r="V2490" s="3"/>
      <c r="W2490" s="3">
        <v>2014</v>
      </c>
      <c r="X2490" s="3" t="s">
        <v>12076</v>
      </c>
    </row>
    <row r="2491" spans="1:24" ht="89.25">
      <c r="A2491" s="3" t="s">
        <v>1458</v>
      </c>
      <c r="B2491" s="6" t="s">
        <v>361</v>
      </c>
      <c r="C2491" s="42" t="s">
        <v>4440</v>
      </c>
      <c r="D2491" s="42" t="s">
        <v>4441</v>
      </c>
      <c r="E2491" s="42" t="s">
        <v>4442</v>
      </c>
      <c r="F2491" s="6" t="s">
        <v>350</v>
      </c>
      <c r="G2491" s="3" t="s">
        <v>11450</v>
      </c>
      <c r="H2491" s="54">
        <v>0</v>
      </c>
      <c r="I2491" s="55">
        <v>470000000</v>
      </c>
      <c r="J2491" s="56" t="s">
        <v>229</v>
      </c>
      <c r="K2491" s="6" t="s">
        <v>516</v>
      </c>
      <c r="L2491" s="16" t="s">
        <v>4570</v>
      </c>
      <c r="M2491" s="162" t="s">
        <v>230</v>
      </c>
      <c r="N2491" s="15" t="s">
        <v>521</v>
      </c>
      <c r="O2491" s="6" t="s">
        <v>4568</v>
      </c>
      <c r="P2491" s="58" t="s">
        <v>241</v>
      </c>
      <c r="Q2491" s="6" t="s">
        <v>234</v>
      </c>
      <c r="R2491" s="3">
        <v>700</v>
      </c>
      <c r="S2491" s="1">
        <v>62</v>
      </c>
      <c r="T2491" s="4">
        <v>0</v>
      </c>
      <c r="U2491" s="4">
        <f t="shared" si="70"/>
        <v>0</v>
      </c>
      <c r="V2491" s="166" t="s">
        <v>362</v>
      </c>
      <c r="W2491" s="3">
        <v>2014</v>
      </c>
      <c r="X2491" s="3" t="s">
        <v>12037</v>
      </c>
    </row>
    <row r="2492" spans="1:24" ht="89.25">
      <c r="A2492" s="3" t="s">
        <v>12548</v>
      </c>
      <c r="B2492" s="6" t="s">
        <v>361</v>
      </c>
      <c r="C2492" s="42" t="s">
        <v>4440</v>
      </c>
      <c r="D2492" s="42" t="s">
        <v>4441</v>
      </c>
      <c r="E2492" s="42" t="s">
        <v>4442</v>
      </c>
      <c r="F2492" s="6" t="s">
        <v>350</v>
      </c>
      <c r="G2492" s="3" t="s">
        <v>11450</v>
      </c>
      <c r="H2492" s="54">
        <v>0</v>
      </c>
      <c r="I2492" s="55">
        <v>470000000</v>
      </c>
      <c r="J2492" s="56" t="s">
        <v>229</v>
      </c>
      <c r="K2492" s="6" t="s">
        <v>12441</v>
      </c>
      <c r="L2492" s="17" t="s">
        <v>11411</v>
      </c>
      <c r="M2492" s="162" t="s">
        <v>230</v>
      </c>
      <c r="N2492" s="15" t="s">
        <v>521</v>
      </c>
      <c r="O2492" s="6" t="s">
        <v>4568</v>
      </c>
      <c r="P2492" s="58" t="s">
        <v>241</v>
      </c>
      <c r="Q2492" s="6" t="s">
        <v>234</v>
      </c>
      <c r="R2492" s="3">
        <v>700</v>
      </c>
      <c r="S2492" s="1">
        <v>62</v>
      </c>
      <c r="T2492" s="4">
        <v>0</v>
      </c>
      <c r="U2492" s="4">
        <f t="shared" si="70"/>
        <v>0</v>
      </c>
      <c r="V2492" s="166"/>
      <c r="W2492" s="3">
        <v>2014</v>
      </c>
      <c r="X2492" s="3">
        <v>11</v>
      </c>
    </row>
    <row r="2493" spans="1:24" ht="89.25">
      <c r="A2493" s="3" t="s">
        <v>15644</v>
      </c>
      <c r="B2493" s="6" t="s">
        <v>361</v>
      </c>
      <c r="C2493" s="42" t="s">
        <v>4440</v>
      </c>
      <c r="D2493" s="42" t="s">
        <v>4441</v>
      </c>
      <c r="E2493" s="42" t="s">
        <v>4442</v>
      </c>
      <c r="F2493" s="6" t="s">
        <v>350</v>
      </c>
      <c r="G2493" s="3" t="s">
        <v>11450</v>
      </c>
      <c r="H2493" s="54">
        <v>0</v>
      </c>
      <c r="I2493" s="55">
        <v>470000000</v>
      </c>
      <c r="J2493" s="56" t="s">
        <v>229</v>
      </c>
      <c r="K2493" s="6" t="s">
        <v>8309</v>
      </c>
      <c r="L2493" s="17" t="s">
        <v>11411</v>
      </c>
      <c r="M2493" s="162" t="s">
        <v>230</v>
      </c>
      <c r="N2493" s="15" t="s">
        <v>521</v>
      </c>
      <c r="O2493" s="6" t="s">
        <v>4568</v>
      </c>
      <c r="P2493" s="58" t="s">
        <v>241</v>
      </c>
      <c r="Q2493" s="6" t="s">
        <v>234</v>
      </c>
      <c r="R2493" s="3">
        <v>700</v>
      </c>
      <c r="S2493" s="1">
        <v>62</v>
      </c>
      <c r="T2493" s="4">
        <v>0</v>
      </c>
      <c r="U2493" s="4">
        <f t="shared" si="70"/>
        <v>0</v>
      </c>
      <c r="V2493" s="166"/>
      <c r="W2493" s="3">
        <v>2014</v>
      </c>
      <c r="X2493" s="3">
        <v>14</v>
      </c>
    </row>
    <row r="2494" spans="1:24" ht="89.25">
      <c r="A2494" s="3" t="s">
        <v>17606</v>
      </c>
      <c r="B2494" s="6" t="s">
        <v>361</v>
      </c>
      <c r="C2494" s="42" t="s">
        <v>4440</v>
      </c>
      <c r="D2494" s="42" t="s">
        <v>4441</v>
      </c>
      <c r="E2494" s="42" t="s">
        <v>4442</v>
      </c>
      <c r="F2494" s="6" t="s">
        <v>350</v>
      </c>
      <c r="G2494" s="3" t="s">
        <v>11450</v>
      </c>
      <c r="H2494" s="54">
        <v>0</v>
      </c>
      <c r="I2494" s="55">
        <v>470000000</v>
      </c>
      <c r="J2494" s="56" t="s">
        <v>229</v>
      </c>
      <c r="K2494" s="6" t="s">
        <v>8309</v>
      </c>
      <c r="L2494" s="17" t="s">
        <v>11411</v>
      </c>
      <c r="M2494" s="162" t="s">
        <v>230</v>
      </c>
      <c r="N2494" s="15" t="s">
        <v>17491</v>
      </c>
      <c r="O2494" s="6" t="s">
        <v>4568</v>
      </c>
      <c r="P2494" s="58" t="s">
        <v>241</v>
      </c>
      <c r="Q2494" s="6" t="s">
        <v>234</v>
      </c>
      <c r="R2494" s="3">
        <v>700</v>
      </c>
      <c r="S2494" s="1">
        <v>62</v>
      </c>
      <c r="T2494" s="4">
        <v>0</v>
      </c>
      <c r="U2494" s="4">
        <f t="shared" si="70"/>
        <v>0</v>
      </c>
      <c r="V2494" s="166"/>
      <c r="W2494" s="3">
        <v>2014</v>
      </c>
      <c r="X2494" s="3" t="s">
        <v>12076</v>
      </c>
    </row>
    <row r="2495" spans="1:24" ht="89.25">
      <c r="A2495" s="3" t="s">
        <v>1459</v>
      </c>
      <c r="B2495" s="6" t="s">
        <v>361</v>
      </c>
      <c r="C2495" s="159" t="s">
        <v>4443</v>
      </c>
      <c r="D2495" s="159" t="s">
        <v>4444</v>
      </c>
      <c r="E2495" s="6" t="s">
        <v>4445</v>
      </c>
      <c r="F2495" s="6" t="s">
        <v>4746</v>
      </c>
      <c r="G2495" s="3" t="s">
        <v>11450</v>
      </c>
      <c r="H2495" s="54">
        <v>0.5</v>
      </c>
      <c r="I2495" s="16">
        <v>470000000</v>
      </c>
      <c r="J2495" s="56" t="s">
        <v>229</v>
      </c>
      <c r="K2495" s="6" t="s">
        <v>519</v>
      </c>
      <c r="L2495" s="16" t="s">
        <v>4567</v>
      </c>
      <c r="M2495" s="162" t="s">
        <v>230</v>
      </c>
      <c r="N2495" s="15" t="s">
        <v>521</v>
      </c>
      <c r="O2495" s="6" t="s">
        <v>4568</v>
      </c>
      <c r="P2495" s="58" t="s">
        <v>241</v>
      </c>
      <c r="Q2495" s="6" t="s">
        <v>234</v>
      </c>
      <c r="R2495" s="4">
        <v>375</v>
      </c>
      <c r="S2495" s="74">
        <v>52</v>
      </c>
      <c r="T2495" s="4">
        <v>0</v>
      </c>
      <c r="U2495" s="4">
        <f t="shared" si="70"/>
        <v>0</v>
      </c>
      <c r="V2495" s="3" t="s">
        <v>362</v>
      </c>
      <c r="W2495" s="3">
        <v>2014</v>
      </c>
      <c r="X2495" s="3">
        <v>12.22</v>
      </c>
    </row>
    <row r="2496" spans="1:24" ht="89.25">
      <c r="A2496" s="3" t="s">
        <v>12549</v>
      </c>
      <c r="B2496" s="6" t="s">
        <v>361</v>
      </c>
      <c r="C2496" s="159" t="s">
        <v>4443</v>
      </c>
      <c r="D2496" s="159" t="s">
        <v>4444</v>
      </c>
      <c r="E2496" s="6" t="s">
        <v>4445</v>
      </c>
      <c r="F2496" s="6" t="s">
        <v>4746</v>
      </c>
      <c r="G2496" s="3" t="s">
        <v>11450</v>
      </c>
      <c r="H2496" s="54">
        <v>0.5</v>
      </c>
      <c r="I2496" s="16">
        <v>470000000</v>
      </c>
      <c r="J2496" s="56" t="s">
        <v>229</v>
      </c>
      <c r="K2496" s="6" t="s">
        <v>519</v>
      </c>
      <c r="L2496" s="17" t="s">
        <v>11411</v>
      </c>
      <c r="M2496" s="162" t="s">
        <v>230</v>
      </c>
      <c r="N2496" s="15" t="s">
        <v>521</v>
      </c>
      <c r="O2496" s="6" t="s">
        <v>4568</v>
      </c>
      <c r="P2496" s="58" t="s">
        <v>241</v>
      </c>
      <c r="Q2496" s="6" t="s">
        <v>234</v>
      </c>
      <c r="R2496" s="4">
        <v>375</v>
      </c>
      <c r="S2496" s="74">
        <v>52</v>
      </c>
      <c r="T2496" s="4">
        <v>0</v>
      </c>
      <c r="U2496" s="4">
        <f t="shared" si="70"/>
        <v>0</v>
      </c>
      <c r="V2496" s="3"/>
      <c r="W2496" s="3">
        <v>2014</v>
      </c>
      <c r="X2496" s="3">
        <v>11</v>
      </c>
    </row>
    <row r="2497" spans="1:24" ht="89.25">
      <c r="A2497" s="3" t="s">
        <v>15645</v>
      </c>
      <c r="B2497" s="6" t="s">
        <v>361</v>
      </c>
      <c r="C2497" s="159" t="s">
        <v>4443</v>
      </c>
      <c r="D2497" s="159" t="s">
        <v>4444</v>
      </c>
      <c r="E2497" s="6" t="s">
        <v>4445</v>
      </c>
      <c r="F2497" s="6" t="s">
        <v>4746</v>
      </c>
      <c r="G2497" s="3" t="s">
        <v>11450</v>
      </c>
      <c r="H2497" s="54">
        <v>0.5</v>
      </c>
      <c r="I2497" s="16">
        <v>470000000</v>
      </c>
      <c r="J2497" s="56" t="s">
        <v>229</v>
      </c>
      <c r="K2497" s="6" t="s">
        <v>15646</v>
      </c>
      <c r="L2497" s="17" t="s">
        <v>11411</v>
      </c>
      <c r="M2497" s="162" t="s">
        <v>230</v>
      </c>
      <c r="N2497" s="15" t="s">
        <v>521</v>
      </c>
      <c r="O2497" s="6" t="s">
        <v>4568</v>
      </c>
      <c r="P2497" s="58" t="s">
        <v>241</v>
      </c>
      <c r="Q2497" s="6" t="s">
        <v>234</v>
      </c>
      <c r="R2497" s="4">
        <v>375</v>
      </c>
      <c r="S2497" s="74">
        <v>52</v>
      </c>
      <c r="T2497" s="4">
        <v>0</v>
      </c>
      <c r="U2497" s="4">
        <f t="shared" si="70"/>
        <v>0</v>
      </c>
      <c r="V2497" s="3"/>
      <c r="W2497" s="3">
        <v>2014</v>
      </c>
      <c r="X2497" s="3">
        <v>14</v>
      </c>
    </row>
    <row r="2498" spans="1:24" ht="89.25">
      <c r="A2498" s="3" t="s">
        <v>17607</v>
      </c>
      <c r="B2498" s="6" t="s">
        <v>361</v>
      </c>
      <c r="C2498" s="159" t="s">
        <v>4443</v>
      </c>
      <c r="D2498" s="159" t="s">
        <v>4444</v>
      </c>
      <c r="E2498" s="6" t="s">
        <v>4445</v>
      </c>
      <c r="F2498" s="6" t="s">
        <v>4746</v>
      </c>
      <c r="G2498" s="3" t="s">
        <v>11450</v>
      </c>
      <c r="H2498" s="54">
        <v>0.5</v>
      </c>
      <c r="I2498" s="16">
        <v>470000000</v>
      </c>
      <c r="J2498" s="56" t="s">
        <v>229</v>
      </c>
      <c r="K2498" s="6" t="s">
        <v>15646</v>
      </c>
      <c r="L2498" s="17" t="s">
        <v>11411</v>
      </c>
      <c r="M2498" s="162" t="s">
        <v>230</v>
      </c>
      <c r="N2498" s="15" t="s">
        <v>17491</v>
      </c>
      <c r="O2498" s="6" t="s">
        <v>4568</v>
      </c>
      <c r="P2498" s="58" t="s">
        <v>241</v>
      </c>
      <c r="Q2498" s="6" t="s">
        <v>234</v>
      </c>
      <c r="R2498" s="4">
        <v>375</v>
      </c>
      <c r="S2498" s="74">
        <v>52</v>
      </c>
      <c r="T2498" s="4">
        <v>0</v>
      </c>
      <c r="U2498" s="4">
        <f t="shared" si="70"/>
        <v>0</v>
      </c>
      <c r="V2498" s="3"/>
      <c r="W2498" s="3">
        <v>2014</v>
      </c>
      <c r="X2498" s="3" t="s">
        <v>12076</v>
      </c>
    </row>
    <row r="2499" spans="1:24" ht="89.25">
      <c r="A2499" s="3" t="s">
        <v>1460</v>
      </c>
      <c r="B2499" s="6" t="s">
        <v>361</v>
      </c>
      <c r="C2499" s="159" t="s">
        <v>4443</v>
      </c>
      <c r="D2499" s="159" t="s">
        <v>4444</v>
      </c>
      <c r="E2499" s="6" t="s">
        <v>4445</v>
      </c>
      <c r="F2499" s="6" t="s">
        <v>4747</v>
      </c>
      <c r="G2499" s="3" t="s">
        <v>11450</v>
      </c>
      <c r="H2499" s="54">
        <v>0.5</v>
      </c>
      <c r="I2499" s="55">
        <v>470000000</v>
      </c>
      <c r="J2499" s="56" t="s">
        <v>229</v>
      </c>
      <c r="K2499" s="6" t="s">
        <v>519</v>
      </c>
      <c r="L2499" s="16" t="s">
        <v>4570</v>
      </c>
      <c r="M2499" s="162" t="s">
        <v>230</v>
      </c>
      <c r="N2499" s="15" t="s">
        <v>521</v>
      </c>
      <c r="O2499" s="6" t="s">
        <v>4568</v>
      </c>
      <c r="P2499" s="58" t="s">
        <v>241</v>
      </c>
      <c r="Q2499" s="6" t="s">
        <v>234</v>
      </c>
      <c r="R2499" s="3">
        <v>530</v>
      </c>
      <c r="S2499" s="1">
        <v>57</v>
      </c>
      <c r="T2499" s="4">
        <v>0</v>
      </c>
      <c r="U2499" s="4">
        <f t="shared" si="70"/>
        <v>0</v>
      </c>
      <c r="V2499" s="166" t="s">
        <v>362</v>
      </c>
      <c r="W2499" s="3">
        <v>2014</v>
      </c>
      <c r="X2499" s="3">
        <v>12.22</v>
      </c>
    </row>
    <row r="2500" spans="1:24" ht="89.25">
      <c r="A2500" s="3" t="s">
        <v>12550</v>
      </c>
      <c r="B2500" s="6" t="s">
        <v>361</v>
      </c>
      <c r="C2500" s="159" t="s">
        <v>4443</v>
      </c>
      <c r="D2500" s="159" t="s">
        <v>4444</v>
      </c>
      <c r="E2500" s="6" t="s">
        <v>4445</v>
      </c>
      <c r="F2500" s="6" t="s">
        <v>4747</v>
      </c>
      <c r="G2500" s="3" t="s">
        <v>11450</v>
      </c>
      <c r="H2500" s="54">
        <v>0.5</v>
      </c>
      <c r="I2500" s="55">
        <v>470000000</v>
      </c>
      <c r="J2500" s="56" t="s">
        <v>229</v>
      </c>
      <c r="K2500" s="6" t="s">
        <v>519</v>
      </c>
      <c r="L2500" s="17" t="s">
        <v>11411</v>
      </c>
      <c r="M2500" s="162" t="s">
        <v>230</v>
      </c>
      <c r="N2500" s="15" t="s">
        <v>521</v>
      </c>
      <c r="O2500" s="6" t="s">
        <v>4568</v>
      </c>
      <c r="P2500" s="58" t="s">
        <v>241</v>
      </c>
      <c r="Q2500" s="6" t="s">
        <v>234</v>
      </c>
      <c r="R2500" s="3">
        <v>530</v>
      </c>
      <c r="S2500" s="1">
        <v>57</v>
      </c>
      <c r="T2500" s="4">
        <v>0</v>
      </c>
      <c r="U2500" s="4">
        <f t="shared" si="70"/>
        <v>0</v>
      </c>
      <c r="V2500" s="166"/>
      <c r="W2500" s="3">
        <v>2014</v>
      </c>
      <c r="X2500" s="3">
        <v>11</v>
      </c>
    </row>
    <row r="2501" spans="1:24" ht="89.25">
      <c r="A2501" s="3" t="s">
        <v>15647</v>
      </c>
      <c r="B2501" s="6" t="s">
        <v>361</v>
      </c>
      <c r="C2501" s="159" t="s">
        <v>4443</v>
      </c>
      <c r="D2501" s="159" t="s">
        <v>4444</v>
      </c>
      <c r="E2501" s="6" t="s">
        <v>4445</v>
      </c>
      <c r="F2501" s="6" t="s">
        <v>4747</v>
      </c>
      <c r="G2501" s="3" t="s">
        <v>11450</v>
      </c>
      <c r="H2501" s="54">
        <v>0.5</v>
      </c>
      <c r="I2501" s="55">
        <v>470000000</v>
      </c>
      <c r="J2501" s="56" t="s">
        <v>229</v>
      </c>
      <c r="K2501" s="6" t="s">
        <v>15646</v>
      </c>
      <c r="L2501" s="17" t="s">
        <v>11411</v>
      </c>
      <c r="M2501" s="162" t="s">
        <v>230</v>
      </c>
      <c r="N2501" s="15" t="s">
        <v>521</v>
      </c>
      <c r="O2501" s="6" t="s">
        <v>4568</v>
      </c>
      <c r="P2501" s="58" t="s">
        <v>241</v>
      </c>
      <c r="Q2501" s="6" t="s">
        <v>234</v>
      </c>
      <c r="R2501" s="3">
        <v>530</v>
      </c>
      <c r="S2501" s="1">
        <v>57</v>
      </c>
      <c r="T2501" s="4">
        <v>0</v>
      </c>
      <c r="U2501" s="4">
        <f t="shared" si="70"/>
        <v>0</v>
      </c>
      <c r="V2501" s="166"/>
      <c r="W2501" s="3">
        <v>2014</v>
      </c>
      <c r="X2501" s="3">
        <v>14</v>
      </c>
    </row>
    <row r="2502" spans="1:24" ht="89.25">
      <c r="A2502" s="3" t="s">
        <v>17608</v>
      </c>
      <c r="B2502" s="6" t="s">
        <v>361</v>
      </c>
      <c r="C2502" s="159" t="s">
        <v>4443</v>
      </c>
      <c r="D2502" s="159" t="s">
        <v>4444</v>
      </c>
      <c r="E2502" s="6" t="s">
        <v>4445</v>
      </c>
      <c r="F2502" s="6" t="s">
        <v>4747</v>
      </c>
      <c r="G2502" s="3" t="s">
        <v>11450</v>
      </c>
      <c r="H2502" s="54">
        <v>0.5</v>
      </c>
      <c r="I2502" s="55">
        <v>470000000</v>
      </c>
      <c r="J2502" s="56" t="s">
        <v>229</v>
      </c>
      <c r="K2502" s="6" t="s">
        <v>15646</v>
      </c>
      <c r="L2502" s="17" t="s">
        <v>11411</v>
      </c>
      <c r="M2502" s="162" t="s">
        <v>230</v>
      </c>
      <c r="N2502" s="15" t="s">
        <v>17491</v>
      </c>
      <c r="O2502" s="6" t="s">
        <v>4568</v>
      </c>
      <c r="P2502" s="58" t="s">
        <v>241</v>
      </c>
      <c r="Q2502" s="6" t="s">
        <v>234</v>
      </c>
      <c r="R2502" s="3">
        <v>530</v>
      </c>
      <c r="S2502" s="1">
        <v>57</v>
      </c>
      <c r="T2502" s="4">
        <v>0</v>
      </c>
      <c r="U2502" s="4">
        <f t="shared" si="70"/>
        <v>0</v>
      </c>
      <c r="V2502" s="166"/>
      <c r="W2502" s="3">
        <v>2014</v>
      </c>
      <c r="X2502" s="3" t="s">
        <v>12076</v>
      </c>
    </row>
    <row r="2503" spans="1:24" ht="89.25">
      <c r="A2503" s="3" t="s">
        <v>1461</v>
      </c>
      <c r="B2503" s="6" t="s">
        <v>361</v>
      </c>
      <c r="C2503" s="159" t="s">
        <v>4443</v>
      </c>
      <c r="D2503" s="159" t="s">
        <v>4444</v>
      </c>
      <c r="E2503" s="6" t="s">
        <v>4445</v>
      </c>
      <c r="F2503" s="6" t="s">
        <v>4748</v>
      </c>
      <c r="G2503" s="3" t="s">
        <v>11450</v>
      </c>
      <c r="H2503" s="54">
        <v>0.5</v>
      </c>
      <c r="I2503" s="16">
        <v>470000000</v>
      </c>
      <c r="J2503" s="56" t="s">
        <v>229</v>
      </c>
      <c r="K2503" s="6" t="s">
        <v>519</v>
      </c>
      <c r="L2503" s="16" t="s">
        <v>4567</v>
      </c>
      <c r="M2503" s="162" t="s">
        <v>230</v>
      </c>
      <c r="N2503" s="15" t="s">
        <v>521</v>
      </c>
      <c r="O2503" s="6" t="s">
        <v>4568</v>
      </c>
      <c r="P2503" s="58" t="s">
        <v>241</v>
      </c>
      <c r="Q2503" s="6" t="s">
        <v>234</v>
      </c>
      <c r="R2503" s="4">
        <v>580</v>
      </c>
      <c r="S2503" s="74">
        <v>62</v>
      </c>
      <c r="T2503" s="4">
        <v>0</v>
      </c>
      <c r="U2503" s="4">
        <f t="shared" si="70"/>
        <v>0</v>
      </c>
      <c r="V2503" s="3" t="s">
        <v>362</v>
      </c>
      <c r="W2503" s="3">
        <v>2014</v>
      </c>
      <c r="X2503" s="3">
        <v>12.22</v>
      </c>
    </row>
    <row r="2504" spans="1:24" ht="89.25">
      <c r="A2504" s="3" t="s">
        <v>12551</v>
      </c>
      <c r="B2504" s="6" t="s">
        <v>361</v>
      </c>
      <c r="C2504" s="159" t="s">
        <v>4443</v>
      </c>
      <c r="D2504" s="159" t="s">
        <v>4444</v>
      </c>
      <c r="E2504" s="6" t="s">
        <v>4445</v>
      </c>
      <c r="F2504" s="6" t="s">
        <v>4748</v>
      </c>
      <c r="G2504" s="3" t="s">
        <v>11450</v>
      </c>
      <c r="H2504" s="54">
        <v>0.5</v>
      </c>
      <c r="I2504" s="16">
        <v>470000000</v>
      </c>
      <c r="J2504" s="56" t="s">
        <v>229</v>
      </c>
      <c r="K2504" s="6" t="s">
        <v>519</v>
      </c>
      <c r="L2504" s="17" t="s">
        <v>11411</v>
      </c>
      <c r="M2504" s="162" t="s">
        <v>230</v>
      </c>
      <c r="N2504" s="15" t="s">
        <v>521</v>
      </c>
      <c r="O2504" s="6" t="s">
        <v>4568</v>
      </c>
      <c r="P2504" s="58" t="s">
        <v>241</v>
      </c>
      <c r="Q2504" s="6" t="s">
        <v>234</v>
      </c>
      <c r="R2504" s="4">
        <v>580</v>
      </c>
      <c r="S2504" s="74">
        <v>62</v>
      </c>
      <c r="T2504" s="4">
        <v>0</v>
      </c>
      <c r="U2504" s="4">
        <f t="shared" si="70"/>
        <v>0</v>
      </c>
      <c r="V2504" s="3"/>
      <c r="W2504" s="3">
        <v>2014</v>
      </c>
      <c r="X2504" s="3">
        <v>11</v>
      </c>
    </row>
    <row r="2505" spans="1:24" ht="89.25">
      <c r="A2505" s="3" t="s">
        <v>15648</v>
      </c>
      <c r="B2505" s="6" t="s">
        <v>361</v>
      </c>
      <c r="C2505" s="159" t="s">
        <v>4443</v>
      </c>
      <c r="D2505" s="159" t="s">
        <v>4444</v>
      </c>
      <c r="E2505" s="6" t="s">
        <v>4445</v>
      </c>
      <c r="F2505" s="6" t="s">
        <v>4748</v>
      </c>
      <c r="G2505" s="3" t="s">
        <v>11450</v>
      </c>
      <c r="H2505" s="54">
        <v>0.5</v>
      </c>
      <c r="I2505" s="16">
        <v>470000000</v>
      </c>
      <c r="J2505" s="56" t="s">
        <v>229</v>
      </c>
      <c r="K2505" s="6" t="s">
        <v>15646</v>
      </c>
      <c r="L2505" s="17" t="s">
        <v>11411</v>
      </c>
      <c r="M2505" s="162" t="s">
        <v>230</v>
      </c>
      <c r="N2505" s="15" t="s">
        <v>521</v>
      </c>
      <c r="O2505" s="6" t="s">
        <v>4568</v>
      </c>
      <c r="P2505" s="58" t="s">
        <v>241</v>
      </c>
      <c r="Q2505" s="6" t="s">
        <v>234</v>
      </c>
      <c r="R2505" s="4">
        <v>580</v>
      </c>
      <c r="S2505" s="74">
        <v>62</v>
      </c>
      <c r="T2505" s="4">
        <v>0</v>
      </c>
      <c r="U2505" s="4">
        <f t="shared" si="70"/>
        <v>0</v>
      </c>
      <c r="V2505" s="3"/>
      <c r="W2505" s="3">
        <v>2014</v>
      </c>
      <c r="X2505" s="3">
        <v>14</v>
      </c>
    </row>
    <row r="2506" spans="1:24" ht="89.25">
      <c r="A2506" s="3" t="s">
        <v>17609</v>
      </c>
      <c r="B2506" s="6" t="s">
        <v>361</v>
      </c>
      <c r="C2506" s="159" t="s">
        <v>4443</v>
      </c>
      <c r="D2506" s="159" t="s">
        <v>4444</v>
      </c>
      <c r="E2506" s="6" t="s">
        <v>4445</v>
      </c>
      <c r="F2506" s="6" t="s">
        <v>4748</v>
      </c>
      <c r="G2506" s="3" t="s">
        <v>11450</v>
      </c>
      <c r="H2506" s="54">
        <v>0.5</v>
      </c>
      <c r="I2506" s="16">
        <v>470000000</v>
      </c>
      <c r="J2506" s="56" t="s">
        <v>229</v>
      </c>
      <c r="K2506" s="6" t="s">
        <v>15646</v>
      </c>
      <c r="L2506" s="17" t="s">
        <v>11411</v>
      </c>
      <c r="M2506" s="162" t="s">
        <v>230</v>
      </c>
      <c r="N2506" s="15" t="s">
        <v>17491</v>
      </c>
      <c r="O2506" s="6" t="s">
        <v>4568</v>
      </c>
      <c r="P2506" s="58" t="s">
        <v>241</v>
      </c>
      <c r="Q2506" s="6" t="s">
        <v>234</v>
      </c>
      <c r="R2506" s="4">
        <v>580</v>
      </c>
      <c r="S2506" s="74">
        <v>62</v>
      </c>
      <c r="T2506" s="4">
        <v>0</v>
      </c>
      <c r="U2506" s="4">
        <f t="shared" si="70"/>
        <v>0</v>
      </c>
      <c r="V2506" s="3"/>
      <c r="W2506" s="3">
        <v>2014</v>
      </c>
      <c r="X2506" s="3" t="s">
        <v>12076</v>
      </c>
    </row>
    <row r="2507" spans="1:24" ht="89.25">
      <c r="A2507" s="3" t="s">
        <v>1462</v>
      </c>
      <c r="B2507" s="6" t="s">
        <v>361</v>
      </c>
      <c r="C2507" s="159" t="s">
        <v>4443</v>
      </c>
      <c r="D2507" s="159" t="s">
        <v>4444</v>
      </c>
      <c r="E2507" s="6" t="s">
        <v>4445</v>
      </c>
      <c r="F2507" s="6" t="s">
        <v>4749</v>
      </c>
      <c r="G2507" s="3" t="s">
        <v>11450</v>
      </c>
      <c r="H2507" s="54">
        <v>0.5</v>
      </c>
      <c r="I2507" s="55">
        <v>470000000</v>
      </c>
      <c r="J2507" s="56" t="s">
        <v>229</v>
      </c>
      <c r="K2507" s="6" t="s">
        <v>519</v>
      </c>
      <c r="L2507" s="16" t="s">
        <v>4570</v>
      </c>
      <c r="M2507" s="162" t="s">
        <v>230</v>
      </c>
      <c r="N2507" s="15" t="s">
        <v>521</v>
      </c>
      <c r="O2507" s="6" t="s">
        <v>4568</v>
      </c>
      <c r="P2507" s="58" t="s">
        <v>241</v>
      </c>
      <c r="Q2507" s="6" t="s">
        <v>234</v>
      </c>
      <c r="R2507" s="3">
        <v>150</v>
      </c>
      <c r="S2507" s="1">
        <v>58</v>
      </c>
      <c r="T2507" s="4">
        <v>0</v>
      </c>
      <c r="U2507" s="4">
        <f t="shared" si="70"/>
        <v>0</v>
      </c>
      <c r="V2507" s="166" t="s">
        <v>362</v>
      </c>
      <c r="W2507" s="3">
        <v>2014</v>
      </c>
      <c r="X2507" s="3">
        <v>12.22</v>
      </c>
    </row>
    <row r="2508" spans="1:24" ht="89.25">
      <c r="A2508" s="3" t="s">
        <v>12552</v>
      </c>
      <c r="B2508" s="6" t="s">
        <v>361</v>
      </c>
      <c r="C2508" s="159" t="s">
        <v>4443</v>
      </c>
      <c r="D2508" s="159" t="s">
        <v>4444</v>
      </c>
      <c r="E2508" s="6" t="s">
        <v>4445</v>
      </c>
      <c r="F2508" s="6" t="s">
        <v>4749</v>
      </c>
      <c r="G2508" s="3" t="s">
        <v>11450</v>
      </c>
      <c r="H2508" s="54">
        <v>0.5</v>
      </c>
      <c r="I2508" s="55">
        <v>470000000</v>
      </c>
      <c r="J2508" s="56" t="s">
        <v>229</v>
      </c>
      <c r="K2508" s="6" t="s">
        <v>519</v>
      </c>
      <c r="L2508" s="17" t="s">
        <v>11411</v>
      </c>
      <c r="M2508" s="162" t="s">
        <v>230</v>
      </c>
      <c r="N2508" s="15" t="s">
        <v>521</v>
      </c>
      <c r="O2508" s="6" t="s">
        <v>4568</v>
      </c>
      <c r="P2508" s="58" t="s">
        <v>241</v>
      </c>
      <c r="Q2508" s="6" t="s">
        <v>234</v>
      </c>
      <c r="R2508" s="3">
        <v>150</v>
      </c>
      <c r="S2508" s="1">
        <v>58</v>
      </c>
      <c r="T2508" s="4">
        <v>0</v>
      </c>
      <c r="U2508" s="4">
        <f t="shared" si="70"/>
        <v>0</v>
      </c>
      <c r="V2508" s="166"/>
      <c r="W2508" s="3">
        <v>2014</v>
      </c>
      <c r="X2508" s="3">
        <v>11</v>
      </c>
    </row>
    <row r="2509" spans="1:24" ht="89.25">
      <c r="A2509" s="3" t="s">
        <v>15649</v>
      </c>
      <c r="B2509" s="6" t="s">
        <v>361</v>
      </c>
      <c r="C2509" s="159" t="s">
        <v>4443</v>
      </c>
      <c r="D2509" s="159" t="s">
        <v>4444</v>
      </c>
      <c r="E2509" s="6" t="s">
        <v>4445</v>
      </c>
      <c r="F2509" s="6" t="s">
        <v>4749</v>
      </c>
      <c r="G2509" s="3" t="s">
        <v>11450</v>
      </c>
      <c r="H2509" s="54">
        <v>0.5</v>
      </c>
      <c r="I2509" s="55">
        <v>470000000</v>
      </c>
      <c r="J2509" s="56" t="s">
        <v>229</v>
      </c>
      <c r="K2509" s="6" t="s">
        <v>222</v>
      </c>
      <c r="L2509" s="17" t="s">
        <v>11411</v>
      </c>
      <c r="M2509" s="162" t="s">
        <v>230</v>
      </c>
      <c r="N2509" s="15" t="s">
        <v>521</v>
      </c>
      <c r="O2509" s="6" t="s">
        <v>4568</v>
      </c>
      <c r="P2509" s="58" t="s">
        <v>241</v>
      </c>
      <c r="Q2509" s="6" t="s">
        <v>234</v>
      </c>
      <c r="R2509" s="3">
        <v>150</v>
      </c>
      <c r="S2509" s="1">
        <v>58</v>
      </c>
      <c r="T2509" s="4">
        <v>0</v>
      </c>
      <c r="U2509" s="4">
        <f t="shared" si="70"/>
        <v>0</v>
      </c>
      <c r="V2509" s="166"/>
      <c r="W2509" s="3">
        <v>2014</v>
      </c>
      <c r="X2509" s="3">
        <v>14</v>
      </c>
    </row>
    <row r="2510" spans="1:24" ht="89.25">
      <c r="A2510" s="3" t="s">
        <v>17610</v>
      </c>
      <c r="B2510" s="6" t="s">
        <v>361</v>
      </c>
      <c r="C2510" s="159" t="s">
        <v>4443</v>
      </c>
      <c r="D2510" s="159" t="s">
        <v>4444</v>
      </c>
      <c r="E2510" s="6" t="s">
        <v>4445</v>
      </c>
      <c r="F2510" s="6" t="s">
        <v>4749</v>
      </c>
      <c r="G2510" s="3" t="s">
        <v>11450</v>
      </c>
      <c r="H2510" s="54">
        <v>0.5</v>
      </c>
      <c r="I2510" s="55">
        <v>470000000</v>
      </c>
      <c r="J2510" s="56" t="s">
        <v>229</v>
      </c>
      <c r="K2510" s="6" t="s">
        <v>222</v>
      </c>
      <c r="L2510" s="17" t="s">
        <v>11411</v>
      </c>
      <c r="M2510" s="162" t="s">
        <v>230</v>
      </c>
      <c r="N2510" s="15" t="s">
        <v>17491</v>
      </c>
      <c r="O2510" s="6" t="s">
        <v>4568</v>
      </c>
      <c r="P2510" s="58" t="s">
        <v>241</v>
      </c>
      <c r="Q2510" s="6" t="s">
        <v>234</v>
      </c>
      <c r="R2510" s="3">
        <v>150</v>
      </c>
      <c r="S2510" s="1">
        <v>58</v>
      </c>
      <c r="T2510" s="4">
        <f>R2510*S2510</f>
        <v>8700</v>
      </c>
      <c r="U2510" s="4">
        <f t="shared" si="70"/>
        <v>9744.0000000000018</v>
      </c>
      <c r="V2510" s="166"/>
      <c r="W2510" s="3">
        <v>2014</v>
      </c>
      <c r="X2510" s="3"/>
    </row>
    <row r="2511" spans="1:24" ht="89.25">
      <c r="A2511" s="3" t="s">
        <v>1463</v>
      </c>
      <c r="B2511" s="6" t="s">
        <v>361</v>
      </c>
      <c r="C2511" s="159" t="s">
        <v>4443</v>
      </c>
      <c r="D2511" s="159" t="s">
        <v>4444</v>
      </c>
      <c r="E2511" s="6" t="s">
        <v>4445</v>
      </c>
      <c r="F2511" s="6" t="s">
        <v>4750</v>
      </c>
      <c r="G2511" s="3" t="s">
        <v>11450</v>
      </c>
      <c r="H2511" s="54">
        <v>0.5</v>
      </c>
      <c r="I2511" s="16">
        <v>470000000</v>
      </c>
      <c r="J2511" s="56" t="s">
        <v>229</v>
      </c>
      <c r="K2511" s="6" t="s">
        <v>519</v>
      </c>
      <c r="L2511" s="16" t="s">
        <v>4567</v>
      </c>
      <c r="M2511" s="162" t="s">
        <v>230</v>
      </c>
      <c r="N2511" s="15" t="s">
        <v>521</v>
      </c>
      <c r="O2511" s="6" t="s">
        <v>4568</v>
      </c>
      <c r="P2511" s="58" t="s">
        <v>241</v>
      </c>
      <c r="Q2511" s="6" t="s">
        <v>234</v>
      </c>
      <c r="R2511" s="4">
        <v>300</v>
      </c>
      <c r="S2511" s="74">
        <v>67</v>
      </c>
      <c r="T2511" s="4">
        <v>0</v>
      </c>
      <c r="U2511" s="4">
        <f t="shared" si="70"/>
        <v>0</v>
      </c>
      <c r="V2511" s="3" t="s">
        <v>362</v>
      </c>
      <c r="W2511" s="3">
        <v>2014</v>
      </c>
      <c r="X2511" s="3">
        <v>12.22</v>
      </c>
    </row>
    <row r="2512" spans="1:24" ht="89.25">
      <c r="A2512" s="3" t="s">
        <v>12553</v>
      </c>
      <c r="B2512" s="6" t="s">
        <v>361</v>
      </c>
      <c r="C2512" s="159" t="s">
        <v>4443</v>
      </c>
      <c r="D2512" s="159" t="s">
        <v>4444</v>
      </c>
      <c r="E2512" s="6" t="s">
        <v>4445</v>
      </c>
      <c r="F2512" s="6" t="s">
        <v>4750</v>
      </c>
      <c r="G2512" s="3" t="s">
        <v>11450</v>
      </c>
      <c r="H2512" s="54">
        <v>0.5</v>
      </c>
      <c r="I2512" s="16">
        <v>470000000</v>
      </c>
      <c r="J2512" s="56" t="s">
        <v>229</v>
      </c>
      <c r="K2512" s="6" t="s">
        <v>519</v>
      </c>
      <c r="L2512" s="17" t="s">
        <v>11411</v>
      </c>
      <c r="M2512" s="162" t="s">
        <v>230</v>
      </c>
      <c r="N2512" s="15" t="s">
        <v>521</v>
      </c>
      <c r="O2512" s="6" t="s">
        <v>4568</v>
      </c>
      <c r="P2512" s="58" t="s">
        <v>241</v>
      </c>
      <c r="Q2512" s="6" t="s">
        <v>234</v>
      </c>
      <c r="R2512" s="4">
        <v>300</v>
      </c>
      <c r="S2512" s="74">
        <v>67</v>
      </c>
      <c r="T2512" s="4">
        <v>0</v>
      </c>
      <c r="U2512" s="4">
        <f t="shared" si="70"/>
        <v>0</v>
      </c>
      <c r="V2512" s="3"/>
      <c r="W2512" s="3">
        <v>2014</v>
      </c>
      <c r="X2512" s="3">
        <v>11</v>
      </c>
    </row>
    <row r="2513" spans="1:24" ht="89.25">
      <c r="A2513" s="3" t="s">
        <v>15650</v>
      </c>
      <c r="B2513" s="6" t="s">
        <v>361</v>
      </c>
      <c r="C2513" s="159" t="s">
        <v>4443</v>
      </c>
      <c r="D2513" s="159" t="s">
        <v>4444</v>
      </c>
      <c r="E2513" s="6" t="s">
        <v>4445</v>
      </c>
      <c r="F2513" s="6" t="s">
        <v>4750</v>
      </c>
      <c r="G2513" s="3" t="s">
        <v>11450</v>
      </c>
      <c r="H2513" s="54">
        <v>0.5</v>
      </c>
      <c r="I2513" s="16">
        <v>470000000</v>
      </c>
      <c r="J2513" s="56" t="s">
        <v>229</v>
      </c>
      <c r="K2513" s="6" t="s">
        <v>222</v>
      </c>
      <c r="L2513" s="17" t="s">
        <v>11411</v>
      </c>
      <c r="M2513" s="162" t="s">
        <v>230</v>
      </c>
      <c r="N2513" s="15" t="s">
        <v>521</v>
      </c>
      <c r="O2513" s="6" t="s">
        <v>4568</v>
      </c>
      <c r="P2513" s="58" t="s">
        <v>241</v>
      </c>
      <c r="Q2513" s="6" t="s">
        <v>234</v>
      </c>
      <c r="R2513" s="4">
        <v>300</v>
      </c>
      <c r="S2513" s="74">
        <v>67</v>
      </c>
      <c r="T2513" s="4">
        <v>0</v>
      </c>
      <c r="U2513" s="4">
        <f t="shared" si="70"/>
        <v>0</v>
      </c>
      <c r="V2513" s="3"/>
      <c r="W2513" s="3">
        <v>2014</v>
      </c>
      <c r="X2513" s="3">
        <v>14</v>
      </c>
    </row>
    <row r="2514" spans="1:24" ht="89.25">
      <c r="A2514" s="3" t="s">
        <v>17611</v>
      </c>
      <c r="B2514" s="6" t="s">
        <v>361</v>
      </c>
      <c r="C2514" s="159" t="s">
        <v>4443</v>
      </c>
      <c r="D2514" s="159" t="s">
        <v>4444</v>
      </c>
      <c r="E2514" s="6" t="s">
        <v>4445</v>
      </c>
      <c r="F2514" s="6" t="s">
        <v>4750</v>
      </c>
      <c r="G2514" s="3" t="s">
        <v>11450</v>
      </c>
      <c r="H2514" s="54">
        <v>0.5</v>
      </c>
      <c r="I2514" s="16">
        <v>470000000</v>
      </c>
      <c r="J2514" s="56" t="s">
        <v>229</v>
      </c>
      <c r="K2514" s="6" t="s">
        <v>222</v>
      </c>
      <c r="L2514" s="17" t="s">
        <v>11411</v>
      </c>
      <c r="M2514" s="162" t="s">
        <v>230</v>
      </c>
      <c r="N2514" s="15" t="s">
        <v>17491</v>
      </c>
      <c r="O2514" s="6" t="s">
        <v>4568</v>
      </c>
      <c r="P2514" s="58" t="s">
        <v>241</v>
      </c>
      <c r="Q2514" s="6" t="s">
        <v>234</v>
      </c>
      <c r="R2514" s="4">
        <v>300</v>
      </c>
      <c r="S2514" s="74">
        <v>67</v>
      </c>
      <c r="T2514" s="4">
        <f>R2514*S2514</f>
        <v>20100</v>
      </c>
      <c r="U2514" s="4">
        <f t="shared" si="70"/>
        <v>22512.000000000004</v>
      </c>
      <c r="V2514" s="3"/>
      <c r="W2514" s="3">
        <v>2014</v>
      </c>
      <c r="X2514" s="3"/>
    </row>
    <row r="2515" spans="1:24" ht="89.25">
      <c r="A2515" s="3" t="s">
        <v>1464</v>
      </c>
      <c r="B2515" s="6" t="s">
        <v>361</v>
      </c>
      <c r="C2515" s="159" t="s">
        <v>4443</v>
      </c>
      <c r="D2515" s="159" t="s">
        <v>4444</v>
      </c>
      <c r="E2515" s="6" t="s">
        <v>4445</v>
      </c>
      <c r="F2515" s="6" t="s">
        <v>4751</v>
      </c>
      <c r="G2515" s="3" t="s">
        <v>11450</v>
      </c>
      <c r="H2515" s="54">
        <v>0.5</v>
      </c>
      <c r="I2515" s="55">
        <v>470000000</v>
      </c>
      <c r="J2515" s="56" t="s">
        <v>229</v>
      </c>
      <c r="K2515" s="6" t="s">
        <v>519</v>
      </c>
      <c r="L2515" s="16" t="s">
        <v>4570</v>
      </c>
      <c r="M2515" s="162" t="s">
        <v>230</v>
      </c>
      <c r="N2515" s="15" t="s">
        <v>521</v>
      </c>
      <c r="O2515" s="6" t="s">
        <v>4568</v>
      </c>
      <c r="P2515" s="58" t="s">
        <v>241</v>
      </c>
      <c r="Q2515" s="6" t="s">
        <v>234</v>
      </c>
      <c r="R2515" s="3">
        <v>400</v>
      </c>
      <c r="S2515" s="1">
        <v>73</v>
      </c>
      <c r="T2515" s="4">
        <v>0</v>
      </c>
      <c r="U2515" s="4">
        <f t="shared" si="70"/>
        <v>0</v>
      </c>
      <c r="V2515" s="166" t="s">
        <v>362</v>
      </c>
      <c r="W2515" s="3">
        <v>2014</v>
      </c>
      <c r="X2515" s="3">
        <v>12.22</v>
      </c>
    </row>
    <row r="2516" spans="1:24" ht="89.25">
      <c r="A2516" s="3" t="s">
        <v>12554</v>
      </c>
      <c r="B2516" s="6" t="s">
        <v>361</v>
      </c>
      <c r="C2516" s="159" t="s">
        <v>4443</v>
      </c>
      <c r="D2516" s="159" t="s">
        <v>4444</v>
      </c>
      <c r="E2516" s="6" t="s">
        <v>4445</v>
      </c>
      <c r="F2516" s="6" t="s">
        <v>4751</v>
      </c>
      <c r="G2516" s="3" t="s">
        <v>11450</v>
      </c>
      <c r="H2516" s="54">
        <v>0.5</v>
      </c>
      <c r="I2516" s="55">
        <v>470000000</v>
      </c>
      <c r="J2516" s="56" t="s">
        <v>229</v>
      </c>
      <c r="K2516" s="6" t="s">
        <v>519</v>
      </c>
      <c r="L2516" s="17" t="s">
        <v>11411</v>
      </c>
      <c r="M2516" s="162" t="s">
        <v>230</v>
      </c>
      <c r="N2516" s="15" t="s">
        <v>521</v>
      </c>
      <c r="O2516" s="6" t="s">
        <v>4568</v>
      </c>
      <c r="P2516" s="58" t="s">
        <v>241</v>
      </c>
      <c r="Q2516" s="6" t="s">
        <v>234</v>
      </c>
      <c r="R2516" s="3">
        <v>400</v>
      </c>
      <c r="S2516" s="1">
        <v>73</v>
      </c>
      <c r="T2516" s="4">
        <v>0</v>
      </c>
      <c r="U2516" s="4">
        <f t="shared" si="70"/>
        <v>0</v>
      </c>
      <c r="V2516" s="166"/>
      <c r="W2516" s="3">
        <v>2014</v>
      </c>
      <c r="X2516" s="3">
        <v>11</v>
      </c>
    </row>
    <row r="2517" spans="1:24" ht="89.25">
      <c r="A2517" s="3" t="s">
        <v>15651</v>
      </c>
      <c r="B2517" s="6" t="s">
        <v>361</v>
      </c>
      <c r="C2517" s="159" t="s">
        <v>4443</v>
      </c>
      <c r="D2517" s="159" t="s">
        <v>4444</v>
      </c>
      <c r="E2517" s="6" t="s">
        <v>4445</v>
      </c>
      <c r="F2517" s="6" t="s">
        <v>4751</v>
      </c>
      <c r="G2517" s="3" t="s">
        <v>11450</v>
      </c>
      <c r="H2517" s="54">
        <v>0.5</v>
      </c>
      <c r="I2517" s="55">
        <v>470000000</v>
      </c>
      <c r="J2517" s="56" t="s">
        <v>229</v>
      </c>
      <c r="K2517" s="6" t="s">
        <v>222</v>
      </c>
      <c r="L2517" s="17" t="s">
        <v>11411</v>
      </c>
      <c r="M2517" s="162" t="s">
        <v>230</v>
      </c>
      <c r="N2517" s="15" t="s">
        <v>521</v>
      </c>
      <c r="O2517" s="6" t="s">
        <v>4568</v>
      </c>
      <c r="P2517" s="58" t="s">
        <v>241</v>
      </c>
      <c r="Q2517" s="6" t="s">
        <v>234</v>
      </c>
      <c r="R2517" s="3">
        <v>400</v>
      </c>
      <c r="S2517" s="1">
        <v>73</v>
      </c>
      <c r="T2517" s="4">
        <v>0</v>
      </c>
      <c r="U2517" s="4">
        <f t="shared" si="70"/>
        <v>0</v>
      </c>
      <c r="V2517" s="166"/>
      <c r="W2517" s="3">
        <v>2014</v>
      </c>
      <c r="X2517" s="3">
        <v>14</v>
      </c>
    </row>
    <row r="2518" spans="1:24" ht="89.25">
      <c r="A2518" s="3" t="s">
        <v>17612</v>
      </c>
      <c r="B2518" s="6" t="s">
        <v>361</v>
      </c>
      <c r="C2518" s="159" t="s">
        <v>4443</v>
      </c>
      <c r="D2518" s="159" t="s">
        <v>4444</v>
      </c>
      <c r="E2518" s="6" t="s">
        <v>4445</v>
      </c>
      <c r="F2518" s="6" t="s">
        <v>4751</v>
      </c>
      <c r="G2518" s="3" t="s">
        <v>11450</v>
      </c>
      <c r="H2518" s="54">
        <v>0.5</v>
      </c>
      <c r="I2518" s="55">
        <v>470000000</v>
      </c>
      <c r="J2518" s="56" t="s">
        <v>229</v>
      </c>
      <c r="K2518" s="6" t="s">
        <v>222</v>
      </c>
      <c r="L2518" s="17" t="s">
        <v>11411</v>
      </c>
      <c r="M2518" s="162" t="s">
        <v>230</v>
      </c>
      <c r="N2518" s="15" t="s">
        <v>17491</v>
      </c>
      <c r="O2518" s="6" t="s">
        <v>4568</v>
      </c>
      <c r="P2518" s="58" t="s">
        <v>241</v>
      </c>
      <c r="Q2518" s="6" t="s">
        <v>234</v>
      </c>
      <c r="R2518" s="3">
        <v>400</v>
      </c>
      <c r="S2518" s="1">
        <v>73</v>
      </c>
      <c r="T2518" s="4">
        <f>R2518*S2518</f>
        <v>29200</v>
      </c>
      <c r="U2518" s="4">
        <f t="shared" si="70"/>
        <v>32704.000000000004</v>
      </c>
      <c r="V2518" s="166"/>
      <c r="W2518" s="3">
        <v>2014</v>
      </c>
      <c r="X2518" s="3"/>
    </row>
    <row r="2519" spans="1:24" ht="89.25">
      <c r="A2519" s="3" t="s">
        <v>1465</v>
      </c>
      <c r="B2519" s="6" t="s">
        <v>361</v>
      </c>
      <c r="C2519" s="159" t="s">
        <v>4443</v>
      </c>
      <c r="D2519" s="159" t="s">
        <v>4444</v>
      </c>
      <c r="E2519" s="6" t="s">
        <v>4445</v>
      </c>
      <c r="F2519" s="6" t="s">
        <v>4752</v>
      </c>
      <c r="G2519" s="3" t="s">
        <v>11450</v>
      </c>
      <c r="H2519" s="54">
        <v>0.5</v>
      </c>
      <c r="I2519" s="16">
        <v>470000000</v>
      </c>
      <c r="J2519" s="56" t="s">
        <v>229</v>
      </c>
      <c r="K2519" s="6" t="s">
        <v>519</v>
      </c>
      <c r="L2519" s="16" t="s">
        <v>4567</v>
      </c>
      <c r="M2519" s="162" t="s">
        <v>230</v>
      </c>
      <c r="N2519" s="15" t="s">
        <v>521</v>
      </c>
      <c r="O2519" s="6" t="s">
        <v>4568</v>
      </c>
      <c r="P2519" s="58" t="s">
        <v>241</v>
      </c>
      <c r="Q2519" s="6" t="s">
        <v>234</v>
      </c>
      <c r="R2519" s="4">
        <v>200</v>
      </c>
      <c r="S2519" s="74">
        <v>82</v>
      </c>
      <c r="T2519" s="4">
        <v>0</v>
      </c>
      <c r="U2519" s="4">
        <f t="shared" si="70"/>
        <v>0</v>
      </c>
      <c r="V2519" s="3" t="s">
        <v>362</v>
      </c>
      <c r="W2519" s="3">
        <v>2014</v>
      </c>
      <c r="X2519" s="3">
        <v>12.22</v>
      </c>
    </row>
    <row r="2520" spans="1:24" ht="89.25">
      <c r="A2520" s="3" t="s">
        <v>12555</v>
      </c>
      <c r="B2520" s="6" t="s">
        <v>361</v>
      </c>
      <c r="C2520" s="159" t="s">
        <v>4443</v>
      </c>
      <c r="D2520" s="159" t="s">
        <v>4444</v>
      </c>
      <c r="E2520" s="6" t="s">
        <v>4445</v>
      </c>
      <c r="F2520" s="6" t="s">
        <v>4752</v>
      </c>
      <c r="G2520" s="3" t="s">
        <v>11450</v>
      </c>
      <c r="H2520" s="54">
        <v>0.5</v>
      </c>
      <c r="I2520" s="16">
        <v>470000000</v>
      </c>
      <c r="J2520" s="56" t="s">
        <v>229</v>
      </c>
      <c r="K2520" s="6" t="s">
        <v>519</v>
      </c>
      <c r="L2520" s="17" t="s">
        <v>11411</v>
      </c>
      <c r="M2520" s="162" t="s">
        <v>230</v>
      </c>
      <c r="N2520" s="15" t="s">
        <v>521</v>
      </c>
      <c r="O2520" s="6" t="s">
        <v>4568</v>
      </c>
      <c r="P2520" s="58" t="s">
        <v>241</v>
      </c>
      <c r="Q2520" s="6" t="s">
        <v>234</v>
      </c>
      <c r="R2520" s="4">
        <v>200</v>
      </c>
      <c r="S2520" s="74">
        <v>82</v>
      </c>
      <c r="T2520" s="4">
        <v>0</v>
      </c>
      <c r="U2520" s="4">
        <f t="shared" si="70"/>
        <v>0</v>
      </c>
      <c r="V2520" s="3"/>
      <c r="W2520" s="3">
        <v>2014</v>
      </c>
      <c r="X2520" s="3">
        <v>11</v>
      </c>
    </row>
    <row r="2521" spans="1:24" ht="89.25">
      <c r="A2521" s="3" t="s">
        <v>15652</v>
      </c>
      <c r="B2521" s="6" t="s">
        <v>361</v>
      </c>
      <c r="C2521" s="159" t="s">
        <v>4443</v>
      </c>
      <c r="D2521" s="159" t="s">
        <v>4444</v>
      </c>
      <c r="E2521" s="6" t="s">
        <v>4445</v>
      </c>
      <c r="F2521" s="6" t="s">
        <v>4752</v>
      </c>
      <c r="G2521" s="3" t="s">
        <v>11450</v>
      </c>
      <c r="H2521" s="54">
        <v>0.5</v>
      </c>
      <c r="I2521" s="16">
        <v>470000000</v>
      </c>
      <c r="J2521" s="56" t="s">
        <v>229</v>
      </c>
      <c r="K2521" s="6" t="s">
        <v>222</v>
      </c>
      <c r="L2521" s="17" t="s">
        <v>11411</v>
      </c>
      <c r="M2521" s="162" t="s">
        <v>230</v>
      </c>
      <c r="N2521" s="15" t="s">
        <v>521</v>
      </c>
      <c r="O2521" s="6" t="s">
        <v>4568</v>
      </c>
      <c r="P2521" s="58" t="s">
        <v>241</v>
      </c>
      <c r="Q2521" s="6" t="s">
        <v>234</v>
      </c>
      <c r="R2521" s="4">
        <v>200</v>
      </c>
      <c r="S2521" s="74">
        <v>82</v>
      </c>
      <c r="T2521" s="4">
        <v>0</v>
      </c>
      <c r="U2521" s="4">
        <f t="shared" si="70"/>
        <v>0</v>
      </c>
      <c r="V2521" s="3"/>
      <c r="W2521" s="3">
        <v>2014</v>
      </c>
      <c r="X2521" s="3">
        <v>14</v>
      </c>
    </row>
    <row r="2522" spans="1:24" ht="89.25">
      <c r="A2522" s="3" t="s">
        <v>17613</v>
      </c>
      <c r="B2522" s="6" t="s">
        <v>361</v>
      </c>
      <c r="C2522" s="159" t="s">
        <v>4443</v>
      </c>
      <c r="D2522" s="159" t="s">
        <v>4444</v>
      </c>
      <c r="E2522" s="6" t="s">
        <v>4445</v>
      </c>
      <c r="F2522" s="6" t="s">
        <v>4752</v>
      </c>
      <c r="G2522" s="3" t="s">
        <v>11450</v>
      </c>
      <c r="H2522" s="54">
        <v>0.5</v>
      </c>
      <c r="I2522" s="16">
        <v>470000000</v>
      </c>
      <c r="J2522" s="56" t="s">
        <v>229</v>
      </c>
      <c r="K2522" s="6" t="s">
        <v>222</v>
      </c>
      <c r="L2522" s="17" t="s">
        <v>11411</v>
      </c>
      <c r="M2522" s="162" t="s">
        <v>230</v>
      </c>
      <c r="N2522" s="15" t="s">
        <v>17491</v>
      </c>
      <c r="O2522" s="6" t="s">
        <v>4568</v>
      </c>
      <c r="P2522" s="58" t="s">
        <v>241</v>
      </c>
      <c r="Q2522" s="6" t="s">
        <v>234</v>
      </c>
      <c r="R2522" s="4">
        <v>200</v>
      </c>
      <c r="S2522" s="74">
        <v>82</v>
      </c>
      <c r="T2522" s="4">
        <f>R2522*S2522</f>
        <v>16400</v>
      </c>
      <c r="U2522" s="4">
        <f t="shared" si="70"/>
        <v>18368</v>
      </c>
      <c r="V2522" s="3"/>
      <c r="W2522" s="3">
        <v>2014</v>
      </c>
      <c r="X2522" s="3"/>
    </row>
    <row r="2523" spans="1:24" ht="89.25">
      <c r="A2523" s="3" t="s">
        <v>1466</v>
      </c>
      <c r="B2523" s="6" t="s">
        <v>361</v>
      </c>
      <c r="C2523" s="159" t="s">
        <v>4443</v>
      </c>
      <c r="D2523" s="159" t="s">
        <v>4444</v>
      </c>
      <c r="E2523" s="6" t="s">
        <v>4445</v>
      </c>
      <c r="F2523" s="6" t="s">
        <v>4753</v>
      </c>
      <c r="G2523" s="3" t="s">
        <v>11450</v>
      </c>
      <c r="H2523" s="54">
        <v>0.5</v>
      </c>
      <c r="I2523" s="55">
        <v>470000000</v>
      </c>
      <c r="J2523" s="56" t="s">
        <v>229</v>
      </c>
      <c r="K2523" s="6" t="s">
        <v>519</v>
      </c>
      <c r="L2523" s="16" t="s">
        <v>4570</v>
      </c>
      <c r="M2523" s="162" t="s">
        <v>230</v>
      </c>
      <c r="N2523" s="15" t="s">
        <v>521</v>
      </c>
      <c r="O2523" s="6" t="s">
        <v>4568</v>
      </c>
      <c r="P2523" s="58" t="s">
        <v>241</v>
      </c>
      <c r="Q2523" s="6" t="s">
        <v>234</v>
      </c>
      <c r="R2523" s="3">
        <v>100</v>
      </c>
      <c r="S2523" s="1">
        <v>102</v>
      </c>
      <c r="T2523" s="4">
        <v>0</v>
      </c>
      <c r="U2523" s="4">
        <f t="shared" si="70"/>
        <v>0</v>
      </c>
      <c r="V2523" s="166" t="s">
        <v>362</v>
      </c>
      <c r="W2523" s="3">
        <v>2014</v>
      </c>
      <c r="X2523" s="3">
        <v>12.22</v>
      </c>
    </row>
    <row r="2524" spans="1:24" ht="89.25">
      <c r="A2524" s="3" t="s">
        <v>12556</v>
      </c>
      <c r="B2524" s="6" t="s">
        <v>361</v>
      </c>
      <c r="C2524" s="159" t="s">
        <v>4443</v>
      </c>
      <c r="D2524" s="159" t="s">
        <v>4444</v>
      </c>
      <c r="E2524" s="6" t="s">
        <v>4445</v>
      </c>
      <c r="F2524" s="6" t="s">
        <v>4753</v>
      </c>
      <c r="G2524" s="3" t="s">
        <v>11450</v>
      </c>
      <c r="H2524" s="54">
        <v>0.5</v>
      </c>
      <c r="I2524" s="55">
        <v>470000000</v>
      </c>
      <c r="J2524" s="56" t="s">
        <v>229</v>
      </c>
      <c r="K2524" s="6" t="s">
        <v>519</v>
      </c>
      <c r="L2524" s="17" t="s">
        <v>11411</v>
      </c>
      <c r="M2524" s="162" t="s">
        <v>230</v>
      </c>
      <c r="N2524" s="15" t="s">
        <v>521</v>
      </c>
      <c r="O2524" s="6" t="s">
        <v>4568</v>
      </c>
      <c r="P2524" s="58" t="s">
        <v>241</v>
      </c>
      <c r="Q2524" s="6" t="s">
        <v>234</v>
      </c>
      <c r="R2524" s="3">
        <v>100</v>
      </c>
      <c r="S2524" s="1">
        <v>102</v>
      </c>
      <c r="T2524" s="4">
        <v>0</v>
      </c>
      <c r="U2524" s="4">
        <f t="shared" si="70"/>
        <v>0</v>
      </c>
      <c r="V2524" s="166"/>
      <c r="W2524" s="3">
        <v>2014</v>
      </c>
      <c r="X2524" s="3">
        <v>11</v>
      </c>
    </row>
    <row r="2525" spans="1:24" ht="89.25">
      <c r="A2525" s="3" t="s">
        <v>15653</v>
      </c>
      <c r="B2525" s="6" t="s">
        <v>361</v>
      </c>
      <c r="C2525" s="159" t="s">
        <v>4443</v>
      </c>
      <c r="D2525" s="159" t="s">
        <v>4444</v>
      </c>
      <c r="E2525" s="6" t="s">
        <v>4445</v>
      </c>
      <c r="F2525" s="6" t="s">
        <v>4753</v>
      </c>
      <c r="G2525" s="3" t="s">
        <v>11450</v>
      </c>
      <c r="H2525" s="54">
        <v>0.5</v>
      </c>
      <c r="I2525" s="55">
        <v>470000000</v>
      </c>
      <c r="J2525" s="56" t="s">
        <v>229</v>
      </c>
      <c r="K2525" s="6" t="s">
        <v>222</v>
      </c>
      <c r="L2525" s="17" t="s">
        <v>11411</v>
      </c>
      <c r="M2525" s="162" t="s">
        <v>230</v>
      </c>
      <c r="N2525" s="15" t="s">
        <v>521</v>
      </c>
      <c r="O2525" s="6" t="s">
        <v>4568</v>
      </c>
      <c r="P2525" s="58" t="s">
        <v>241</v>
      </c>
      <c r="Q2525" s="6" t="s">
        <v>234</v>
      </c>
      <c r="R2525" s="3">
        <v>100</v>
      </c>
      <c r="S2525" s="1">
        <v>102</v>
      </c>
      <c r="T2525" s="4">
        <v>0</v>
      </c>
      <c r="U2525" s="4">
        <f t="shared" si="70"/>
        <v>0</v>
      </c>
      <c r="V2525" s="166"/>
      <c r="W2525" s="3">
        <v>2014</v>
      </c>
      <c r="X2525" s="3">
        <v>14</v>
      </c>
    </row>
    <row r="2526" spans="1:24" ht="89.25">
      <c r="A2526" s="3" t="s">
        <v>17614</v>
      </c>
      <c r="B2526" s="6" t="s">
        <v>361</v>
      </c>
      <c r="C2526" s="159" t="s">
        <v>4443</v>
      </c>
      <c r="D2526" s="159" t="s">
        <v>4444</v>
      </c>
      <c r="E2526" s="6" t="s">
        <v>4445</v>
      </c>
      <c r="F2526" s="6" t="s">
        <v>4753</v>
      </c>
      <c r="G2526" s="3" t="s">
        <v>11450</v>
      </c>
      <c r="H2526" s="54">
        <v>0.5</v>
      </c>
      <c r="I2526" s="55">
        <v>470000000</v>
      </c>
      <c r="J2526" s="56" t="s">
        <v>229</v>
      </c>
      <c r="K2526" s="6" t="s">
        <v>222</v>
      </c>
      <c r="L2526" s="17" t="s">
        <v>11411</v>
      </c>
      <c r="M2526" s="162" t="s">
        <v>230</v>
      </c>
      <c r="N2526" s="15" t="s">
        <v>17491</v>
      </c>
      <c r="O2526" s="6" t="s">
        <v>4568</v>
      </c>
      <c r="P2526" s="58" t="s">
        <v>241</v>
      </c>
      <c r="Q2526" s="6" t="s">
        <v>234</v>
      </c>
      <c r="R2526" s="3">
        <v>100</v>
      </c>
      <c r="S2526" s="1">
        <v>102</v>
      </c>
      <c r="T2526" s="4">
        <f>R2526*S2526</f>
        <v>10200</v>
      </c>
      <c r="U2526" s="4">
        <f t="shared" si="70"/>
        <v>11424.000000000002</v>
      </c>
      <c r="V2526" s="166"/>
      <c r="W2526" s="3">
        <v>2014</v>
      </c>
      <c r="X2526" s="3"/>
    </row>
    <row r="2527" spans="1:24" ht="89.25">
      <c r="A2527" s="3" t="s">
        <v>1467</v>
      </c>
      <c r="B2527" s="6" t="s">
        <v>361</v>
      </c>
      <c r="C2527" s="159" t="s">
        <v>4443</v>
      </c>
      <c r="D2527" s="159" t="s">
        <v>4444</v>
      </c>
      <c r="E2527" s="6" t="s">
        <v>4445</v>
      </c>
      <c r="F2527" s="6" t="s">
        <v>4754</v>
      </c>
      <c r="G2527" s="3" t="s">
        <v>11450</v>
      </c>
      <c r="H2527" s="54">
        <v>0.5</v>
      </c>
      <c r="I2527" s="16">
        <v>470000000</v>
      </c>
      <c r="J2527" s="56" t="s">
        <v>229</v>
      </c>
      <c r="K2527" s="6" t="s">
        <v>519</v>
      </c>
      <c r="L2527" s="16" t="s">
        <v>4567</v>
      </c>
      <c r="M2527" s="162" t="s">
        <v>230</v>
      </c>
      <c r="N2527" s="15" t="s">
        <v>521</v>
      </c>
      <c r="O2527" s="6" t="s">
        <v>4568</v>
      </c>
      <c r="P2527" s="58" t="s">
        <v>241</v>
      </c>
      <c r="Q2527" s="6" t="s">
        <v>234</v>
      </c>
      <c r="R2527" s="4">
        <v>100</v>
      </c>
      <c r="S2527" s="74">
        <v>133</v>
      </c>
      <c r="T2527" s="4">
        <v>0</v>
      </c>
      <c r="U2527" s="4">
        <f t="shared" si="70"/>
        <v>0</v>
      </c>
      <c r="V2527" s="3" t="s">
        <v>362</v>
      </c>
      <c r="W2527" s="3">
        <v>2014</v>
      </c>
      <c r="X2527" s="3">
        <v>12.22</v>
      </c>
    </row>
    <row r="2528" spans="1:24" ht="89.25">
      <c r="A2528" s="3" t="s">
        <v>12557</v>
      </c>
      <c r="B2528" s="6" t="s">
        <v>361</v>
      </c>
      <c r="C2528" s="159" t="s">
        <v>4443</v>
      </c>
      <c r="D2528" s="159" t="s">
        <v>4444</v>
      </c>
      <c r="E2528" s="6" t="s">
        <v>4445</v>
      </c>
      <c r="F2528" s="6" t="s">
        <v>4754</v>
      </c>
      <c r="G2528" s="3" t="s">
        <v>11450</v>
      </c>
      <c r="H2528" s="54">
        <v>0.5</v>
      </c>
      <c r="I2528" s="16">
        <v>470000000</v>
      </c>
      <c r="J2528" s="56" t="s">
        <v>229</v>
      </c>
      <c r="K2528" s="6" t="s">
        <v>519</v>
      </c>
      <c r="L2528" s="17" t="s">
        <v>11411</v>
      </c>
      <c r="M2528" s="162" t="s">
        <v>230</v>
      </c>
      <c r="N2528" s="15" t="s">
        <v>521</v>
      </c>
      <c r="O2528" s="6" t="s">
        <v>4568</v>
      </c>
      <c r="P2528" s="58" t="s">
        <v>241</v>
      </c>
      <c r="Q2528" s="6" t="s">
        <v>234</v>
      </c>
      <c r="R2528" s="4">
        <v>100</v>
      </c>
      <c r="S2528" s="74">
        <v>133</v>
      </c>
      <c r="T2528" s="4">
        <v>0</v>
      </c>
      <c r="U2528" s="4">
        <f t="shared" si="70"/>
        <v>0</v>
      </c>
      <c r="V2528" s="3"/>
      <c r="W2528" s="3">
        <v>2014</v>
      </c>
      <c r="X2528" s="3">
        <v>11</v>
      </c>
    </row>
    <row r="2529" spans="1:24" ht="89.25">
      <c r="A2529" s="3" t="s">
        <v>15654</v>
      </c>
      <c r="B2529" s="6" t="s">
        <v>361</v>
      </c>
      <c r="C2529" s="159" t="s">
        <v>4443</v>
      </c>
      <c r="D2529" s="159" t="s">
        <v>4444</v>
      </c>
      <c r="E2529" s="6" t="s">
        <v>4445</v>
      </c>
      <c r="F2529" s="6" t="s">
        <v>4754</v>
      </c>
      <c r="G2529" s="3" t="s">
        <v>11450</v>
      </c>
      <c r="H2529" s="54">
        <v>0.5</v>
      </c>
      <c r="I2529" s="16">
        <v>470000000</v>
      </c>
      <c r="J2529" s="56" t="s">
        <v>229</v>
      </c>
      <c r="K2529" s="6" t="s">
        <v>222</v>
      </c>
      <c r="L2529" s="17" t="s">
        <v>11411</v>
      </c>
      <c r="M2529" s="162" t="s">
        <v>230</v>
      </c>
      <c r="N2529" s="15" t="s">
        <v>521</v>
      </c>
      <c r="O2529" s="6" t="s">
        <v>4568</v>
      </c>
      <c r="P2529" s="58" t="s">
        <v>241</v>
      </c>
      <c r="Q2529" s="6" t="s">
        <v>234</v>
      </c>
      <c r="R2529" s="4">
        <v>100</v>
      </c>
      <c r="S2529" s="74">
        <v>133</v>
      </c>
      <c r="T2529" s="4">
        <v>0</v>
      </c>
      <c r="U2529" s="4">
        <f t="shared" si="70"/>
        <v>0</v>
      </c>
      <c r="V2529" s="3"/>
      <c r="W2529" s="3">
        <v>2014</v>
      </c>
      <c r="X2529" s="3">
        <v>14</v>
      </c>
    </row>
    <row r="2530" spans="1:24" ht="89.25">
      <c r="A2530" s="3" t="s">
        <v>17615</v>
      </c>
      <c r="B2530" s="6" t="s">
        <v>361</v>
      </c>
      <c r="C2530" s="159" t="s">
        <v>4443</v>
      </c>
      <c r="D2530" s="159" t="s">
        <v>4444</v>
      </c>
      <c r="E2530" s="6" t="s">
        <v>4445</v>
      </c>
      <c r="F2530" s="6" t="s">
        <v>4754</v>
      </c>
      <c r="G2530" s="3" t="s">
        <v>11450</v>
      </c>
      <c r="H2530" s="54">
        <v>0.5</v>
      </c>
      <c r="I2530" s="16">
        <v>470000000</v>
      </c>
      <c r="J2530" s="56" t="s">
        <v>229</v>
      </c>
      <c r="K2530" s="6" t="s">
        <v>222</v>
      </c>
      <c r="L2530" s="17" t="s">
        <v>11411</v>
      </c>
      <c r="M2530" s="162" t="s">
        <v>230</v>
      </c>
      <c r="N2530" s="15" t="s">
        <v>17491</v>
      </c>
      <c r="O2530" s="6" t="s">
        <v>4568</v>
      </c>
      <c r="P2530" s="58" t="s">
        <v>241</v>
      </c>
      <c r="Q2530" s="6" t="s">
        <v>234</v>
      </c>
      <c r="R2530" s="4">
        <v>100</v>
      </c>
      <c r="S2530" s="74">
        <v>133</v>
      </c>
      <c r="T2530" s="4">
        <f>R2530*S2530</f>
        <v>13300</v>
      </c>
      <c r="U2530" s="4">
        <f t="shared" si="70"/>
        <v>14896.000000000002</v>
      </c>
      <c r="V2530" s="3"/>
      <c r="W2530" s="3">
        <v>2014</v>
      </c>
      <c r="X2530" s="3"/>
    </row>
    <row r="2531" spans="1:24" ht="89.25">
      <c r="A2531" s="3" t="s">
        <v>1468</v>
      </c>
      <c r="B2531" s="6" t="s">
        <v>361</v>
      </c>
      <c r="C2531" s="159" t="s">
        <v>4443</v>
      </c>
      <c r="D2531" s="159" t="s">
        <v>4444</v>
      </c>
      <c r="E2531" s="6" t="s">
        <v>4445</v>
      </c>
      <c r="F2531" s="6" t="s">
        <v>4755</v>
      </c>
      <c r="G2531" s="3" t="s">
        <v>11450</v>
      </c>
      <c r="H2531" s="54">
        <v>0.5</v>
      </c>
      <c r="I2531" s="55">
        <v>470000000</v>
      </c>
      <c r="J2531" s="56" t="s">
        <v>229</v>
      </c>
      <c r="K2531" s="6" t="s">
        <v>519</v>
      </c>
      <c r="L2531" s="16" t="s">
        <v>4570</v>
      </c>
      <c r="M2531" s="162" t="s">
        <v>230</v>
      </c>
      <c r="N2531" s="15" t="s">
        <v>521</v>
      </c>
      <c r="O2531" s="6" t="s">
        <v>4568</v>
      </c>
      <c r="P2531" s="58" t="s">
        <v>241</v>
      </c>
      <c r="Q2531" s="6" t="s">
        <v>234</v>
      </c>
      <c r="R2531" s="3">
        <v>25</v>
      </c>
      <c r="S2531" s="1">
        <v>172</v>
      </c>
      <c r="T2531" s="4">
        <v>0</v>
      </c>
      <c r="U2531" s="4">
        <f t="shared" si="70"/>
        <v>0</v>
      </c>
      <c r="V2531" s="166" t="s">
        <v>362</v>
      </c>
      <c r="W2531" s="3">
        <v>2014</v>
      </c>
      <c r="X2531" s="3">
        <v>12.22</v>
      </c>
    </row>
    <row r="2532" spans="1:24" ht="89.25">
      <c r="A2532" s="3" t="s">
        <v>12558</v>
      </c>
      <c r="B2532" s="6" t="s">
        <v>361</v>
      </c>
      <c r="C2532" s="159" t="s">
        <v>4443</v>
      </c>
      <c r="D2532" s="159" t="s">
        <v>4444</v>
      </c>
      <c r="E2532" s="6" t="s">
        <v>4445</v>
      </c>
      <c r="F2532" s="6" t="s">
        <v>4755</v>
      </c>
      <c r="G2532" s="3" t="s">
        <v>11450</v>
      </c>
      <c r="H2532" s="54">
        <v>0.5</v>
      </c>
      <c r="I2532" s="55">
        <v>470000000</v>
      </c>
      <c r="J2532" s="56" t="s">
        <v>229</v>
      </c>
      <c r="K2532" s="6" t="s">
        <v>519</v>
      </c>
      <c r="L2532" s="17" t="s">
        <v>11411</v>
      </c>
      <c r="M2532" s="162" t="s">
        <v>230</v>
      </c>
      <c r="N2532" s="15" t="s">
        <v>521</v>
      </c>
      <c r="O2532" s="6" t="s">
        <v>4568</v>
      </c>
      <c r="P2532" s="58" t="s">
        <v>241</v>
      </c>
      <c r="Q2532" s="6" t="s">
        <v>234</v>
      </c>
      <c r="R2532" s="3">
        <v>25</v>
      </c>
      <c r="S2532" s="1">
        <v>172</v>
      </c>
      <c r="T2532" s="4">
        <v>0</v>
      </c>
      <c r="U2532" s="4">
        <f t="shared" si="70"/>
        <v>0</v>
      </c>
      <c r="V2532" s="166"/>
      <c r="W2532" s="3">
        <v>2014</v>
      </c>
      <c r="X2532" s="3">
        <v>11</v>
      </c>
    </row>
    <row r="2533" spans="1:24" ht="89.25">
      <c r="A2533" s="3" t="s">
        <v>15655</v>
      </c>
      <c r="B2533" s="6" t="s">
        <v>361</v>
      </c>
      <c r="C2533" s="159" t="s">
        <v>4443</v>
      </c>
      <c r="D2533" s="159" t="s">
        <v>4444</v>
      </c>
      <c r="E2533" s="6" t="s">
        <v>4445</v>
      </c>
      <c r="F2533" s="6" t="s">
        <v>4755</v>
      </c>
      <c r="G2533" s="3" t="s">
        <v>11450</v>
      </c>
      <c r="H2533" s="54">
        <v>0.5</v>
      </c>
      <c r="I2533" s="55">
        <v>470000000</v>
      </c>
      <c r="J2533" s="56" t="s">
        <v>229</v>
      </c>
      <c r="K2533" s="6" t="s">
        <v>222</v>
      </c>
      <c r="L2533" s="17" t="s">
        <v>11411</v>
      </c>
      <c r="M2533" s="162" t="s">
        <v>230</v>
      </c>
      <c r="N2533" s="15" t="s">
        <v>521</v>
      </c>
      <c r="O2533" s="6" t="s">
        <v>4568</v>
      </c>
      <c r="P2533" s="58" t="s">
        <v>241</v>
      </c>
      <c r="Q2533" s="6" t="s">
        <v>234</v>
      </c>
      <c r="R2533" s="3">
        <v>25</v>
      </c>
      <c r="S2533" s="1">
        <v>172</v>
      </c>
      <c r="T2533" s="4">
        <v>0</v>
      </c>
      <c r="U2533" s="4">
        <f t="shared" si="70"/>
        <v>0</v>
      </c>
      <c r="V2533" s="166"/>
      <c r="W2533" s="3">
        <v>2014</v>
      </c>
      <c r="X2533" s="3">
        <v>14</v>
      </c>
    </row>
    <row r="2534" spans="1:24" ht="89.25">
      <c r="A2534" s="3" t="s">
        <v>17616</v>
      </c>
      <c r="B2534" s="6" t="s">
        <v>361</v>
      </c>
      <c r="C2534" s="159" t="s">
        <v>4443</v>
      </c>
      <c r="D2534" s="159" t="s">
        <v>4444</v>
      </c>
      <c r="E2534" s="6" t="s">
        <v>4445</v>
      </c>
      <c r="F2534" s="6" t="s">
        <v>4755</v>
      </c>
      <c r="G2534" s="3" t="s">
        <v>11450</v>
      </c>
      <c r="H2534" s="54">
        <v>0.5</v>
      </c>
      <c r="I2534" s="55">
        <v>470000000</v>
      </c>
      <c r="J2534" s="56" t="s">
        <v>229</v>
      </c>
      <c r="K2534" s="6" t="s">
        <v>222</v>
      </c>
      <c r="L2534" s="17" t="s">
        <v>11411</v>
      </c>
      <c r="M2534" s="162" t="s">
        <v>230</v>
      </c>
      <c r="N2534" s="15" t="s">
        <v>17491</v>
      </c>
      <c r="O2534" s="6" t="s">
        <v>4568</v>
      </c>
      <c r="P2534" s="58" t="s">
        <v>241</v>
      </c>
      <c r="Q2534" s="6" t="s">
        <v>234</v>
      </c>
      <c r="R2534" s="3">
        <v>25</v>
      </c>
      <c r="S2534" s="1">
        <v>172</v>
      </c>
      <c r="T2534" s="4">
        <f>R2534*S2534</f>
        <v>4300</v>
      </c>
      <c r="U2534" s="4">
        <f t="shared" si="70"/>
        <v>4816.0000000000009</v>
      </c>
      <c r="V2534" s="166"/>
      <c r="W2534" s="3">
        <v>2014</v>
      </c>
      <c r="X2534" s="3"/>
    </row>
    <row r="2535" spans="1:24" ht="89.25">
      <c r="A2535" s="3" t="s">
        <v>1469</v>
      </c>
      <c r="B2535" s="6" t="s">
        <v>361</v>
      </c>
      <c r="C2535" s="159" t="s">
        <v>4443</v>
      </c>
      <c r="D2535" s="159" t="s">
        <v>4444</v>
      </c>
      <c r="E2535" s="6" t="s">
        <v>4445</v>
      </c>
      <c r="F2535" s="6" t="s">
        <v>4756</v>
      </c>
      <c r="G2535" s="3" t="s">
        <v>11450</v>
      </c>
      <c r="H2535" s="54">
        <v>0.5</v>
      </c>
      <c r="I2535" s="16">
        <v>470000000</v>
      </c>
      <c r="J2535" s="56" t="s">
        <v>229</v>
      </c>
      <c r="K2535" s="6" t="s">
        <v>519</v>
      </c>
      <c r="L2535" s="16" t="s">
        <v>4567</v>
      </c>
      <c r="M2535" s="162" t="s">
        <v>230</v>
      </c>
      <c r="N2535" s="15" t="s">
        <v>521</v>
      </c>
      <c r="O2535" s="6" t="s">
        <v>4568</v>
      </c>
      <c r="P2535" s="58" t="s">
        <v>241</v>
      </c>
      <c r="Q2535" s="6" t="s">
        <v>234</v>
      </c>
      <c r="R2535" s="4">
        <v>25</v>
      </c>
      <c r="S2535" s="74">
        <v>180</v>
      </c>
      <c r="T2535" s="4">
        <v>0</v>
      </c>
      <c r="U2535" s="4">
        <f t="shared" si="70"/>
        <v>0</v>
      </c>
      <c r="V2535" s="3" t="s">
        <v>362</v>
      </c>
      <c r="W2535" s="3">
        <v>2014</v>
      </c>
      <c r="X2535" s="3">
        <v>12.22</v>
      </c>
    </row>
    <row r="2536" spans="1:24" ht="89.25">
      <c r="A2536" s="3" t="s">
        <v>12559</v>
      </c>
      <c r="B2536" s="6" t="s">
        <v>361</v>
      </c>
      <c r="C2536" s="159" t="s">
        <v>4443</v>
      </c>
      <c r="D2536" s="159" t="s">
        <v>4444</v>
      </c>
      <c r="E2536" s="6" t="s">
        <v>4445</v>
      </c>
      <c r="F2536" s="6" t="s">
        <v>4756</v>
      </c>
      <c r="G2536" s="3" t="s">
        <v>11450</v>
      </c>
      <c r="H2536" s="54">
        <v>0.5</v>
      </c>
      <c r="I2536" s="16">
        <v>470000000</v>
      </c>
      <c r="J2536" s="56" t="s">
        <v>229</v>
      </c>
      <c r="K2536" s="6" t="s">
        <v>519</v>
      </c>
      <c r="L2536" s="17" t="s">
        <v>11411</v>
      </c>
      <c r="M2536" s="162" t="s">
        <v>230</v>
      </c>
      <c r="N2536" s="15" t="s">
        <v>521</v>
      </c>
      <c r="O2536" s="6" t="s">
        <v>4568</v>
      </c>
      <c r="P2536" s="58" t="s">
        <v>241</v>
      </c>
      <c r="Q2536" s="6" t="s">
        <v>234</v>
      </c>
      <c r="R2536" s="4">
        <v>25</v>
      </c>
      <c r="S2536" s="74">
        <v>180</v>
      </c>
      <c r="T2536" s="4">
        <v>0</v>
      </c>
      <c r="U2536" s="4">
        <f t="shared" si="70"/>
        <v>0</v>
      </c>
      <c r="V2536" s="3"/>
      <c r="W2536" s="3">
        <v>2014</v>
      </c>
      <c r="X2536" s="3">
        <v>11</v>
      </c>
    </row>
    <row r="2537" spans="1:24" ht="89.25">
      <c r="A2537" s="3" t="s">
        <v>15656</v>
      </c>
      <c r="B2537" s="6" t="s">
        <v>361</v>
      </c>
      <c r="C2537" s="159" t="s">
        <v>4443</v>
      </c>
      <c r="D2537" s="159" t="s">
        <v>4444</v>
      </c>
      <c r="E2537" s="6" t="s">
        <v>4445</v>
      </c>
      <c r="F2537" s="6" t="s">
        <v>4756</v>
      </c>
      <c r="G2537" s="3" t="s">
        <v>11450</v>
      </c>
      <c r="H2537" s="54">
        <v>0.5</v>
      </c>
      <c r="I2537" s="16">
        <v>470000000</v>
      </c>
      <c r="J2537" s="56" t="s">
        <v>229</v>
      </c>
      <c r="K2537" s="6" t="s">
        <v>222</v>
      </c>
      <c r="L2537" s="17" t="s">
        <v>11411</v>
      </c>
      <c r="M2537" s="162" t="s">
        <v>230</v>
      </c>
      <c r="N2537" s="15" t="s">
        <v>521</v>
      </c>
      <c r="O2537" s="6" t="s">
        <v>4568</v>
      </c>
      <c r="P2537" s="58" t="s">
        <v>241</v>
      </c>
      <c r="Q2537" s="6" t="s">
        <v>234</v>
      </c>
      <c r="R2537" s="4">
        <v>25</v>
      </c>
      <c r="S2537" s="74">
        <v>180</v>
      </c>
      <c r="T2537" s="4">
        <v>0</v>
      </c>
      <c r="U2537" s="4">
        <f t="shared" si="70"/>
        <v>0</v>
      </c>
      <c r="V2537" s="3"/>
      <c r="W2537" s="3">
        <v>2014</v>
      </c>
      <c r="X2537" s="3">
        <v>14</v>
      </c>
    </row>
    <row r="2538" spans="1:24" ht="89.25">
      <c r="A2538" s="3" t="s">
        <v>17617</v>
      </c>
      <c r="B2538" s="6" t="s">
        <v>361</v>
      </c>
      <c r="C2538" s="159" t="s">
        <v>4443</v>
      </c>
      <c r="D2538" s="159" t="s">
        <v>4444</v>
      </c>
      <c r="E2538" s="6" t="s">
        <v>4445</v>
      </c>
      <c r="F2538" s="6" t="s">
        <v>4756</v>
      </c>
      <c r="G2538" s="3" t="s">
        <v>11450</v>
      </c>
      <c r="H2538" s="54">
        <v>0.5</v>
      </c>
      <c r="I2538" s="16">
        <v>470000000</v>
      </c>
      <c r="J2538" s="56" t="s">
        <v>229</v>
      </c>
      <c r="K2538" s="6" t="s">
        <v>222</v>
      </c>
      <c r="L2538" s="17" t="s">
        <v>11411</v>
      </c>
      <c r="M2538" s="162" t="s">
        <v>230</v>
      </c>
      <c r="N2538" s="15" t="s">
        <v>17491</v>
      </c>
      <c r="O2538" s="6" t="s">
        <v>4568</v>
      </c>
      <c r="P2538" s="58" t="s">
        <v>241</v>
      </c>
      <c r="Q2538" s="6" t="s">
        <v>234</v>
      </c>
      <c r="R2538" s="4">
        <v>25</v>
      </c>
      <c r="S2538" s="74">
        <v>180</v>
      </c>
      <c r="T2538" s="4">
        <f>R2538*S2538</f>
        <v>4500</v>
      </c>
      <c r="U2538" s="4">
        <f t="shared" si="70"/>
        <v>5040.0000000000009</v>
      </c>
      <c r="V2538" s="3"/>
      <c r="W2538" s="3">
        <v>2014</v>
      </c>
      <c r="X2538" s="3"/>
    </row>
    <row r="2539" spans="1:24" ht="89.25">
      <c r="A2539" s="3" t="s">
        <v>1470</v>
      </c>
      <c r="B2539" s="6" t="s">
        <v>361</v>
      </c>
      <c r="C2539" s="159" t="s">
        <v>4446</v>
      </c>
      <c r="D2539" s="159" t="s">
        <v>4444</v>
      </c>
      <c r="E2539" s="6" t="s">
        <v>4447</v>
      </c>
      <c r="F2539" s="6" t="s">
        <v>4757</v>
      </c>
      <c r="G2539" s="3" t="s">
        <v>11450</v>
      </c>
      <c r="H2539" s="54">
        <v>0.5</v>
      </c>
      <c r="I2539" s="55">
        <v>470000000</v>
      </c>
      <c r="J2539" s="56" t="s">
        <v>229</v>
      </c>
      <c r="K2539" s="6" t="s">
        <v>519</v>
      </c>
      <c r="L2539" s="16" t="s">
        <v>4570</v>
      </c>
      <c r="M2539" s="162" t="s">
        <v>230</v>
      </c>
      <c r="N2539" s="15" t="s">
        <v>521</v>
      </c>
      <c r="O2539" s="6" t="s">
        <v>4568</v>
      </c>
      <c r="P2539" s="58" t="s">
        <v>241</v>
      </c>
      <c r="Q2539" s="6" t="s">
        <v>234</v>
      </c>
      <c r="R2539" s="3">
        <v>300</v>
      </c>
      <c r="S2539" s="1">
        <v>68</v>
      </c>
      <c r="T2539" s="4">
        <v>0</v>
      </c>
      <c r="U2539" s="4">
        <f t="shared" si="70"/>
        <v>0</v>
      </c>
      <c r="V2539" s="166" t="s">
        <v>362</v>
      </c>
      <c r="W2539" s="3">
        <v>2014</v>
      </c>
      <c r="X2539" s="3">
        <v>12.22</v>
      </c>
    </row>
    <row r="2540" spans="1:24" ht="89.25">
      <c r="A2540" s="3" t="s">
        <v>12560</v>
      </c>
      <c r="B2540" s="6" t="s">
        <v>361</v>
      </c>
      <c r="C2540" s="159" t="s">
        <v>4446</v>
      </c>
      <c r="D2540" s="159" t="s">
        <v>4444</v>
      </c>
      <c r="E2540" s="6" t="s">
        <v>4447</v>
      </c>
      <c r="F2540" s="6" t="s">
        <v>4757</v>
      </c>
      <c r="G2540" s="3" t="s">
        <v>11450</v>
      </c>
      <c r="H2540" s="54">
        <v>0.5</v>
      </c>
      <c r="I2540" s="55">
        <v>470000000</v>
      </c>
      <c r="J2540" s="56" t="s">
        <v>229</v>
      </c>
      <c r="K2540" s="6" t="s">
        <v>519</v>
      </c>
      <c r="L2540" s="17" t="s">
        <v>11411</v>
      </c>
      <c r="M2540" s="162" t="s">
        <v>230</v>
      </c>
      <c r="N2540" s="15" t="s">
        <v>521</v>
      </c>
      <c r="O2540" s="6" t="s">
        <v>4568</v>
      </c>
      <c r="P2540" s="58" t="s">
        <v>241</v>
      </c>
      <c r="Q2540" s="6" t="s">
        <v>234</v>
      </c>
      <c r="R2540" s="3">
        <v>300</v>
      </c>
      <c r="S2540" s="1">
        <v>68</v>
      </c>
      <c r="T2540" s="4">
        <v>0</v>
      </c>
      <c r="U2540" s="4">
        <f t="shared" si="70"/>
        <v>0</v>
      </c>
      <c r="V2540" s="166"/>
      <c r="W2540" s="3">
        <v>2014</v>
      </c>
      <c r="X2540" s="3">
        <v>11</v>
      </c>
    </row>
    <row r="2541" spans="1:24" ht="89.25">
      <c r="A2541" s="3" t="s">
        <v>15657</v>
      </c>
      <c r="B2541" s="6" t="s">
        <v>361</v>
      </c>
      <c r="C2541" s="159" t="s">
        <v>4446</v>
      </c>
      <c r="D2541" s="159" t="s">
        <v>4444</v>
      </c>
      <c r="E2541" s="6" t="s">
        <v>4447</v>
      </c>
      <c r="F2541" s="6" t="s">
        <v>4757</v>
      </c>
      <c r="G2541" s="3" t="s">
        <v>11450</v>
      </c>
      <c r="H2541" s="54">
        <v>0.5</v>
      </c>
      <c r="I2541" s="55">
        <v>470000000</v>
      </c>
      <c r="J2541" s="56" t="s">
        <v>229</v>
      </c>
      <c r="K2541" s="6" t="s">
        <v>222</v>
      </c>
      <c r="L2541" s="17" t="s">
        <v>11411</v>
      </c>
      <c r="M2541" s="162" t="s">
        <v>230</v>
      </c>
      <c r="N2541" s="15" t="s">
        <v>521</v>
      </c>
      <c r="O2541" s="6" t="s">
        <v>4568</v>
      </c>
      <c r="P2541" s="58" t="s">
        <v>241</v>
      </c>
      <c r="Q2541" s="6" t="s">
        <v>234</v>
      </c>
      <c r="R2541" s="3">
        <v>300</v>
      </c>
      <c r="S2541" s="1">
        <v>68</v>
      </c>
      <c r="T2541" s="4">
        <v>0</v>
      </c>
      <c r="U2541" s="4">
        <f t="shared" si="70"/>
        <v>0</v>
      </c>
      <c r="V2541" s="166"/>
      <c r="W2541" s="3">
        <v>2014</v>
      </c>
      <c r="X2541" s="3">
        <v>14</v>
      </c>
    </row>
    <row r="2542" spans="1:24" ht="89.25">
      <c r="A2542" s="3" t="s">
        <v>17618</v>
      </c>
      <c r="B2542" s="6" t="s">
        <v>361</v>
      </c>
      <c r="C2542" s="159" t="s">
        <v>4446</v>
      </c>
      <c r="D2542" s="159" t="s">
        <v>4444</v>
      </c>
      <c r="E2542" s="6" t="s">
        <v>4447</v>
      </c>
      <c r="F2542" s="6" t="s">
        <v>4757</v>
      </c>
      <c r="G2542" s="3" t="s">
        <v>11450</v>
      </c>
      <c r="H2542" s="54">
        <v>0.5</v>
      </c>
      <c r="I2542" s="55">
        <v>470000000</v>
      </c>
      <c r="J2542" s="56" t="s">
        <v>229</v>
      </c>
      <c r="K2542" s="6" t="s">
        <v>222</v>
      </c>
      <c r="L2542" s="17" t="s">
        <v>11411</v>
      </c>
      <c r="M2542" s="162" t="s">
        <v>230</v>
      </c>
      <c r="N2542" s="15" t="s">
        <v>17491</v>
      </c>
      <c r="O2542" s="6" t="s">
        <v>4568</v>
      </c>
      <c r="P2542" s="58" t="s">
        <v>241</v>
      </c>
      <c r="Q2542" s="6" t="s">
        <v>234</v>
      </c>
      <c r="R2542" s="3">
        <v>300</v>
      </c>
      <c r="S2542" s="1">
        <v>68</v>
      </c>
      <c r="T2542" s="4">
        <f>R2542*S2542</f>
        <v>20400</v>
      </c>
      <c r="U2542" s="4">
        <f t="shared" si="70"/>
        <v>22848.000000000004</v>
      </c>
      <c r="V2542" s="166"/>
      <c r="W2542" s="3">
        <v>2014</v>
      </c>
      <c r="X2542" s="3"/>
    </row>
    <row r="2543" spans="1:24" ht="89.25">
      <c r="A2543" s="3" t="s">
        <v>1471</v>
      </c>
      <c r="B2543" s="6" t="s">
        <v>361</v>
      </c>
      <c r="C2543" s="159" t="s">
        <v>4446</v>
      </c>
      <c r="D2543" s="159" t="s">
        <v>4444</v>
      </c>
      <c r="E2543" s="6" t="s">
        <v>4447</v>
      </c>
      <c r="F2543" s="6" t="s">
        <v>4758</v>
      </c>
      <c r="G2543" s="3" t="s">
        <v>11450</v>
      </c>
      <c r="H2543" s="54">
        <v>0.5</v>
      </c>
      <c r="I2543" s="16">
        <v>470000000</v>
      </c>
      <c r="J2543" s="56" t="s">
        <v>229</v>
      </c>
      <c r="K2543" s="6" t="s">
        <v>519</v>
      </c>
      <c r="L2543" s="16" t="s">
        <v>4567</v>
      </c>
      <c r="M2543" s="162" t="s">
        <v>230</v>
      </c>
      <c r="N2543" s="15" t="s">
        <v>521</v>
      </c>
      <c r="O2543" s="6" t="s">
        <v>4568</v>
      </c>
      <c r="P2543" s="58" t="s">
        <v>241</v>
      </c>
      <c r="Q2543" s="6" t="s">
        <v>234</v>
      </c>
      <c r="R2543" s="4">
        <v>300</v>
      </c>
      <c r="S2543" s="74">
        <v>72</v>
      </c>
      <c r="T2543" s="4">
        <v>0</v>
      </c>
      <c r="U2543" s="4">
        <f t="shared" si="70"/>
        <v>0</v>
      </c>
      <c r="V2543" s="3" t="s">
        <v>362</v>
      </c>
      <c r="W2543" s="3">
        <v>2014</v>
      </c>
      <c r="X2543" s="3">
        <v>12.22</v>
      </c>
    </row>
    <row r="2544" spans="1:24" ht="89.25">
      <c r="A2544" s="3" t="s">
        <v>12561</v>
      </c>
      <c r="B2544" s="6" t="s">
        <v>361</v>
      </c>
      <c r="C2544" s="159" t="s">
        <v>4446</v>
      </c>
      <c r="D2544" s="159" t="s">
        <v>4444</v>
      </c>
      <c r="E2544" s="6" t="s">
        <v>4447</v>
      </c>
      <c r="F2544" s="6" t="s">
        <v>4758</v>
      </c>
      <c r="G2544" s="3" t="s">
        <v>11450</v>
      </c>
      <c r="H2544" s="54">
        <v>0.5</v>
      </c>
      <c r="I2544" s="16">
        <v>470000000</v>
      </c>
      <c r="J2544" s="56" t="s">
        <v>229</v>
      </c>
      <c r="K2544" s="6" t="s">
        <v>519</v>
      </c>
      <c r="L2544" s="17" t="s">
        <v>11411</v>
      </c>
      <c r="M2544" s="162" t="s">
        <v>230</v>
      </c>
      <c r="N2544" s="15" t="s">
        <v>521</v>
      </c>
      <c r="O2544" s="6" t="s">
        <v>4568</v>
      </c>
      <c r="P2544" s="58" t="s">
        <v>241</v>
      </c>
      <c r="Q2544" s="6" t="s">
        <v>234</v>
      </c>
      <c r="R2544" s="4">
        <v>300</v>
      </c>
      <c r="S2544" s="74">
        <v>72</v>
      </c>
      <c r="T2544" s="4">
        <v>0</v>
      </c>
      <c r="U2544" s="4">
        <f t="shared" si="70"/>
        <v>0</v>
      </c>
      <c r="V2544" s="3"/>
      <c r="W2544" s="3">
        <v>2014</v>
      </c>
      <c r="X2544" s="3">
        <v>11</v>
      </c>
    </row>
    <row r="2545" spans="1:24" ht="89.25">
      <c r="A2545" s="3" t="s">
        <v>15658</v>
      </c>
      <c r="B2545" s="6" t="s">
        <v>361</v>
      </c>
      <c r="C2545" s="159" t="s">
        <v>4446</v>
      </c>
      <c r="D2545" s="159" t="s">
        <v>4444</v>
      </c>
      <c r="E2545" s="6" t="s">
        <v>4447</v>
      </c>
      <c r="F2545" s="6" t="s">
        <v>4758</v>
      </c>
      <c r="G2545" s="3" t="s">
        <v>11450</v>
      </c>
      <c r="H2545" s="54">
        <v>0.5</v>
      </c>
      <c r="I2545" s="16">
        <v>470000000</v>
      </c>
      <c r="J2545" s="56" t="s">
        <v>229</v>
      </c>
      <c r="K2545" s="6" t="s">
        <v>222</v>
      </c>
      <c r="L2545" s="17" t="s">
        <v>11411</v>
      </c>
      <c r="M2545" s="162" t="s">
        <v>230</v>
      </c>
      <c r="N2545" s="15" t="s">
        <v>521</v>
      </c>
      <c r="O2545" s="6" t="s">
        <v>4568</v>
      </c>
      <c r="P2545" s="58" t="s">
        <v>241</v>
      </c>
      <c r="Q2545" s="6" t="s">
        <v>234</v>
      </c>
      <c r="R2545" s="4">
        <v>300</v>
      </c>
      <c r="S2545" s="74">
        <v>72</v>
      </c>
      <c r="T2545" s="4">
        <v>0</v>
      </c>
      <c r="U2545" s="4">
        <f t="shared" si="70"/>
        <v>0</v>
      </c>
      <c r="V2545" s="3"/>
      <c r="W2545" s="3">
        <v>2014</v>
      </c>
      <c r="X2545" s="3">
        <v>14</v>
      </c>
    </row>
    <row r="2546" spans="1:24" ht="89.25">
      <c r="A2546" s="3" t="s">
        <v>17619</v>
      </c>
      <c r="B2546" s="6" t="s">
        <v>361</v>
      </c>
      <c r="C2546" s="159" t="s">
        <v>4446</v>
      </c>
      <c r="D2546" s="159" t="s">
        <v>4444</v>
      </c>
      <c r="E2546" s="6" t="s">
        <v>4447</v>
      </c>
      <c r="F2546" s="6" t="s">
        <v>4758</v>
      </c>
      <c r="G2546" s="3" t="s">
        <v>11450</v>
      </c>
      <c r="H2546" s="54">
        <v>0.5</v>
      </c>
      <c r="I2546" s="16">
        <v>470000000</v>
      </c>
      <c r="J2546" s="56" t="s">
        <v>229</v>
      </c>
      <c r="K2546" s="6" t="s">
        <v>222</v>
      </c>
      <c r="L2546" s="17" t="s">
        <v>11411</v>
      </c>
      <c r="M2546" s="162" t="s">
        <v>230</v>
      </c>
      <c r="N2546" s="15" t="s">
        <v>17491</v>
      </c>
      <c r="O2546" s="6" t="s">
        <v>4568</v>
      </c>
      <c r="P2546" s="58" t="s">
        <v>241</v>
      </c>
      <c r="Q2546" s="6" t="s">
        <v>234</v>
      </c>
      <c r="R2546" s="4">
        <v>300</v>
      </c>
      <c r="S2546" s="74">
        <v>72</v>
      </c>
      <c r="T2546" s="4">
        <f>R2546*S2546</f>
        <v>21600</v>
      </c>
      <c r="U2546" s="4">
        <f t="shared" si="70"/>
        <v>24192.000000000004</v>
      </c>
      <c r="V2546" s="3"/>
      <c r="W2546" s="3">
        <v>2014</v>
      </c>
      <c r="X2546" s="3"/>
    </row>
    <row r="2547" spans="1:24" ht="89.25">
      <c r="A2547" s="3" t="s">
        <v>1472</v>
      </c>
      <c r="B2547" s="6" t="s">
        <v>361</v>
      </c>
      <c r="C2547" s="159" t="s">
        <v>4446</v>
      </c>
      <c r="D2547" s="159" t="s">
        <v>4444</v>
      </c>
      <c r="E2547" s="6" t="s">
        <v>4447</v>
      </c>
      <c r="F2547" s="6" t="s">
        <v>4759</v>
      </c>
      <c r="G2547" s="3" t="s">
        <v>11450</v>
      </c>
      <c r="H2547" s="54">
        <v>0.5</v>
      </c>
      <c r="I2547" s="55">
        <v>470000000</v>
      </c>
      <c r="J2547" s="56" t="s">
        <v>229</v>
      </c>
      <c r="K2547" s="6" t="s">
        <v>519</v>
      </c>
      <c r="L2547" s="16" t="s">
        <v>4570</v>
      </c>
      <c r="M2547" s="162" t="s">
        <v>230</v>
      </c>
      <c r="N2547" s="15" t="s">
        <v>521</v>
      </c>
      <c r="O2547" s="6" t="s">
        <v>4568</v>
      </c>
      <c r="P2547" s="58" t="s">
        <v>241</v>
      </c>
      <c r="Q2547" s="6" t="s">
        <v>234</v>
      </c>
      <c r="R2547" s="3">
        <v>250</v>
      </c>
      <c r="S2547" s="1">
        <v>108</v>
      </c>
      <c r="T2547" s="4">
        <v>0</v>
      </c>
      <c r="U2547" s="4">
        <f t="shared" si="70"/>
        <v>0</v>
      </c>
      <c r="V2547" s="166" t="s">
        <v>362</v>
      </c>
      <c r="W2547" s="3">
        <v>2014</v>
      </c>
      <c r="X2547" s="3">
        <v>12.22</v>
      </c>
    </row>
    <row r="2548" spans="1:24" ht="89.25">
      <c r="A2548" s="3" t="s">
        <v>12562</v>
      </c>
      <c r="B2548" s="6" t="s">
        <v>361</v>
      </c>
      <c r="C2548" s="159" t="s">
        <v>4446</v>
      </c>
      <c r="D2548" s="159" t="s">
        <v>4444</v>
      </c>
      <c r="E2548" s="6" t="s">
        <v>4447</v>
      </c>
      <c r="F2548" s="6" t="s">
        <v>4759</v>
      </c>
      <c r="G2548" s="3" t="s">
        <v>11450</v>
      </c>
      <c r="H2548" s="54">
        <v>0.5</v>
      </c>
      <c r="I2548" s="55">
        <v>470000000</v>
      </c>
      <c r="J2548" s="56" t="s">
        <v>229</v>
      </c>
      <c r="K2548" s="6" t="s">
        <v>519</v>
      </c>
      <c r="L2548" s="17" t="s">
        <v>11411</v>
      </c>
      <c r="M2548" s="162" t="s">
        <v>230</v>
      </c>
      <c r="N2548" s="15" t="s">
        <v>521</v>
      </c>
      <c r="O2548" s="6" t="s">
        <v>4568</v>
      </c>
      <c r="P2548" s="58" t="s">
        <v>241</v>
      </c>
      <c r="Q2548" s="6" t="s">
        <v>234</v>
      </c>
      <c r="R2548" s="3">
        <v>250</v>
      </c>
      <c r="S2548" s="1">
        <v>108</v>
      </c>
      <c r="T2548" s="4">
        <v>0</v>
      </c>
      <c r="U2548" s="4">
        <f t="shared" si="70"/>
        <v>0</v>
      </c>
      <c r="V2548" s="166"/>
      <c r="W2548" s="3">
        <v>2014</v>
      </c>
      <c r="X2548" s="3">
        <v>11</v>
      </c>
    </row>
    <row r="2549" spans="1:24" ht="89.25">
      <c r="A2549" s="3" t="s">
        <v>15659</v>
      </c>
      <c r="B2549" s="6" t="s">
        <v>361</v>
      </c>
      <c r="C2549" s="159" t="s">
        <v>4446</v>
      </c>
      <c r="D2549" s="159" t="s">
        <v>4444</v>
      </c>
      <c r="E2549" s="6" t="s">
        <v>4447</v>
      </c>
      <c r="F2549" s="6" t="s">
        <v>4759</v>
      </c>
      <c r="G2549" s="3" t="s">
        <v>11450</v>
      </c>
      <c r="H2549" s="54">
        <v>0.5</v>
      </c>
      <c r="I2549" s="55">
        <v>470000000</v>
      </c>
      <c r="J2549" s="56" t="s">
        <v>229</v>
      </c>
      <c r="K2549" s="6" t="s">
        <v>222</v>
      </c>
      <c r="L2549" s="17" t="s">
        <v>11411</v>
      </c>
      <c r="M2549" s="162" t="s">
        <v>230</v>
      </c>
      <c r="N2549" s="15" t="s">
        <v>521</v>
      </c>
      <c r="O2549" s="6" t="s">
        <v>4568</v>
      </c>
      <c r="P2549" s="58" t="s">
        <v>241</v>
      </c>
      <c r="Q2549" s="6" t="s">
        <v>234</v>
      </c>
      <c r="R2549" s="3">
        <v>250</v>
      </c>
      <c r="S2549" s="1">
        <v>108</v>
      </c>
      <c r="T2549" s="4">
        <v>0</v>
      </c>
      <c r="U2549" s="4">
        <f t="shared" si="70"/>
        <v>0</v>
      </c>
      <c r="V2549" s="166"/>
      <c r="W2549" s="3">
        <v>2014</v>
      </c>
      <c r="X2549" s="3">
        <v>14</v>
      </c>
    </row>
    <row r="2550" spans="1:24" ht="89.25">
      <c r="A2550" s="3" t="s">
        <v>17620</v>
      </c>
      <c r="B2550" s="6" t="s">
        <v>361</v>
      </c>
      <c r="C2550" s="159" t="s">
        <v>4446</v>
      </c>
      <c r="D2550" s="159" t="s">
        <v>4444</v>
      </c>
      <c r="E2550" s="6" t="s">
        <v>4447</v>
      </c>
      <c r="F2550" s="6" t="s">
        <v>4759</v>
      </c>
      <c r="G2550" s="3" t="s">
        <v>11450</v>
      </c>
      <c r="H2550" s="54">
        <v>0.5</v>
      </c>
      <c r="I2550" s="55">
        <v>470000000</v>
      </c>
      <c r="J2550" s="56" t="s">
        <v>229</v>
      </c>
      <c r="K2550" s="6" t="s">
        <v>222</v>
      </c>
      <c r="L2550" s="17" t="s">
        <v>11411</v>
      </c>
      <c r="M2550" s="162" t="s">
        <v>230</v>
      </c>
      <c r="N2550" s="15" t="s">
        <v>17491</v>
      </c>
      <c r="O2550" s="6" t="s">
        <v>4568</v>
      </c>
      <c r="P2550" s="58" t="s">
        <v>241</v>
      </c>
      <c r="Q2550" s="6" t="s">
        <v>234</v>
      </c>
      <c r="R2550" s="3">
        <v>250</v>
      </c>
      <c r="S2550" s="1">
        <v>108</v>
      </c>
      <c r="T2550" s="4">
        <f>R2550*S2550</f>
        <v>27000</v>
      </c>
      <c r="U2550" s="4">
        <f t="shared" si="70"/>
        <v>30240.000000000004</v>
      </c>
      <c r="V2550" s="166"/>
      <c r="W2550" s="3">
        <v>2014</v>
      </c>
      <c r="X2550" s="3"/>
    </row>
    <row r="2551" spans="1:24" ht="89.25">
      <c r="A2551" s="3" t="s">
        <v>1473</v>
      </c>
      <c r="B2551" s="6" t="s">
        <v>361</v>
      </c>
      <c r="C2551" s="159" t="s">
        <v>4446</v>
      </c>
      <c r="D2551" s="159" t="s">
        <v>4444</v>
      </c>
      <c r="E2551" s="6" t="s">
        <v>4447</v>
      </c>
      <c r="F2551" s="6" t="s">
        <v>4760</v>
      </c>
      <c r="G2551" s="3" t="s">
        <v>11450</v>
      </c>
      <c r="H2551" s="54">
        <v>0.5</v>
      </c>
      <c r="I2551" s="16">
        <v>470000000</v>
      </c>
      <c r="J2551" s="56" t="s">
        <v>229</v>
      </c>
      <c r="K2551" s="6" t="s">
        <v>519</v>
      </c>
      <c r="L2551" s="16" t="s">
        <v>4567</v>
      </c>
      <c r="M2551" s="162" t="s">
        <v>230</v>
      </c>
      <c r="N2551" s="15" t="s">
        <v>521</v>
      </c>
      <c r="O2551" s="6" t="s">
        <v>4568</v>
      </c>
      <c r="P2551" s="58" t="s">
        <v>241</v>
      </c>
      <c r="Q2551" s="6" t="s">
        <v>234</v>
      </c>
      <c r="R2551" s="4">
        <v>250</v>
      </c>
      <c r="S2551" s="74">
        <v>165</v>
      </c>
      <c r="T2551" s="4">
        <v>0</v>
      </c>
      <c r="U2551" s="4">
        <f t="shared" si="70"/>
        <v>0</v>
      </c>
      <c r="V2551" s="3" t="s">
        <v>362</v>
      </c>
      <c r="W2551" s="3">
        <v>2014</v>
      </c>
      <c r="X2551" s="3">
        <v>12.22</v>
      </c>
    </row>
    <row r="2552" spans="1:24" ht="89.25">
      <c r="A2552" s="3" t="s">
        <v>12563</v>
      </c>
      <c r="B2552" s="6" t="s">
        <v>361</v>
      </c>
      <c r="C2552" s="159" t="s">
        <v>4446</v>
      </c>
      <c r="D2552" s="159" t="s">
        <v>4444</v>
      </c>
      <c r="E2552" s="6" t="s">
        <v>4447</v>
      </c>
      <c r="F2552" s="6" t="s">
        <v>4760</v>
      </c>
      <c r="G2552" s="3" t="s">
        <v>11450</v>
      </c>
      <c r="H2552" s="54">
        <v>0.5</v>
      </c>
      <c r="I2552" s="16">
        <v>470000000</v>
      </c>
      <c r="J2552" s="56" t="s">
        <v>229</v>
      </c>
      <c r="K2552" s="6" t="s">
        <v>519</v>
      </c>
      <c r="L2552" s="17" t="s">
        <v>11411</v>
      </c>
      <c r="M2552" s="162" t="s">
        <v>230</v>
      </c>
      <c r="N2552" s="15" t="s">
        <v>521</v>
      </c>
      <c r="O2552" s="6" t="s">
        <v>4568</v>
      </c>
      <c r="P2552" s="58" t="s">
        <v>241</v>
      </c>
      <c r="Q2552" s="6" t="s">
        <v>234</v>
      </c>
      <c r="R2552" s="4">
        <v>250</v>
      </c>
      <c r="S2552" s="74">
        <v>165</v>
      </c>
      <c r="T2552" s="4">
        <v>0</v>
      </c>
      <c r="U2552" s="4">
        <f t="shared" si="70"/>
        <v>0</v>
      </c>
      <c r="V2552" s="3"/>
      <c r="W2552" s="3">
        <v>2014</v>
      </c>
      <c r="X2552" s="3">
        <v>11</v>
      </c>
    </row>
    <row r="2553" spans="1:24" ht="89.25">
      <c r="A2553" s="3" t="s">
        <v>15660</v>
      </c>
      <c r="B2553" s="6" t="s">
        <v>361</v>
      </c>
      <c r="C2553" s="159" t="s">
        <v>4446</v>
      </c>
      <c r="D2553" s="159" t="s">
        <v>4444</v>
      </c>
      <c r="E2553" s="6" t="s">
        <v>4447</v>
      </c>
      <c r="F2553" s="6" t="s">
        <v>4760</v>
      </c>
      <c r="G2553" s="3" t="s">
        <v>11450</v>
      </c>
      <c r="H2553" s="54">
        <v>0.5</v>
      </c>
      <c r="I2553" s="16">
        <v>470000000</v>
      </c>
      <c r="J2553" s="56" t="s">
        <v>229</v>
      </c>
      <c r="K2553" s="6" t="s">
        <v>222</v>
      </c>
      <c r="L2553" s="17" t="s">
        <v>11411</v>
      </c>
      <c r="M2553" s="162" t="s">
        <v>230</v>
      </c>
      <c r="N2553" s="15" t="s">
        <v>521</v>
      </c>
      <c r="O2553" s="6" t="s">
        <v>4568</v>
      </c>
      <c r="P2553" s="58" t="s">
        <v>241</v>
      </c>
      <c r="Q2553" s="6" t="s">
        <v>234</v>
      </c>
      <c r="R2553" s="4">
        <v>250</v>
      </c>
      <c r="S2553" s="74">
        <v>165</v>
      </c>
      <c r="T2553" s="4">
        <v>0</v>
      </c>
      <c r="U2553" s="4">
        <f t="shared" si="70"/>
        <v>0</v>
      </c>
      <c r="V2553" s="3"/>
      <c r="W2553" s="3">
        <v>2014</v>
      </c>
      <c r="X2553" s="3">
        <v>14</v>
      </c>
    </row>
    <row r="2554" spans="1:24" ht="89.25">
      <c r="A2554" s="3" t="s">
        <v>17621</v>
      </c>
      <c r="B2554" s="6" t="s">
        <v>361</v>
      </c>
      <c r="C2554" s="159" t="s">
        <v>4446</v>
      </c>
      <c r="D2554" s="159" t="s">
        <v>4444</v>
      </c>
      <c r="E2554" s="6" t="s">
        <v>4447</v>
      </c>
      <c r="F2554" s="6" t="s">
        <v>4760</v>
      </c>
      <c r="G2554" s="3" t="s">
        <v>11450</v>
      </c>
      <c r="H2554" s="54">
        <v>0.5</v>
      </c>
      <c r="I2554" s="16">
        <v>470000000</v>
      </c>
      <c r="J2554" s="56" t="s">
        <v>229</v>
      </c>
      <c r="K2554" s="6" t="s">
        <v>222</v>
      </c>
      <c r="L2554" s="17" t="s">
        <v>11411</v>
      </c>
      <c r="M2554" s="162" t="s">
        <v>230</v>
      </c>
      <c r="N2554" s="15" t="s">
        <v>17491</v>
      </c>
      <c r="O2554" s="6" t="s">
        <v>4568</v>
      </c>
      <c r="P2554" s="58" t="s">
        <v>241</v>
      </c>
      <c r="Q2554" s="6" t="s">
        <v>234</v>
      </c>
      <c r="R2554" s="4">
        <v>250</v>
      </c>
      <c r="S2554" s="74">
        <v>165</v>
      </c>
      <c r="T2554" s="4">
        <f>R2554*S2554</f>
        <v>41250</v>
      </c>
      <c r="U2554" s="4">
        <f t="shared" si="70"/>
        <v>46200.000000000007</v>
      </c>
      <c r="V2554" s="3"/>
      <c r="W2554" s="3">
        <v>2014</v>
      </c>
      <c r="X2554" s="3"/>
    </row>
    <row r="2555" spans="1:24" ht="89.25">
      <c r="A2555" s="3" t="s">
        <v>1474</v>
      </c>
      <c r="B2555" s="6" t="s">
        <v>361</v>
      </c>
      <c r="C2555" s="159" t="s">
        <v>4446</v>
      </c>
      <c r="D2555" s="159" t="s">
        <v>4444</v>
      </c>
      <c r="E2555" s="6" t="s">
        <v>4447</v>
      </c>
      <c r="F2555" s="6" t="s">
        <v>4761</v>
      </c>
      <c r="G2555" s="3" t="s">
        <v>11450</v>
      </c>
      <c r="H2555" s="54">
        <v>0.5</v>
      </c>
      <c r="I2555" s="55">
        <v>470000000</v>
      </c>
      <c r="J2555" s="56" t="s">
        <v>229</v>
      </c>
      <c r="K2555" s="6" t="s">
        <v>519</v>
      </c>
      <c r="L2555" s="16" t="s">
        <v>4570</v>
      </c>
      <c r="M2555" s="162" t="s">
        <v>230</v>
      </c>
      <c r="N2555" s="15" t="s">
        <v>521</v>
      </c>
      <c r="O2555" s="6" t="s">
        <v>4568</v>
      </c>
      <c r="P2555" s="58" t="s">
        <v>241</v>
      </c>
      <c r="Q2555" s="6" t="s">
        <v>234</v>
      </c>
      <c r="R2555" s="3">
        <v>125</v>
      </c>
      <c r="S2555" s="1">
        <v>182</v>
      </c>
      <c r="T2555" s="4">
        <v>0</v>
      </c>
      <c r="U2555" s="4">
        <f t="shared" si="70"/>
        <v>0</v>
      </c>
      <c r="V2555" s="166" t="s">
        <v>362</v>
      </c>
      <c r="W2555" s="3">
        <v>2014</v>
      </c>
      <c r="X2555" s="3">
        <v>12.22</v>
      </c>
    </row>
    <row r="2556" spans="1:24" ht="89.25">
      <c r="A2556" s="3" t="s">
        <v>12564</v>
      </c>
      <c r="B2556" s="6" t="s">
        <v>361</v>
      </c>
      <c r="C2556" s="159" t="s">
        <v>4446</v>
      </c>
      <c r="D2556" s="159" t="s">
        <v>4444</v>
      </c>
      <c r="E2556" s="6" t="s">
        <v>4447</v>
      </c>
      <c r="F2556" s="6" t="s">
        <v>4761</v>
      </c>
      <c r="G2556" s="3" t="s">
        <v>11450</v>
      </c>
      <c r="H2556" s="54">
        <v>0.5</v>
      </c>
      <c r="I2556" s="55">
        <v>470000000</v>
      </c>
      <c r="J2556" s="56" t="s">
        <v>229</v>
      </c>
      <c r="K2556" s="6" t="s">
        <v>519</v>
      </c>
      <c r="L2556" s="17" t="s">
        <v>11411</v>
      </c>
      <c r="M2556" s="162" t="s">
        <v>230</v>
      </c>
      <c r="N2556" s="15" t="s">
        <v>521</v>
      </c>
      <c r="O2556" s="6" t="s">
        <v>4568</v>
      </c>
      <c r="P2556" s="58" t="s">
        <v>241</v>
      </c>
      <c r="Q2556" s="6" t="s">
        <v>234</v>
      </c>
      <c r="R2556" s="3">
        <v>125</v>
      </c>
      <c r="S2556" s="1">
        <v>182</v>
      </c>
      <c r="T2556" s="4">
        <v>0</v>
      </c>
      <c r="U2556" s="4">
        <f t="shared" si="70"/>
        <v>0</v>
      </c>
      <c r="V2556" s="166"/>
      <c r="W2556" s="3">
        <v>2014</v>
      </c>
      <c r="X2556" s="3">
        <v>11</v>
      </c>
    </row>
    <row r="2557" spans="1:24" ht="89.25">
      <c r="A2557" s="3" t="s">
        <v>15661</v>
      </c>
      <c r="B2557" s="6" t="s">
        <v>361</v>
      </c>
      <c r="C2557" s="159" t="s">
        <v>4446</v>
      </c>
      <c r="D2557" s="159" t="s">
        <v>4444</v>
      </c>
      <c r="E2557" s="6" t="s">
        <v>4447</v>
      </c>
      <c r="F2557" s="6" t="s">
        <v>4761</v>
      </c>
      <c r="G2557" s="3" t="s">
        <v>11450</v>
      </c>
      <c r="H2557" s="54">
        <v>0.5</v>
      </c>
      <c r="I2557" s="55">
        <v>470000000</v>
      </c>
      <c r="J2557" s="56" t="s">
        <v>229</v>
      </c>
      <c r="K2557" s="6" t="s">
        <v>222</v>
      </c>
      <c r="L2557" s="17" t="s">
        <v>11411</v>
      </c>
      <c r="M2557" s="162" t="s">
        <v>230</v>
      </c>
      <c r="N2557" s="15" t="s">
        <v>521</v>
      </c>
      <c r="O2557" s="6" t="s">
        <v>4568</v>
      </c>
      <c r="P2557" s="58" t="s">
        <v>241</v>
      </c>
      <c r="Q2557" s="6" t="s">
        <v>234</v>
      </c>
      <c r="R2557" s="3">
        <v>125</v>
      </c>
      <c r="S2557" s="1">
        <v>182</v>
      </c>
      <c r="T2557" s="4">
        <v>0</v>
      </c>
      <c r="U2557" s="4">
        <f t="shared" si="70"/>
        <v>0</v>
      </c>
      <c r="V2557" s="166"/>
      <c r="W2557" s="3">
        <v>2014</v>
      </c>
      <c r="X2557" s="3">
        <v>14</v>
      </c>
    </row>
    <row r="2558" spans="1:24" ht="89.25">
      <c r="A2558" s="3" t="s">
        <v>17622</v>
      </c>
      <c r="B2558" s="6" t="s">
        <v>361</v>
      </c>
      <c r="C2558" s="159" t="s">
        <v>4446</v>
      </c>
      <c r="D2558" s="159" t="s">
        <v>4444</v>
      </c>
      <c r="E2558" s="6" t="s">
        <v>4447</v>
      </c>
      <c r="F2558" s="6" t="s">
        <v>4761</v>
      </c>
      <c r="G2558" s="3" t="s">
        <v>11450</v>
      </c>
      <c r="H2558" s="54">
        <v>0.5</v>
      </c>
      <c r="I2558" s="55">
        <v>470000000</v>
      </c>
      <c r="J2558" s="56" t="s">
        <v>229</v>
      </c>
      <c r="K2558" s="6" t="s">
        <v>222</v>
      </c>
      <c r="L2558" s="17" t="s">
        <v>11411</v>
      </c>
      <c r="M2558" s="162" t="s">
        <v>230</v>
      </c>
      <c r="N2558" s="15" t="s">
        <v>17491</v>
      </c>
      <c r="O2558" s="6" t="s">
        <v>4568</v>
      </c>
      <c r="P2558" s="58" t="s">
        <v>241</v>
      </c>
      <c r="Q2558" s="6" t="s">
        <v>234</v>
      </c>
      <c r="R2558" s="3">
        <v>125</v>
      </c>
      <c r="S2558" s="1">
        <v>182</v>
      </c>
      <c r="T2558" s="4">
        <f>R2558*S2558</f>
        <v>22750</v>
      </c>
      <c r="U2558" s="4">
        <f t="shared" si="70"/>
        <v>25480.000000000004</v>
      </c>
      <c r="V2558" s="166"/>
      <c r="W2558" s="3">
        <v>2014</v>
      </c>
      <c r="X2558" s="3"/>
    </row>
    <row r="2559" spans="1:24" ht="89.25">
      <c r="A2559" s="3" t="s">
        <v>1475</v>
      </c>
      <c r="B2559" s="6" t="s">
        <v>361</v>
      </c>
      <c r="C2559" s="159" t="s">
        <v>4446</v>
      </c>
      <c r="D2559" s="159" t="s">
        <v>4444</v>
      </c>
      <c r="E2559" s="6" t="s">
        <v>4447</v>
      </c>
      <c r="F2559" s="6" t="s">
        <v>4762</v>
      </c>
      <c r="G2559" s="3" t="s">
        <v>11450</v>
      </c>
      <c r="H2559" s="54">
        <v>0.5</v>
      </c>
      <c r="I2559" s="16">
        <v>470000000</v>
      </c>
      <c r="J2559" s="56" t="s">
        <v>229</v>
      </c>
      <c r="K2559" s="6" t="s">
        <v>519</v>
      </c>
      <c r="L2559" s="16" t="s">
        <v>4567</v>
      </c>
      <c r="M2559" s="162" t="s">
        <v>230</v>
      </c>
      <c r="N2559" s="15" t="s">
        <v>521</v>
      </c>
      <c r="O2559" s="6" t="s">
        <v>4568</v>
      </c>
      <c r="P2559" s="58" t="s">
        <v>241</v>
      </c>
      <c r="Q2559" s="6" t="s">
        <v>234</v>
      </c>
      <c r="R2559" s="4">
        <v>50</v>
      </c>
      <c r="S2559" s="74">
        <v>193</v>
      </c>
      <c r="T2559" s="4">
        <v>0</v>
      </c>
      <c r="U2559" s="4">
        <f t="shared" si="70"/>
        <v>0</v>
      </c>
      <c r="V2559" s="3" t="s">
        <v>362</v>
      </c>
      <c r="W2559" s="3">
        <v>2014</v>
      </c>
      <c r="X2559" s="3">
        <v>12.22</v>
      </c>
    </row>
    <row r="2560" spans="1:24" ht="89.25">
      <c r="A2560" s="3" t="s">
        <v>12565</v>
      </c>
      <c r="B2560" s="6" t="s">
        <v>361</v>
      </c>
      <c r="C2560" s="159" t="s">
        <v>4446</v>
      </c>
      <c r="D2560" s="159" t="s">
        <v>4444</v>
      </c>
      <c r="E2560" s="6" t="s">
        <v>4447</v>
      </c>
      <c r="F2560" s="6" t="s">
        <v>4762</v>
      </c>
      <c r="G2560" s="3" t="s">
        <v>11450</v>
      </c>
      <c r="H2560" s="54">
        <v>0.5</v>
      </c>
      <c r="I2560" s="16">
        <v>470000000</v>
      </c>
      <c r="J2560" s="56" t="s">
        <v>229</v>
      </c>
      <c r="K2560" s="6" t="s">
        <v>519</v>
      </c>
      <c r="L2560" s="17" t="s">
        <v>11411</v>
      </c>
      <c r="M2560" s="162" t="s">
        <v>230</v>
      </c>
      <c r="N2560" s="15" t="s">
        <v>521</v>
      </c>
      <c r="O2560" s="6" t="s">
        <v>4568</v>
      </c>
      <c r="P2560" s="58" t="s">
        <v>241</v>
      </c>
      <c r="Q2560" s="6" t="s">
        <v>234</v>
      </c>
      <c r="R2560" s="4">
        <v>50</v>
      </c>
      <c r="S2560" s="74">
        <v>193</v>
      </c>
      <c r="T2560" s="4">
        <v>0</v>
      </c>
      <c r="U2560" s="4">
        <f t="shared" si="70"/>
        <v>0</v>
      </c>
      <c r="V2560" s="3"/>
      <c r="W2560" s="3">
        <v>2014</v>
      </c>
      <c r="X2560" s="3">
        <v>11</v>
      </c>
    </row>
    <row r="2561" spans="1:24" ht="89.25">
      <c r="A2561" s="3" t="s">
        <v>15662</v>
      </c>
      <c r="B2561" s="6" t="s">
        <v>361</v>
      </c>
      <c r="C2561" s="159" t="s">
        <v>4446</v>
      </c>
      <c r="D2561" s="159" t="s">
        <v>4444</v>
      </c>
      <c r="E2561" s="6" t="s">
        <v>4447</v>
      </c>
      <c r="F2561" s="6" t="s">
        <v>4762</v>
      </c>
      <c r="G2561" s="3" t="s">
        <v>11450</v>
      </c>
      <c r="H2561" s="54">
        <v>0.5</v>
      </c>
      <c r="I2561" s="16">
        <v>470000000</v>
      </c>
      <c r="J2561" s="56" t="s">
        <v>229</v>
      </c>
      <c r="K2561" s="6" t="s">
        <v>222</v>
      </c>
      <c r="L2561" s="17" t="s">
        <v>11411</v>
      </c>
      <c r="M2561" s="162" t="s">
        <v>230</v>
      </c>
      <c r="N2561" s="15" t="s">
        <v>521</v>
      </c>
      <c r="O2561" s="6" t="s">
        <v>4568</v>
      </c>
      <c r="P2561" s="58" t="s">
        <v>241</v>
      </c>
      <c r="Q2561" s="6" t="s">
        <v>234</v>
      </c>
      <c r="R2561" s="4">
        <v>50</v>
      </c>
      <c r="S2561" s="74">
        <v>193</v>
      </c>
      <c r="T2561" s="4">
        <v>0</v>
      </c>
      <c r="U2561" s="4">
        <f t="shared" si="70"/>
        <v>0</v>
      </c>
      <c r="V2561" s="3"/>
      <c r="W2561" s="3">
        <v>2014</v>
      </c>
      <c r="X2561" s="3">
        <v>14</v>
      </c>
    </row>
    <row r="2562" spans="1:24" ht="89.25">
      <c r="A2562" s="3" t="s">
        <v>17623</v>
      </c>
      <c r="B2562" s="6" t="s">
        <v>361</v>
      </c>
      <c r="C2562" s="159" t="s">
        <v>4446</v>
      </c>
      <c r="D2562" s="159" t="s">
        <v>4444</v>
      </c>
      <c r="E2562" s="6" t="s">
        <v>4447</v>
      </c>
      <c r="F2562" s="6" t="s">
        <v>4762</v>
      </c>
      <c r="G2562" s="3" t="s">
        <v>11450</v>
      </c>
      <c r="H2562" s="54">
        <v>0.5</v>
      </c>
      <c r="I2562" s="16">
        <v>470000000</v>
      </c>
      <c r="J2562" s="56" t="s">
        <v>229</v>
      </c>
      <c r="K2562" s="6" t="s">
        <v>222</v>
      </c>
      <c r="L2562" s="17" t="s">
        <v>11411</v>
      </c>
      <c r="M2562" s="162" t="s">
        <v>230</v>
      </c>
      <c r="N2562" s="15" t="s">
        <v>17491</v>
      </c>
      <c r="O2562" s="6" t="s">
        <v>4568</v>
      </c>
      <c r="P2562" s="58" t="s">
        <v>241</v>
      </c>
      <c r="Q2562" s="6" t="s">
        <v>234</v>
      </c>
      <c r="R2562" s="4">
        <v>50</v>
      </c>
      <c r="S2562" s="74">
        <v>193</v>
      </c>
      <c r="T2562" s="4">
        <f>R2562*S2562</f>
        <v>9650</v>
      </c>
      <c r="U2562" s="4">
        <f t="shared" si="70"/>
        <v>10808.000000000002</v>
      </c>
      <c r="V2562" s="3"/>
      <c r="W2562" s="3">
        <v>2014</v>
      </c>
      <c r="X2562" s="3"/>
    </row>
    <row r="2563" spans="1:24" ht="89.25">
      <c r="A2563" s="3" t="s">
        <v>1476</v>
      </c>
      <c r="B2563" s="6" t="s">
        <v>361</v>
      </c>
      <c r="C2563" s="159" t="s">
        <v>4446</v>
      </c>
      <c r="D2563" s="159" t="s">
        <v>4444</v>
      </c>
      <c r="E2563" s="6" t="s">
        <v>4447</v>
      </c>
      <c r="F2563" s="6" t="s">
        <v>4763</v>
      </c>
      <c r="G2563" s="3" t="s">
        <v>11450</v>
      </c>
      <c r="H2563" s="54">
        <v>0.5</v>
      </c>
      <c r="I2563" s="55">
        <v>470000000</v>
      </c>
      <c r="J2563" s="56" t="s">
        <v>229</v>
      </c>
      <c r="K2563" s="6" t="s">
        <v>519</v>
      </c>
      <c r="L2563" s="16" t="s">
        <v>4570</v>
      </c>
      <c r="M2563" s="162" t="s">
        <v>230</v>
      </c>
      <c r="N2563" s="15" t="s">
        <v>521</v>
      </c>
      <c r="O2563" s="6" t="s">
        <v>4568</v>
      </c>
      <c r="P2563" s="58" t="s">
        <v>241</v>
      </c>
      <c r="Q2563" s="6" t="s">
        <v>234</v>
      </c>
      <c r="R2563" s="3">
        <v>50</v>
      </c>
      <c r="S2563" s="1">
        <v>345</v>
      </c>
      <c r="T2563" s="4">
        <v>0</v>
      </c>
      <c r="U2563" s="4">
        <f t="shared" si="70"/>
        <v>0</v>
      </c>
      <c r="V2563" s="166" t="s">
        <v>362</v>
      </c>
      <c r="W2563" s="3">
        <v>2014</v>
      </c>
      <c r="X2563" s="3">
        <v>12.22</v>
      </c>
    </row>
    <row r="2564" spans="1:24" ht="89.25">
      <c r="A2564" s="3" t="s">
        <v>12566</v>
      </c>
      <c r="B2564" s="6" t="s">
        <v>361</v>
      </c>
      <c r="C2564" s="159" t="s">
        <v>4446</v>
      </c>
      <c r="D2564" s="159" t="s">
        <v>4444</v>
      </c>
      <c r="E2564" s="6" t="s">
        <v>4447</v>
      </c>
      <c r="F2564" s="6" t="s">
        <v>4763</v>
      </c>
      <c r="G2564" s="3" t="s">
        <v>11450</v>
      </c>
      <c r="H2564" s="54">
        <v>0.5</v>
      </c>
      <c r="I2564" s="55">
        <v>470000000</v>
      </c>
      <c r="J2564" s="56" t="s">
        <v>229</v>
      </c>
      <c r="K2564" s="6" t="s">
        <v>519</v>
      </c>
      <c r="L2564" s="17" t="s">
        <v>11411</v>
      </c>
      <c r="M2564" s="162" t="s">
        <v>230</v>
      </c>
      <c r="N2564" s="15" t="s">
        <v>521</v>
      </c>
      <c r="O2564" s="6" t="s">
        <v>4568</v>
      </c>
      <c r="P2564" s="58" t="s">
        <v>241</v>
      </c>
      <c r="Q2564" s="6" t="s">
        <v>234</v>
      </c>
      <c r="R2564" s="3">
        <v>50</v>
      </c>
      <c r="S2564" s="1">
        <v>345</v>
      </c>
      <c r="T2564" s="4">
        <v>0</v>
      </c>
      <c r="U2564" s="4">
        <f t="shared" si="70"/>
        <v>0</v>
      </c>
      <c r="V2564" s="166"/>
      <c r="W2564" s="3">
        <v>2014</v>
      </c>
      <c r="X2564" s="3">
        <v>11</v>
      </c>
    </row>
    <row r="2565" spans="1:24" ht="89.25">
      <c r="A2565" s="3" t="s">
        <v>15663</v>
      </c>
      <c r="B2565" s="6" t="s">
        <v>361</v>
      </c>
      <c r="C2565" s="159" t="s">
        <v>4446</v>
      </c>
      <c r="D2565" s="159" t="s">
        <v>4444</v>
      </c>
      <c r="E2565" s="6" t="s">
        <v>4447</v>
      </c>
      <c r="F2565" s="6" t="s">
        <v>4763</v>
      </c>
      <c r="G2565" s="3" t="s">
        <v>11450</v>
      </c>
      <c r="H2565" s="54">
        <v>0.5</v>
      </c>
      <c r="I2565" s="55">
        <v>470000000</v>
      </c>
      <c r="J2565" s="56" t="s">
        <v>229</v>
      </c>
      <c r="K2565" s="6" t="s">
        <v>222</v>
      </c>
      <c r="L2565" s="17" t="s">
        <v>11411</v>
      </c>
      <c r="M2565" s="162" t="s">
        <v>230</v>
      </c>
      <c r="N2565" s="15" t="s">
        <v>521</v>
      </c>
      <c r="O2565" s="6" t="s">
        <v>4568</v>
      </c>
      <c r="P2565" s="58" t="s">
        <v>241</v>
      </c>
      <c r="Q2565" s="6" t="s">
        <v>234</v>
      </c>
      <c r="R2565" s="3">
        <v>50</v>
      </c>
      <c r="S2565" s="1">
        <v>345</v>
      </c>
      <c r="T2565" s="4">
        <v>0</v>
      </c>
      <c r="U2565" s="4">
        <f t="shared" si="70"/>
        <v>0</v>
      </c>
      <c r="V2565" s="166"/>
      <c r="W2565" s="3">
        <v>2014</v>
      </c>
      <c r="X2565" s="3">
        <v>14</v>
      </c>
    </row>
    <row r="2566" spans="1:24" ht="89.25">
      <c r="A2566" s="3" t="s">
        <v>17624</v>
      </c>
      <c r="B2566" s="6" t="s">
        <v>361</v>
      </c>
      <c r="C2566" s="159" t="s">
        <v>4446</v>
      </c>
      <c r="D2566" s="159" t="s">
        <v>4444</v>
      </c>
      <c r="E2566" s="6" t="s">
        <v>4447</v>
      </c>
      <c r="F2566" s="6" t="s">
        <v>4763</v>
      </c>
      <c r="G2566" s="3" t="s">
        <v>11450</v>
      </c>
      <c r="H2566" s="54">
        <v>0.5</v>
      </c>
      <c r="I2566" s="55">
        <v>470000000</v>
      </c>
      <c r="J2566" s="56" t="s">
        <v>229</v>
      </c>
      <c r="K2566" s="6" t="s">
        <v>222</v>
      </c>
      <c r="L2566" s="17" t="s">
        <v>11411</v>
      </c>
      <c r="M2566" s="162" t="s">
        <v>230</v>
      </c>
      <c r="N2566" s="15" t="s">
        <v>17491</v>
      </c>
      <c r="O2566" s="6" t="s">
        <v>4568</v>
      </c>
      <c r="P2566" s="58" t="s">
        <v>241</v>
      </c>
      <c r="Q2566" s="6" t="s">
        <v>234</v>
      </c>
      <c r="R2566" s="3">
        <v>50</v>
      </c>
      <c r="S2566" s="1">
        <v>345</v>
      </c>
      <c r="T2566" s="4">
        <f>R2566*S2566</f>
        <v>17250</v>
      </c>
      <c r="U2566" s="4">
        <f t="shared" si="70"/>
        <v>19320.000000000004</v>
      </c>
      <c r="V2566" s="166"/>
      <c r="W2566" s="3">
        <v>2014</v>
      </c>
      <c r="X2566" s="3"/>
    </row>
    <row r="2567" spans="1:24" ht="89.25">
      <c r="A2567" s="3" t="s">
        <v>1477</v>
      </c>
      <c r="B2567" s="6" t="s">
        <v>361</v>
      </c>
      <c r="C2567" s="159" t="s">
        <v>4446</v>
      </c>
      <c r="D2567" s="159" t="s">
        <v>4444</v>
      </c>
      <c r="E2567" s="6" t="s">
        <v>4447</v>
      </c>
      <c r="F2567" s="6" t="s">
        <v>4764</v>
      </c>
      <c r="G2567" s="3" t="s">
        <v>11450</v>
      </c>
      <c r="H2567" s="54">
        <v>0.5</v>
      </c>
      <c r="I2567" s="16">
        <v>470000000</v>
      </c>
      <c r="J2567" s="56" t="s">
        <v>229</v>
      </c>
      <c r="K2567" s="6" t="s">
        <v>519</v>
      </c>
      <c r="L2567" s="16" t="s">
        <v>4567</v>
      </c>
      <c r="M2567" s="162" t="s">
        <v>230</v>
      </c>
      <c r="N2567" s="15" t="s">
        <v>521</v>
      </c>
      <c r="O2567" s="6" t="s">
        <v>4568</v>
      </c>
      <c r="P2567" s="58" t="s">
        <v>241</v>
      </c>
      <c r="Q2567" s="6" t="s">
        <v>234</v>
      </c>
      <c r="R2567" s="4">
        <v>50</v>
      </c>
      <c r="S2567" s="74">
        <v>375</v>
      </c>
      <c r="T2567" s="4">
        <v>0</v>
      </c>
      <c r="U2567" s="4">
        <f t="shared" si="70"/>
        <v>0</v>
      </c>
      <c r="V2567" s="3" t="s">
        <v>362</v>
      </c>
      <c r="W2567" s="3">
        <v>2014</v>
      </c>
      <c r="X2567" s="3">
        <v>12.22</v>
      </c>
    </row>
    <row r="2568" spans="1:24" ht="89.25">
      <c r="A2568" s="3" t="s">
        <v>12567</v>
      </c>
      <c r="B2568" s="6" t="s">
        <v>361</v>
      </c>
      <c r="C2568" s="159" t="s">
        <v>4446</v>
      </c>
      <c r="D2568" s="159" t="s">
        <v>4444</v>
      </c>
      <c r="E2568" s="6" t="s">
        <v>4447</v>
      </c>
      <c r="F2568" s="6" t="s">
        <v>4764</v>
      </c>
      <c r="G2568" s="3" t="s">
        <v>11450</v>
      </c>
      <c r="H2568" s="54">
        <v>0.5</v>
      </c>
      <c r="I2568" s="16">
        <v>470000000</v>
      </c>
      <c r="J2568" s="56" t="s">
        <v>229</v>
      </c>
      <c r="K2568" s="6" t="s">
        <v>519</v>
      </c>
      <c r="L2568" s="17" t="s">
        <v>11411</v>
      </c>
      <c r="M2568" s="162" t="s">
        <v>230</v>
      </c>
      <c r="N2568" s="15" t="s">
        <v>521</v>
      </c>
      <c r="O2568" s="6" t="s">
        <v>4568</v>
      </c>
      <c r="P2568" s="58" t="s">
        <v>241</v>
      </c>
      <c r="Q2568" s="6" t="s">
        <v>234</v>
      </c>
      <c r="R2568" s="4">
        <v>50</v>
      </c>
      <c r="S2568" s="74">
        <v>375</v>
      </c>
      <c r="T2568" s="4">
        <v>0</v>
      </c>
      <c r="U2568" s="4">
        <f t="shared" si="70"/>
        <v>0</v>
      </c>
      <c r="V2568" s="3"/>
      <c r="W2568" s="3">
        <v>2014</v>
      </c>
      <c r="X2568" s="3">
        <v>11</v>
      </c>
    </row>
    <row r="2569" spans="1:24" ht="89.25">
      <c r="A2569" s="3" t="s">
        <v>15664</v>
      </c>
      <c r="B2569" s="6" t="s">
        <v>361</v>
      </c>
      <c r="C2569" s="159" t="s">
        <v>4446</v>
      </c>
      <c r="D2569" s="159" t="s">
        <v>4444</v>
      </c>
      <c r="E2569" s="6" t="s">
        <v>4447</v>
      </c>
      <c r="F2569" s="6" t="s">
        <v>4764</v>
      </c>
      <c r="G2569" s="3" t="s">
        <v>11450</v>
      </c>
      <c r="H2569" s="54">
        <v>0.5</v>
      </c>
      <c r="I2569" s="16">
        <v>470000000</v>
      </c>
      <c r="J2569" s="56" t="s">
        <v>229</v>
      </c>
      <c r="K2569" s="6" t="s">
        <v>222</v>
      </c>
      <c r="L2569" s="17" t="s">
        <v>11411</v>
      </c>
      <c r="M2569" s="162" t="s">
        <v>230</v>
      </c>
      <c r="N2569" s="15" t="s">
        <v>521</v>
      </c>
      <c r="O2569" s="6" t="s">
        <v>4568</v>
      </c>
      <c r="P2569" s="58" t="s">
        <v>241</v>
      </c>
      <c r="Q2569" s="6" t="s">
        <v>234</v>
      </c>
      <c r="R2569" s="4">
        <v>50</v>
      </c>
      <c r="S2569" s="74">
        <v>375</v>
      </c>
      <c r="T2569" s="4">
        <v>0</v>
      </c>
      <c r="U2569" s="4">
        <f t="shared" si="70"/>
        <v>0</v>
      </c>
      <c r="V2569" s="3"/>
      <c r="W2569" s="3">
        <v>2014</v>
      </c>
      <c r="X2569" s="3">
        <v>14</v>
      </c>
    </row>
    <row r="2570" spans="1:24" ht="89.25">
      <c r="A2570" s="3" t="s">
        <v>17625</v>
      </c>
      <c r="B2570" s="6" t="s">
        <v>361</v>
      </c>
      <c r="C2570" s="159" t="s">
        <v>4446</v>
      </c>
      <c r="D2570" s="159" t="s">
        <v>4444</v>
      </c>
      <c r="E2570" s="6" t="s">
        <v>4447</v>
      </c>
      <c r="F2570" s="6" t="s">
        <v>4764</v>
      </c>
      <c r="G2570" s="3" t="s">
        <v>11450</v>
      </c>
      <c r="H2570" s="54">
        <v>0.5</v>
      </c>
      <c r="I2570" s="16">
        <v>470000000</v>
      </c>
      <c r="J2570" s="56" t="s">
        <v>229</v>
      </c>
      <c r="K2570" s="6" t="s">
        <v>222</v>
      </c>
      <c r="L2570" s="17" t="s">
        <v>11411</v>
      </c>
      <c r="M2570" s="162" t="s">
        <v>230</v>
      </c>
      <c r="N2570" s="15" t="s">
        <v>17491</v>
      </c>
      <c r="O2570" s="6" t="s">
        <v>4568</v>
      </c>
      <c r="P2570" s="58" t="s">
        <v>241</v>
      </c>
      <c r="Q2570" s="6" t="s">
        <v>234</v>
      </c>
      <c r="R2570" s="4">
        <v>50</v>
      </c>
      <c r="S2570" s="74">
        <v>375</v>
      </c>
      <c r="T2570" s="4">
        <f>R2570*S2570</f>
        <v>18750</v>
      </c>
      <c r="U2570" s="4">
        <f t="shared" si="70"/>
        <v>21000.000000000004</v>
      </c>
      <c r="V2570" s="3"/>
      <c r="W2570" s="3">
        <v>2014</v>
      </c>
      <c r="X2570" s="3"/>
    </row>
    <row r="2571" spans="1:24" ht="114.75">
      <c r="A2571" s="3" t="s">
        <v>1478</v>
      </c>
      <c r="B2571" s="6" t="s">
        <v>361</v>
      </c>
      <c r="C2571" s="159" t="s">
        <v>4448</v>
      </c>
      <c r="D2571" s="159" t="s">
        <v>3755</v>
      </c>
      <c r="E2571" s="6" t="s">
        <v>11469</v>
      </c>
      <c r="F2571" s="6" t="s">
        <v>11468</v>
      </c>
      <c r="G2571" s="3" t="s">
        <v>11450</v>
      </c>
      <c r="H2571" s="54">
        <v>0.5</v>
      </c>
      <c r="I2571" s="55">
        <v>470000000</v>
      </c>
      <c r="J2571" s="56" t="s">
        <v>229</v>
      </c>
      <c r="K2571" s="6" t="s">
        <v>4765</v>
      </c>
      <c r="L2571" s="16" t="s">
        <v>4570</v>
      </c>
      <c r="M2571" s="162" t="s">
        <v>230</v>
      </c>
      <c r="N2571" s="15" t="s">
        <v>521</v>
      </c>
      <c r="O2571" s="6" t="s">
        <v>4568</v>
      </c>
      <c r="P2571" s="58" t="s">
        <v>241</v>
      </c>
      <c r="Q2571" s="6" t="s">
        <v>234</v>
      </c>
      <c r="R2571" s="3">
        <v>2000</v>
      </c>
      <c r="S2571" s="1">
        <v>110</v>
      </c>
      <c r="T2571" s="4">
        <v>0</v>
      </c>
      <c r="U2571" s="4">
        <f t="shared" si="70"/>
        <v>0</v>
      </c>
      <c r="V2571" s="166" t="s">
        <v>362</v>
      </c>
      <c r="W2571" s="3">
        <v>2014</v>
      </c>
      <c r="X2571" s="3" t="s">
        <v>12037</v>
      </c>
    </row>
    <row r="2572" spans="1:24" ht="114.75">
      <c r="A2572" s="3" t="s">
        <v>12568</v>
      </c>
      <c r="B2572" s="6" t="s">
        <v>361</v>
      </c>
      <c r="C2572" s="159" t="s">
        <v>4448</v>
      </c>
      <c r="D2572" s="159" t="s">
        <v>3755</v>
      </c>
      <c r="E2572" s="6" t="s">
        <v>11469</v>
      </c>
      <c r="F2572" s="6" t="s">
        <v>11468</v>
      </c>
      <c r="G2572" s="3" t="s">
        <v>11450</v>
      </c>
      <c r="H2572" s="54">
        <v>0.5</v>
      </c>
      <c r="I2572" s="55">
        <v>470000000</v>
      </c>
      <c r="J2572" s="56" t="s">
        <v>229</v>
      </c>
      <c r="K2572" s="6" t="s">
        <v>519</v>
      </c>
      <c r="L2572" s="17" t="s">
        <v>11411</v>
      </c>
      <c r="M2572" s="162" t="s">
        <v>230</v>
      </c>
      <c r="N2572" s="15" t="s">
        <v>521</v>
      </c>
      <c r="O2572" s="6" t="s">
        <v>4568</v>
      </c>
      <c r="P2572" s="58" t="s">
        <v>241</v>
      </c>
      <c r="Q2572" s="6" t="s">
        <v>234</v>
      </c>
      <c r="R2572" s="3">
        <v>2000</v>
      </c>
      <c r="S2572" s="1">
        <v>110</v>
      </c>
      <c r="T2572" s="4">
        <v>0</v>
      </c>
      <c r="U2572" s="4">
        <f t="shared" si="70"/>
        <v>0</v>
      </c>
      <c r="V2572" s="166"/>
      <c r="W2572" s="3">
        <v>2014</v>
      </c>
      <c r="X2572" s="3"/>
    </row>
    <row r="2573" spans="1:24" ht="114.75">
      <c r="A2573" s="3" t="s">
        <v>15665</v>
      </c>
      <c r="B2573" s="6" t="s">
        <v>361</v>
      </c>
      <c r="C2573" s="159" t="s">
        <v>4448</v>
      </c>
      <c r="D2573" s="159" t="s">
        <v>3755</v>
      </c>
      <c r="E2573" s="6" t="s">
        <v>11469</v>
      </c>
      <c r="F2573" s="6" t="s">
        <v>11468</v>
      </c>
      <c r="G2573" s="3" t="s">
        <v>11450</v>
      </c>
      <c r="H2573" s="54">
        <v>0.5</v>
      </c>
      <c r="I2573" s="55">
        <v>470000000</v>
      </c>
      <c r="J2573" s="56" t="s">
        <v>229</v>
      </c>
      <c r="K2573" s="6" t="s">
        <v>222</v>
      </c>
      <c r="L2573" s="17" t="s">
        <v>11411</v>
      </c>
      <c r="M2573" s="162" t="s">
        <v>230</v>
      </c>
      <c r="N2573" s="15" t="s">
        <v>521</v>
      </c>
      <c r="O2573" s="6" t="s">
        <v>4568</v>
      </c>
      <c r="P2573" s="58" t="s">
        <v>241</v>
      </c>
      <c r="Q2573" s="6" t="s">
        <v>234</v>
      </c>
      <c r="R2573" s="3">
        <v>2000</v>
      </c>
      <c r="S2573" s="1">
        <v>110</v>
      </c>
      <c r="T2573" s="4">
        <v>0</v>
      </c>
      <c r="U2573" s="4">
        <f t="shared" si="70"/>
        <v>0</v>
      </c>
      <c r="V2573" s="166"/>
      <c r="W2573" s="3">
        <v>2014</v>
      </c>
      <c r="X2573" s="3">
        <v>14</v>
      </c>
    </row>
    <row r="2574" spans="1:24" ht="114.75">
      <c r="A2574" s="3" t="s">
        <v>17626</v>
      </c>
      <c r="B2574" s="6" t="s">
        <v>361</v>
      </c>
      <c r="C2574" s="159" t="s">
        <v>4448</v>
      </c>
      <c r="D2574" s="159" t="s">
        <v>3755</v>
      </c>
      <c r="E2574" s="6" t="s">
        <v>11469</v>
      </c>
      <c r="F2574" s="6" t="s">
        <v>11468</v>
      </c>
      <c r="G2574" s="3" t="s">
        <v>11450</v>
      </c>
      <c r="H2574" s="54">
        <v>0.5</v>
      </c>
      <c r="I2574" s="55">
        <v>470000000</v>
      </c>
      <c r="J2574" s="56" t="s">
        <v>229</v>
      </c>
      <c r="K2574" s="6" t="s">
        <v>222</v>
      </c>
      <c r="L2574" s="17" t="s">
        <v>11411</v>
      </c>
      <c r="M2574" s="162" t="s">
        <v>230</v>
      </c>
      <c r="N2574" s="15" t="s">
        <v>17491</v>
      </c>
      <c r="O2574" s="6" t="s">
        <v>4568</v>
      </c>
      <c r="P2574" s="58" t="s">
        <v>241</v>
      </c>
      <c r="Q2574" s="6" t="s">
        <v>234</v>
      </c>
      <c r="R2574" s="3">
        <v>2000</v>
      </c>
      <c r="S2574" s="1">
        <v>110</v>
      </c>
      <c r="T2574" s="4">
        <f>R2574*S2574</f>
        <v>220000</v>
      </c>
      <c r="U2574" s="4">
        <f t="shared" si="70"/>
        <v>246400.00000000003</v>
      </c>
      <c r="V2574" s="166"/>
      <c r="W2574" s="3">
        <v>2014</v>
      </c>
      <c r="X2574" s="3"/>
    </row>
    <row r="2575" spans="1:24" ht="89.25">
      <c r="A2575" s="3" t="s">
        <v>1479</v>
      </c>
      <c r="B2575" s="6" t="s">
        <v>361</v>
      </c>
      <c r="C2575" s="159" t="s">
        <v>4449</v>
      </c>
      <c r="D2575" s="159" t="s">
        <v>11470</v>
      </c>
      <c r="E2575" s="6" t="s">
        <v>11471</v>
      </c>
      <c r="F2575" s="6" t="s">
        <v>4766</v>
      </c>
      <c r="G2575" s="3" t="s">
        <v>11450</v>
      </c>
      <c r="H2575" s="54">
        <v>0.5</v>
      </c>
      <c r="I2575" s="16">
        <v>470000000</v>
      </c>
      <c r="J2575" s="56" t="s">
        <v>229</v>
      </c>
      <c r="K2575" s="6" t="s">
        <v>4765</v>
      </c>
      <c r="L2575" s="16" t="s">
        <v>4567</v>
      </c>
      <c r="M2575" s="162" t="s">
        <v>230</v>
      </c>
      <c r="N2575" s="15" t="s">
        <v>521</v>
      </c>
      <c r="O2575" s="6" t="s">
        <v>4568</v>
      </c>
      <c r="P2575" s="58" t="s">
        <v>241</v>
      </c>
      <c r="Q2575" s="6" t="s">
        <v>234</v>
      </c>
      <c r="R2575" s="4">
        <v>250</v>
      </c>
      <c r="S2575" s="74">
        <v>770</v>
      </c>
      <c r="T2575" s="4">
        <v>0</v>
      </c>
      <c r="U2575" s="4">
        <f t="shared" si="70"/>
        <v>0</v>
      </c>
      <c r="V2575" s="3" t="s">
        <v>362</v>
      </c>
      <c r="W2575" s="3">
        <v>2014</v>
      </c>
      <c r="X2575" s="3" t="s">
        <v>12037</v>
      </c>
    </row>
    <row r="2576" spans="1:24" ht="89.25">
      <c r="A2576" s="3" t="s">
        <v>12569</v>
      </c>
      <c r="B2576" s="6" t="s">
        <v>361</v>
      </c>
      <c r="C2576" s="159" t="s">
        <v>4449</v>
      </c>
      <c r="D2576" s="159" t="s">
        <v>11470</v>
      </c>
      <c r="E2576" s="6" t="s">
        <v>11471</v>
      </c>
      <c r="F2576" s="6" t="s">
        <v>4766</v>
      </c>
      <c r="G2576" s="3" t="s">
        <v>11450</v>
      </c>
      <c r="H2576" s="54">
        <v>0.5</v>
      </c>
      <c r="I2576" s="16">
        <v>470000000</v>
      </c>
      <c r="J2576" s="56" t="s">
        <v>229</v>
      </c>
      <c r="K2576" s="6" t="s">
        <v>519</v>
      </c>
      <c r="L2576" s="17" t="s">
        <v>11411</v>
      </c>
      <c r="M2576" s="162" t="s">
        <v>230</v>
      </c>
      <c r="N2576" s="15" t="s">
        <v>521</v>
      </c>
      <c r="O2576" s="6" t="s">
        <v>4568</v>
      </c>
      <c r="P2576" s="58" t="s">
        <v>241</v>
      </c>
      <c r="Q2576" s="6" t="s">
        <v>234</v>
      </c>
      <c r="R2576" s="4">
        <v>250</v>
      </c>
      <c r="S2576" s="74">
        <v>770</v>
      </c>
      <c r="T2576" s="4">
        <v>0</v>
      </c>
      <c r="U2576" s="4">
        <f t="shared" si="70"/>
        <v>0</v>
      </c>
      <c r="V2576" s="3"/>
      <c r="W2576" s="3">
        <v>2014</v>
      </c>
      <c r="X2576" s="3">
        <v>11</v>
      </c>
    </row>
    <row r="2577" spans="1:24" ht="89.25">
      <c r="A2577" s="3" t="s">
        <v>15666</v>
      </c>
      <c r="B2577" s="6" t="s">
        <v>361</v>
      </c>
      <c r="C2577" s="159" t="s">
        <v>4449</v>
      </c>
      <c r="D2577" s="159" t="s">
        <v>11470</v>
      </c>
      <c r="E2577" s="6" t="s">
        <v>11471</v>
      </c>
      <c r="F2577" s="6" t="s">
        <v>4766</v>
      </c>
      <c r="G2577" s="3" t="s">
        <v>11450</v>
      </c>
      <c r="H2577" s="54">
        <v>0.5</v>
      </c>
      <c r="I2577" s="16">
        <v>470000000</v>
      </c>
      <c r="J2577" s="56" t="s">
        <v>229</v>
      </c>
      <c r="K2577" s="6" t="s">
        <v>222</v>
      </c>
      <c r="L2577" s="17" t="s">
        <v>11411</v>
      </c>
      <c r="M2577" s="162" t="s">
        <v>230</v>
      </c>
      <c r="N2577" s="15" t="s">
        <v>521</v>
      </c>
      <c r="O2577" s="6" t="s">
        <v>4568</v>
      </c>
      <c r="P2577" s="58" t="s">
        <v>241</v>
      </c>
      <c r="Q2577" s="6" t="s">
        <v>234</v>
      </c>
      <c r="R2577" s="4">
        <v>250</v>
      </c>
      <c r="S2577" s="74">
        <v>770</v>
      </c>
      <c r="T2577" s="4">
        <v>0</v>
      </c>
      <c r="U2577" s="4">
        <f t="shared" si="70"/>
        <v>0</v>
      </c>
      <c r="V2577" s="3"/>
      <c r="W2577" s="3">
        <v>2014</v>
      </c>
      <c r="X2577" s="3">
        <v>14</v>
      </c>
    </row>
    <row r="2578" spans="1:24" ht="89.25">
      <c r="A2578" s="3" t="s">
        <v>17627</v>
      </c>
      <c r="B2578" s="6" t="s">
        <v>361</v>
      </c>
      <c r="C2578" s="159" t="s">
        <v>4449</v>
      </c>
      <c r="D2578" s="159" t="s">
        <v>11470</v>
      </c>
      <c r="E2578" s="6" t="s">
        <v>11471</v>
      </c>
      <c r="F2578" s="6" t="s">
        <v>4766</v>
      </c>
      <c r="G2578" s="3" t="s">
        <v>11450</v>
      </c>
      <c r="H2578" s="54">
        <v>0.5</v>
      </c>
      <c r="I2578" s="16">
        <v>470000000</v>
      </c>
      <c r="J2578" s="56" t="s">
        <v>229</v>
      </c>
      <c r="K2578" s="6" t="s">
        <v>222</v>
      </c>
      <c r="L2578" s="17" t="s">
        <v>11411</v>
      </c>
      <c r="M2578" s="162" t="s">
        <v>230</v>
      </c>
      <c r="N2578" s="15" t="s">
        <v>17491</v>
      </c>
      <c r="O2578" s="6" t="s">
        <v>4568</v>
      </c>
      <c r="P2578" s="58" t="s">
        <v>241</v>
      </c>
      <c r="Q2578" s="6" t="s">
        <v>234</v>
      </c>
      <c r="R2578" s="4">
        <v>250</v>
      </c>
      <c r="S2578" s="74">
        <v>770</v>
      </c>
      <c r="T2578" s="4">
        <f>R2578*S2578</f>
        <v>192500</v>
      </c>
      <c r="U2578" s="4">
        <f t="shared" si="70"/>
        <v>215600.00000000003</v>
      </c>
      <c r="V2578" s="3"/>
      <c r="W2578" s="3">
        <v>2014</v>
      </c>
      <c r="X2578" s="3"/>
    </row>
    <row r="2579" spans="1:24" ht="89.25">
      <c r="A2579" s="3" t="s">
        <v>1480</v>
      </c>
      <c r="B2579" s="6" t="s">
        <v>361</v>
      </c>
      <c r="C2579" s="42" t="s">
        <v>4450</v>
      </c>
      <c r="D2579" s="42" t="s">
        <v>4451</v>
      </c>
      <c r="E2579" s="42" t="s">
        <v>4452</v>
      </c>
      <c r="F2579" s="6" t="s">
        <v>4767</v>
      </c>
      <c r="G2579" s="3" t="s">
        <v>11450</v>
      </c>
      <c r="H2579" s="54">
        <v>0</v>
      </c>
      <c r="I2579" s="55">
        <v>470000000</v>
      </c>
      <c r="J2579" s="56" t="s">
        <v>229</v>
      </c>
      <c r="K2579" s="6" t="s">
        <v>519</v>
      </c>
      <c r="L2579" s="16" t="s">
        <v>4570</v>
      </c>
      <c r="M2579" s="162" t="s">
        <v>230</v>
      </c>
      <c r="N2579" s="15" t="s">
        <v>521</v>
      </c>
      <c r="O2579" s="6" t="s">
        <v>4568</v>
      </c>
      <c r="P2579" s="58" t="s">
        <v>241</v>
      </c>
      <c r="Q2579" s="6" t="s">
        <v>234</v>
      </c>
      <c r="R2579" s="3">
        <v>700</v>
      </c>
      <c r="S2579" s="1">
        <v>258</v>
      </c>
      <c r="T2579" s="4">
        <v>0</v>
      </c>
      <c r="U2579" s="4">
        <f t="shared" si="70"/>
        <v>0</v>
      </c>
      <c r="V2579" s="166" t="s">
        <v>362</v>
      </c>
      <c r="W2579" s="3">
        <v>2014</v>
      </c>
      <c r="X2579" s="3">
        <v>12.22</v>
      </c>
    </row>
    <row r="2580" spans="1:24" ht="89.25">
      <c r="A2580" s="3" t="s">
        <v>12570</v>
      </c>
      <c r="B2580" s="6" t="s">
        <v>361</v>
      </c>
      <c r="C2580" s="42" t="s">
        <v>4450</v>
      </c>
      <c r="D2580" s="42" t="s">
        <v>4451</v>
      </c>
      <c r="E2580" s="42" t="s">
        <v>4452</v>
      </c>
      <c r="F2580" s="6" t="s">
        <v>4767</v>
      </c>
      <c r="G2580" s="3" t="s">
        <v>11450</v>
      </c>
      <c r="H2580" s="54">
        <v>0</v>
      </c>
      <c r="I2580" s="55">
        <v>470000000</v>
      </c>
      <c r="J2580" s="56" t="s">
        <v>229</v>
      </c>
      <c r="K2580" s="6" t="s">
        <v>519</v>
      </c>
      <c r="L2580" s="17" t="s">
        <v>11411</v>
      </c>
      <c r="M2580" s="162" t="s">
        <v>230</v>
      </c>
      <c r="N2580" s="15" t="s">
        <v>521</v>
      </c>
      <c r="O2580" s="6" t="s">
        <v>4568</v>
      </c>
      <c r="P2580" s="58" t="s">
        <v>241</v>
      </c>
      <c r="Q2580" s="6" t="s">
        <v>234</v>
      </c>
      <c r="R2580" s="3">
        <v>700</v>
      </c>
      <c r="S2580" s="1">
        <v>258</v>
      </c>
      <c r="T2580" s="4">
        <v>0</v>
      </c>
      <c r="U2580" s="4">
        <f t="shared" si="70"/>
        <v>0</v>
      </c>
      <c r="V2580" s="166"/>
      <c r="W2580" s="3">
        <v>2014</v>
      </c>
      <c r="X2580" s="3"/>
    </row>
    <row r="2581" spans="1:24" ht="89.25">
      <c r="A2581" s="3" t="s">
        <v>15667</v>
      </c>
      <c r="B2581" s="6" t="s">
        <v>361</v>
      </c>
      <c r="C2581" s="42" t="s">
        <v>4450</v>
      </c>
      <c r="D2581" s="42" t="s">
        <v>4451</v>
      </c>
      <c r="E2581" s="42" t="s">
        <v>4452</v>
      </c>
      <c r="F2581" s="6" t="s">
        <v>4767</v>
      </c>
      <c r="G2581" s="3" t="s">
        <v>11450</v>
      </c>
      <c r="H2581" s="54">
        <v>0</v>
      </c>
      <c r="I2581" s="55">
        <v>470000000</v>
      </c>
      <c r="J2581" s="56" t="s">
        <v>229</v>
      </c>
      <c r="K2581" s="6" t="s">
        <v>15646</v>
      </c>
      <c r="L2581" s="17" t="s">
        <v>11411</v>
      </c>
      <c r="M2581" s="162" t="s">
        <v>230</v>
      </c>
      <c r="N2581" s="15" t="s">
        <v>521</v>
      </c>
      <c r="O2581" s="6" t="s">
        <v>4568</v>
      </c>
      <c r="P2581" s="58" t="s">
        <v>241</v>
      </c>
      <c r="Q2581" s="6" t="s">
        <v>234</v>
      </c>
      <c r="R2581" s="3">
        <v>0</v>
      </c>
      <c r="S2581" s="1">
        <v>258</v>
      </c>
      <c r="T2581" s="4">
        <f>R2581*S2581</f>
        <v>0</v>
      </c>
      <c r="U2581" s="4">
        <f t="shared" si="70"/>
        <v>0</v>
      </c>
      <c r="V2581" s="166"/>
      <c r="W2581" s="3">
        <v>2014</v>
      </c>
      <c r="X2581" s="3" t="s">
        <v>12076</v>
      </c>
    </row>
    <row r="2582" spans="1:24" ht="89.25">
      <c r="A2582" s="3" t="s">
        <v>1481</v>
      </c>
      <c r="B2582" s="6" t="s">
        <v>361</v>
      </c>
      <c r="C2582" s="42" t="s">
        <v>4453</v>
      </c>
      <c r="D2582" s="42" t="s">
        <v>4451</v>
      </c>
      <c r="E2582" s="42" t="s">
        <v>4454</v>
      </c>
      <c r="F2582" s="6" t="s">
        <v>4768</v>
      </c>
      <c r="G2582" s="3" t="s">
        <v>11450</v>
      </c>
      <c r="H2582" s="54">
        <v>0</v>
      </c>
      <c r="I2582" s="16">
        <v>470000000</v>
      </c>
      <c r="J2582" s="56" t="s">
        <v>229</v>
      </c>
      <c r="K2582" s="6" t="s">
        <v>519</v>
      </c>
      <c r="L2582" s="16" t="s">
        <v>4567</v>
      </c>
      <c r="M2582" s="162" t="s">
        <v>230</v>
      </c>
      <c r="N2582" s="15" t="s">
        <v>521</v>
      </c>
      <c r="O2582" s="6" t="s">
        <v>4568</v>
      </c>
      <c r="P2582" s="58" t="s">
        <v>241</v>
      </c>
      <c r="Q2582" s="6" t="s">
        <v>234</v>
      </c>
      <c r="R2582" s="1">
        <v>550</v>
      </c>
      <c r="S2582" s="74">
        <v>315</v>
      </c>
      <c r="T2582" s="4">
        <v>0</v>
      </c>
      <c r="U2582" s="4">
        <f t="shared" si="70"/>
        <v>0</v>
      </c>
      <c r="V2582" s="3" t="s">
        <v>362</v>
      </c>
      <c r="W2582" s="3">
        <v>2014</v>
      </c>
      <c r="X2582" s="3">
        <v>12.22</v>
      </c>
    </row>
    <row r="2583" spans="1:24" ht="89.25">
      <c r="A2583" s="3" t="s">
        <v>12571</v>
      </c>
      <c r="B2583" s="6" t="s">
        <v>361</v>
      </c>
      <c r="C2583" s="42" t="s">
        <v>4453</v>
      </c>
      <c r="D2583" s="42" t="s">
        <v>4451</v>
      </c>
      <c r="E2583" s="42" t="s">
        <v>4454</v>
      </c>
      <c r="F2583" s="6" t="s">
        <v>4768</v>
      </c>
      <c r="G2583" s="3" t="s">
        <v>11450</v>
      </c>
      <c r="H2583" s="54">
        <v>0</v>
      </c>
      <c r="I2583" s="16">
        <v>470000000</v>
      </c>
      <c r="J2583" s="56" t="s">
        <v>229</v>
      </c>
      <c r="K2583" s="6" t="s">
        <v>519</v>
      </c>
      <c r="L2583" s="17" t="s">
        <v>11411</v>
      </c>
      <c r="M2583" s="162" t="s">
        <v>230</v>
      </c>
      <c r="N2583" s="15" t="s">
        <v>521</v>
      </c>
      <c r="O2583" s="6" t="s">
        <v>4568</v>
      </c>
      <c r="P2583" s="58" t="s">
        <v>241</v>
      </c>
      <c r="Q2583" s="6" t="s">
        <v>234</v>
      </c>
      <c r="R2583" s="1">
        <v>550</v>
      </c>
      <c r="S2583" s="74">
        <v>315</v>
      </c>
      <c r="T2583" s="4">
        <v>0</v>
      </c>
      <c r="U2583" s="4">
        <f t="shared" si="70"/>
        <v>0</v>
      </c>
      <c r="V2583" s="3"/>
      <c r="W2583" s="3">
        <v>2014</v>
      </c>
      <c r="X2583" s="3">
        <v>11</v>
      </c>
    </row>
    <row r="2584" spans="1:24" ht="89.25">
      <c r="A2584" s="3" t="s">
        <v>15668</v>
      </c>
      <c r="B2584" s="6" t="s">
        <v>361</v>
      </c>
      <c r="C2584" s="42" t="s">
        <v>4453</v>
      </c>
      <c r="D2584" s="42" t="s">
        <v>4451</v>
      </c>
      <c r="E2584" s="42" t="s">
        <v>4454</v>
      </c>
      <c r="F2584" s="6" t="s">
        <v>4768</v>
      </c>
      <c r="G2584" s="3" t="s">
        <v>11450</v>
      </c>
      <c r="H2584" s="54">
        <v>0</v>
      </c>
      <c r="I2584" s="16">
        <v>470000000</v>
      </c>
      <c r="J2584" s="56" t="s">
        <v>229</v>
      </c>
      <c r="K2584" s="6" t="s">
        <v>15646</v>
      </c>
      <c r="L2584" s="17" t="s">
        <v>11411</v>
      </c>
      <c r="M2584" s="162" t="s">
        <v>230</v>
      </c>
      <c r="N2584" s="15" t="s">
        <v>521</v>
      </c>
      <c r="O2584" s="6" t="s">
        <v>4568</v>
      </c>
      <c r="P2584" s="58" t="s">
        <v>241</v>
      </c>
      <c r="Q2584" s="6" t="s">
        <v>234</v>
      </c>
      <c r="R2584" s="1">
        <v>0</v>
      </c>
      <c r="S2584" s="74">
        <v>315</v>
      </c>
      <c r="T2584" s="4">
        <f>R2584*S2584</f>
        <v>0</v>
      </c>
      <c r="U2584" s="4">
        <f t="shared" si="70"/>
        <v>0</v>
      </c>
      <c r="V2584" s="3"/>
      <c r="W2584" s="3">
        <v>2014</v>
      </c>
      <c r="X2584" s="3" t="s">
        <v>12076</v>
      </c>
    </row>
    <row r="2585" spans="1:24" ht="89.25">
      <c r="A2585" s="3" t="s">
        <v>1482</v>
      </c>
      <c r="B2585" s="6" t="s">
        <v>361</v>
      </c>
      <c r="C2585" s="42" t="s">
        <v>4453</v>
      </c>
      <c r="D2585" s="42" t="s">
        <v>4451</v>
      </c>
      <c r="E2585" s="42" t="s">
        <v>4454</v>
      </c>
      <c r="F2585" s="6" t="s">
        <v>4769</v>
      </c>
      <c r="G2585" s="3" t="s">
        <v>11450</v>
      </c>
      <c r="H2585" s="54">
        <v>0</v>
      </c>
      <c r="I2585" s="55">
        <v>470000000</v>
      </c>
      <c r="J2585" s="56" t="s">
        <v>229</v>
      </c>
      <c r="K2585" s="6" t="s">
        <v>519</v>
      </c>
      <c r="L2585" s="16" t="s">
        <v>4570</v>
      </c>
      <c r="M2585" s="162" t="s">
        <v>230</v>
      </c>
      <c r="N2585" s="15" t="s">
        <v>521</v>
      </c>
      <c r="O2585" s="6" t="s">
        <v>4568</v>
      </c>
      <c r="P2585" s="58" t="s">
        <v>241</v>
      </c>
      <c r="Q2585" s="6" t="s">
        <v>234</v>
      </c>
      <c r="R2585" s="3">
        <v>50</v>
      </c>
      <c r="S2585" s="1">
        <v>680</v>
      </c>
      <c r="T2585" s="4">
        <v>0</v>
      </c>
      <c r="U2585" s="4">
        <f t="shared" si="70"/>
        <v>0</v>
      </c>
      <c r="V2585" s="166" t="s">
        <v>362</v>
      </c>
      <c r="W2585" s="3">
        <v>2014</v>
      </c>
      <c r="X2585" s="3">
        <v>12.22</v>
      </c>
    </row>
    <row r="2586" spans="1:24" ht="89.25">
      <c r="A2586" s="3" t="s">
        <v>12572</v>
      </c>
      <c r="B2586" s="6" t="s">
        <v>361</v>
      </c>
      <c r="C2586" s="42" t="s">
        <v>4453</v>
      </c>
      <c r="D2586" s="42" t="s">
        <v>4451</v>
      </c>
      <c r="E2586" s="42" t="s">
        <v>4454</v>
      </c>
      <c r="F2586" s="6" t="s">
        <v>4769</v>
      </c>
      <c r="G2586" s="3" t="s">
        <v>11450</v>
      </c>
      <c r="H2586" s="54">
        <v>0</v>
      </c>
      <c r="I2586" s="55">
        <v>470000000</v>
      </c>
      <c r="J2586" s="56" t="s">
        <v>229</v>
      </c>
      <c r="K2586" s="6" t="s">
        <v>519</v>
      </c>
      <c r="L2586" s="17" t="s">
        <v>11411</v>
      </c>
      <c r="M2586" s="162" t="s">
        <v>230</v>
      </c>
      <c r="N2586" s="15" t="s">
        <v>521</v>
      </c>
      <c r="O2586" s="6" t="s">
        <v>4568</v>
      </c>
      <c r="P2586" s="58" t="s">
        <v>241</v>
      </c>
      <c r="Q2586" s="6" t="s">
        <v>234</v>
      </c>
      <c r="R2586" s="3">
        <v>50</v>
      </c>
      <c r="S2586" s="1">
        <v>680</v>
      </c>
      <c r="T2586" s="4">
        <v>0</v>
      </c>
      <c r="U2586" s="4">
        <f t="shared" si="70"/>
        <v>0</v>
      </c>
      <c r="V2586" s="166"/>
      <c r="W2586" s="3">
        <v>2014</v>
      </c>
      <c r="X2586" s="3">
        <v>11</v>
      </c>
    </row>
    <row r="2587" spans="1:24" ht="89.25">
      <c r="A2587" s="3" t="s">
        <v>15669</v>
      </c>
      <c r="B2587" s="6" t="s">
        <v>361</v>
      </c>
      <c r="C2587" s="42" t="s">
        <v>4453</v>
      </c>
      <c r="D2587" s="42" t="s">
        <v>4451</v>
      </c>
      <c r="E2587" s="42" t="s">
        <v>4454</v>
      </c>
      <c r="F2587" s="6" t="s">
        <v>4769</v>
      </c>
      <c r="G2587" s="3" t="s">
        <v>11450</v>
      </c>
      <c r="H2587" s="54">
        <v>0</v>
      </c>
      <c r="I2587" s="55">
        <v>470000000</v>
      </c>
      <c r="J2587" s="56" t="s">
        <v>229</v>
      </c>
      <c r="K2587" s="6" t="s">
        <v>15646</v>
      </c>
      <c r="L2587" s="17" t="s">
        <v>11411</v>
      </c>
      <c r="M2587" s="162" t="s">
        <v>230</v>
      </c>
      <c r="N2587" s="15" t="s">
        <v>521</v>
      </c>
      <c r="O2587" s="6" t="s">
        <v>4568</v>
      </c>
      <c r="P2587" s="58" t="s">
        <v>241</v>
      </c>
      <c r="Q2587" s="6" t="s">
        <v>234</v>
      </c>
      <c r="R2587" s="3">
        <v>0</v>
      </c>
      <c r="S2587" s="1">
        <v>680</v>
      </c>
      <c r="T2587" s="4">
        <f>R2587*S2587</f>
        <v>0</v>
      </c>
      <c r="U2587" s="4">
        <f t="shared" si="70"/>
        <v>0</v>
      </c>
      <c r="V2587" s="166"/>
      <c r="W2587" s="3">
        <v>2014</v>
      </c>
      <c r="X2587" s="3" t="s">
        <v>12076</v>
      </c>
    </row>
    <row r="2588" spans="1:24" ht="89.25">
      <c r="A2588" s="3" t="s">
        <v>1483</v>
      </c>
      <c r="B2588" s="6" t="s">
        <v>361</v>
      </c>
      <c r="C2588" s="6" t="s">
        <v>4455</v>
      </c>
      <c r="D2588" s="102" t="s">
        <v>3032</v>
      </c>
      <c r="E2588" s="103" t="s">
        <v>4456</v>
      </c>
      <c r="F2588" s="6" t="s">
        <v>4770</v>
      </c>
      <c r="G2588" s="3" t="s">
        <v>11450</v>
      </c>
      <c r="H2588" s="54">
        <v>0</v>
      </c>
      <c r="I2588" s="16">
        <v>470000000</v>
      </c>
      <c r="J2588" s="56" t="s">
        <v>229</v>
      </c>
      <c r="K2588" s="6" t="s">
        <v>519</v>
      </c>
      <c r="L2588" s="16" t="s">
        <v>4567</v>
      </c>
      <c r="M2588" s="162" t="s">
        <v>230</v>
      </c>
      <c r="N2588" s="15" t="s">
        <v>521</v>
      </c>
      <c r="O2588" s="6" t="s">
        <v>4568</v>
      </c>
      <c r="P2588" s="58" t="s">
        <v>245</v>
      </c>
      <c r="Q2588" s="6" t="s">
        <v>246</v>
      </c>
      <c r="R2588" s="4">
        <v>10</v>
      </c>
      <c r="S2588" s="74">
        <v>188</v>
      </c>
      <c r="T2588" s="4">
        <v>0</v>
      </c>
      <c r="U2588" s="4">
        <f t="shared" si="70"/>
        <v>0</v>
      </c>
      <c r="V2588" s="3" t="s">
        <v>362</v>
      </c>
      <c r="W2588" s="3">
        <v>2014</v>
      </c>
      <c r="X2588" s="3">
        <v>12.22</v>
      </c>
    </row>
    <row r="2589" spans="1:24" ht="89.25">
      <c r="A2589" s="3" t="s">
        <v>12573</v>
      </c>
      <c r="B2589" s="6" t="s">
        <v>361</v>
      </c>
      <c r="C2589" s="6" t="s">
        <v>4455</v>
      </c>
      <c r="D2589" s="102" t="s">
        <v>3032</v>
      </c>
      <c r="E2589" s="103" t="s">
        <v>4456</v>
      </c>
      <c r="F2589" s="6" t="s">
        <v>4770</v>
      </c>
      <c r="G2589" s="3" t="s">
        <v>11450</v>
      </c>
      <c r="H2589" s="54">
        <v>0</v>
      </c>
      <c r="I2589" s="16">
        <v>470000000</v>
      </c>
      <c r="J2589" s="56" t="s">
        <v>229</v>
      </c>
      <c r="K2589" s="6" t="s">
        <v>519</v>
      </c>
      <c r="L2589" s="17" t="s">
        <v>11411</v>
      </c>
      <c r="M2589" s="162" t="s">
        <v>230</v>
      </c>
      <c r="N2589" s="15" t="s">
        <v>521</v>
      </c>
      <c r="O2589" s="6" t="s">
        <v>4568</v>
      </c>
      <c r="P2589" s="58" t="s">
        <v>245</v>
      </c>
      <c r="Q2589" s="6" t="s">
        <v>246</v>
      </c>
      <c r="R2589" s="4">
        <v>10</v>
      </c>
      <c r="S2589" s="74">
        <v>188</v>
      </c>
      <c r="T2589" s="4">
        <v>0</v>
      </c>
      <c r="U2589" s="4">
        <f t="shared" si="70"/>
        <v>0</v>
      </c>
      <c r="V2589" s="3"/>
      <c r="W2589" s="3">
        <v>2014</v>
      </c>
      <c r="X2589" s="3">
        <v>11</v>
      </c>
    </row>
    <row r="2590" spans="1:24" ht="89.25">
      <c r="A2590" s="3" t="s">
        <v>15670</v>
      </c>
      <c r="B2590" s="6" t="s">
        <v>361</v>
      </c>
      <c r="C2590" s="6" t="s">
        <v>4455</v>
      </c>
      <c r="D2590" s="102" t="s">
        <v>3032</v>
      </c>
      <c r="E2590" s="103" t="s">
        <v>4456</v>
      </c>
      <c r="F2590" s="6" t="s">
        <v>4770</v>
      </c>
      <c r="G2590" s="3" t="s">
        <v>11450</v>
      </c>
      <c r="H2590" s="54">
        <v>0</v>
      </c>
      <c r="I2590" s="16">
        <v>470000000</v>
      </c>
      <c r="J2590" s="56" t="s">
        <v>229</v>
      </c>
      <c r="K2590" s="6" t="s">
        <v>15646</v>
      </c>
      <c r="L2590" s="17" t="s">
        <v>11411</v>
      </c>
      <c r="M2590" s="162" t="s">
        <v>230</v>
      </c>
      <c r="N2590" s="15" t="s">
        <v>521</v>
      </c>
      <c r="O2590" s="6" t="s">
        <v>4568</v>
      </c>
      <c r="P2590" s="58" t="s">
        <v>245</v>
      </c>
      <c r="Q2590" s="6" t="s">
        <v>246</v>
      </c>
      <c r="R2590" s="4">
        <v>0</v>
      </c>
      <c r="S2590" s="74">
        <v>188</v>
      </c>
      <c r="T2590" s="4">
        <f>R2590*S2590</f>
        <v>0</v>
      </c>
      <c r="U2590" s="4">
        <f t="shared" si="70"/>
        <v>0</v>
      </c>
      <c r="V2590" s="3"/>
      <c r="W2590" s="3">
        <v>2014</v>
      </c>
      <c r="X2590" s="3" t="s">
        <v>12076</v>
      </c>
    </row>
    <row r="2591" spans="1:24" ht="89.25">
      <c r="A2591" s="3" t="s">
        <v>1484</v>
      </c>
      <c r="B2591" s="6" t="s">
        <v>361</v>
      </c>
      <c r="C2591" s="6" t="s">
        <v>4457</v>
      </c>
      <c r="D2591" s="102" t="s">
        <v>3032</v>
      </c>
      <c r="E2591" s="103" t="s">
        <v>4458</v>
      </c>
      <c r="F2591" s="6" t="s">
        <v>4771</v>
      </c>
      <c r="G2591" s="3" t="s">
        <v>11450</v>
      </c>
      <c r="H2591" s="54">
        <v>0</v>
      </c>
      <c r="I2591" s="55">
        <v>470000000</v>
      </c>
      <c r="J2591" s="56" t="s">
        <v>229</v>
      </c>
      <c r="K2591" s="6" t="s">
        <v>519</v>
      </c>
      <c r="L2591" s="16" t="s">
        <v>4570</v>
      </c>
      <c r="M2591" s="162" t="s">
        <v>230</v>
      </c>
      <c r="N2591" s="15" t="s">
        <v>521</v>
      </c>
      <c r="O2591" s="6" t="s">
        <v>4568</v>
      </c>
      <c r="P2591" s="58" t="s">
        <v>245</v>
      </c>
      <c r="Q2591" s="6" t="s">
        <v>246</v>
      </c>
      <c r="R2591" s="3">
        <v>30</v>
      </c>
      <c r="S2591" s="1">
        <v>356</v>
      </c>
      <c r="T2591" s="4">
        <v>0</v>
      </c>
      <c r="U2591" s="4">
        <f t="shared" si="70"/>
        <v>0</v>
      </c>
      <c r="V2591" s="166" t="s">
        <v>362</v>
      </c>
      <c r="W2591" s="3">
        <v>2014</v>
      </c>
      <c r="X2591" s="3">
        <v>12.22</v>
      </c>
    </row>
    <row r="2592" spans="1:24" ht="89.25">
      <c r="A2592" s="3" t="s">
        <v>12574</v>
      </c>
      <c r="B2592" s="6" t="s">
        <v>361</v>
      </c>
      <c r="C2592" s="6" t="s">
        <v>4457</v>
      </c>
      <c r="D2592" s="102" t="s">
        <v>3032</v>
      </c>
      <c r="E2592" s="103" t="s">
        <v>4458</v>
      </c>
      <c r="F2592" s="6" t="s">
        <v>4771</v>
      </c>
      <c r="G2592" s="3" t="s">
        <v>11450</v>
      </c>
      <c r="H2592" s="54">
        <v>0</v>
      </c>
      <c r="I2592" s="55">
        <v>470000000</v>
      </c>
      <c r="J2592" s="56" t="s">
        <v>229</v>
      </c>
      <c r="K2592" s="6" t="s">
        <v>519</v>
      </c>
      <c r="L2592" s="17" t="s">
        <v>11411</v>
      </c>
      <c r="M2592" s="162" t="s">
        <v>230</v>
      </c>
      <c r="N2592" s="15" t="s">
        <v>521</v>
      </c>
      <c r="O2592" s="6" t="s">
        <v>4568</v>
      </c>
      <c r="P2592" s="58" t="s">
        <v>245</v>
      </c>
      <c r="Q2592" s="6" t="s">
        <v>246</v>
      </c>
      <c r="R2592" s="3">
        <v>30</v>
      </c>
      <c r="S2592" s="1">
        <v>356</v>
      </c>
      <c r="T2592" s="4">
        <v>0</v>
      </c>
      <c r="U2592" s="4">
        <f t="shared" si="70"/>
        <v>0</v>
      </c>
      <c r="V2592" s="166"/>
      <c r="W2592" s="3">
        <v>2014</v>
      </c>
      <c r="X2592" s="3">
        <v>11</v>
      </c>
    </row>
    <row r="2593" spans="1:24" ht="89.25">
      <c r="A2593" s="3" t="s">
        <v>15671</v>
      </c>
      <c r="B2593" s="6" t="s">
        <v>361</v>
      </c>
      <c r="C2593" s="6" t="s">
        <v>4457</v>
      </c>
      <c r="D2593" s="102" t="s">
        <v>3032</v>
      </c>
      <c r="E2593" s="103" t="s">
        <v>4458</v>
      </c>
      <c r="F2593" s="6" t="s">
        <v>4771</v>
      </c>
      <c r="G2593" s="3" t="s">
        <v>11450</v>
      </c>
      <c r="H2593" s="54">
        <v>0</v>
      </c>
      <c r="I2593" s="55">
        <v>470000000</v>
      </c>
      <c r="J2593" s="56" t="s">
        <v>229</v>
      </c>
      <c r="K2593" s="6" t="s">
        <v>15646</v>
      </c>
      <c r="L2593" s="17" t="s">
        <v>11411</v>
      </c>
      <c r="M2593" s="162" t="s">
        <v>230</v>
      </c>
      <c r="N2593" s="15" t="s">
        <v>521</v>
      </c>
      <c r="O2593" s="6" t="s">
        <v>4568</v>
      </c>
      <c r="P2593" s="58" t="s">
        <v>245</v>
      </c>
      <c r="Q2593" s="6" t="s">
        <v>246</v>
      </c>
      <c r="R2593" s="3">
        <v>0</v>
      </c>
      <c r="S2593" s="1">
        <v>356</v>
      </c>
      <c r="T2593" s="4">
        <f>R2593*S2593</f>
        <v>0</v>
      </c>
      <c r="U2593" s="4">
        <f t="shared" si="70"/>
        <v>0</v>
      </c>
      <c r="V2593" s="166"/>
      <c r="W2593" s="3">
        <v>2014</v>
      </c>
      <c r="X2593" s="3" t="s">
        <v>12076</v>
      </c>
    </row>
    <row r="2594" spans="1:24" ht="89.25">
      <c r="A2594" s="3" t="s">
        <v>1485</v>
      </c>
      <c r="B2594" s="6" t="s">
        <v>361</v>
      </c>
      <c r="C2594" s="6" t="s">
        <v>4459</v>
      </c>
      <c r="D2594" s="102" t="s">
        <v>3032</v>
      </c>
      <c r="E2594" s="103" t="s">
        <v>4460</v>
      </c>
      <c r="F2594" s="6" t="s">
        <v>4772</v>
      </c>
      <c r="G2594" s="3" t="s">
        <v>11450</v>
      </c>
      <c r="H2594" s="54">
        <v>0</v>
      </c>
      <c r="I2594" s="16">
        <v>470000000</v>
      </c>
      <c r="J2594" s="56" t="s">
        <v>229</v>
      </c>
      <c r="K2594" s="6" t="s">
        <v>519</v>
      </c>
      <c r="L2594" s="16" t="s">
        <v>4567</v>
      </c>
      <c r="M2594" s="162" t="s">
        <v>230</v>
      </c>
      <c r="N2594" s="15" t="s">
        <v>521</v>
      </c>
      <c r="O2594" s="6" t="s">
        <v>4568</v>
      </c>
      <c r="P2594" s="58" t="s">
        <v>245</v>
      </c>
      <c r="Q2594" s="6" t="s">
        <v>246</v>
      </c>
      <c r="R2594" s="4">
        <v>50</v>
      </c>
      <c r="S2594" s="74">
        <v>557</v>
      </c>
      <c r="T2594" s="4">
        <v>0</v>
      </c>
      <c r="U2594" s="4">
        <f t="shared" si="70"/>
        <v>0</v>
      </c>
      <c r="V2594" s="3" t="s">
        <v>362</v>
      </c>
      <c r="W2594" s="3">
        <v>2014</v>
      </c>
      <c r="X2594" s="3">
        <v>12.22</v>
      </c>
    </row>
    <row r="2595" spans="1:24" ht="89.25">
      <c r="A2595" s="3" t="s">
        <v>12575</v>
      </c>
      <c r="B2595" s="6" t="s">
        <v>361</v>
      </c>
      <c r="C2595" s="6" t="s">
        <v>4459</v>
      </c>
      <c r="D2595" s="102" t="s">
        <v>3032</v>
      </c>
      <c r="E2595" s="103" t="s">
        <v>4460</v>
      </c>
      <c r="F2595" s="6" t="s">
        <v>4772</v>
      </c>
      <c r="G2595" s="3" t="s">
        <v>11450</v>
      </c>
      <c r="H2595" s="54">
        <v>0</v>
      </c>
      <c r="I2595" s="16">
        <v>470000000</v>
      </c>
      <c r="J2595" s="56" t="s">
        <v>229</v>
      </c>
      <c r="K2595" s="6" t="s">
        <v>519</v>
      </c>
      <c r="L2595" s="17" t="s">
        <v>11411</v>
      </c>
      <c r="M2595" s="162" t="s">
        <v>230</v>
      </c>
      <c r="N2595" s="15" t="s">
        <v>521</v>
      </c>
      <c r="O2595" s="6" t="s">
        <v>4568</v>
      </c>
      <c r="P2595" s="58" t="s">
        <v>245</v>
      </c>
      <c r="Q2595" s="6" t="s">
        <v>246</v>
      </c>
      <c r="R2595" s="4">
        <v>50</v>
      </c>
      <c r="S2595" s="74">
        <v>557</v>
      </c>
      <c r="T2595" s="4">
        <v>0</v>
      </c>
      <c r="U2595" s="4">
        <f t="shared" si="70"/>
        <v>0</v>
      </c>
      <c r="V2595" s="3"/>
      <c r="W2595" s="3">
        <v>2014</v>
      </c>
      <c r="X2595" s="3">
        <v>11</v>
      </c>
    </row>
    <row r="2596" spans="1:24" ht="89.25">
      <c r="A2596" s="3" t="s">
        <v>15672</v>
      </c>
      <c r="B2596" s="6" t="s">
        <v>361</v>
      </c>
      <c r="C2596" s="6" t="s">
        <v>4459</v>
      </c>
      <c r="D2596" s="102" t="s">
        <v>3032</v>
      </c>
      <c r="E2596" s="103" t="s">
        <v>4460</v>
      </c>
      <c r="F2596" s="6" t="s">
        <v>4772</v>
      </c>
      <c r="G2596" s="3" t="s">
        <v>11450</v>
      </c>
      <c r="H2596" s="54">
        <v>0</v>
      </c>
      <c r="I2596" s="16">
        <v>470000000</v>
      </c>
      <c r="J2596" s="56" t="s">
        <v>229</v>
      </c>
      <c r="K2596" s="6" t="s">
        <v>15646</v>
      </c>
      <c r="L2596" s="17" t="s">
        <v>11411</v>
      </c>
      <c r="M2596" s="162" t="s">
        <v>230</v>
      </c>
      <c r="N2596" s="15" t="s">
        <v>521</v>
      </c>
      <c r="O2596" s="6" t="s">
        <v>4568</v>
      </c>
      <c r="P2596" s="58" t="s">
        <v>245</v>
      </c>
      <c r="Q2596" s="6" t="s">
        <v>246</v>
      </c>
      <c r="R2596" s="4">
        <v>0</v>
      </c>
      <c r="S2596" s="74">
        <v>557</v>
      </c>
      <c r="T2596" s="4">
        <f>R2596*S2596</f>
        <v>0</v>
      </c>
      <c r="U2596" s="4">
        <f t="shared" si="70"/>
        <v>0</v>
      </c>
      <c r="V2596" s="3"/>
      <c r="W2596" s="3">
        <v>2014</v>
      </c>
      <c r="X2596" s="3" t="s">
        <v>12076</v>
      </c>
    </row>
    <row r="2597" spans="1:24" ht="89.25">
      <c r="A2597" s="3" t="s">
        <v>1486</v>
      </c>
      <c r="B2597" s="6" t="s">
        <v>361</v>
      </c>
      <c r="C2597" s="6" t="s">
        <v>4461</v>
      </c>
      <c r="D2597" s="102" t="s">
        <v>3032</v>
      </c>
      <c r="E2597" s="103" t="s">
        <v>4462</v>
      </c>
      <c r="F2597" s="6" t="s">
        <v>11766</v>
      </c>
      <c r="G2597" s="3" t="s">
        <v>11450</v>
      </c>
      <c r="H2597" s="54">
        <v>0</v>
      </c>
      <c r="I2597" s="55">
        <v>470000000</v>
      </c>
      <c r="J2597" s="56" t="s">
        <v>229</v>
      </c>
      <c r="K2597" s="6" t="s">
        <v>519</v>
      </c>
      <c r="L2597" s="16" t="s">
        <v>4570</v>
      </c>
      <c r="M2597" s="162" t="s">
        <v>230</v>
      </c>
      <c r="N2597" s="15" t="s">
        <v>521</v>
      </c>
      <c r="O2597" s="6" t="s">
        <v>4568</v>
      </c>
      <c r="P2597" s="58" t="s">
        <v>245</v>
      </c>
      <c r="Q2597" s="6" t="s">
        <v>246</v>
      </c>
      <c r="R2597" s="3">
        <v>10</v>
      </c>
      <c r="S2597" s="1">
        <v>866</v>
      </c>
      <c r="T2597" s="4">
        <v>0</v>
      </c>
      <c r="U2597" s="4">
        <f t="shared" si="70"/>
        <v>0</v>
      </c>
      <c r="V2597" s="166" t="s">
        <v>362</v>
      </c>
      <c r="W2597" s="3">
        <v>2014</v>
      </c>
      <c r="X2597" s="3">
        <v>12.22</v>
      </c>
    </row>
    <row r="2598" spans="1:24" ht="89.25">
      <c r="A2598" s="3" t="s">
        <v>12576</v>
      </c>
      <c r="B2598" s="6" t="s">
        <v>361</v>
      </c>
      <c r="C2598" s="6" t="s">
        <v>4461</v>
      </c>
      <c r="D2598" s="102" t="s">
        <v>3032</v>
      </c>
      <c r="E2598" s="103" t="s">
        <v>4462</v>
      </c>
      <c r="F2598" s="6" t="s">
        <v>11766</v>
      </c>
      <c r="G2598" s="3" t="s">
        <v>11450</v>
      </c>
      <c r="H2598" s="54">
        <v>0</v>
      </c>
      <c r="I2598" s="55">
        <v>470000000</v>
      </c>
      <c r="J2598" s="56" t="s">
        <v>229</v>
      </c>
      <c r="K2598" s="6" t="s">
        <v>519</v>
      </c>
      <c r="L2598" s="17" t="s">
        <v>11411</v>
      </c>
      <c r="M2598" s="162" t="s">
        <v>230</v>
      </c>
      <c r="N2598" s="15" t="s">
        <v>521</v>
      </c>
      <c r="O2598" s="6" t="s">
        <v>4568</v>
      </c>
      <c r="P2598" s="58" t="s">
        <v>245</v>
      </c>
      <c r="Q2598" s="6" t="s">
        <v>246</v>
      </c>
      <c r="R2598" s="3">
        <v>10</v>
      </c>
      <c r="S2598" s="1">
        <v>866</v>
      </c>
      <c r="T2598" s="4">
        <v>0</v>
      </c>
      <c r="U2598" s="4">
        <f t="shared" si="70"/>
        <v>0</v>
      </c>
      <c r="V2598" s="166"/>
      <c r="W2598" s="3">
        <v>2014</v>
      </c>
      <c r="X2598" s="3">
        <v>11</v>
      </c>
    </row>
    <row r="2599" spans="1:24" ht="89.25">
      <c r="A2599" s="3" t="s">
        <v>15673</v>
      </c>
      <c r="B2599" s="6" t="s">
        <v>361</v>
      </c>
      <c r="C2599" s="6" t="s">
        <v>4461</v>
      </c>
      <c r="D2599" s="102" t="s">
        <v>3032</v>
      </c>
      <c r="E2599" s="103" t="s">
        <v>4462</v>
      </c>
      <c r="F2599" s="6" t="s">
        <v>11766</v>
      </c>
      <c r="G2599" s="3" t="s">
        <v>11450</v>
      </c>
      <c r="H2599" s="54">
        <v>0</v>
      </c>
      <c r="I2599" s="55">
        <v>470000000</v>
      </c>
      <c r="J2599" s="56" t="s">
        <v>229</v>
      </c>
      <c r="K2599" s="6" t="s">
        <v>15646</v>
      </c>
      <c r="L2599" s="17" t="s">
        <v>11411</v>
      </c>
      <c r="M2599" s="162" t="s">
        <v>230</v>
      </c>
      <c r="N2599" s="15" t="s">
        <v>521</v>
      </c>
      <c r="O2599" s="6" t="s">
        <v>4568</v>
      </c>
      <c r="P2599" s="58" t="s">
        <v>245</v>
      </c>
      <c r="Q2599" s="6" t="s">
        <v>246</v>
      </c>
      <c r="R2599" s="3">
        <v>0</v>
      </c>
      <c r="S2599" s="1">
        <v>866</v>
      </c>
      <c r="T2599" s="4">
        <f>R2599*S2599</f>
        <v>0</v>
      </c>
      <c r="U2599" s="4">
        <f t="shared" si="70"/>
        <v>0</v>
      </c>
      <c r="V2599" s="166"/>
      <c r="W2599" s="3">
        <v>2014</v>
      </c>
      <c r="X2599" s="3" t="s">
        <v>12076</v>
      </c>
    </row>
    <row r="2600" spans="1:24" ht="89.25">
      <c r="A2600" s="3" t="s">
        <v>1487</v>
      </c>
      <c r="B2600" s="6" t="s">
        <v>361</v>
      </c>
      <c r="C2600" s="6" t="s">
        <v>4463</v>
      </c>
      <c r="D2600" s="102" t="s">
        <v>3032</v>
      </c>
      <c r="E2600" s="103" t="s">
        <v>4464</v>
      </c>
      <c r="F2600" s="6" t="s">
        <v>11767</v>
      </c>
      <c r="G2600" s="3" t="s">
        <v>11450</v>
      </c>
      <c r="H2600" s="54">
        <v>0</v>
      </c>
      <c r="I2600" s="16">
        <v>470000000</v>
      </c>
      <c r="J2600" s="56" t="s">
        <v>229</v>
      </c>
      <c r="K2600" s="6" t="s">
        <v>519</v>
      </c>
      <c r="L2600" s="16" t="s">
        <v>4567</v>
      </c>
      <c r="M2600" s="162" t="s">
        <v>230</v>
      </c>
      <c r="N2600" s="15" t="s">
        <v>521</v>
      </c>
      <c r="O2600" s="6" t="s">
        <v>4568</v>
      </c>
      <c r="P2600" s="58" t="s">
        <v>245</v>
      </c>
      <c r="Q2600" s="6" t="s">
        <v>246</v>
      </c>
      <c r="R2600" s="4">
        <v>10</v>
      </c>
      <c r="S2600" s="74">
        <v>1150</v>
      </c>
      <c r="T2600" s="4">
        <v>0</v>
      </c>
      <c r="U2600" s="4">
        <f t="shared" si="70"/>
        <v>0</v>
      </c>
      <c r="V2600" s="3" t="s">
        <v>362</v>
      </c>
      <c r="W2600" s="3">
        <v>2014</v>
      </c>
      <c r="X2600" s="3">
        <v>12.22</v>
      </c>
    </row>
    <row r="2601" spans="1:24" ht="89.25">
      <c r="A2601" s="3" t="s">
        <v>12577</v>
      </c>
      <c r="B2601" s="6" t="s">
        <v>361</v>
      </c>
      <c r="C2601" s="6" t="s">
        <v>4463</v>
      </c>
      <c r="D2601" s="102" t="s">
        <v>3032</v>
      </c>
      <c r="E2601" s="103" t="s">
        <v>4464</v>
      </c>
      <c r="F2601" s="6" t="s">
        <v>11767</v>
      </c>
      <c r="G2601" s="3" t="s">
        <v>11450</v>
      </c>
      <c r="H2601" s="54">
        <v>0</v>
      </c>
      <c r="I2601" s="16">
        <v>470000000</v>
      </c>
      <c r="J2601" s="56" t="s">
        <v>229</v>
      </c>
      <c r="K2601" s="6" t="s">
        <v>519</v>
      </c>
      <c r="L2601" s="17" t="s">
        <v>11411</v>
      </c>
      <c r="M2601" s="162" t="s">
        <v>230</v>
      </c>
      <c r="N2601" s="15" t="s">
        <v>521</v>
      </c>
      <c r="O2601" s="6" t="s">
        <v>4568</v>
      </c>
      <c r="P2601" s="58" t="s">
        <v>245</v>
      </c>
      <c r="Q2601" s="6" t="s">
        <v>246</v>
      </c>
      <c r="R2601" s="4">
        <v>10</v>
      </c>
      <c r="S2601" s="74">
        <v>1150</v>
      </c>
      <c r="T2601" s="4">
        <v>0</v>
      </c>
      <c r="U2601" s="4">
        <f t="shared" si="70"/>
        <v>0</v>
      </c>
      <c r="V2601" s="3"/>
      <c r="W2601" s="3">
        <v>2014</v>
      </c>
      <c r="X2601" s="3">
        <v>11</v>
      </c>
    </row>
    <row r="2602" spans="1:24" ht="89.25">
      <c r="A2602" s="3" t="s">
        <v>15674</v>
      </c>
      <c r="B2602" s="6" t="s">
        <v>361</v>
      </c>
      <c r="C2602" s="6" t="s">
        <v>4463</v>
      </c>
      <c r="D2602" s="102" t="s">
        <v>3032</v>
      </c>
      <c r="E2602" s="103" t="s">
        <v>4464</v>
      </c>
      <c r="F2602" s="6" t="s">
        <v>11767</v>
      </c>
      <c r="G2602" s="3" t="s">
        <v>11450</v>
      </c>
      <c r="H2602" s="54">
        <v>0</v>
      </c>
      <c r="I2602" s="16">
        <v>470000000</v>
      </c>
      <c r="J2602" s="56" t="s">
        <v>229</v>
      </c>
      <c r="K2602" s="6" t="s">
        <v>15646</v>
      </c>
      <c r="L2602" s="17" t="s">
        <v>11411</v>
      </c>
      <c r="M2602" s="162" t="s">
        <v>230</v>
      </c>
      <c r="N2602" s="15" t="s">
        <v>521</v>
      </c>
      <c r="O2602" s="6" t="s">
        <v>4568</v>
      </c>
      <c r="P2602" s="58" t="s">
        <v>245</v>
      </c>
      <c r="Q2602" s="6" t="s">
        <v>246</v>
      </c>
      <c r="R2602" s="4">
        <v>0</v>
      </c>
      <c r="S2602" s="74">
        <v>1150</v>
      </c>
      <c r="T2602" s="4">
        <f>R2602*S2602</f>
        <v>0</v>
      </c>
      <c r="U2602" s="4">
        <f t="shared" si="70"/>
        <v>0</v>
      </c>
      <c r="V2602" s="3"/>
      <c r="W2602" s="3">
        <v>2014</v>
      </c>
      <c r="X2602" s="3" t="s">
        <v>12076</v>
      </c>
    </row>
    <row r="2603" spans="1:24" ht="89.25">
      <c r="A2603" s="3" t="s">
        <v>1488</v>
      </c>
      <c r="B2603" s="6" t="s">
        <v>361</v>
      </c>
      <c r="C2603" s="6" t="s">
        <v>4465</v>
      </c>
      <c r="D2603" s="102" t="s">
        <v>640</v>
      </c>
      <c r="E2603" s="103" t="s">
        <v>4466</v>
      </c>
      <c r="F2603" s="6" t="s">
        <v>4773</v>
      </c>
      <c r="G2603" s="3" t="s">
        <v>11450</v>
      </c>
      <c r="H2603" s="54">
        <v>0</v>
      </c>
      <c r="I2603" s="55">
        <v>470000000</v>
      </c>
      <c r="J2603" s="56" t="s">
        <v>229</v>
      </c>
      <c r="K2603" s="6" t="s">
        <v>519</v>
      </c>
      <c r="L2603" s="16" t="s">
        <v>4570</v>
      </c>
      <c r="M2603" s="162" t="s">
        <v>230</v>
      </c>
      <c r="N2603" s="15" t="s">
        <v>521</v>
      </c>
      <c r="O2603" s="6" t="s">
        <v>4568</v>
      </c>
      <c r="P2603" s="58" t="s">
        <v>241</v>
      </c>
      <c r="Q2603" s="6" t="s">
        <v>234</v>
      </c>
      <c r="R2603" s="3">
        <v>10000</v>
      </c>
      <c r="S2603" s="1">
        <v>5</v>
      </c>
      <c r="T2603" s="4">
        <v>0</v>
      </c>
      <c r="U2603" s="4">
        <f t="shared" si="70"/>
        <v>0</v>
      </c>
      <c r="V2603" s="166" t="s">
        <v>362</v>
      </c>
      <c r="W2603" s="3">
        <v>2014</v>
      </c>
      <c r="X2603" s="3">
        <v>12.22</v>
      </c>
    </row>
    <row r="2604" spans="1:24" ht="89.25">
      <c r="A2604" s="3" t="s">
        <v>12578</v>
      </c>
      <c r="B2604" s="6" t="s">
        <v>361</v>
      </c>
      <c r="C2604" s="6" t="s">
        <v>4465</v>
      </c>
      <c r="D2604" s="102" t="s">
        <v>640</v>
      </c>
      <c r="E2604" s="103" t="s">
        <v>4466</v>
      </c>
      <c r="F2604" s="6" t="s">
        <v>4773</v>
      </c>
      <c r="G2604" s="3" t="s">
        <v>11450</v>
      </c>
      <c r="H2604" s="54">
        <v>0</v>
      </c>
      <c r="I2604" s="55">
        <v>470000000</v>
      </c>
      <c r="J2604" s="56" t="s">
        <v>229</v>
      </c>
      <c r="K2604" s="6" t="s">
        <v>519</v>
      </c>
      <c r="L2604" s="17" t="s">
        <v>11411</v>
      </c>
      <c r="M2604" s="162" t="s">
        <v>230</v>
      </c>
      <c r="N2604" s="15" t="s">
        <v>521</v>
      </c>
      <c r="O2604" s="6" t="s">
        <v>4568</v>
      </c>
      <c r="P2604" s="58" t="s">
        <v>241</v>
      </c>
      <c r="Q2604" s="6" t="s">
        <v>234</v>
      </c>
      <c r="R2604" s="3">
        <v>10000</v>
      </c>
      <c r="S2604" s="1">
        <v>5</v>
      </c>
      <c r="T2604" s="4">
        <v>0</v>
      </c>
      <c r="U2604" s="4">
        <f t="shared" si="70"/>
        <v>0</v>
      </c>
      <c r="V2604" s="166"/>
      <c r="W2604" s="3">
        <v>2014</v>
      </c>
      <c r="X2604" s="3">
        <v>11</v>
      </c>
    </row>
    <row r="2605" spans="1:24" ht="89.25">
      <c r="A2605" s="3" t="s">
        <v>15675</v>
      </c>
      <c r="B2605" s="6" t="s">
        <v>361</v>
      </c>
      <c r="C2605" s="6" t="s">
        <v>4465</v>
      </c>
      <c r="D2605" s="102" t="s">
        <v>640</v>
      </c>
      <c r="E2605" s="103" t="s">
        <v>4466</v>
      </c>
      <c r="F2605" s="6" t="s">
        <v>4773</v>
      </c>
      <c r="G2605" s="3" t="s">
        <v>11450</v>
      </c>
      <c r="H2605" s="54">
        <v>0</v>
      </c>
      <c r="I2605" s="55">
        <v>470000000</v>
      </c>
      <c r="J2605" s="56" t="s">
        <v>229</v>
      </c>
      <c r="K2605" s="6" t="s">
        <v>222</v>
      </c>
      <c r="L2605" s="17" t="s">
        <v>11411</v>
      </c>
      <c r="M2605" s="162" t="s">
        <v>230</v>
      </c>
      <c r="N2605" s="15" t="s">
        <v>521</v>
      </c>
      <c r="O2605" s="6" t="s">
        <v>4568</v>
      </c>
      <c r="P2605" s="58" t="s">
        <v>241</v>
      </c>
      <c r="Q2605" s="6" t="s">
        <v>234</v>
      </c>
      <c r="R2605" s="3">
        <v>10000</v>
      </c>
      <c r="S2605" s="1">
        <v>5</v>
      </c>
      <c r="T2605" s="4">
        <v>0</v>
      </c>
      <c r="U2605" s="4">
        <f t="shared" si="70"/>
        <v>0</v>
      </c>
      <c r="V2605" s="166"/>
      <c r="W2605" s="3">
        <v>2014</v>
      </c>
      <c r="X2605" s="3">
        <v>14</v>
      </c>
    </row>
    <row r="2606" spans="1:24" ht="89.25">
      <c r="A2606" s="3" t="s">
        <v>17628</v>
      </c>
      <c r="B2606" s="6" t="s">
        <v>361</v>
      </c>
      <c r="C2606" s="6" t="s">
        <v>4465</v>
      </c>
      <c r="D2606" s="102" t="s">
        <v>640</v>
      </c>
      <c r="E2606" s="103" t="s">
        <v>4466</v>
      </c>
      <c r="F2606" s="6" t="s">
        <v>4773</v>
      </c>
      <c r="G2606" s="3" t="s">
        <v>11450</v>
      </c>
      <c r="H2606" s="54">
        <v>0</v>
      </c>
      <c r="I2606" s="55">
        <v>470000000</v>
      </c>
      <c r="J2606" s="56" t="s">
        <v>229</v>
      </c>
      <c r="K2606" s="6" t="s">
        <v>222</v>
      </c>
      <c r="L2606" s="17" t="s">
        <v>11411</v>
      </c>
      <c r="M2606" s="162" t="s">
        <v>230</v>
      </c>
      <c r="N2606" s="15" t="s">
        <v>17491</v>
      </c>
      <c r="O2606" s="6" t="s">
        <v>4568</v>
      </c>
      <c r="P2606" s="58" t="s">
        <v>241</v>
      </c>
      <c r="Q2606" s="6" t="s">
        <v>234</v>
      </c>
      <c r="R2606" s="3">
        <v>10000</v>
      </c>
      <c r="S2606" s="1">
        <v>5</v>
      </c>
      <c r="T2606" s="4">
        <f>R2606*S2606</f>
        <v>50000</v>
      </c>
      <c r="U2606" s="4">
        <f t="shared" si="70"/>
        <v>56000.000000000007</v>
      </c>
      <c r="V2606" s="166"/>
      <c r="W2606" s="3">
        <v>2014</v>
      </c>
      <c r="X2606" s="3"/>
    </row>
    <row r="2607" spans="1:24" ht="89.25">
      <c r="A2607" s="3" t="s">
        <v>1489</v>
      </c>
      <c r="B2607" s="6" t="s">
        <v>361</v>
      </c>
      <c r="C2607" s="6" t="s">
        <v>4465</v>
      </c>
      <c r="D2607" s="102" t="s">
        <v>640</v>
      </c>
      <c r="E2607" s="103" t="s">
        <v>4466</v>
      </c>
      <c r="F2607" s="6" t="s">
        <v>4774</v>
      </c>
      <c r="G2607" s="3" t="s">
        <v>11450</v>
      </c>
      <c r="H2607" s="54">
        <v>0</v>
      </c>
      <c r="I2607" s="16">
        <v>470000000</v>
      </c>
      <c r="J2607" s="56" t="s">
        <v>229</v>
      </c>
      <c r="K2607" s="6" t="s">
        <v>519</v>
      </c>
      <c r="L2607" s="16" t="s">
        <v>4567</v>
      </c>
      <c r="M2607" s="162" t="s">
        <v>230</v>
      </c>
      <c r="N2607" s="15" t="s">
        <v>521</v>
      </c>
      <c r="O2607" s="6" t="s">
        <v>4568</v>
      </c>
      <c r="P2607" s="58" t="s">
        <v>241</v>
      </c>
      <c r="Q2607" s="6" t="s">
        <v>234</v>
      </c>
      <c r="R2607" s="4">
        <v>10000</v>
      </c>
      <c r="S2607" s="74">
        <v>6</v>
      </c>
      <c r="T2607" s="4">
        <v>0</v>
      </c>
      <c r="U2607" s="4">
        <f t="shared" ref="U2607:U2849" si="71">T2607*1.12</f>
        <v>0</v>
      </c>
      <c r="V2607" s="3" t="s">
        <v>362</v>
      </c>
      <c r="W2607" s="3">
        <v>2014</v>
      </c>
      <c r="X2607" s="3">
        <v>12.22</v>
      </c>
    </row>
    <row r="2608" spans="1:24" ht="89.25">
      <c r="A2608" s="3" t="s">
        <v>12579</v>
      </c>
      <c r="B2608" s="6" t="s">
        <v>361</v>
      </c>
      <c r="C2608" s="6" t="s">
        <v>4465</v>
      </c>
      <c r="D2608" s="102" t="s">
        <v>640</v>
      </c>
      <c r="E2608" s="103" t="s">
        <v>4466</v>
      </c>
      <c r="F2608" s="6" t="s">
        <v>4774</v>
      </c>
      <c r="G2608" s="3" t="s">
        <v>11450</v>
      </c>
      <c r="H2608" s="54">
        <v>0</v>
      </c>
      <c r="I2608" s="16">
        <v>470000000</v>
      </c>
      <c r="J2608" s="56" t="s">
        <v>229</v>
      </c>
      <c r="K2608" s="6" t="s">
        <v>519</v>
      </c>
      <c r="L2608" s="17" t="s">
        <v>11411</v>
      </c>
      <c r="M2608" s="162" t="s">
        <v>230</v>
      </c>
      <c r="N2608" s="15" t="s">
        <v>521</v>
      </c>
      <c r="O2608" s="6" t="s">
        <v>4568</v>
      </c>
      <c r="P2608" s="58" t="s">
        <v>241</v>
      </c>
      <c r="Q2608" s="6" t="s">
        <v>234</v>
      </c>
      <c r="R2608" s="4">
        <v>10000</v>
      </c>
      <c r="S2608" s="74">
        <v>6</v>
      </c>
      <c r="T2608" s="4">
        <v>0</v>
      </c>
      <c r="U2608" s="4">
        <f t="shared" si="71"/>
        <v>0</v>
      </c>
      <c r="V2608" s="3"/>
      <c r="W2608" s="3">
        <v>2014</v>
      </c>
      <c r="X2608" s="3">
        <v>11</v>
      </c>
    </row>
    <row r="2609" spans="1:24" ht="89.25">
      <c r="A2609" s="3" t="s">
        <v>15676</v>
      </c>
      <c r="B2609" s="6" t="s">
        <v>361</v>
      </c>
      <c r="C2609" s="6" t="s">
        <v>4465</v>
      </c>
      <c r="D2609" s="102" t="s">
        <v>640</v>
      </c>
      <c r="E2609" s="103" t="s">
        <v>4466</v>
      </c>
      <c r="F2609" s="6" t="s">
        <v>4774</v>
      </c>
      <c r="G2609" s="3" t="s">
        <v>11450</v>
      </c>
      <c r="H2609" s="54">
        <v>0</v>
      </c>
      <c r="I2609" s="16">
        <v>470000000</v>
      </c>
      <c r="J2609" s="56" t="s">
        <v>229</v>
      </c>
      <c r="K2609" s="6" t="s">
        <v>222</v>
      </c>
      <c r="L2609" s="17" t="s">
        <v>11411</v>
      </c>
      <c r="M2609" s="162" t="s">
        <v>230</v>
      </c>
      <c r="N2609" s="15" t="s">
        <v>521</v>
      </c>
      <c r="O2609" s="6" t="s">
        <v>4568</v>
      </c>
      <c r="P2609" s="58" t="s">
        <v>241</v>
      </c>
      <c r="Q2609" s="6" t="s">
        <v>234</v>
      </c>
      <c r="R2609" s="4">
        <v>10000</v>
      </c>
      <c r="S2609" s="74">
        <v>6</v>
      </c>
      <c r="T2609" s="4">
        <v>0</v>
      </c>
      <c r="U2609" s="4">
        <f t="shared" si="71"/>
        <v>0</v>
      </c>
      <c r="V2609" s="3"/>
      <c r="W2609" s="3">
        <v>2014</v>
      </c>
      <c r="X2609" s="3">
        <v>14</v>
      </c>
    </row>
    <row r="2610" spans="1:24" ht="89.25">
      <c r="A2610" s="3" t="s">
        <v>17629</v>
      </c>
      <c r="B2610" s="6" t="s">
        <v>361</v>
      </c>
      <c r="C2610" s="6" t="s">
        <v>4465</v>
      </c>
      <c r="D2610" s="102" t="s">
        <v>640</v>
      </c>
      <c r="E2610" s="103" t="s">
        <v>4466</v>
      </c>
      <c r="F2610" s="6" t="s">
        <v>4774</v>
      </c>
      <c r="G2610" s="3" t="s">
        <v>11450</v>
      </c>
      <c r="H2610" s="54">
        <v>0</v>
      </c>
      <c r="I2610" s="16">
        <v>470000000</v>
      </c>
      <c r="J2610" s="56" t="s">
        <v>229</v>
      </c>
      <c r="K2610" s="6" t="s">
        <v>222</v>
      </c>
      <c r="L2610" s="17" t="s">
        <v>11411</v>
      </c>
      <c r="M2610" s="162" t="s">
        <v>230</v>
      </c>
      <c r="N2610" s="15" t="s">
        <v>17491</v>
      </c>
      <c r="O2610" s="6" t="s">
        <v>4568</v>
      </c>
      <c r="P2610" s="58" t="s">
        <v>241</v>
      </c>
      <c r="Q2610" s="6" t="s">
        <v>234</v>
      </c>
      <c r="R2610" s="4">
        <v>10000</v>
      </c>
      <c r="S2610" s="74">
        <v>6</v>
      </c>
      <c r="T2610" s="4">
        <f>R2610*S2610</f>
        <v>60000</v>
      </c>
      <c r="U2610" s="4">
        <f t="shared" si="71"/>
        <v>67200</v>
      </c>
      <c r="V2610" s="3"/>
      <c r="W2610" s="3">
        <v>2014</v>
      </c>
      <c r="X2610" s="3"/>
    </row>
    <row r="2611" spans="1:24" ht="89.25">
      <c r="A2611" s="3" t="s">
        <v>1490</v>
      </c>
      <c r="B2611" s="6" t="s">
        <v>361</v>
      </c>
      <c r="C2611" s="6" t="s">
        <v>4465</v>
      </c>
      <c r="D2611" s="102" t="s">
        <v>640</v>
      </c>
      <c r="E2611" s="103" t="s">
        <v>4466</v>
      </c>
      <c r="F2611" s="6" t="s">
        <v>4775</v>
      </c>
      <c r="G2611" s="3" t="s">
        <v>11450</v>
      </c>
      <c r="H2611" s="54">
        <v>0</v>
      </c>
      <c r="I2611" s="55">
        <v>470000000</v>
      </c>
      <c r="J2611" s="56" t="s">
        <v>229</v>
      </c>
      <c r="K2611" s="6" t="s">
        <v>519</v>
      </c>
      <c r="L2611" s="16" t="s">
        <v>4570</v>
      </c>
      <c r="M2611" s="162" t="s">
        <v>230</v>
      </c>
      <c r="N2611" s="15" t="s">
        <v>521</v>
      </c>
      <c r="O2611" s="6" t="s">
        <v>4568</v>
      </c>
      <c r="P2611" s="58" t="s">
        <v>241</v>
      </c>
      <c r="Q2611" s="6" t="s">
        <v>234</v>
      </c>
      <c r="R2611" s="3">
        <v>10000</v>
      </c>
      <c r="S2611" s="1">
        <v>7</v>
      </c>
      <c r="T2611" s="4">
        <v>0</v>
      </c>
      <c r="U2611" s="4">
        <f t="shared" si="71"/>
        <v>0</v>
      </c>
      <c r="V2611" s="166" t="s">
        <v>362</v>
      </c>
      <c r="W2611" s="3">
        <v>2014</v>
      </c>
      <c r="X2611" s="3">
        <v>12.22</v>
      </c>
    </row>
    <row r="2612" spans="1:24" ht="89.25">
      <c r="A2612" s="3" t="s">
        <v>12580</v>
      </c>
      <c r="B2612" s="6" t="s">
        <v>361</v>
      </c>
      <c r="C2612" s="6" t="s">
        <v>4465</v>
      </c>
      <c r="D2612" s="102" t="s">
        <v>640</v>
      </c>
      <c r="E2612" s="103" t="s">
        <v>4466</v>
      </c>
      <c r="F2612" s="6" t="s">
        <v>4775</v>
      </c>
      <c r="G2612" s="3" t="s">
        <v>11450</v>
      </c>
      <c r="H2612" s="54">
        <v>0</v>
      </c>
      <c r="I2612" s="55">
        <v>470000000</v>
      </c>
      <c r="J2612" s="56" t="s">
        <v>229</v>
      </c>
      <c r="K2612" s="6" t="s">
        <v>519</v>
      </c>
      <c r="L2612" s="17" t="s">
        <v>11411</v>
      </c>
      <c r="M2612" s="162" t="s">
        <v>230</v>
      </c>
      <c r="N2612" s="15" t="s">
        <v>521</v>
      </c>
      <c r="O2612" s="6" t="s">
        <v>4568</v>
      </c>
      <c r="P2612" s="58" t="s">
        <v>241</v>
      </c>
      <c r="Q2612" s="6" t="s">
        <v>234</v>
      </c>
      <c r="R2612" s="3">
        <v>10000</v>
      </c>
      <c r="S2612" s="1">
        <v>7</v>
      </c>
      <c r="T2612" s="4">
        <v>0</v>
      </c>
      <c r="U2612" s="4">
        <f t="shared" si="71"/>
        <v>0</v>
      </c>
      <c r="V2612" s="166"/>
      <c r="W2612" s="3">
        <v>2014</v>
      </c>
      <c r="X2612" s="3">
        <v>11</v>
      </c>
    </row>
    <row r="2613" spans="1:24" ht="89.25">
      <c r="A2613" s="3" t="s">
        <v>15677</v>
      </c>
      <c r="B2613" s="6" t="s">
        <v>361</v>
      </c>
      <c r="C2613" s="6" t="s">
        <v>4465</v>
      </c>
      <c r="D2613" s="102" t="s">
        <v>640</v>
      </c>
      <c r="E2613" s="103" t="s">
        <v>4466</v>
      </c>
      <c r="F2613" s="6" t="s">
        <v>4775</v>
      </c>
      <c r="G2613" s="3" t="s">
        <v>11450</v>
      </c>
      <c r="H2613" s="54">
        <v>0</v>
      </c>
      <c r="I2613" s="55">
        <v>470000000</v>
      </c>
      <c r="J2613" s="56" t="s">
        <v>229</v>
      </c>
      <c r="K2613" s="6" t="s">
        <v>222</v>
      </c>
      <c r="L2613" s="17" t="s">
        <v>11411</v>
      </c>
      <c r="M2613" s="162" t="s">
        <v>230</v>
      </c>
      <c r="N2613" s="15" t="s">
        <v>521</v>
      </c>
      <c r="O2613" s="6" t="s">
        <v>4568</v>
      </c>
      <c r="P2613" s="58" t="s">
        <v>241</v>
      </c>
      <c r="Q2613" s="6" t="s">
        <v>234</v>
      </c>
      <c r="R2613" s="3">
        <v>10000</v>
      </c>
      <c r="S2613" s="1">
        <v>7</v>
      </c>
      <c r="T2613" s="4">
        <v>0</v>
      </c>
      <c r="U2613" s="4">
        <f t="shared" si="71"/>
        <v>0</v>
      </c>
      <c r="V2613" s="166"/>
      <c r="W2613" s="3">
        <v>2014</v>
      </c>
      <c r="X2613" s="3">
        <v>14</v>
      </c>
    </row>
    <row r="2614" spans="1:24" ht="89.25">
      <c r="A2614" s="3" t="s">
        <v>17630</v>
      </c>
      <c r="B2614" s="6" t="s">
        <v>361</v>
      </c>
      <c r="C2614" s="6" t="s">
        <v>4465</v>
      </c>
      <c r="D2614" s="102" t="s">
        <v>640</v>
      </c>
      <c r="E2614" s="103" t="s">
        <v>4466</v>
      </c>
      <c r="F2614" s="6" t="s">
        <v>4775</v>
      </c>
      <c r="G2614" s="3" t="s">
        <v>11450</v>
      </c>
      <c r="H2614" s="54">
        <v>0</v>
      </c>
      <c r="I2614" s="55">
        <v>470000000</v>
      </c>
      <c r="J2614" s="56" t="s">
        <v>229</v>
      </c>
      <c r="K2614" s="6" t="s">
        <v>222</v>
      </c>
      <c r="L2614" s="17" t="s">
        <v>11411</v>
      </c>
      <c r="M2614" s="162" t="s">
        <v>230</v>
      </c>
      <c r="N2614" s="15" t="s">
        <v>17491</v>
      </c>
      <c r="O2614" s="6" t="s">
        <v>4568</v>
      </c>
      <c r="P2614" s="58" t="s">
        <v>241</v>
      </c>
      <c r="Q2614" s="6" t="s">
        <v>234</v>
      </c>
      <c r="R2614" s="3">
        <v>10000</v>
      </c>
      <c r="S2614" s="1">
        <v>7</v>
      </c>
      <c r="T2614" s="4">
        <f>R2614*S2614</f>
        <v>70000</v>
      </c>
      <c r="U2614" s="4">
        <f t="shared" si="71"/>
        <v>78400.000000000015</v>
      </c>
      <c r="V2614" s="166"/>
      <c r="W2614" s="3">
        <v>2014</v>
      </c>
      <c r="X2614" s="3"/>
    </row>
    <row r="2615" spans="1:24" ht="89.25">
      <c r="A2615" s="3" t="s">
        <v>1491</v>
      </c>
      <c r="B2615" s="6" t="s">
        <v>361</v>
      </c>
      <c r="C2615" s="6" t="s">
        <v>4465</v>
      </c>
      <c r="D2615" s="102" t="s">
        <v>640</v>
      </c>
      <c r="E2615" s="103" t="s">
        <v>4466</v>
      </c>
      <c r="F2615" s="6" t="s">
        <v>4776</v>
      </c>
      <c r="G2615" s="3" t="s">
        <v>11450</v>
      </c>
      <c r="H2615" s="54">
        <v>0</v>
      </c>
      <c r="I2615" s="16">
        <v>470000000</v>
      </c>
      <c r="J2615" s="56" t="s">
        <v>229</v>
      </c>
      <c r="K2615" s="6" t="s">
        <v>519</v>
      </c>
      <c r="L2615" s="16" t="s">
        <v>4567</v>
      </c>
      <c r="M2615" s="162" t="s">
        <v>230</v>
      </c>
      <c r="N2615" s="15" t="s">
        <v>521</v>
      </c>
      <c r="O2615" s="6" t="s">
        <v>4568</v>
      </c>
      <c r="P2615" s="58" t="s">
        <v>241</v>
      </c>
      <c r="Q2615" s="6" t="s">
        <v>234</v>
      </c>
      <c r="R2615" s="4">
        <v>10000</v>
      </c>
      <c r="S2615" s="74">
        <v>5</v>
      </c>
      <c r="T2615" s="4">
        <v>0</v>
      </c>
      <c r="U2615" s="4">
        <f t="shared" si="71"/>
        <v>0</v>
      </c>
      <c r="V2615" s="3" t="s">
        <v>362</v>
      </c>
      <c r="W2615" s="3">
        <v>2014</v>
      </c>
      <c r="X2615" s="3">
        <v>12.22</v>
      </c>
    </row>
    <row r="2616" spans="1:24" ht="89.25">
      <c r="A2616" s="3" t="s">
        <v>12581</v>
      </c>
      <c r="B2616" s="6" t="s">
        <v>361</v>
      </c>
      <c r="C2616" s="6" t="s">
        <v>4465</v>
      </c>
      <c r="D2616" s="102" t="s">
        <v>640</v>
      </c>
      <c r="E2616" s="103" t="s">
        <v>4466</v>
      </c>
      <c r="F2616" s="6" t="s">
        <v>4776</v>
      </c>
      <c r="G2616" s="3" t="s">
        <v>11450</v>
      </c>
      <c r="H2616" s="54">
        <v>0</v>
      </c>
      <c r="I2616" s="16">
        <v>470000000</v>
      </c>
      <c r="J2616" s="56" t="s">
        <v>229</v>
      </c>
      <c r="K2616" s="6" t="s">
        <v>519</v>
      </c>
      <c r="L2616" s="17" t="s">
        <v>11411</v>
      </c>
      <c r="M2616" s="162" t="s">
        <v>230</v>
      </c>
      <c r="N2616" s="15" t="s">
        <v>521</v>
      </c>
      <c r="O2616" s="6" t="s">
        <v>4568</v>
      </c>
      <c r="P2616" s="58" t="s">
        <v>241</v>
      </c>
      <c r="Q2616" s="6" t="s">
        <v>234</v>
      </c>
      <c r="R2616" s="4">
        <v>10000</v>
      </c>
      <c r="S2616" s="74">
        <v>5</v>
      </c>
      <c r="T2616" s="4">
        <v>0</v>
      </c>
      <c r="U2616" s="4">
        <f t="shared" si="71"/>
        <v>0</v>
      </c>
      <c r="V2616" s="3"/>
      <c r="W2616" s="3">
        <v>2014</v>
      </c>
      <c r="X2616" s="3">
        <v>11</v>
      </c>
    </row>
    <row r="2617" spans="1:24" ht="89.25">
      <c r="A2617" s="3" t="s">
        <v>15678</v>
      </c>
      <c r="B2617" s="6" t="s">
        <v>361</v>
      </c>
      <c r="C2617" s="6" t="s">
        <v>4465</v>
      </c>
      <c r="D2617" s="102" t="s">
        <v>640</v>
      </c>
      <c r="E2617" s="103" t="s">
        <v>4466</v>
      </c>
      <c r="F2617" s="6" t="s">
        <v>4776</v>
      </c>
      <c r="G2617" s="3" t="s">
        <v>11450</v>
      </c>
      <c r="H2617" s="54">
        <v>0</v>
      </c>
      <c r="I2617" s="16">
        <v>470000000</v>
      </c>
      <c r="J2617" s="56" t="s">
        <v>229</v>
      </c>
      <c r="K2617" s="6" t="s">
        <v>222</v>
      </c>
      <c r="L2617" s="17" t="s">
        <v>11411</v>
      </c>
      <c r="M2617" s="162" t="s">
        <v>230</v>
      </c>
      <c r="N2617" s="15" t="s">
        <v>521</v>
      </c>
      <c r="O2617" s="6" t="s">
        <v>4568</v>
      </c>
      <c r="P2617" s="58" t="s">
        <v>241</v>
      </c>
      <c r="Q2617" s="6" t="s">
        <v>234</v>
      </c>
      <c r="R2617" s="4">
        <v>10000</v>
      </c>
      <c r="S2617" s="74">
        <v>5</v>
      </c>
      <c r="T2617" s="4">
        <v>0</v>
      </c>
      <c r="U2617" s="4">
        <f t="shared" si="71"/>
        <v>0</v>
      </c>
      <c r="V2617" s="3"/>
      <c r="W2617" s="3">
        <v>2014</v>
      </c>
      <c r="X2617" s="3">
        <v>14</v>
      </c>
    </row>
    <row r="2618" spans="1:24" ht="89.25">
      <c r="A2618" s="3" t="s">
        <v>17631</v>
      </c>
      <c r="B2618" s="6" t="s">
        <v>361</v>
      </c>
      <c r="C2618" s="6" t="s">
        <v>4465</v>
      </c>
      <c r="D2618" s="102" t="s">
        <v>640</v>
      </c>
      <c r="E2618" s="103" t="s">
        <v>4466</v>
      </c>
      <c r="F2618" s="6" t="s">
        <v>4776</v>
      </c>
      <c r="G2618" s="3" t="s">
        <v>11450</v>
      </c>
      <c r="H2618" s="54">
        <v>0</v>
      </c>
      <c r="I2618" s="16">
        <v>470000000</v>
      </c>
      <c r="J2618" s="56" t="s">
        <v>229</v>
      </c>
      <c r="K2618" s="6" t="s">
        <v>222</v>
      </c>
      <c r="L2618" s="17" t="s">
        <v>11411</v>
      </c>
      <c r="M2618" s="162" t="s">
        <v>230</v>
      </c>
      <c r="N2618" s="15" t="s">
        <v>17491</v>
      </c>
      <c r="O2618" s="6" t="s">
        <v>4568</v>
      </c>
      <c r="P2618" s="58" t="s">
        <v>241</v>
      </c>
      <c r="Q2618" s="6" t="s">
        <v>234</v>
      </c>
      <c r="R2618" s="4">
        <v>10000</v>
      </c>
      <c r="S2618" s="74">
        <v>5</v>
      </c>
      <c r="T2618" s="4">
        <f>R2618*S2618</f>
        <v>50000</v>
      </c>
      <c r="U2618" s="4">
        <f t="shared" si="71"/>
        <v>56000.000000000007</v>
      </c>
      <c r="V2618" s="3"/>
      <c r="W2618" s="3">
        <v>2014</v>
      </c>
      <c r="X2618" s="3"/>
    </row>
    <row r="2619" spans="1:24" ht="89.25">
      <c r="A2619" s="3" t="s">
        <v>1492</v>
      </c>
      <c r="B2619" s="6" t="s">
        <v>361</v>
      </c>
      <c r="C2619" s="6" t="s">
        <v>4465</v>
      </c>
      <c r="D2619" s="102" t="s">
        <v>640</v>
      </c>
      <c r="E2619" s="103" t="s">
        <v>4466</v>
      </c>
      <c r="F2619" s="6" t="s">
        <v>4777</v>
      </c>
      <c r="G2619" s="3" t="s">
        <v>11450</v>
      </c>
      <c r="H2619" s="54">
        <v>0</v>
      </c>
      <c r="I2619" s="55">
        <v>470000000</v>
      </c>
      <c r="J2619" s="56" t="s">
        <v>229</v>
      </c>
      <c r="K2619" s="6" t="s">
        <v>519</v>
      </c>
      <c r="L2619" s="16" t="s">
        <v>4570</v>
      </c>
      <c r="M2619" s="162" t="s">
        <v>230</v>
      </c>
      <c r="N2619" s="15" t="s">
        <v>521</v>
      </c>
      <c r="O2619" s="6" t="s">
        <v>4568</v>
      </c>
      <c r="P2619" s="58" t="s">
        <v>241</v>
      </c>
      <c r="Q2619" s="6" t="s">
        <v>234</v>
      </c>
      <c r="R2619" s="3">
        <v>10000</v>
      </c>
      <c r="S2619" s="1">
        <v>5</v>
      </c>
      <c r="T2619" s="4">
        <v>0</v>
      </c>
      <c r="U2619" s="4">
        <f t="shared" si="71"/>
        <v>0</v>
      </c>
      <c r="V2619" s="166" t="s">
        <v>362</v>
      </c>
      <c r="W2619" s="3">
        <v>2014</v>
      </c>
      <c r="X2619" s="3">
        <v>12.22</v>
      </c>
    </row>
    <row r="2620" spans="1:24" ht="89.25">
      <c r="A2620" s="3" t="s">
        <v>12582</v>
      </c>
      <c r="B2620" s="6" t="s">
        <v>361</v>
      </c>
      <c r="C2620" s="6" t="s">
        <v>4465</v>
      </c>
      <c r="D2620" s="102" t="s">
        <v>640</v>
      </c>
      <c r="E2620" s="103" t="s">
        <v>4466</v>
      </c>
      <c r="F2620" s="6" t="s">
        <v>4777</v>
      </c>
      <c r="G2620" s="3" t="s">
        <v>11450</v>
      </c>
      <c r="H2620" s="54">
        <v>0</v>
      </c>
      <c r="I2620" s="55">
        <v>470000000</v>
      </c>
      <c r="J2620" s="56" t="s">
        <v>229</v>
      </c>
      <c r="K2620" s="6" t="s">
        <v>519</v>
      </c>
      <c r="L2620" s="17" t="s">
        <v>11411</v>
      </c>
      <c r="M2620" s="162" t="s">
        <v>230</v>
      </c>
      <c r="N2620" s="15" t="s">
        <v>521</v>
      </c>
      <c r="O2620" s="6" t="s">
        <v>4568</v>
      </c>
      <c r="P2620" s="58" t="s">
        <v>241</v>
      </c>
      <c r="Q2620" s="6" t="s">
        <v>234</v>
      </c>
      <c r="R2620" s="3">
        <v>10000</v>
      </c>
      <c r="S2620" s="1">
        <v>5</v>
      </c>
      <c r="T2620" s="4">
        <v>0</v>
      </c>
      <c r="U2620" s="4">
        <f t="shared" si="71"/>
        <v>0</v>
      </c>
      <c r="V2620" s="166"/>
      <c r="W2620" s="3">
        <v>2014</v>
      </c>
      <c r="X2620" s="3">
        <v>11</v>
      </c>
    </row>
    <row r="2621" spans="1:24" ht="89.25">
      <c r="A2621" s="3" t="s">
        <v>15679</v>
      </c>
      <c r="B2621" s="6" t="s">
        <v>361</v>
      </c>
      <c r="C2621" s="6" t="s">
        <v>4465</v>
      </c>
      <c r="D2621" s="102" t="s">
        <v>640</v>
      </c>
      <c r="E2621" s="103" t="s">
        <v>4466</v>
      </c>
      <c r="F2621" s="6" t="s">
        <v>4777</v>
      </c>
      <c r="G2621" s="3" t="s">
        <v>11450</v>
      </c>
      <c r="H2621" s="54">
        <v>0</v>
      </c>
      <c r="I2621" s="55">
        <v>470000000</v>
      </c>
      <c r="J2621" s="56" t="s">
        <v>229</v>
      </c>
      <c r="K2621" s="6" t="s">
        <v>222</v>
      </c>
      <c r="L2621" s="17" t="s">
        <v>11411</v>
      </c>
      <c r="M2621" s="162" t="s">
        <v>230</v>
      </c>
      <c r="N2621" s="15" t="s">
        <v>521</v>
      </c>
      <c r="O2621" s="6" t="s">
        <v>4568</v>
      </c>
      <c r="P2621" s="58" t="s">
        <v>241</v>
      </c>
      <c r="Q2621" s="6" t="s">
        <v>234</v>
      </c>
      <c r="R2621" s="3">
        <v>10000</v>
      </c>
      <c r="S2621" s="1">
        <v>5</v>
      </c>
      <c r="T2621" s="4">
        <v>0</v>
      </c>
      <c r="U2621" s="4">
        <f t="shared" si="71"/>
        <v>0</v>
      </c>
      <c r="V2621" s="166"/>
      <c r="W2621" s="3">
        <v>2014</v>
      </c>
      <c r="X2621" s="3">
        <v>14</v>
      </c>
    </row>
    <row r="2622" spans="1:24" ht="89.25">
      <c r="A2622" s="3" t="s">
        <v>17632</v>
      </c>
      <c r="B2622" s="6" t="s">
        <v>361</v>
      </c>
      <c r="C2622" s="6" t="s">
        <v>4465</v>
      </c>
      <c r="D2622" s="102" t="s">
        <v>640</v>
      </c>
      <c r="E2622" s="103" t="s">
        <v>4466</v>
      </c>
      <c r="F2622" s="6" t="s">
        <v>4777</v>
      </c>
      <c r="G2622" s="3" t="s">
        <v>11450</v>
      </c>
      <c r="H2622" s="54">
        <v>0</v>
      </c>
      <c r="I2622" s="55">
        <v>470000000</v>
      </c>
      <c r="J2622" s="56" t="s">
        <v>229</v>
      </c>
      <c r="K2622" s="6" t="s">
        <v>222</v>
      </c>
      <c r="L2622" s="17" t="s">
        <v>11411</v>
      </c>
      <c r="M2622" s="162" t="s">
        <v>230</v>
      </c>
      <c r="N2622" s="15" t="s">
        <v>17491</v>
      </c>
      <c r="O2622" s="6" t="s">
        <v>4568</v>
      </c>
      <c r="P2622" s="58" t="s">
        <v>241</v>
      </c>
      <c r="Q2622" s="6" t="s">
        <v>234</v>
      </c>
      <c r="R2622" s="3">
        <v>10000</v>
      </c>
      <c r="S2622" s="1">
        <v>5</v>
      </c>
      <c r="T2622" s="4">
        <f>R2622*S2622</f>
        <v>50000</v>
      </c>
      <c r="U2622" s="4">
        <f t="shared" si="71"/>
        <v>56000.000000000007</v>
      </c>
      <c r="V2622" s="166"/>
      <c r="W2622" s="3">
        <v>2014</v>
      </c>
      <c r="X2622" s="3"/>
    </row>
    <row r="2623" spans="1:24" ht="89.25">
      <c r="A2623" s="3" t="s">
        <v>1493</v>
      </c>
      <c r="B2623" s="6" t="s">
        <v>361</v>
      </c>
      <c r="C2623" s="6" t="s">
        <v>4465</v>
      </c>
      <c r="D2623" s="102" t="s">
        <v>640</v>
      </c>
      <c r="E2623" s="103" t="s">
        <v>4466</v>
      </c>
      <c r="F2623" s="6" t="s">
        <v>4778</v>
      </c>
      <c r="G2623" s="3" t="s">
        <v>11450</v>
      </c>
      <c r="H2623" s="54">
        <v>0</v>
      </c>
      <c r="I2623" s="16">
        <v>470000000</v>
      </c>
      <c r="J2623" s="56" t="s">
        <v>229</v>
      </c>
      <c r="K2623" s="6" t="s">
        <v>519</v>
      </c>
      <c r="L2623" s="16" t="s">
        <v>4567</v>
      </c>
      <c r="M2623" s="162" t="s">
        <v>230</v>
      </c>
      <c r="N2623" s="15" t="s">
        <v>521</v>
      </c>
      <c r="O2623" s="6" t="s">
        <v>4568</v>
      </c>
      <c r="P2623" s="58" t="s">
        <v>241</v>
      </c>
      <c r="Q2623" s="6" t="s">
        <v>234</v>
      </c>
      <c r="R2623" s="4">
        <v>10000</v>
      </c>
      <c r="S2623" s="74">
        <v>6</v>
      </c>
      <c r="T2623" s="4">
        <v>0</v>
      </c>
      <c r="U2623" s="4">
        <f t="shared" si="71"/>
        <v>0</v>
      </c>
      <c r="V2623" s="3" t="s">
        <v>362</v>
      </c>
      <c r="W2623" s="3">
        <v>2014</v>
      </c>
      <c r="X2623" s="3">
        <v>12.22</v>
      </c>
    </row>
    <row r="2624" spans="1:24" ht="89.25">
      <c r="A2624" s="3" t="s">
        <v>12583</v>
      </c>
      <c r="B2624" s="6" t="s">
        <v>361</v>
      </c>
      <c r="C2624" s="6" t="s">
        <v>4465</v>
      </c>
      <c r="D2624" s="102" t="s">
        <v>640</v>
      </c>
      <c r="E2624" s="103" t="s">
        <v>4466</v>
      </c>
      <c r="F2624" s="6" t="s">
        <v>4778</v>
      </c>
      <c r="G2624" s="3" t="s">
        <v>11450</v>
      </c>
      <c r="H2624" s="54">
        <v>0</v>
      </c>
      <c r="I2624" s="16">
        <v>470000000</v>
      </c>
      <c r="J2624" s="56" t="s">
        <v>229</v>
      </c>
      <c r="K2624" s="6" t="s">
        <v>519</v>
      </c>
      <c r="L2624" s="17" t="s">
        <v>11411</v>
      </c>
      <c r="M2624" s="162" t="s">
        <v>230</v>
      </c>
      <c r="N2624" s="15" t="s">
        <v>521</v>
      </c>
      <c r="O2624" s="6" t="s">
        <v>4568</v>
      </c>
      <c r="P2624" s="58" t="s">
        <v>241</v>
      </c>
      <c r="Q2624" s="6" t="s">
        <v>234</v>
      </c>
      <c r="R2624" s="4">
        <v>10000</v>
      </c>
      <c r="S2624" s="74">
        <v>6</v>
      </c>
      <c r="T2624" s="4">
        <v>0</v>
      </c>
      <c r="U2624" s="4">
        <f t="shared" si="71"/>
        <v>0</v>
      </c>
      <c r="V2624" s="3"/>
      <c r="W2624" s="3">
        <v>2014</v>
      </c>
      <c r="X2624" s="3">
        <v>11</v>
      </c>
    </row>
    <row r="2625" spans="1:24" ht="89.25">
      <c r="A2625" s="3" t="s">
        <v>15680</v>
      </c>
      <c r="B2625" s="6" t="s">
        <v>361</v>
      </c>
      <c r="C2625" s="6" t="s">
        <v>4465</v>
      </c>
      <c r="D2625" s="102" t="s">
        <v>640</v>
      </c>
      <c r="E2625" s="103" t="s">
        <v>4466</v>
      </c>
      <c r="F2625" s="6" t="s">
        <v>4778</v>
      </c>
      <c r="G2625" s="3" t="s">
        <v>11450</v>
      </c>
      <c r="H2625" s="54">
        <v>0</v>
      </c>
      <c r="I2625" s="16">
        <v>470000000</v>
      </c>
      <c r="J2625" s="56" t="s">
        <v>229</v>
      </c>
      <c r="K2625" s="6" t="s">
        <v>222</v>
      </c>
      <c r="L2625" s="17" t="s">
        <v>11411</v>
      </c>
      <c r="M2625" s="162" t="s">
        <v>230</v>
      </c>
      <c r="N2625" s="15" t="s">
        <v>521</v>
      </c>
      <c r="O2625" s="6" t="s">
        <v>4568</v>
      </c>
      <c r="P2625" s="58" t="s">
        <v>241</v>
      </c>
      <c r="Q2625" s="6" t="s">
        <v>234</v>
      </c>
      <c r="R2625" s="4">
        <v>10000</v>
      </c>
      <c r="S2625" s="74">
        <v>6</v>
      </c>
      <c r="T2625" s="4">
        <v>0</v>
      </c>
      <c r="U2625" s="4">
        <f t="shared" si="71"/>
        <v>0</v>
      </c>
      <c r="V2625" s="3"/>
      <c r="W2625" s="3">
        <v>2014</v>
      </c>
      <c r="X2625" s="3">
        <v>14</v>
      </c>
    </row>
    <row r="2626" spans="1:24" ht="89.25">
      <c r="A2626" s="3" t="s">
        <v>17633</v>
      </c>
      <c r="B2626" s="6" t="s">
        <v>361</v>
      </c>
      <c r="C2626" s="6" t="s">
        <v>4465</v>
      </c>
      <c r="D2626" s="102" t="s">
        <v>640</v>
      </c>
      <c r="E2626" s="103" t="s">
        <v>4466</v>
      </c>
      <c r="F2626" s="6" t="s">
        <v>4778</v>
      </c>
      <c r="G2626" s="3" t="s">
        <v>11450</v>
      </c>
      <c r="H2626" s="54">
        <v>0</v>
      </c>
      <c r="I2626" s="16">
        <v>470000000</v>
      </c>
      <c r="J2626" s="56" t="s">
        <v>229</v>
      </c>
      <c r="K2626" s="6" t="s">
        <v>222</v>
      </c>
      <c r="L2626" s="17" t="s">
        <v>11411</v>
      </c>
      <c r="M2626" s="162" t="s">
        <v>230</v>
      </c>
      <c r="N2626" s="15" t="s">
        <v>17491</v>
      </c>
      <c r="O2626" s="6" t="s">
        <v>4568</v>
      </c>
      <c r="P2626" s="58" t="s">
        <v>241</v>
      </c>
      <c r="Q2626" s="6" t="s">
        <v>234</v>
      </c>
      <c r="R2626" s="4">
        <v>10000</v>
      </c>
      <c r="S2626" s="74">
        <v>6</v>
      </c>
      <c r="T2626" s="4">
        <f>R2626*S2626</f>
        <v>60000</v>
      </c>
      <c r="U2626" s="4">
        <f t="shared" si="71"/>
        <v>67200</v>
      </c>
      <c r="V2626" s="3"/>
      <c r="W2626" s="3">
        <v>2014</v>
      </c>
      <c r="X2626" s="3"/>
    </row>
    <row r="2627" spans="1:24" ht="89.25">
      <c r="A2627" s="3" t="s">
        <v>1494</v>
      </c>
      <c r="B2627" s="6" t="s">
        <v>361</v>
      </c>
      <c r="C2627" s="64" t="s">
        <v>4467</v>
      </c>
      <c r="D2627" s="6" t="s">
        <v>3697</v>
      </c>
      <c r="E2627" s="6" t="s">
        <v>4468</v>
      </c>
      <c r="F2627" s="6" t="s">
        <v>4779</v>
      </c>
      <c r="G2627" s="3" t="s">
        <v>11450</v>
      </c>
      <c r="H2627" s="54">
        <v>0</v>
      </c>
      <c r="I2627" s="55">
        <v>470000000</v>
      </c>
      <c r="J2627" s="56" t="s">
        <v>229</v>
      </c>
      <c r="K2627" s="6" t="s">
        <v>516</v>
      </c>
      <c r="L2627" s="16" t="s">
        <v>4570</v>
      </c>
      <c r="M2627" s="162" t="s">
        <v>230</v>
      </c>
      <c r="N2627" s="15" t="s">
        <v>521</v>
      </c>
      <c r="O2627" s="6" t="s">
        <v>4568</v>
      </c>
      <c r="P2627" s="58" t="s">
        <v>241</v>
      </c>
      <c r="Q2627" s="6" t="s">
        <v>234</v>
      </c>
      <c r="R2627" s="3">
        <v>9</v>
      </c>
      <c r="S2627" s="1">
        <v>16520</v>
      </c>
      <c r="T2627" s="4">
        <v>0</v>
      </c>
      <c r="U2627" s="4">
        <f t="shared" si="71"/>
        <v>0</v>
      </c>
      <c r="V2627" s="166" t="s">
        <v>362</v>
      </c>
      <c r="W2627" s="3">
        <v>2014</v>
      </c>
      <c r="X2627" s="3" t="s">
        <v>12037</v>
      </c>
    </row>
    <row r="2628" spans="1:24" ht="89.25">
      <c r="A2628" s="3" t="s">
        <v>12584</v>
      </c>
      <c r="B2628" s="6" t="s">
        <v>361</v>
      </c>
      <c r="C2628" s="64" t="s">
        <v>4467</v>
      </c>
      <c r="D2628" s="6" t="s">
        <v>3697</v>
      </c>
      <c r="E2628" s="6" t="s">
        <v>4468</v>
      </c>
      <c r="F2628" s="6" t="s">
        <v>4779</v>
      </c>
      <c r="G2628" s="3" t="s">
        <v>11450</v>
      </c>
      <c r="H2628" s="54">
        <v>0</v>
      </c>
      <c r="I2628" s="55">
        <v>470000000</v>
      </c>
      <c r="J2628" s="56" t="s">
        <v>229</v>
      </c>
      <c r="K2628" s="6" t="s">
        <v>519</v>
      </c>
      <c r="L2628" s="17" t="s">
        <v>11411</v>
      </c>
      <c r="M2628" s="162" t="s">
        <v>230</v>
      </c>
      <c r="N2628" s="15" t="s">
        <v>521</v>
      </c>
      <c r="O2628" s="6" t="s">
        <v>4568</v>
      </c>
      <c r="P2628" s="58" t="s">
        <v>241</v>
      </c>
      <c r="Q2628" s="6" t="s">
        <v>234</v>
      </c>
      <c r="R2628" s="3">
        <v>9</v>
      </c>
      <c r="S2628" s="1">
        <v>16520</v>
      </c>
      <c r="T2628" s="4">
        <v>0</v>
      </c>
      <c r="U2628" s="4">
        <f t="shared" si="71"/>
        <v>0</v>
      </c>
      <c r="V2628" s="166"/>
      <c r="W2628" s="3">
        <v>2014</v>
      </c>
      <c r="X2628" s="3">
        <v>11</v>
      </c>
    </row>
    <row r="2629" spans="1:24" ht="89.25">
      <c r="A2629" s="3" t="s">
        <v>15681</v>
      </c>
      <c r="B2629" s="6" t="s">
        <v>361</v>
      </c>
      <c r="C2629" s="64" t="s">
        <v>4467</v>
      </c>
      <c r="D2629" s="6" t="s">
        <v>3697</v>
      </c>
      <c r="E2629" s="6" t="s">
        <v>4468</v>
      </c>
      <c r="F2629" s="6" t="s">
        <v>4779</v>
      </c>
      <c r="G2629" s="3" t="s">
        <v>11450</v>
      </c>
      <c r="H2629" s="54">
        <v>0</v>
      </c>
      <c r="I2629" s="55">
        <v>470000000</v>
      </c>
      <c r="J2629" s="56" t="s">
        <v>229</v>
      </c>
      <c r="K2629" s="6" t="s">
        <v>222</v>
      </c>
      <c r="L2629" s="17" t="s">
        <v>11411</v>
      </c>
      <c r="M2629" s="162" t="s">
        <v>230</v>
      </c>
      <c r="N2629" s="15" t="s">
        <v>521</v>
      </c>
      <c r="O2629" s="6" t="s">
        <v>4568</v>
      </c>
      <c r="P2629" s="58" t="s">
        <v>241</v>
      </c>
      <c r="Q2629" s="6" t="s">
        <v>234</v>
      </c>
      <c r="R2629" s="3">
        <v>9</v>
      </c>
      <c r="S2629" s="1">
        <v>16520</v>
      </c>
      <c r="T2629" s="4">
        <v>0</v>
      </c>
      <c r="U2629" s="4">
        <f t="shared" si="71"/>
        <v>0</v>
      </c>
      <c r="V2629" s="166"/>
      <c r="W2629" s="3">
        <v>2014</v>
      </c>
      <c r="X2629" s="3">
        <v>14</v>
      </c>
    </row>
    <row r="2630" spans="1:24" ht="89.25">
      <c r="A2630" s="3" t="s">
        <v>17634</v>
      </c>
      <c r="B2630" s="6" t="s">
        <v>361</v>
      </c>
      <c r="C2630" s="64" t="s">
        <v>4467</v>
      </c>
      <c r="D2630" s="6" t="s">
        <v>3697</v>
      </c>
      <c r="E2630" s="6" t="s">
        <v>4468</v>
      </c>
      <c r="F2630" s="6" t="s">
        <v>4779</v>
      </c>
      <c r="G2630" s="3" t="s">
        <v>11450</v>
      </c>
      <c r="H2630" s="54">
        <v>0</v>
      </c>
      <c r="I2630" s="55">
        <v>470000000</v>
      </c>
      <c r="J2630" s="56" t="s">
        <v>229</v>
      </c>
      <c r="K2630" s="6" t="s">
        <v>222</v>
      </c>
      <c r="L2630" s="17" t="s">
        <v>11411</v>
      </c>
      <c r="M2630" s="162" t="s">
        <v>230</v>
      </c>
      <c r="N2630" s="15" t="s">
        <v>17491</v>
      </c>
      <c r="O2630" s="6" t="s">
        <v>4568</v>
      </c>
      <c r="P2630" s="58" t="s">
        <v>241</v>
      </c>
      <c r="Q2630" s="6" t="s">
        <v>234</v>
      </c>
      <c r="R2630" s="3">
        <v>9</v>
      </c>
      <c r="S2630" s="1">
        <v>16520</v>
      </c>
      <c r="T2630" s="4">
        <f>R2630*S2630</f>
        <v>148680</v>
      </c>
      <c r="U2630" s="4">
        <f t="shared" si="71"/>
        <v>166521.60000000001</v>
      </c>
      <c r="V2630" s="166"/>
      <c r="W2630" s="3">
        <v>2014</v>
      </c>
      <c r="X2630" s="3"/>
    </row>
    <row r="2631" spans="1:24" ht="89.25">
      <c r="A2631" s="3" t="s">
        <v>1495</v>
      </c>
      <c r="B2631" s="6" t="s">
        <v>361</v>
      </c>
      <c r="C2631" s="64" t="s">
        <v>4467</v>
      </c>
      <c r="D2631" s="6" t="s">
        <v>3697</v>
      </c>
      <c r="E2631" s="6" t="s">
        <v>4468</v>
      </c>
      <c r="F2631" s="6" t="s">
        <v>4780</v>
      </c>
      <c r="G2631" s="3" t="s">
        <v>11450</v>
      </c>
      <c r="H2631" s="54">
        <v>0</v>
      </c>
      <c r="I2631" s="16">
        <v>470000000</v>
      </c>
      <c r="J2631" s="56" t="s">
        <v>229</v>
      </c>
      <c r="K2631" s="6" t="s">
        <v>516</v>
      </c>
      <c r="L2631" s="16" t="s">
        <v>4567</v>
      </c>
      <c r="M2631" s="162" t="s">
        <v>230</v>
      </c>
      <c r="N2631" s="15" t="s">
        <v>521</v>
      </c>
      <c r="O2631" s="6" t="s">
        <v>4568</v>
      </c>
      <c r="P2631" s="58" t="s">
        <v>241</v>
      </c>
      <c r="Q2631" s="6" t="s">
        <v>234</v>
      </c>
      <c r="R2631" s="4">
        <v>1</v>
      </c>
      <c r="S2631" s="74">
        <v>20130</v>
      </c>
      <c r="T2631" s="4">
        <v>0</v>
      </c>
      <c r="U2631" s="4">
        <f t="shared" si="71"/>
        <v>0</v>
      </c>
      <c r="V2631" s="3" t="s">
        <v>362</v>
      </c>
      <c r="W2631" s="3">
        <v>2014</v>
      </c>
      <c r="X2631" s="3" t="s">
        <v>12037</v>
      </c>
    </row>
    <row r="2632" spans="1:24" ht="89.25">
      <c r="A2632" s="3" t="s">
        <v>12585</v>
      </c>
      <c r="B2632" s="6" t="s">
        <v>361</v>
      </c>
      <c r="C2632" s="64" t="s">
        <v>4467</v>
      </c>
      <c r="D2632" s="6" t="s">
        <v>3697</v>
      </c>
      <c r="E2632" s="6" t="s">
        <v>4468</v>
      </c>
      <c r="F2632" s="6" t="s">
        <v>4780</v>
      </c>
      <c r="G2632" s="3" t="s">
        <v>11450</v>
      </c>
      <c r="H2632" s="54">
        <v>0</v>
      </c>
      <c r="I2632" s="16">
        <v>470000000</v>
      </c>
      <c r="J2632" s="56" t="s">
        <v>229</v>
      </c>
      <c r="K2632" s="6" t="s">
        <v>519</v>
      </c>
      <c r="L2632" s="17" t="s">
        <v>11411</v>
      </c>
      <c r="M2632" s="162" t="s">
        <v>230</v>
      </c>
      <c r="N2632" s="15" t="s">
        <v>521</v>
      </c>
      <c r="O2632" s="6" t="s">
        <v>4568</v>
      </c>
      <c r="P2632" s="58" t="s">
        <v>241</v>
      </c>
      <c r="Q2632" s="6" t="s">
        <v>234</v>
      </c>
      <c r="R2632" s="4">
        <v>1</v>
      </c>
      <c r="S2632" s="74">
        <v>20130</v>
      </c>
      <c r="T2632" s="4">
        <v>0</v>
      </c>
      <c r="U2632" s="4">
        <f t="shared" si="71"/>
        <v>0</v>
      </c>
      <c r="V2632" s="3"/>
      <c r="W2632" s="3">
        <v>2014</v>
      </c>
      <c r="X2632" s="3">
        <v>11</v>
      </c>
    </row>
    <row r="2633" spans="1:24" ht="89.25">
      <c r="A2633" s="3" t="s">
        <v>15682</v>
      </c>
      <c r="B2633" s="6" t="s">
        <v>361</v>
      </c>
      <c r="C2633" s="64" t="s">
        <v>4467</v>
      </c>
      <c r="D2633" s="6" t="s">
        <v>3697</v>
      </c>
      <c r="E2633" s="6" t="s">
        <v>4468</v>
      </c>
      <c r="F2633" s="6" t="s">
        <v>4780</v>
      </c>
      <c r="G2633" s="3" t="s">
        <v>11450</v>
      </c>
      <c r="H2633" s="54">
        <v>0</v>
      </c>
      <c r="I2633" s="16">
        <v>470000000</v>
      </c>
      <c r="J2633" s="56" t="s">
        <v>229</v>
      </c>
      <c r="K2633" s="6" t="s">
        <v>222</v>
      </c>
      <c r="L2633" s="17" t="s">
        <v>11411</v>
      </c>
      <c r="M2633" s="162" t="s">
        <v>230</v>
      </c>
      <c r="N2633" s="15" t="s">
        <v>521</v>
      </c>
      <c r="O2633" s="6" t="s">
        <v>4568</v>
      </c>
      <c r="P2633" s="58" t="s">
        <v>241</v>
      </c>
      <c r="Q2633" s="6" t="s">
        <v>234</v>
      </c>
      <c r="R2633" s="4">
        <v>1</v>
      </c>
      <c r="S2633" s="74">
        <v>20130</v>
      </c>
      <c r="T2633" s="4">
        <v>0</v>
      </c>
      <c r="U2633" s="4">
        <f t="shared" si="71"/>
        <v>0</v>
      </c>
      <c r="V2633" s="3"/>
      <c r="W2633" s="3">
        <v>2014</v>
      </c>
      <c r="X2633" s="3">
        <v>14</v>
      </c>
    </row>
    <row r="2634" spans="1:24" ht="89.25">
      <c r="A2634" s="3" t="s">
        <v>17635</v>
      </c>
      <c r="B2634" s="6" t="s">
        <v>361</v>
      </c>
      <c r="C2634" s="64" t="s">
        <v>4467</v>
      </c>
      <c r="D2634" s="6" t="s">
        <v>3697</v>
      </c>
      <c r="E2634" s="6" t="s">
        <v>4468</v>
      </c>
      <c r="F2634" s="6" t="s">
        <v>4780</v>
      </c>
      <c r="G2634" s="3" t="s">
        <v>11450</v>
      </c>
      <c r="H2634" s="54">
        <v>0</v>
      </c>
      <c r="I2634" s="16">
        <v>470000000</v>
      </c>
      <c r="J2634" s="56" t="s">
        <v>229</v>
      </c>
      <c r="K2634" s="6" t="s">
        <v>222</v>
      </c>
      <c r="L2634" s="17" t="s">
        <v>11411</v>
      </c>
      <c r="M2634" s="162" t="s">
        <v>230</v>
      </c>
      <c r="N2634" s="15" t="s">
        <v>17491</v>
      </c>
      <c r="O2634" s="6" t="s">
        <v>4568</v>
      </c>
      <c r="P2634" s="58" t="s">
        <v>241</v>
      </c>
      <c r="Q2634" s="6" t="s">
        <v>234</v>
      </c>
      <c r="R2634" s="4">
        <v>1</v>
      </c>
      <c r="S2634" s="74">
        <v>20130</v>
      </c>
      <c r="T2634" s="4">
        <f>R2634*S2634</f>
        <v>20130</v>
      </c>
      <c r="U2634" s="4">
        <f t="shared" si="71"/>
        <v>22545.600000000002</v>
      </c>
      <c r="V2634" s="3"/>
      <c r="W2634" s="3">
        <v>2014</v>
      </c>
      <c r="X2634" s="3"/>
    </row>
    <row r="2635" spans="1:24" ht="89.25">
      <c r="A2635" s="3" t="s">
        <v>1496</v>
      </c>
      <c r="B2635" s="6" t="s">
        <v>361</v>
      </c>
      <c r="C2635" s="160" t="s">
        <v>4469</v>
      </c>
      <c r="D2635" s="160" t="s">
        <v>385</v>
      </c>
      <c r="E2635" s="160" t="s">
        <v>4470</v>
      </c>
      <c r="F2635" s="6" t="s">
        <v>4781</v>
      </c>
      <c r="G2635" s="3" t="s">
        <v>11450</v>
      </c>
      <c r="H2635" s="54">
        <v>0</v>
      </c>
      <c r="I2635" s="55">
        <v>470000000</v>
      </c>
      <c r="J2635" s="56" t="s">
        <v>229</v>
      </c>
      <c r="K2635" s="6" t="s">
        <v>516</v>
      </c>
      <c r="L2635" s="16" t="s">
        <v>4570</v>
      </c>
      <c r="M2635" s="162" t="s">
        <v>230</v>
      </c>
      <c r="N2635" s="15" t="s">
        <v>521</v>
      </c>
      <c r="O2635" s="6" t="s">
        <v>4568</v>
      </c>
      <c r="P2635" s="58" t="s">
        <v>241</v>
      </c>
      <c r="Q2635" s="6" t="s">
        <v>234</v>
      </c>
      <c r="R2635" s="3">
        <v>10</v>
      </c>
      <c r="S2635" s="1">
        <v>2590</v>
      </c>
      <c r="T2635" s="4">
        <v>0</v>
      </c>
      <c r="U2635" s="4">
        <f t="shared" si="71"/>
        <v>0</v>
      </c>
      <c r="V2635" s="166" t="s">
        <v>362</v>
      </c>
      <c r="W2635" s="3">
        <v>2014</v>
      </c>
      <c r="X2635" s="3" t="s">
        <v>12037</v>
      </c>
    </row>
    <row r="2636" spans="1:24" ht="89.25">
      <c r="A2636" s="3" t="s">
        <v>12586</v>
      </c>
      <c r="B2636" s="6" t="s">
        <v>361</v>
      </c>
      <c r="C2636" s="160" t="s">
        <v>4469</v>
      </c>
      <c r="D2636" s="160" t="s">
        <v>385</v>
      </c>
      <c r="E2636" s="160" t="s">
        <v>4470</v>
      </c>
      <c r="F2636" s="6" t="s">
        <v>4781</v>
      </c>
      <c r="G2636" s="3" t="s">
        <v>11450</v>
      </c>
      <c r="H2636" s="54">
        <v>0</v>
      </c>
      <c r="I2636" s="55">
        <v>470000000</v>
      </c>
      <c r="J2636" s="56" t="s">
        <v>229</v>
      </c>
      <c r="K2636" s="6" t="s">
        <v>519</v>
      </c>
      <c r="L2636" s="17" t="s">
        <v>11411</v>
      </c>
      <c r="M2636" s="162" t="s">
        <v>230</v>
      </c>
      <c r="N2636" s="15" t="s">
        <v>521</v>
      </c>
      <c r="O2636" s="6" t="s">
        <v>4568</v>
      </c>
      <c r="P2636" s="58" t="s">
        <v>241</v>
      </c>
      <c r="Q2636" s="6" t="s">
        <v>234</v>
      </c>
      <c r="R2636" s="3">
        <v>10</v>
      </c>
      <c r="S2636" s="1">
        <v>2590</v>
      </c>
      <c r="T2636" s="4">
        <v>0</v>
      </c>
      <c r="U2636" s="4">
        <f t="shared" si="71"/>
        <v>0</v>
      </c>
      <c r="V2636" s="166"/>
      <c r="W2636" s="3">
        <v>2014</v>
      </c>
      <c r="X2636" s="3">
        <v>11</v>
      </c>
    </row>
    <row r="2637" spans="1:24" ht="89.25">
      <c r="A2637" s="3" t="s">
        <v>15683</v>
      </c>
      <c r="B2637" s="6" t="s">
        <v>361</v>
      </c>
      <c r="C2637" s="160" t="s">
        <v>4469</v>
      </c>
      <c r="D2637" s="160" t="s">
        <v>385</v>
      </c>
      <c r="E2637" s="160" t="s">
        <v>4470</v>
      </c>
      <c r="F2637" s="6" t="s">
        <v>4781</v>
      </c>
      <c r="G2637" s="3" t="s">
        <v>11450</v>
      </c>
      <c r="H2637" s="54">
        <v>0</v>
      </c>
      <c r="I2637" s="55">
        <v>470000000</v>
      </c>
      <c r="J2637" s="56" t="s">
        <v>229</v>
      </c>
      <c r="K2637" s="6" t="s">
        <v>222</v>
      </c>
      <c r="L2637" s="17" t="s">
        <v>11411</v>
      </c>
      <c r="M2637" s="162" t="s">
        <v>230</v>
      </c>
      <c r="N2637" s="15" t="s">
        <v>521</v>
      </c>
      <c r="O2637" s="6" t="s">
        <v>4568</v>
      </c>
      <c r="P2637" s="58" t="s">
        <v>241</v>
      </c>
      <c r="Q2637" s="6" t="s">
        <v>234</v>
      </c>
      <c r="R2637" s="3">
        <v>10</v>
      </c>
      <c r="S2637" s="1">
        <v>2590</v>
      </c>
      <c r="T2637" s="4">
        <v>0</v>
      </c>
      <c r="U2637" s="4">
        <f t="shared" si="71"/>
        <v>0</v>
      </c>
      <c r="V2637" s="166"/>
      <c r="W2637" s="3">
        <v>2014</v>
      </c>
      <c r="X2637" s="3">
        <v>14</v>
      </c>
    </row>
    <row r="2638" spans="1:24" ht="89.25">
      <c r="A2638" s="3" t="s">
        <v>17636</v>
      </c>
      <c r="B2638" s="6" t="s">
        <v>361</v>
      </c>
      <c r="C2638" s="160" t="s">
        <v>4469</v>
      </c>
      <c r="D2638" s="160" t="s">
        <v>385</v>
      </c>
      <c r="E2638" s="160" t="s">
        <v>4470</v>
      </c>
      <c r="F2638" s="6" t="s">
        <v>4781</v>
      </c>
      <c r="G2638" s="3" t="s">
        <v>11450</v>
      </c>
      <c r="H2638" s="54">
        <v>0</v>
      </c>
      <c r="I2638" s="55">
        <v>470000000</v>
      </c>
      <c r="J2638" s="56" t="s">
        <v>229</v>
      </c>
      <c r="K2638" s="6" t="s">
        <v>222</v>
      </c>
      <c r="L2638" s="17" t="s">
        <v>11411</v>
      </c>
      <c r="M2638" s="162" t="s">
        <v>230</v>
      </c>
      <c r="N2638" s="15" t="s">
        <v>17491</v>
      </c>
      <c r="O2638" s="6" t="s">
        <v>4568</v>
      </c>
      <c r="P2638" s="58" t="s">
        <v>241</v>
      </c>
      <c r="Q2638" s="6" t="s">
        <v>234</v>
      </c>
      <c r="R2638" s="3">
        <v>10</v>
      </c>
      <c r="S2638" s="1">
        <v>2590</v>
      </c>
      <c r="T2638" s="4">
        <f>R2638*S2638</f>
        <v>25900</v>
      </c>
      <c r="U2638" s="4">
        <f t="shared" si="71"/>
        <v>29008.000000000004</v>
      </c>
      <c r="V2638" s="166"/>
      <c r="W2638" s="3">
        <v>2014</v>
      </c>
      <c r="X2638" s="3"/>
    </row>
    <row r="2639" spans="1:24" ht="89.25">
      <c r="A2639" s="3" t="s">
        <v>1497</v>
      </c>
      <c r="B2639" s="6" t="s">
        <v>361</v>
      </c>
      <c r="C2639" s="64" t="s">
        <v>4471</v>
      </c>
      <c r="D2639" s="6" t="s">
        <v>4472</v>
      </c>
      <c r="E2639" s="6" t="s">
        <v>4473</v>
      </c>
      <c r="F2639" s="6" t="s">
        <v>4782</v>
      </c>
      <c r="G2639" s="3" t="s">
        <v>11450</v>
      </c>
      <c r="H2639" s="54">
        <v>0</v>
      </c>
      <c r="I2639" s="16">
        <v>470000000</v>
      </c>
      <c r="J2639" s="56" t="s">
        <v>229</v>
      </c>
      <c r="K2639" s="6" t="s">
        <v>516</v>
      </c>
      <c r="L2639" s="16" t="s">
        <v>4567</v>
      </c>
      <c r="M2639" s="162" t="s">
        <v>230</v>
      </c>
      <c r="N2639" s="15" t="s">
        <v>521</v>
      </c>
      <c r="O2639" s="6" t="s">
        <v>4568</v>
      </c>
      <c r="P2639" s="58" t="s">
        <v>241</v>
      </c>
      <c r="Q2639" s="6" t="s">
        <v>234</v>
      </c>
      <c r="R2639" s="4">
        <v>2</v>
      </c>
      <c r="S2639" s="74">
        <v>16572</v>
      </c>
      <c r="T2639" s="4">
        <v>0</v>
      </c>
      <c r="U2639" s="4">
        <f t="shared" si="71"/>
        <v>0</v>
      </c>
      <c r="V2639" s="3" t="s">
        <v>362</v>
      </c>
      <c r="W2639" s="3">
        <v>2014</v>
      </c>
      <c r="X2639" s="3" t="s">
        <v>12037</v>
      </c>
    </row>
    <row r="2640" spans="1:24" ht="89.25">
      <c r="A2640" s="3" t="s">
        <v>12587</v>
      </c>
      <c r="B2640" s="6" t="s">
        <v>361</v>
      </c>
      <c r="C2640" s="64" t="s">
        <v>4471</v>
      </c>
      <c r="D2640" s="6" t="s">
        <v>4472</v>
      </c>
      <c r="E2640" s="6" t="s">
        <v>4473</v>
      </c>
      <c r="F2640" s="6" t="s">
        <v>4782</v>
      </c>
      <c r="G2640" s="3" t="s">
        <v>11450</v>
      </c>
      <c r="H2640" s="54">
        <v>0</v>
      </c>
      <c r="I2640" s="16">
        <v>470000000</v>
      </c>
      <c r="J2640" s="56" t="s">
        <v>229</v>
      </c>
      <c r="K2640" s="6" t="s">
        <v>519</v>
      </c>
      <c r="L2640" s="17" t="s">
        <v>11411</v>
      </c>
      <c r="M2640" s="162" t="s">
        <v>230</v>
      </c>
      <c r="N2640" s="15" t="s">
        <v>521</v>
      </c>
      <c r="O2640" s="6" t="s">
        <v>4568</v>
      </c>
      <c r="P2640" s="58" t="s">
        <v>241</v>
      </c>
      <c r="Q2640" s="6" t="s">
        <v>234</v>
      </c>
      <c r="R2640" s="4">
        <v>2</v>
      </c>
      <c r="S2640" s="74">
        <v>16572</v>
      </c>
      <c r="T2640" s="4">
        <v>0</v>
      </c>
      <c r="U2640" s="4">
        <f t="shared" si="71"/>
        <v>0</v>
      </c>
      <c r="V2640" s="3"/>
      <c r="W2640" s="3">
        <v>2014</v>
      </c>
      <c r="X2640" s="3">
        <v>11</v>
      </c>
    </row>
    <row r="2641" spans="1:24" ht="89.25">
      <c r="A2641" s="3" t="s">
        <v>15684</v>
      </c>
      <c r="B2641" s="6" t="s">
        <v>361</v>
      </c>
      <c r="C2641" s="64" t="s">
        <v>4471</v>
      </c>
      <c r="D2641" s="6" t="s">
        <v>4472</v>
      </c>
      <c r="E2641" s="6" t="s">
        <v>4473</v>
      </c>
      <c r="F2641" s="6" t="s">
        <v>4782</v>
      </c>
      <c r="G2641" s="3" t="s">
        <v>11450</v>
      </c>
      <c r="H2641" s="54">
        <v>0</v>
      </c>
      <c r="I2641" s="16">
        <v>470000000</v>
      </c>
      <c r="J2641" s="56" t="s">
        <v>229</v>
      </c>
      <c r="K2641" s="6" t="s">
        <v>222</v>
      </c>
      <c r="L2641" s="17" t="s">
        <v>11411</v>
      </c>
      <c r="M2641" s="162" t="s">
        <v>230</v>
      </c>
      <c r="N2641" s="15" t="s">
        <v>521</v>
      </c>
      <c r="O2641" s="6" t="s">
        <v>4568</v>
      </c>
      <c r="P2641" s="58" t="s">
        <v>241</v>
      </c>
      <c r="Q2641" s="6" t="s">
        <v>234</v>
      </c>
      <c r="R2641" s="4">
        <v>2</v>
      </c>
      <c r="S2641" s="74">
        <v>16572</v>
      </c>
      <c r="T2641" s="4">
        <v>0</v>
      </c>
      <c r="U2641" s="4">
        <f t="shared" si="71"/>
        <v>0</v>
      </c>
      <c r="V2641" s="3"/>
      <c r="W2641" s="3">
        <v>2014</v>
      </c>
      <c r="X2641" s="3">
        <v>14</v>
      </c>
    </row>
    <row r="2642" spans="1:24" ht="89.25">
      <c r="A2642" s="3" t="s">
        <v>17637</v>
      </c>
      <c r="B2642" s="6" t="s">
        <v>361</v>
      </c>
      <c r="C2642" s="64" t="s">
        <v>4471</v>
      </c>
      <c r="D2642" s="6" t="s">
        <v>4472</v>
      </c>
      <c r="E2642" s="6" t="s">
        <v>4473</v>
      </c>
      <c r="F2642" s="6" t="s">
        <v>4782</v>
      </c>
      <c r="G2642" s="3" t="s">
        <v>11450</v>
      </c>
      <c r="H2642" s="54">
        <v>0</v>
      </c>
      <c r="I2642" s="16">
        <v>470000000</v>
      </c>
      <c r="J2642" s="56" t="s">
        <v>229</v>
      </c>
      <c r="K2642" s="6" t="s">
        <v>222</v>
      </c>
      <c r="L2642" s="17" t="s">
        <v>11411</v>
      </c>
      <c r="M2642" s="162" t="s">
        <v>230</v>
      </c>
      <c r="N2642" s="15" t="s">
        <v>17491</v>
      </c>
      <c r="O2642" s="6" t="s">
        <v>4568</v>
      </c>
      <c r="P2642" s="58" t="s">
        <v>241</v>
      </c>
      <c r="Q2642" s="6" t="s">
        <v>234</v>
      </c>
      <c r="R2642" s="4">
        <v>2</v>
      </c>
      <c r="S2642" s="74">
        <v>16572</v>
      </c>
      <c r="T2642" s="4">
        <f>R2642*S2642</f>
        <v>33144</v>
      </c>
      <c r="U2642" s="4">
        <f t="shared" si="71"/>
        <v>37121.280000000006</v>
      </c>
      <c r="V2642" s="3"/>
      <c r="W2642" s="3">
        <v>2014</v>
      </c>
      <c r="X2642" s="3"/>
    </row>
    <row r="2643" spans="1:24" ht="89.25">
      <c r="A2643" s="3" t="s">
        <v>1498</v>
      </c>
      <c r="B2643" s="6" t="s">
        <v>361</v>
      </c>
      <c r="C2643" s="64" t="s">
        <v>4471</v>
      </c>
      <c r="D2643" s="6" t="s">
        <v>4472</v>
      </c>
      <c r="E2643" s="6" t="s">
        <v>4473</v>
      </c>
      <c r="F2643" s="6" t="s">
        <v>4783</v>
      </c>
      <c r="G2643" s="3" t="s">
        <v>11450</v>
      </c>
      <c r="H2643" s="54">
        <v>0</v>
      </c>
      <c r="I2643" s="55">
        <v>470000000</v>
      </c>
      <c r="J2643" s="56" t="s">
        <v>229</v>
      </c>
      <c r="K2643" s="6" t="s">
        <v>516</v>
      </c>
      <c r="L2643" s="16" t="s">
        <v>4570</v>
      </c>
      <c r="M2643" s="162" t="s">
        <v>230</v>
      </c>
      <c r="N2643" s="15" t="s">
        <v>521</v>
      </c>
      <c r="O2643" s="6" t="s">
        <v>4568</v>
      </c>
      <c r="P2643" s="58" t="s">
        <v>241</v>
      </c>
      <c r="Q2643" s="6" t="s">
        <v>234</v>
      </c>
      <c r="R2643" s="3">
        <v>1</v>
      </c>
      <c r="S2643" s="1">
        <v>16494</v>
      </c>
      <c r="T2643" s="4">
        <v>0</v>
      </c>
      <c r="U2643" s="4">
        <f t="shared" si="71"/>
        <v>0</v>
      </c>
      <c r="V2643" s="166" t="s">
        <v>362</v>
      </c>
      <c r="W2643" s="3">
        <v>2014</v>
      </c>
      <c r="X2643" s="3" t="s">
        <v>12037</v>
      </c>
    </row>
    <row r="2644" spans="1:24" ht="89.25">
      <c r="A2644" s="3" t="s">
        <v>12588</v>
      </c>
      <c r="B2644" s="6" t="s">
        <v>361</v>
      </c>
      <c r="C2644" s="64" t="s">
        <v>4471</v>
      </c>
      <c r="D2644" s="6" t="s">
        <v>4472</v>
      </c>
      <c r="E2644" s="6" t="s">
        <v>4473</v>
      </c>
      <c r="F2644" s="6" t="s">
        <v>4783</v>
      </c>
      <c r="G2644" s="3" t="s">
        <v>11450</v>
      </c>
      <c r="H2644" s="54">
        <v>0</v>
      </c>
      <c r="I2644" s="55">
        <v>470000000</v>
      </c>
      <c r="J2644" s="56" t="s">
        <v>229</v>
      </c>
      <c r="K2644" s="6" t="s">
        <v>519</v>
      </c>
      <c r="L2644" s="17" t="s">
        <v>11411</v>
      </c>
      <c r="M2644" s="162" t="s">
        <v>230</v>
      </c>
      <c r="N2644" s="15" t="s">
        <v>521</v>
      </c>
      <c r="O2644" s="6" t="s">
        <v>4568</v>
      </c>
      <c r="P2644" s="58" t="s">
        <v>241</v>
      </c>
      <c r="Q2644" s="6" t="s">
        <v>234</v>
      </c>
      <c r="R2644" s="3">
        <v>1</v>
      </c>
      <c r="S2644" s="1">
        <v>16494</v>
      </c>
      <c r="T2644" s="4">
        <v>0</v>
      </c>
      <c r="U2644" s="4">
        <f t="shared" si="71"/>
        <v>0</v>
      </c>
      <c r="V2644" s="166"/>
      <c r="W2644" s="3">
        <v>2014</v>
      </c>
      <c r="X2644" s="3">
        <v>11</v>
      </c>
    </row>
    <row r="2645" spans="1:24" ht="89.25">
      <c r="A2645" s="3" t="s">
        <v>15685</v>
      </c>
      <c r="B2645" s="6" t="s">
        <v>361</v>
      </c>
      <c r="C2645" s="64" t="s">
        <v>4471</v>
      </c>
      <c r="D2645" s="6" t="s">
        <v>4472</v>
      </c>
      <c r="E2645" s="6" t="s">
        <v>4473</v>
      </c>
      <c r="F2645" s="6" t="s">
        <v>4783</v>
      </c>
      <c r="G2645" s="3" t="s">
        <v>11450</v>
      </c>
      <c r="H2645" s="54">
        <v>0</v>
      </c>
      <c r="I2645" s="55">
        <v>470000000</v>
      </c>
      <c r="J2645" s="56" t="s">
        <v>229</v>
      </c>
      <c r="K2645" s="6" t="s">
        <v>222</v>
      </c>
      <c r="L2645" s="17" t="s">
        <v>11411</v>
      </c>
      <c r="M2645" s="162" t="s">
        <v>230</v>
      </c>
      <c r="N2645" s="15" t="s">
        <v>521</v>
      </c>
      <c r="O2645" s="6" t="s">
        <v>4568</v>
      </c>
      <c r="P2645" s="58" t="s">
        <v>241</v>
      </c>
      <c r="Q2645" s="6" t="s">
        <v>234</v>
      </c>
      <c r="R2645" s="3">
        <v>1</v>
      </c>
      <c r="S2645" s="1">
        <v>16494</v>
      </c>
      <c r="T2645" s="4">
        <v>0</v>
      </c>
      <c r="U2645" s="4">
        <f t="shared" si="71"/>
        <v>0</v>
      </c>
      <c r="V2645" s="166"/>
      <c r="W2645" s="3">
        <v>2014</v>
      </c>
      <c r="X2645" s="3">
        <v>14</v>
      </c>
    </row>
    <row r="2646" spans="1:24" ht="89.25">
      <c r="A2646" s="3" t="s">
        <v>17638</v>
      </c>
      <c r="B2646" s="6" t="s">
        <v>361</v>
      </c>
      <c r="C2646" s="64" t="s">
        <v>4471</v>
      </c>
      <c r="D2646" s="6" t="s">
        <v>4472</v>
      </c>
      <c r="E2646" s="6" t="s">
        <v>4473</v>
      </c>
      <c r="F2646" s="6" t="s">
        <v>4783</v>
      </c>
      <c r="G2646" s="3" t="s">
        <v>11450</v>
      </c>
      <c r="H2646" s="54">
        <v>0</v>
      </c>
      <c r="I2646" s="55">
        <v>470000000</v>
      </c>
      <c r="J2646" s="56" t="s">
        <v>229</v>
      </c>
      <c r="K2646" s="6" t="s">
        <v>222</v>
      </c>
      <c r="L2646" s="17" t="s">
        <v>11411</v>
      </c>
      <c r="M2646" s="162" t="s">
        <v>230</v>
      </c>
      <c r="N2646" s="15" t="s">
        <v>17491</v>
      </c>
      <c r="O2646" s="6" t="s">
        <v>4568</v>
      </c>
      <c r="P2646" s="58" t="s">
        <v>241</v>
      </c>
      <c r="Q2646" s="6" t="s">
        <v>234</v>
      </c>
      <c r="R2646" s="3">
        <v>1</v>
      </c>
      <c r="S2646" s="1">
        <v>16494</v>
      </c>
      <c r="T2646" s="4">
        <f>R2646*S2646</f>
        <v>16494</v>
      </c>
      <c r="U2646" s="4">
        <f t="shared" si="71"/>
        <v>18473.280000000002</v>
      </c>
      <c r="V2646" s="166"/>
      <c r="W2646" s="3">
        <v>2014</v>
      </c>
      <c r="X2646" s="3"/>
    </row>
    <row r="2647" spans="1:24" ht="89.25">
      <c r="A2647" s="3" t="s">
        <v>1499</v>
      </c>
      <c r="B2647" s="6" t="s">
        <v>361</v>
      </c>
      <c r="C2647" s="6" t="s">
        <v>4474</v>
      </c>
      <c r="D2647" s="6" t="s">
        <v>4475</v>
      </c>
      <c r="E2647" s="6" t="s">
        <v>4476</v>
      </c>
      <c r="F2647" s="6" t="s">
        <v>4784</v>
      </c>
      <c r="G2647" s="3" t="s">
        <v>11450</v>
      </c>
      <c r="H2647" s="54">
        <v>0</v>
      </c>
      <c r="I2647" s="16">
        <v>470000000</v>
      </c>
      <c r="J2647" s="56" t="s">
        <v>229</v>
      </c>
      <c r="K2647" s="6" t="s">
        <v>516</v>
      </c>
      <c r="L2647" s="16" t="s">
        <v>4567</v>
      </c>
      <c r="M2647" s="162" t="s">
        <v>230</v>
      </c>
      <c r="N2647" s="15" t="s">
        <v>521</v>
      </c>
      <c r="O2647" s="6" t="s">
        <v>4568</v>
      </c>
      <c r="P2647" s="58" t="s">
        <v>241</v>
      </c>
      <c r="Q2647" s="6" t="s">
        <v>234</v>
      </c>
      <c r="R2647" s="4">
        <v>1</v>
      </c>
      <c r="S2647" s="74">
        <v>22123</v>
      </c>
      <c r="T2647" s="4">
        <v>0</v>
      </c>
      <c r="U2647" s="4">
        <f t="shared" si="71"/>
        <v>0</v>
      </c>
      <c r="V2647" s="3" t="s">
        <v>362</v>
      </c>
      <c r="W2647" s="3">
        <v>2014</v>
      </c>
      <c r="X2647" s="3" t="s">
        <v>12037</v>
      </c>
    </row>
    <row r="2648" spans="1:24" ht="89.25">
      <c r="A2648" s="3" t="s">
        <v>12589</v>
      </c>
      <c r="B2648" s="6" t="s">
        <v>361</v>
      </c>
      <c r="C2648" s="6" t="s">
        <v>4474</v>
      </c>
      <c r="D2648" s="6" t="s">
        <v>4475</v>
      </c>
      <c r="E2648" s="6" t="s">
        <v>4476</v>
      </c>
      <c r="F2648" s="6" t="s">
        <v>4784</v>
      </c>
      <c r="G2648" s="3" t="s">
        <v>11450</v>
      </c>
      <c r="H2648" s="54">
        <v>0</v>
      </c>
      <c r="I2648" s="16">
        <v>470000000</v>
      </c>
      <c r="J2648" s="56" t="s">
        <v>229</v>
      </c>
      <c r="K2648" s="6" t="s">
        <v>519</v>
      </c>
      <c r="L2648" s="17" t="s">
        <v>11411</v>
      </c>
      <c r="M2648" s="162" t="s">
        <v>230</v>
      </c>
      <c r="N2648" s="15" t="s">
        <v>521</v>
      </c>
      <c r="O2648" s="6" t="s">
        <v>4568</v>
      </c>
      <c r="P2648" s="58" t="s">
        <v>241</v>
      </c>
      <c r="Q2648" s="6" t="s">
        <v>234</v>
      </c>
      <c r="R2648" s="4">
        <v>1</v>
      </c>
      <c r="S2648" s="74">
        <v>22123</v>
      </c>
      <c r="T2648" s="4">
        <v>0</v>
      </c>
      <c r="U2648" s="4">
        <f t="shared" si="71"/>
        <v>0</v>
      </c>
      <c r="V2648" s="3"/>
      <c r="W2648" s="3">
        <v>2014</v>
      </c>
      <c r="X2648" s="3">
        <v>11</v>
      </c>
    </row>
    <row r="2649" spans="1:24" ht="89.25">
      <c r="A2649" s="3" t="s">
        <v>15686</v>
      </c>
      <c r="B2649" s="6" t="s">
        <v>361</v>
      </c>
      <c r="C2649" s="6" t="s">
        <v>4474</v>
      </c>
      <c r="D2649" s="6" t="s">
        <v>4475</v>
      </c>
      <c r="E2649" s="6" t="s">
        <v>4476</v>
      </c>
      <c r="F2649" s="6" t="s">
        <v>4784</v>
      </c>
      <c r="G2649" s="3" t="s">
        <v>11450</v>
      </c>
      <c r="H2649" s="54">
        <v>0</v>
      </c>
      <c r="I2649" s="16">
        <v>470000000</v>
      </c>
      <c r="J2649" s="56" t="s">
        <v>229</v>
      </c>
      <c r="K2649" s="6" t="s">
        <v>222</v>
      </c>
      <c r="L2649" s="17" t="s">
        <v>11411</v>
      </c>
      <c r="M2649" s="162" t="s">
        <v>230</v>
      </c>
      <c r="N2649" s="15" t="s">
        <v>521</v>
      </c>
      <c r="O2649" s="6" t="s">
        <v>4568</v>
      </c>
      <c r="P2649" s="58" t="s">
        <v>241</v>
      </c>
      <c r="Q2649" s="6" t="s">
        <v>234</v>
      </c>
      <c r="R2649" s="4">
        <v>1</v>
      </c>
      <c r="S2649" s="74">
        <v>22123</v>
      </c>
      <c r="T2649" s="4">
        <v>0</v>
      </c>
      <c r="U2649" s="4">
        <f t="shared" si="71"/>
        <v>0</v>
      </c>
      <c r="V2649" s="3"/>
      <c r="W2649" s="3">
        <v>2014</v>
      </c>
      <c r="X2649" s="3">
        <v>14</v>
      </c>
    </row>
    <row r="2650" spans="1:24" ht="89.25">
      <c r="A2650" s="3" t="s">
        <v>17639</v>
      </c>
      <c r="B2650" s="6" t="s">
        <v>361</v>
      </c>
      <c r="C2650" s="6" t="s">
        <v>4474</v>
      </c>
      <c r="D2650" s="6" t="s">
        <v>4475</v>
      </c>
      <c r="E2650" s="6" t="s">
        <v>4476</v>
      </c>
      <c r="F2650" s="6" t="s">
        <v>4784</v>
      </c>
      <c r="G2650" s="3" t="s">
        <v>11450</v>
      </c>
      <c r="H2650" s="54">
        <v>0</v>
      </c>
      <c r="I2650" s="16">
        <v>470000000</v>
      </c>
      <c r="J2650" s="56" t="s">
        <v>229</v>
      </c>
      <c r="K2650" s="6" t="s">
        <v>222</v>
      </c>
      <c r="L2650" s="17" t="s">
        <v>11411</v>
      </c>
      <c r="M2650" s="162" t="s">
        <v>230</v>
      </c>
      <c r="N2650" s="15" t="s">
        <v>17491</v>
      </c>
      <c r="O2650" s="6" t="s">
        <v>4568</v>
      </c>
      <c r="P2650" s="58" t="s">
        <v>241</v>
      </c>
      <c r="Q2650" s="6" t="s">
        <v>234</v>
      </c>
      <c r="R2650" s="4">
        <v>1</v>
      </c>
      <c r="S2650" s="74">
        <v>22123</v>
      </c>
      <c r="T2650" s="4">
        <f>R2650*S2650</f>
        <v>22123</v>
      </c>
      <c r="U2650" s="4">
        <f t="shared" si="71"/>
        <v>24777.760000000002</v>
      </c>
      <c r="V2650" s="3"/>
      <c r="W2650" s="3">
        <v>2014</v>
      </c>
      <c r="X2650" s="3"/>
    </row>
    <row r="2651" spans="1:24" ht="89.25">
      <c r="A2651" s="3" t="s">
        <v>1500</v>
      </c>
      <c r="B2651" s="6" t="s">
        <v>361</v>
      </c>
      <c r="C2651" s="6" t="s">
        <v>4477</v>
      </c>
      <c r="D2651" s="6" t="s">
        <v>4478</v>
      </c>
      <c r="E2651" s="6" t="s">
        <v>4479</v>
      </c>
      <c r="F2651" s="6" t="s">
        <v>4785</v>
      </c>
      <c r="G2651" s="3" t="s">
        <v>11450</v>
      </c>
      <c r="H2651" s="54">
        <v>0</v>
      </c>
      <c r="I2651" s="55">
        <v>470000000</v>
      </c>
      <c r="J2651" s="56" t="s">
        <v>229</v>
      </c>
      <c r="K2651" s="6" t="s">
        <v>516</v>
      </c>
      <c r="L2651" s="16" t="s">
        <v>4570</v>
      </c>
      <c r="M2651" s="162" t="s">
        <v>230</v>
      </c>
      <c r="N2651" s="15" t="s">
        <v>521</v>
      </c>
      <c r="O2651" s="6" t="s">
        <v>4568</v>
      </c>
      <c r="P2651" s="58" t="s">
        <v>241</v>
      </c>
      <c r="Q2651" s="6" t="s">
        <v>234</v>
      </c>
      <c r="R2651" s="3">
        <v>1</v>
      </c>
      <c r="S2651" s="1">
        <v>37445</v>
      </c>
      <c r="T2651" s="4">
        <v>0</v>
      </c>
      <c r="U2651" s="4">
        <f t="shared" si="71"/>
        <v>0</v>
      </c>
      <c r="V2651" s="166" t="s">
        <v>362</v>
      </c>
      <c r="W2651" s="3">
        <v>2014</v>
      </c>
      <c r="X2651" s="3" t="s">
        <v>12037</v>
      </c>
    </row>
    <row r="2652" spans="1:24" ht="89.25">
      <c r="A2652" s="3" t="s">
        <v>12590</v>
      </c>
      <c r="B2652" s="6" t="s">
        <v>361</v>
      </c>
      <c r="C2652" s="6" t="s">
        <v>4477</v>
      </c>
      <c r="D2652" s="6" t="s">
        <v>4478</v>
      </c>
      <c r="E2652" s="6" t="s">
        <v>4479</v>
      </c>
      <c r="F2652" s="6" t="s">
        <v>4785</v>
      </c>
      <c r="G2652" s="3" t="s">
        <v>11450</v>
      </c>
      <c r="H2652" s="54">
        <v>0</v>
      </c>
      <c r="I2652" s="55">
        <v>470000000</v>
      </c>
      <c r="J2652" s="56" t="s">
        <v>229</v>
      </c>
      <c r="K2652" s="6" t="s">
        <v>519</v>
      </c>
      <c r="L2652" s="17" t="s">
        <v>11411</v>
      </c>
      <c r="M2652" s="162" t="s">
        <v>230</v>
      </c>
      <c r="N2652" s="15" t="s">
        <v>521</v>
      </c>
      <c r="O2652" s="6" t="s">
        <v>4568</v>
      </c>
      <c r="P2652" s="58" t="s">
        <v>241</v>
      </c>
      <c r="Q2652" s="6" t="s">
        <v>234</v>
      </c>
      <c r="R2652" s="3">
        <v>1</v>
      </c>
      <c r="S2652" s="1">
        <v>37445</v>
      </c>
      <c r="T2652" s="4">
        <v>0</v>
      </c>
      <c r="U2652" s="4">
        <f t="shared" si="71"/>
        <v>0</v>
      </c>
      <c r="V2652" s="166"/>
      <c r="W2652" s="3">
        <v>2014</v>
      </c>
      <c r="X2652" s="3">
        <v>11</v>
      </c>
    </row>
    <row r="2653" spans="1:24" ht="89.25">
      <c r="A2653" s="3" t="s">
        <v>15687</v>
      </c>
      <c r="B2653" s="6" t="s">
        <v>361</v>
      </c>
      <c r="C2653" s="6" t="s">
        <v>4477</v>
      </c>
      <c r="D2653" s="6" t="s">
        <v>4478</v>
      </c>
      <c r="E2653" s="6" t="s">
        <v>4479</v>
      </c>
      <c r="F2653" s="6" t="s">
        <v>4785</v>
      </c>
      <c r="G2653" s="3" t="s">
        <v>11450</v>
      </c>
      <c r="H2653" s="54">
        <v>0</v>
      </c>
      <c r="I2653" s="55">
        <v>470000000</v>
      </c>
      <c r="J2653" s="56" t="s">
        <v>229</v>
      </c>
      <c r="K2653" s="6" t="s">
        <v>222</v>
      </c>
      <c r="L2653" s="17" t="s">
        <v>11411</v>
      </c>
      <c r="M2653" s="162" t="s">
        <v>230</v>
      </c>
      <c r="N2653" s="15" t="s">
        <v>521</v>
      </c>
      <c r="O2653" s="6" t="s">
        <v>4568</v>
      </c>
      <c r="P2653" s="58" t="s">
        <v>241</v>
      </c>
      <c r="Q2653" s="6" t="s">
        <v>234</v>
      </c>
      <c r="R2653" s="3">
        <v>1</v>
      </c>
      <c r="S2653" s="1">
        <v>37445</v>
      </c>
      <c r="T2653" s="4">
        <v>0</v>
      </c>
      <c r="U2653" s="4">
        <f t="shared" si="71"/>
        <v>0</v>
      </c>
      <c r="V2653" s="166"/>
      <c r="W2653" s="3">
        <v>2014</v>
      </c>
      <c r="X2653" s="3">
        <v>14</v>
      </c>
    </row>
    <row r="2654" spans="1:24" ht="89.25">
      <c r="A2654" s="3" t="s">
        <v>17640</v>
      </c>
      <c r="B2654" s="6" t="s">
        <v>361</v>
      </c>
      <c r="C2654" s="6" t="s">
        <v>4477</v>
      </c>
      <c r="D2654" s="6" t="s">
        <v>4478</v>
      </c>
      <c r="E2654" s="6" t="s">
        <v>4479</v>
      </c>
      <c r="F2654" s="6" t="s">
        <v>4785</v>
      </c>
      <c r="G2654" s="3" t="s">
        <v>11450</v>
      </c>
      <c r="H2654" s="54">
        <v>0</v>
      </c>
      <c r="I2654" s="55">
        <v>470000000</v>
      </c>
      <c r="J2654" s="56" t="s">
        <v>229</v>
      </c>
      <c r="K2654" s="6" t="s">
        <v>222</v>
      </c>
      <c r="L2654" s="17" t="s">
        <v>11411</v>
      </c>
      <c r="M2654" s="162" t="s">
        <v>230</v>
      </c>
      <c r="N2654" s="15" t="s">
        <v>17491</v>
      </c>
      <c r="O2654" s="6" t="s">
        <v>4568</v>
      </c>
      <c r="P2654" s="58" t="s">
        <v>241</v>
      </c>
      <c r="Q2654" s="6" t="s">
        <v>234</v>
      </c>
      <c r="R2654" s="3">
        <v>1</v>
      </c>
      <c r="S2654" s="1">
        <v>37445</v>
      </c>
      <c r="T2654" s="4">
        <f>R2654*S2654</f>
        <v>37445</v>
      </c>
      <c r="U2654" s="4">
        <f t="shared" si="71"/>
        <v>41938.400000000001</v>
      </c>
      <c r="V2654" s="166"/>
      <c r="W2654" s="3">
        <v>2014</v>
      </c>
      <c r="X2654" s="3"/>
    </row>
    <row r="2655" spans="1:24" ht="89.25">
      <c r="A2655" s="3" t="s">
        <v>1501</v>
      </c>
      <c r="B2655" s="6" t="s">
        <v>361</v>
      </c>
      <c r="C2655" s="64" t="s">
        <v>4480</v>
      </c>
      <c r="D2655" s="6" t="s">
        <v>4481</v>
      </c>
      <c r="E2655" s="6" t="s">
        <v>4482</v>
      </c>
      <c r="F2655" s="6" t="s">
        <v>4786</v>
      </c>
      <c r="G2655" s="3" t="s">
        <v>11450</v>
      </c>
      <c r="H2655" s="54">
        <v>0</v>
      </c>
      <c r="I2655" s="16">
        <v>470000000</v>
      </c>
      <c r="J2655" s="56" t="s">
        <v>229</v>
      </c>
      <c r="K2655" s="6" t="s">
        <v>516</v>
      </c>
      <c r="L2655" s="16" t="s">
        <v>4567</v>
      </c>
      <c r="M2655" s="162" t="s">
        <v>230</v>
      </c>
      <c r="N2655" s="15" t="s">
        <v>521</v>
      </c>
      <c r="O2655" s="6" t="s">
        <v>4568</v>
      </c>
      <c r="P2655" s="58" t="s">
        <v>241</v>
      </c>
      <c r="Q2655" s="6" t="s">
        <v>234</v>
      </c>
      <c r="R2655" s="4">
        <v>1</v>
      </c>
      <c r="S2655" s="74">
        <v>22215</v>
      </c>
      <c r="T2655" s="4">
        <v>0</v>
      </c>
      <c r="U2655" s="4">
        <f t="shared" si="71"/>
        <v>0</v>
      </c>
      <c r="V2655" s="3" t="s">
        <v>362</v>
      </c>
      <c r="W2655" s="3">
        <v>2014</v>
      </c>
      <c r="X2655" s="3" t="s">
        <v>12037</v>
      </c>
    </row>
    <row r="2656" spans="1:24" ht="89.25">
      <c r="A2656" s="3" t="s">
        <v>12591</v>
      </c>
      <c r="B2656" s="6" t="s">
        <v>361</v>
      </c>
      <c r="C2656" s="64" t="s">
        <v>4480</v>
      </c>
      <c r="D2656" s="6" t="s">
        <v>4481</v>
      </c>
      <c r="E2656" s="6" t="s">
        <v>4482</v>
      </c>
      <c r="F2656" s="6" t="s">
        <v>4786</v>
      </c>
      <c r="G2656" s="3" t="s">
        <v>11450</v>
      </c>
      <c r="H2656" s="54">
        <v>0</v>
      </c>
      <c r="I2656" s="16">
        <v>470000000</v>
      </c>
      <c r="J2656" s="56" t="s">
        <v>229</v>
      </c>
      <c r="K2656" s="6" t="s">
        <v>519</v>
      </c>
      <c r="L2656" s="17" t="s">
        <v>11411</v>
      </c>
      <c r="M2656" s="162" t="s">
        <v>230</v>
      </c>
      <c r="N2656" s="15" t="s">
        <v>521</v>
      </c>
      <c r="O2656" s="6" t="s">
        <v>4568</v>
      </c>
      <c r="P2656" s="58" t="s">
        <v>241</v>
      </c>
      <c r="Q2656" s="6" t="s">
        <v>234</v>
      </c>
      <c r="R2656" s="4">
        <v>1</v>
      </c>
      <c r="S2656" s="74">
        <v>22215</v>
      </c>
      <c r="T2656" s="4">
        <v>0</v>
      </c>
      <c r="U2656" s="4">
        <f t="shared" si="71"/>
        <v>0</v>
      </c>
      <c r="V2656" s="3"/>
      <c r="W2656" s="3">
        <v>2014</v>
      </c>
      <c r="X2656" s="3">
        <v>11</v>
      </c>
    </row>
    <row r="2657" spans="1:24" ht="89.25">
      <c r="A2657" s="3" t="s">
        <v>15688</v>
      </c>
      <c r="B2657" s="6" t="s">
        <v>361</v>
      </c>
      <c r="C2657" s="64" t="s">
        <v>4480</v>
      </c>
      <c r="D2657" s="6" t="s">
        <v>4481</v>
      </c>
      <c r="E2657" s="6" t="s">
        <v>4482</v>
      </c>
      <c r="F2657" s="6" t="s">
        <v>4786</v>
      </c>
      <c r="G2657" s="3" t="s">
        <v>11450</v>
      </c>
      <c r="H2657" s="54">
        <v>0</v>
      </c>
      <c r="I2657" s="16">
        <v>470000000</v>
      </c>
      <c r="J2657" s="56" t="s">
        <v>229</v>
      </c>
      <c r="K2657" s="6" t="s">
        <v>222</v>
      </c>
      <c r="L2657" s="17" t="s">
        <v>11411</v>
      </c>
      <c r="M2657" s="162" t="s">
        <v>230</v>
      </c>
      <c r="N2657" s="15" t="s">
        <v>521</v>
      </c>
      <c r="O2657" s="6" t="s">
        <v>4568</v>
      </c>
      <c r="P2657" s="58" t="s">
        <v>241</v>
      </c>
      <c r="Q2657" s="6" t="s">
        <v>234</v>
      </c>
      <c r="R2657" s="4">
        <v>1</v>
      </c>
      <c r="S2657" s="74">
        <v>22215</v>
      </c>
      <c r="T2657" s="4">
        <v>0</v>
      </c>
      <c r="U2657" s="4">
        <f t="shared" si="71"/>
        <v>0</v>
      </c>
      <c r="V2657" s="3"/>
      <c r="W2657" s="3">
        <v>2014</v>
      </c>
      <c r="X2657" s="3">
        <v>14</v>
      </c>
    </row>
    <row r="2658" spans="1:24" ht="89.25">
      <c r="A2658" s="3" t="s">
        <v>17641</v>
      </c>
      <c r="B2658" s="6" t="s">
        <v>361</v>
      </c>
      <c r="C2658" s="64" t="s">
        <v>4480</v>
      </c>
      <c r="D2658" s="6" t="s">
        <v>4481</v>
      </c>
      <c r="E2658" s="6" t="s">
        <v>4482</v>
      </c>
      <c r="F2658" s="6" t="s">
        <v>4786</v>
      </c>
      <c r="G2658" s="3" t="s">
        <v>11450</v>
      </c>
      <c r="H2658" s="54">
        <v>0</v>
      </c>
      <c r="I2658" s="16">
        <v>470000000</v>
      </c>
      <c r="J2658" s="56" t="s">
        <v>229</v>
      </c>
      <c r="K2658" s="6" t="s">
        <v>222</v>
      </c>
      <c r="L2658" s="17" t="s">
        <v>11411</v>
      </c>
      <c r="M2658" s="162" t="s">
        <v>230</v>
      </c>
      <c r="N2658" s="15" t="s">
        <v>17491</v>
      </c>
      <c r="O2658" s="6" t="s">
        <v>4568</v>
      </c>
      <c r="P2658" s="58" t="s">
        <v>241</v>
      </c>
      <c r="Q2658" s="6" t="s">
        <v>234</v>
      </c>
      <c r="R2658" s="4">
        <v>1</v>
      </c>
      <c r="S2658" s="74">
        <v>22215</v>
      </c>
      <c r="T2658" s="4">
        <f>R2658*S2658</f>
        <v>22215</v>
      </c>
      <c r="U2658" s="4">
        <f t="shared" si="71"/>
        <v>24880.800000000003</v>
      </c>
      <c r="V2658" s="3"/>
      <c r="W2658" s="3">
        <v>2014</v>
      </c>
      <c r="X2658" s="3"/>
    </row>
    <row r="2659" spans="1:24" ht="89.25">
      <c r="A2659" s="3" t="s">
        <v>1502</v>
      </c>
      <c r="B2659" s="6" t="s">
        <v>361</v>
      </c>
      <c r="C2659" s="64" t="s">
        <v>7639</v>
      </c>
      <c r="D2659" s="6" t="s">
        <v>7640</v>
      </c>
      <c r="E2659" s="6" t="s">
        <v>7641</v>
      </c>
      <c r="F2659" s="6" t="s">
        <v>4787</v>
      </c>
      <c r="G2659" s="3" t="s">
        <v>11450</v>
      </c>
      <c r="H2659" s="54">
        <v>0</v>
      </c>
      <c r="I2659" s="55">
        <v>470000000</v>
      </c>
      <c r="J2659" s="56" t="s">
        <v>229</v>
      </c>
      <c r="K2659" s="6" t="s">
        <v>516</v>
      </c>
      <c r="L2659" s="16" t="s">
        <v>4570</v>
      </c>
      <c r="M2659" s="162" t="s">
        <v>230</v>
      </c>
      <c r="N2659" s="15" t="s">
        <v>521</v>
      </c>
      <c r="O2659" s="6" t="s">
        <v>4568</v>
      </c>
      <c r="P2659" s="58" t="s">
        <v>241</v>
      </c>
      <c r="Q2659" s="6" t="s">
        <v>234</v>
      </c>
      <c r="R2659" s="3">
        <v>2</v>
      </c>
      <c r="S2659" s="1">
        <v>17238</v>
      </c>
      <c r="T2659" s="4">
        <v>0</v>
      </c>
      <c r="U2659" s="4">
        <f t="shared" si="71"/>
        <v>0</v>
      </c>
      <c r="V2659" s="166" t="s">
        <v>362</v>
      </c>
      <c r="W2659" s="3">
        <v>2014</v>
      </c>
      <c r="X2659" s="3" t="s">
        <v>12037</v>
      </c>
    </row>
    <row r="2660" spans="1:24" ht="89.25">
      <c r="A2660" s="3" t="s">
        <v>12592</v>
      </c>
      <c r="B2660" s="6" t="s">
        <v>361</v>
      </c>
      <c r="C2660" s="64" t="s">
        <v>7639</v>
      </c>
      <c r="D2660" s="6" t="s">
        <v>7640</v>
      </c>
      <c r="E2660" s="6" t="s">
        <v>7641</v>
      </c>
      <c r="F2660" s="6" t="s">
        <v>4787</v>
      </c>
      <c r="G2660" s="3" t="s">
        <v>11450</v>
      </c>
      <c r="H2660" s="54">
        <v>0</v>
      </c>
      <c r="I2660" s="55">
        <v>470000000</v>
      </c>
      <c r="J2660" s="56" t="s">
        <v>229</v>
      </c>
      <c r="K2660" s="6" t="s">
        <v>519</v>
      </c>
      <c r="L2660" s="17" t="s">
        <v>11411</v>
      </c>
      <c r="M2660" s="162" t="s">
        <v>230</v>
      </c>
      <c r="N2660" s="15" t="s">
        <v>521</v>
      </c>
      <c r="O2660" s="6" t="s">
        <v>4568</v>
      </c>
      <c r="P2660" s="58" t="s">
        <v>241</v>
      </c>
      <c r="Q2660" s="6" t="s">
        <v>234</v>
      </c>
      <c r="R2660" s="3">
        <v>2</v>
      </c>
      <c r="S2660" s="1">
        <v>17238</v>
      </c>
      <c r="T2660" s="4">
        <v>0</v>
      </c>
      <c r="U2660" s="4">
        <f t="shared" si="71"/>
        <v>0</v>
      </c>
      <c r="V2660" s="166"/>
      <c r="W2660" s="3">
        <v>2014</v>
      </c>
      <c r="X2660" s="3">
        <v>11</v>
      </c>
    </row>
    <row r="2661" spans="1:24" ht="89.25">
      <c r="A2661" s="3" t="s">
        <v>15689</v>
      </c>
      <c r="B2661" s="6" t="s">
        <v>361</v>
      </c>
      <c r="C2661" s="64" t="s">
        <v>7639</v>
      </c>
      <c r="D2661" s="6" t="s">
        <v>7640</v>
      </c>
      <c r="E2661" s="6" t="s">
        <v>7641</v>
      </c>
      <c r="F2661" s="6" t="s">
        <v>4787</v>
      </c>
      <c r="G2661" s="3" t="s">
        <v>11450</v>
      </c>
      <c r="H2661" s="54">
        <v>0</v>
      </c>
      <c r="I2661" s="55">
        <v>470000000</v>
      </c>
      <c r="J2661" s="56" t="s">
        <v>229</v>
      </c>
      <c r="K2661" s="6" t="s">
        <v>222</v>
      </c>
      <c r="L2661" s="17" t="s">
        <v>11411</v>
      </c>
      <c r="M2661" s="162" t="s">
        <v>230</v>
      </c>
      <c r="N2661" s="15" t="s">
        <v>521</v>
      </c>
      <c r="O2661" s="6" t="s">
        <v>4568</v>
      </c>
      <c r="P2661" s="58" t="s">
        <v>241</v>
      </c>
      <c r="Q2661" s="6" t="s">
        <v>234</v>
      </c>
      <c r="R2661" s="3">
        <v>2</v>
      </c>
      <c r="S2661" s="1">
        <v>17238</v>
      </c>
      <c r="T2661" s="4">
        <v>0</v>
      </c>
      <c r="U2661" s="4">
        <f t="shared" si="71"/>
        <v>0</v>
      </c>
      <c r="V2661" s="166"/>
      <c r="W2661" s="3">
        <v>2014</v>
      </c>
      <c r="X2661" s="3">
        <v>14</v>
      </c>
    </row>
    <row r="2662" spans="1:24" ht="89.25">
      <c r="A2662" s="3" t="s">
        <v>17642</v>
      </c>
      <c r="B2662" s="6" t="s">
        <v>361</v>
      </c>
      <c r="C2662" s="64" t="s">
        <v>7639</v>
      </c>
      <c r="D2662" s="6" t="s">
        <v>7640</v>
      </c>
      <c r="E2662" s="6" t="s">
        <v>7641</v>
      </c>
      <c r="F2662" s="6" t="s">
        <v>4787</v>
      </c>
      <c r="G2662" s="3" t="s">
        <v>11450</v>
      </c>
      <c r="H2662" s="54">
        <v>0</v>
      </c>
      <c r="I2662" s="55">
        <v>470000000</v>
      </c>
      <c r="J2662" s="56" t="s">
        <v>229</v>
      </c>
      <c r="K2662" s="6" t="s">
        <v>222</v>
      </c>
      <c r="L2662" s="17" t="s">
        <v>11411</v>
      </c>
      <c r="M2662" s="162" t="s">
        <v>230</v>
      </c>
      <c r="N2662" s="15" t="s">
        <v>17491</v>
      </c>
      <c r="O2662" s="6" t="s">
        <v>4568</v>
      </c>
      <c r="P2662" s="58" t="s">
        <v>241</v>
      </c>
      <c r="Q2662" s="6" t="s">
        <v>234</v>
      </c>
      <c r="R2662" s="3">
        <v>2</v>
      </c>
      <c r="S2662" s="1">
        <v>17238</v>
      </c>
      <c r="T2662" s="4">
        <f>R2662*S2662</f>
        <v>34476</v>
      </c>
      <c r="U2662" s="4">
        <f t="shared" si="71"/>
        <v>38613.120000000003</v>
      </c>
      <c r="V2662" s="166"/>
      <c r="W2662" s="3">
        <v>2014</v>
      </c>
      <c r="X2662" s="3"/>
    </row>
    <row r="2663" spans="1:24" ht="89.25">
      <c r="A2663" s="3" t="s">
        <v>1503</v>
      </c>
      <c r="B2663" s="6" t="s">
        <v>361</v>
      </c>
      <c r="C2663" s="64" t="s">
        <v>4483</v>
      </c>
      <c r="D2663" s="6" t="s">
        <v>4484</v>
      </c>
      <c r="E2663" s="6" t="s">
        <v>4485</v>
      </c>
      <c r="F2663" s="6" t="s">
        <v>4788</v>
      </c>
      <c r="G2663" s="3" t="s">
        <v>11450</v>
      </c>
      <c r="H2663" s="54">
        <v>0</v>
      </c>
      <c r="I2663" s="16">
        <v>470000000</v>
      </c>
      <c r="J2663" s="56" t="s">
        <v>229</v>
      </c>
      <c r="K2663" s="6" t="s">
        <v>516</v>
      </c>
      <c r="L2663" s="16" t="s">
        <v>4567</v>
      </c>
      <c r="M2663" s="162" t="s">
        <v>230</v>
      </c>
      <c r="N2663" s="15" t="s">
        <v>521</v>
      </c>
      <c r="O2663" s="6" t="s">
        <v>4568</v>
      </c>
      <c r="P2663" s="58" t="s">
        <v>241</v>
      </c>
      <c r="Q2663" s="6" t="s">
        <v>234</v>
      </c>
      <c r="R2663" s="4">
        <v>6</v>
      </c>
      <c r="S2663" s="74">
        <v>18238</v>
      </c>
      <c r="T2663" s="4">
        <v>0</v>
      </c>
      <c r="U2663" s="4">
        <f t="shared" si="71"/>
        <v>0</v>
      </c>
      <c r="V2663" s="3" t="s">
        <v>362</v>
      </c>
      <c r="W2663" s="3">
        <v>2014</v>
      </c>
      <c r="X2663" s="3" t="s">
        <v>12037</v>
      </c>
    </row>
    <row r="2664" spans="1:24" ht="89.25">
      <c r="A2664" s="3" t="s">
        <v>12593</v>
      </c>
      <c r="B2664" s="6" t="s">
        <v>361</v>
      </c>
      <c r="C2664" s="64" t="s">
        <v>4483</v>
      </c>
      <c r="D2664" s="6" t="s">
        <v>4484</v>
      </c>
      <c r="E2664" s="6" t="s">
        <v>4485</v>
      </c>
      <c r="F2664" s="6" t="s">
        <v>4788</v>
      </c>
      <c r="G2664" s="3" t="s">
        <v>11450</v>
      </c>
      <c r="H2664" s="54">
        <v>0</v>
      </c>
      <c r="I2664" s="16">
        <v>470000000</v>
      </c>
      <c r="J2664" s="56" t="s">
        <v>229</v>
      </c>
      <c r="K2664" s="6" t="s">
        <v>519</v>
      </c>
      <c r="L2664" s="17" t="s">
        <v>11411</v>
      </c>
      <c r="M2664" s="162" t="s">
        <v>230</v>
      </c>
      <c r="N2664" s="15" t="s">
        <v>521</v>
      </c>
      <c r="O2664" s="6" t="s">
        <v>4568</v>
      </c>
      <c r="P2664" s="58" t="s">
        <v>241</v>
      </c>
      <c r="Q2664" s="6" t="s">
        <v>234</v>
      </c>
      <c r="R2664" s="4">
        <v>6</v>
      </c>
      <c r="S2664" s="74">
        <v>18238</v>
      </c>
      <c r="T2664" s="4">
        <v>0</v>
      </c>
      <c r="U2664" s="4">
        <f t="shared" si="71"/>
        <v>0</v>
      </c>
      <c r="V2664" s="3"/>
      <c r="W2664" s="3">
        <v>2014</v>
      </c>
      <c r="X2664" s="3">
        <v>11</v>
      </c>
    </row>
    <row r="2665" spans="1:24" ht="89.25">
      <c r="A2665" s="3" t="s">
        <v>15690</v>
      </c>
      <c r="B2665" s="6" t="s">
        <v>361</v>
      </c>
      <c r="C2665" s="64" t="s">
        <v>4483</v>
      </c>
      <c r="D2665" s="6" t="s">
        <v>4484</v>
      </c>
      <c r="E2665" s="6" t="s">
        <v>4485</v>
      </c>
      <c r="F2665" s="6" t="s">
        <v>4788</v>
      </c>
      <c r="G2665" s="3" t="s">
        <v>11450</v>
      </c>
      <c r="H2665" s="54">
        <v>0</v>
      </c>
      <c r="I2665" s="16">
        <v>470000000</v>
      </c>
      <c r="J2665" s="56" t="s">
        <v>229</v>
      </c>
      <c r="K2665" s="6" t="s">
        <v>222</v>
      </c>
      <c r="L2665" s="17" t="s">
        <v>11411</v>
      </c>
      <c r="M2665" s="162" t="s">
        <v>230</v>
      </c>
      <c r="N2665" s="15" t="s">
        <v>521</v>
      </c>
      <c r="O2665" s="6" t="s">
        <v>4568</v>
      </c>
      <c r="P2665" s="58" t="s">
        <v>241</v>
      </c>
      <c r="Q2665" s="6" t="s">
        <v>234</v>
      </c>
      <c r="R2665" s="4">
        <v>6</v>
      </c>
      <c r="S2665" s="74">
        <v>18238</v>
      </c>
      <c r="T2665" s="4">
        <v>0</v>
      </c>
      <c r="U2665" s="4">
        <f t="shared" si="71"/>
        <v>0</v>
      </c>
      <c r="V2665" s="3"/>
      <c r="W2665" s="3">
        <v>2014</v>
      </c>
      <c r="X2665" s="3">
        <v>14</v>
      </c>
    </row>
    <row r="2666" spans="1:24" ht="89.25">
      <c r="A2666" s="3" t="s">
        <v>17643</v>
      </c>
      <c r="B2666" s="6" t="s">
        <v>361</v>
      </c>
      <c r="C2666" s="64" t="s">
        <v>4483</v>
      </c>
      <c r="D2666" s="6" t="s">
        <v>4484</v>
      </c>
      <c r="E2666" s="6" t="s">
        <v>4485</v>
      </c>
      <c r="F2666" s="6" t="s">
        <v>4788</v>
      </c>
      <c r="G2666" s="3" t="s">
        <v>11450</v>
      </c>
      <c r="H2666" s="54">
        <v>0</v>
      </c>
      <c r="I2666" s="16">
        <v>470000000</v>
      </c>
      <c r="J2666" s="56" t="s">
        <v>229</v>
      </c>
      <c r="K2666" s="6" t="s">
        <v>222</v>
      </c>
      <c r="L2666" s="17" t="s">
        <v>11411</v>
      </c>
      <c r="M2666" s="162" t="s">
        <v>230</v>
      </c>
      <c r="N2666" s="15" t="s">
        <v>17491</v>
      </c>
      <c r="O2666" s="6" t="s">
        <v>4568</v>
      </c>
      <c r="P2666" s="58" t="s">
        <v>241</v>
      </c>
      <c r="Q2666" s="6" t="s">
        <v>234</v>
      </c>
      <c r="R2666" s="4">
        <v>6</v>
      </c>
      <c r="S2666" s="74">
        <v>18238</v>
      </c>
      <c r="T2666" s="4">
        <f>R2666*S2666</f>
        <v>109428</v>
      </c>
      <c r="U2666" s="4">
        <f t="shared" si="71"/>
        <v>122559.36000000002</v>
      </c>
      <c r="V2666" s="3"/>
      <c r="W2666" s="3">
        <v>2014</v>
      </c>
      <c r="X2666" s="3"/>
    </row>
    <row r="2667" spans="1:24" ht="89.25">
      <c r="A2667" s="3" t="s">
        <v>1504</v>
      </c>
      <c r="B2667" s="6" t="s">
        <v>361</v>
      </c>
      <c r="C2667" s="64" t="s">
        <v>4483</v>
      </c>
      <c r="D2667" s="6" t="s">
        <v>4484</v>
      </c>
      <c r="E2667" s="6" t="s">
        <v>4485</v>
      </c>
      <c r="F2667" s="6" t="s">
        <v>4789</v>
      </c>
      <c r="G2667" s="3" t="s">
        <v>11450</v>
      </c>
      <c r="H2667" s="54">
        <v>0</v>
      </c>
      <c r="I2667" s="55">
        <v>470000000</v>
      </c>
      <c r="J2667" s="56" t="s">
        <v>229</v>
      </c>
      <c r="K2667" s="6" t="s">
        <v>516</v>
      </c>
      <c r="L2667" s="16" t="s">
        <v>4570</v>
      </c>
      <c r="M2667" s="162" t="s">
        <v>230</v>
      </c>
      <c r="N2667" s="15" t="s">
        <v>521</v>
      </c>
      <c r="O2667" s="6" t="s">
        <v>4568</v>
      </c>
      <c r="P2667" s="58" t="s">
        <v>241</v>
      </c>
      <c r="Q2667" s="6" t="s">
        <v>234</v>
      </c>
      <c r="R2667" s="3">
        <v>14</v>
      </c>
      <c r="S2667" s="1">
        <v>452</v>
      </c>
      <c r="T2667" s="4">
        <v>0</v>
      </c>
      <c r="U2667" s="4">
        <f t="shared" si="71"/>
        <v>0</v>
      </c>
      <c r="V2667" s="166" t="s">
        <v>362</v>
      </c>
      <c r="W2667" s="3">
        <v>2014</v>
      </c>
      <c r="X2667" s="3" t="s">
        <v>12037</v>
      </c>
    </row>
    <row r="2668" spans="1:24" ht="89.25">
      <c r="A2668" s="3" t="s">
        <v>12594</v>
      </c>
      <c r="B2668" s="6" t="s">
        <v>361</v>
      </c>
      <c r="C2668" s="64" t="s">
        <v>4483</v>
      </c>
      <c r="D2668" s="6" t="s">
        <v>4484</v>
      </c>
      <c r="E2668" s="6" t="s">
        <v>4485</v>
      </c>
      <c r="F2668" s="6" t="s">
        <v>4789</v>
      </c>
      <c r="G2668" s="3" t="s">
        <v>11450</v>
      </c>
      <c r="H2668" s="54">
        <v>0</v>
      </c>
      <c r="I2668" s="55">
        <v>470000000</v>
      </c>
      <c r="J2668" s="56" t="s">
        <v>229</v>
      </c>
      <c r="K2668" s="6" t="s">
        <v>519</v>
      </c>
      <c r="L2668" s="17" t="s">
        <v>11411</v>
      </c>
      <c r="M2668" s="162" t="s">
        <v>230</v>
      </c>
      <c r="N2668" s="15" t="s">
        <v>521</v>
      </c>
      <c r="O2668" s="6" t="s">
        <v>4568</v>
      </c>
      <c r="P2668" s="58" t="s">
        <v>241</v>
      </c>
      <c r="Q2668" s="6" t="s">
        <v>234</v>
      </c>
      <c r="R2668" s="3">
        <v>14</v>
      </c>
      <c r="S2668" s="1">
        <v>452</v>
      </c>
      <c r="T2668" s="4">
        <v>0</v>
      </c>
      <c r="U2668" s="4">
        <f t="shared" si="71"/>
        <v>0</v>
      </c>
      <c r="V2668" s="166"/>
      <c r="W2668" s="3">
        <v>2014</v>
      </c>
      <c r="X2668" s="3">
        <v>11</v>
      </c>
    </row>
    <row r="2669" spans="1:24" ht="89.25">
      <c r="A2669" s="3" t="s">
        <v>15691</v>
      </c>
      <c r="B2669" s="6" t="s">
        <v>361</v>
      </c>
      <c r="C2669" s="64" t="s">
        <v>4483</v>
      </c>
      <c r="D2669" s="6" t="s">
        <v>4484</v>
      </c>
      <c r="E2669" s="6" t="s">
        <v>4485</v>
      </c>
      <c r="F2669" s="6" t="s">
        <v>4789</v>
      </c>
      <c r="G2669" s="3" t="s">
        <v>11450</v>
      </c>
      <c r="H2669" s="54">
        <v>0</v>
      </c>
      <c r="I2669" s="55">
        <v>470000000</v>
      </c>
      <c r="J2669" s="56" t="s">
        <v>229</v>
      </c>
      <c r="K2669" s="6" t="s">
        <v>222</v>
      </c>
      <c r="L2669" s="17" t="s">
        <v>11411</v>
      </c>
      <c r="M2669" s="162" t="s">
        <v>230</v>
      </c>
      <c r="N2669" s="15" t="s">
        <v>521</v>
      </c>
      <c r="O2669" s="6" t="s">
        <v>4568</v>
      </c>
      <c r="P2669" s="58" t="s">
        <v>241</v>
      </c>
      <c r="Q2669" s="6" t="s">
        <v>234</v>
      </c>
      <c r="R2669" s="3">
        <v>14</v>
      </c>
      <c r="S2669" s="1">
        <v>452</v>
      </c>
      <c r="T2669" s="4">
        <v>0</v>
      </c>
      <c r="U2669" s="4">
        <f t="shared" si="71"/>
        <v>0</v>
      </c>
      <c r="V2669" s="166"/>
      <c r="W2669" s="3">
        <v>2014</v>
      </c>
      <c r="X2669" s="3">
        <v>14</v>
      </c>
    </row>
    <row r="2670" spans="1:24" ht="89.25">
      <c r="A2670" s="3" t="s">
        <v>17644</v>
      </c>
      <c r="B2670" s="6" t="s">
        <v>361</v>
      </c>
      <c r="C2670" s="64" t="s">
        <v>4483</v>
      </c>
      <c r="D2670" s="6" t="s">
        <v>4484</v>
      </c>
      <c r="E2670" s="6" t="s">
        <v>4485</v>
      </c>
      <c r="F2670" s="6" t="s">
        <v>4789</v>
      </c>
      <c r="G2670" s="3" t="s">
        <v>11450</v>
      </c>
      <c r="H2670" s="54">
        <v>0</v>
      </c>
      <c r="I2670" s="55">
        <v>470000000</v>
      </c>
      <c r="J2670" s="56" t="s">
        <v>229</v>
      </c>
      <c r="K2670" s="6" t="s">
        <v>222</v>
      </c>
      <c r="L2670" s="17" t="s">
        <v>11411</v>
      </c>
      <c r="M2670" s="162" t="s">
        <v>230</v>
      </c>
      <c r="N2670" s="15" t="s">
        <v>17491</v>
      </c>
      <c r="O2670" s="6" t="s">
        <v>4568</v>
      </c>
      <c r="P2670" s="58" t="s">
        <v>241</v>
      </c>
      <c r="Q2670" s="6" t="s">
        <v>234</v>
      </c>
      <c r="R2670" s="3">
        <v>14</v>
      </c>
      <c r="S2670" s="1">
        <v>452</v>
      </c>
      <c r="T2670" s="4">
        <f>R2670*S2670</f>
        <v>6328</v>
      </c>
      <c r="U2670" s="4">
        <f t="shared" si="71"/>
        <v>7087.3600000000006</v>
      </c>
      <c r="V2670" s="166"/>
      <c r="W2670" s="3">
        <v>2014</v>
      </c>
      <c r="X2670" s="3"/>
    </row>
    <row r="2671" spans="1:24" ht="89.25">
      <c r="A2671" s="3" t="s">
        <v>1505</v>
      </c>
      <c r="B2671" s="6" t="s">
        <v>361</v>
      </c>
      <c r="C2671" s="64" t="s">
        <v>4483</v>
      </c>
      <c r="D2671" s="6" t="s">
        <v>4484</v>
      </c>
      <c r="E2671" s="6" t="s">
        <v>4485</v>
      </c>
      <c r="F2671" s="6" t="s">
        <v>4790</v>
      </c>
      <c r="G2671" s="3" t="s">
        <v>11450</v>
      </c>
      <c r="H2671" s="54">
        <v>0</v>
      </c>
      <c r="I2671" s="16">
        <v>470000000</v>
      </c>
      <c r="J2671" s="56" t="s">
        <v>229</v>
      </c>
      <c r="K2671" s="6" t="s">
        <v>516</v>
      </c>
      <c r="L2671" s="16" t="s">
        <v>4567</v>
      </c>
      <c r="M2671" s="162" t="s">
        <v>230</v>
      </c>
      <c r="N2671" s="15" t="s">
        <v>521</v>
      </c>
      <c r="O2671" s="6" t="s">
        <v>4568</v>
      </c>
      <c r="P2671" s="58" t="s">
        <v>241</v>
      </c>
      <c r="Q2671" s="6" t="s">
        <v>234</v>
      </c>
      <c r="R2671" s="4">
        <v>310</v>
      </c>
      <c r="S2671" s="74">
        <v>475</v>
      </c>
      <c r="T2671" s="4">
        <v>0</v>
      </c>
      <c r="U2671" s="4">
        <f t="shared" si="71"/>
        <v>0</v>
      </c>
      <c r="V2671" s="3" t="s">
        <v>362</v>
      </c>
      <c r="W2671" s="3">
        <v>2014</v>
      </c>
      <c r="X2671" s="3" t="s">
        <v>12037</v>
      </c>
    </row>
    <row r="2672" spans="1:24" ht="89.25">
      <c r="A2672" s="3" t="s">
        <v>12595</v>
      </c>
      <c r="B2672" s="6" t="s">
        <v>361</v>
      </c>
      <c r="C2672" s="64" t="s">
        <v>4483</v>
      </c>
      <c r="D2672" s="6" t="s">
        <v>4484</v>
      </c>
      <c r="E2672" s="6" t="s">
        <v>4485</v>
      </c>
      <c r="F2672" s="6" t="s">
        <v>4790</v>
      </c>
      <c r="G2672" s="3" t="s">
        <v>11450</v>
      </c>
      <c r="H2672" s="54">
        <v>0</v>
      </c>
      <c r="I2672" s="16">
        <v>470000000</v>
      </c>
      <c r="J2672" s="56" t="s">
        <v>229</v>
      </c>
      <c r="K2672" s="6" t="s">
        <v>519</v>
      </c>
      <c r="L2672" s="17" t="s">
        <v>11411</v>
      </c>
      <c r="M2672" s="162" t="s">
        <v>230</v>
      </c>
      <c r="N2672" s="15" t="s">
        <v>521</v>
      </c>
      <c r="O2672" s="6" t="s">
        <v>4568</v>
      </c>
      <c r="P2672" s="58" t="s">
        <v>241</v>
      </c>
      <c r="Q2672" s="6" t="s">
        <v>234</v>
      </c>
      <c r="R2672" s="4">
        <v>310</v>
      </c>
      <c r="S2672" s="74">
        <v>475</v>
      </c>
      <c r="T2672" s="4">
        <v>0</v>
      </c>
      <c r="U2672" s="4">
        <f t="shared" si="71"/>
        <v>0</v>
      </c>
      <c r="V2672" s="3"/>
      <c r="W2672" s="3">
        <v>2014</v>
      </c>
      <c r="X2672" s="3">
        <v>11</v>
      </c>
    </row>
    <row r="2673" spans="1:24" ht="89.25">
      <c r="A2673" s="3" t="s">
        <v>15692</v>
      </c>
      <c r="B2673" s="6" t="s">
        <v>361</v>
      </c>
      <c r="C2673" s="64" t="s">
        <v>4483</v>
      </c>
      <c r="D2673" s="6" t="s">
        <v>4484</v>
      </c>
      <c r="E2673" s="6" t="s">
        <v>4485</v>
      </c>
      <c r="F2673" s="6" t="s">
        <v>4790</v>
      </c>
      <c r="G2673" s="3" t="s">
        <v>11450</v>
      </c>
      <c r="H2673" s="54">
        <v>0</v>
      </c>
      <c r="I2673" s="16">
        <v>470000000</v>
      </c>
      <c r="J2673" s="56" t="s">
        <v>229</v>
      </c>
      <c r="K2673" s="6" t="s">
        <v>222</v>
      </c>
      <c r="L2673" s="17" t="s">
        <v>11411</v>
      </c>
      <c r="M2673" s="162" t="s">
        <v>230</v>
      </c>
      <c r="N2673" s="15" t="s">
        <v>521</v>
      </c>
      <c r="O2673" s="6" t="s">
        <v>4568</v>
      </c>
      <c r="P2673" s="58" t="s">
        <v>241</v>
      </c>
      <c r="Q2673" s="6" t="s">
        <v>234</v>
      </c>
      <c r="R2673" s="4">
        <v>310</v>
      </c>
      <c r="S2673" s="74">
        <v>475</v>
      </c>
      <c r="T2673" s="4">
        <v>0</v>
      </c>
      <c r="U2673" s="4">
        <f t="shared" si="71"/>
        <v>0</v>
      </c>
      <c r="V2673" s="3"/>
      <c r="W2673" s="3">
        <v>2014</v>
      </c>
      <c r="X2673" s="3">
        <v>14</v>
      </c>
    </row>
    <row r="2674" spans="1:24" ht="89.25">
      <c r="A2674" s="3" t="s">
        <v>17645</v>
      </c>
      <c r="B2674" s="6" t="s">
        <v>361</v>
      </c>
      <c r="C2674" s="64" t="s">
        <v>4483</v>
      </c>
      <c r="D2674" s="6" t="s">
        <v>4484</v>
      </c>
      <c r="E2674" s="6" t="s">
        <v>4485</v>
      </c>
      <c r="F2674" s="6" t="s">
        <v>4790</v>
      </c>
      <c r="G2674" s="3" t="s">
        <v>11450</v>
      </c>
      <c r="H2674" s="54">
        <v>0</v>
      </c>
      <c r="I2674" s="16">
        <v>470000000</v>
      </c>
      <c r="J2674" s="56" t="s">
        <v>229</v>
      </c>
      <c r="K2674" s="6" t="s">
        <v>222</v>
      </c>
      <c r="L2674" s="17" t="s">
        <v>11411</v>
      </c>
      <c r="M2674" s="162" t="s">
        <v>230</v>
      </c>
      <c r="N2674" s="15" t="s">
        <v>17491</v>
      </c>
      <c r="O2674" s="6" t="s">
        <v>4568</v>
      </c>
      <c r="P2674" s="58" t="s">
        <v>241</v>
      </c>
      <c r="Q2674" s="6" t="s">
        <v>234</v>
      </c>
      <c r="R2674" s="4">
        <v>310</v>
      </c>
      <c r="S2674" s="74">
        <v>475</v>
      </c>
      <c r="T2674" s="4">
        <f>R2674*S2674</f>
        <v>147250</v>
      </c>
      <c r="U2674" s="4">
        <f t="shared" si="71"/>
        <v>164920.00000000003</v>
      </c>
      <c r="V2674" s="3"/>
      <c r="W2674" s="3">
        <v>2014</v>
      </c>
      <c r="X2674" s="3"/>
    </row>
    <row r="2675" spans="1:24" ht="89.25">
      <c r="A2675" s="3" t="s">
        <v>1506</v>
      </c>
      <c r="B2675" s="6" t="s">
        <v>361</v>
      </c>
      <c r="C2675" s="64" t="s">
        <v>4486</v>
      </c>
      <c r="D2675" s="6" t="s">
        <v>4484</v>
      </c>
      <c r="E2675" s="6" t="s">
        <v>4487</v>
      </c>
      <c r="F2675" s="6" t="s">
        <v>4791</v>
      </c>
      <c r="G2675" s="3" t="s">
        <v>11450</v>
      </c>
      <c r="H2675" s="54">
        <v>0</v>
      </c>
      <c r="I2675" s="55">
        <v>470000000</v>
      </c>
      <c r="J2675" s="56" t="s">
        <v>229</v>
      </c>
      <c r="K2675" s="6" t="s">
        <v>516</v>
      </c>
      <c r="L2675" s="16" t="s">
        <v>4570</v>
      </c>
      <c r="M2675" s="162" t="s">
        <v>230</v>
      </c>
      <c r="N2675" s="15" t="s">
        <v>521</v>
      </c>
      <c r="O2675" s="6" t="s">
        <v>4568</v>
      </c>
      <c r="P2675" s="58" t="s">
        <v>241</v>
      </c>
      <c r="Q2675" s="6" t="s">
        <v>234</v>
      </c>
      <c r="R2675" s="3">
        <v>15</v>
      </c>
      <c r="S2675" s="1">
        <v>2530</v>
      </c>
      <c r="T2675" s="4">
        <v>0</v>
      </c>
      <c r="U2675" s="4">
        <f t="shared" si="71"/>
        <v>0</v>
      </c>
      <c r="V2675" s="166" t="s">
        <v>362</v>
      </c>
      <c r="W2675" s="3">
        <v>2014</v>
      </c>
      <c r="X2675" s="3" t="s">
        <v>12037</v>
      </c>
    </row>
    <row r="2676" spans="1:24" ht="89.25">
      <c r="A2676" s="3" t="s">
        <v>12596</v>
      </c>
      <c r="B2676" s="6" t="s">
        <v>361</v>
      </c>
      <c r="C2676" s="64" t="s">
        <v>4486</v>
      </c>
      <c r="D2676" s="6" t="s">
        <v>4484</v>
      </c>
      <c r="E2676" s="6" t="s">
        <v>4487</v>
      </c>
      <c r="F2676" s="6" t="s">
        <v>4791</v>
      </c>
      <c r="G2676" s="3" t="s">
        <v>11450</v>
      </c>
      <c r="H2676" s="54">
        <v>0</v>
      </c>
      <c r="I2676" s="55">
        <v>470000000</v>
      </c>
      <c r="J2676" s="56" t="s">
        <v>229</v>
      </c>
      <c r="K2676" s="6" t="s">
        <v>519</v>
      </c>
      <c r="L2676" s="17" t="s">
        <v>11411</v>
      </c>
      <c r="M2676" s="162" t="s">
        <v>230</v>
      </c>
      <c r="N2676" s="15" t="s">
        <v>521</v>
      </c>
      <c r="O2676" s="6" t="s">
        <v>4568</v>
      </c>
      <c r="P2676" s="58" t="s">
        <v>241</v>
      </c>
      <c r="Q2676" s="6" t="s">
        <v>234</v>
      </c>
      <c r="R2676" s="3">
        <v>15</v>
      </c>
      <c r="S2676" s="1">
        <v>2530</v>
      </c>
      <c r="T2676" s="4">
        <v>0</v>
      </c>
      <c r="U2676" s="4">
        <f t="shared" si="71"/>
        <v>0</v>
      </c>
      <c r="V2676" s="166"/>
      <c r="W2676" s="3">
        <v>2014</v>
      </c>
      <c r="X2676" s="3">
        <v>11</v>
      </c>
    </row>
    <row r="2677" spans="1:24" ht="89.25">
      <c r="A2677" s="3" t="s">
        <v>15693</v>
      </c>
      <c r="B2677" s="6" t="s">
        <v>361</v>
      </c>
      <c r="C2677" s="64" t="s">
        <v>4486</v>
      </c>
      <c r="D2677" s="6" t="s">
        <v>4484</v>
      </c>
      <c r="E2677" s="6" t="s">
        <v>4487</v>
      </c>
      <c r="F2677" s="6" t="s">
        <v>4791</v>
      </c>
      <c r="G2677" s="3" t="s">
        <v>11450</v>
      </c>
      <c r="H2677" s="54">
        <v>0</v>
      </c>
      <c r="I2677" s="55">
        <v>470000000</v>
      </c>
      <c r="J2677" s="56" t="s">
        <v>229</v>
      </c>
      <c r="K2677" s="6" t="s">
        <v>222</v>
      </c>
      <c r="L2677" s="17" t="s">
        <v>11411</v>
      </c>
      <c r="M2677" s="162" t="s">
        <v>230</v>
      </c>
      <c r="N2677" s="15" t="s">
        <v>521</v>
      </c>
      <c r="O2677" s="6" t="s">
        <v>4568</v>
      </c>
      <c r="P2677" s="58" t="s">
        <v>241</v>
      </c>
      <c r="Q2677" s="6" t="s">
        <v>234</v>
      </c>
      <c r="R2677" s="3">
        <v>15</v>
      </c>
      <c r="S2677" s="1">
        <v>2530</v>
      </c>
      <c r="T2677" s="4">
        <v>0</v>
      </c>
      <c r="U2677" s="4">
        <f t="shared" si="71"/>
        <v>0</v>
      </c>
      <c r="V2677" s="166"/>
      <c r="W2677" s="3">
        <v>2014</v>
      </c>
      <c r="X2677" s="3">
        <v>14</v>
      </c>
    </row>
    <row r="2678" spans="1:24" ht="89.25">
      <c r="A2678" s="3" t="s">
        <v>17646</v>
      </c>
      <c r="B2678" s="6" t="s">
        <v>361</v>
      </c>
      <c r="C2678" s="64" t="s">
        <v>4486</v>
      </c>
      <c r="D2678" s="6" t="s">
        <v>4484</v>
      </c>
      <c r="E2678" s="6" t="s">
        <v>4487</v>
      </c>
      <c r="F2678" s="6" t="s">
        <v>4791</v>
      </c>
      <c r="G2678" s="3" t="s">
        <v>11450</v>
      </c>
      <c r="H2678" s="54">
        <v>0</v>
      </c>
      <c r="I2678" s="55">
        <v>470000000</v>
      </c>
      <c r="J2678" s="56" t="s">
        <v>229</v>
      </c>
      <c r="K2678" s="6" t="s">
        <v>222</v>
      </c>
      <c r="L2678" s="17" t="s">
        <v>11411</v>
      </c>
      <c r="M2678" s="162" t="s">
        <v>230</v>
      </c>
      <c r="N2678" s="15" t="s">
        <v>17491</v>
      </c>
      <c r="O2678" s="6" t="s">
        <v>4568</v>
      </c>
      <c r="P2678" s="58" t="s">
        <v>241</v>
      </c>
      <c r="Q2678" s="6" t="s">
        <v>234</v>
      </c>
      <c r="R2678" s="3">
        <v>15</v>
      </c>
      <c r="S2678" s="1">
        <v>2530</v>
      </c>
      <c r="T2678" s="4">
        <f>R2678*S2678</f>
        <v>37950</v>
      </c>
      <c r="U2678" s="4">
        <f t="shared" si="71"/>
        <v>42504.000000000007</v>
      </c>
      <c r="V2678" s="166"/>
      <c r="W2678" s="3">
        <v>2014</v>
      </c>
      <c r="X2678" s="3"/>
    </row>
    <row r="2679" spans="1:24" ht="89.25">
      <c r="A2679" s="3" t="s">
        <v>1507</v>
      </c>
      <c r="B2679" s="6" t="s">
        <v>361</v>
      </c>
      <c r="C2679" s="64" t="s">
        <v>4488</v>
      </c>
      <c r="D2679" s="6" t="s">
        <v>4484</v>
      </c>
      <c r="E2679" s="6" t="s">
        <v>4489</v>
      </c>
      <c r="F2679" s="6" t="s">
        <v>4792</v>
      </c>
      <c r="G2679" s="3" t="s">
        <v>11450</v>
      </c>
      <c r="H2679" s="54">
        <v>0</v>
      </c>
      <c r="I2679" s="16">
        <v>470000000</v>
      </c>
      <c r="J2679" s="56" t="s">
        <v>229</v>
      </c>
      <c r="K2679" s="6" t="s">
        <v>516</v>
      </c>
      <c r="L2679" s="16" t="s">
        <v>4567</v>
      </c>
      <c r="M2679" s="162" t="s">
        <v>230</v>
      </c>
      <c r="N2679" s="15" t="s">
        <v>521</v>
      </c>
      <c r="O2679" s="6" t="s">
        <v>4568</v>
      </c>
      <c r="P2679" s="58" t="s">
        <v>241</v>
      </c>
      <c r="Q2679" s="6" t="s">
        <v>234</v>
      </c>
      <c r="R2679" s="4">
        <v>27</v>
      </c>
      <c r="S2679" s="74">
        <v>1350</v>
      </c>
      <c r="T2679" s="4">
        <v>0</v>
      </c>
      <c r="U2679" s="4">
        <f t="shared" si="71"/>
        <v>0</v>
      </c>
      <c r="V2679" s="3" t="s">
        <v>362</v>
      </c>
      <c r="W2679" s="3">
        <v>2014</v>
      </c>
      <c r="X2679" s="3" t="s">
        <v>12037</v>
      </c>
    </row>
    <row r="2680" spans="1:24" ht="89.25">
      <c r="A2680" s="3" t="s">
        <v>12597</v>
      </c>
      <c r="B2680" s="6" t="s">
        <v>361</v>
      </c>
      <c r="C2680" s="64" t="s">
        <v>4488</v>
      </c>
      <c r="D2680" s="6" t="s">
        <v>4484</v>
      </c>
      <c r="E2680" s="6" t="s">
        <v>4489</v>
      </c>
      <c r="F2680" s="6" t="s">
        <v>4792</v>
      </c>
      <c r="G2680" s="3" t="s">
        <v>11450</v>
      </c>
      <c r="H2680" s="54">
        <v>0</v>
      </c>
      <c r="I2680" s="16">
        <v>470000000</v>
      </c>
      <c r="J2680" s="56" t="s">
        <v>229</v>
      </c>
      <c r="K2680" s="6" t="s">
        <v>519</v>
      </c>
      <c r="L2680" s="17" t="s">
        <v>11411</v>
      </c>
      <c r="M2680" s="162" t="s">
        <v>230</v>
      </c>
      <c r="N2680" s="15" t="s">
        <v>521</v>
      </c>
      <c r="O2680" s="6" t="s">
        <v>4568</v>
      </c>
      <c r="P2680" s="58" t="s">
        <v>241</v>
      </c>
      <c r="Q2680" s="6" t="s">
        <v>234</v>
      </c>
      <c r="R2680" s="4">
        <v>27</v>
      </c>
      <c r="S2680" s="74">
        <v>1350</v>
      </c>
      <c r="T2680" s="4">
        <v>0</v>
      </c>
      <c r="U2680" s="4">
        <f t="shared" si="71"/>
        <v>0</v>
      </c>
      <c r="V2680" s="3"/>
      <c r="W2680" s="3">
        <v>2014</v>
      </c>
      <c r="X2680" s="3">
        <v>11</v>
      </c>
    </row>
    <row r="2681" spans="1:24" ht="89.25">
      <c r="A2681" s="3" t="s">
        <v>15694</v>
      </c>
      <c r="B2681" s="6" t="s">
        <v>361</v>
      </c>
      <c r="C2681" s="64" t="s">
        <v>4488</v>
      </c>
      <c r="D2681" s="6" t="s">
        <v>4484</v>
      </c>
      <c r="E2681" s="6" t="s">
        <v>4489</v>
      </c>
      <c r="F2681" s="6" t="s">
        <v>4792</v>
      </c>
      <c r="G2681" s="3" t="s">
        <v>11450</v>
      </c>
      <c r="H2681" s="54">
        <v>0</v>
      </c>
      <c r="I2681" s="16">
        <v>470000000</v>
      </c>
      <c r="J2681" s="56" t="s">
        <v>229</v>
      </c>
      <c r="K2681" s="6" t="s">
        <v>222</v>
      </c>
      <c r="L2681" s="17" t="s">
        <v>11411</v>
      </c>
      <c r="M2681" s="162" t="s">
        <v>230</v>
      </c>
      <c r="N2681" s="15" t="s">
        <v>521</v>
      </c>
      <c r="O2681" s="6" t="s">
        <v>4568</v>
      </c>
      <c r="P2681" s="58" t="s">
        <v>241</v>
      </c>
      <c r="Q2681" s="6" t="s">
        <v>234</v>
      </c>
      <c r="R2681" s="4">
        <v>27</v>
      </c>
      <c r="S2681" s="74">
        <v>1350</v>
      </c>
      <c r="T2681" s="4">
        <v>0</v>
      </c>
      <c r="U2681" s="4">
        <f t="shared" si="71"/>
        <v>0</v>
      </c>
      <c r="V2681" s="3"/>
      <c r="W2681" s="3">
        <v>2014</v>
      </c>
      <c r="X2681" s="3">
        <v>14</v>
      </c>
    </row>
    <row r="2682" spans="1:24" ht="89.25">
      <c r="A2682" s="3" t="s">
        <v>17647</v>
      </c>
      <c r="B2682" s="6" t="s">
        <v>361</v>
      </c>
      <c r="C2682" s="64" t="s">
        <v>4488</v>
      </c>
      <c r="D2682" s="6" t="s">
        <v>4484</v>
      </c>
      <c r="E2682" s="6" t="s">
        <v>4489</v>
      </c>
      <c r="F2682" s="6" t="s">
        <v>4792</v>
      </c>
      <c r="G2682" s="3" t="s">
        <v>11450</v>
      </c>
      <c r="H2682" s="54">
        <v>0</v>
      </c>
      <c r="I2682" s="16">
        <v>470000000</v>
      </c>
      <c r="J2682" s="56" t="s">
        <v>229</v>
      </c>
      <c r="K2682" s="6" t="s">
        <v>222</v>
      </c>
      <c r="L2682" s="17" t="s">
        <v>11411</v>
      </c>
      <c r="M2682" s="162" t="s">
        <v>230</v>
      </c>
      <c r="N2682" s="15" t="s">
        <v>17491</v>
      </c>
      <c r="O2682" s="6" t="s">
        <v>4568</v>
      </c>
      <c r="P2682" s="58" t="s">
        <v>241</v>
      </c>
      <c r="Q2682" s="6" t="s">
        <v>234</v>
      </c>
      <c r="R2682" s="4">
        <v>27</v>
      </c>
      <c r="S2682" s="74">
        <v>1350</v>
      </c>
      <c r="T2682" s="4">
        <f>R2682*S2682</f>
        <v>36450</v>
      </c>
      <c r="U2682" s="4">
        <f t="shared" si="71"/>
        <v>40824.000000000007</v>
      </c>
      <c r="V2682" s="3"/>
      <c r="W2682" s="3">
        <v>2014</v>
      </c>
      <c r="X2682" s="3"/>
    </row>
    <row r="2683" spans="1:24" ht="114.75">
      <c r="A2683" s="3" t="s">
        <v>1508</v>
      </c>
      <c r="B2683" s="6" t="s">
        <v>361</v>
      </c>
      <c r="C2683" s="64" t="s">
        <v>4490</v>
      </c>
      <c r="D2683" s="104" t="s">
        <v>4491</v>
      </c>
      <c r="E2683" s="25" t="s">
        <v>4492</v>
      </c>
      <c r="F2683" s="6" t="s">
        <v>4793</v>
      </c>
      <c r="G2683" s="3" t="s">
        <v>11450</v>
      </c>
      <c r="H2683" s="54">
        <v>0</v>
      </c>
      <c r="I2683" s="55">
        <v>470000000</v>
      </c>
      <c r="J2683" s="56" t="s">
        <v>229</v>
      </c>
      <c r="K2683" s="6" t="s">
        <v>516</v>
      </c>
      <c r="L2683" s="16" t="s">
        <v>4570</v>
      </c>
      <c r="M2683" s="162" t="s">
        <v>230</v>
      </c>
      <c r="N2683" s="15" t="s">
        <v>521</v>
      </c>
      <c r="O2683" s="6" t="s">
        <v>4568</v>
      </c>
      <c r="P2683" s="58" t="s">
        <v>241</v>
      </c>
      <c r="Q2683" s="6" t="s">
        <v>234</v>
      </c>
      <c r="R2683" s="3">
        <v>14</v>
      </c>
      <c r="S2683" s="1">
        <v>2525</v>
      </c>
      <c r="T2683" s="4">
        <v>0</v>
      </c>
      <c r="U2683" s="4">
        <f t="shared" si="71"/>
        <v>0</v>
      </c>
      <c r="V2683" s="166" t="s">
        <v>362</v>
      </c>
      <c r="W2683" s="3">
        <v>2014</v>
      </c>
      <c r="X2683" s="3" t="s">
        <v>12037</v>
      </c>
    </row>
    <row r="2684" spans="1:24" ht="114.75">
      <c r="A2684" s="3" t="s">
        <v>12598</v>
      </c>
      <c r="B2684" s="6" t="s">
        <v>361</v>
      </c>
      <c r="C2684" s="64" t="s">
        <v>4490</v>
      </c>
      <c r="D2684" s="104" t="s">
        <v>4491</v>
      </c>
      <c r="E2684" s="25" t="s">
        <v>4492</v>
      </c>
      <c r="F2684" s="6" t="s">
        <v>4793</v>
      </c>
      <c r="G2684" s="3" t="s">
        <v>11450</v>
      </c>
      <c r="H2684" s="54">
        <v>0</v>
      </c>
      <c r="I2684" s="55">
        <v>470000000</v>
      </c>
      <c r="J2684" s="56" t="s">
        <v>229</v>
      </c>
      <c r="K2684" s="6" t="s">
        <v>519</v>
      </c>
      <c r="L2684" s="17" t="s">
        <v>11411</v>
      </c>
      <c r="M2684" s="162" t="s">
        <v>230</v>
      </c>
      <c r="N2684" s="15" t="s">
        <v>521</v>
      </c>
      <c r="O2684" s="6" t="s">
        <v>4568</v>
      </c>
      <c r="P2684" s="58" t="s">
        <v>241</v>
      </c>
      <c r="Q2684" s="6" t="s">
        <v>234</v>
      </c>
      <c r="R2684" s="3">
        <v>14</v>
      </c>
      <c r="S2684" s="1">
        <v>2525</v>
      </c>
      <c r="T2684" s="4">
        <v>0</v>
      </c>
      <c r="U2684" s="4">
        <f t="shared" si="71"/>
        <v>0</v>
      </c>
      <c r="V2684" s="166"/>
      <c r="W2684" s="3">
        <v>2014</v>
      </c>
      <c r="X2684" s="3">
        <v>11</v>
      </c>
    </row>
    <row r="2685" spans="1:24" ht="114.75">
      <c r="A2685" s="3" t="s">
        <v>15695</v>
      </c>
      <c r="B2685" s="6" t="s">
        <v>361</v>
      </c>
      <c r="C2685" s="64" t="s">
        <v>4490</v>
      </c>
      <c r="D2685" s="104" t="s">
        <v>4491</v>
      </c>
      <c r="E2685" s="25" t="s">
        <v>4492</v>
      </c>
      <c r="F2685" s="6" t="s">
        <v>4793</v>
      </c>
      <c r="G2685" s="3" t="s">
        <v>11450</v>
      </c>
      <c r="H2685" s="54">
        <v>0</v>
      </c>
      <c r="I2685" s="55">
        <v>470000000</v>
      </c>
      <c r="J2685" s="56" t="s">
        <v>229</v>
      </c>
      <c r="K2685" s="6" t="s">
        <v>222</v>
      </c>
      <c r="L2685" s="17" t="s">
        <v>11411</v>
      </c>
      <c r="M2685" s="162" t="s">
        <v>230</v>
      </c>
      <c r="N2685" s="15" t="s">
        <v>521</v>
      </c>
      <c r="O2685" s="6" t="s">
        <v>4568</v>
      </c>
      <c r="P2685" s="58" t="s">
        <v>241</v>
      </c>
      <c r="Q2685" s="6" t="s">
        <v>234</v>
      </c>
      <c r="R2685" s="3">
        <v>14</v>
      </c>
      <c r="S2685" s="1">
        <v>2525</v>
      </c>
      <c r="T2685" s="4">
        <v>0</v>
      </c>
      <c r="U2685" s="4">
        <f t="shared" si="71"/>
        <v>0</v>
      </c>
      <c r="V2685" s="166"/>
      <c r="W2685" s="3">
        <v>2014</v>
      </c>
      <c r="X2685" s="3">
        <v>14</v>
      </c>
    </row>
    <row r="2686" spans="1:24" ht="114.75">
      <c r="A2686" s="3" t="s">
        <v>17648</v>
      </c>
      <c r="B2686" s="6" t="s">
        <v>361</v>
      </c>
      <c r="C2686" s="64" t="s">
        <v>4490</v>
      </c>
      <c r="D2686" s="104" t="s">
        <v>4491</v>
      </c>
      <c r="E2686" s="25" t="s">
        <v>4492</v>
      </c>
      <c r="F2686" s="6" t="s">
        <v>4793</v>
      </c>
      <c r="G2686" s="3" t="s">
        <v>11450</v>
      </c>
      <c r="H2686" s="54">
        <v>0</v>
      </c>
      <c r="I2686" s="55">
        <v>470000000</v>
      </c>
      <c r="J2686" s="56" t="s">
        <v>229</v>
      </c>
      <c r="K2686" s="6" t="s">
        <v>222</v>
      </c>
      <c r="L2686" s="17" t="s">
        <v>11411</v>
      </c>
      <c r="M2686" s="162" t="s">
        <v>230</v>
      </c>
      <c r="N2686" s="15" t="s">
        <v>17491</v>
      </c>
      <c r="O2686" s="6" t="s">
        <v>4568</v>
      </c>
      <c r="P2686" s="58" t="s">
        <v>241</v>
      </c>
      <c r="Q2686" s="6" t="s">
        <v>234</v>
      </c>
      <c r="R2686" s="3">
        <v>14</v>
      </c>
      <c r="S2686" s="1">
        <v>2525</v>
      </c>
      <c r="T2686" s="4">
        <f>R2686*S2686</f>
        <v>35350</v>
      </c>
      <c r="U2686" s="4">
        <f t="shared" si="71"/>
        <v>39592.000000000007</v>
      </c>
      <c r="V2686" s="166"/>
      <c r="W2686" s="3">
        <v>2014</v>
      </c>
      <c r="X2686" s="3"/>
    </row>
    <row r="2687" spans="1:24" ht="89.25">
      <c r="A2687" s="3" t="s">
        <v>1509</v>
      </c>
      <c r="B2687" s="6" t="s">
        <v>361</v>
      </c>
      <c r="C2687" s="64" t="s">
        <v>4493</v>
      </c>
      <c r="D2687" s="6" t="s">
        <v>4494</v>
      </c>
      <c r="E2687" s="6" t="s">
        <v>4495</v>
      </c>
      <c r="F2687" s="6" t="s">
        <v>4794</v>
      </c>
      <c r="G2687" s="3" t="s">
        <v>11450</v>
      </c>
      <c r="H2687" s="54">
        <v>0</v>
      </c>
      <c r="I2687" s="16">
        <v>470000000</v>
      </c>
      <c r="J2687" s="56" t="s">
        <v>229</v>
      </c>
      <c r="K2687" s="6" t="s">
        <v>516</v>
      </c>
      <c r="L2687" s="16" t="s">
        <v>4567</v>
      </c>
      <c r="M2687" s="162" t="s">
        <v>230</v>
      </c>
      <c r="N2687" s="15" t="s">
        <v>521</v>
      </c>
      <c r="O2687" s="6" t="s">
        <v>4568</v>
      </c>
      <c r="P2687" s="58" t="s">
        <v>241</v>
      </c>
      <c r="Q2687" s="6" t="s">
        <v>234</v>
      </c>
      <c r="R2687" s="4">
        <v>5</v>
      </c>
      <c r="S2687" s="74">
        <v>2362</v>
      </c>
      <c r="T2687" s="4">
        <v>0</v>
      </c>
      <c r="U2687" s="4">
        <f t="shared" si="71"/>
        <v>0</v>
      </c>
      <c r="V2687" s="3" t="s">
        <v>362</v>
      </c>
      <c r="W2687" s="3">
        <v>2014</v>
      </c>
      <c r="X2687" s="3" t="s">
        <v>12037</v>
      </c>
    </row>
    <row r="2688" spans="1:24" ht="89.25">
      <c r="A2688" s="3" t="s">
        <v>12599</v>
      </c>
      <c r="B2688" s="6" t="s">
        <v>361</v>
      </c>
      <c r="C2688" s="64" t="s">
        <v>4493</v>
      </c>
      <c r="D2688" s="6" t="s">
        <v>4494</v>
      </c>
      <c r="E2688" s="6" t="s">
        <v>4495</v>
      </c>
      <c r="F2688" s="6" t="s">
        <v>4794</v>
      </c>
      <c r="G2688" s="3" t="s">
        <v>11450</v>
      </c>
      <c r="H2688" s="54">
        <v>0</v>
      </c>
      <c r="I2688" s="16">
        <v>470000000</v>
      </c>
      <c r="J2688" s="56" t="s">
        <v>229</v>
      </c>
      <c r="K2688" s="6" t="s">
        <v>519</v>
      </c>
      <c r="L2688" s="17" t="s">
        <v>11411</v>
      </c>
      <c r="M2688" s="162" t="s">
        <v>230</v>
      </c>
      <c r="N2688" s="15" t="s">
        <v>521</v>
      </c>
      <c r="O2688" s="6" t="s">
        <v>4568</v>
      </c>
      <c r="P2688" s="58" t="s">
        <v>241</v>
      </c>
      <c r="Q2688" s="6" t="s">
        <v>234</v>
      </c>
      <c r="R2688" s="4">
        <v>5</v>
      </c>
      <c r="S2688" s="74">
        <v>2362</v>
      </c>
      <c r="T2688" s="4">
        <v>0</v>
      </c>
      <c r="U2688" s="4">
        <f t="shared" si="71"/>
        <v>0</v>
      </c>
      <c r="V2688" s="3"/>
      <c r="W2688" s="3">
        <v>2014</v>
      </c>
      <c r="X2688" s="3">
        <v>11</v>
      </c>
    </row>
    <row r="2689" spans="1:24" ht="89.25">
      <c r="A2689" s="3" t="s">
        <v>15696</v>
      </c>
      <c r="B2689" s="6" t="s">
        <v>361</v>
      </c>
      <c r="C2689" s="64" t="s">
        <v>4493</v>
      </c>
      <c r="D2689" s="6" t="s">
        <v>4494</v>
      </c>
      <c r="E2689" s="6" t="s">
        <v>4495</v>
      </c>
      <c r="F2689" s="6" t="s">
        <v>4794</v>
      </c>
      <c r="G2689" s="3" t="s">
        <v>11450</v>
      </c>
      <c r="H2689" s="54">
        <v>0</v>
      </c>
      <c r="I2689" s="16">
        <v>470000000</v>
      </c>
      <c r="J2689" s="56" t="s">
        <v>229</v>
      </c>
      <c r="K2689" s="6" t="s">
        <v>222</v>
      </c>
      <c r="L2689" s="17" t="s">
        <v>11411</v>
      </c>
      <c r="M2689" s="162" t="s">
        <v>230</v>
      </c>
      <c r="N2689" s="15" t="s">
        <v>521</v>
      </c>
      <c r="O2689" s="6" t="s">
        <v>4568</v>
      </c>
      <c r="P2689" s="58" t="s">
        <v>241</v>
      </c>
      <c r="Q2689" s="6" t="s">
        <v>234</v>
      </c>
      <c r="R2689" s="4">
        <v>5</v>
      </c>
      <c r="S2689" s="74">
        <v>2362</v>
      </c>
      <c r="T2689" s="4">
        <v>0</v>
      </c>
      <c r="U2689" s="4">
        <f t="shared" si="71"/>
        <v>0</v>
      </c>
      <c r="V2689" s="3"/>
      <c r="W2689" s="3">
        <v>2014</v>
      </c>
      <c r="X2689" s="3">
        <v>14</v>
      </c>
    </row>
    <row r="2690" spans="1:24" ht="89.25">
      <c r="A2690" s="3" t="s">
        <v>17649</v>
      </c>
      <c r="B2690" s="6" t="s">
        <v>361</v>
      </c>
      <c r="C2690" s="64" t="s">
        <v>4493</v>
      </c>
      <c r="D2690" s="6" t="s">
        <v>4494</v>
      </c>
      <c r="E2690" s="6" t="s">
        <v>4495</v>
      </c>
      <c r="F2690" s="6" t="s">
        <v>4794</v>
      </c>
      <c r="G2690" s="3" t="s">
        <v>11450</v>
      </c>
      <c r="H2690" s="54">
        <v>0</v>
      </c>
      <c r="I2690" s="16">
        <v>470000000</v>
      </c>
      <c r="J2690" s="56" t="s">
        <v>229</v>
      </c>
      <c r="K2690" s="6" t="s">
        <v>222</v>
      </c>
      <c r="L2690" s="17" t="s">
        <v>11411</v>
      </c>
      <c r="M2690" s="162" t="s">
        <v>230</v>
      </c>
      <c r="N2690" s="15" t="s">
        <v>17491</v>
      </c>
      <c r="O2690" s="6" t="s">
        <v>4568</v>
      </c>
      <c r="P2690" s="58" t="s">
        <v>241</v>
      </c>
      <c r="Q2690" s="6" t="s">
        <v>234</v>
      </c>
      <c r="R2690" s="4">
        <v>5</v>
      </c>
      <c r="S2690" s="74">
        <v>2362</v>
      </c>
      <c r="T2690" s="4">
        <f>R2690*S2690</f>
        <v>11810</v>
      </c>
      <c r="U2690" s="4">
        <f t="shared" si="71"/>
        <v>13227.2</v>
      </c>
      <c r="V2690" s="3"/>
      <c r="W2690" s="3">
        <v>2014</v>
      </c>
      <c r="X2690" s="3"/>
    </row>
    <row r="2691" spans="1:24" ht="89.25">
      <c r="A2691" s="3" t="s">
        <v>1510</v>
      </c>
      <c r="B2691" s="6" t="s">
        <v>361</v>
      </c>
      <c r="C2691" s="43" t="s">
        <v>4496</v>
      </c>
      <c r="D2691" s="160" t="s">
        <v>4497</v>
      </c>
      <c r="E2691" s="43" t="s">
        <v>4498</v>
      </c>
      <c r="F2691" s="6" t="s">
        <v>4795</v>
      </c>
      <c r="G2691" s="3" t="s">
        <v>11450</v>
      </c>
      <c r="H2691" s="54">
        <v>0</v>
      </c>
      <c r="I2691" s="55">
        <v>470000000</v>
      </c>
      <c r="J2691" s="56" t="s">
        <v>229</v>
      </c>
      <c r="K2691" s="6" t="s">
        <v>516</v>
      </c>
      <c r="L2691" s="16" t="s">
        <v>4570</v>
      </c>
      <c r="M2691" s="162" t="s">
        <v>230</v>
      </c>
      <c r="N2691" s="15" t="s">
        <v>521</v>
      </c>
      <c r="O2691" s="6" t="s">
        <v>4568</v>
      </c>
      <c r="P2691" s="58" t="s">
        <v>241</v>
      </c>
      <c r="Q2691" s="6" t="s">
        <v>234</v>
      </c>
      <c r="R2691" s="3">
        <v>42</v>
      </c>
      <c r="S2691" s="1">
        <v>2379</v>
      </c>
      <c r="T2691" s="4">
        <v>0</v>
      </c>
      <c r="U2691" s="4">
        <f t="shared" si="71"/>
        <v>0</v>
      </c>
      <c r="V2691" s="166" t="s">
        <v>362</v>
      </c>
      <c r="W2691" s="3">
        <v>2014</v>
      </c>
      <c r="X2691" s="3" t="s">
        <v>12037</v>
      </c>
    </row>
    <row r="2692" spans="1:24" ht="89.25">
      <c r="A2692" s="3" t="s">
        <v>12600</v>
      </c>
      <c r="B2692" s="6" t="s">
        <v>361</v>
      </c>
      <c r="C2692" s="43" t="s">
        <v>4496</v>
      </c>
      <c r="D2692" s="160" t="s">
        <v>4497</v>
      </c>
      <c r="E2692" s="43" t="s">
        <v>4498</v>
      </c>
      <c r="F2692" s="6" t="s">
        <v>4795</v>
      </c>
      <c r="G2692" s="3" t="s">
        <v>11450</v>
      </c>
      <c r="H2692" s="54">
        <v>0</v>
      </c>
      <c r="I2692" s="55">
        <v>470000000</v>
      </c>
      <c r="J2692" s="56" t="s">
        <v>229</v>
      </c>
      <c r="K2692" s="6" t="s">
        <v>519</v>
      </c>
      <c r="L2692" s="17" t="s">
        <v>11411</v>
      </c>
      <c r="M2692" s="162" t="s">
        <v>230</v>
      </c>
      <c r="N2692" s="15" t="s">
        <v>521</v>
      </c>
      <c r="O2692" s="6" t="s">
        <v>4568</v>
      </c>
      <c r="P2692" s="58" t="s">
        <v>241</v>
      </c>
      <c r="Q2692" s="6" t="s">
        <v>234</v>
      </c>
      <c r="R2692" s="3">
        <v>42</v>
      </c>
      <c r="S2692" s="1">
        <v>2379</v>
      </c>
      <c r="T2692" s="4">
        <v>0</v>
      </c>
      <c r="U2692" s="4">
        <f t="shared" si="71"/>
        <v>0</v>
      </c>
      <c r="V2692" s="166"/>
      <c r="W2692" s="3">
        <v>2014</v>
      </c>
      <c r="X2692" s="3">
        <v>11</v>
      </c>
    </row>
    <row r="2693" spans="1:24" ht="89.25">
      <c r="A2693" s="3" t="s">
        <v>15697</v>
      </c>
      <c r="B2693" s="6" t="s">
        <v>361</v>
      </c>
      <c r="C2693" s="43" t="s">
        <v>4496</v>
      </c>
      <c r="D2693" s="160" t="s">
        <v>4497</v>
      </c>
      <c r="E2693" s="43" t="s">
        <v>4498</v>
      </c>
      <c r="F2693" s="6" t="s">
        <v>4795</v>
      </c>
      <c r="G2693" s="3" t="s">
        <v>11450</v>
      </c>
      <c r="H2693" s="54">
        <v>0</v>
      </c>
      <c r="I2693" s="55">
        <v>470000000</v>
      </c>
      <c r="J2693" s="56" t="s">
        <v>229</v>
      </c>
      <c r="K2693" s="6" t="s">
        <v>222</v>
      </c>
      <c r="L2693" s="17" t="s">
        <v>11411</v>
      </c>
      <c r="M2693" s="162" t="s">
        <v>230</v>
      </c>
      <c r="N2693" s="15" t="s">
        <v>521</v>
      </c>
      <c r="O2693" s="6" t="s">
        <v>4568</v>
      </c>
      <c r="P2693" s="58" t="s">
        <v>241</v>
      </c>
      <c r="Q2693" s="6" t="s">
        <v>234</v>
      </c>
      <c r="R2693" s="3">
        <v>42</v>
      </c>
      <c r="S2693" s="1">
        <v>2379</v>
      </c>
      <c r="T2693" s="4">
        <v>0</v>
      </c>
      <c r="U2693" s="4">
        <f t="shared" si="71"/>
        <v>0</v>
      </c>
      <c r="V2693" s="166"/>
      <c r="W2693" s="3">
        <v>2014</v>
      </c>
      <c r="X2693" s="3">
        <v>14</v>
      </c>
    </row>
    <row r="2694" spans="1:24" ht="89.25">
      <c r="A2694" s="3" t="s">
        <v>17650</v>
      </c>
      <c r="B2694" s="6" t="s">
        <v>361</v>
      </c>
      <c r="C2694" s="43" t="s">
        <v>4496</v>
      </c>
      <c r="D2694" s="160" t="s">
        <v>4497</v>
      </c>
      <c r="E2694" s="43" t="s">
        <v>4498</v>
      </c>
      <c r="F2694" s="6" t="s">
        <v>4795</v>
      </c>
      <c r="G2694" s="3" t="s">
        <v>11450</v>
      </c>
      <c r="H2694" s="54">
        <v>0</v>
      </c>
      <c r="I2694" s="55">
        <v>470000000</v>
      </c>
      <c r="J2694" s="56" t="s">
        <v>229</v>
      </c>
      <c r="K2694" s="6" t="s">
        <v>222</v>
      </c>
      <c r="L2694" s="17" t="s">
        <v>11411</v>
      </c>
      <c r="M2694" s="162" t="s">
        <v>230</v>
      </c>
      <c r="N2694" s="15" t="s">
        <v>17491</v>
      </c>
      <c r="O2694" s="6" t="s">
        <v>4568</v>
      </c>
      <c r="P2694" s="58" t="s">
        <v>241</v>
      </c>
      <c r="Q2694" s="6" t="s">
        <v>234</v>
      </c>
      <c r="R2694" s="3">
        <v>42</v>
      </c>
      <c r="S2694" s="1">
        <v>2379</v>
      </c>
      <c r="T2694" s="4">
        <f>R2694*S2694</f>
        <v>99918</v>
      </c>
      <c r="U2694" s="4">
        <f t="shared" si="71"/>
        <v>111908.16</v>
      </c>
      <c r="V2694" s="166"/>
      <c r="W2694" s="3">
        <v>2014</v>
      </c>
      <c r="X2694" s="3"/>
    </row>
    <row r="2695" spans="1:24" ht="89.25">
      <c r="A2695" s="3" t="s">
        <v>1511</v>
      </c>
      <c r="B2695" s="6" t="s">
        <v>361</v>
      </c>
      <c r="C2695" s="43" t="s">
        <v>4499</v>
      </c>
      <c r="D2695" s="160" t="s">
        <v>11472</v>
      </c>
      <c r="E2695" s="43" t="s">
        <v>11473</v>
      </c>
      <c r="F2695" s="6" t="s">
        <v>351</v>
      </c>
      <c r="G2695" s="3" t="s">
        <v>11450</v>
      </c>
      <c r="H2695" s="54">
        <v>0</v>
      </c>
      <c r="I2695" s="16">
        <v>470000000</v>
      </c>
      <c r="J2695" s="56" t="s">
        <v>229</v>
      </c>
      <c r="K2695" s="6" t="s">
        <v>516</v>
      </c>
      <c r="L2695" s="16" t="s">
        <v>4567</v>
      </c>
      <c r="M2695" s="162" t="s">
        <v>230</v>
      </c>
      <c r="N2695" s="15" t="s">
        <v>521</v>
      </c>
      <c r="O2695" s="6" t="s">
        <v>4568</v>
      </c>
      <c r="P2695" s="58" t="s">
        <v>241</v>
      </c>
      <c r="Q2695" s="6" t="s">
        <v>234</v>
      </c>
      <c r="R2695" s="4">
        <v>2</v>
      </c>
      <c r="S2695" s="74">
        <v>6795</v>
      </c>
      <c r="T2695" s="4">
        <v>0</v>
      </c>
      <c r="U2695" s="4">
        <f t="shared" si="71"/>
        <v>0</v>
      </c>
      <c r="V2695" s="3" t="s">
        <v>362</v>
      </c>
      <c r="W2695" s="3">
        <v>2014</v>
      </c>
      <c r="X2695" s="3" t="s">
        <v>12037</v>
      </c>
    </row>
    <row r="2696" spans="1:24" ht="89.25">
      <c r="A2696" s="3" t="s">
        <v>12601</v>
      </c>
      <c r="B2696" s="6" t="s">
        <v>361</v>
      </c>
      <c r="C2696" s="43" t="s">
        <v>4499</v>
      </c>
      <c r="D2696" s="160" t="s">
        <v>11472</v>
      </c>
      <c r="E2696" s="43" t="s">
        <v>11473</v>
      </c>
      <c r="F2696" s="6" t="s">
        <v>351</v>
      </c>
      <c r="G2696" s="3" t="s">
        <v>11450</v>
      </c>
      <c r="H2696" s="54">
        <v>0</v>
      </c>
      <c r="I2696" s="16">
        <v>470000000</v>
      </c>
      <c r="J2696" s="56" t="s">
        <v>229</v>
      </c>
      <c r="K2696" s="6" t="s">
        <v>519</v>
      </c>
      <c r="L2696" s="17" t="s">
        <v>11411</v>
      </c>
      <c r="M2696" s="162" t="s">
        <v>230</v>
      </c>
      <c r="N2696" s="15" t="s">
        <v>521</v>
      </c>
      <c r="O2696" s="6" t="s">
        <v>4568</v>
      </c>
      <c r="P2696" s="58" t="s">
        <v>241</v>
      </c>
      <c r="Q2696" s="6" t="s">
        <v>234</v>
      </c>
      <c r="R2696" s="4">
        <v>2</v>
      </c>
      <c r="S2696" s="74">
        <v>6795</v>
      </c>
      <c r="T2696" s="4">
        <v>0</v>
      </c>
      <c r="U2696" s="4">
        <f t="shared" si="71"/>
        <v>0</v>
      </c>
      <c r="V2696" s="3"/>
      <c r="W2696" s="3">
        <v>2014</v>
      </c>
      <c r="X2696" s="3">
        <v>11</v>
      </c>
    </row>
    <row r="2697" spans="1:24" ht="89.25">
      <c r="A2697" s="3" t="s">
        <v>15698</v>
      </c>
      <c r="B2697" s="6" t="s">
        <v>361</v>
      </c>
      <c r="C2697" s="43" t="s">
        <v>4499</v>
      </c>
      <c r="D2697" s="160" t="s">
        <v>11472</v>
      </c>
      <c r="E2697" s="43" t="s">
        <v>11473</v>
      </c>
      <c r="F2697" s="6" t="s">
        <v>351</v>
      </c>
      <c r="G2697" s="3" t="s">
        <v>11450</v>
      </c>
      <c r="H2697" s="54">
        <v>0</v>
      </c>
      <c r="I2697" s="16">
        <v>470000000</v>
      </c>
      <c r="J2697" s="56" t="s">
        <v>229</v>
      </c>
      <c r="K2697" s="6" t="s">
        <v>222</v>
      </c>
      <c r="L2697" s="17" t="s">
        <v>11411</v>
      </c>
      <c r="M2697" s="162" t="s">
        <v>230</v>
      </c>
      <c r="N2697" s="15" t="s">
        <v>521</v>
      </c>
      <c r="O2697" s="6" t="s">
        <v>4568</v>
      </c>
      <c r="P2697" s="58" t="s">
        <v>241</v>
      </c>
      <c r="Q2697" s="6" t="s">
        <v>234</v>
      </c>
      <c r="R2697" s="4">
        <v>2</v>
      </c>
      <c r="S2697" s="74">
        <v>6795</v>
      </c>
      <c r="T2697" s="4">
        <v>0</v>
      </c>
      <c r="U2697" s="4">
        <f t="shared" si="71"/>
        <v>0</v>
      </c>
      <c r="V2697" s="3"/>
      <c r="W2697" s="3">
        <v>2014</v>
      </c>
      <c r="X2697" s="3">
        <v>14</v>
      </c>
    </row>
    <row r="2698" spans="1:24" ht="89.25">
      <c r="A2698" s="3" t="s">
        <v>17651</v>
      </c>
      <c r="B2698" s="6" t="s">
        <v>361</v>
      </c>
      <c r="C2698" s="43" t="s">
        <v>4499</v>
      </c>
      <c r="D2698" s="160" t="s">
        <v>11472</v>
      </c>
      <c r="E2698" s="43" t="s">
        <v>11473</v>
      </c>
      <c r="F2698" s="6" t="s">
        <v>351</v>
      </c>
      <c r="G2698" s="3" t="s">
        <v>11450</v>
      </c>
      <c r="H2698" s="54">
        <v>0</v>
      </c>
      <c r="I2698" s="16">
        <v>470000000</v>
      </c>
      <c r="J2698" s="56" t="s">
        <v>229</v>
      </c>
      <c r="K2698" s="6" t="s">
        <v>222</v>
      </c>
      <c r="L2698" s="17" t="s">
        <v>11411</v>
      </c>
      <c r="M2698" s="162" t="s">
        <v>230</v>
      </c>
      <c r="N2698" s="15" t="s">
        <v>17491</v>
      </c>
      <c r="O2698" s="6" t="s">
        <v>4568</v>
      </c>
      <c r="P2698" s="58" t="s">
        <v>241</v>
      </c>
      <c r="Q2698" s="6" t="s">
        <v>234</v>
      </c>
      <c r="R2698" s="4">
        <v>2</v>
      </c>
      <c r="S2698" s="74">
        <v>6795</v>
      </c>
      <c r="T2698" s="4">
        <f>R2698*S2698</f>
        <v>13590</v>
      </c>
      <c r="U2698" s="4">
        <f t="shared" si="71"/>
        <v>15220.800000000001</v>
      </c>
      <c r="V2698" s="3"/>
      <c r="W2698" s="3">
        <v>2014</v>
      </c>
      <c r="X2698" s="3"/>
    </row>
    <row r="2699" spans="1:24" ht="89.25">
      <c r="A2699" s="3" t="s">
        <v>1512</v>
      </c>
      <c r="B2699" s="6" t="s">
        <v>361</v>
      </c>
      <c r="C2699" s="42" t="s">
        <v>4500</v>
      </c>
      <c r="D2699" s="6" t="s">
        <v>4501</v>
      </c>
      <c r="E2699" s="14" t="s">
        <v>4502</v>
      </c>
      <c r="F2699" s="6" t="s">
        <v>4796</v>
      </c>
      <c r="G2699" s="3" t="s">
        <v>11450</v>
      </c>
      <c r="H2699" s="54">
        <v>0</v>
      </c>
      <c r="I2699" s="55">
        <v>470000000</v>
      </c>
      <c r="J2699" s="56" t="s">
        <v>229</v>
      </c>
      <c r="K2699" s="6" t="s">
        <v>516</v>
      </c>
      <c r="L2699" s="16" t="s">
        <v>4570</v>
      </c>
      <c r="M2699" s="162" t="s">
        <v>230</v>
      </c>
      <c r="N2699" s="15" t="s">
        <v>521</v>
      </c>
      <c r="O2699" s="6" t="s">
        <v>4568</v>
      </c>
      <c r="P2699" s="58" t="s">
        <v>241</v>
      </c>
      <c r="Q2699" s="6" t="s">
        <v>234</v>
      </c>
      <c r="R2699" s="3">
        <v>2</v>
      </c>
      <c r="S2699" s="1">
        <v>1974</v>
      </c>
      <c r="T2699" s="4">
        <v>0</v>
      </c>
      <c r="U2699" s="4">
        <f t="shared" si="71"/>
        <v>0</v>
      </c>
      <c r="V2699" s="166" t="s">
        <v>362</v>
      </c>
      <c r="W2699" s="3">
        <v>2014</v>
      </c>
      <c r="X2699" s="3" t="s">
        <v>12037</v>
      </c>
    </row>
    <row r="2700" spans="1:24" ht="89.25">
      <c r="A2700" s="3" t="s">
        <v>12602</v>
      </c>
      <c r="B2700" s="6" t="s">
        <v>361</v>
      </c>
      <c r="C2700" s="42" t="s">
        <v>4500</v>
      </c>
      <c r="D2700" s="6" t="s">
        <v>4501</v>
      </c>
      <c r="E2700" s="14" t="s">
        <v>4502</v>
      </c>
      <c r="F2700" s="6" t="s">
        <v>4796</v>
      </c>
      <c r="G2700" s="3" t="s">
        <v>11450</v>
      </c>
      <c r="H2700" s="54">
        <v>0</v>
      </c>
      <c r="I2700" s="55">
        <v>470000000</v>
      </c>
      <c r="J2700" s="56" t="s">
        <v>229</v>
      </c>
      <c r="K2700" s="6" t="s">
        <v>519</v>
      </c>
      <c r="L2700" s="17" t="s">
        <v>11411</v>
      </c>
      <c r="M2700" s="162" t="s">
        <v>230</v>
      </c>
      <c r="N2700" s="15" t="s">
        <v>521</v>
      </c>
      <c r="O2700" s="6" t="s">
        <v>4568</v>
      </c>
      <c r="P2700" s="58" t="s">
        <v>241</v>
      </c>
      <c r="Q2700" s="6" t="s">
        <v>234</v>
      </c>
      <c r="R2700" s="3">
        <v>2</v>
      </c>
      <c r="S2700" s="1">
        <v>1974</v>
      </c>
      <c r="T2700" s="4">
        <v>0</v>
      </c>
      <c r="U2700" s="4">
        <f t="shared" si="71"/>
        <v>0</v>
      </c>
      <c r="V2700" s="166"/>
      <c r="W2700" s="3">
        <v>2014</v>
      </c>
      <c r="X2700" s="3">
        <v>11</v>
      </c>
    </row>
    <row r="2701" spans="1:24" ht="89.25">
      <c r="A2701" s="3" t="s">
        <v>15699</v>
      </c>
      <c r="B2701" s="6" t="s">
        <v>361</v>
      </c>
      <c r="C2701" s="42" t="s">
        <v>4500</v>
      </c>
      <c r="D2701" s="6" t="s">
        <v>4501</v>
      </c>
      <c r="E2701" s="14" t="s">
        <v>4502</v>
      </c>
      <c r="F2701" s="6" t="s">
        <v>4796</v>
      </c>
      <c r="G2701" s="3" t="s">
        <v>11450</v>
      </c>
      <c r="H2701" s="54">
        <v>0</v>
      </c>
      <c r="I2701" s="55">
        <v>470000000</v>
      </c>
      <c r="J2701" s="56" t="s">
        <v>229</v>
      </c>
      <c r="K2701" s="6" t="s">
        <v>222</v>
      </c>
      <c r="L2701" s="17" t="s">
        <v>11411</v>
      </c>
      <c r="M2701" s="162" t="s">
        <v>230</v>
      </c>
      <c r="N2701" s="15" t="s">
        <v>521</v>
      </c>
      <c r="O2701" s="6" t="s">
        <v>4568</v>
      </c>
      <c r="P2701" s="58" t="s">
        <v>241</v>
      </c>
      <c r="Q2701" s="6" t="s">
        <v>234</v>
      </c>
      <c r="R2701" s="3">
        <v>2</v>
      </c>
      <c r="S2701" s="1">
        <v>1974</v>
      </c>
      <c r="T2701" s="4">
        <v>0</v>
      </c>
      <c r="U2701" s="4">
        <f t="shared" si="71"/>
        <v>0</v>
      </c>
      <c r="V2701" s="166"/>
      <c r="W2701" s="3">
        <v>2014</v>
      </c>
      <c r="X2701" s="3">
        <v>14</v>
      </c>
    </row>
    <row r="2702" spans="1:24" ht="89.25">
      <c r="A2702" s="3" t="s">
        <v>17652</v>
      </c>
      <c r="B2702" s="6" t="s">
        <v>361</v>
      </c>
      <c r="C2702" s="42" t="s">
        <v>4500</v>
      </c>
      <c r="D2702" s="6" t="s">
        <v>4501</v>
      </c>
      <c r="E2702" s="14" t="s">
        <v>4502</v>
      </c>
      <c r="F2702" s="6" t="s">
        <v>4796</v>
      </c>
      <c r="G2702" s="3" t="s">
        <v>11450</v>
      </c>
      <c r="H2702" s="54">
        <v>0</v>
      </c>
      <c r="I2702" s="55">
        <v>470000000</v>
      </c>
      <c r="J2702" s="56" t="s">
        <v>229</v>
      </c>
      <c r="K2702" s="6" t="s">
        <v>222</v>
      </c>
      <c r="L2702" s="17" t="s">
        <v>11411</v>
      </c>
      <c r="M2702" s="162" t="s">
        <v>230</v>
      </c>
      <c r="N2702" s="15" t="s">
        <v>17491</v>
      </c>
      <c r="O2702" s="6" t="s">
        <v>4568</v>
      </c>
      <c r="P2702" s="58" t="s">
        <v>241</v>
      </c>
      <c r="Q2702" s="6" t="s">
        <v>234</v>
      </c>
      <c r="R2702" s="3">
        <v>2</v>
      </c>
      <c r="S2702" s="1">
        <v>1974</v>
      </c>
      <c r="T2702" s="4">
        <f>R2702*S2702</f>
        <v>3948</v>
      </c>
      <c r="U2702" s="4">
        <f t="shared" si="71"/>
        <v>4421.76</v>
      </c>
      <c r="V2702" s="166"/>
      <c r="W2702" s="3">
        <v>2014</v>
      </c>
      <c r="X2702" s="3"/>
    </row>
    <row r="2703" spans="1:24" ht="89.25">
      <c r="A2703" s="3" t="s">
        <v>1513</v>
      </c>
      <c r="B2703" s="6" t="s">
        <v>361</v>
      </c>
      <c r="C2703" s="42" t="s">
        <v>4500</v>
      </c>
      <c r="D2703" s="6" t="s">
        <v>4501</v>
      </c>
      <c r="E2703" s="14" t="s">
        <v>4502</v>
      </c>
      <c r="F2703" s="6" t="s">
        <v>4797</v>
      </c>
      <c r="G2703" s="3" t="s">
        <v>11450</v>
      </c>
      <c r="H2703" s="54">
        <v>0</v>
      </c>
      <c r="I2703" s="16">
        <v>470000000</v>
      </c>
      <c r="J2703" s="56" t="s">
        <v>229</v>
      </c>
      <c r="K2703" s="6" t="s">
        <v>516</v>
      </c>
      <c r="L2703" s="16" t="s">
        <v>4567</v>
      </c>
      <c r="M2703" s="162" t="s">
        <v>230</v>
      </c>
      <c r="N2703" s="15" t="s">
        <v>521</v>
      </c>
      <c r="O2703" s="6" t="s">
        <v>4568</v>
      </c>
      <c r="P2703" s="58" t="s">
        <v>241</v>
      </c>
      <c r="Q2703" s="6" t="s">
        <v>234</v>
      </c>
      <c r="R2703" s="4">
        <v>9</v>
      </c>
      <c r="S2703" s="74">
        <v>4950</v>
      </c>
      <c r="T2703" s="4">
        <v>0</v>
      </c>
      <c r="U2703" s="4">
        <f t="shared" si="71"/>
        <v>0</v>
      </c>
      <c r="V2703" s="3" t="s">
        <v>362</v>
      </c>
      <c r="W2703" s="3">
        <v>2014</v>
      </c>
      <c r="X2703" s="3" t="s">
        <v>12037</v>
      </c>
    </row>
    <row r="2704" spans="1:24" ht="89.25">
      <c r="A2704" s="3" t="s">
        <v>12603</v>
      </c>
      <c r="B2704" s="6" t="s">
        <v>361</v>
      </c>
      <c r="C2704" s="42" t="s">
        <v>4500</v>
      </c>
      <c r="D2704" s="6" t="s">
        <v>4501</v>
      </c>
      <c r="E2704" s="14" t="s">
        <v>4502</v>
      </c>
      <c r="F2704" s="6" t="s">
        <v>4797</v>
      </c>
      <c r="G2704" s="3" t="s">
        <v>11450</v>
      </c>
      <c r="H2704" s="54">
        <v>0</v>
      </c>
      <c r="I2704" s="16">
        <v>470000000</v>
      </c>
      <c r="J2704" s="56" t="s">
        <v>229</v>
      </c>
      <c r="K2704" s="6" t="s">
        <v>519</v>
      </c>
      <c r="L2704" s="17" t="s">
        <v>11411</v>
      </c>
      <c r="M2704" s="162" t="s">
        <v>230</v>
      </c>
      <c r="N2704" s="15" t="s">
        <v>521</v>
      </c>
      <c r="O2704" s="6" t="s">
        <v>4568</v>
      </c>
      <c r="P2704" s="58" t="s">
        <v>241</v>
      </c>
      <c r="Q2704" s="6" t="s">
        <v>234</v>
      </c>
      <c r="R2704" s="4">
        <v>9</v>
      </c>
      <c r="S2704" s="74">
        <v>4950</v>
      </c>
      <c r="T2704" s="4">
        <v>0</v>
      </c>
      <c r="U2704" s="4">
        <f t="shared" si="71"/>
        <v>0</v>
      </c>
      <c r="V2704" s="3"/>
      <c r="W2704" s="3">
        <v>2014</v>
      </c>
      <c r="X2704" s="3">
        <v>11</v>
      </c>
    </row>
    <row r="2705" spans="1:24" ht="89.25">
      <c r="A2705" s="3" t="s">
        <v>15700</v>
      </c>
      <c r="B2705" s="6" t="s">
        <v>361</v>
      </c>
      <c r="C2705" s="42" t="s">
        <v>4500</v>
      </c>
      <c r="D2705" s="6" t="s">
        <v>4501</v>
      </c>
      <c r="E2705" s="14" t="s">
        <v>4502</v>
      </c>
      <c r="F2705" s="6" t="s">
        <v>4797</v>
      </c>
      <c r="G2705" s="3" t="s">
        <v>11450</v>
      </c>
      <c r="H2705" s="54">
        <v>0</v>
      </c>
      <c r="I2705" s="16">
        <v>470000000</v>
      </c>
      <c r="J2705" s="56" t="s">
        <v>229</v>
      </c>
      <c r="K2705" s="6" t="s">
        <v>222</v>
      </c>
      <c r="L2705" s="17" t="s">
        <v>11411</v>
      </c>
      <c r="M2705" s="162" t="s">
        <v>230</v>
      </c>
      <c r="N2705" s="15" t="s">
        <v>521</v>
      </c>
      <c r="O2705" s="6" t="s">
        <v>4568</v>
      </c>
      <c r="P2705" s="58" t="s">
        <v>241</v>
      </c>
      <c r="Q2705" s="6" t="s">
        <v>234</v>
      </c>
      <c r="R2705" s="4">
        <v>9</v>
      </c>
      <c r="S2705" s="74">
        <v>4950</v>
      </c>
      <c r="T2705" s="4">
        <v>0</v>
      </c>
      <c r="U2705" s="4">
        <f t="shared" si="71"/>
        <v>0</v>
      </c>
      <c r="V2705" s="3"/>
      <c r="W2705" s="3">
        <v>2014</v>
      </c>
      <c r="X2705" s="3">
        <v>14</v>
      </c>
    </row>
    <row r="2706" spans="1:24" ht="89.25">
      <c r="A2706" s="3" t="s">
        <v>17653</v>
      </c>
      <c r="B2706" s="6" t="s">
        <v>361</v>
      </c>
      <c r="C2706" s="42" t="s">
        <v>4500</v>
      </c>
      <c r="D2706" s="6" t="s">
        <v>4501</v>
      </c>
      <c r="E2706" s="14" t="s">
        <v>4502</v>
      </c>
      <c r="F2706" s="6" t="s">
        <v>4797</v>
      </c>
      <c r="G2706" s="3" t="s">
        <v>11450</v>
      </c>
      <c r="H2706" s="54">
        <v>0</v>
      </c>
      <c r="I2706" s="16">
        <v>470000000</v>
      </c>
      <c r="J2706" s="56" t="s">
        <v>229</v>
      </c>
      <c r="K2706" s="6" t="s">
        <v>222</v>
      </c>
      <c r="L2706" s="17" t="s">
        <v>11411</v>
      </c>
      <c r="M2706" s="162" t="s">
        <v>230</v>
      </c>
      <c r="N2706" s="15" t="s">
        <v>17491</v>
      </c>
      <c r="O2706" s="6" t="s">
        <v>4568</v>
      </c>
      <c r="P2706" s="58" t="s">
        <v>241</v>
      </c>
      <c r="Q2706" s="6" t="s">
        <v>234</v>
      </c>
      <c r="R2706" s="4">
        <v>9</v>
      </c>
      <c r="S2706" s="74">
        <v>4950</v>
      </c>
      <c r="T2706" s="4">
        <f>R2706*S2706</f>
        <v>44550</v>
      </c>
      <c r="U2706" s="4">
        <f t="shared" si="71"/>
        <v>49896.000000000007</v>
      </c>
      <c r="V2706" s="3"/>
      <c r="W2706" s="3">
        <v>2014</v>
      </c>
      <c r="X2706" s="3"/>
    </row>
    <row r="2707" spans="1:24" ht="89.25">
      <c r="A2707" s="3" t="s">
        <v>1514</v>
      </c>
      <c r="B2707" s="6" t="s">
        <v>361</v>
      </c>
      <c r="C2707" s="42" t="s">
        <v>4500</v>
      </c>
      <c r="D2707" s="6" t="s">
        <v>4501</v>
      </c>
      <c r="E2707" s="14" t="s">
        <v>4502</v>
      </c>
      <c r="F2707" s="6" t="s">
        <v>4798</v>
      </c>
      <c r="G2707" s="3" t="s">
        <v>11450</v>
      </c>
      <c r="H2707" s="54">
        <v>0</v>
      </c>
      <c r="I2707" s="55">
        <v>470000000</v>
      </c>
      <c r="J2707" s="56" t="s">
        <v>229</v>
      </c>
      <c r="K2707" s="6" t="s">
        <v>516</v>
      </c>
      <c r="L2707" s="16" t="s">
        <v>4570</v>
      </c>
      <c r="M2707" s="162" t="s">
        <v>230</v>
      </c>
      <c r="N2707" s="15" t="s">
        <v>521</v>
      </c>
      <c r="O2707" s="6" t="s">
        <v>4568</v>
      </c>
      <c r="P2707" s="58" t="s">
        <v>241</v>
      </c>
      <c r="Q2707" s="6" t="s">
        <v>234</v>
      </c>
      <c r="R2707" s="3">
        <v>2</v>
      </c>
      <c r="S2707" s="1">
        <v>1595</v>
      </c>
      <c r="T2707" s="4">
        <v>0</v>
      </c>
      <c r="U2707" s="4">
        <f t="shared" si="71"/>
        <v>0</v>
      </c>
      <c r="V2707" s="166" t="s">
        <v>362</v>
      </c>
      <c r="W2707" s="3">
        <v>2014</v>
      </c>
      <c r="X2707" s="3" t="s">
        <v>12037</v>
      </c>
    </row>
    <row r="2708" spans="1:24" ht="89.25">
      <c r="A2708" s="3" t="s">
        <v>12604</v>
      </c>
      <c r="B2708" s="6" t="s">
        <v>361</v>
      </c>
      <c r="C2708" s="42" t="s">
        <v>4500</v>
      </c>
      <c r="D2708" s="6" t="s">
        <v>4501</v>
      </c>
      <c r="E2708" s="14" t="s">
        <v>4502</v>
      </c>
      <c r="F2708" s="6" t="s">
        <v>4798</v>
      </c>
      <c r="G2708" s="3" t="s">
        <v>11450</v>
      </c>
      <c r="H2708" s="54">
        <v>0</v>
      </c>
      <c r="I2708" s="55">
        <v>470000000</v>
      </c>
      <c r="J2708" s="56" t="s">
        <v>229</v>
      </c>
      <c r="K2708" s="6" t="s">
        <v>519</v>
      </c>
      <c r="L2708" s="17" t="s">
        <v>11411</v>
      </c>
      <c r="M2708" s="162" t="s">
        <v>230</v>
      </c>
      <c r="N2708" s="15" t="s">
        <v>521</v>
      </c>
      <c r="O2708" s="6" t="s">
        <v>4568</v>
      </c>
      <c r="P2708" s="58" t="s">
        <v>241</v>
      </c>
      <c r="Q2708" s="6" t="s">
        <v>234</v>
      </c>
      <c r="R2708" s="3">
        <v>2</v>
      </c>
      <c r="S2708" s="1">
        <v>1595</v>
      </c>
      <c r="T2708" s="4">
        <v>0</v>
      </c>
      <c r="U2708" s="4">
        <f t="shared" si="71"/>
        <v>0</v>
      </c>
      <c r="V2708" s="166"/>
      <c r="W2708" s="3">
        <v>2014</v>
      </c>
      <c r="X2708" s="3">
        <v>11</v>
      </c>
    </row>
    <row r="2709" spans="1:24" ht="89.25">
      <c r="A2709" s="3" t="s">
        <v>15701</v>
      </c>
      <c r="B2709" s="6" t="s">
        <v>361</v>
      </c>
      <c r="C2709" s="42" t="s">
        <v>4500</v>
      </c>
      <c r="D2709" s="6" t="s">
        <v>4501</v>
      </c>
      <c r="E2709" s="14" t="s">
        <v>4502</v>
      </c>
      <c r="F2709" s="6" t="s">
        <v>4798</v>
      </c>
      <c r="G2709" s="3" t="s">
        <v>11450</v>
      </c>
      <c r="H2709" s="54">
        <v>0</v>
      </c>
      <c r="I2709" s="55">
        <v>470000000</v>
      </c>
      <c r="J2709" s="56" t="s">
        <v>229</v>
      </c>
      <c r="K2709" s="6" t="s">
        <v>222</v>
      </c>
      <c r="L2709" s="17" t="s">
        <v>11411</v>
      </c>
      <c r="M2709" s="162" t="s">
        <v>230</v>
      </c>
      <c r="N2709" s="15" t="s">
        <v>521</v>
      </c>
      <c r="O2709" s="6" t="s">
        <v>4568</v>
      </c>
      <c r="P2709" s="58" t="s">
        <v>241</v>
      </c>
      <c r="Q2709" s="6" t="s">
        <v>234</v>
      </c>
      <c r="R2709" s="3">
        <v>2</v>
      </c>
      <c r="S2709" s="1">
        <v>1595</v>
      </c>
      <c r="T2709" s="4">
        <v>0</v>
      </c>
      <c r="U2709" s="4">
        <f t="shared" si="71"/>
        <v>0</v>
      </c>
      <c r="V2709" s="166"/>
      <c r="W2709" s="3">
        <v>2014</v>
      </c>
      <c r="X2709" s="3">
        <v>14</v>
      </c>
    </row>
    <row r="2710" spans="1:24" ht="89.25">
      <c r="A2710" s="3" t="s">
        <v>17654</v>
      </c>
      <c r="B2710" s="6" t="s">
        <v>361</v>
      </c>
      <c r="C2710" s="42" t="s">
        <v>4500</v>
      </c>
      <c r="D2710" s="6" t="s">
        <v>4501</v>
      </c>
      <c r="E2710" s="14" t="s">
        <v>4502</v>
      </c>
      <c r="F2710" s="6" t="s">
        <v>4798</v>
      </c>
      <c r="G2710" s="3" t="s">
        <v>11450</v>
      </c>
      <c r="H2710" s="54">
        <v>0</v>
      </c>
      <c r="I2710" s="55">
        <v>470000000</v>
      </c>
      <c r="J2710" s="56" t="s">
        <v>229</v>
      </c>
      <c r="K2710" s="6" t="s">
        <v>222</v>
      </c>
      <c r="L2710" s="17" t="s">
        <v>11411</v>
      </c>
      <c r="M2710" s="162" t="s">
        <v>230</v>
      </c>
      <c r="N2710" s="15" t="s">
        <v>17491</v>
      </c>
      <c r="O2710" s="6" t="s">
        <v>4568</v>
      </c>
      <c r="P2710" s="58" t="s">
        <v>241</v>
      </c>
      <c r="Q2710" s="6" t="s">
        <v>234</v>
      </c>
      <c r="R2710" s="3">
        <v>2</v>
      </c>
      <c r="S2710" s="1">
        <v>1595</v>
      </c>
      <c r="T2710" s="4">
        <f>R2710*S2710</f>
        <v>3190</v>
      </c>
      <c r="U2710" s="4">
        <f t="shared" si="71"/>
        <v>3572.8</v>
      </c>
      <c r="V2710" s="166"/>
      <c r="W2710" s="3">
        <v>2014</v>
      </c>
      <c r="X2710" s="3"/>
    </row>
    <row r="2711" spans="1:24" ht="89.25">
      <c r="A2711" s="3" t="s">
        <v>1515</v>
      </c>
      <c r="B2711" s="6" t="s">
        <v>361</v>
      </c>
      <c r="C2711" s="42" t="s">
        <v>4500</v>
      </c>
      <c r="D2711" s="6" t="s">
        <v>4501</v>
      </c>
      <c r="E2711" s="14" t="s">
        <v>4502</v>
      </c>
      <c r="F2711" s="6" t="s">
        <v>4799</v>
      </c>
      <c r="G2711" s="3" t="s">
        <v>11450</v>
      </c>
      <c r="H2711" s="54">
        <v>0</v>
      </c>
      <c r="I2711" s="16">
        <v>470000000</v>
      </c>
      <c r="J2711" s="56" t="s">
        <v>229</v>
      </c>
      <c r="K2711" s="6" t="s">
        <v>516</v>
      </c>
      <c r="L2711" s="16" t="s">
        <v>4567</v>
      </c>
      <c r="M2711" s="162" t="s">
        <v>230</v>
      </c>
      <c r="N2711" s="15" t="s">
        <v>521</v>
      </c>
      <c r="O2711" s="6" t="s">
        <v>4568</v>
      </c>
      <c r="P2711" s="58" t="s">
        <v>241</v>
      </c>
      <c r="Q2711" s="6" t="s">
        <v>234</v>
      </c>
      <c r="R2711" s="4">
        <v>25</v>
      </c>
      <c r="S2711" s="74">
        <v>3120</v>
      </c>
      <c r="T2711" s="4">
        <v>0</v>
      </c>
      <c r="U2711" s="4">
        <f t="shared" si="71"/>
        <v>0</v>
      </c>
      <c r="V2711" s="3" t="s">
        <v>362</v>
      </c>
      <c r="W2711" s="3">
        <v>2014</v>
      </c>
      <c r="X2711" s="3" t="s">
        <v>12037</v>
      </c>
    </row>
    <row r="2712" spans="1:24" ht="89.25">
      <c r="A2712" s="3" t="s">
        <v>12605</v>
      </c>
      <c r="B2712" s="6" t="s">
        <v>361</v>
      </c>
      <c r="C2712" s="42" t="s">
        <v>4500</v>
      </c>
      <c r="D2712" s="6" t="s">
        <v>4501</v>
      </c>
      <c r="E2712" s="14" t="s">
        <v>4502</v>
      </c>
      <c r="F2712" s="6" t="s">
        <v>4799</v>
      </c>
      <c r="G2712" s="3" t="s">
        <v>11450</v>
      </c>
      <c r="H2712" s="54">
        <v>0</v>
      </c>
      <c r="I2712" s="16">
        <v>470000000</v>
      </c>
      <c r="J2712" s="56" t="s">
        <v>229</v>
      </c>
      <c r="K2712" s="6" t="s">
        <v>519</v>
      </c>
      <c r="L2712" s="17" t="s">
        <v>11411</v>
      </c>
      <c r="M2712" s="162" t="s">
        <v>230</v>
      </c>
      <c r="N2712" s="15" t="s">
        <v>521</v>
      </c>
      <c r="O2712" s="6" t="s">
        <v>4568</v>
      </c>
      <c r="P2712" s="58" t="s">
        <v>241</v>
      </c>
      <c r="Q2712" s="6" t="s">
        <v>234</v>
      </c>
      <c r="R2712" s="4">
        <v>25</v>
      </c>
      <c r="S2712" s="74">
        <v>3120</v>
      </c>
      <c r="T2712" s="4">
        <v>0</v>
      </c>
      <c r="U2712" s="4">
        <f t="shared" si="71"/>
        <v>0</v>
      </c>
      <c r="V2712" s="3"/>
      <c r="W2712" s="3">
        <v>2014</v>
      </c>
      <c r="X2712" s="3">
        <v>11</v>
      </c>
    </row>
    <row r="2713" spans="1:24" ht="89.25">
      <c r="A2713" s="3" t="s">
        <v>15702</v>
      </c>
      <c r="B2713" s="6" t="s">
        <v>361</v>
      </c>
      <c r="C2713" s="42" t="s">
        <v>4500</v>
      </c>
      <c r="D2713" s="6" t="s">
        <v>4501</v>
      </c>
      <c r="E2713" s="14" t="s">
        <v>4502</v>
      </c>
      <c r="F2713" s="6" t="s">
        <v>4799</v>
      </c>
      <c r="G2713" s="3" t="s">
        <v>11450</v>
      </c>
      <c r="H2713" s="54">
        <v>0</v>
      </c>
      <c r="I2713" s="16">
        <v>470000000</v>
      </c>
      <c r="J2713" s="56" t="s">
        <v>229</v>
      </c>
      <c r="K2713" s="6" t="s">
        <v>222</v>
      </c>
      <c r="L2713" s="17" t="s">
        <v>11411</v>
      </c>
      <c r="M2713" s="162" t="s">
        <v>230</v>
      </c>
      <c r="N2713" s="15" t="s">
        <v>521</v>
      </c>
      <c r="O2713" s="6" t="s">
        <v>4568</v>
      </c>
      <c r="P2713" s="58" t="s">
        <v>241</v>
      </c>
      <c r="Q2713" s="6" t="s">
        <v>234</v>
      </c>
      <c r="R2713" s="4">
        <v>25</v>
      </c>
      <c r="S2713" s="74">
        <v>3120</v>
      </c>
      <c r="T2713" s="4">
        <v>0</v>
      </c>
      <c r="U2713" s="4">
        <f t="shared" si="71"/>
        <v>0</v>
      </c>
      <c r="V2713" s="3"/>
      <c r="W2713" s="3">
        <v>2014</v>
      </c>
      <c r="X2713" s="3">
        <v>14</v>
      </c>
    </row>
    <row r="2714" spans="1:24" ht="89.25">
      <c r="A2714" s="3" t="s">
        <v>17655</v>
      </c>
      <c r="B2714" s="6" t="s">
        <v>361</v>
      </c>
      <c r="C2714" s="42" t="s">
        <v>4500</v>
      </c>
      <c r="D2714" s="6" t="s">
        <v>4501</v>
      </c>
      <c r="E2714" s="14" t="s">
        <v>4502</v>
      </c>
      <c r="F2714" s="6" t="s">
        <v>4799</v>
      </c>
      <c r="G2714" s="3" t="s">
        <v>11450</v>
      </c>
      <c r="H2714" s="54">
        <v>0</v>
      </c>
      <c r="I2714" s="16">
        <v>470000000</v>
      </c>
      <c r="J2714" s="56" t="s">
        <v>229</v>
      </c>
      <c r="K2714" s="6" t="s">
        <v>222</v>
      </c>
      <c r="L2714" s="17" t="s">
        <v>11411</v>
      </c>
      <c r="M2714" s="162" t="s">
        <v>230</v>
      </c>
      <c r="N2714" s="15" t="s">
        <v>17491</v>
      </c>
      <c r="O2714" s="6" t="s">
        <v>4568</v>
      </c>
      <c r="P2714" s="58" t="s">
        <v>241</v>
      </c>
      <c r="Q2714" s="6" t="s">
        <v>234</v>
      </c>
      <c r="R2714" s="4">
        <v>25</v>
      </c>
      <c r="S2714" s="74">
        <v>3120</v>
      </c>
      <c r="T2714" s="4">
        <f>R2714*S2714</f>
        <v>78000</v>
      </c>
      <c r="U2714" s="4">
        <f t="shared" si="71"/>
        <v>87360.000000000015</v>
      </c>
      <c r="V2714" s="3"/>
      <c r="W2714" s="3">
        <v>2014</v>
      </c>
      <c r="X2714" s="3"/>
    </row>
    <row r="2715" spans="1:24" ht="89.25">
      <c r="A2715" s="3" t="s">
        <v>1516</v>
      </c>
      <c r="B2715" s="6" t="s">
        <v>361</v>
      </c>
      <c r="C2715" s="64" t="s">
        <v>4503</v>
      </c>
      <c r="D2715" s="6" t="s">
        <v>4504</v>
      </c>
      <c r="E2715" s="6" t="s">
        <v>4505</v>
      </c>
      <c r="F2715" s="6" t="s">
        <v>4800</v>
      </c>
      <c r="G2715" s="3" t="s">
        <v>11450</v>
      </c>
      <c r="H2715" s="54">
        <v>0</v>
      </c>
      <c r="I2715" s="55">
        <v>470000000</v>
      </c>
      <c r="J2715" s="56" t="s">
        <v>229</v>
      </c>
      <c r="K2715" s="6" t="s">
        <v>516</v>
      </c>
      <c r="L2715" s="16" t="s">
        <v>4570</v>
      </c>
      <c r="M2715" s="162" t="s">
        <v>230</v>
      </c>
      <c r="N2715" s="15" t="s">
        <v>521</v>
      </c>
      <c r="O2715" s="6" t="s">
        <v>4568</v>
      </c>
      <c r="P2715" s="58" t="s">
        <v>241</v>
      </c>
      <c r="Q2715" s="6" t="s">
        <v>234</v>
      </c>
      <c r="R2715" s="3">
        <v>10</v>
      </c>
      <c r="S2715" s="1">
        <v>145</v>
      </c>
      <c r="T2715" s="4">
        <v>0</v>
      </c>
      <c r="U2715" s="4">
        <f t="shared" si="71"/>
        <v>0</v>
      </c>
      <c r="V2715" s="166" t="s">
        <v>362</v>
      </c>
      <c r="W2715" s="3">
        <v>2014</v>
      </c>
      <c r="X2715" s="3" t="s">
        <v>12037</v>
      </c>
    </row>
    <row r="2716" spans="1:24" ht="89.25">
      <c r="A2716" s="3" t="s">
        <v>12606</v>
      </c>
      <c r="B2716" s="6" t="s">
        <v>361</v>
      </c>
      <c r="C2716" s="64" t="s">
        <v>4503</v>
      </c>
      <c r="D2716" s="6" t="s">
        <v>4504</v>
      </c>
      <c r="E2716" s="6" t="s">
        <v>4505</v>
      </c>
      <c r="F2716" s="6" t="s">
        <v>4800</v>
      </c>
      <c r="G2716" s="3" t="s">
        <v>11450</v>
      </c>
      <c r="H2716" s="54">
        <v>0</v>
      </c>
      <c r="I2716" s="55">
        <v>470000000</v>
      </c>
      <c r="J2716" s="56" t="s">
        <v>229</v>
      </c>
      <c r="K2716" s="6" t="s">
        <v>519</v>
      </c>
      <c r="L2716" s="17" t="s">
        <v>11411</v>
      </c>
      <c r="M2716" s="162" t="s">
        <v>230</v>
      </c>
      <c r="N2716" s="15" t="s">
        <v>521</v>
      </c>
      <c r="O2716" s="6" t="s">
        <v>4568</v>
      </c>
      <c r="P2716" s="58" t="s">
        <v>241</v>
      </c>
      <c r="Q2716" s="6" t="s">
        <v>234</v>
      </c>
      <c r="R2716" s="3">
        <v>10</v>
      </c>
      <c r="S2716" s="1">
        <v>145</v>
      </c>
      <c r="T2716" s="4">
        <v>0</v>
      </c>
      <c r="U2716" s="4">
        <f t="shared" si="71"/>
        <v>0</v>
      </c>
      <c r="V2716" s="166"/>
      <c r="W2716" s="3">
        <v>2014</v>
      </c>
      <c r="X2716" s="3">
        <v>11</v>
      </c>
    </row>
    <row r="2717" spans="1:24" ht="89.25">
      <c r="A2717" s="3" t="s">
        <v>15703</v>
      </c>
      <c r="B2717" s="6" t="s">
        <v>361</v>
      </c>
      <c r="C2717" s="64" t="s">
        <v>4503</v>
      </c>
      <c r="D2717" s="6" t="s">
        <v>4504</v>
      </c>
      <c r="E2717" s="6" t="s">
        <v>4505</v>
      </c>
      <c r="F2717" s="6" t="s">
        <v>4800</v>
      </c>
      <c r="G2717" s="3" t="s">
        <v>11450</v>
      </c>
      <c r="H2717" s="54">
        <v>0</v>
      </c>
      <c r="I2717" s="55">
        <v>470000000</v>
      </c>
      <c r="J2717" s="56" t="s">
        <v>229</v>
      </c>
      <c r="K2717" s="6" t="s">
        <v>222</v>
      </c>
      <c r="L2717" s="17" t="s">
        <v>11411</v>
      </c>
      <c r="M2717" s="162" t="s">
        <v>230</v>
      </c>
      <c r="N2717" s="15" t="s">
        <v>521</v>
      </c>
      <c r="O2717" s="6" t="s">
        <v>4568</v>
      </c>
      <c r="P2717" s="58" t="s">
        <v>241</v>
      </c>
      <c r="Q2717" s="6" t="s">
        <v>234</v>
      </c>
      <c r="R2717" s="3">
        <v>10</v>
      </c>
      <c r="S2717" s="1">
        <v>145</v>
      </c>
      <c r="T2717" s="4">
        <v>0</v>
      </c>
      <c r="U2717" s="4">
        <f t="shared" si="71"/>
        <v>0</v>
      </c>
      <c r="V2717" s="166"/>
      <c r="W2717" s="3">
        <v>2014</v>
      </c>
      <c r="X2717" s="3">
        <v>14</v>
      </c>
    </row>
    <row r="2718" spans="1:24" ht="89.25">
      <c r="A2718" s="3" t="s">
        <v>17656</v>
      </c>
      <c r="B2718" s="6" t="s">
        <v>361</v>
      </c>
      <c r="C2718" s="64" t="s">
        <v>4503</v>
      </c>
      <c r="D2718" s="6" t="s">
        <v>4504</v>
      </c>
      <c r="E2718" s="6" t="s">
        <v>4505</v>
      </c>
      <c r="F2718" s="6" t="s">
        <v>4800</v>
      </c>
      <c r="G2718" s="3" t="s">
        <v>11450</v>
      </c>
      <c r="H2718" s="54">
        <v>0</v>
      </c>
      <c r="I2718" s="55">
        <v>470000000</v>
      </c>
      <c r="J2718" s="56" t="s">
        <v>229</v>
      </c>
      <c r="K2718" s="6" t="s">
        <v>222</v>
      </c>
      <c r="L2718" s="17" t="s">
        <v>11411</v>
      </c>
      <c r="M2718" s="162" t="s">
        <v>230</v>
      </c>
      <c r="N2718" s="15" t="s">
        <v>17491</v>
      </c>
      <c r="O2718" s="6" t="s">
        <v>4568</v>
      </c>
      <c r="P2718" s="58" t="s">
        <v>241</v>
      </c>
      <c r="Q2718" s="6" t="s">
        <v>234</v>
      </c>
      <c r="R2718" s="3">
        <v>10</v>
      </c>
      <c r="S2718" s="1">
        <v>145</v>
      </c>
      <c r="T2718" s="4">
        <f>R2718*S2718</f>
        <v>1450</v>
      </c>
      <c r="U2718" s="4">
        <f t="shared" si="71"/>
        <v>1624.0000000000002</v>
      </c>
      <c r="V2718" s="166"/>
      <c r="W2718" s="3">
        <v>2014</v>
      </c>
      <c r="X2718" s="3"/>
    </row>
    <row r="2719" spans="1:24" ht="89.25">
      <c r="A2719" s="3" t="s">
        <v>1517</v>
      </c>
      <c r="B2719" s="6" t="s">
        <v>361</v>
      </c>
      <c r="C2719" s="160" t="s">
        <v>4506</v>
      </c>
      <c r="D2719" s="160" t="s">
        <v>4504</v>
      </c>
      <c r="E2719" s="160" t="s">
        <v>4507</v>
      </c>
      <c r="F2719" s="6" t="s">
        <v>4801</v>
      </c>
      <c r="G2719" s="3" t="s">
        <v>11450</v>
      </c>
      <c r="H2719" s="54">
        <v>0</v>
      </c>
      <c r="I2719" s="16">
        <v>470000000</v>
      </c>
      <c r="J2719" s="56" t="s">
        <v>229</v>
      </c>
      <c r="K2719" s="6" t="s">
        <v>516</v>
      </c>
      <c r="L2719" s="16" t="s">
        <v>4567</v>
      </c>
      <c r="M2719" s="162" t="s">
        <v>230</v>
      </c>
      <c r="N2719" s="15" t="s">
        <v>521</v>
      </c>
      <c r="O2719" s="6" t="s">
        <v>4568</v>
      </c>
      <c r="P2719" s="58" t="s">
        <v>241</v>
      </c>
      <c r="Q2719" s="6" t="s">
        <v>234</v>
      </c>
      <c r="R2719" s="4">
        <v>20</v>
      </c>
      <c r="S2719" s="74">
        <v>268</v>
      </c>
      <c r="T2719" s="4">
        <v>0</v>
      </c>
      <c r="U2719" s="4">
        <f t="shared" si="71"/>
        <v>0</v>
      </c>
      <c r="V2719" s="3" t="s">
        <v>362</v>
      </c>
      <c r="W2719" s="3">
        <v>2014</v>
      </c>
      <c r="X2719" s="3" t="s">
        <v>12037</v>
      </c>
    </row>
    <row r="2720" spans="1:24" ht="89.25">
      <c r="A2720" s="3" t="s">
        <v>12607</v>
      </c>
      <c r="B2720" s="6" t="s">
        <v>361</v>
      </c>
      <c r="C2720" s="160" t="s">
        <v>4506</v>
      </c>
      <c r="D2720" s="160" t="s">
        <v>4504</v>
      </c>
      <c r="E2720" s="160" t="s">
        <v>4507</v>
      </c>
      <c r="F2720" s="6" t="s">
        <v>4801</v>
      </c>
      <c r="G2720" s="3" t="s">
        <v>11450</v>
      </c>
      <c r="H2720" s="54">
        <v>0</v>
      </c>
      <c r="I2720" s="16">
        <v>470000000</v>
      </c>
      <c r="J2720" s="56" t="s">
        <v>229</v>
      </c>
      <c r="K2720" s="6" t="s">
        <v>519</v>
      </c>
      <c r="L2720" s="17" t="s">
        <v>11411</v>
      </c>
      <c r="M2720" s="162" t="s">
        <v>230</v>
      </c>
      <c r="N2720" s="15" t="s">
        <v>521</v>
      </c>
      <c r="O2720" s="6" t="s">
        <v>4568</v>
      </c>
      <c r="P2720" s="58" t="s">
        <v>241</v>
      </c>
      <c r="Q2720" s="6" t="s">
        <v>234</v>
      </c>
      <c r="R2720" s="4">
        <v>20</v>
      </c>
      <c r="S2720" s="74">
        <v>268</v>
      </c>
      <c r="T2720" s="4">
        <v>0</v>
      </c>
      <c r="U2720" s="4">
        <f t="shared" si="71"/>
        <v>0</v>
      </c>
      <c r="V2720" s="3"/>
      <c r="W2720" s="3">
        <v>2014</v>
      </c>
      <c r="X2720" s="3">
        <v>11</v>
      </c>
    </row>
    <row r="2721" spans="1:24" ht="89.25">
      <c r="A2721" s="3" t="s">
        <v>15704</v>
      </c>
      <c r="B2721" s="6" t="s">
        <v>361</v>
      </c>
      <c r="C2721" s="160" t="s">
        <v>4506</v>
      </c>
      <c r="D2721" s="160" t="s">
        <v>4504</v>
      </c>
      <c r="E2721" s="160" t="s">
        <v>4507</v>
      </c>
      <c r="F2721" s="6" t="s">
        <v>4801</v>
      </c>
      <c r="G2721" s="3" t="s">
        <v>11450</v>
      </c>
      <c r="H2721" s="54">
        <v>0</v>
      </c>
      <c r="I2721" s="16">
        <v>470000000</v>
      </c>
      <c r="J2721" s="56" t="s">
        <v>229</v>
      </c>
      <c r="K2721" s="6" t="s">
        <v>222</v>
      </c>
      <c r="L2721" s="17" t="s">
        <v>11411</v>
      </c>
      <c r="M2721" s="162" t="s">
        <v>230</v>
      </c>
      <c r="N2721" s="15" t="s">
        <v>521</v>
      </c>
      <c r="O2721" s="6" t="s">
        <v>4568</v>
      </c>
      <c r="P2721" s="58" t="s">
        <v>241</v>
      </c>
      <c r="Q2721" s="6" t="s">
        <v>234</v>
      </c>
      <c r="R2721" s="4">
        <v>20</v>
      </c>
      <c r="S2721" s="74">
        <v>268</v>
      </c>
      <c r="T2721" s="4">
        <v>0</v>
      </c>
      <c r="U2721" s="4">
        <f t="shared" si="71"/>
        <v>0</v>
      </c>
      <c r="V2721" s="3"/>
      <c r="W2721" s="3">
        <v>2014</v>
      </c>
      <c r="X2721" s="3">
        <v>14</v>
      </c>
    </row>
    <row r="2722" spans="1:24" ht="89.25">
      <c r="A2722" s="3" t="s">
        <v>17657</v>
      </c>
      <c r="B2722" s="6" t="s">
        <v>361</v>
      </c>
      <c r="C2722" s="160" t="s">
        <v>4506</v>
      </c>
      <c r="D2722" s="160" t="s">
        <v>4504</v>
      </c>
      <c r="E2722" s="160" t="s">
        <v>4507</v>
      </c>
      <c r="F2722" s="6" t="s">
        <v>4801</v>
      </c>
      <c r="G2722" s="3" t="s">
        <v>11450</v>
      </c>
      <c r="H2722" s="54">
        <v>0</v>
      </c>
      <c r="I2722" s="16">
        <v>470000000</v>
      </c>
      <c r="J2722" s="56" t="s">
        <v>229</v>
      </c>
      <c r="K2722" s="6" t="s">
        <v>222</v>
      </c>
      <c r="L2722" s="17" t="s">
        <v>11411</v>
      </c>
      <c r="M2722" s="162" t="s">
        <v>230</v>
      </c>
      <c r="N2722" s="15" t="s">
        <v>17491</v>
      </c>
      <c r="O2722" s="6" t="s">
        <v>4568</v>
      </c>
      <c r="P2722" s="58" t="s">
        <v>241</v>
      </c>
      <c r="Q2722" s="6" t="s">
        <v>234</v>
      </c>
      <c r="R2722" s="4">
        <v>20</v>
      </c>
      <c r="S2722" s="74">
        <v>268</v>
      </c>
      <c r="T2722" s="4">
        <f>R2722*S2722</f>
        <v>5360</v>
      </c>
      <c r="U2722" s="4">
        <f t="shared" si="71"/>
        <v>6003.2000000000007</v>
      </c>
      <c r="V2722" s="3"/>
      <c r="W2722" s="3">
        <v>2014</v>
      </c>
      <c r="X2722" s="3"/>
    </row>
    <row r="2723" spans="1:24" ht="89.25">
      <c r="A2723" s="3" t="s">
        <v>1518</v>
      </c>
      <c r="B2723" s="6" t="s">
        <v>361</v>
      </c>
      <c r="C2723" s="64" t="s">
        <v>4508</v>
      </c>
      <c r="D2723" s="6" t="s">
        <v>4421</v>
      </c>
      <c r="E2723" s="6" t="s">
        <v>4509</v>
      </c>
      <c r="F2723" s="6" t="s">
        <v>4802</v>
      </c>
      <c r="G2723" s="3" t="s">
        <v>11450</v>
      </c>
      <c r="H2723" s="54">
        <v>0</v>
      </c>
      <c r="I2723" s="55">
        <v>470000000</v>
      </c>
      <c r="J2723" s="56" t="s">
        <v>229</v>
      </c>
      <c r="K2723" s="6" t="s">
        <v>516</v>
      </c>
      <c r="L2723" s="16" t="s">
        <v>4570</v>
      </c>
      <c r="M2723" s="162" t="s">
        <v>230</v>
      </c>
      <c r="N2723" s="15" t="s">
        <v>521</v>
      </c>
      <c r="O2723" s="6" t="s">
        <v>4568</v>
      </c>
      <c r="P2723" s="58" t="s">
        <v>241</v>
      </c>
      <c r="Q2723" s="6" t="s">
        <v>234</v>
      </c>
      <c r="R2723" s="3">
        <v>3</v>
      </c>
      <c r="S2723" s="1">
        <v>280.5</v>
      </c>
      <c r="T2723" s="4">
        <v>0</v>
      </c>
      <c r="U2723" s="4">
        <f t="shared" si="71"/>
        <v>0</v>
      </c>
      <c r="V2723" s="166" t="s">
        <v>362</v>
      </c>
      <c r="W2723" s="3">
        <v>2014</v>
      </c>
      <c r="X2723" s="3" t="s">
        <v>12037</v>
      </c>
    </row>
    <row r="2724" spans="1:24" ht="89.25">
      <c r="A2724" s="3" t="s">
        <v>12608</v>
      </c>
      <c r="B2724" s="6" t="s">
        <v>361</v>
      </c>
      <c r="C2724" s="64" t="s">
        <v>4508</v>
      </c>
      <c r="D2724" s="6" t="s">
        <v>4421</v>
      </c>
      <c r="E2724" s="6" t="s">
        <v>4509</v>
      </c>
      <c r="F2724" s="6" t="s">
        <v>4802</v>
      </c>
      <c r="G2724" s="3" t="s">
        <v>11450</v>
      </c>
      <c r="H2724" s="54">
        <v>0</v>
      </c>
      <c r="I2724" s="55">
        <v>470000000</v>
      </c>
      <c r="J2724" s="56" t="s">
        <v>229</v>
      </c>
      <c r="K2724" s="6" t="s">
        <v>519</v>
      </c>
      <c r="L2724" s="17" t="s">
        <v>11411</v>
      </c>
      <c r="M2724" s="162" t="s">
        <v>230</v>
      </c>
      <c r="N2724" s="15" t="s">
        <v>521</v>
      </c>
      <c r="O2724" s="6" t="s">
        <v>4568</v>
      </c>
      <c r="P2724" s="58" t="s">
        <v>241</v>
      </c>
      <c r="Q2724" s="6" t="s">
        <v>234</v>
      </c>
      <c r="R2724" s="3">
        <v>3</v>
      </c>
      <c r="S2724" s="1">
        <v>280.5</v>
      </c>
      <c r="T2724" s="4">
        <v>0</v>
      </c>
      <c r="U2724" s="4">
        <f t="shared" si="71"/>
        <v>0</v>
      </c>
      <c r="V2724" s="166"/>
      <c r="W2724" s="3">
        <v>2014</v>
      </c>
      <c r="X2724" s="3">
        <v>11</v>
      </c>
    </row>
    <row r="2725" spans="1:24" ht="89.25">
      <c r="A2725" s="3" t="s">
        <v>15705</v>
      </c>
      <c r="B2725" s="6" t="s">
        <v>361</v>
      </c>
      <c r="C2725" s="64" t="s">
        <v>4508</v>
      </c>
      <c r="D2725" s="6" t="s">
        <v>4421</v>
      </c>
      <c r="E2725" s="6" t="s">
        <v>4509</v>
      </c>
      <c r="F2725" s="6" t="s">
        <v>4802</v>
      </c>
      <c r="G2725" s="3" t="s">
        <v>11450</v>
      </c>
      <c r="H2725" s="54">
        <v>0</v>
      </c>
      <c r="I2725" s="55">
        <v>470000000</v>
      </c>
      <c r="J2725" s="56" t="s">
        <v>229</v>
      </c>
      <c r="K2725" s="6" t="s">
        <v>222</v>
      </c>
      <c r="L2725" s="17" t="s">
        <v>11411</v>
      </c>
      <c r="M2725" s="162" t="s">
        <v>230</v>
      </c>
      <c r="N2725" s="15" t="s">
        <v>521</v>
      </c>
      <c r="O2725" s="6" t="s">
        <v>4568</v>
      </c>
      <c r="P2725" s="58" t="s">
        <v>241</v>
      </c>
      <c r="Q2725" s="6" t="s">
        <v>234</v>
      </c>
      <c r="R2725" s="3">
        <v>3</v>
      </c>
      <c r="S2725" s="1">
        <v>280.5</v>
      </c>
      <c r="T2725" s="4">
        <v>0</v>
      </c>
      <c r="U2725" s="4">
        <f t="shared" si="71"/>
        <v>0</v>
      </c>
      <c r="V2725" s="166"/>
      <c r="W2725" s="3">
        <v>2014</v>
      </c>
      <c r="X2725" s="3">
        <v>14</v>
      </c>
    </row>
    <row r="2726" spans="1:24" ht="89.25">
      <c r="A2726" s="3" t="s">
        <v>17658</v>
      </c>
      <c r="B2726" s="6" t="s">
        <v>361</v>
      </c>
      <c r="C2726" s="64" t="s">
        <v>4508</v>
      </c>
      <c r="D2726" s="6" t="s">
        <v>4421</v>
      </c>
      <c r="E2726" s="6" t="s">
        <v>4509</v>
      </c>
      <c r="F2726" s="6" t="s">
        <v>4802</v>
      </c>
      <c r="G2726" s="3" t="s">
        <v>11450</v>
      </c>
      <c r="H2726" s="54">
        <v>0</v>
      </c>
      <c r="I2726" s="55">
        <v>470000000</v>
      </c>
      <c r="J2726" s="56" t="s">
        <v>229</v>
      </c>
      <c r="K2726" s="6" t="s">
        <v>222</v>
      </c>
      <c r="L2726" s="17" t="s">
        <v>11411</v>
      </c>
      <c r="M2726" s="162" t="s">
        <v>230</v>
      </c>
      <c r="N2726" s="15" t="s">
        <v>17491</v>
      </c>
      <c r="O2726" s="6" t="s">
        <v>4568</v>
      </c>
      <c r="P2726" s="58" t="s">
        <v>241</v>
      </c>
      <c r="Q2726" s="6" t="s">
        <v>234</v>
      </c>
      <c r="R2726" s="3">
        <v>3</v>
      </c>
      <c r="S2726" s="1">
        <v>280.5</v>
      </c>
      <c r="T2726" s="4">
        <f>R2726*S2726</f>
        <v>841.5</v>
      </c>
      <c r="U2726" s="4">
        <f t="shared" si="71"/>
        <v>942.48000000000013</v>
      </c>
      <c r="V2726" s="166"/>
      <c r="W2726" s="3">
        <v>2014</v>
      </c>
      <c r="X2726" s="3"/>
    </row>
    <row r="2727" spans="1:24" ht="89.25">
      <c r="A2727" s="3" t="s">
        <v>1519</v>
      </c>
      <c r="B2727" s="6" t="s">
        <v>361</v>
      </c>
      <c r="C2727" s="64" t="s">
        <v>4510</v>
      </c>
      <c r="D2727" s="6" t="s">
        <v>4421</v>
      </c>
      <c r="E2727" s="6" t="s">
        <v>4511</v>
      </c>
      <c r="F2727" s="6" t="s">
        <v>4803</v>
      </c>
      <c r="G2727" s="3" t="s">
        <v>11450</v>
      </c>
      <c r="H2727" s="54">
        <v>0</v>
      </c>
      <c r="I2727" s="16">
        <v>470000000</v>
      </c>
      <c r="J2727" s="56" t="s">
        <v>229</v>
      </c>
      <c r="K2727" s="6" t="s">
        <v>516</v>
      </c>
      <c r="L2727" s="16" t="s">
        <v>4567</v>
      </c>
      <c r="M2727" s="162" t="s">
        <v>230</v>
      </c>
      <c r="N2727" s="15" t="s">
        <v>521</v>
      </c>
      <c r="O2727" s="6" t="s">
        <v>4568</v>
      </c>
      <c r="P2727" s="58" t="s">
        <v>241</v>
      </c>
      <c r="Q2727" s="6" t="s">
        <v>234</v>
      </c>
      <c r="R2727" s="4">
        <v>50</v>
      </c>
      <c r="S2727" s="74">
        <v>295</v>
      </c>
      <c r="T2727" s="4">
        <v>0</v>
      </c>
      <c r="U2727" s="4">
        <f t="shared" si="71"/>
        <v>0</v>
      </c>
      <c r="V2727" s="3" t="s">
        <v>362</v>
      </c>
      <c r="W2727" s="3">
        <v>2014</v>
      </c>
      <c r="X2727" s="3" t="s">
        <v>12037</v>
      </c>
    </row>
    <row r="2728" spans="1:24" ht="89.25">
      <c r="A2728" s="3" t="s">
        <v>12609</v>
      </c>
      <c r="B2728" s="6" t="s">
        <v>361</v>
      </c>
      <c r="C2728" s="64" t="s">
        <v>4510</v>
      </c>
      <c r="D2728" s="6" t="s">
        <v>4421</v>
      </c>
      <c r="E2728" s="6" t="s">
        <v>4511</v>
      </c>
      <c r="F2728" s="6" t="s">
        <v>4803</v>
      </c>
      <c r="G2728" s="3" t="s">
        <v>11450</v>
      </c>
      <c r="H2728" s="54">
        <v>0</v>
      </c>
      <c r="I2728" s="16">
        <v>470000000</v>
      </c>
      <c r="J2728" s="56" t="s">
        <v>229</v>
      </c>
      <c r="K2728" s="6" t="s">
        <v>519</v>
      </c>
      <c r="L2728" s="17" t="s">
        <v>11411</v>
      </c>
      <c r="M2728" s="162" t="s">
        <v>230</v>
      </c>
      <c r="N2728" s="15" t="s">
        <v>521</v>
      </c>
      <c r="O2728" s="6" t="s">
        <v>4568</v>
      </c>
      <c r="P2728" s="58" t="s">
        <v>241</v>
      </c>
      <c r="Q2728" s="6" t="s">
        <v>234</v>
      </c>
      <c r="R2728" s="4">
        <v>50</v>
      </c>
      <c r="S2728" s="74">
        <v>295</v>
      </c>
      <c r="T2728" s="4">
        <v>0</v>
      </c>
      <c r="U2728" s="4">
        <f t="shared" si="71"/>
        <v>0</v>
      </c>
      <c r="V2728" s="3"/>
      <c r="W2728" s="3">
        <v>2014</v>
      </c>
      <c r="X2728" s="3">
        <v>11</v>
      </c>
    </row>
    <row r="2729" spans="1:24" ht="89.25">
      <c r="A2729" s="3" t="s">
        <v>15706</v>
      </c>
      <c r="B2729" s="6" t="s">
        <v>361</v>
      </c>
      <c r="C2729" s="64" t="s">
        <v>4510</v>
      </c>
      <c r="D2729" s="6" t="s">
        <v>4421</v>
      </c>
      <c r="E2729" s="6" t="s">
        <v>4511</v>
      </c>
      <c r="F2729" s="6" t="s">
        <v>4803</v>
      </c>
      <c r="G2729" s="3" t="s">
        <v>11450</v>
      </c>
      <c r="H2729" s="54">
        <v>0</v>
      </c>
      <c r="I2729" s="16">
        <v>470000000</v>
      </c>
      <c r="J2729" s="56" t="s">
        <v>229</v>
      </c>
      <c r="K2729" s="6" t="s">
        <v>222</v>
      </c>
      <c r="L2729" s="17" t="s">
        <v>11411</v>
      </c>
      <c r="M2729" s="162" t="s">
        <v>230</v>
      </c>
      <c r="N2729" s="15" t="s">
        <v>521</v>
      </c>
      <c r="O2729" s="6" t="s">
        <v>4568</v>
      </c>
      <c r="P2729" s="58" t="s">
        <v>241</v>
      </c>
      <c r="Q2729" s="6" t="s">
        <v>234</v>
      </c>
      <c r="R2729" s="4">
        <v>50</v>
      </c>
      <c r="S2729" s="74">
        <v>295</v>
      </c>
      <c r="T2729" s="4">
        <v>0</v>
      </c>
      <c r="U2729" s="4">
        <f t="shared" si="71"/>
        <v>0</v>
      </c>
      <c r="V2729" s="3"/>
      <c r="W2729" s="3">
        <v>2014</v>
      </c>
      <c r="X2729" s="3">
        <v>14</v>
      </c>
    </row>
    <row r="2730" spans="1:24" ht="89.25">
      <c r="A2730" s="3" t="s">
        <v>17659</v>
      </c>
      <c r="B2730" s="6" t="s">
        <v>361</v>
      </c>
      <c r="C2730" s="64" t="s">
        <v>4510</v>
      </c>
      <c r="D2730" s="6" t="s">
        <v>4421</v>
      </c>
      <c r="E2730" s="6" t="s">
        <v>4511</v>
      </c>
      <c r="F2730" s="6" t="s">
        <v>4803</v>
      </c>
      <c r="G2730" s="3" t="s">
        <v>11450</v>
      </c>
      <c r="H2730" s="54">
        <v>0</v>
      </c>
      <c r="I2730" s="16">
        <v>470000000</v>
      </c>
      <c r="J2730" s="56" t="s">
        <v>229</v>
      </c>
      <c r="K2730" s="6" t="s">
        <v>222</v>
      </c>
      <c r="L2730" s="17" t="s">
        <v>11411</v>
      </c>
      <c r="M2730" s="162" t="s">
        <v>230</v>
      </c>
      <c r="N2730" s="15" t="s">
        <v>17491</v>
      </c>
      <c r="O2730" s="6" t="s">
        <v>4568</v>
      </c>
      <c r="P2730" s="58" t="s">
        <v>241</v>
      </c>
      <c r="Q2730" s="6" t="s">
        <v>234</v>
      </c>
      <c r="R2730" s="4">
        <v>50</v>
      </c>
      <c r="S2730" s="74">
        <v>295</v>
      </c>
      <c r="T2730" s="4">
        <f>R2730*S2730</f>
        <v>14750</v>
      </c>
      <c r="U2730" s="4">
        <f t="shared" si="71"/>
        <v>16520</v>
      </c>
      <c r="V2730" s="3"/>
      <c r="W2730" s="3">
        <v>2014</v>
      </c>
      <c r="X2730" s="3"/>
    </row>
    <row r="2731" spans="1:24" ht="178.5">
      <c r="A2731" s="3" t="s">
        <v>1520</v>
      </c>
      <c r="B2731" s="6" t="s">
        <v>361</v>
      </c>
      <c r="C2731" s="64" t="s">
        <v>4512</v>
      </c>
      <c r="D2731" s="6" t="s">
        <v>4513</v>
      </c>
      <c r="E2731" s="6" t="s">
        <v>4514</v>
      </c>
      <c r="F2731" s="6" t="s">
        <v>352</v>
      </c>
      <c r="G2731" s="3" t="s">
        <v>11450</v>
      </c>
      <c r="H2731" s="54">
        <v>0</v>
      </c>
      <c r="I2731" s="55">
        <v>470000000</v>
      </c>
      <c r="J2731" s="56" t="s">
        <v>229</v>
      </c>
      <c r="K2731" s="6" t="s">
        <v>516</v>
      </c>
      <c r="L2731" s="16" t="s">
        <v>4570</v>
      </c>
      <c r="M2731" s="162" t="s">
        <v>230</v>
      </c>
      <c r="N2731" s="15" t="s">
        <v>521</v>
      </c>
      <c r="O2731" s="6" t="s">
        <v>4568</v>
      </c>
      <c r="P2731" s="58" t="s">
        <v>241</v>
      </c>
      <c r="Q2731" s="6" t="s">
        <v>234</v>
      </c>
      <c r="R2731" s="3">
        <v>60</v>
      </c>
      <c r="S2731" s="1">
        <v>351</v>
      </c>
      <c r="T2731" s="4">
        <v>0</v>
      </c>
      <c r="U2731" s="4">
        <f t="shared" si="71"/>
        <v>0</v>
      </c>
      <c r="V2731" s="166" t="s">
        <v>362</v>
      </c>
      <c r="W2731" s="3">
        <v>2014</v>
      </c>
      <c r="X2731" s="3" t="s">
        <v>12037</v>
      </c>
    </row>
    <row r="2732" spans="1:24" ht="178.5">
      <c r="A2732" s="3" t="s">
        <v>12610</v>
      </c>
      <c r="B2732" s="6" t="s">
        <v>361</v>
      </c>
      <c r="C2732" s="64" t="s">
        <v>4512</v>
      </c>
      <c r="D2732" s="6" t="s">
        <v>4513</v>
      </c>
      <c r="E2732" s="6" t="s">
        <v>4514</v>
      </c>
      <c r="F2732" s="6" t="s">
        <v>352</v>
      </c>
      <c r="G2732" s="3" t="s">
        <v>11450</v>
      </c>
      <c r="H2732" s="54">
        <v>0</v>
      </c>
      <c r="I2732" s="55">
        <v>470000000</v>
      </c>
      <c r="J2732" s="56" t="s">
        <v>229</v>
      </c>
      <c r="K2732" s="6" t="s">
        <v>519</v>
      </c>
      <c r="L2732" s="17" t="s">
        <v>11411</v>
      </c>
      <c r="M2732" s="162" t="s">
        <v>230</v>
      </c>
      <c r="N2732" s="15" t="s">
        <v>521</v>
      </c>
      <c r="O2732" s="6" t="s">
        <v>4568</v>
      </c>
      <c r="P2732" s="58" t="s">
        <v>241</v>
      </c>
      <c r="Q2732" s="6" t="s">
        <v>234</v>
      </c>
      <c r="R2732" s="3">
        <v>60</v>
      </c>
      <c r="S2732" s="1">
        <v>351</v>
      </c>
      <c r="T2732" s="4">
        <v>0</v>
      </c>
      <c r="U2732" s="4">
        <f t="shared" si="71"/>
        <v>0</v>
      </c>
      <c r="V2732" s="166"/>
      <c r="W2732" s="3">
        <v>2014</v>
      </c>
      <c r="X2732" s="3">
        <v>11</v>
      </c>
    </row>
    <row r="2733" spans="1:24" ht="178.5">
      <c r="A2733" s="3" t="s">
        <v>15707</v>
      </c>
      <c r="B2733" s="6" t="s">
        <v>361</v>
      </c>
      <c r="C2733" s="64" t="s">
        <v>4512</v>
      </c>
      <c r="D2733" s="6" t="s">
        <v>4513</v>
      </c>
      <c r="E2733" s="6" t="s">
        <v>4514</v>
      </c>
      <c r="F2733" s="6" t="s">
        <v>352</v>
      </c>
      <c r="G2733" s="3" t="s">
        <v>11450</v>
      </c>
      <c r="H2733" s="54">
        <v>0</v>
      </c>
      <c r="I2733" s="55">
        <v>470000000</v>
      </c>
      <c r="J2733" s="56" t="s">
        <v>229</v>
      </c>
      <c r="K2733" s="6" t="s">
        <v>222</v>
      </c>
      <c r="L2733" s="17" t="s">
        <v>11411</v>
      </c>
      <c r="M2733" s="162" t="s">
        <v>230</v>
      </c>
      <c r="N2733" s="15" t="s">
        <v>521</v>
      </c>
      <c r="O2733" s="6" t="s">
        <v>4568</v>
      </c>
      <c r="P2733" s="58" t="s">
        <v>241</v>
      </c>
      <c r="Q2733" s="6" t="s">
        <v>234</v>
      </c>
      <c r="R2733" s="3">
        <v>60</v>
      </c>
      <c r="S2733" s="1">
        <v>351</v>
      </c>
      <c r="T2733" s="4">
        <v>0</v>
      </c>
      <c r="U2733" s="4">
        <f t="shared" si="71"/>
        <v>0</v>
      </c>
      <c r="V2733" s="166"/>
      <c r="W2733" s="3">
        <v>2014</v>
      </c>
      <c r="X2733" s="3">
        <v>14</v>
      </c>
    </row>
    <row r="2734" spans="1:24" ht="178.5">
      <c r="A2734" s="3" t="s">
        <v>17660</v>
      </c>
      <c r="B2734" s="6" t="s">
        <v>361</v>
      </c>
      <c r="C2734" s="64" t="s">
        <v>4512</v>
      </c>
      <c r="D2734" s="6" t="s">
        <v>4513</v>
      </c>
      <c r="E2734" s="6" t="s">
        <v>4514</v>
      </c>
      <c r="F2734" s="6" t="s">
        <v>352</v>
      </c>
      <c r="G2734" s="3" t="s">
        <v>11450</v>
      </c>
      <c r="H2734" s="54">
        <v>0</v>
      </c>
      <c r="I2734" s="55">
        <v>470000000</v>
      </c>
      <c r="J2734" s="56" t="s">
        <v>229</v>
      </c>
      <c r="K2734" s="6" t="s">
        <v>222</v>
      </c>
      <c r="L2734" s="17" t="s">
        <v>11411</v>
      </c>
      <c r="M2734" s="162" t="s">
        <v>230</v>
      </c>
      <c r="N2734" s="15" t="s">
        <v>17491</v>
      </c>
      <c r="O2734" s="6" t="s">
        <v>4568</v>
      </c>
      <c r="P2734" s="58" t="s">
        <v>241</v>
      </c>
      <c r="Q2734" s="6" t="s">
        <v>234</v>
      </c>
      <c r="R2734" s="3">
        <v>60</v>
      </c>
      <c r="S2734" s="1">
        <v>351</v>
      </c>
      <c r="T2734" s="4">
        <f>R2734*S2734</f>
        <v>21060</v>
      </c>
      <c r="U2734" s="4">
        <f t="shared" si="71"/>
        <v>23587.200000000001</v>
      </c>
      <c r="V2734" s="166"/>
      <c r="W2734" s="3">
        <v>2014</v>
      </c>
      <c r="X2734" s="3"/>
    </row>
    <row r="2735" spans="1:24" ht="89.25">
      <c r="A2735" s="3" t="s">
        <v>1521</v>
      </c>
      <c r="B2735" s="6" t="s">
        <v>361</v>
      </c>
      <c r="C2735" s="43" t="s">
        <v>4515</v>
      </c>
      <c r="D2735" s="43" t="s">
        <v>353</v>
      </c>
      <c r="E2735" s="43" t="s">
        <v>4516</v>
      </c>
      <c r="F2735" s="6" t="s">
        <v>4804</v>
      </c>
      <c r="G2735" s="3" t="s">
        <v>11450</v>
      </c>
      <c r="H2735" s="54">
        <v>0</v>
      </c>
      <c r="I2735" s="16">
        <v>470000000</v>
      </c>
      <c r="J2735" s="56" t="s">
        <v>229</v>
      </c>
      <c r="K2735" s="6" t="s">
        <v>516</v>
      </c>
      <c r="L2735" s="16" t="s">
        <v>4567</v>
      </c>
      <c r="M2735" s="162" t="s">
        <v>230</v>
      </c>
      <c r="N2735" s="15" t="s">
        <v>521</v>
      </c>
      <c r="O2735" s="6" t="s">
        <v>4568</v>
      </c>
      <c r="P2735" s="58" t="s">
        <v>241</v>
      </c>
      <c r="Q2735" s="6" t="s">
        <v>234</v>
      </c>
      <c r="R2735" s="4">
        <v>20</v>
      </c>
      <c r="S2735" s="74">
        <v>35</v>
      </c>
      <c r="T2735" s="4">
        <v>0</v>
      </c>
      <c r="U2735" s="4">
        <f t="shared" si="71"/>
        <v>0</v>
      </c>
      <c r="V2735" s="3" t="s">
        <v>362</v>
      </c>
      <c r="W2735" s="3">
        <v>2014</v>
      </c>
      <c r="X2735" s="3" t="s">
        <v>12037</v>
      </c>
    </row>
    <row r="2736" spans="1:24" ht="89.25">
      <c r="A2736" s="3" t="s">
        <v>12611</v>
      </c>
      <c r="B2736" s="6" t="s">
        <v>361</v>
      </c>
      <c r="C2736" s="43" t="s">
        <v>4515</v>
      </c>
      <c r="D2736" s="43" t="s">
        <v>353</v>
      </c>
      <c r="E2736" s="43" t="s">
        <v>4516</v>
      </c>
      <c r="F2736" s="6" t="s">
        <v>4804</v>
      </c>
      <c r="G2736" s="3" t="s">
        <v>11450</v>
      </c>
      <c r="H2736" s="54">
        <v>0</v>
      </c>
      <c r="I2736" s="16">
        <v>470000000</v>
      </c>
      <c r="J2736" s="56" t="s">
        <v>229</v>
      </c>
      <c r="K2736" s="6" t="s">
        <v>519</v>
      </c>
      <c r="L2736" s="17" t="s">
        <v>11411</v>
      </c>
      <c r="M2736" s="162" t="s">
        <v>230</v>
      </c>
      <c r="N2736" s="15" t="s">
        <v>521</v>
      </c>
      <c r="O2736" s="6" t="s">
        <v>4568</v>
      </c>
      <c r="P2736" s="58" t="s">
        <v>241</v>
      </c>
      <c r="Q2736" s="6" t="s">
        <v>234</v>
      </c>
      <c r="R2736" s="4">
        <v>20</v>
      </c>
      <c r="S2736" s="74">
        <v>35</v>
      </c>
      <c r="T2736" s="4">
        <v>0</v>
      </c>
      <c r="U2736" s="4">
        <f t="shared" si="71"/>
        <v>0</v>
      </c>
      <c r="V2736" s="3"/>
      <c r="W2736" s="3">
        <v>2014</v>
      </c>
      <c r="X2736" s="3">
        <v>11</v>
      </c>
    </row>
    <row r="2737" spans="1:24" ht="89.25">
      <c r="A2737" s="3" t="s">
        <v>15708</v>
      </c>
      <c r="B2737" s="6" t="s">
        <v>361</v>
      </c>
      <c r="C2737" s="43" t="s">
        <v>4515</v>
      </c>
      <c r="D2737" s="43" t="s">
        <v>353</v>
      </c>
      <c r="E2737" s="43" t="s">
        <v>4516</v>
      </c>
      <c r="F2737" s="6" t="s">
        <v>4804</v>
      </c>
      <c r="G2737" s="3" t="s">
        <v>11450</v>
      </c>
      <c r="H2737" s="54">
        <v>0</v>
      </c>
      <c r="I2737" s="16">
        <v>470000000</v>
      </c>
      <c r="J2737" s="56" t="s">
        <v>229</v>
      </c>
      <c r="K2737" s="6" t="s">
        <v>222</v>
      </c>
      <c r="L2737" s="17" t="s">
        <v>11411</v>
      </c>
      <c r="M2737" s="162" t="s">
        <v>230</v>
      </c>
      <c r="N2737" s="15" t="s">
        <v>521</v>
      </c>
      <c r="O2737" s="6" t="s">
        <v>4568</v>
      </c>
      <c r="P2737" s="58" t="s">
        <v>241</v>
      </c>
      <c r="Q2737" s="6" t="s">
        <v>234</v>
      </c>
      <c r="R2737" s="4">
        <v>20</v>
      </c>
      <c r="S2737" s="74">
        <v>35</v>
      </c>
      <c r="T2737" s="4">
        <v>0</v>
      </c>
      <c r="U2737" s="4">
        <f t="shared" si="71"/>
        <v>0</v>
      </c>
      <c r="V2737" s="3"/>
      <c r="W2737" s="3">
        <v>2014</v>
      </c>
      <c r="X2737" s="3">
        <v>14</v>
      </c>
    </row>
    <row r="2738" spans="1:24" ht="89.25">
      <c r="A2738" s="3" t="s">
        <v>17661</v>
      </c>
      <c r="B2738" s="6" t="s">
        <v>361</v>
      </c>
      <c r="C2738" s="43" t="s">
        <v>4515</v>
      </c>
      <c r="D2738" s="43" t="s">
        <v>353</v>
      </c>
      <c r="E2738" s="43" t="s">
        <v>4516</v>
      </c>
      <c r="F2738" s="6" t="s">
        <v>4804</v>
      </c>
      <c r="G2738" s="3" t="s">
        <v>11450</v>
      </c>
      <c r="H2738" s="54">
        <v>0</v>
      </c>
      <c r="I2738" s="16">
        <v>470000000</v>
      </c>
      <c r="J2738" s="56" t="s">
        <v>229</v>
      </c>
      <c r="K2738" s="6" t="s">
        <v>222</v>
      </c>
      <c r="L2738" s="17" t="s">
        <v>11411</v>
      </c>
      <c r="M2738" s="162" t="s">
        <v>230</v>
      </c>
      <c r="N2738" s="15" t="s">
        <v>17491</v>
      </c>
      <c r="O2738" s="6" t="s">
        <v>4568</v>
      </c>
      <c r="P2738" s="58" t="s">
        <v>241</v>
      </c>
      <c r="Q2738" s="6" t="s">
        <v>234</v>
      </c>
      <c r="R2738" s="4">
        <v>20</v>
      </c>
      <c r="S2738" s="74">
        <v>35</v>
      </c>
      <c r="T2738" s="4">
        <f>R2738*S2738</f>
        <v>700</v>
      </c>
      <c r="U2738" s="4">
        <f t="shared" si="71"/>
        <v>784.00000000000011</v>
      </c>
      <c r="V2738" s="3"/>
      <c r="W2738" s="3">
        <v>2014</v>
      </c>
      <c r="X2738" s="3"/>
    </row>
    <row r="2739" spans="1:24" ht="89.25">
      <c r="A2739" s="3" t="s">
        <v>1522</v>
      </c>
      <c r="B2739" s="6" t="s">
        <v>361</v>
      </c>
      <c r="C2739" s="43" t="s">
        <v>4506</v>
      </c>
      <c r="D2739" s="43" t="s">
        <v>4504</v>
      </c>
      <c r="E2739" s="43" t="s">
        <v>4507</v>
      </c>
      <c r="F2739" s="6" t="s">
        <v>4805</v>
      </c>
      <c r="G2739" s="3" t="s">
        <v>11450</v>
      </c>
      <c r="H2739" s="54">
        <v>0</v>
      </c>
      <c r="I2739" s="55">
        <v>470000000</v>
      </c>
      <c r="J2739" s="56" t="s">
        <v>229</v>
      </c>
      <c r="K2739" s="6" t="s">
        <v>516</v>
      </c>
      <c r="L2739" s="16" t="s">
        <v>4570</v>
      </c>
      <c r="M2739" s="162" t="s">
        <v>230</v>
      </c>
      <c r="N2739" s="15" t="s">
        <v>521</v>
      </c>
      <c r="O2739" s="6" t="s">
        <v>4568</v>
      </c>
      <c r="P2739" s="58" t="s">
        <v>241</v>
      </c>
      <c r="Q2739" s="6" t="s">
        <v>234</v>
      </c>
      <c r="R2739" s="3">
        <v>350</v>
      </c>
      <c r="S2739" s="1">
        <v>35</v>
      </c>
      <c r="T2739" s="4">
        <v>0</v>
      </c>
      <c r="U2739" s="4">
        <f t="shared" si="71"/>
        <v>0</v>
      </c>
      <c r="V2739" s="166" t="s">
        <v>362</v>
      </c>
      <c r="W2739" s="3">
        <v>2014</v>
      </c>
      <c r="X2739" s="3" t="s">
        <v>12037</v>
      </c>
    </row>
    <row r="2740" spans="1:24" ht="89.25">
      <c r="A2740" s="3" t="s">
        <v>12612</v>
      </c>
      <c r="B2740" s="6" t="s">
        <v>361</v>
      </c>
      <c r="C2740" s="43" t="s">
        <v>4506</v>
      </c>
      <c r="D2740" s="43" t="s">
        <v>4504</v>
      </c>
      <c r="E2740" s="43" t="s">
        <v>4507</v>
      </c>
      <c r="F2740" s="6" t="s">
        <v>4805</v>
      </c>
      <c r="G2740" s="3" t="s">
        <v>11450</v>
      </c>
      <c r="H2740" s="54">
        <v>0</v>
      </c>
      <c r="I2740" s="55">
        <v>470000000</v>
      </c>
      <c r="J2740" s="56" t="s">
        <v>229</v>
      </c>
      <c r="K2740" s="6" t="s">
        <v>519</v>
      </c>
      <c r="L2740" s="17" t="s">
        <v>11411</v>
      </c>
      <c r="M2740" s="162" t="s">
        <v>230</v>
      </c>
      <c r="N2740" s="15" t="s">
        <v>521</v>
      </c>
      <c r="O2740" s="6" t="s">
        <v>4568</v>
      </c>
      <c r="P2740" s="58" t="s">
        <v>241</v>
      </c>
      <c r="Q2740" s="6" t="s">
        <v>234</v>
      </c>
      <c r="R2740" s="3">
        <v>350</v>
      </c>
      <c r="S2740" s="1">
        <v>35</v>
      </c>
      <c r="T2740" s="4">
        <v>0</v>
      </c>
      <c r="U2740" s="4">
        <f t="shared" si="71"/>
        <v>0</v>
      </c>
      <c r="V2740" s="166"/>
      <c r="W2740" s="3">
        <v>2014</v>
      </c>
      <c r="X2740" s="3">
        <v>11</v>
      </c>
    </row>
    <row r="2741" spans="1:24" ht="89.25">
      <c r="A2741" s="3" t="s">
        <v>15709</v>
      </c>
      <c r="B2741" s="6" t="s">
        <v>361</v>
      </c>
      <c r="C2741" s="43" t="s">
        <v>4506</v>
      </c>
      <c r="D2741" s="43" t="s">
        <v>4504</v>
      </c>
      <c r="E2741" s="43" t="s">
        <v>4507</v>
      </c>
      <c r="F2741" s="6" t="s">
        <v>4805</v>
      </c>
      <c r="G2741" s="3" t="s">
        <v>11450</v>
      </c>
      <c r="H2741" s="54">
        <v>0</v>
      </c>
      <c r="I2741" s="55">
        <v>470000000</v>
      </c>
      <c r="J2741" s="56" t="s">
        <v>229</v>
      </c>
      <c r="K2741" s="6" t="s">
        <v>222</v>
      </c>
      <c r="L2741" s="17" t="s">
        <v>11411</v>
      </c>
      <c r="M2741" s="162" t="s">
        <v>230</v>
      </c>
      <c r="N2741" s="15" t="s">
        <v>521</v>
      </c>
      <c r="O2741" s="6" t="s">
        <v>4568</v>
      </c>
      <c r="P2741" s="58" t="s">
        <v>241</v>
      </c>
      <c r="Q2741" s="6" t="s">
        <v>234</v>
      </c>
      <c r="R2741" s="3">
        <v>350</v>
      </c>
      <c r="S2741" s="1">
        <v>35</v>
      </c>
      <c r="T2741" s="4">
        <v>0</v>
      </c>
      <c r="U2741" s="4">
        <f t="shared" si="71"/>
        <v>0</v>
      </c>
      <c r="V2741" s="166"/>
      <c r="W2741" s="3">
        <v>2014</v>
      </c>
      <c r="X2741" s="3">
        <v>14</v>
      </c>
    </row>
    <row r="2742" spans="1:24" ht="89.25">
      <c r="A2742" s="3" t="s">
        <v>17662</v>
      </c>
      <c r="B2742" s="6" t="s">
        <v>361</v>
      </c>
      <c r="C2742" s="43" t="s">
        <v>4506</v>
      </c>
      <c r="D2742" s="43" t="s">
        <v>4504</v>
      </c>
      <c r="E2742" s="43" t="s">
        <v>4507</v>
      </c>
      <c r="F2742" s="6" t="s">
        <v>4805</v>
      </c>
      <c r="G2742" s="3" t="s">
        <v>11450</v>
      </c>
      <c r="H2742" s="54">
        <v>0</v>
      </c>
      <c r="I2742" s="55">
        <v>470000000</v>
      </c>
      <c r="J2742" s="56" t="s">
        <v>229</v>
      </c>
      <c r="K2742" s="6" t="s">
        <v>222</v>
      </c>
      <c r="L2742" s="17" t="s">
        <v>11411</v>
      </c>
      <c r="M2742" s="162" t="s">
        <v>230</v>
      </c>
      <c r="N2742" s="15" t="s">
        <v>17491</v>
      </c>
      <c r="O2742" s="6" t="s">
        <v>4568</v>
      </c>
      <c r="P2742" s="58" t="s">
        <v>241</v>
      </c>
      <c r="Q2742" s="6" t="s">
        <v>234</v>
      </c>
      <c r="R2742" s="3">
        <v>350</v>
      </c>
      <c r="S2742" s="1">
        <v>35</v>
      </c>
      <c r="T2742" s="4">
        <f>R2742*S2742</f>
        <v>12250</v>
      </c>
      <c r="U2742" s="4">
        <f t="shared" si="71"/>
        <v>13720.000000000002</v>
      </c>
      <c r="V2742" s="166"/>
      <c r="W2742" s="3">
        <v>2014</v>
      </c>
      <c r="X2742" s="3"/>
    </row>
    <row r="2743" spans="1:24" ht="89.25">
      <c r="A2743" s="3" t="s">
        <v>1523</v>
      </c>
      <c r="B2743" s="6" t="s">
        <v>361</v>
      </c>
      <c r="C2743" s="43" t="s">
        <v>4517</v>
      </c>
      <c r="D2743" s="43" t="s">
        <v>4518</v>
      </c>
      <c r="E2743" s="43" t="s">
        <v>11474</v>
      </c>
      <c r="F2743" s="6" t="s">
        <v>4806</v>
      </c>
      <c r="G2743" s="6" t="s">
        <v>11449</v>
      </c>
      <c r="H2743" s="54">
        <v>0</v>
      </c>
      <c r="I2743" s="16">
        <v>470000000</v>
      </c>
      <c r="J2743" s="56" t="s">
        <v>229</v>
      </c>
      <c r="K2743" s="6" t="s">
        <v>519</v>
      </c>
      <c r="L2743" s="16" t="s">
        <v>4567</v>
      </c>
      <c r="M2743" s="162" t="s">
        <v>230</v>
      </c>
      <c r="N2743" s="15" t="s">
        <v>524</v>
      </c>
      <c r="O2743" s="6" t="s">
        <v>4568</v>
      </c>
      <c r="P2743" s="58" t="s">
        <v>241</v>
      </c>
      <c r="Q2743" s="6" t="s">
        <v>234</v>
      </c>
      <c r="R2743" s="4">
        <v>1200</v>
      </c>
      <c r="S2743" s="74">
        <v>245</v>
      </c>
      <c r="T2743" s="4">
        <v>0</v>
      </c>
      <c r="U2743" s="4">
        <f t="shared" si="71"/>
        <v>0</v>
      </c>
      <c r="V2743" s="3" t="s">
        <v>362</v>
      </c>
      <c r="W2743" s="3">
        <v>2014</v>
      </c>
      <c r="X2743" s="3">
        <v>12.22</v>
      </c>
    </row>
    <row r="2744" spans="1:24" ht="89.25">
      <c r="A2744" s="3" t="s">
        <v>12613</v>
      </c>
      <c r="B2744" s="6" t="s">
        <v>361</v>
      </c>
      <c r="C2744" s="43" t="s">
        <v>4517</v>
      </c>
      <c r="D2744" s="43" t="s">
        <v>4518</v>
      </c>
      <c r="E2744" s="43" t="s">
        <v>11474</v>
      </c>
      <c r="F2744" s="6" t="s">
        <v>4806</v>
      </c>
      <c r="G2744" s="6" t="s">
        <v>11449</v>
      </c>
      <c r="H2744" s="54">
        <v>0</v>
      </c>
      <c r="I2744" s="16">
        <v>470000000</v>
      </c>
      <c r="J2744" s="56" t="s">
        <v>229</v>
      </c>
      <c r="K2744" s="6" t="s">
        <v>519</v>
      </c>
      <c r="L2744" s="17" t="s">
        <v>11411</v>
      </c>
      <c r="M2744" s="162" t="s">
        <v>230</v>
      </c>
      <c r="N2744" s="15" t="s">
        <v>524</v>
      </c>
      <c r="O2744" s="6" t="s">
        <v>4568</v>
      </c>
      <c r="P2744" s="58" t="s">
        <v>241</v>
      </c>
      <c r="Q2744" s="6" t="s">
        <v>234</v>
      </c>
      <c r="R2744" s="4">
        <v>1200</v>
      </c>
      <c r="S2744" s="74">
        <v>245</v>
      </c>
      <c r="T2744" s="4">
        <v>0</v>
      </c>
      <c r="U2744" s="4">
        <f t="shared" si="71"/>
        <v>0</v>
      </c>
      <c r="V2744" s="3"/>
      <c r="W2744" s="3">
        <v>2014</v>
      </c>
      <c r="X2744" s="3">
        <v>11</v>
      </c>
    </row>
    <row r="2745" spans="1:24" ht="89.25">
      <c r="A2745" s="3" t="s">
        <v>15710</v>
      </c>
      <c r="B2745" s="6" t="s">
        <v>361</v>
      </c>
      <c r="C2745" s="43" t="s">
        <v>4517</v>
      </c>
      <c r="D2745" s="43" t="s">
        <v>4518</v>
      </c>
      <c r="E2745" s="43" t="s">
        <v>11474</v>
      </c>
      <c r="F2745" s="6" t="s">
        <v>4806</v>
      </c>
      <c r="G2745" s="6" t="s">
        <v>11449</v>
      </c>
      <c r="H2745" s="54">
        <v>0</v>
      </c>
      <c r="I2745" s="16">
        <v>470000000</v>
      </c>
      <c r="J2745" s="56" t="s">
        <v>229</v>
      </c>
      <c r="K2745" s="6" t="s">
        <v>220</v>
      </c>
      <c r="L2745" s="17" t="s">
        <v>11411</v>
      </c>
      <c r="M2745" s="162" t="s">
        <v>230</v>
      </c>
      <c r="N2745" s="15" t="s">
        <v>524</v>
      </c>
      <c r="O2745" s="6" t="s">
        <v>4568</v>
      </c>
      <c r="P2745" s="58" t="s">
        <v>241</v>
      </c>
      <c r="Q2745" s="6" t="s">
        <v>234</v>
      </c>
      <c r="R2745" s="4">
        <v>1200</v>
      </c>
      <c r="S2745" s="74">
        <v>245</v>
      </c>
      <c r="T2745" s="4">
        <f>R2745*S2745</f>
        <v>294000</v>
      </c>
      <c r="U2745" s="4">
        <f t="shared" si="71"/>
        <v>329280.00000000006</v>
      </c>
      <c r="V2745" s="3"/>
      <c r="W2745" s="3">
        <v>2014</v>
      </c>
      <c r="X2745" s="3"/>
    </row>
    <row r="2746" spans="1:24" ht="89.25">
      <c r="A2746" s="3" t="s">
        <v>1524</v>
      </c>
      <c r="B2746" s="6" t="s">
        <v>361</v>
      </c>
      <c r="C2746" s="6" t="s">
        <v>4519</v>
      </c>
      <c r="D2746" s="42" t="s">
        <v>343</v>
      </c>
      <c r="E2746" s="167" t="s">
        <v>4520</v>
      </c>
      <c r="F2746" s="6" t="s">
        <v>4807</v>
      </c>
      <c r="G2746" s="6" t="s">
        <v>11449</v>
      </c>
      <c r="H2746" s="54">
        <v>0</v>
      </c>
      <c r="I2746" s="55">
        <v>470000000</v>
      </c>
      <c r="J2746" s="56" t="s">
        <v>229</v>
      </c>
      <c r="K2746" s="6" t="s">
        <v>519</v>
      </c>
      <c r="L2746" s="16" t="s">
        <v>4570</v>
      </c>
      <c r="M2746" s="162" t="s">
        <v>230</v>
      </c>
      <c r="N2746" s="15" t="s">
        <v>523</v>
      </c>
      <c r="O2746" s="6" t="s">
        <v>4568</v>
      </c>
      <c r="P2746" s="58" t="s">
        <v>235</v>
      </c>
      <c r="Q2746" s="6" t="s">
        <v>236</v>
      </c>
      <c r="R2746" s="3">
        <v>8470</v>
      </c>
      <c r="S2746" s="1">
        <v>2485</v>
      </c>
      <c r="T2746" s="4">
        <v>0</v>
      </c>
      <c r="U2746" s="4">
        <f t="shared" si="71"/>
        <v>0</v>
      </c>
      <c r="V2746" s="166" t="s">
        <v>362</v>
      </c>
      <c r="W2746" s="3">
        <v>2014</v>
      </c>
      <c r="X2746" s="3">
        <v>12.22</v>
      </c>
    </row>
    <row r="2747" spans="1:24" ht="89.25">
      <c r="A2747" s="3" t="s">
        <v>12614</v>
      </c>
      <c r="B2747" s="6" t="s">
        <v>361</v>
      </c>
      <c r="C2747" s="6" t="s">
        <v>4519</v>
      </c>
      <c r="D2747" s="42" t="s">
        <v>343</v>
      </c>
      <c r="E2747" s="167" t="s">
        <v>4520</v>
      </c>
      <c r="F2747" s="6" t="s">
        <v>4807</v>
      </c>
      <c r="G2747" s="6" t="s">
        <v>11449</v>
      </c>
      <c r="H2747" s="54">
        <v>0</v>
      </c>
      <c r="I2747" s="55">
        <v>470000000</v>
      </c>
      <c r="J2747" s="56" t="s">
        <v>229</v>
      </c>
      <c r="K2747" s="6" t="s">
        <v>519</v>
      </c>
      <c r="L2747" s="17" t="s">
        <v>11411</v>
      </c>
      <c r="M2747" s="162" t="s">
        <v>230</v>
      </c>
      <c r="N2747" s="15" t="s">
        <v>523</v>
      </c>
      <c r="O2747" s="6" t="s">
        <v>4568</v>
      </c>
      <c r="P2747" s="58" t="s">
        <v>235</v>
      </c>
      <c r="Q2747" s="6" t="s">
        <v>236</v>
      </c>
      <c r="R2747" s="3">
        <v>8470</v>
      </c>
      <c r="S2747" s="1">
        <v>2485</v>
      </c>
      <c r="T2747" s="4">
        <v>0</v>
      </c>
      <c r="U2747" s="4">
        <f t="shared" si="71"/>
        <v>0</v>
      </c>
      <c r="V2747" s="166"/>
      <c r="W2747" s="3">
        <v>2014</v>
      </c>
      <c r="X2747" s="3">
        <v>11</v>
      </c>
    </row>
    <row r="2748" spans="1:24" ht="89.25">
      <c r="A2748" s="3" t="s">
        <v>15711</v>
      </c>
      <c r="B2748" s="6" t="s">
        <v>361</v>
      </c>
      <c r="C2748" s="6" t="s">
        <v>4519</v>
      </c>
      <c r="D2748" s="42" t="s">
        <v>343</v>
      </c>
      <c r="E2748" s="167" t="s">
        <v>4520</v>
      </c>
      <c r="F2748" s="6" t="s">
        <v>4807</v>
      </c>
      <c r="G2748" s="6" t="s">
        <v>11449</v>
      </c>
      <c r="H2748" s="54">
        <v>0</v>
      </c>
      <c r="I2748" s="55">
        <v>470000000</v>
      </c>
      <c r="J2748" s="56" t="s">
        <v>229</v>
      </c>
      <c r="K2748" s="6" t="s">
        <v>220</v>
      </c>
      <c r="L2748" s="17" t="s">
        <v>11411</v>
      </c>
      <c r="M2748" s="162" t="s">
        <v>230</v>
      </c>
      <c r="N2748" s="15" t="s">
        <v>523</v>
      </c>
      <c r="O2748" s="6" t="s">
        <v>4568</v>
      </c>
      <c r="P2748" s="58" t="s">
        <v>235</v>
      </c>
      <c r="Q2748" s="6" t="s">
        <v>236</v>
      </c>
      <c r="R2748" s="3">
        <v>8470</v>
      </c>
      <c r="S2748" s="1">
        <v>2485</v>
      </c>
      <c r="T2748" s="4">
        <f>R2748*S2748</f>
        <v>21047950</v>
      </c>
      <c r="U2748" s="4">
        <f t="shared" si="71"/>
        <v>23573704.000000004</v>
      </c>
      <c r="V2748" s="166"/>
      <c r="W2748" s="3">
        <v>2014</v>
      </c>
      <c r="X2748" s="3"/>
    </row>
    <row r="2749" spans="1:24" ht="89.25">
      <c r="A2749" s="3" t="s">
        <v>1525</v>
      </c>
      <c r="B2749" s="6" t="s">
        <v>361</v>
      </c>
      <c r="C2749" s="6" t="s">
        <v>4521</v>
      </c>
      <c r="D2749" s="42" t="s">
        <v>343</v>
      </c>
      <c r="E2749" s="167" t="s">
        <v>4522</v>
      </c>
      <c r="F2749" s="6" t="s">
        <v>4808</v>
      </c>
      <c r="G2749" s="6" t="s">
        <v>11449</v>
      </c>
      <c r="H2749" s="54">
        <v>0</v>
      </c>
      <c r="I2749" s="16">
        <v>470000000</v>
      </c>
      <c r="J2749" s="56" t="s">
        <v>229</v>
      </c>
      <c r="K2749" s="6" t="s">
        <v>519</v>
      </c>
      <c r="L2749" s="16" t="s">
        <v>4567</v>
      </c>
      <c r="M2749" s="162" t="s">
        <v>230</v>
      </c>
      <c r="N2749" s="15" t="s">
        <v>523</v>
      </c>
      <c r="O2749" s="6" t="s">
        <v>4568</v>
      </c>
      <c r="P2749" s="58" t="s">
        <v>235</v>
      </c>
      <c r="Q2749" s="6" t="s">
        <v>236</v>
      </c>
      <c r="R2749" s="4">
        <v>460</v>
      </c>
      <c r="S2749" s="74">
        <v>2245</v>
      </c>
      <c r="T2749" s="4">
        <v>0</v>
      </c>
      <c r="U2749" s="4">
        <f t="shared" si="71"/>
        <v>0</v>
      </c>
      <c r="V2749" s="3" t="s">
        <v>362</v>
      </c>
      <c r="W2749" s="3">
        <v>2014</v>
      </c>
      <c r="X2749" s="3">
        <v>12.22</v>
      </c>
    </row>
    <row r="2750" spans="1:24" ht="89.25">
      <c r="A2750" s="3" t="s">
        <v>12615</v>
      </c>
      <c r="B2750" s="6" t="s">
        <v>361</v>
      </c>
      <c r="C2750" s="6" t="s">
        <v>4521</v>
      </c>
      <c r="D2750" s="42" t="s">
        <v>343</v>
      </c>
      <c r="E2750" s="167" t="s">
        <v>4522</v>
      </c>
      <c r="F2750" s="6" t="s">
        <v>4808</v>
      </c>
      <c r="G2750" s="6" t="s">
        <v>11449</v>
      </c>
      <c r="H2750" s="54">
        <v>0</v>
      </c>
      <c r="I2750" s="16">
        <v>470000000</v>
      </c>
      <c r="J2750" s="56" t="s">
        <v>229</v>
      </c>
      <c r="K2750" s="6" t="s">
        <v>519</v>
      </c>
      <c r="L2750" s="17" t="s">
        <v>11411</v>
      </c>
      <c r="M2750" s="162" t="s">
        <v>230</v>
      </c>
      <c r="N2750" s="15" t="s">
        <v>523</v>
      </c>
      <c r="O2750" s="6" t="s">
        <v>4568</v>
      </c>
      <c r="P2750" s="58" t="s">
        <v>235</v>
      </c>
      <c r="Q2750" s="6" t="s">
        <v>236</v>
      </c>
      <c r="R2750" s="4">
        <v>460</v>
      </c>
      <c r="S2750" s="74">
        <v>2245</v>
      </c>
      <c r="T2750" s="4">
        <v>0</v>
      </c>
      <c r="U2750" s="4">
        <f t="shared" si="71"/>
        <v>0</v>
      </c>
      <c r="V2750" s="3"/>
      <c r="W2750" s="3">
        <v>2014</v>
      </c>
      <c r="X2750" s="3">
        <v>11</v>
      </c>
    </row>
    <row r="2751" spans="1:24" ht="89.25">
      <c r="A2751" s="3" t="s">
        <v>15712</v>
      </c>
      <c r="B2751" s="6" t="s">
        <v>361</v>
      </c>
      <c r="C2751" s="6" t="s">
        <v>4521</v>
      </c>
      <c r="D2751" s="42" t="s">
        <v>343</v>
      </c>
      <c r="E2751" s="167" t="s">
        <v>4522</v>
      </c>
      <c r="F2751" s="6" t="s">
        <v>4808</v>
      </c>
      <c r="G2751" s="6" t="s">
        <v>11449</v>
      </c>
      <c r="H2751" s="54">
        <v>0</v>
      </c>
      <c r="I2751" s="16">
        <v>470000000</v>
      </c>
      <c r="J2751" s="56" t="s">
        <v>229</v>
      </c>
      <c r="K2751" s="6" t="s">
        <v>220</v>
      </c>
      <c r="L2751" s="17" t="s">
        <v>11411</v>
      </c>
      <c r="M2751" s="162" t="s">
        <v>230</v>
      </c>
      <c r="N2751" s="15" t="s">
        <v>523</v>
      </c>
      <c r="O2751" s="6" t="s">
        <v>4568</v>
      </c>
      <c r="P2751" s="58" t="s">
        <v>235</v>
      </c>
      <c r="Q2751" s="6" t="s">
        <v>236</v>
      </c>
      <c r="R2751" s="4">
        <v>460</v>
      </c>
      <c r="S2751" s="74">
        <v>2245</v>
      </c>
      <c r="T2751" s="4">
        <f>R2751*S2751</f>
        <v>1032700</v>
      </c>
      <c r="U2751" s="4">
        <f t="shared" si="71"/>
        <v>1156624</v>
      </c>
      <c r="V2751" s="3"/>
      <c r="W2751" s="3">
        <v>2014</v>
      </c>
      <c r="X2751" s="3"/>
    </row>
    <row r="2752" spans="1:24" ht="102">
      <c r="A2752" s="3" t="s">
        <v>1526</v>
      </c>
      <c r="B2752" s="6" t="s">
        <v>361</v>
      </c>
      <c r="C2752" s="42" t="s">
        <v>4523</v>
      </c>
      <c r="D2752" s="42" t="s">
        <v>457</v>
      </c>
      <c r="E2752" s="168" t="s">
        <v>4289</v>
      </c>
      <c r="F2752" s="6" t="s">
        <v>4809</v>
      </c>
      <c r="G2752" s="6" t="s">
        <v>11449</v>
      </c>
      <c r="H2752" s="54">
        <v>0</v>
      </c>
      <c r="I2752" s="55">
        <v>470000000</v>
      </c>
      <c r="J2752" s="56" t="s">
        <v>229</v>
      </c>
      <c r="K2752" s="6" t="s">
        <v>519</v>
      </c>
      <c r="L2752" s="16" t="s">
        <v>4570</v>
      </c>
      <c r="M2752" s="162" t="s">
        <v>230</v>
      </c>
      <c r="N2752" s="15" t="s">
        <v>523</v>
      </c>
      <c r="O2752" s="6" t="s">
        <v>4568</v>
      </c>
      <c r="P2752" s="58" t="s">
        <v>241</v>
      </c>
      <c r="Q2752" s="6" t="s">
        <v>234</v>
      </c>
      <c r="R2752" s="3">
        <v>460</v>
      </c>
      <c r="S2752" s="1">
        <v>2145</v>
      </c>
      <c r="T2752" s="4">
        <v>0</v>
      </c>
      <c r="U2752" s="4">
        <f t="shared" si="71"/>
        <v>0</v>
      </c>
      <c r="V2752" s="166" t="s">
        <v>362</v>
      </c>
      <c r="W2752" s="3">
        <v>2014</v>
      </c>
      <c r="X2752" s="3">
        <v>12.22</v>
      </c>
    </row>
    <row r="2753" spans="1:24" ht="102">
      <c r="A2753" s="3" t="s">
        <v>12616</v>
      </c>
      <c r="B2753" s="6" t="s">
        <v>361</v>
      </c>
      <c r="C2753" s="42" t="s">
        <v>4523</v>
      </c>
      <c r="D2753" s="42" t="s">
        <v>457</v>
      </c>
      <c r="E2753" s="168" t="s">
        <v>4289</v>
      </c>
      <c r="F2753" s="6" t="s">
        <v>4809</v>
      </c>
      <c r="G2753" s="6" t="s">
        <v>11449</v>
      </c>
      <c r="H2753" s="54">
        <v>0</v>
      </c>
      <c r="I2753" s="55">
        <v>470000000</v>
      </c>
      <c r="J2753" s="56" t="s">
        <v>229</v>
      </c>
      <c r="K2753" s="6" t="s">
        <v>519</v>
      </c>
      <c r="L2753" s="17" t="s">
        <v>11411</v>
      </c>
      <c r="M2753" s="162" t="s">
        <v>230</v>
      </c>
      <c r="N2753" s="15" t="s">
        <v>523</v>
      </c>
      <c r="O2753" s="6" t="s">
        <v>4568</v>
      </c>
      <c r="P2753" s="58" t="s">
        <v>241</v>
      </c>
      <c r="Q2753" s="6" t="s">
        <v>234</v>
      </c>
      <c r="R2753" s="3">
        <v>460</v>
      </c>
      <c r="S2753" s="1">
        <v>2145</v>
      </c>
      <c r="T2753" s="4">
        <v>0</v>
      </c>
      <c r="U2753" s="4">
        <f t="shared" si="71"/>
        <v>0</v>
      </c>
      <c r="V2753" s="166"/>
      <c r="W2753" s="3">
        <v>2014</v>
      </c>
      <c r="X2753" s="3">
        <v>11</v>
      </c>
    </row>
    <row r="2754" spans="1:24" ht="102">
      <c r="A2754" s="3" t="s">
        <v>15713</v>
      </c>
      <c r="B2754" s="6" t="s">
        <v>361</v>
      </c>
      <c r="C2754" s="42" t="s">
        <v>4523</v>
      </c>
      <c r="D2754" s="42" t="s">
        <v>457</v>
      </c>
      <c r="E2754" s="168" t="s">
        <v>4289</v>
      </c>
      <c r="F2754" s="6" t="s">
        <v>4809</v>
      </c>
      <c r="G2754" s="6" t="s">
        <v>11449</v>
      </c>
      <c r="H2754" s="54">
        <v>0</v>
      </c>
      <c r="I2754" s="55">
        <v>470000000</v>
      </c>
      <c r="J2754" s="56" t="s">
        <v>229</v>
      </c>
      <c r="K2754" s="6" t="s">
        <v>220</v>
      </c>
      <c r="L2754" s="17" t="s">
        <v>11411</v>
      </c>
      <c r="M2754" s="162" t="s">
        <v>230</v>
      </c>
      <c r="N2754" s="15" t="s">
        <v>523</v>
      </c>
      <c r="O2754" s="6" t="s">
        <v>4568</v>
      </c>
      <c r="P2754" s="58" t="s">
        <v>241</v>
      </c>
      <c r="Q2754" s="6" t="s">
        <v>234</v>
      </c>
      <c r="R2754" s="3">
        <v>460</v>
      </c>
      <c r="S2754" s="1">
        <v>2145</v>
      </c>
      <c r="T2754" s="4">
        <f>R2754*S2754</f>
        <v>986700</v>
      </c>
      <c r="U2754" s="4">
        <f t="shared" si="71"/>
        <v>1105104</v>
      </c>
      <c r="V2754" s="166"/>
      <c r="W2754" s="3">
        <v>2014</v>
      </c>
      <c r="X2754" s="3"/>
    </row>
    <row r="2755" spans="1:24" ht="114.75">
      <c r="A2755" s="3" t="s">
        <v>1527</v>
      </c>
      <c r="B2755" s="6" t="s">
        <v>361</v>
      </c>
      <c r="C2755" s="42" t="s">
        <v>4524</v>
      </c>
      <c r="D2755" s="6" t="s">
        <v>4436</v>
      </c>
      <c r="E2755" s="6" t="s">
        <v>4525</v>
      </c>
      <c r="F2755" s="6" t="s">
        <v>354</v>
      </c>
      <c r="G2755" s="6" t="s">
        <v>11449</v>
      </c>
      <c r="H2755" s="54">
        <v>0</v>
      </c>
      <c r="I2755" s="16">
        <v>470000000</v>
      </c>
      <c r="J2755" s="56" t="s">
        <v>229</v>
      </c>
      <c r="K2755" s="6" t="s">
        <v>519</v>
      </c>
      <c r="L2755" s="16" t="s">
        <v>4567</v>
      </c>
      <c r="M2755" s="162" t="s">
        <v>230</v>
      </c>
      <c r="N2755" s="15" t="s">
        <v>523</v>
      </c>
      <c r="O2755" s="6" t="s">
        <v>4568</v>
      </c>
      <c r="P2755" s="58" t="s">
        <v>241</v>
      </c>
      <c r="Q2755" s="6" t="s">
        <v>234</v>
      </c>
      <c r="R2755" s="4">
        <v>85</v>
      </c>
      <c r="S2755" s="74">
        <v>30450</v>
      </c>
      <c r="T2755" s="4">
        <v>0</v>
      </c>
      <c r="U2755" s="4">
        <f t="shared" si="71"/>
        <v>0</v>
      </c>
      <c r="V2755" s="3" t="s">
        <v>362</v>
      </c>
      <c r="W2755" s="3">
        <v>2014</v>
      </c>
      <c r="X2755" s="3">
        <v>12.22</v>
      </c>
    </row>
    <row r="2756" spans="1:24" ht="114.75">
      <c r="A2756" s="3" t="s">
        <v>12617</v>
      </c>
      <c r="B2756" s="6" t="s">
        <v>361</v>
      </c>
      <c r="C2756" s="42" t="s">
        <v>4524</v>
      </c>
      <c r="D2756" s="6" t="s">
        <v>4436</v>
      </c>
      <c r="E2756" s="6" t="s">
        <v>4525</v>
      </c>
      <c r="F2756" s="6" t="s">
        <v>354</v>
      </c>
      <c r="G2756" s="6" t="s">
        <v>11449</v>
      </c>
      <c r="H2756" s="54">
        <v>0</v>
      </c>
      <c r="I2756" s="16">
        <v>470000000</v>
      </c>
      <c r="J2756" s="56" t="s">
        <v>229</v>
      </c>
      <c r="K2756" s="6" t="s">
        <v>519</v>
      </c>
      <c r="L2756" s="17" t="s">
        <v>11411</v>
      </c>
      <c r="M2756" s="162" t="s">
        <v>230</v>
      </c>
      <c r="N2756" s="15" t="s">
        <v>523</v>
      </c>
      <c r="O2756" s="6" t="s">
        <v>4568</v>
      </c>
      <c r="P2756" s="58" t="s">
        <v>241</v>
      </c>
      <c r="Q2756" s="6" t="s">
        <v>234</v>
      </c>
      <c r="R2756" s="4">
        <v>85</v>
      </c>
      <c r="S2756" s="74">
        <v>30450</v>
      </c>
      <c r="T2756" s="4">
        <v>0</v>
      </c>
      <c r="U2756" s="4">
        <f t="shared" si="71"/>
        <v>0</v>
      </c>
      <c r="V2756" s="3"/>
      <c r="W2756" s="3">
        <v>2014</v>
      </c>
      <c r="X2756" s="3" t="s">
        <v>14780</v>
      </c>
    </row>
    <row r="2757" spans="1:24" ht="114.75">
      <c r="A2757" s="3" t="s">
        <v>14924</v>
      </c>
      <c r="B2757" s="6" t="s">
        <v>361</v>
      </c>
      <c r="C2757" s="42" t="s">
        <v>4524</v>
      </c>
      <c r="D2757" s="6" t="s">
        <v>4436</v>
      </c>
      <c r="E2757" s="6" t="s">
        <v>4525</v>
      </c>
      <c r="F2757" s="6" t="s">
        <v>354</v>
      </c>
      <c r="G2757" s="6" t="s">
        <v>11449</v>
      </c>
      <c r="H2757" s="54">
        <v>0</v>
      </c>
      <c r="I2757" s="16">
        <v>470000000</v>
      </c>
      <c r="J2757" s="56" t="s">
        <v>229</v>
      </c>
      <c r="K2757" s="6" t="s">
        <v>14925</v>
      </c>
      <c r="L2757" s="17" t="s">
        <v>11411</v>
      </c>
      <c r="M2757" s="162" t="s">
        <v>230</v>
      </c>
      <c r="N2757" s="15" t="s">
        <v>523</v>
      </c>
      <c r="O2757" s="6" t="s">
        <v>4568</v>
      </c>
      <c r="P2757" s="58" t="s">
        <v>241</v>
      </c>
      <c r="Q2757" s="6" t="s">
        <v>234</v>
      </c>
      <c r="R2757" s="4">
        <v>60</v>
      </c>
      <c r="S2757" s="74">
        <v>30450</v>
      </c>
      <c r="T2757" s="4">
        <f>R2757*S2757</f>
        <v>1827000</v>
      </c>
      <c r="U2757" s="4">
        <f t="shared" si="71"/>
        <v>2046240.0000000002</v>
      </c>
      <c r="V2757" s="3"/>
      <c r="W2757" s="3">
        <v>2014</v>
      </c>
      <c r="X2757" s="3"/>
    </row>
    <row r="2758" spans="1:24" ht="114.75">
      <c r="A2758" s="3" t="s">
        <v>1528</v>
      </c>
      <c r="B2758" s="6" t="s">
        <v>361</v>
      </c>
      <c r="C2758" s="42" t="s">
        <v>4526</v>
      </c>
      <c r="D2758" s="6" t="s">
        <v>4436</v>
      </c>
      <c r="E2758" s="6" t="s">
        <v>4527</v>
      </c>
      <c r="F2758" s="6" t="s">
        <v>355</v>
      </c>
      <c r="G2758" s="6" t="s">
        <v>11449</v>
      </c>
      <c r="H2758" s="54">
        <v>0</v>
      </c>
      <c r="I2758" s="55">
        <v>470000000</v>
      </c>
      <c r="J2758" s="56" t="s">
        <v>229</v>
      </c>
      <c r="K2758" s="6" t="s">
        <v>519</v>
      </c>
      <c r="L2758" s="16" t="s">
        <v>4570</v>
      </c>
      <c r="M2758" s="162" t="s">
        <v>230</v>
      </c>
      <c r="N2758" s="15" t="s">
        <v>523</v>
      </c>
      <c r="O2758" s="6" t="s">
        <v>4568</v>
      </c>
      <c r="P2758" s="58" t="s">
        <v>241</v>
      </c>
      <c r="Q2758" s="6" t="s">
        <v>234</v>
      </c>
      <c r="R2758" s="3">
        <v>110</v>
      </c>
      <c r="S2758" s="1">
        <v>30450</v>
      </c>
      <c r="T2758" s="4">
        <v>0</v>
      </c>
      <c r="U2758" s="4">
        <f t="shared" si="71"/>
        <v>0</v>
      </c>
      <c r="V2758" s="166" t="s">
        <v>362</v>
      </c>
      <c r="W2758" s="3">
        <v>2014</v>
      </c>
      <c r="X2758" s="3">
        <v>12.22</v>
      </c>
    </row>
    <row r="2759" spans="1:24" ht="114.75">
      <c r="A2759" s="3" t="s">
        <v>12618</v>
      </c>
      <c r="B2759" s="6" t="s">
        <v>361</v>
      </c>
      <c r="C2759" s="42" t="s">
        <v>4526</v>
      </c>
      <c r="D2759" s="6" t="s">
        <v>4436</v>
      </c>
      <c r="E2759" s="6" t="s">
        <v>4527</v>
      </c>
      <c r="F2759" s="6" t="s">
        <v>355</v>
      </c>
      <c r="G2759" s="6" t="s">
        <v>11449</v>
      </c>
      <c r="H2759" s="54">
        <v>0</v>
      </c>
      <c r="I2759" s="55">
        <v>470000000</v>
      </c>
      <c r="J2759" s="56" t="s">
        <v>229</v>
      </c>
      <c r="K2759" s="6" t="s">
        <v>519</v>
      </c>
      <c r="L2759" s="17" t="s">
        <v>11411</v>
      </c>
      <c r="M2759" s="162" t="s">
        <v>230</v>
      </c>
      <c r="N2759" s="15" t="s">
        <v>523</v>
      </c>
      <c r="O2759" s="6" t="s">
        <v>4568</v>
      </c>
      <c r="P2759" s="58" t="s">
        <v>241</v>
      </c>
      <c r="Q2759" s="6" t="s">
        <v>234</v>
      </c>
      <c r="R2759" s="3">
        <v>110</v>
      </c>
      <c r="S2759" s="1">
        <v>30450</v>
      </c>
      <c r="T2759" s="4">
        <v>0</v>
      </c>
      <c r="U2759" s="4">
        <f t="shared" si="71"/>
        <v>0</v>
      </c>
      <c r="V2759" s="166"/>
      <c r="W2759" s="3">
        <v>2014</v>
      </c>
      <c r="X2759" s="3" t="s">
        <v>14780</v>
      </c>
    </row>
    <row r="2760" spans="1:24" ht="114.75">
      <c r="A2760" s="3" t="s">
        <v>14926</v>
      </c>
      <c r="B2760" s="6" t="s">
        <v>361</v>
      </c>
      <c r="C2760" s="42" t="s">
        <v>4526</v>
      </c>
      <c r="D2760" s="6" t="s">
        <v>4436</v>
      </c>
      <c r="E2760" s="6" t="s">
        <v>4527</v>
      </c>
      <c r="F2760" s="6" t="s">
        <v>355</v>
      </c>
      <c r="G2760" s="6" t="s">
        <v>11449</v>
      </c>
      <c r="H2760" s="54">
        <v>0</v>
      </c>
      <c r="I2760" s="55">
        <v>470000000</v>
      </c>
      <c r="J2760" s="56" t="s">
        <v>229</v>
      </c>
      <c r="K2760" s="6" t="s">
        <v>14920</v>
      </c>
      <c r="L2760" s="17" t="s">
        <v>11411</v>
      </c>
      <c r="M2760" s="162" t="s">
        <v>230</v>
      </c>
      <c r="N2760" s="15" t="s">
        <v>523</v>
      </c>
      <c r="O2760" s="6" t="s">
        <v>4568</v>
      </c>
      <c r="P2760" s="58" t="s">
        <v>241</v>
      </c>
      <c r="Q2760" s="6" t="s">
        <v>234</v>
      </c>
      <c r="R2760" s="3">
        <v>84</v>
      </c>
      <c r="S2760" s="1">
        <v>30450</v>
      </c>
      <c r="T2760" s="4">
        <f>R2760*S2760</f>
        <v>2557800</v>
      </c>
      <c r="U2760" s="4">
        <f t="shared" si="71"/>
        <v>2864736.0000000005</v>
      </c>
      <c r="V2760" s="166"/>
      <c r="W2760" s="3">
        <v>2014</v>
      </c>
      <c r="X2760" s="3"/>
    </row>
    <row r="2761" spans="1:24" ht="102">
      <c r="A2761" s="3" t="s">
        <v>1529</v>
      </c>
      <c r="B2761" s="6" t="s">
        <v>361</v>
      </c>
      <c r="C2761" s="42" t="s">
        <v>4438</v>
      </c>
      <c r="D2761" s="6" t="s">
        <v>4436</v>
      </c>
      <c r="E2761" s="6" t="s">
        <v>4439</v>
      </c>
      <c r="F2761" s="6" t="s">
        <v>356</v>
      </c>
      <c r="G2761" s="6" t="s">
        <v>11449</v>
      </c>
      <c r="H2761" s="54">
        <v>0</v>
      </c>
      <c r="I2761" s="16">
        <v>470000000</v>
      </c>
      <c r="J2761" s="56" t="s">
        <v>229</v>
      </c>
      <c r="K2761" s="6" t="s">
        <v>519</v>
      </c>
      <c r="L2761" s="16" t="s">
        <v>4567</v>
      </c>
      <c r="M2761" s="162" t="s">
        <v>230</v>
      </c>
      <c r="N2761" s="15" t="s">
        <v>523</v>
      </c>
      <c r="O2761" s="6" t="s">
        <v>4568</v>
      </c>
      <c r="P2761" s="58" t="s">
        <v>241</v>
      </c>
      <c r="Q2761" s="6" t="s">
        <v>234</v>
      </c>
      <c r="R2761" s="4">
        <v>80</v>
      </c>
      <c r="S2761" s="74">
        <v>30450</v>
      </c>
      <c r="T2761" s="4">
        <v>0</v>
      </c>
      <c r="U2761" s="4">
        <f t="shared" si="71"/>
        <v>0</v>
      </c>
      <c r="V2761" s="3" t="s">
        <v>362</v>
      </c>
      <c r="W2761" s="3">
        <v>2014</v>
      </c>
      <c r="X2761" s="3">
        <v>12.22</v>
      </c>
    </row>
    <row r="2762" spans="1:24" ht="102">
      <c r="A2762" s="3" t="s">
        <v>12619</v>
      </c>
      <c r="B2762" s="6" t="s">
        <v>361</v>
      </c>
      <c r="C2762" s="42" t="s">
        <v>4438</v>
      </c>
      <c r="D2762" s="6" t="s">
        <v>4436</v>
      </c>
      <c r="E2762" s="6" t="s">
        <v>4439</v>
      </c>
      <c r="F2762" s="6" t="s">
        <v>356</v>
      </c>
      <c r="G2762" s="6" t="s">
        <v>11449</v>
      </c>
      <c r="H2762" s="54">
        <v>0</v>
      </c>
      <c r="I2762" s="16">
        <v>470000000</v>
      </c>
      <c r="J2762" s="56" t="s">
        <v>229</v>
      </c>
      <c r="K2762" s="6" t="s">
        <v>519</v>
      </c>
      <c r="L2762" s="17" t="s">
        <v>11411</v>
      </c>
      <c r="M2762" s="162" t="s">
        <v>230</v>
      </c>
      <c r="N2762" s="15" t="s">
        <v>523</v>
      </c>
      <c r="O2762" s="6" t="s">
        <v>4568</v>
      </c>
      <c r="P2762" s="58" t="s">
        <v>241</v>
      </c>
      <c r="Q2762" s="6" t="s">
        <v>234</v>
      </c>
      <c r="R2762" s="4">
        <v>80</v>
      </c>
      <c r="S2762" s="74">
        <v>30450</v>
      </c>
      <c r="T2762" s="4">
        <v>0</v>
      </c>
      <c r="U2762" s="4">
        <f t="shared" si="71"/>
        <v>0</v>
      </c>
      <c r="V2762" s="3"/>
      <c r="W2762" s="3">
        <v>2014</v>
      </c>
      <c r="X2762" s="3">
        <v>11</v>
      </c>
    </row>
    <row r="2763" spans="1:24" ht="102">
      <c r="A2763" s="3" t="s">
        <v>15714</v>
      </c>
      <c r="B2763" s="6" t="s">
        <v>361</v>
      </c>
      <c r="C2763" s="42" t="s">
        <v>4438</v>
      </c>
      <c r="D2763" s="6" t="s">
        <v>4436</v>
      </c>
      <c r="E2763" s="6" t="s">
        <v>4439</v>
      </c>
      <c r="F2763" s="6" t="s">
        <v>356</v>
      </c>
      <c r="G2763" s="6" t="s">
        <v>11449</v>
      </c>
      <c r="H2763" s="54">
        <v>0</v>
      </c>
      <c r="I2763" s="16">
        <v>470000000</v>
      </c>
      <c r="J2763" s="56" t="s">
        <v>229</v>
      </c>
      <c r="K2763" s="6" t="s">
        <v>220</v>
      </c>
      <c r="L2763" s="17" t="s">
        <v>11411</v>
      </c>
      <c r="M2763" s="162" t="s">
        <v>230</v>
      </c>
      <c r="N2763" s="15" t="s">
        <v>523</v>
      </c>
      <c r="O2763" s="6" t="s">
        <v>4568</v>
      </c>
      <c r="P2763" s="58" t="s">
        <v>241</v>
      </c>
      <c r="Q2763" s="6" t="s">
        <v>234</v>
      </c>
      <c r="R2763" s="4">
        <v>80</v>
      </c>
      <c r="S2763" s="74">
        <v>30450</v>
      </c>
      <c r="T2763" s="4">
        <f>R2763*S2763</f>
        <v>2436000</v>
      </c>
      <c r="U2763" s="4">
        <f t="shared" si="71"/>
        <v>2728320.0000000005</v>
      </c>
      <c r="V2763" s="3"/>
      <c r="W2763" s="3">
        <v>2014</v>
      </c>
      <c r="X2763" s="3"/>
    </row>
    <row r="2764" spans="1:24" ht="89.25">
      <c r="A2764" s="3" t="s">
        <v>1530</v>
      </c>
      <c r="B2764" s="6" t="s">
        <v>361</v>
      </c>
      <c r="C2764" s="41" t="s">
        <v>4528</v>
      </c>
      <c r="D2764" s="105" t="s">
        <v>4529</v>
      </c>
      <c r="E2764" s="105" t="s">
        <v>4530</v>
      </c>
      <c r="F2764" s="6" t="s">
        <v>4810</v>
      </c>
      <c r="G2764" s="6" t="s">
        <v>11449</v>
      </c>
      <c r="H2764" s="54">
        <v>0</v>
      </c>
      <c r="I2764" s="55">
        <v>470000000</v>
      </c>
      <c r="J2764" s="56" t="s">
        <v>229</v>
      </c>
      <c r="K2764" s="6" t="s">
        <v>519</v>
      </c>
      <c r="L2764" s="16" t="s">
        <v>4570</v>
      </c>
      <c r="M2764" s="162" t="s">
        <v>230</v>
      </c>
      <c r="N2764" s="15" t="s">
        <v>523</v>
      </c>
      <c r="O2764" s="6" t="s">
        <v>4568</v>
      </c>
      <c r="P2764" s="58" t="s">
        <v>241</v>
      </c>
      <c r="Q2764" s="6" t="s">
        <v>234</v>
      </c>
      <c r="R2764" s="3">
        <v>135</v>
      </c>
      <c r="S2764" s="1">
        <v>2775</v>
      </c>
      <c r="T2764" s="4">
        <v>0</v>
      </c>
      <c r="U2764" s="4">
        <f t="shared" si="71"/>
        <v>0</v>
      </c>
      <c r="V2764" s="166" t="s">
        <v>362</v>
      </c>
      <c r="W2764" s="3">
        <v>2014</v>
      </c>
      <c r="X2764" s="3">
        <v>12.22</v>
      </c>
    </row>
    <row r="2765" spans="1:24" ht="89.25">
      <c r="A2765" s="3" t="s">
        <v>12620</v>
      </c>
      <c r="B2765" s="6" t="s">
        <v>361</v>
      </c>
      <c r="C2765" s="41" t="s">
        <v>4528</v>
      </c>
      <c r="D2765" s="105" t="s">
        <v>4529</v>
      </c>
      <c r="E2765" s="105" t="s">
        <v>4530</v>
      </c>
      <c r="F2765" s="6" t="s">
        <v>4810</v>
      </c>
      <c r="G2765" s="6" t="s">
        <v>11449</v>
      </c>
      <c r="H2765" s="54">
        <v>0</v>
      </c>
      <c r="I2765" s="55">
        <v>470000000</v>
      </c>
      <c r="J2765" s="56" t="s">
        <v>229</v>
      </c>
      <c r="K2765" s="6" t="s">
        <v>519</v>
      </c>
      <c r="L2765" s="17" t="s">
        <v>11411</v>
      </c>
      <c r="M2765" s="162" t="s">
        <v>230</v>
      </c>
      <c r="N2765" s="15" t="s">
        <v>523</v>
      </c>
      <c r="O2765" s="6" t="s">
        <v>4568</v>
      </c>
      <c r="P2765" s="58" t="s">
        <v>241</v>
      </c>
      <c r="Q2765" s="6" t="s">
        <v>234</v>
      </c>
      <c r="R2765" s="3">
        <v>135</v>
      </c>
      <c r="S2765" s="1">
        <v>2775</v>
      </c>
      <c r="T2765" s="4">
        <v>0</v>
      </c>
      <c r="U2765" s="4">
        <f t="shared" si="71"/>
        <v>0</v>
      </c>
      <c r="V2765" s="166"/>
      <c r="W2765" s="3">
        <v>2014</v>
      </c>
      <c r="X2765" s="3" t="s">
        <v>14780</v>
      </c>
    </row>
    <row r="2766" spans="1:24" ht="89.25">
      <c r="A2766" s="3" t="s">
        <v>14927</v>
      </c>
      <c r="B2766" s="6" t="s">
        <v>361</v>
      </c>
      <c r="C2766" s="41" t="s">
        <v>4528</v>
      </c>
      <c r="D2766" s="105" t="s">
        <v>4529</v>
      </c>
      <c r="E2766" s="105" t="s">
        <v>4530</v>
      </c>
      <c r="F2766" s="6" t="s">
        <v>4810</v>
      </c>
      <c r="G2766" s="6" t="s">
        <v>11449</v>
      </c>
      <c r="H2766" s="54">
        <v>0</v>
      </c>
      <c r="I2766" s="55">
        <v>470000000</v>
      </c>
      <c r="J2766" s="56" t="s">
        <v>229</v>
      </c>
      <c r="K2766" s="6" t="s">
        <v>14925</v>
      </c>
      <c r="L2766" s="17" t="s">
        <v>11411</v>
      </c>
      <c r="M2766" s="162" t="s">
        <v>230</v>
      </c>
      <c r="N2766" s="15" t="s">
        <v>523</v>
      </c>
      <c r="O2766" s="6" t="s">
        <v>4568</v>
      </c>
      <c r="P2766" s="58" t="s">
        <v>241</v>
      </c>
      <c r="Q2766" s="6" t="s">
        <v>234</v>
      </c>
      <c r="R2766" s="3">
        <v>75</v>
      </c>
      <c r="S2766" s="1">
        <v>2775</v>
      </c>
      <c r="T2766" s="4">
        <f>R2766*S2766</f>
        <v>208125</v>
      </c>
      <c r="U2766" s="4">
        <f t="shared" si="71"/>
        <v>233100.00000000003</v>
      </c>
      <c r="V2766" s="166"/>
      <c r="W2766" s="3">
        <v>2014</v>
      </c>
      <c r="X2766" s="3"/>
    </row>
    <row r="2767" spans="1:24" ht="89.25">
      <c r="A2767" s="3" t="s">
        <v>1531</v>
      </c>
      <c r="B2767" s="6" t="s">
        <v>361</v>
      </c>
      <c r="C2767" s="159" t="s">
        <v>4531</v>
      </c>
      <c r="D2767" s="6" t="s">
        <v>4532</v>
      </c>
      <c r="E2767" s="6" t="s">
        <v>4533</v>
      </c>
      <c r="F2767" s="6" t="s">
        <v>357</v>
      </c>
      <c r="G2767" s="6" t="s">
        <v>11449</v>
      </c>
      <c r="H2767" s="54">
        <v>0</v>
      </c>
      <c r="I2767" s="16">
        <v>470000000</v>
      </c>
      <c r="J2767" s="56" t="s">
        <v>229</v>
      </c>
      <c r="K2767" s="6" t="s">
        <v>519</v>
      </c>
      <c r="L2767" s="16" t="s">
        <v>4567</v>
      </c>
      <c r="M2767" s="162" t="s">
        <v>230</v>
      </c>
      <c r="N2767" s="15" t="s">
        <v>523</v>
      </c>
      <c r="O2767" s="6" t="s">
        <v>4568</v>
      </c>
      <c r="P2767" s="58" t="s">
        <v>243</v>
      </c>
      <c r="Q2767" s="6" t="s">
        <v>244</v>
      </c>
      <c r="R2767" s="4">
        <v>70</v>
      </c>
      <c r="S2767" s="74">
        <v>2550</v>
      </c>
      <c r="T2767" s="4">
        <v>0</v>
      </c>
      <c r="U2767" s="4">
        <f t="shared" si="71"/>
        <v>0</v>
      </c>
      <c r="V2767" s="3" t="s">
        <v>362</v>
      </c>
      <c r="W2767" s="3">
        <v>2014</v>
      </c>
      <c r="X2767" s="3">
        <v>12.22</v>
      </c>
    </row>
    <row r="2768" spans="1:24" ht="89.25">
      <c r="A2768" s="3" t="s">
        <v>12621</v>
      </c>
      <c r="B2768" s="6" t="s">
        <v>361</v>
      </c>
      <c r="C2768" s="159" t="s">
        <v>4531</v>
      </c>
      <c r="D2768" s="6" t="s">
        <v>4532</v>
      </c>
      <c r="E2768" s="6" t="s">
        <v>4533</v>
      </c>
      <c r="F2768" s="6" t="s">
        <v>357</v>
      </c>
      <c r="G2768" s="6" t="s">
        <v>11449</v>
      </c>
      <c r="H2768" s="54">
        <v>0</v>
      </c>
      <c r="I2768" s="16">
        <v>470000000</v>
      </c>
      <c r="J2768" s="56" t="s">
        <v>229</v>
      </c>
      <c r="K2768" s="6" t="s">
        <v>519</v>
      </c>
      <c r="L2768" s="17" t="s">
        <v>11411</v>
      </c>
      <c r="M2768" s="162" t="s">
        <v>230</v>
      </c>
      <c r="N2768" s="15" t="s">
        <v>523</v>
      </c>
      <c r="O2768" s="6" t="s">
        <v>4568</v>
      </c>
      <c r="P2768" s="58" t="s">
        <v>243</v>
      </c>
      <c r="Q2768" s="6" t="s">
        <v>244</v>
      </c>
      <c r="R2768" s="4">
        <v>70</v>
      </c>
      <c r="S2768" s="74">
        <v>2550</v>
      </c>
      <c r="T2768" s="4">
        <v>0</v>
      </c>
      <c r="U2768" s="4">
        <f t="shared" si="71"/>
        <v>0</v>
      </c>
      <c r="V2768" s="3"/>
      <c r="W2768" s="3">
        <v>2014</v>
      </c>
      <c r="X2768" s="3">
        <v>11</v>
      </c>
    </row>
    <row r="2769" spans="1:24" ht="89.25">
      <c r="A2769" s="3" t="s">
        <v>15715</v>
      </c>
      <c r="B2769" s="6" t="s">
        <v>361</v>
      </c>
      <c r="C2769" s="159" t="s">
        <v>4531</v>
      </c>
      <c r="D2769" s="6" t="s">
        <v>4532</v>
      </c>
      <c r="E2769" s="6" t="s">
        <v>4533</v>
      </c>
      <c r="F2769" s="6" t="s">
        <v>357</v>
      </c>
      <c r="G2769" s="6" t="s">
        <v>11449</v>
      </c>
      <c r="H2769" s="54">
        <v>0</v>
      </c>
      <c r="I2769" s="16">
        <v>470000000</v>
      </c>
      <c r="J2769" s="56" t="s">
        <v>229</v>
      </c>
      <c r="K2769" s="6" t="s">
        <v>220</v>
      </c>
      <c r="L2769" s="17" t="s">
        <v>11411</v>
      </c>
      <c r="M2769" s="162" t="s">
        <v>230</v>
      </c>
      <c r="N2769" s="15" t="s">
        <v>523</v>
      </c>
      <c r="O2769" s="6" t="s">
        <v>4568</v>
      </c>
      <c r="P2769" s="58" t="s">
        <v>243</v>
      </c>
      <c r="Q2769" s="6" t="s">
        <v>244</v>
      </c>
      <c r="R2769" s="4">
        <v>70</v>
      </c>
      <c r="S2769" s="74">
        <v>2550</v>
      </c>
      <c r="T2769" s="4">
        <f>R2769*S2769</f>
        <v>178500</v>
      </c>
      <c r="U2769" s="4">
        <f t="shared" si="71"/>
        <v>199920.00000000003</v>
      </c>
      <c r="V2769" s="3"/>
      <c r="W2769" s="3">
        <v>2014</v>
      </c>
      <c r="X2769" s="3"/>
    </row>
    <row r="2770" spans="1:24" ht="89.25">
      <c r="A2770" s="3" t="s">
        <v>1532</v>
      </c>
      <c r="B2770" s="6" t="s">
        <v>361</v>
      </c>
      <c r="C2770" s="159" t="s">
        <v>4534</v>
      </c>
      <c r="D2770" s="6" t="s">
        <v>11475</v>
      </c>
      <c r="E2770" s="6" t="s">
        <v>11476</v>
      </c>
      <c r="F2770" s="6" t="s">
        <v>4811</v>
      </c>
      <c r="G2770" s="6" t="s">
        <v>11449</v>
      </c>
      <c r="H2770" s="54">
        <v>0</v>
      </c>
      <c r="I2770" s="55">
        <v>470000000</v>
      </c>
      <c r="J2770" s="56" t="s">
        <v>229</v>
      </c>
      <c r="K2770" s="6" t="s">
        <v>519</v>
      </c>
      <c r="L2770" s="16" t="s">
        <v>4570</v>
      </c>
      <c r="M2770" s="162" t="s">
        <v>230</v>
      </c>
      <c r="N2770" s="15" t="s">
        <v>523</v>
      </c>
      <c r="O2770" s="6" t="s">
        <v>4568</v>
      </c>
      <c r="P2770" s="58" t="s">
        <v>241</v>
      </c>
      <c r="Q2770" s="6" t="s">
        <v>234</v>
      </c>
      <c r="R2770" s="3">
        <v>500</v>
      </c>
      <c r="S2770" s="1">
        <v>2550</v>
      </c>
      <c r="T2770" s="4">
        <v>0</v>
      </c>
      <c r="U2770" s="4">
        <f t="shared" si="71"/>
        <v>0</v>
      </c>
      <c r="V2770" s="166" t="s">
        <v>362</v>
      </c>
      <c r="W2770" s="3">
        <v>2014</v>
      </c>
      <c r="X2770" s="3">
        <v>12.22</v>
      </c>
    </row>
    <row r="2771" spans="1:24" ht="89.25">
      <c r="A2771" s="3" t="s">
        <v>12622</v>
      </c>
      <c r="B2771" s="6" t="s">
        <v>361</v>
      </c>
      <c r="C2771" s="159" t="s">
        <v>4534</v>
      </c>
      <c r="D2771" s="6" t="s">
        <v>11475</v>
      </c>
      <c r="E2771" s="6" t="s">
        <v>11476</v>
      </c>
      <c r="F2771" s="6" t="s">
        <v>4811</v>
      </c>
      <c r="G2771" s="6" t="s">
        <v>11449</v>
      </c>
      <c r="H2771" s="54">
        <v>0</v>
      </c>
      <c r="I2771" s="55">
        <v>470000000</v>
      </c>
      <c r="J2771" s="56" t="s">
        <v>229</v>
      </c>
      <c r="K2771" s="6" t="s">
        <v>519</v>
      </c>
      <c r="L2771" s="17" t="s">
        <v>11411</v>
      </c>
      <c r="M2771" s="162" t="s">
        <v>230</v>
      </c>
      <c r="N2771" s="15" t="s">
        <v>523</v>
      </c>
      <c r="O2771" s="6" t="s">
        <v>4568</v>
      </c>
      <c r="P2771" s="58" t="s">
        <v>241</v>
      </c>
      <c r="Q2771" s="6" t="s">
        <v>234</v>
      </c>
      <c r="R2771" s="3">
        <v>500</v>
      </c>
      <c r="S2771" s="1">
        <v>2550</v>
      </c>
      <c r="T2771" s="4">
        <v>0</v>
      </c>
      <c r="U2771" s="4">
        <f t="shared" si="71"/>
        <v>0</v>
      </c>
      <c r="V2771" s="166"/>
      <c r="W2771" s="3">
        <v>2014</v>
      </c>
      <c r="X2771" s="3">
        <v>11</v>
      </c>
    </row>
    <row r="2772" spans="1:24" ht="89.25">
      <c r="A2772" s="3" t="s">
        <v>15716</v>
      </c>
      <c r="B2772" s="6" t="s">
        <v>361</v>
      </c>
      <c r="C2772" s="159" t="s">
        <v>4534</v>
      </c>
      <c r="D2772" s="6" t="s">
        <v>11475</v>
      </c>
      <c r="E2772" s="6" t="s">
        <v>11476</v>
      </c>
      <c r="F2772" s="6" t="s">
        <v>4811</v>
      </c>
      <c r="G2772" s="6" t="s">
        <v>11449</v>
      </c>
      <c r="H2772" s="54">
        <v>0</v>
      </c>
      <c r="I2772" s="55">
        <v>470000000</v>
      </c>
      <c r="J2772" s="56" t="s">
        <v>229</v>
      </c>
      <c r="K2772" s="6" t="s">
        <v>220</v>
      </c>
      <c r="L2772" s="17" t="s">
        <v>11411</v>
      </c>
      <c r="M2772" s="162" t="s">
        <v>230</v>
      </c>
      <c r="N2772" s="15" t="s">
        <v>523</v>
      </c>
      <c r="O2772" s="6" t="s">
        <v>4568</v>
      </c>
      <c r="P2772" s="58" t="s">
        <v>241</v>
      </c>
      <c r="Q2772" s="6" t="s">
        <v>234</v>
      </c>
      <c r="R2772" s="3">
        <v>500</v>
      </c>
      <c r="S2772" s="1">
        <v>2550</v>
      </c>
      <c r="T2772" s="4">
        <f>R2772*S2772</f>
        <v>1275000</v>
      </c>
      <c r="U2772" s="4">
        <f t="shared" si="71"/>
        <v>1428000.0000000002</v>
      </c>
      <c r="V2772" s="166"/>
      <c r="W2772" s="3">
        <v>2014</v>
      </c>
      <c r="X2772" s="3"/>
    </row>
    <row r="2773" spans="1:24" ht="89.25">
      <c r="A2773" s="3" t="s">
        <v>1533</v>
      </c>
      <c r="B2773" s="6" t="s">
        <v>361</v>
      </c>
      <c r="C2773" s="42" t="s">
        <v>4535</v>
      </c>
      <c r="D2773" s="6" t="s">
        <v>4536</v>
      </c>
      <c r="E2773" s="6" t="s">
        <v>4537</v>
      </c>
      <c r="F2773" s="6" t="s">
        <v>4812</v>
      </c>
      <c r="G2773" s="6" t="s">
        <v>11449</v>
      </c>
      <c r="H2773" s="54">
        <v>0</v>
      </c>
      <c r="I2773" s="16">
        <v>470000000</v>
      </c>
      <c r="J2773" s="56" t="s">
        <v>229</v>
      </c>
      <c r="K2773" s="6" t="s">
        <v>519</v>
      </c>
      <c r="L2773" s="16" t="s">
        <v>4567</v>
      </c>
      <c r="M2773" s="162" t="s">
        <v>230</v>
      </c>
      <c r="N2773" s="15" t="s">
        <v>523</v>
      </c>
      <c r="O2773" s="6" t="s">
        <v>4568</v>
      </c>
      <c r="P2773" s="58" t="s">
        <v>241</v>
      </c>
      <c r="Q2773" s="6" t="s">
        <v>234</v>
      </c>
      <c r="R2773" s="4">
        <v>230</v>
      </c>
      <c r="S2773" s="74">
        <v>2550</v>
      </c>
      <c r="T2773" s="4">
        <v>0</v>
      </c>
      <c r="U2773" s="4">
        <f t="shared" si="71"/>
        <v>0</v>
      </c>
      <c r="V2773" s="3" t="s">
        <v>362</v>
      </c>
      <c r="W2773" s="3">
        <v>2014</v>
      </c>
      <c r="X2773" s="3">
        <v>12.22</v>
      </c>
    </row>
    <row r="2774" spans="1:24" ht="89.25">
      <c r="A2774" s="3" t="s">
        <v>12623</v>
      </c>
      <c r="B2774" s="6" t="s">
        <v>361</v>
      </c>
      <c r="C2774" s="42" t="s">
        <v>4535</v>
      </c>
      <c r="D2774" s="6" t="s">
        <v>4536</v>
      </c>
      <c r="E2774" s="6" t="s">
        <v>4537</v>
      </c>
      <c r="F2774" s="6" t="s">
        <v>4812</v>
      </c>
      <c r="G2774" s="6" t="s">
        <v>11449</v>
      </c>
      <c r="H2774" s="54">
        <v>0</v>
      </c>
      <c r="I2774" s="16">
        <v>470000000</v>
      </c>
      <c r="J2774" s="56" t="s">
        <v>229</v>
      </c>
      <c r="K2774" s="6" t="s">
        <v>519</v>
      </c>
      <c r="L2774" s="17" t="s">
        <v>11411</v>
      </c>
      <c r="M2774" s="162" t="s">
        <v>230</v>
      </c>
      <c r="N2774" s="15" t="s">
        <v>523</v>
      </c>
      <c r="O2774" s="6" t="s">
        <v>4568</v>
      </c>
      <c r="P2774" s="58" t="s">
        <v>241</v>
      </c>
      <c r="Q2774" s="6" t="s">
        <v>234</v>
      </c>
      <c r="R2774" s="4">
        <v>230</v>
      </c>
      <c r="S2774" s="74">
        <v>2550</v>
      </c>
      <c r="T2774" s="4">
        <v>0</v>
      </c>
      <c r="U2774" s="4">
        <f t="shared" si="71"/>
        <v>0</v>
      </c>
      <c r="V2774" s="3"/>
      <c r="W2774" s="3">
        <v>2014</v>
      </c>
      <c r="X2774" s="3">
        <v>11</v>
      </c>
    </row>
    <row r="2775" spans="1:24" ht="89.25">
      <c r="A2775" s="3" t="s">
        <v>15717</v>
      </c>
      <c r="B2775" s="6" t="s">
        <v>361</v>
      </c>
      <c r="C2775" s="42" t="s">
        <v>4535</v>
      </c>
      <c r="D2775" s="6" t="s">
        <v>4536</v>
      </c>
      <c r="E2775" s="6" t="s">
        <v>4537</v>
      </c>
      <c r="F2775" s="6" t="s">
        <v>4812</v>
      </c>
      <c r="G2775" s="6" t="s">
        <v>11449</v>
      </c>
      <c r="H2775" s="54">
        <v>0</v>
      </c>
      <c r="I2775" s="16">
        <v>470000000</v>
      </c>
      <c r="J2775" s="56" t="s">
        <v>229</v>
      </c>
      <c r="K2775" s="6" t="s">
        <v>220</v>
      </c>
      <c r="L2775" s="17" t="s">
        <v>11411</v>
      </c>
      <c r="M2775" s="162" t="s">
        <v>230</v>
      </c>
      <c r="N2775" s="15" t="s">
        <v>523</v>
      </c>
      <c r="O2775" s="6" t="s">
        <v>4568</v>
      </c>
      <c r="P2775" s="58" t="s">
        <v>241</v>
      </c>
      <c r="Q2775" s="6" t="s">
        <v>234</v>
      </c>
      <c r="R2775" s="4">
        <v>230</v>
      </c>
      <c r="S2775" s="74">
        <v>2550</v>
      </c>
      <c r="T2775" s="4">
        <f>R2775*S2775</f>
        <v>586500</v>
      </c>
      <c r="U2775" s="4">
        <f t="shared" si="71"/>
        <v>656880.00000000012</v>
      </c>
      <c r="V2775" s="3"/>
      <c r="W2775" s="3">
        <v>2014</v>
      </c>
      <c r="X2775" s="3"/>
    </row>
    <row r="2776" spans="1:24" ht="89.25">
      <c r="A2776" s="3" t="s">
        <v>1534</v>
      </c>
      <c r="B2776" s="6" t="s">
        <v>361</v>
      </c>
      <c r="C2776" s="6" t="s">
        <v>4538</v>
      </c>
      <c r="D2776" s="6" t="s">
        <v>4344</v>
      </c>
      <c r="E2776" s="6" t="s">
        <v>4345</v>
      </c>
      <c r="F2776" s="6" t="s">
        <v>358</v>
      </c>
      <c r="G2776" s="6" t="s">
        <v>11449</v>
      </c>
      <c r="H2776" s="54">
        <v>0</v>
      </c>
      <c r="I2776" s="55">
        <v>470000000</v>
      </c>
      <c r="J2776" s="56" t="s">
        <v>229</v>
      </c>
      <c r="K2776" s="6" t="s">
        <v>519</v>
      </c>
      <c r="L2776" s="16" t="s">
        <v>4570</v>
      </c>
      <c r="M2776" s="162" t="s">
        <v>230</v>
      </c>
      <c r="N2776" s="15" t="s">
        <v>523</v>
      </c>
      <c r="O2776" s="6" t="s">
        <v>4568</v>
      </c>
      <c r="P2776" s="58" t="s">
        <v>241</v>
      </c>
      <c r="Q2776" s="6" t="s">
        <v>234</v>
      </c>
      <c r="R2776" s="3">
        <v>66</v>
      </c>
      <c r="S2776" s="1">
        <v>93215</v>
      </c>
      <c r="T2776" s="4">
        <v>0</v>
      </c>
      <c r="U2776" s="4">
        <f t="shared" si="71"/>
        <v>0</v>
      </c>
      <c r="V2776" s="166" t="s">
        <v>362</v>
      </c>
      <c r="W2776" s="3">
        <v>2014</v>
      </c>
      <c r="X2776" s="3">
        <v>12.22</v>
      </c>
    </row>
    <row r="2777" spans="1:24" ht="89.25">
      <c r="A2777" s="3" t="s">
        <v>12624</v>
      </c>
      <c r="B2777" s="6" t="s">
        <v>361</v>
      </c>
      <c r="C2777" s="6" t="s">
        <v>4538</v>
      </c>
      <c r="D2777" s="6" t="s">
        <v>4344</v>
      </c>
      <c r="E2777" s="6" t="s">
        <v>4345</v>
      </c>
      <c r="F2777" s="6" t="s">
        <v>358</v>
      </c>
      <c r="G2777" s="6" t="s">
        <v>11449</v>
      </c>
      <c r="H2777" s="54">
        <v>0</v>
      </c>
      <c r="I2777" s="55">
        <v>470000000</v>
      </c>
      <c r="J2777" s="56" t="s">
        <v>229</v>
      </c>
      <c r="K2777" s="6" t="s">
        <v>519</v>
      </c>
      <c r="L2777" s="17" t="s">
        <v>11411</v>
      </c>
      <c r="M2777" s="162" t="s">
        <v>230</v>
      </c>
      <c r="N2777" s="15" t="s">
        <v>523</v>
      </c>
      <c r="O2777" s="6" t="s">
        <v>4568</v>
      </c>
      <c r="P2777" s="58" t="s">
        <v>241</v>
      </c>
      <c r="Q2777" s="6" t="s">
        <v>234</v>
      </c>
      <c r="R2777" s="3">
        <v>66</v>
      </c>
      <c r="S2777" s="1">
        <v>93215</v>
      </c>
      <c r="T2777" s="4">
        <v>0</v>
      </c>
      <c r="U2777" s="4">
        <f t="shared" si="71"/>
        <v>0</v>
      </c>
      <c r="V2777" s="166"/>
      <c r="W2777" s="3">
        <v>2014</v>
      </c>
      <c r="X2777" s="3">
        <v>11</v>
      </c>
    </row>
    <row r="2778" spans="1:24" ht="89.25">
      <c r="A2778" s="3" t="s">
        <v>15718</v>
      </c>
      <c r="B2778" s="6" t="s">
        <v>361</v>
      </c>
      <c r="C2778" s="6" t="s">
        <v>4538</v>
      </c>
      <c r="D2778" s="6" t="s">
        <v>4344</v>
      </c>
      <c r="E2778" s="6" t="s">
        <v>4345</v>
      </c>
      <c r="F2778" s="6" t="s">
        <v>358</v>
      </c>
      <c r="G2778" s="6" t="s">
        <v>11449</v>
      </c>
      <c r="H2778" s="54">
        <v>0</v>
      </c>
      <c r="I2778" s="55">
        <v>470000000</v>
      </c>
      <c r="J2778" s="56" t="s">
        <v>229</v>
      </c>
      <c r="K2778" s="6" t="s">
        <v>220</v>
      </c>
      <c r="L2778" s="17" t="s">
        <v>11411</v>
      </c>
      <c r="M2778" s="162" t="s">
        <v>230</v>
      </c>
      <c r="N2778" s="15" t="s">
        <v>523</v>
      </c>
      <c r="O2778" s="6" t="s">
        <v>4568</v>
      </c>
      <c r="P2778" s="58" t="s">
        <v>241</v>
      </c>
      <c r="Q2778" s="6" t="s">
        <v>234</v>
      </c>
      <c r="R2778" s="3">
        <v>66</v>
      </c>
      <c r="S2778" s="1">
        <v>93215</v>
      </c>
      <c r="T2778" s="4">
        <f>R2778*S2778</f>
        <v>6152190</v>
      </c>
      <c r="U2778" s="4">
        <f t="shared" si="71"/>
        <v>6890452.8000000007</v>
      </c>
      <c r="V2778" s="166"/>
      <c r="W2778" s="3">
        <v>2014</v>
      </c>
      <c r="X2778" s="3"/>
    </row>
    <row r="2779" spans="1:24" ht="267.75">
      <c r="A2779" s="3" t="s">
        <v>1535</v>
      </c>
      <c r="B2779" s="6" t="s">
        <v>361</v>
      </c>
      <c r="C2779" s="6" t="s">
        <v>4539</v>
      </c>
      <c r="D2779" s="6" t="s">
        <v>4451</v>
      </c>
      <c r="E2779" s="6" t="s">
        <v>11477</v>
      </c>
      <c r="F2779" s="6" t="s">
        <v>4813</v>
      </c>
      <c r="G2779" s="6" t="s">
        <v>11450</v>
      </c>
      <c r="H2779" s="54">
        <v>0</v>
      </c>
      <c r="I2779" s="16">
        <v>470000000</v>
      </c>
      <c r="J2779" s="56" t="s">
        <v>229</v>
      </c>
      <c r="K2779" s="6" t="s">
        <v>519</v>
      </c>
      <c r="L2779" s="16" t="s">
        <v>4567</v>
      </c>
      <c r="M2779" s="162" t="s">
        <v>230</v>
      </c>
      <c r="N2779" s="15" t="s">
        <v>521</v>
      </c>
      <c r="O2779" s="6" t="s">
        <v>4568</v>
      </c>
      <c r="P2779" s="58" t="s">
        <v>237</v>
      </c>
      <c r="Q2779" s="6" t="s">
        <v>238</v>
      </c>
      <c r="R2779" s="4">
        <v>60</v>
      </c>
      <c r="S2779" s="74">
        <v>152</v>
      </c>
      <c r="T2779" s="4">
        <v>0</v>
      </c>
      <c r="U2779" s="4">
        <f t="shared" si="71"/>
        <v>0</v>
      </c>
      <c r="V2779" s="3" t="s">
        <v>362</v>
      </c>
      <c r="W2779" s="3">
        <v>2014</v>
      </c>
      <c r="X2779" s="3">
        <v>12.22</v>
      </c>
    </row>
    <row r="2780" spans="1:24" ht="267.75">
      <c r="A2780" s="3" t="s">
        <v>12625</v>
      </c>
      <c r="B2780" s="6" t="s">
        <v>361</v>
      </c>
      <c r="C2780" s="6" t="s">
        <v>4539</v>
      </c>
      <c r="D2780" s="6" t="s">
        <v>4451</v>
      </c>
      <c r="E2780" s="6" t="s">
        <v>11477</v>
      </c>
      <c r="F2780" s="6" t="s">
        <v>4813</v>
      </c>
      <c r="G2780" s="6" t="s">
        <v>11450</v>
      </c>
      <c r="H2780" s="54">
        <v>0</v>
      </c>
      <c r="I2780" s="16">
        <v>470000000</v>
      </c>
      <c r="J2780" s="56" t="s">
        <v>229</v>
      </c>
      <c r="K2780" s="6" t="s">
        <v>519</v>
      </c>
      <c r="L2780" s="17" t="s">
        <v>11411</v>
      </c>
      <c r="M2780" s="162" t="s">
        <v>230</v>
      </c>
      <c r="N2780" s="15" t="s">
        <v>521</v>
      </c>
      <c r="O2780" s="6" t="s">
        <v>4568</v>
      </c>
      <c r="P2780" s="58" t="s">
        <v>237</v>
      </c>
      <c r="Q2780" s="6" t="s">
        <v>238</v>
      </c>
      <c r="R2780" s="4">
        <v>60</v>
      </c>
      <c r="S2780" s="74">
        <v>152</v>
      </c>
      <c r="T2780" s="4">
        <v>0</v>
      </c>
      <c r="U2780" s="4">
        <f t="shared" si="71"/>
        <v>0</v>
      </c>
      <c r="V2780" s="3"/>
      <c r="W2780" s="3">
        <v>2014</v>
      </c>
      <c r="X2780" s="3">
        <v>11</v>
      </c>
    </row>
    <row r="2781" spans="1:24" ht="267.75">
      <c r="A2781" s="3" t="s">
        <v>15719</v>
      </c>
      <c r="B2781" s="6" t="s">
        <v>361</v>
      </c>
      <c r="C2781" s="6" t="s">
        <v>4539</v>
      </c>
      <c r="D2781" s="6" t="s">
        <v>4451</v>
      </c>
      <c r="E2781" s="6" t="s">
        <v>11477</v>
      </c>
      <c r="F2781" s="6" t="s">
        <v>4813</v>
      </c>
      <c r="G2781" s="6" t="s">
        <v>11450</v>
      </c>
      <c r="H2781" s="54">
        <v>0</v>
      </c>
      <c r="I2781" s="16">
        <v>470000000</v>
      </c>
      <c r="J2781" s="56" t="s">
        <v>229</v>
      </c>
      <c r="K2781" s="6" t="s">
        <v>8309</v>
      </c>
      <c r="L2781" s="17" t="s">
        <v>11411</v>
      </c>
      <c r="M2781" s="162" t="s">
        <v>230</v>
      </c>
      <c r="N2781" s="15" t="s">
        <v>521</v>
      </c>
      <c r="O2781" s="6" t="s">
        <v>4568</v>
      </c>
      <c r="P2781" s="58" t="s">
        <v>237</v>
      </c>
      <c r="Q2781" s="6" t="s">
        <v>238</v>
      </c>
      <c r="R2781" s="4">
        <v>60</v>
      </c>
      <c r="S2781" s="74">
        <v>152</v>
      </c>
      <c r="T2781" s="4">
        <v>0</v>
      </c>
      <c r="U2781" s="4">
        <f t="shared" si="71"/>
        <v>0</v>
      </c>
      <c r="V2781" s="3"/>
      <c r="W2781" s="3">
        <v>2014</v>
      </c>
      <c r="X2781" s="3">
        <v>14</v>
      </c>
    </row>
    <row r="2782" spans="1:24" ht="267.75">
      <c r="A2782" s="3" t="s">
        <v>17663</v>
      </c>
      <c r="B2782" s="6" t="s">
        <v>361</v>
      </c>
      <c r="C2782" s="6" t="s">
        <v>4539</v>
      </c>
      <c r="D2782" s="6" t="s">
        <v>4451</v>
      </c>
      <c r="E2782" s="6" t="s">
        <v>11477</v>
      </c>
      <c r="F2782" s="6" t="s">
        <v>4813</v>
      </c>
      <c r="G2782" s="3" t="s">
        <v>11450</v>
      </c>
      <c r="H2782" s="54">
        <v>0</v>
      </c>
      <c r="I2782" s="16">
        <v>470000000</v>
      </c>
      <c r="J2782" s="56" t="s">
        <v>229</v>
      </c>
      <c r="K2782" s="6" t="s">
        <v>8309</v>
      </c>
      <c r="L2782" s="17" t="s">
        <v>11411</v>
      </c>
      <c r="M2782" s="162" t="s">
        <v>230</v>
      </c>
      <c r="N2782" s="15" t="s">
        <v>17491</v>
      </c>
      <c r="O2782" s="6" t="s">
        <v>4568</v>
      </c>
      <c r="P2782" s="58" t="s">
        <v>237</v>
      </c>
      <c r="Q2782" s="6" t="s">
        <v>238</v>
      </c>
      <c r="R2782" s="4">
        <v>60</v>
      </c>
      <c r="S2782" s="74">
        <v>152</v>
      </c>
      <c r="T2782" s="4">
        <f>R2782*S2782</f>
        <v>9120</v>
      </c>
      <c r="U2782" s="4">
        <f t="shared" si="71"/>
        <v>10214.400000000001</v>
      </c>
      <c r="V2782" s="3"/>
      <c r="W2782" s="3">
        <v>2014</v>
      </c>
      <c r="X2782" s="3"/>
    </row>
    <row r="2783" spans="1:24" ht="267.75">
      <c r="A2783" s="3" t="s">
        <v>1536</v>
      </c>
      <c r="B2783" s="6" t="s">
        <v>361</v>
      </c>
      <c r="C2783" s="6" t="s">
        <v>4539</v>
      </c>
      <c r="D2783" s="6" t="s">
        <v>4451</v>
      </c>
      <c r="E2783" s="6" t="s">
        <v>11477</v>
      </c>
      <c r="F2783" s="6" t="s">
        <v>4814</v>
      </c>
      <c r="G2783" s="6" t="s">
        <v>11450</v>
      </c>
      <c r="H2783" s="54">
        <v>0</v>
      </c>
      <c r="I2783" s="55">
        <v>470000000</v>
      </c>
      <c r="J2783" s="56" t="s">
        <v>229</v>
      </c>
      <c r="K2783" s="6" t="s">
        <v>519</v>
      </c>
      <c r="L2783" s="16" t="s">
        <v>4570</v>
      </c>
      <c r="M2783" s="162" t="s">
        <v>230</v>
      </c>
      <c r="N2783" s="15" t="s">
        <v>521</v>
      </c>
      <c r="O2783" s="6" t="s">
        <v>4568</v>
      </c>
      <c r="P2783" s="58" t="s">
        <v>237</v>
      </c>
      <c r="Q2783" s="6" t="s">
        <v>238</v>
      </c>
      <c r="R2783" s="3">
        <v>75</v>
      </c>
      <c r="S2783" s="1">
        <v>152</v>
      </c>
      <c r="T2783" s="4">
        <v>0</v>
      </c>
      <c r="U2783" s="4">
        <f t="shared" si="71"/>
        <v>0</v>
      </c>
      <c r="V2783" s="166" t="s">
        <v>362</v>
      </c>
      <c r="W2783" s="3">
        <v>2014</v>
      </c>
      <c r="X2783" s="3">
        <v>12.22</v>
      </c>
    </row>
    <row r="2784" spans="1:24" ht="267.75">
      <c r="A2784" s="3" t="s">
        <v>12626</v>
      </c>
      <c r="B2784" s="6" t="s">
        <v>361</v>
      </c>
      <c r="C2784" s="6" t="s">
        <v>4539</v>
      </c>
      <c r="D2784" s="6" t="s">
        <v>4451</v>
      </c>
      <c r="E2784" s="6" t="s">
        <v>11477</v>
      </c>
      <c r="F2784" s="6" t="s">
        <v>4814</v>
      </c>
      <c r="G2784" s="6" t="s">
        <v>11450</v>
      </c>
      <c r="H2784" s="54">
        <v>0</v>
      </c>
      <c r="I2784" s="55">
        <v>470000000</v>
      </c>
      <c r="J2784" s="56" t="s">
        <v>229</v>
      </c>
      <c r="K2784" s="6" t="s">
        <v>519</v>
      </c>
      <c r="L2784" s="17" t="s">
        <v>11411</v>
      </c>
      <c r="M2784" s="162" t="s">
        <v>230</v>
      </c>
      <c r="N2784" s="15" t="s">
        <v>521</v>
      </c>
      <c r="O2784" s="6" t="s">
        <v>4568</v>
      </c>
      <c r="P2784" s="58" t="s">
        <v>237</v>
      </c>
      <c r="Q2784" s="6" t="s">
        <v>238</v>
      </c>
      <c r="R2784" s="3">
        <v>75</v>
      </c>
      <c r="S2784" s="1">
        <v>152</v>
      </c>
      <c r="T2784" s="4">
        <v>0</v>
      </c>
      <c r="U2784" s="4">
        <f t="shared" si="71"/>
        <v>0</v>
      </c>
      <c r="V2784" s="166"/>
      <c r="W2784" s="3">
        <v>2014</v>
      </c>
      <c r="X2784" s="3">
        <v>11</v>
      </c>
    </row>
    <row r="2785" spans="1:24" ht="267.75">
      <c r="A2785" s="3" t="s">
        <v>15720</v>
      </c>
      <c r="B2785" s="6" t="s">
        <v>361</v>
      </c>
      <c r="C2785" s="6" t="s">
        <v>4539</v>
      </c>
      <c r="D2785" s="6" t="s">
        <v>4451</v>
      </c>
      <c r="E2785" s="6" t="s">
        <v>11477</v>
      </c>
      <c r="F2785" s="6" t="s">
        <v>4814</v>
      </c>
      <c r="G2785" s="6" t="s">
        <v>11450</v>
      </c>
      <c r="H2785" s="54">
        <v>0</v>
      </c>
      <c r="I2785" s="55">
        <v>470000000</v>
      </c>
      <c r="J2785" s="56" t="s">
        <v>229</v>
      </c>
      <c r="K2785" s="6" t="s">
        <v>8309</v>
      </c>
      <c r="L2785" s="17" t="s">
        <v>11411</v>
      </c>
      <c r="M2785" s="162" t="s">
        <v>230</v>
      </c>
      <c r="N2785" s="15" t="s">
        <v>521</v>
      </c>
      <c r="O2785" s="6" t="s">
        <v>4568</v>
      </c>
      <c r="P2785" s="58" t="s">
        <v>237</v>
      </c>
      <c r="Q2785" s="6" t="s">
        <v>238</v>
      </c>
      <c r="R2785" s="3">
        <v>75</v>
      </c>
      <c r="S2785" s="1">
        <v>152</v>
      </c>
      <c r="T2785" s="4">
        <v>0</v>
      </c>
      <c r="U2785" s="4">
        <f t="shared" si="71"/>
        <v>0</v>
      </c>
      <c r="V2785" s="166"/>
      <c r="W2785" s="3">
        <v>2014</v>
      </c>
      <c r="X2785" s="3">
        <v>14</v>
      </c>
    </row>
    <row r="2786" spans="1:24" ht="267.75">
      <c r="A2786" s="3" t="s">
        <v>17664</v>
      </c>
      <c r="B2786" s="6" t="s">
        <v>361</v>
      </c>
      <c r="C2786" s="6" t="s">
        <v>4539</v>
      </c>
      <c r="D2786" s="6" t="s">
        <v>4451</v>
      </c>
      <c r="E2786" s="6" t="s">
        <v>11477</v>
      </c>
      <c r="F2786" s="6" t="s">
        <v>4814</v>
      </c>
      <c r="G2786" s="3" t="s">
        <v>11450</v>
      </c>
      <c r="H2786" s="54">
        <v>0</v>
      </c>
      <c r="I2786" s="55">
        <v>470000000</v>
      </c>
      <c r="J2786" s="56" t="s">
        <v>229</v>
      </c>
      <c r="K2786" s="6" t="s">
        <v>8309</v>
      </c>
      <c r="L2786" s="17" t="s">
        <v>11411</v>
      </c>
      <c r="M2786" s="162" t="s">
        <v>230</v>
      </c>
      <c r="N2786" s="15" t="s">
        <v>17491</v>
      </c>
      <c r="O2786" s="6" t="s">
        <v>4568</v>
      </c>
      <c r="P2786" s="58" t="s">
        <v>237</v>
      </c>
      <c r="Q2786" s="6" t="s">
        <v>238</v>
      </c>
      <c r="R2786" s="3">
        <v>75</v>
      </c>
      <c r="S2786" s="1">
        <v>152</v>
      </c>
      <c r="T2786" s="4">
        <f>R2786*S2786</f>
        <v>11400</v>
      </c>
      <c r="U2786" s="4">
        <f t="shared" si="71"/>
        <v>12768.000000000002</v>
      </c>
      <c r="V2786" s="166"/>
      <c r="W2786" s="3">
        <v>2014</v>
      </c>
      <c r="X2786" s="3"/>
    </row>
    <row r="2787" spans="1:24" ht="267.75">
      <c r="A2787" s="3" t="s">
        <v>1537</v>
      </c>
      <c r="B2787" s="6" t="s">
        <v>361</v>
      </c>
      <c r="C2787" s="6" t="s">
        <v>4539</v>
      </c>
      <c r="D2787" s="6" t="s">
        <v>4451</v>
      </c>
      <c r="E2787" s="6" t="s">
        <v>11477</v>
      </c>
      <c r="F2787" s="6" t="s">
        <v>4815</v>
      </c>
      <c r="G2787" s="6" t="s">
        <v>11450</v>
      </c>
      <c r="H2787" s="54">
        <v>0</v>
      </c>
      <c r="I2787" s="16">
        <v>470000000</v>
      </c>
      <c r="J2787" s="56" t="s">
        <v>229</v>
      </c>
      <c r="K2787" s="6" t="s">
        <v>519</v>
      </c>
      <c r="L2787" s="16" t="s">
        <v>4567</v>
      </c>
      <c r="M2787" s="162" t="s">
        <v>230</v>
      </c>
      <c r="N2787" s="15" t="s">
        <v>521</v>
      </c>
      <c r="O2787" s="6" t="s">
        <v>4568</v>
      </c>
      <c r="P2787" s="58" t="s">
        <v>237</v>
      </c>
      <c r="Q2787" s="6" t="s">
        <v>238</v>
      </c>
      <c r="R2787" s="4">
        <v>80</v>
      </c>
      <c r="S2787" s="74">
        <v>152</v>
      </c>
      <c r="T2787" s="4">
        <v>0</v>
      </c>
      <c r="U2787" s="4">
        <f t="shared" si="71"/>
        <v>0</v>
      </c>
      <c r="V2787" s="3" t="s">
        <v>362</v>
      </c>
      <c r="W2787" s="3">
        <v>2014</v>
      </c>
      <c r="X2787" s="3">
        <v>12.22</v>
      </c>
    </row>
    <row r="2788" spans="1:24" ht="267.75">
      <c r="A2788" s="3" t="s">
        <v>12627</v>
      </c>
      <c r="B2788" s="6" t="s">
        <v>361</v>
      </c>
      <c r="C2788" s="6" t="s">
        <v>4539</v>
      </c>
      <c r="D2788" s="6" t="s">
        <v>4451</v>
      </c>
      <c r="E2788" s="6" t="s">
        <v>11477</v>
      </c>
      <c r="F2788" s="6" t="s">
        <v>4815</v>
      </c>
      <c r="G2788" s="6" t="s">
        <v>11450</v>
      </c>
      <c r="H2788" s="54">
        <v>0</v>
      </c>
      <c r="I2788" s="16">
        <v>470000000</v>
      </c>
      <c r="J2788" s="56" t="s">
        <v>229</v>
      </c>
      <c r="K2788" s="6" t="s">
        <v>519</v>
      </c>
      <c r="L2788" s="17" t="s">
        <v>11411</v>
      </c>
      <c r="M2788" s="162" t="s">
        <v>230</v>
      </c>
      <c r="N2788" s="15" t="s">
        <v>521</v>
      </c>
      <c r="O2788" s="6" t="s">
        <v>4568</v>
      </c>
      <c r="P2788" s="58" t="s">
        <v>237</v>
      </c>
      <c r="Q2788" s="6" t="s">
        <v>238</v>
      </c>
      <c r="R2788" s="4">
        <v>80</v>
      </c>
      <c r="S2788" s="74">
        <v>152</v>
      </c>
      <c r="T2788" s="4">
        <v>0</v>
      </c>
      <c r="U2788" s="4">
        <f t="shared" si="71"/>
        <v>0</v>
      </c>
      <c r="V2788" s="3"/>
      <c r="W2788" s="3">
        <v>2014</v>
      </c>
      <c r="X2788" s="3">
        <v>11</v>
      </c>
    </row>
    <row r="2789" spans="1:24" ht="267.75">
      <c r="A2789" s="3" t="s">
        <v>15721</v>
      </c>
      <c r="B2789" s="6" t="s">
        <v>361</v>
      </c>
      <c r="C2789" s="6" t="s">
        <v>4539</v>
      </c>
      <c r="D2789" s="6" t="s">
        <v>4451</v>
      </c>
      <c r="E2789" s="6" t="s">
        <v>11477</v>
      </c>
      <c r="F2789" s="6" t="s">
        <v>4815</v>
      </c>
      <c r="G2789" s="6" t="s">
        <v>11450</v>
      </c>
      <c r="H2789" s="54">
        <v>0</v>
      </c>
      <c r="I2789" s="16">
        <v>470000000</v>
      </c>
      <c r="J2789" s="56" t="s">
        <v>229</v>
      </c>
      <c r="K2789" s="6" t="s">
        <v>8309</v>
      </c>
      <c r="L2789" s="17" t="s">
        <v>11411</v>
      </c>
      <c r="M2789" s="162" t="s">
        <v>230</v>
      </c>
      <c r="N2789" s="15" t="s">
        <v>521</v>
      </c>
      <c r="O2789" s="6" t="s">
        <v>4568</v>
      </c>
      <c r="P2789" s="58" t="s">
        <v>237</v>
      </c>
      <c r="Q2789" s="6" t="s">
        <v>238</v>
      </c>
      <c r="R2789" s="4">
        <v>80</v>
      </c>
      <c r="S2789" s="74">
        <v>152</v>
      </c>
      <c r="T2789" s="4">
        <v>0</v>
      </c>
      <c r="U2789" s="4">
        <f t="shared" si="71"/>
        <v>0</v>
      </c>
      <c r="V2789" s="3"/>
      <c r="W2789" s="3">
        <v>2014</v>
      </c>
      <c r="X2789" s="3">
        <v>14</v>
      </c>
    </row>
    <row r="2790" spans="1:24" ht="267.75">
      <c r="A2790" s="3" t="s">
        <v>17665</v>
      </c>
      <c r="B2790" s="6" t="s">
        <v>361</v>
      </c>
      <c r="C2790" s="6" t="s">
        <v>4539</v>
      </c>
      <c r="D2790" s="6" t="s">
        <v>4451</v>
      </c>
      <c r="E2790" s="6" t="s">
        <v>11477</v>
      </c>
      <c r="F2790" s="6" t="s">
        <v>4815</v>
      </c>
      <c r="G2790" s="3" t="s">
        <v>11450</v>
      </c>
      <c r="H2790" s="54">
        <v>0</v>
      </c>
      <c r="I2790" s="16">
        <v>470000000</v>
      </c>
      <c r="J2790" s="56" t="s">
        <v>229</v>
      </c>
      <c r="K2790" s="6" t="s">
        <v>8309</v>
      </c>
      <c r="L2790" s="17" t="s">
        <v>11411</v>
      </c>
      <c r="M2790" s="162" t="s">
        <v>230</v>
      </c>
      <c r="N2790" s="15" t="s">
        <v>17491</v>
      </c>
      <c r="O2790" s="6" t="s">
        <v>4568</v>
      </c>
      <c r="P2790" s="58" t="s">
        <v>237</v>
      </c>
      <c r="Q2790" s="6" t="s">
        <v>238</v>
      </c>
      <c r="R2790" s="4">
        <v>80</v>
      </c>
      <c r="S2790" s="74">
        <v>152</v>
      </c>
      <c r="T2790" s="4">
        <f>R2790*S2790</f>
        <v>12160</v>
      </c>
      <c r="U2790" s="4">
        <f t="shared" si="71"/>
        <v>13619.2</v>
      </c>
      <c r="V2790" s="3"/>
      <c r="W2790" s="3">
        <v>2014</v>
      </c>
      <c r="X2790" s="3"/>
    </row>
    <row r="2791" spans="1:24" ht="267.75">
      <c r="A2791" s="3" t="s">
        <v>1538</v>
      </c>
      <c r="B2791" s="6" t="s">
        <v>361</v>
      </c>
      <c r="C2791" s="6" t="s">
        <v>4539</v>
      </c>
      <c r="D2791" s="6" t="s">
        <v>4451</v>
      </c>
      <c r="E2791" s="6" t="s">
        <v>11477</v>
      </c>
      <c r="F2791" s="6" t="s">
        <v>4816</v>
      </c>
      <c r="G2791" s="6" t="s">
        <v>11450</v>
      </c>
      <c r="H2791" s="54">
        <v>0</v>
      </c>
      <c r="I2791" s="55">
        <v>470000000</v>
      </c>
      <c r="J2791" s="56" t="s">
        <v>229</v>
      </c>
      <c r="K2791" s="6" t="s">
        <v>519</v>
      </c>
      <c r="L2791" s="16" t="s">
        <v>4570</v>
      </c>
      <c r="M2791" s="162" t="s">
        <v>230</v>
      </c>
      <c r="N2791" s="15" t="s">
        <v>521</v>
      </c>
      <c r="O2791" s="6" t="s">
        <v>4568</v>
      </c>
      <c r="P2791" s="58" t="s">
        <v>237</v>
      </c>
      <c r="Q2791" s="6" t="s">
        <v>238</v>
      </c>
      <c r="R2791" s="3">
        <v>150</v>
      </c>
      <c r="S2791" s="1">
        <v>202</v>
      </c>
      <c r="T2791" s="4">
        <v>0</v>
      </c>
      <c r="U2791" s="4">
        <f t="shared" si="71"/>
        <v>0</v>
      </c>
      <c r="V2791" s="166" t="s">
        <v>362</v>
      </c>
      <c r="W2791" s="3">
        <v>2014</v>
      </c>
      <c r="X2791" s="3">
        <v>12.22</v>
      </c>
    </row>
    <row r="2792" spans="1:24" ht="267.75">
      <c r="A2792" s="3" t="s">
        <v>12628</v>
      </c>
      <c r="B2792" s="6" t="s">
        <v>361</v>
      </c>
      <c r="C2792" s="6" t="s">
        <v>4539</v>
      </c>
      <c r="D2792" s="6" t="s">
        <v>4451</v>
      </c>
      <c r="E2792" s="6" t="s">
        <v>11477</v>
      </c>
      <c r="F2792" s="6" t="s">
        <v>4816</v>
      </c>
      <c r="G2792" s="6" t="s">
        <v>11450</v>
      </c>
      <c r="H2792" s="54">
        <v>0</v>
      </c>
      <c r="I2792" s="55">
        <v>470000000</v>
      </c>
      <c r="J2792" s="56" t="s">
        <v>229</v>
      </c>
      <c r="K2792" s="6" t="s">
        <v>519</v>
      </c>
      <c r="L2792" s="17" t="s">
        <v>11411</v>
      </c>
      <c r="M2792" s="162" t="s">
        <v>230</v>
      </c>
      <c r="N2792" s="15" t="s">
        <v>521</v>
      </c>
      <c r="O2792" s="6" t="s">
        <v>4568</v>
      </c>
      <c r="P2792" s="58" t="s">
        <v>237</v>
      </c>
      <c r="Q2792" s="6" t="s">
        <v>238</v>
      </c>
      <c r="R2792" s="3">
        <v>150</v>
      </c>
      <c r="S2792" s="1">
        <v>202</v>
      </c>
      <c r="T2792" s="4">
        <v>0</v>
      </c>
      <c r="U2792" s="4">
        <f t="shared" si="71"/>
        <v>0</v>
      </c>
      <c r="V2792" s="166"/>
      <c r="W2792" s="3">
        <v>2014</v>
      </c>
      <c r="X2792" s="3">
        <v>11</v>
      </c>
    </row>
    <row r="2793" spans="1:24" ht="267.75">
      <c r="A2793" s="3" t="s">
        <v>15722</v>
      </c>
      <c r="B2793" s="6" t="s">
        <v>361</v>
      </c>
      <c r="C2793" s="6" t="s">
        <v>4539</v>
      </c>
      <c r="D2793" s="6" t="s">
        <v>4451</v>
      </c>
      <c r="E2793" s="6" t="s">
        <v>11477</v>
      </c>
      <c r="F2793" s="6" t="s">
        <v>4816</v>
      </c>
      <c r="G2793" s="6" t="s">
        <v>11450</v>
      </c>
      <c r="H2793" s="54">
        <v>0</v>
      </c>
      <c r="I2793" s="55">
        <v>470000000</v>
      </c>
      <c r="J2793" s="56" t="s">
        <v>229</v>
      </c>
      <c r="K2793" s="6" t="s">
        <v>8309</v>
      </c>
      <c r="L2793" s="17" t="s">
        <v>11411</v>
      </c>
      <c r="M2793" s="162" t="s">
        <v>230</v>
      </c>
      <c r="N2793" s="15" t="s">
        <v>521</v>
      </c>
      <c r="O2793" s="6" t="s">
        <v>4568</v>
      </c>
      <c r="P2793" s="58" t="s">
        <v>237</v>
      </c>
      <c r="Q2793" s="6" t="s">
        <v>238</v>
      </c>
      <c r="R2793" s="3">
        <v>150</v>
      </c>
      <c r="S2793" s="1">
        <v>202</v>
      </c>
      <c r="T2793" s="4">
        <v>0</v>
      </c>
      <c r="U2793" s="4">
        <f t="shared" si="71"/>
        <v>0</v>
      </c>
      <c r="V2793" s="166"/>
      <c r="W2793" s="3">
        <v>2014</v>
      </c>
      <c r="X2793" s="3">
        <v>14</v>
      </c>
    </row>
    <row r="2794" spans="1:24" ht="267.75">
      <c r="A2794" s="3" t="s">
        <v>17666</v>
      </c>
      <c r="B2794" s="6" t="s">
        <v>361</v>
      </c>
      <c r="C2794" s="6" t="s">
        <v>4539</v>
      </c>
      <c r="D2794" s="6" t="s">
        <v>4451</v>
      </c>
      <c r="E2794" s="6" t="s">
        <v>11477</v>
      </c>
      <c r="F2794" s="6" t="s">
        <v>4816</v>
      </c>
      <c r="G2794" s="3" t="s">
        <v>11450</v>
      </c>
      <c r="H2794" s="54">
        <v>0</v>
      </c>
      <c r="I2794" s="55">
        <v>470000000</v>
      </c>
      <c r="J2794" s="56" t="s">
        <v>229</v>
      </c>
      <c r="K2794" s="6" t="s">
        <v>8309</v>
      </c>
      <c r="L2794" s="17" t="s">
        <v>11411</v>
      </c>
      <c r="M2794" s="162" t="s">
        <v>230</v>
      </c>
      <c r="N2794" s="15" t="s">
        <v>17491</v>
      </c>
      <c r="O2794" s="6" t="s">
        <v>4568</v>
      </c>
      <c r="P2794" s="58" t="s">
        <v>237</v>
      </c>
      <c r="Q2794" s="6" t="s">
        <v>238</v>
      </c>
      <c r="R2794" s="3">
        <v>150</v>
      </c>
      <c r="S2794" s="1">
        <v>202</v>
      </c>
      <c r="T2794" s="4">
        <f>R2794*S2794</f>
        <v>30300</v>
      </c>
      <c r="U2794" s="4">
        <f t="shared" si="71"/>
        <v>33936</v>
      </c>
      <c r="V2794" s="166"/>
      <c r="W2794" s="3">
        <v>2014</v>
      </c>
      <c r="X2794" s="3"/>
    </row>
    <row r="2795" spans="1:24" ht="267.75">
      <c r="A2795" s="3" t="s">
        <v>1539</v>
      </c>
      <c r="B2795" s="6" t="s">
        <v>361</v>
      </c>
      <c r="C2795" s="6" t="s">
        <v>4539</v>
      </c>
      <c r="D2795" s="6" t="s">
        <v>4451</v>
      </c>
      <c r="E2795" s="6" t="s">
        <v>11477</v>
      </c>
      <c r="F2795" s="6" t="s">
        <v>4817</v>
      </c>
      <c r="G2795" s="6" t="s">
        <v>11450</v>
      </c>
      <c r="H2795" s="54">
        <v>0</v>
      </c>
      <c r="I2795" s="16">
        <v>470000000</v>
      </c>
      <c r="J2795" s="56" t="s">
        <v>229</v>
      </c>
      <c r="K2795" s="6" t="s">
        <v>519</v>
      </c>
      <c r="L2795" s="16" t="s">
        <v>4567</v>
      </c>
      <c r="M2795" s="162" t="s">
        <v>230</v>
      </c>
      <c r="N2795" s="15" t="s">
        <v>521</v>
      </c>
      <c r="O2795" s="6" t="s">
        <v>4568</v>
      </c>
      <c r="P2795" s="58" t="s">
        <v>237</v>
      </c>
      <c r="Q2795" s="6" t="s">
        <v>238</v>
      </c>
      <c r="R2795" s="4">
        <v>125</v>
      </c>
      <c r="S2795" s="74">
        <v>205</v>
      </c>
      <c r="T2795" s="4">
        <v>0</v>
      </c>
      <c r="U2795" s="4">
        <f t="shared" si="71"/>
        <v>0</v>
      </c>
      <c r="V2795" s="3"/>
      <c r="W2795" s="3">
        <v>2014</v>
      </c>
      <c r="X2795" s="3">
        <v>12</v>
      </c>
    </row>
    <row r="2796" spans="1:24" ht="267.75">
      <c r="A2796" s="3" t="s">
        <v>12629</v>
      </c>
      <c r="B2796" s="6" t="s">
        <v>361</v>
      </c>
      <c r="C2796" s="6" t="s">
        <v>4539</v>
      </c>
      <c r="D2796" s="6" t="s">
        <v>4451</v>
      </c>
      <c r="E2796" s="6" t="s">
        <v>11477</v>
      </c>
      <c r="F2796" s="6" t="s">
        <v>4817</v>
      </c>
      <c r="G2796" s="6" t="s">
        <v>11450</v>
      </c>
      <c r="H2796" s="54">
        <v>0</v>
      </c>
      <c r="I2796" s="16">
        <v>470000000</v>
      </c>
      <c r="J2796" s="56" t="s">
        <v>229</v>
      </c>
      <c r="K2796" s="6" t="s">
        <v>519</v>
      </c>
      <c r="L2796" s="17" t="s">
        <v>11411</v>
      </c>
      <c r="M2796" s="162" t="s">
        <v>230</v>
      </c>
      <c r="N2796" s="15" t="s">
        <v>521</v>
      </c>
      <c r="O2796" s="6" t="s">
        <v>4568</v>
      </c>
      <c r="P2796" s="58" t="s">
        <v>237</v>
      </c>
      <c r="Q2796" s="6" t="s">
        <v>238</v>
      </c>
      <c r="R2796" s="4">
        <v>125</v>
      </c>
      <c r="S2796" s="74">
        <v>205</v>
      </c>
      <c r="T2796" s="4">
        <v>0</v>
      </c>
      <c r="U2796" s="4">
        <f t="shared" si="71"/>
        <v>0</v>
      </c>
      <c r="V2796" s="3"/>
      <c r="W2796" s="3">
        <v>2014</v>
      </c>
      <c r="X2796" s="3" t="s">
        <v>14785</v>
      </c>
    </row>
    <row r="2797" spans="1:24" ht="267.75">
      <c r="A2797" s="3" t="s">
        <v>14232</v>
      </c>
      <c r="B2797" s="6" t="s">
        <v>361</v>
      </c>
      <c r="C2797" s="6" t="s">
        <v>4539</v>
      </c>
      <c r="D2797" s="6" t="s">
        <v>4451</v>
      </c>
      <c r="E2797" s="6" t="s">
        <v>11477</v>
      </c>
      <c r="F2797" s="6" t="s">
        <v>4817</v>
      </c>
      <c r="G2797" s="6" t="s">
        <v>11450</v>
      </c>
      <c r="H2797" s="54">
        <v>0</v>
      </c>
      <c r="I2797" s="16">
        <v>470000000</v>
      </c>
      <c r="J2797" s="56" t="s">
        <v>229</v>
      </c>
      <c r="K2797" s="6" t="s">
        <v>8309</v>
      </c>
      <c r="L2797" s="17" t="s">
        <v>11411</v>
      </c>
      <c r="M2797" s="162" t="s">
        <v>230</v>
      </c>
      <c r="N2797" s="15" t="s">
        <v>521</v>
      </c>
      <c r="O2797" s="6" t="s">
        <v>4568</v>
      </c>
      <c r="P2797" s="58" t="s">
        <v>237</v>
      </c>
      <c r="Q2797" s="6" t="s">
        <v>238</v>
      </c>
      <c r="R2797" s="4">
        <v>125</v>
      </c>
      <c r="S2797" s="74">
        <v>225</v>
      </c>
      <c r="T2797" s="4">
        <v>0</v>
      </c>
      <c r="U2797" s="4">
        <f t="shared" si="71"/>
        <v>0</v>
      </c>
      <c r="V2797" s="3"/>
      <c r="W2797" s="3">
        <v>2014</v>
      </c>
      <c r="X2797" s="3">
        <v>14</v>
      </c>
    </row>
    <row r="2798" spans="1:24" ht="267.75">
      <c r="A2798" s="3" t="s">
        <v>17667</v>
      </c>
      <c r="B2798" s="6" t="s">
        <v>361</v>
      </c>
      <c r="C2798" s="6" t="s">
        <v>4539</v>
      </c>
      <c r="D2798" s="6" t="s">
        <v>4451</v>
      </c>
      <c r="E2798" s="6" t="s">
        <v>11477</v>
      </c>
      <c r="F2798" s="6" t="s">
        <v>4817</v>
      </c>
      <c r="G2798" s="3" t="s">
        <v>11450</v>
      </c>
      <c r="H2798" s="54">
        <v>0</v>
      </c>
      <c r="I2798" s="16">
        <v>470000000</v>
      </c>
      <c r="J2798" s="56" t="s">
        <v>229</v>
      </c>
      <c r="K2798" s="6" t="s">
        <v>8309</v>
      </c>
      <c r="L2798" s="17" t="s">
        <v>11411</v>
      </c>
      <c r="M2798" s="162" t="s">
        <v>230</v>
      </c>
      <c r="N2798" s="15" t="s">
        <v>17491</v>
      </c>
      <c r="O2798" s="6" t="s">
        <v>4568</v>
      </c>
      <c r="P2798" s="58" t="s">
        <v>237</v>
      </c>
      <c r="Q2798" s="6" t="s">
        <v>238</v>
      </c>
      <c r="R2798" s="4">
        <v>125</v>
      </c>
      <c r="S2798" s="74">
        <v>225</v>
      </c>
      <c r="T2798" s="4">
        <f>R2798*S2798</f>
        <v>28125</v>
      </c>
      <c r="U2798" s="4">
        <f t="shared" si="71"/>
        <v>31500.000000000004</v>
      </c>
      <c r="V2798" s="3"/>
      <c r="W2798" s="3">
        <v>2014</v>
      </c>
      <c r="X2798" s="3"/>
    </row>
    <row r="2799" spans="1:24" ht="267.75">
      <c r="A2799" s="3" t="s">
        <v>1540</v>
      </c>
      <c r="B2799" s="6" t="s">
        <v>361</v>
      </c>
      <c r="C2799" s="6" t="s">
        <v>4539</v>
      </c>
      <c r="D2799" s="6" t="s">
        <v>4451</v>
      </c>
      <c r="E2799" s="6" t="s">
        <v>11477</v>
      </c>
      <c r="F2799" s="6" t="s">
        <v>4818</v>
      </c>
      <c r="G2799" s="6" t="s">
        <v>11450</v>
      </c>
      <c r="H2799" s="54">
        <v>0</v>
      </c>
      <c r="I2799" s="55">
        <v>470000000</v>
      </c>
      <c r="J2799" s="56" t="s">
        <v>229</v>
      </c>
      <c r="K2799" s="6" t="s">
        <v>519</v>
      </c>
      <c r="L2799" s="16" t="s">
        <v>4570</v>
      </c>
      <c r="M2799" s="162" t="s">
        <v>230</v>
      </c>
      <c r="N2799" s="15" t="s">
        <v>521</v>
      </c>
      <c r="O2799" s="6" t="s">
        <v>4568</v>
      </c>
      <c r="P2799" s="58" t="s">
        <v>237</v>
      </c>
      <c r="Q2799" s="6" t="s">
        <v>238</v>
      </c>
      <c r="R2799" s="3">
        <v>125</v>
      </c>
      <c r="S2799" s="1">
        <v>335</v>
      </c>
      <c r="T2799" s="4">
        <v>0</v>
      </c>
      <c r="U2799" s="4">
        <f t="shared" si="71"/>
        <v>0</v>
      </c>
      <c r="V2799" s="166"/>
      <c r="W2799" s="3">
        <v>2014</v>
      </c>
      <c r="X2799" s="3">
        <v>12</v>
      </c>
    </row>
    <row r="2800" spans="1:24" ht="267.75">
      <c r="A2800" s="3" t="s">
        <v>12630</v>
      </c>
      <c r="B2800" s="6" t="s">
        <v>361</v>
      </c>
      <c r="C2800" s="6" t="s">
        <v>4539</v>
      </c>
      <c r="D2800" s="6" t="s">
        <v>4451</v>
      </c>
      <c r="E2800" s="6" t="s">
        <v>11477</v>
      </c>
      <c r="F2800" s="6" t="s">
        <v>4818</v>
      </c>
      <c r="G2800" s="6" t="s">
        <v>11450</v>
      </c>
      <c r="H2800" s="54">
        <v>0</v>
      </c>
      <c r="I2800" s="55">
        <v>470000000</v>
      </c>
      <c r="J2800" s="56" t="s">
        <v>229</v>
      </c>
      <c r="K2800" s="6" t="s">
        <v>519</v>
      </c>
      <c r="L2800" s="17" t="s">
        <v>11411</v>
      </c>
      <c r="M2800" s="162" t="s">
        <v>230</v>
      </c>
      <c r="N2800" s="15" t="s">
        <v>521</v>
      </c>
      <c r="O2800" s="6" t="s">
        <v>4568</v>
      </c>
      <c r="P2800" s="58" t="s">
        <v>237</v>
      </c>
      <c r="Q2800" s="6" t="s">
        <v>238</v>
      </c>
      <c r="R2800" s="3">
        <v>125</v>
      </c>
      <c r="S2800" s="1">
        <v>335</v>
      </c>
      <c r="T2800" s="4">
        <v>0</v>
      </c>
      <c r="U2800" s="4">
        <f t="shared" si="71"/>
        <v>0</v>
      </c>
      <c r="V2800" s="166"/>
      <c r="W2800" s="3">
        <v>2014</v>
      </c>
      <c r="X2800" s="3">
        <v>11</v>
      </c>
    </row>
    <row r="2801" spans="1:24" ht="267.75">
      <c r="A2801" s="3" t="s">
        <v>15723</v>
      </c>
      <c r="B2801" s="6" t="s">
        <v>361</v>
      </c>
      <c r="C2801" s="6" t="s">
        <v>4539</v>
      </c>
      <c r="D2801" s="6" t="s">
        <v>4451</v>
      </c>
      <c r="E2801" s="6" t="s">
        <v>11477</v>
      </c>
      <c r="F2801" s="6" t="s">
        <v>4818</v>
      </c>
      <c r="G2801" s="6" t="s">
        <v>11450</v>
      </c>
      <c r="H2801" s="54">
        <v>0</v>
      </c>
      <c r="I2801" s="55">
        <v>470000000</v>
      </c>
      <c r="J2801" s="56" t="s">
        <v>229</v>
      </c>
      <c r="K2801" s="6" t="s">
        <v>8309</v>
      </c>
      <c r="L2801" s="17" t="s">
        <v>11411</v>
      </c>
      <c r="M2801" s="162" t="s">
        <v>230</v>
      </c>
      <c r="N2801" s="15" t="s">
        <v>521</v>
      </c>
      <c r="O2801" s="6" t="s">
        <v>4568</v>
      </c>
      <c r="P2801" s="58" t="s">
        <v>237</v>
      </c>
      <c r="Q2801" s="6" t="s">
        <v>238</v>
      </c>
      <c r="R2801" s="3">
        <v>125</v>
      </c>
      <c r="S2801" s="1">
        <v>335</v>
      </c>
      <c r="T2801" s="4">
        <v>0</v>
      </c>
      <c r="U2801" s="4">
        <f t="shared" si="71"/>
        <v>0</v>
      </c>
      <c r="V2801" s="166"/>
      <c r="W2801" s="3">
        <v>2014</v>
      </c>
      <c r="X2801" s="3">
        <v>14</v>
      </c>
    </row>
    <row r="2802" spans="1:24" ht="267.75">
      <c r="A2802" s="3" t="s">
        <v>17668</v>
      </c>
      <c r="B2802" s="6" t="s">
        <v>361</v>
      </c>
      <c r="C2802" s="6" t="s">
        <v>4539</v>
      </c>
      <c r="D2802" s="6" t="s">
        <v>4451</v>
      </c>
      <c r="E2802" s="6" t="s">
        <v>11477</v>
      </c>
      <c r="F2802" s="6" t="s">
        <v>4818</v>
      </c>
      <c r="G2802" s="3" t="s">
        <v>11450</v>
      </c>
      <c r="H2802" s="54">
        <v>0</v>
      </c>
      <c r="I2802" s="55">
        <v>470000000</v>
      </c>
      <c r="J2802" s="56" t="s">
        <v>229</v>
      </c>
      <c r="K2802" s="6" t="s">
        <v>8309</v>
      </c>
      <c r="L2802" s="17" t="s">
        <v>11411</v>
      </c>
      <c r="M2802" s="162" t="s">
        <v>230</v>
      </c>
      <c r="N2802" s="15" t="s">
        <v>17491</v>
      </c>
      <c r="O2802" s="6" t="s">
        <v>4568</v>
      </c>
      <c r="P2802" s="58" t="s">
        <v>237</v>
      </c>
      <c r="Q2802" s="6" t="s">
        <v>238</v>
      </c>
      <c r="R2802" s="3">
        <v>125</v>
      </c>
      <c r="S2802" s="1">
        <v>335</v>
      </c>
      <c r="T2802" s="4">
        <f>R2802*S2802</f>
        <v>41875</v>
      </c>
      <c r="U2802" s="4">
        <f t="shared" si="71"/>
        <v>46900.000000000007</v>
      </c>
      <c r="V2802" s="166"/>
      <c r="W2802" s="3">
        <v>2014</v>
      </c>
      <c r="X2802" s="3"/>
    </row>
    <row r="2803" spans="1:24" ht="267.75">
      <c r="A2803" s="3" t="s">
        <v>1541</v>
      </c>
      <c r="B2803" s="6" t="s">
        <v>361</v>
      </c>
      <c r="C2803" s="6" t="s">
        <v>4539</v>
      </c>
      <c r="D2803" s="6" t="s">
        <v>4451</v>
      </c>
      <c r="E2803" s="6" t="s">
        <v>11477</v>
      </c>
      <c r="F2803" s="6" t="s">
        <v>4819</v>
      </c>
      <c r="G2803" s="6" t="s">
        <v>11450</v>
      </c>
      <c r="H2803" s="54">
        <v>0</v>
      </c>
      <c r="I2803" s="16">
        <v>470000000</v>
      </c>
      <c r="J2803" s="56" t="s">
        <v>229</v>
      </c>
      <c r="K2803" s="6" t="s">
        <v>519</v>
      </c>
      <c r="L2803" s="16" t="s">
        <v>4567</v>
      </c>
      <c r="M2803" s="162" t="s">
        <v>230</v>
      </c>
      <c r="N2803" s="15" t="s">
        <v>521</v>
      </c>
      <c r="O2803" s="6" t="s">
        <v>4568</v>
      </c>
      <c r="P2803" s="58" t="s">
        <v>237</v>
      </c>
      <c r="Q2803" s="6" t="s">
        <v>238</v>
      </c>
      <c r="R2803" s="4">
        <v>75</v>
      </c>
      <c r="S2803" s="74">
        <v>465</v>
      </c>
      <c r="T2803" s="4">
        <v>0</v>
      </c>
      <c r="U2803" s="4">
        <f t="shared" si="71"/>
        <v>0</v>
      </c>
      <c r="V2803" s="3"/>
      <c r="W2803" s="3">
        <v>2014</v>
      </c>
      <c r="X2803" s="3">
        <v>12</v>
      </c>
    </row>
    <row r="2804" spans="1:24" ht="267.75">
      <c r="A2804" s="3" t="s">
        <v>12631</v>
      </c>
      <c r="B2804" s="6" t="s">
        <v>361</v>
      </c>
      <c r="C2804" s="6" t="s">
        <v>4539</v>
      </c>
      <c r="D2804" s="6" t="s">
        <v>4451</v>
      </c>
      <c r="E2804" s="6" t="s">
        <v>11477</v>
      </c>
      <c r="F2804" s="6" t="s">
        <v>4819</v>
      </c>
      <c r="G2804" s="6" t="s">
        <v>11450</v>
      </c>
      <c r="H2804" s="54">
        <v>0</v>
      </c>
      <c r="I2804" s="16">
        <v>470000000</v>
      </c>
      <c r="J2804" s="56" t="s">
        <v>229</v>
      </c>
      <c r="K2804" s="6" t="s">
        <v>519</v>
      </c>
      <c r="L2804" s="17" t="s">
        <v>11411</v>
      </c>
      <c r="M2804" s="162" t="s">
        <v>230</v>
      </c>
      <c r="N2804" s="15" t="s">
        <v>521</v>
      </c>
      <c r="O2804" s="6" t="s">
        <v>4568</v>
      </c>
      <c r="P2804" s="58" t="s">
        <v>237</v>
      </c>
      <c r="Q2804" s="6" t="s">
        <v>238</v>
      </c>
      <c r="R2804" s="4">
        <v>75</v>
      </c>
      <c r="S2804" s="74">
        <v>465</v>
      </c>
      <c r="T2804" s="4">
        <v>0</v>
      </c>
      <c r="U2804" s="4">
        <f t="shared" si="71"/>
        <v>0</v>
      </c>
      <c r="V2804" s="3"/>
      <c r="W2804" s="3">
        <v>2014</v>
      </c>
      <c r="X2804" s="3">
        <v>11</v>
      </c>
    </row>
    <row r="2805" spans="1:24" ht="267.75">
      <c r="A2805" s="3" t="s">
        <v>15724</v>
      </c>
      <c r="B2805" s="6" t="s">
        <v>361</v>
      </c>
      <c r="C2805" s="6" t="s">
        <v>4539</v>
      </c>
      <c r="D2805" s="6" t="s">
        <v>4451</v>
      </c>
      <c r="E2805" s="6" t="s">
        <v>11477</v>
      </c>
      <c r="F2805" s="6" t="s">
        <v>4819</v>
      </c>
      <c r="G2805" s="6" t="s">
        <v>11450</v>
      </c>
      <c r="H2805" s="54">
        <v>0</v>
      </c>
      <c r="I2805" s="16">
        <v>470000000</v>
      </c>
      <c r="J2805" s="56" t="s">
        <v>229</v>
      </c>
      <c r="K2805" s="6" t="s">
        <v>8309</v>
      </c>
      <c r="L2805" s="17" t="s">
        <v>11411</v>
      </c>
      <c r="M2805" s="162" t="s">
        <v>230</v>
      </c>
      <c r="N2805" s="15" t="s">
        <v>521</v>
      </c>
      <c r="O2805" s="6" t="s">
        <v>4568</v>
      </c>
      <c r="P2805" s="58" t="s">
        <v>237</v>
      </c>
      <c r="Q2805" s="6" t="s">
        <v>238</v>
      </c>
      <c r="R2805" s="4">
        <v>75</v>
      </c>
      <c r="S2805" s="74">
        <v>465</v>
      </c>
      <c r="T2805" s="4">
        <v>0</v>
      </c>
      <c r="U2805" s="4">
        <f t="shared" si="71"/>
        <v>0</v>
      </c>
      <c r="V2805" s="3"/>
      <c r="W2805" s="3">
        <v>2014</v>
      </c>
      <c r="X2805" s="3">
        <v>14</v>
      </c>
    </row>
    <row r="2806" spans="1:24" ht="267.75">
      <c r="A2806" s="3" t="s">
        <v>17669</v>
      </c>
      <c r="B2806" s="6" t="s">
        <v>361</v>
      </c>
      <c r="C2806" s="6" t="s">
        <v>4539</v>
      </c>
      <c r="D2806" s="6" t="s">
        <v>4451</v>
      </c>
      <c r="E2806" s="6" t="s">
        <v>11477</v>
      </c>
      <c r="F2806" s="6" t="s">
        <v>4819</v>
      </c>
      <c r="G2806" s="3" t="s">
        <v>11450</v>
      </c>
      <c r="H2806" s="54">
        <v>0</v>
      </c>
      <c r="I2806" s="16">
        <v>470000000</v>
      </c>
      <c r="J2806" s="56" t="s">
        <v>229</v>
      </c>
      <c r="K2806" s="6" t="s">
        <v>8309</v>
      </c>
      <c r="L2806" s="17" t="s">
        <v>11411</v>
      </c>
      <c r="M2806" s="162" t="s">
        <v>230</v>
      </c>
      <c r="N2806" s="15" t="s">
        <v>17491</v>
      </c>
      <c r="O2806" s="6" t="s">
        <v>4568</v>
      </c>
      <c r="P2806" s="58" t="s">
        <v>237</v>
      </c>
      <c r="Q2806" s="6" t="s">
        <v>238</v>
      </c>
      <c r="R2806" s="4">
        <v>75</v>
      </c>
      <c r="S2806" s="74">
        <v>465</v>
      </c>
      <c r="T2806" s="4">
        <f>R2806*S2806</f>
        <v>34875</v>
      </c>
      <c r="U2806" s="4">
        <f t="shared" si="71"/>
        <v>39060.000000000007</v>
      </c>
      <c r="V2806" s="3"/>
      <c r="W2806" s="3">
        <v>2014</v>
      </c>
      <c r="X2806" s="3"/>
    </row>
    <row r="2807" spans="1:24" ht="267.75">
      <c r="A2807" s="3" t="s">
        <v>1542</v>
      </c>
      <c r="B2807" s="6" t="s">
        <v>361</v>
      </c>
      <c r="C2807" s="6" t="s">
        <v>4539</v>
      </c>
      <c r="D2807" s="6" t="s">
        <v>4451</v>
      </c>
      <c r="E2807" s="6" t="s">
        <v>11477</v>
      </c>
      <c r="F2807" s="6" t="s">
        <v>4820</v>
      </c>
      <c r="G2807" s="6" t="s">
        <v>11450</v>
      </c>
      <c r="H2807" s="54">
        <v>0</v>
      </c>
      <c r="I2807" s="55">
        <v>470000000</v>
      </c>
      <c r="J2807" s="56" t="s">
        <v>229</v>
      </c>
      <c r="K2807" s="6" t="s">
        <v>519</v>
      </c>
      <c r="L2807" s="16" t="s">
        <v>4570</v>
      </c>
      <c r="M2807" s="162" t="s">
        <v>230</v>
      </c>
      <c r="N2807" s="15" t="s">
        <v>521</v>
      </c>
      <c r="O2807" s="6" t="s">
        <v>4568</v>
      </c>
      <c r="P2807" s="58" t="s">
        <v>237</v>
      </c>
      <c r="Q2807" s="6" t="s">
        <v>238</v>
      </c>
      <c r="R2807" s="3">
        <v>75</v>
      </c>
      <c r="S2807" s="1">
        <v>575</v>
      </c>
      <c r="T2807" s="4">
        <v>0</v>
      </c>
      <c r="U2807" s="4">
        <f t="shared" si="71"/>
        <v>0</v>
      </c>
      <c r="V2807" s="166"/>
      <c r="W2807" s="3">
        <v>2014</v>
      </c>
      <c r="X2807" s="3">
        <v>12</v>
      </c>
    </row>
    <row r="2808" spans="1:24" ht="267.75">
      <c r="A2808" s="3" t="s">
        <v>12632</v>
      </c>
      <c r="B2808" s="6" t="s">
        <v>361</v>
      </c>
      <c r="C2808" s="6" t="s">
        <v>4539</v>
      </c>
      <c r="D2808" s="6" t="s">
        <v>4451</v>
      </c>
      <c r="E2808" s="6" t="s">
        <v>11477</v>
      </c>
      <c r="F2808" s="6" t="s">
        <v>4820</v>
      </c>
      <c r="G2808" s="6" t="s">
        <v>11450</v>
      </c>
      <c r="H2808" s="54">
        <v>0</v>
      </c>
      <c r="I2808" s="55">
        <v>470000000</v>
      </c>
      <c r="J2808" s="56" t="s">
        <v>229</v>
      </c>
      <c r="K2808" s="6" t="s">
        <v>519</v>
      </c>
      <c r="L2808" s="17" t="s">
        <v>11411</v>
      </c>
      <c r="M2808" s="162" t="s">
        <v>230</v>
      </c>
      <c r="N2808" s="15" t="s">
        <v>521</v>
      </c>
      <c r="O2808" s="6" t="s">
        <v>4568</v>
      </c>
      <c r="P2808" s="58" t="s">
        <v>237</v>
      </c>
      <c r="Q2808" s="6" t="s">
        <v>238</v>
      </c>
      <c r="R2808" s="3">
        <v>75</v>
      </c>
      <c r="S2808" s="1">
        <v>575</v>
      </c>
      <c r="T2808" s="4">
        <v>0</v>
      </c>
      <c r="U2808" s="4">
        <f t="shared" si="71"/>
        <v>0</v>
      </c>
      <c r="V2808" s="166"/>
      <c r="W2808" s="3">
        <v>2014</v>
      </c>
      <c r="X2808" s="3">
        <v>11</v>
      </c>
    </row>
    <row r="2809" spans="1:24" ht="267.75">
      <c r="A2809" s="3" t="s">
        <v>15725</v>
      </c>
      <c r="B2809" s="6" t="s">
        <v>361</v>
      </c>
      <c r="C2809" s="6" t="s">
        <v>4539</v>
      </c>
      <c r="D2809" s="6" t="s">
        <v>4451</v>
      </c>
      <c r="E2809" s="6" t="s">
        <v>11477</v>
      </c>
      <c r="F2809" s="6" t="s">
        <v>4820</v>
      </c>
      <c r="G2809" s="6" t="s">
        <v>11450</v>
      </c>
      <c r="H2809" s="54">
        <v>0</v>
      </c>
      <c r="I2809" s="55">
        <v>470000000</v>
      </c>
      <c r="J2809" s="56" t="s">
        <v>229</v>
      </c>
      <c r="K2809" s="6" t="s">
        <v>8309</v>
      </c>
      <c r="L2809" s="17" t="s">
        <v>11411</v>
      </c>
      <c r="M2809" s="162" t="s">
        <v>230</v>
      </c>
      <c r="N2809" s="15" t="s">
        <v>521</v>
      </c>
      <c r="O2809" s="6" t="s">
        <v>4568</v>
      </c>
      <c r="P2809" s="58" t="s">
        <v>237</v>
      </c>
      <c r="Q2809" s="6" t="s">
        <v>238</v>
      </c>
      <c r="R2809" s="3">
        <v>75</v>
      </c>
      <c r="S2809" s="1">
        <v>575</v>
      </c>
      <c r="T2809" s="4">
        <v>0</v>
      </c>
      <c r="U2809" s="4">
        <f t="shared" si="71"/>
        <v>0</v>
      </c>
      <c r="V2809" s="166"/>
      <c r="W2809" s="3">
        <v>2014</v>
      </c>
      <c r="X2809" s="3">
        <v>14</v>
      </c>
    </row>
    <row r="2810" spans="1:24" ht="267.75">
      <c r="A2810" s="3" t="s">
        <v>17670</v>
      </c>
      <c r="B2810" s="6" t="s">
        <v>361</v>
      </c>
      <c r="C2810" s="6" t="s">
        <v>4539</v>
      </c>
      <c r="D2810" s="6" t="s">
        <v>4451</v>
      </c>
      <c r="E2810" s="6" t="s">
        <v>11477</v>
      </c>
      <c r="F2810" s="6" t="s">
        <v>4820</v>
      </c>
      <c r="G2810" s="3" t="s">
        <v>11450</v>
      </c>
      <c r="H2810" s="54">
        <v>0</v>
      </c>
      <c r="I2810" s="55">
        <v>470000000</v>
      </c>
      <c r="J2810" s="56" t="s">
        <v>229</v>
      </c>
      <c r="K2810" s="6" t="s">
        <v>8309</v>
      </c>
      <c r="L2810" s="17" t="s">
        <v>11411</v>
      </c>
      <c r="M2810" s="162" t="s">
        <v>230</v>
      </c>
      <c r="N2810" s="15" t="s">
        <v>17491</v>
      </c>
      <c r="O2810" s="6" t="s">
        <v>4568</v>
      </c>
      <c r="P2810" s="58" t="s">
        <v>237</v>
      </c>
      <c r="Q2810" s="6" t="s">
        <v>238</v>
      </c>
      <c r="R2810" s="3">
        <v>75</v>
      </c>
      <c r="S2810" s="1">
        <v>575</v>
      </c>
      <c r="T2810" s="4">
        <f>R2810*S2810</f>
        <v>43125</v>
      </c>
      <c r="U2810" s="4">
        <f t="shared" si="71"/>
        <v>48300.000000000007</v>
      </c>
      <c r="V2810" s="166"/>
      <c r="W2810" s="3">
        <v>2014</v>
      </c>
      <c r="X2810" s="3"/>
    </row>
    <row r="2811" spans="1:24" ht="267.75">
      <c r="A2811" s="3" t="s">
        <v>1543</v>
      </c>
      <c r="B2811" s="6" t="s">
        <v>361</v>
      </c>
      <c r="C2811" s="6" t="s">
        <v>4540</v>
      </c>
      <c r="D2811" s="6" t="s">
        <v>4451</v>
      </c>
      <c r="E2811" s="6" t="s">
        <v>11478</v>
      </c>
      <c r="F2811" s="6" t="s">
        <v>4819</v>
      </c>
      <c r="G2811" s="6" t="s">
        <v>11450</v>
      </c>
      <c r="H2811" s="54">
        <v>0</v>
      </c>
      <c r="I2811" s="16">
        <v>470000000</v>
      </c>
      <c r="J2811" s="56" t="s">
        <v>229</v>
      </c>
      <c r="K2811" s="6" t="s">
        <v>519</v>
      </c>
      <c r="L2811" s="16" t="s">
        <v>4567</v>
      </c>
      <c r="M2811" s="162" t="s">
        <v>230</v>
      </c>
      <c r="N2811" s="15" t="s">
        <v>521</v>
      </c>
      <c r="O2811" s="6" t="s">
        <v>4568</v>
      </c>
      <c r="P2811" s="58" t="s">
        <v>237</v>
      </c>
      <c r="Q2811" s="6" t="s">
        <v>238</v>
      </c>
      <c r="R2811" s="4">
        <v>75</v>
      </c>
      <c r="S2811" s="74">
        <v>615</v>
      </c>
      <c r="T2811" s="4">
        <v>0</v>
      </c>
      <c r="U2811" s="4">
        <f t="shared" si="71"/>
        <v>0</v>
      </c>
      <c r="V2811" s="3"/>
      <c r="W2811" s="3">
        <v>2014</v>
      </c>
      <c r="X2811" s="3">
        <v>12</v>
      </c>
    </row>
    <row r="2812" spans="1:24" ht="267.75">
      <c r="A2812" s="3" t="s">
        <v>12633</v>
      </c>
      <c r="B2812" s="6" t="s">
        <v>361</v>
      </c>
      <c r="C2812" s="6" t="s">
        <v>4540</v>
      </c>
      <c r="D2812" s="6" t="s">
        <v>4451</v>
      </c>
      <c r="E2812" s="6" t="s">
        <v>11478</v>
      </c>
      <c r="F2812" s="6" t="s">
        <v>4819</v>
      </c>
      <c r="G2812" s="6" t="s">
        <v>11450</v>
      </c>
      <c r="H2812" s="54">
        <v>0</v>
      </c>
      <c r="I2812" s="16">
        <v>470000000</v>
      </c>
      <c r="J2812" s="56" t="s">
        <v>229</v>
      </c>
      <c r="K2812" s="6" t="s">
        <v>519</v>
      </c>
      <c r="L2812" s="17" t="s">
        <v>11411</v>
      </c>
      <c r="M2812" s="162" t="s">
        <v>230</v>
      </c>
      <c r="N2812" s="15" t="s">
        <v>521</v>
      </c>
      <c r="O2812" s="6" t="s">
        <v>4568</v>
      </c>
      <c r="P2812" s="58" t="s">
        <v>237</v>
      </c>
      <c r="Q2812" s="6" t="s">
        <v>238</v>
      </c>
      <c r="R2812" s="4">
        <v>75</v>
      </c>
      <c r="S2812" s="74">
        <v>615</v>
      </c>
      <c r="T2812" s="4">
        <v>0</v>
      </c>
      <c r="U2812" s="4">
        <f t="shared" si="71"/>
        <v>0</v>
      </c>
      <c r="V2812" s="3"/>
      <c r="W2812" s="3">
        <v>2014</v>
      </c>
      <c r="X2812" s="3">
        <v>11</v>
      </c>
    </row>
    <row r="2813" spans="1:24" ht="267.75">
      <c r="A2813" s="3" t="s">
        <v>15726</v>
      </c>
      <c r="B2813" s="6" t="s">
        <v>361</v>
      </c>
      <c r="C2813" s="6" t="s">
        <v>4540</v>
      </c>
      <c r="D2813" s="6" t="s">
        <v>4451</v>
      </c>
      <c r="E2813" s="6" t="s">
        <v>11478</v>
      </c>
      <c r="F2813" s="6" t="s">
        <v>4819</v>
      </c>
      <c r="G2813" s="6" t="s">
        <v>11450</v>
      </c>
      <c r="H2813" s="54">
        <v>0</v>
      </c>
      <c r="I2813" s="16">
        <v>470000000</v>
      </c>
      <c r="J2813" s="56" t="s">
        <v>229</v>
      </c>
      <c r="K2813" s="6" t="s">
        <v>8309</v>
      </c>
      <c r="L2813" s="17" t="s">
        <v>11411</v>
      </c>
      <c r="M2813" s="162" t="s">
        <v>230</v>
      </c>
      <c r="N2813" s="15" t="s">
        <v>521</v>
      </c>
      <c r="O2813" s="6" t="s">
        <v>4568</v>
      </c>
      <c r="P2813" s="58" t="s">
        <v>237</v>
      </c>
      <c r="Q2813" s="6" t="s">
        <v>238</v>
      </c>
      <c r="R2813" s="4">
        <v>75</v>
      </c>
      <c r="S2813" s="74">
        <v>615</v>
      </c>
      <c r="T2813" s="4">
        <v>0</v>
      </c>
      <c r="U2813" s="4">
        <f t="shared" si="71"/>
        <v>0</v>
      </c>
      <c r="V2813" s="3"/>
      <c r="W2813" s="3">
        <v>2014</v>
      </c>
      <c r="X2813" s="3">
        <v>14</v>
      </c>
    </row>
    <row r="2814" spans="1:24" ht="267.75">
      <c r="A2814" s="3" t="s">
        <v>17671</v>
      </c>
      <c r="B2814" s="6" t="s">
        <v>361</v>
      </c>
      <c r="C2814" s="6" t="s">
        <v>4540</v>
      </c>
      <c r="D2814" s="6" t="s">
        <v>4451</v>
      </c>
      <c r="E2814" s="6" t="s">
        <v>11478</v>
      </c>
      <c r="F2814" s="6" t="s">
        <v>4819</v>
      </c>
      <c r="G2814" s="3" t="s">
        <v>11450</v>
      </c>
      <c r="H2814" s="54">
        <v>0</v>
      </c>
      <c r="I2814" s="16">
        <v>470000000</v>
      </c>
      <c r="J2814" s="56" t="s">
        <v>229</v>
      </c>
      <c r="K2814" s="6" t="s">
        <v>8309</v>
      </c>
      <c r="L2814" s="17" t="s">
        <v>11411</v>
      </c>
      <c r="M2814" s="162" t="s">
        <v>230</v>
      </c>
      <c r="N2814" s="15" t="s">
        <v>17491</v>
      </c>
      <c r="O2814" s="6" t="s">
        <v>4568</v>
      </c>
      <c r="P2814" s="58" t="s">
        <v>237</v>
      </c>
      <c r="Q2814" s="6" t="s">
        <v>238</v>
      </c>
      <c r="R2814" s="4">
        <v>75</v>
      </c>
      <c r="S2814" s="74">
        <v>615</v>
      </c>
      <c r="T2814" s="4">
        <f>R2814*S2814</f>
        <v>46125</v>
      </c>
      <c r="U2814" s="4">
        <f t="shared" si="71"/>
        <v>51660.000000000007</v>
      </c>
      <c r="V2814" s="3"/>
      <c r="W2814" s="3">
        <v>2014</v>
      </c>
      <c r="X2814" s="3"/>
    </row>
    <row r="2815" spans="1:24" ht="89.25">
      <c r="A2815" s="3" t="s">
        <v>1544</v>
      </c>
      <c r="B2815" s="6" t="s">
        <v>361</v>
      </c>
      <c r="C2815" s="6" t="s">
        <v>4541</v>
      </c>
      <c r="D2815" s="102" t="s">
        <v>4542</v>
      </c>
      <c r="E2815" s="64" t="s">
        <v>4543</v>
      </c>
      <c r="F2815" s="6" t="s">
        <v>4821</v>
      </c>
      <c r="G2815" s="6" t="s">
        <v>11450</v>
      </c>
      <c r="H2815" s="54">
        <v>0</v>
      </c>
      <c r="I2815" s="55">
        <v>470000000</v>
      </c>
      <c r="J2815" s="56" t="s">
        <v>229</v>
      </c>
      <c r="K2815" s="6" t="s">
        <v>516</v>
      </c>
      <c r="L2815" s="16" t="s">
        <v>4570</v>
      </c>
      <c r="M2815" s="162" t="s">
        <v>230</v>
      </c>
      <c r="N2815" s="15" t="s">
        <v>521</v>
      </c>
      <c r="O2815" s="6" t="s">
        <v>4568</v>
      </c>
      <c r="P2815" s="58" t="s">
        <v>237</v>
      </c>
      <c r="Q2815" s="6" t="s">
        <v>238</v>
      </c>
      <c r="R2815" s="3">
        <v>330</v>
      </c>
      <c r="S2815" s="1">
        <v>70</v>
      </c>
      <c r="T2815" s="4">
        <v>0</v>
      </c>
      <c r="U2815" s="4">
        <f t="shared" si="71"/>
        <v>0</v>
      </c>
      <c r="V2815" s="166"/>
      <c r="W2815" s="3">
        <v>2014</v>
      </c>
      <c r="X2815" s="3">
        <v>11.12</v>
      </c>
    </row>
    <row r="2816" spans="1:24" ht="89.25">
      <c r="A2816" s="3" t="s">
        <v>12634</v>
      </c>
      <c r="B2816" s="6" t="s">
        <v>361</v>
      </c>
      <c r="C2816" s="6" t="s">
        <v>4541</v>
      </c>
      <c r="D2816" s="102" t="s">
        <v>4542</v>
      </c>
      <c r="E2816" s="64" t="s">
        <v>4543</v>
      </c>
      <c r="F2816" s="6" t="s">
        <v>4821</v>
      </c>
      <c r="G2816" s="6" t="s">
        <v>11450</v>
      </c>
      <c r="H2816" s="54">
        <v>0</v>
      </c>
      <c r="I2816" s="55">
        <v>470000000</v>
      </c>
      <c r="J2816" s="56" t="s">
        <v>229</v>
      </c>
      <c r="K2816" s="6" t="s">
        <v>519</v>
      </c>
      <c r="L2816" s="17" t="s">
        <v>11411</v>
      </c>
      <c r="M2816" s="162" t="s">
        <v>230</v>
      </c>
      <c r="N2816" s="15" t="s">
        <v>521</v>
      </c>
      <c r="O2816" s="6" t="s">
        <v>4568</v>
      </c>
      <c r="P2816" s="58" t="s">
        <v>237</v>
      </c>
      <c r="Q2816" s="6" t="s">
        <v>238</v>
      </c>
      <c r="R2816" s="3">
        <v>330</v>
      </c>
      <c r="S2816" s="1">
        <v>70</v>
      </c>
      <c r="T2816" s="4">
        <v>0</v>
      </c>
      <c r="U2816" s="4">
        <f t="shared" si="71"/>
        <v>0</v>
      </c>
      <c r="V2816" s="166"/>
      <c r="W2816" s="3">
        <v>2014</v>
      </c>
      <c r="X2816" s="3">
        <v>11</v>
      </c>
    </row>
    <row r="2817" spans="1:24" ht="89.25">
      <c r="A2817" s="3" t="s">
        <v>15727</v>
      </c>
      <c r="B2817" s="6" t="s">
        <v>361</v>
      </c>
      <c r="C2817" s="6" t="s">
        <v>4541</v>
      </c>
      <c r="D2817" s="102" t="s">
        <v>4542</v>
      </c>
      <c r="E2817" s="64" t="s">
        <v>4543</v>
      </c>
      <c r="F2817" s="6" t="s">
        <v>4821</v>
      </c>
      <c r="G2817" s="6" t="s">
        <v>11450</v>
      </c>
      <c r="H2817" s="54">
        <v>0</v>
      </c>
      <c r="I2817" s="55">
        <v>470000000</v>
      </c>
      <c r="J2817" s="56" t="s">
        <v>229</v>
      </c>
      <c r="K2817" s="6" t="s">
        <v>15646</v>
      </c>
      <c r="L2817" s="17" t="s">
        <v>11411</v>
      </c>
      <c r="M2817" s="162" t="s">
        <v>230</v>
      </c>
      <c r="N2817" s="15" t="s">
        <v>521</v>
      </c>
      <c r="O2817" s="6" t="s">
        <v>4568</v>
      </c>
      <c r="P2817" s="58" t="s">
        <v>237</v>
      </c>
      <c r="Q2817" s="6" t="s">
        <v>238</v>
      </c>
      <c r="R2817" s="3">
        <v>0</v>
      </c>
      <c r="S2817" s="1">
        <v>70</v>
      </c>
      <c r="T2817" s="4">
        <f>R2817*S2817</f>
        <v>0</v>
      </c>
      <c r="U2817" s="4">
        <f t="shared" si="71"/>
        <v>0</v>
      </c>
      <c r="V2817" s="166"/>
      <c r="W2817" s="3">
        <v>2014</v>
      </c>
      <c r="X2817" s="3" t="s">
        <v>12076</v>
      </c>
    </row>
    <row r="2818" spans="1:24" ht="89.25">
      <c r="A2818" s="3" t="s">
        <v>1545</v>
      </c>
      <c r="B2818" s="6" t="s">
        <v>361</v>
      </c>
      <c r="C2818" s="6" t="s">
        <v>4544</v>
      </c>
      <c r="D2818" s="102" t="s">
        <v>4542</v>
      </c>
      <c r="E2818" s="64" t="s">
        <v>4545</v>
      </c>
      <c r="F2818" s="6" t="s">
        <v>4822</v>
      </c>
      <c r="G2818" s="6" t="s">
        <v>11450</v>
      </c>
      <c r="H2818" s="54">
        <v>0</v>
      </c>
      <c r="I2818" s="16">
        <v>470000000</v>
      </c>
      <c r="J2818" s="56" t="s">
        <v>229</v>
      </c>
      <c r="K2818" s="6" t="s">
        <v>516</v>
      </c>
      <c r="L2818" s="16" t="s">
        <v>4567</v>
      </c>
      <c r="M2818" s="162" t="s">
        <v>230</v>
      </c>
      <c r="N2818" s="15" t="s">
        <v>521</v>
      </c>
      <c r="O2818" s="6" t="s">
        <v>4568</v>
      </c>
      <c r="P2818" s="58" t="s">
        <v>237</v>
      </c>
      <c r="Q2818" s="6" t="s">
        <v>238</v>
      </c>
      <c r="R2818" s="4">
        <v>70</v>
      </c>
      <c r="S2818" s="74">
        <v>157</v>
      </c>
      <c r="T2818" s="4">
        <v>0</v>
      </c>
      <c r="U2818" s="4">
        <f t="shared" si="71"/>
        <v>0</v>
      </c>
      <c r="V2818" s="3"/>
      <c r="W2818" s="3">
        <v>2014</v>
      </c>
      <c r="X2818" s="3">
        <v>11.12</v>
      </c>
    </row>
    <row r="2819" spans="1:24" ht="89.25">
      <c r="A2819" s="3" t="s">
        <v>12635</v>
      </c>
      <c r="B2819" s="6" t="s">
        <v>361</v>
      </c>
      <c r="C2819" s="6" t="s">
        <v>4544</v>
      </c>
      <c r="D2819" s="102" t="s">
        <v>4542</v>
      </c>
      <c r="E2819" s="64" t="s">
        <v>4545</v>
      </c>
      <c r="F2819" s="6" t="s">
        <v>4822</v>
      </c>
      <c r="G2819" s="6" t="s">
        <v>11450</v>
      </c>
      <c r="H2819" s="54">
        <v>0</v>
      </c>
      <c r="I2819" s="16">
        <v>470000000</v>
      </c>
      <c r="J2819" s="56" t="s">
        <v>229</v>
      </c>
      <c r="K2819" s="6" t="s">
        <v>519</v>
      </c>
      <c r="L2819" s="17" t="s">
        <v>11411</v>
      </c>
      <c r="M2819" s="162" t="s">
        <v>230</v>
      </c>
      <c r="N2819" s="15" t="s">
        <v>521</v>
      </c>
      <c r="O2819" s="6" t="s">
        <v>4568</v>
      </c>
      <c r="P2819" s="58" t="s">
        <v>237</v>
      </c>
      <c r="Q2819" s="6" t="s">
        <v>238</v>
      </c>
      <c r="R2819" s="4">
        <v>70</v>
      </c>
      <c r="S2819" s="74">
        <v>157</v>
      </c>
      <c r="T2819" s="4">
        <v>0</v>
      </c>
      <c r="U2819" s="4">
        <f t="shared" si="71"/>
        <v>0</v>
      </c>
      <c r="V2819" s="3"/>
      <c r="W2819" s="3">
        <v>2014</v>
      </c>
      <c r="X2819" s="3">
        <v>11</v>
      </c>
    </row>
    <row r="2820" spans="1:24" ht="89.25">
      <c r="A2820" s="3" t="s">
        <v>15728</v>
      </c>
      <c r="B2820" s="6" t="s">
        <v>361</v>
      </c>
      <c r="C2820" s="6" t="s">
        <v>4544</v>
      </c>
      <c r="D2820" s="102" t="s">
        <v>4542</v>
      </c>
      <c r="E2820" s="64" t="s">
        <v>4545</v>
      </c>
      <c r="F2820" s="6" t="s">
        <v>4822</v>
      </c>
      <c r="G2820" s="6" t="s">
        <v>11450</v>
      </c>
      <c r="H2820" s="54">
        <v>0</v>
      </c>
      <c r="I2820" s="16">
        <v>470000000</v>
      </c>
      <c r="J2820" s="56" t="s">
        <v>229</v>
      </c>
      <c r="K2820" s="6" t="s">
        <v>15646</v>
      </c>
      <c r="L2820" s="17" t="s">
        <v>11411</v>
      </c>
      <c r="M2820" s="162" t="s">
        <v>230</v>
      </c>
      <c r="N2820" s="15" t="s">
        <v>521</v>
      </c>
      <c r="O2820" s="6" t="s">
        <v>4568</v>
      </c>
      <c r="P2820" s="58" t="s">
        <v>237</v>
      </c>
      <c r="Q2820" s="6" t="s">
        <v>238</v>
      </c>
      <c r="R2820" s="4">
        <v>0</v>
      </c>
      <c r="S2820" s="74">
        <v>157</v>
      </c>
      <c r="T2820" s="4">
        <f>R2820*S2820</f>
        <v>0</v>
      </c>
      <c r="U2820" s="4">
        <f t="shared" si="71"/>
        <v>0</v>
      </c>
      <c r="V2820" s="3"/>
      <c r="W2820" s="3">
        <v>2014</v>
      </c>
      <c r="X2820" s="3" t="s">
        <v>12076</v>
      </c>
    </row>
    <row r="2821" spans="1:24" ht="89.25">
      <c r="A2821" s="3" t="s">
        <v>1546</v>
      </c>
      <c r="B2821" s="6" t="s">
        <v>361</v>
      </c>
      <c r="C2821" s="6" t="s">
        <v>4546</v>
      </c>
      <c r="D2821" s="102" t="s">
        <v>4542</v>
      </c>
      <c r="E2821" s="64" t="s">
        <v>4547</v>
      </c>
      <c r="F2821" s="6" t="s">
        <v>4823</v>
      </c>
      <c r="G2821" s="6" t="s">
        <v>11450</v>
      </c>
      <c r="H2821" s="54">
        <v>0</v>
      </c>
      <c r="I2821" s="55">
        <v>470000000</v>
      </c>
      <c r="J2821" s="56" t="s">
        <v>229</v>
      </c>
      <c r="K2821" s="6" t="s">
        <v>516</v>
      </c>
      <c r="L2821" s="16" t="s">
        <v>4570</v>
      </c>
      <c r="M2821" s="162" t="s">
        <v>230</v>
      </c>
      <c r="N2821" s="15" t="s">
        <v>521</v>
      </c>
      <c r="O2821" s="6" t="s">
        <v>4568</v>
      </c>
      <c r="P2821" s="58" t="s">
        <v>237</v>
      </c>
      <c r="Q2821" s="6" t="s">
        <v>238</v>
      </c>
      <c r="R2821" s="3">
        <v>280</v>
      </c>
      <c r="S2821" s="1">
        <v>210</v>
      </c>
      <c r="T2821" s="4">
        <v>0</v>
      </c>
      <c r="U2821" s="4">
        <f t="shared" si="71"/>
        <v>0</v>
      </c>
      <c r="V2821" s="166"/>
      <c r="W2821" s="3">
        <v>2014</v>
      </c>
      <c r="X2821" s="3">
        <v>11.12</v>
      </c>
    </row>
    <row r="2822" spans="1:24" ht="89.25">
      <c r="A2822" s="3" t="s">
        <v>12636</v>
      </c>
      <c r="B2822" s="6" t="s">
        <v>361</v>
      </c>
      <c r="C2822" s="6" t="s">
        <v>4546</v>
      </c>
      <c r="D2822" s="102" t="s">
        <v>4542</v>
      </c>
      <c r="E2822" s="64" t="s">
        <v>4547</v>
      </c>
      <c r="F2822" s="6" t="s">
        <v>4823</v>
      </c>
      <c r="G2822" s="6" t="s">
        <v>11450</v>
      </c>
      <c r="H2822" s="54">
        <v>0</v>
      </c>
      <c r="I2822" s="55">
        <v>470000000</v>
      </c>
      <c r="J2822" s="56" t="s">
        <v>229</v>
      </c>
      <c r="K2822" s="6" t="s">
        <v>519</v>
      </c>
      <c r="L2822" s="17" t="s">
        <v>11411</v>
      </c>
      <c r="M2822" s="162" t="s">
        <v>230</v>
      </c>
      <c r="N2822" s="15" t="s">
        <v>521</v>
      </c>
      <c r="O2822" s="6" t="s">
        <v>4568</v>
      </c>
      <c r="P2822" s="58" t="s">
        <v>237</v>
      </c>
      <c r="Q2822" s="6" t="s">
        <v>238</v>
      </c>
      <c r="R2822" s="3">
        <v>0</v>
      </c>
      <c r="S2822" s="1">
        <v>210</v>
      </c>
      <c r="T2822" s="4">
        <f>R2822*S2822</f>
        <v>0</v>
      </c>
      <c r="U2822" s="4">
        <f t="shared" si="71"/>
        <v>0</v>
      </c>
      <c r="V2822" s="166"/>
      <c r="W2822" s="3">
        <v>2014</v>
      </c>
      <c r="X2822" s="3" t="s">
        <v>12076</v>
      </c>
    </row>
    <row r="2823" spans="1:24" ht="89.25">
      <c r="A2823" s="3" t="s">
        <v>1547</v>
      </c>
      <c r="B2823" s="6" t="s">
        <v>361</v>
      </c>
      <c r="C2823" s="6" t="s">
        <v>4548</v>
      </c>
      <c r="D2823" s="6" t="s">
        <v>4549</v>
      </c>
      <c r="E2823" s="6" t="s">
        <v>4549</v>
      </c>
      <c r="F2823" s="6" t="s">
        <v>4824</v>
      </c>
      <c r="G2823" s="6" t="s">
        <v>11450</v>
      </c>
      <c r="H2823" s="54">
        <v>0</v>
      </c>
      <c r="I2823" s="16">
        <v>470000000</v>
      </c>
      <c r="J2823" s="56" t="s">
        <v>229</v>
      </c>
      <c r="K2823" s="6" t="s">
        <v>520</v>
      </c>
      <c r="L2823" s="16" t="s">
        <v>4567</v>
      </c>
      <c r="M2823" s="162" t="s">
        <v>230</v>
      </c>
      <c r="N2823" s="15" t="s">
        <v>521</v>
      </c>
      <c r="O2823" s="6" t="s">
        <v>4568</v>
      </c>
      <c r="P2823" s="58" t="s">
        <v>241</v>
      </c>
      <c r="Q2823" s="6" t="s">
        <v>234</v>
      </c>
      <c r="R2823" s="4">
        <v>10</v>
      </c>
      <c r="S2823" s="74">
        <v>394</v>
      </c>
      <c r="T2823" s="4">
        <v>0</v>
      </c>
      <c r="U2823" s="4">
        <f t="shared" si="71"/>
        <v>0</v>
      </c>
      <c r="V2823" s="3"/>
      <c r="W2823" s="3">
        <v>2014</v>
      </c>
      <c r="X2823" s="3">
        <v>12</v>
      </c>
    </row>
    <row r="2824" spans="1:24" ht="89.25">
      <c r="A2824" s="3" t="s">
        <v>12637</v>
      </c>
      <c r="B2824" s="6" t="s">
        <v>361</v>
      </c>
      <c r="C2824" s="6" t="s">
        <v>4548</v>
      </c>
      <c r="D2824" s="6" t="s">
        <v>4549</v>
      </c>
      <c r="E2824" s="6" t="s">
        <v>4549</v>
      </c>
      <c r="F2824" s="6" t="s">
        <v>4824</v>
      </c>
      <c r="G2824" s="6" t="s">
        <v>11450</v>
      </c>
      <c r="H2824" s="54">
        <v>0</v>
      </c>
      <c r="I2824" s="16">
        <v>470000000</v>
      </c>
      <c r="J2824" s="56" t="s">
        <v>229</v>
      </c>
      <c r="K2824" s="6" t="s">
        <v>520</v>
      </c>
      <c r="L2824" s="17" t="s">
        <v>11411</v>
      </c>
      <c r="M2824" s="162" t="s">
        <v>230</v>
      </c>
      <c r="N2824" s="15" t="s">
        <v>521</v>
      </c>
      <c r="O2824" s="6" t="s">
        <v>4568</v>
      </c>
      <c r="P2824" s="58" t="s">
        <v>241</v>
      </c>
      <c r="Q2824" s="6" t="s">
        <v>234</v>
      </c>
      <c r="R2824" s="4">
        <v>10</v>
      </c>
      <c r="S2824" s="74">
        <v>394</v>
      </c>
      <c r="T2824" s="4">
        <v>0</v>
      </c>
      <c r="U2824" s="4">
        <f t="shared" si="71"/>
        <v>0</v>
      </c>
      <c r="V2824" s="3"/>
      <c r="W2824" s="3">
        <v>2014</v>
      </c>
      <c r="X2824" s="3">
        <v>11</v>
      </c>
    </row>
    <row r="2825" spans="1:24" ht="89.25">
      <c r="A2825" s="3" t="s">
        <v>15729</v>
      </c>
      <c r="B2825" s="6" t="s">
        <v>361</v>
      </c>
      <c r="C2825" s="6" t="s">
        <v>4548</v>
      </c>
      <c r="D2825" s="6" t="s">
        <v>4549</v>
      </c>
      <c r="E2825" s="6" t="s">
        <v>4549</v>
      </c>
      <c r="F2825" s="6" t="s">
        <v>4824</v>
      </c>
      <c r="G2825" s="6" t="s">
        <v>11450</v>
      </c>
      <c r="H2825" s="54">
        <v>0</v>
      </c>
      <c r="I2825" s="16">
        <v>470000000</v>
      </c>
      <c r="J2825" s="56" t="s">
        <v>229</v>
      </c>
      <c r="K2825" s="6" t="s">
        <v>15646</v>
      </c>
      <c r="L2825" s="17" t="s">
        <v>11411</v>
      </c>
      <c r="M2825" s="162" t="s">
        <v>230</v>
      </c>
      <c r="N2825" s="15" t="s">
        <v>521</v>
      </c>
      <c r="O2825" s="6" t="s">
        <v>4568</v>
      </c>
      <c r="P2825" s="58" t="s">
        <v>241</v>
      </c>
      <c r="Q2825" s="6" t="s">
        <v>234</v>
      </c>
      <c r="R2825" s="4">
        <v>10</v>
      </c>
      <c r="S2825" s="74">
        <v>394</v>
      </c>
      <c r="T2825" s="4">
        <v>0</v>
      </c>
      <c r="U2825" s="4">
        <f t="shared" si="71"/>
        <v>0</v>
      </c>
      <c r="V2825" s="3"/>
      <c r="W2825" s="3">
        <v>2014</v>
      </c>
      <c r="X2825" s="3">
        <v>14</v>
      </c>
    </row>
    <row r="2826" spans="1:24" ht="89.25">
      <c r="A2826" s="3" t="s">
        <v>17672</v>
      </c>
      <c r="B2826" s="6" t="s">
        <v>361</v>
      </c>
      <c r="C2826" s="6" t="s">
        <v>4548</v>
      </c>
      <c r="D2826" s="6" t="s">
        <v>4549</v>
      </c>
      <c r="E2826" s="6" t="s">
        <v>4549</v>
      </c>
      <c r="F2826" s="6" t="s">
        <v>4824</v>
      </c>
      <c r="G2826" s="3" t="s">
        <v>11450</v>
      </c>
      <c r="H2826" s="54">
        <v>0</v>
      </c>
      <c r="I2826" s="16">
        <v>470000000</v>
      </c>
      <c r="J2826" s="56" t="s">
        <v>229</v>
      </c>
      <c r="K2826" s="6" t="s">
        <v>15646</v>
      </c>
      <c r="L2826" s="17" t="s">
        <v>11411</v>
      </c>
      <c r="M2826" s="162" t="s">
        <v>230</v>
      </c>
      <c r="N2826" s="15" t="s">
        <v>17491</v>
      </c>
      <c r="O2826" s="6" t="s">
        <v>4568</v>
      </c>
      <c r="P2826" s="58" t="s">
        <v>241</v>
      </c>
      <c r="Q2826" s="6" t="s">
        <v>234</v>
      </c>
      <c r="R2826" s="4">
        <v>10</v>
      </c>
      <c r="S2826" s="74">
        <v>394</v>
      </c>
      <c r="T2826" s="4">
        <f>R2826*S2826</f>
        <v>3940</v>
      </c>
      <c r="U2826" s="4">
        <f t="shared" si="71"/>
        <v>4412.8</v>
      </c>
      <c r="V2826" s="3"/>
      <c r="W2826" s="3">
        <v>2014</v>
      </c>
      <c r="X2826" s="3"/>
    </row>
    <row r="2827" spans="1:24" ht="89.25">
      <c r="A2827" s="3" t="s">
        <v>1548</v>
      </c>
      <c r="B2827" s="6" t="s">
        <v>361</v>
      </c>
      <c r="C2827" s="6" t="s">
        <v>4548</v>
      </c>
      <c r="D2827" s="6" t="s">
        <v>4549</v>
      </c>
      <c r="E2827" s="6" t="s">
        <v>4549</v>
      </c>
      <c r="F2827" s="6" t="s">
        <v>4825</v>
      </c>
      <c r="G2827" s="6" t="s">
        <v>11450</v>
      </c>
      <c r="H2827" s="54">
        <v>0</v>
      </c>
      <c r="I2827" s="55">
        <v>470000000</v>
      </c>
      <c r="J2827" s="56" t="s">
        <v>229</v>
      </c>
      <c r="K2827" s="6" t="s">
        <v>520</v>
      </c>
      <c r="L2827" s="16" t="s">
        <v>4570</v>
      </c>
      <c r="M2827" s="162" t="s">
        <v>230</v>
      </c>
      <c r="N2827" s="15" t="s">
        <v>521</v>
      </c>
      <c r="O2827" s="6" t="s">
        <v>4568</v>
      </c>
      <c r="P2827" s="58" t="s">
        <v>241</v>
      </c>
      <c r="Q2827" s="6" t="s">
        <v>234</v>
      </c>
      <c r="R2827" s="3">
        <v>10</v>
      </c>
      <c r="S2827" s="1">
        <v>394</v>
      </c>
      <c r="T2827" s="4">
        <v>0</v>
      </c>
      <c r="U2827" s="4">
        <f t="shared" si="71"/>
        <v>0</v>
      </c>
      <c r="V2827" s="166"/>
      <c r="W2827" s="3">
        <v>2014</v>
      </c>
      <c r="X2827" s="3">
        <v>12</v>
      </c>
    </row>
    <row r="2828" spans="1:24" ht="89.25">
      <c r="A2828" s="3" t="s">
        <v>12638</v>
      </c>
      <c r="B2828" s="6" t="s">
        <v>361</v>
      </c>
      <c r="C2828" s="6" t="s">
        <v>4548</v>
      </c>
      <c r="D2828" s="6" t="s">
        <v>4549</v>
      </c>
      <c r="E2828" s="6" t="s">
        <v>4549</v>
      </c>
      <c r="F2828" s="6" t="s">
        <v>4825</v>
      </c>
      <c r="G2828" s="6" t="s">
        <v>11450</v>
      </c>
      <c r="H2828" s="54">
        <v>0</v>
      </c>
      <c r="I2828" s="55">
        <v>470000000</v>
      </c>
      <c r="J2828" s="56" t="s">
        <v>229</v>
      </c>
      <c r="K2828" s="6" t="s">
        <v>520</v>
      </c>
      <c r="L2828" s="17" t="s">
        <v>11411</v>
      </c>
      <c r="M2828" s="162" t="s">
        <v>230</v>
      </c>
      <c r="N2828" s="15" t="s">
        <v>521</v>
      </c>
      <c r="O2828" s="6" t="s">
        <v>4568</v>
      </c>
      <c r="P2828" s="58" t="s">
        <v>241</v>
      </c>
      <c r="Q2828" s="6" t="s">
        <v>234</v>
      </c>
      <c r="R2828" s="3">
        <v>10</v>
      </c>
      <c r="S2828" s="1">
        <v>394</v>
      </c>
      <c r="T2828" s="4">
        <v>0</v>
      </c>
      <c r="U2828" s="4">
        <f t="shared" si="71"/>
        <v>0</v>
      </c>
      <c r="V2828" s="166"/>
      <c r="W2828" s="3">
        <v>2014</v>
      </c>
      <c r="X2828" s="3">
        <v>11</v>
      </c>
    </row>
    <row r="2829" spans="1:24" ht="89.25">
      <c r="A2829" s="3" t="s">
        <v>15730</v>
      </c>
      <c r="B2829" s="6" t="s">
        <v>361</v>
      </c>
      <c r="C2829" s="6" t="s">
        <v>4548</v>
      </c>
      <c r="D2829" s="6" t="s">
        <v>4549</v>
      </c>
      <c r="E2829" s="6" t="s">
        <v>4549</v>
      </c>
      <c r="F2829" s="6" t="s">
        <v>4825</v>
      </c>
      <c r="G2829" s="6" t="s">
        <v>11450</v>
      </c>
      <c r="H2829" s="54">
        <v>0</v>
      </c>
      <c r="I2829" s="55">
        <v>470000000</v>
      </c>
      <c r="J2829" s="56" t="s">
        <v>229</v>
      </c>
      <c r="K2829" s="6" t="s">
        <v>15646</v>
      </c>
      <c r="L2829" s="17" t="s">
        <v>11411</v>
      </c>
      <c r="M2829" s="162" t="s">
        <v>230</v>
      </c>
      <c r="N2829" s="15" t="s">
        <v>521</v>
      </c>
      <c r="O2829" s="6" t="s">
        <v>4568</v>
      </c>
      <c r="P2829" s="58" t="s">
        <v>241</v>
      </c>
      <c r="Q2829" s="6" t="s">
        <v>234</v>
      </c>
      <c r="R2829" s="3">
        <v>10</v>
      </c>
      <c r="S2829" s="1">
        <v>394</v>
      </c>
      <c r="T2829" s="4">
        <v>0</v>
      </c>
      <c r="U2829" s="4">
        <f t="shared" si="71"/>
        <v>0</v>
      </c>
      <c r="V2829" s="166"/>
      <c r="W2829" s="3">
        <v>2014</v>
      </c>
      <c r="X2829" s="3">
        <v>14</v>
      </c>
    </row>
    <row r="2830" spans="1:24" ht="89.25">
      <c r="A2830" s="3" t="s">
        <v>17673</v>
      </c>
      <c r="B2830" s="6" t="s">
        <v>361</v>
      </c>
      <c r="C2830" s="6" t="s">
        <v>4548</v>
      </c>
      <c r="D2830" s="6" t="s">
        <v>4549</v>
      </c>
      <c r="E2830" s="6" t="s">
        <v>4549</v>
      </c>
      <c r="F2830" s="6" t="s">
        <v>4825</v>
      </c>
      <c r="G2830" s="3" t="s">
        <v>11450</v>
      </c>
      <c r="H2830" s="54">
        <v>0</v>
      </c>
      <c r="I2830" s="55">
        <v>470000000</v>
      </c>
      <c r="J2830" s="56" t="s">
        <v>229</v>
      </c>
      <c r="K2830" s="6" t="s">
        <v>15646</v>
      </c>
      <c r="L2830" s="17" t="s">
        <v>11411</v>
      </c>
      <c r="M2830" s="162" t="s">
        <v>230</v>
      </c>
      <c r="N2830" s="15" t="s">
        <v>17491</v>
      </c>
      <c r="O2830" s="6" t="s">
        <v>4568</v>
      </c>
      <c r="P2830" s="58" t="s">
        <v>241</v>
      </c>
      <c r="Q2830" s="6" t="s">
        <v>234</v>
      </c>
      <c r="R2830" s="3">
        <v>10</v>
      </c>
      <c r="S2830" s="1">
        <v>394</v>
      </c>
      <c r="T2830" s="4">
        <f>R2830*S2830</f>
        <v>3940</v>
      </c>
      <c r="U2830" s="4">
        <f t="shared" si="71"/>
        <v>4412.8</v>
      </c>
      <c r="V2830" s="166"/>
      <c r="W2830" s="3">
        <v>2014</v>
      </c>
      <c r="X2830" s="3"/>
    </row>
    <row r="2831" spans="1:24" ht="114.75">
      <c r="A2831" s="3" t="s">
        <v>1549</v>
      </c>
      <c r="B2831" s="6" t="s">
        <v>361</v>
      </c>
      <c r="C2831" s="6" t="s">
        <v>4550</v>
      </c>
      <c r="D2831" s="6" t="s">
        <v>359</v>
      </c>
      <c r="E2831" s="6" t="s">
        <v>4551</v>
      </c>
      <c r="F2831" s="6" t="s">
        <v>4826</v>
      </c>
      <c r="G2831" s="6" t="s">
        <v>11450</v>
      </c>
      <c r="H2831" s="54">
        <v>0</v>
      </c>
      <c r="I2831" s="16">
        <v>470000000</v>
      </c>
      <c r="J2831" s="56" t="s">
        <v>229</v>
      </c>
      <c r="K2831" s="6" t="s">
        <v>519</v>
      </c>
      <c r="L2831" s="16" t="s">
        <v>4567</v>
      </c>
      <c r="M2831" s="162" t="s">
        <v>230</v>
      </c>
      <c r="N2831" s="15" t="s">
        <v>521</v>
      </c>
      <c r="O2831" s="6" t="s">
        <v>4568</v>
      </c>
      <c r="P2831" s="58" t="s">
        <v>241</v>
      </c>
      <c r="Q2831" s="6" t="s">
        <v>234</v>
      </c>
      <c r="R2831" s="4">
        <v>2</v>
      </c>
      <c r="S2831" s="74">
        <v>4450</v>
      </c>
      <c r="T2831" s="4">
        <v>0</v>
      </c>
      <c r="U2831" s="4">
        <f t="shared" si="71"/>
        <v>0</v>
      </c>
      <c r="V2831" s="3"/>
      <c r="W2831" s="3">
        <v>2014</v>
      </c>
      <c r="X2831" s="3">
        <v>12</v>
      </c>
    </row>
    <row r="2832" spans="1:24" ht="114.75">
      <c r="A2832" s="3" t="s">
        <v>12639</v>
      </c>
      <c r="B2832" s="6" t="s">
        <v>361</v>
      </c>
      <c r="C2832" s="6" t="s">
        <v>4550</v>
      </c>
      <c r="D2832" s="6" t="s">
        <v>359</v>
      </c>
      <c r="E2832" s="6" t="s">
        <v>4551</v>
      </c>
      <c r="F2832" s="6" t="s">
        <v>4826</v>
      </c>
      <c r="G2832" s="6" t="s">
        <v>11450</v>
      </c>
      <c r="H2832" s="54">
        <v>0</v>
      </c>
      <c r="I2832" s="16">
        <v>470000000</v>
      </c>
      <c r="J2832" s="56" t="s">
        <v>229</v>
      </c>
      <c r="K2832" s="6" t="s">
        <v>519</v>
      </c>
      <c r="L2832" s="17" t="s">
        <v>11411</v>
      </c>
      <c r="M2832" s="162" t="s">
        <v>230</v>
      </c>
      <c r="N2832" s="15" t="s">
        <v>521</v>
      </c>
      <c r="O2832" s="6" t="s">
        <v>4568</v>
      </c>
      <c r="P2832" s="58" t="s">
        <v>241</v>
      </c>
      <c r="Q2832" s="6" t="s">
        <v>234</v>
      </c>
      <c r="R2832" s="4">
        <v>2</v>
      </c>
      <c r="S2832" s="74">
        <v>4450</v>
      </c>
      <c r="T2832" s="4">
        <v>0</v>
      </c>
      <c r="U2832" s="4">
        <f t="shared" si="71"/>
        <v>0</v>
      </c>
      <c r="V2832" s="3"/>
      <c r="W2832" s="3">
        <v>2014</v>
      </c>
      <c r="X2832" s="3">
        <v>11</v>
      </c>
    </row>
    <row r="2833" spans="1:24" ht="114.75">
      <c r="A2833" s="3" t="s">
        <v>15731</v>
      </c>
      <c r="B2833" s="6" t="s">
        <v>361</v>
      </c>
      <c r="C2833" s="6" t="s">
        <v>4550</v>
      </c>
      <c r="D2833" s="6" t="s">
        <v>359</v>
      </c>
      <c r="E2833" s="6" t="s">
        <v>4551</v>
      </c>
      <c r="F2833" s="6" t="s">
        <v>4826</v>
      </c>
      <c r="G2833" s="6" t="s">
        <v>11450</v>
      </c>
      <c r="H2833" s="54">
        <v>0</v>
      </c>
      <c r="I2833" s="16">
        <v>470000000</v>
      </c>
      <c r="J2833" s="56" t="s">
        <v>229</v>
      </c>
      <c r="K2833" s="6" t="s">
        <v>222</v>
      </c>
      <c r="L2833" s="17" t="s">
        <v>11411</v>
      </c>
      <c r="M2833" s="162" t="s">
        <v>230</v>
      </c>
      <c r="N2833" s="15" t="s">
        <v>521</v>
      </c>
      <c r="O2833" s="6" t="s">
        <v>4568</v>
      </c>
      <c r="P2833" s="58" t="s">
        <v>241</v>
      </c>
      <c r="Q2833" s="6" t="s">
        <v>234</v>
      </c>
      <c r="R2833" s="4">
        <v>2</v>
      </c>
      <c r="S2833" s="74">
        <v>4450</v>
      </c>
      <c r="T2833" s="4">
        <v>0</v>
      </c>
      <c r="U2833" s="4">
        <f t="shared" si="71"/>
        <v>0</v>
      </c>
      <c r="V2833" s="3"/>
      <c r="W2833" s="3">
        <v>2014</v>
      </c>
      <c r="X2833" s="3">
        <v>14</v>
      </c>
    </row>
    <row r="2834" spans="1:24" ht="114.75">
      <c r="A2834" s="3" t="s">
        <v>17674</v>
      </c>
      <c r="B2834" s="6" t="s">
        <v>361</v>
      </c>
      <c r="C2834" s="6" t="s">
        <v>4550</v>
      </c>
      <c r="D2834" s="6" t="s">
        <v>359</v>
      </c>
      <c r="E2834" s="6" t="s">
        <v>4551</v>
      </c>
      <c r="F2834" s="6" t="s">
        <v>4826</v>
      </c>
      <c r="G2834" s="3" t="s">
        <v>11450</v>
      </c>
      <c r="H2834" s="54">
        <v>0</v>
      </c>
      <c r="I2834" s="16">
        <v>470000000</v>
      </c>
      <c r="J2834" s="56" t="s">
        <v>229</v>
      </c>
      <c r="K2834" s="6" t="s">
        <v>222</v>
      </c>
      <c r="L2834" s="17" t="s">
        <v>11411</v>
      </c>
      <c r="M2834" s="162" t="s">
        <v>230</v>
      </c>
      <c r="N2834" s="15" t="s">
        <v>17491</v>
      </c>
      <c r="O2834" s="6" t="s">
        <v>4568</v>
      </c>
      <c r="P2834" s="58" t="s">
        <v>241</v>
      </c>
      <c r="Q2834" s="6" t="s">
        <v>234</v>
      </c>
      <c r="R2834" s="4">
        <v>2</v>
      </c>
      <c r="S2834" s="74">
        <v>4450</v>
      </c>
      <c r="T2834" s="4">
        <v>0</v>
      </c>
      <c r="U2834" s="4">
        <f t="shared" si="71"/>
        <v>0</v>
      </c>
      <c r="V2834" s="3"/>
      <c r="W2834" s="3">
        <v>2014</v>
      </c>
      <c r="X2834" s="3">
        <v>11</v>
      </c>
    </row>
    <row r="2835" spans="1:24" ht="114.75">
      <c r="A2835" s="3" t="s">
        <v>18538</v>
      </c>
      <c r="B2835" s="6" t="s">
        <v>361</v>
      </c>
      <c r="C2835" s="6" t="s">
        <v>4550</v>
      </c>
      <c r="D2835" s="6" t="s">
        <v>359</v>
      </c>
      <c r="E2835" s="6" t="s">
        <v>4551</v>
      </c>
      <c r="F2835" s="6" t="s">
        <v>4826</v>
      </c>
      <c r="G2835" s="3" t="s">
        <v>11450</v>
      </c>
      <c r="H2835" s="54">
        <v>0</v>
      </c>
      <c r="I2835" s="16">
        <v>470000000</v>
      </c>
      <c r="J2835" s="56" t="s">
        <v>229</v>
      </c>
      <c r="K2835" s="6" t="s">
        <v>9369</v>
      </c>
      <c r="L2835" s="17" t="s">
        <v>11411</v>
      </c>
      <c r="M2835" s="162" t="s">
        <v>230</v>
      </c>
      <c r="N2835" s="15" t="s">
        <v>17491</v>
      </c>
      <c r="O2835" s="6" t="s">
        <v>4568</v>
      </c>
      <c r="P2835" s="58" t="s">
        <v>241</v>
      </c>
      <c r="Q2835" s="6" t="s">
        <v>234</v>
      </c>
      <c r="R2835" s="4">
        <v>2</v>
      </c>
      <c r="S2835" s="74">
        <v>4450</v>
      </c>
      <c r="T2835" s="4">
        <f>R2835*S2835</f>
        <v>8900</v>
      </c>
      <c r="U2835" s="4">
        <f t="shared" si="71"/>
        <v>9968.0000000000018</v>
      </c>
      <c r="V2835" s="3"/>
      <c r="W2835" s="3">
        <v>2014</v>
      </c>
      <c r="X2835" s="3"/>
    </row>
    <row r="2836" spans="1:24" ht="114.75">
      <c r="A2836" s="3" t="s">
        <v>1550</v>
      </c>
      <c r="B2836" s="6" t="s">
        <v>361</v>
      </c>
      <c r="C2836" s="6" t="s">
        <v>4550</v>
      </c>
      <c r="D2836" s="6" t="s">
        <v>359</v>
      </c>
      <c r="E2836" s="6" t="s">
        <v>4551</v>
      </c>
      <c r="F2836" s="6" t="s">
        <v>4827</v>
      </c>
      <c r="G2836" s="6" t="s">
        <v>11450</v>
      </c>
      <c r="H2836" s="54">
        <v>0</v>
      </c>
      <c r="I2836" s="16">
        <v>470000000</v>
      </c>
      <c r="J2836" s="56" t="s">
        <v>229</v>
      </c>
      <c r="K2836" s="6" t="s">
        <v>519</v>
      </c>
      <c r="L2836" s="16" t="s">
        <v>4570</v>
      </c>
      <c r="M2836" s="162" t="s">
        <v>230</v>
      </c>
      <c r="N2836" s="15" t="s">
        <v>521</v>
      </c>
      <c r="O2836" s="6" t="s">
        <v>4568</v>
      </c>
      <c r="P2836" s="58" t="s">
        <v>241</v>
      </c>
      <c r="Q2836" s="6" t="s">
        <v>234</v>
      </c>
      <c r="R2836" s="4">
        <v>10</v>
      </c>
      <c r="S2836" s="74">
        <v>4750</v>
      </c>
      <c r="T2836" s="4">
        <v>0</v>
      </c>
      <c r="U2836" s="4">
        <f t="shared" si="71"/>
        <v>0</v>
      </c>
      <c r="V2836" s="3"/>
      <c r="W2836" s="3">
        <v>2014</v>
      </c>
      <c r="X2836" s="3">
        <v>12</v>
      </c>
    </row>
    <row r="2837" spans="1:24" ht="114.75">
      <c r="A2837" s="3" t="s">
        <v>12640</v>
      </c>
      <c r="B2837" s="6" t="s">
        <v>361</v>
      </c>
      <c r="C2837" s="6" t="s">
        <v>4550</v>
      </c>
      <c r="D2837" s="6" t="s">
        <v>359</v>
      </c>
      <c r="E2837" s="6" t="s">
        <v>4551</v>
      </c>
      <c r="F2837" s="6" t="s">
        <v>4827</v>
      </c>
      <c r="G2837" s="6" t="s">
        <v>11450</v>
      </c>
      <c r="H2837" s="54">
        <v>0</v>
      </c>
      <c r="I2837" s="16">
        <v>470000000</v>
      </c>
      <c r="J2837" s="56" t="s">
        <v>229</v>
      </c>
      <c r="K2837" s="6" t="s">
        <v>519</v>
      </c>
      <c r="L2837" s="17" t="s">
        <v>11411</v>
      </c>
      <c r="M2837" s="162" t="s">
        <v>230</v>
      </c>
      <c r="N2837" s="15" t="s">
        <v>521</v>
      </c>
      <c r="O2837" s="6" t="s">
        <v>4568</v>
      </c>
      <c r="P2837" s="58" t="s">
        <v>241</v>
      </c>
      <c r="Q2837" s="6" t="s">
        <v>234</v>
      </c>
      <c r="R2837" s="4">
        <v>10</v>
      </c>
      <c r="S2837" s="74">
        <v>4750</v>
      </c>
      <c r="T2837" s="4">
        <v>0</v>
      </c>
      <c r="U2837" s="4">
        <f t="shared" si="71"/>
        <v>0</v>
      </c>
      <c r="V2837" s="3"/>
      <c r="W2837" s="3">
        <v>2014</v>
      </c>
      <c r="X2837" s="3">
        <v>11</v>
      </c>
    </row>
    <row r="2838" spans="1:24" ht="114.75">
      <c r="A2838" s="3" t="s">
        <v>15732</v>
      </c>
      <c r="B2838" s="6" t="s">
        <v>361</v>
      </c>
      <c r="C2838" s="6" t="s">
        <v>4550</v>
      </c>
      <c r="D2838" s="6" t="s">
        <v>359</v>
      </c>
      <c r="E2838" s="6" t="s">
        <v>4551</v>
      </c>
      <c r="F2838" s="6" t="s">
        <v>4827</v>
      </c>
      <c r="G2838" s="6" t="s">
        <v>11450</v>
      </c>
      <c r="H2838" s="54">
        <v>0</v>
      </c>
      <c r="I2838" s="16">
        <v>470000000</v>
      </c>
      <c r="J2838" s="56" t="s">
        <v>229</v>
      </c>
      <c r="K2838" s="6" t="s">
        <v>222</v>
      </c>
      <c r="L2838" s="17" t="s">
        <v>11411</v>
      </c>
      <c r="M2838" s="162" t="s">
        <v>230</v>
      </c>
      <c r="N2838" s="15" t="s">
        <v>521</v>
      </c>
      <c r="O2838" s="6" t="s">
        <v>4568</v>
      </c>
      <c r="P2838" s="58" t="s">
        <v>241</v>
      </c>
      <c r="Q2838" s="6" t="s">
        <v>234</v>
      </c>
      <c r="R2838" s="4">
        <v>10</v>
      </c>
      <c r="S2838" s="74">
        <v>4750</v>
      </c>
      <c r="T2838" s="4">
        <v>0</v>
      </c>
      <c r="U2838" s="4">
        <f t="shared" si="71"/>
        <v>0</v>
      </c>
      <c r="V2838" s="3"/>
      <c r="W2838" s="3">
        <v>2014</v>
      </c>
      <c r="X2838" s="3">
        <v>14</v>
      </c>
    </row>
    <row r="2839" spans="1:24" ht="114.75">
      <c r="A2839" s="3" t="s">
        <v>17675</v>
      </c>
      <c r="B2839" s="6" t="s">
        <v>361</v>
      </c>
      <c r="C2839" s="6" t="s">
        <v>4550</v>
      </c>
      <c r="D2839" s="6" t="s">
        <v>359</v>
      </c>
      <c r="E2839" s="6" t="s">
        <v>4551</v>
      </c>
      <c r="F2839" s="6" t="s">
        <v>4827</v>
      </c>
      <c r="G2839" s="3" t="s">
        <v>11450</v>
      </c>
      <c r="H2839" s="54">
        <v>0</v>
      </c>
      <c r="I2839" s="16">
        <v>470000000</v>
      </c>
      <c r="J2839" s="56" t="s">
        <v>229</v>
      </c>
      <c r="K2839" s="6" t="s">
        <v>222</v>
      </c>
      <c r="L2839" s="17" t="s">
        <v>11411</v>
      </c>
      <c r="M2839" s="162" t="s">
        <v>230</v>
      </c>
      <c r="N2839" s="15" t="s">
        <v>17491</v>
      </c>
      <c r="O2839" s="6" t="s">
        <v>4568</v>
      </c>
      <c r="P2839" s="58" t="s">
        <v>241</v>
      </c>
      <c r="Q2839" s="6" t="s">
        <v>234</v>
      </c>
      <c r="R2839" s="4">
        <v>10</v>
      </c>
      <c r="S2839" s="74">
        <v>4750</v>
      </c>
      <c r="T2839" s="4">
        <v>0</v>
      </c>
      <c r="U2839" s="4">
        <f t="shared" si="71"/>
        <v>0</v>
      </c>
      <c r="V2839" s="3"/>
      <c r="W2839" s="3">
        <v>2014</v>
      </c>
      <c r="X2839" s="3">
        <v>11</v>
      </c>
    </row>
    <row r="2840" spans="1:24" ht="114.75">
      <c r="A2840" s="3" t="s">
        <v>18539</v>
      </c>
      <c r="B2840" s="6" t="s">
        <v>361</v>
      </c>
      <c r="C2840" s="6" t="s">
        <v>4550</v>
      </c>
      <c r="D2840" s="6" t="s">
        <v>359</v>
      </c>
      <c r="E2840" s="6" t="s">
        <v>4551</v>
      </c>
      <c r="F2840" s="6" t="s">
        <v>4827</v>
      </c>
      <c r="G2840" s="3" t="s">
        <v>11450</v>
      </c>
      <c r="H2840" s="54">
        <v>0</v>
      </c>
      <c r="I2840" s="16">
        <v>470000000</v>
      </c>
      <c r="J2840" s="56" t="s">
        <v>229</v>
      </c>
      <c r="K2840" s="6" t="s">
        <v>9369</v>
      </c>
      <c r="L2840" s="17" t="s">
        <v>11411</v>
      </c>
      <c r="M2840" s="162" t="s">
        <v>230</v>
      </c>
      <c r="N2840" s="15" t="s">
        <v>17491</v>
      </c>
      <c r="O2840" s="6" t="s">
        <v>4568</v>
      </c>
      <c r="P2840" s="58" t="s">
        <v>241</v>
      </c>
      <c r="Q2840" s="6" t="s">
        <v>234</v>
      </c>
      <c r="R2840" s="4">
        <v>10</v>
      </c>
      <c r="S2840" s="74">
        <v>4750</v>
      </c>
      <c r="T2840" s="4">
        <f>R2840*S2840</f>
        <v>47500</v>
      </c>
      <c r="U2840" s="4">
        <f t="shared" si="71"/>
        <v>53200.000000000007</v>
      </c>
      <c r="V2840" s="3"/>
      <c r="W2840" s="3">
        <v>2014</v>
      </c>
      <c r="X2840" s="3"/>
    </row>
    <row r="2841" spans="1:24" ht="89.25">
      <c r="A2841" s="3" t="s">
        <v>1551</v>
      </c>
      <c r="B2841" s="6" t="s">
        <v>361</v>
      </c>
      <c r="C2841" s="6" t="s">
        <v>4845</v>
      </c>
      <c r="D2841" s="6" t="s">
        <v>4484</v>
      </c>
      <c r="E2841" s="6" t="s">
        <v>4846</v>
      </c>
      <c r="F2841" s="6" t="s">
        <v>4828</v>
      </c>
      <c r="G2841" s="6" t="s">
        <v>11450</v>
      </c>
      <c r="H2841" s="54">
        <v>0</v>
      </c>
      <c r="I2841" s="16">
        <v>470000000</v>
      </c>
      <c r="J2841" s="56" t="s">
        <v>229</v>
      </c>
      <c r="K2841" s="6" t="s">
        <v>519</v>
      </c>
      <c r="L2841" s="16" t="s">
        <v>4567</v>
      </c>
      <c r="M2841" s="162" t="s">
        <v>230</v>
      </c>
      <c r="N2841" s="15" t="s">
        <v>521</v>
      </c>
      <c r="O2841" s="6" t="s">
        <v>4568</v>
      </c>
      <c r="P2841" s="58" t="s">
        <v>241</v>
      </c>
      <c r="Q2841" s="6" t="s">
        <v>234</v>
      </c>
      <c r="R2841" s="4">
        <v>2</v>
      </c>
      <c r="S2841" s="74">
        <v>45700</v>
      </c>
      <c r="T2841" s="4">
        <v>0</v>
      </c>
      <c r="U2841" s="4">
        <f t="shared" si="71"/>
        <v>0</v>
      </c>
      <c r="V2841" s="3"/>
      <c r="W2841" s="3">
        <v>2014</v>
      </c>
      <c r="X2841" s="3">
        <v>12</v>
      </c>
    </row>
    <row r="2842" spans="1:24" ht="89.25">
      <c r="A2842" s="3" t="s">
        <v>12641</v>
      </c>
      <c r="B2842" s="6" t="s">
        <v>361</v>
      </c>
      <c r="C2842" s="6" t="s">
        <v>4845</v>
      </c>
      <c r="D2842" s="6" t="s">
        <v>4484</v>
      </c>
      <c r="E2842" s="6" t="s">
        <v>4846</v>
      </c>
      <c r="F2842" s="6" t="s">
        <v>4828</v>
      </c>
      <c r="G2842" s="6" t="s">
        <v>11450</v>
      </c>
      <c r="H2842" s="54">
        <v>0</v>
      </c>
      <c r="I2842" s="16">
        <v>470000000</v>
      </c>
      <c r="J2842" s="56" t="s">
        <v>229</v>
      </c>
      <c r="K2842" s="6" t="s">
        <v>519</v>
      </c>
      <c r="L2842" s="17" t="s">
        <v>11411</v>
      </c>
      <c r="M2842" s="162" t="s">
        <v>230</v>
      </c>
      <c r="N2842" s="15" t="s">
        <v>521</v>
      </c>
      <c r="O2842" s="6" t="s">
        <v>4568</v>
      </c>
      <c r="P2842" s="58" t="s">
        <v>241</v>
      </c>
      <c r="Q2842" s="6" t="s">
        <v>234</v>
      </c>
      <c r="R2842" s="4">
        <v>2</v>
      </c>
      <c r="S2842" s="74">
        <v>45700</v>
      </c>
      <c r="T2842" s="4">
        <v>0</v>
      </c>
      <c r="U2842" s="4">
        <f t="shared" si="71"/>
        <v>0</v>
      </c>
      <c r="V2842" s="3"/>
      <c r="W2842" s="3">
        <v>2014</v>
      </c>
      <c r="X2842" s="3">
        <v>11</v>
      </c>
    </row>
    <row r="2843" spans="1:24" ht="89.25">
      <c r="A2843" s="3" t="s">
        <v>15733</v>
      </c>
      <c r="B2843" s="6" t="s">
        <v>361</v>
      </c>
      <c r="C2843" s="6" t="s">
        <v>4845</v>
      </c>
      <c r="D2843" s="6" t="s">
        <v>4484</v>
      </c>
      <c r="E2843" s="6" t="s">
        <v>4846</v>
      </c>
      <c r="F2843" s="6" t="s">
        <v>4828</v>
      </c>
      <c r="G2843" s="6" t="s">
        <v>11450</v>
      </c>
      <c r="H2843" s="54">
        <v>0</v>
      </c>
      <c r="I2843" s="16">
        <v>470000000</v>
      </c>
      <c r="J2843" s="56" t="s">
        <v>229</v>
      </c>
      <c r="K2843" s="6" t="s">
        <v>222</v>
      </c>
      <c r="L2843" s="17" t="s">
        <v>11411</v>
      </c>
      <c r="M2843" s="162" t="s">
        <v>230</v>
      </c>
      <c r="N2843" s="15" t="s">
        <v>521</v>
      </c>
      <c r="O2843" s="6" t="s">
        <v>4568</v>
      </c>
      <c r="P2843" s="58" t="s">
        <v>241</v>
      </c>
      <c r="Q2843" s="6" t="s">
        <v>234</v>
      </c>
      <c r="R2843" s="4">
        <v>2</v>
      </c>
      <c r="S2843" s="74">
        <v>45700</v>
      </c>
      <c r="T2843" s="4">
        <v>0</v>
      </c>
      <c r="U2843" s="4">
        <f t="shared" si="71"/>
        <v>0</v>
      </c>
      <c r="V2843" s="3"/>
      <c r="W2843" s="3">
        <v>2014</v>
      </c>
      <c r="X2843" s="3">
        <v>14</v>
      </c>
    </row>
    <row r="2844" spans="1:24" ht="89.25">
      <c r="A2844" s="3" t="s">
        <v>17676</v>
      </c>
      <c r="B2844" s="6" t="s">
        <v>361</v>
      </c>
      <c r="C2844" s="6" t="s">
        <v>4845</v>
      </c>
      <c r="D2844" s="6" t="s">
        <v>4484</v>
      </c>
      <c r="E2844" s="6" t="s">
        <v>4846</v>
      </c>
      <c r="F2844" s="6" t="s">
        <v>4828</v>
      </c>
      <c r="G2844" s="3" t="s">
        <v>11450</v>
      </c>
      <c r="H2844" s="54">
        <v>0</v>
      </c>
      <c r="I2844" s="16">
        <v>470000000</v>
      </c>
      <c r="J2844" s="56" t="s">
        <v>229</v>
      </c>
      <c r="K2844" s="6" t="s">
        <v>222</v>
      </c>
      <c r="L2844" s="17" t="s">
        <v>11411</v>
      </c>
      <c r="M2844" s="162" t="s">
        <v>230</v>
      </c>
      <c r="N2844" s="15" t="s">
        <v>17491</v>
      </c>
      <c r="O2844" s="6" t="s">
        <v>4568</v>
      </c>
      <c r="P2844" s="58" t="s">
        <v>241</v>
      </c>
      <c r="Q2844" s="6" t="s">
        <v>234</v>
      </c>
      <c r="R2844" s="4">
        <v>2</v>
      </c>
      <c r="S2844" s="74">
        <v>45700</v>
      </c>
      <c r="T2844" s="4">
        <v>0</v>
      </c>
      <c r="U2844" s="4">
        <f t="shared" si="71"/>
        <v>0</v>
      </c>
      <c r="V2844" s="3"/>
      <c r="W2844" s="3">
        <v>2014</v>
      </c>
      <c r="X2844" s="3">
        <v>11</v>
      </c>
    </row>
    <row r="2845" spans="1:24" ht="89.25">
      <c r="A2845" s="3" t="s">
        <v>18540</v>
      </c>
      <c r="B2845" s="6" t="s">
        <v>361</v>
      </c>
      <c r="C2845" s="6" t="s">
        <v>4845</v>
      </c>
      <c r="D2845" s="6" t="s">
        <v>4484</v>
      </c>
      <c r="E2845" s="6" t="s">
        <v>4846</v>
      </c>
      <c r="F2845" s="6" t="s">
        <v>4828</v>
      </c>
      <c r="G2845" s="3" t="s">
        <v>11450</v>
      </c>
      <c r="H2845" s="54">
        <v>0</v>
      </c>
      <c r="I2845" s="16">
        <v>470000000</v>
      </c>
      <c r="J2845" s="56" t="s">
        <v>229</v>
      </c>
      <c r="K2845" s="6" t="s">
        <v>9369</v>
      </c>
      <c r="L2845" s="17" t="s">
        <v>11411</v>
      </c>
      <c r="M2845" s="162" t="s">
        <v>230</v>
      </c>
      <c r="N2845" s="15" t="s">
        <v>17491</v>
      </c>
      <c r="O2845" s="6" t="s">
        <v>4568</v>
      </c>
      <c r="P2845" s="58" t="s">
        <v>241</v>
      </c>
      <c r="Q2845" s="6" t="s">
        <v>234</v>
      </c>
      <c r="R2845" s="4">
        <v>2</v>
      </c>
      <c r="S2845" s="74">
        <v>45700</v>
      </c>
      <c r="T2845" s="4">
        <f>R2845*S2845</f>
        <v>91400</v>
      </c>
      <c r="U2845" s="4">
        <f t="shared" si="71"/>
        <v>102368.00000000001</v>
      </c>
      <c r="V2845" s="3"/>
      <c r="W2845" s="3">
        <v>2014</v>
      </c>
      <c r="X2845" s="3"/>
    </row>
    <row r="2846" spans="1:24" ht="89.25">
      <c r="A2846" s="3" t="s">
        <v>1552</v>
      </c>
      <c r="B2846" s="6" t="s">
        <v>361</v>
      </c>
      <c r="C2846" s="42" t="s">
        <v>4552</v>
      </c>
      <c r="D2846" s="42" t="s">
        <v>4529</v>
      </c>
      <c r="E2846" s="42" t="s">
        <v>4553</v>
      </c>
      <c r="F2846" s="6" t="s">
        <v>4829</v>
      </c>
      <c r="G2846" s="6" t="s">
        <v>11450</v>
      </c>
      <c r="H2846" s="54">
        <v>0</v>
      </c>
      <c r="I2846" s="55">
        <v>470000000</v>
      </c>
      <c r="J2846" s="56" t="s">
        <v>229</v>
      </c>
      <c r="K2846" s="6" t="s">
        <v>520</v>
      </c>
      <c r="L2846" s="16" t="s">
        <v>4570</v>
      </c>
      <c r="M2846" s="162" t="s">
        <v>230</v>
      </c>
      <c r="N2846" s="15" t="s">
        <v>521</v>
      </c>
      <c r="O2846" s="6" t="s">
        <v>4568</v>
      </c>
      <c r="P2846" s="58" t="s">
        <v>241</v>
      </c>
      <c r="Q2846" s="6" t="s">
        <v>234</v>
      </c>
      <c r="R2846" s="3">
        <v>2</v>
      </c>
      <c r="S2846" s="1">
        <v>28300</v>
      </c>
      <c r="T2846" s="4">
        <v>0</v>
      </c>
      <c r="U2846" s="4">
        <f t="shared" si="71"/>
        <v>0</v>
      </c>
      <c r="V2846" s="166"/>
      <c r="W2846" s="3">
        <v>2014</v>
      </c>
      <c r="X2846" s="3">
        <v>12</v>
      </c>
    </row>
    <row r="2847" spans="1:24" ht="89.25">
      <c r="A2847" s="3" t="s">
        <v>12642</v>
      </c>
      <c r="B2847" s="6" t="s">
        <v>361</v>
      </c>
      <c r="C2847" s="42" t="s">
        <v>4552</v>
      </c>
      <c r="D2847" s="42" t="s">
        <v>4529</v>
      </c>
      <c r="E2847" s="42" t="s">
        <v>4553</v>
      </c>
      <c r="F2847" s="6" t="s">
        <v>4829</v>
      </c>
      <c r="G2847" s="6" t="s">
        <v>11450</v>
      </c>
      <c r="H2847" s="54">
        <v>0</v>
      </c>
      <c r="I2847" s="55">
        <v>470000000</v>
      </c>
      <c r="J2847" s="56" t="s">
        <v>229</v>
      </c>
      <c r="K2847" s="6" t="s">
        <v>520</v>
      </c>
      <c r="L2847" s="17" t="s">
        <v>11411</v>
      </c>
      <c r="M2847" s="162" t="s">
        <v>230</v>
      </c>
      <c r="N2847" s="15" t="s">
        <v>521</v>
      </c>
      <c r="O2847" s="6" t="s">
        <v>4568</v>
      </c>
      <c r="P2847" s="58" t="s">
        <v>241</v>
      </c>
      <c r="Q2847" s="6" t="s">
        <v>234</v>
      </c>
      <c r="R2847" s="3">
        <v>2</v>
      </c>
      <c r="S2847" s="1">
        <v>28300</v>
      </c>
      <c r="T2847" s="4">
        <v>0</v>
      </c>
      <c r="U2847" s="4">
        <f t="shared" si="71"/>
        <v>0</v>
      </c>
      <c r="V2847" s="166"/>
      <c r="W2847" s="3">
        <v>2014</v>
      </c>
      <c r="X2847" s="3">
        <v>11</v>
      </c>
    </row>
    <row r="2848" spans="1:24" ht="89.25">
      <c r="A2848" s="3" t="s">
        <v>15734</v>
      </c>
      <c r="B2848" s="6" t="s">
        <v>361</v>
      </c>
      <c r="C2848" s="42" t="s">
        <v>4552</v>
      </c>
      <c r="D2848" s="42" t="s">
        <v>4529</v>
      </c>
      <c r="E2848" s="42" t="s">
        <v>4553</v>
      </c>
      <c r="F2848" s="6" t="s">
        <v>4829</v>
      </c>
      <c r="G2848" s="6" t="s">
        <v>11450</v>
      </c>
      <c r="H2848" s="54">
        <v>0</v>
      </c>
      <c r="I2848" s="55">
        <v>470000000</v>
      </c>
      <c r="J2848" s="56" t="s">
        <v>229</v>
      </c>
      <c r="K2848" s="6" t="s">
        <v>222</v>
      </c>
      <c r="L2848" s="17" t="s">
        <v>11411</v>
      </c>
      <c r="M2848" s="162" t="s">
        <v>230</v>
      </c>
      <c r="N2848" s="15" t="s">
        <v>521</v>
      </c>
      <c r="O2848" s="6" t="s">
        <v>4568</v>
      </c>
      <c r="P2848" s="58" t="s">
        <v>241</v>
      </c>
      <c r="Q2848" s="6" t="s">
        <v>234</v>
      </c>
      <c r="R2848" s="3">
        <v>2</v>
      </c>
      <c r="S2848" s="1">
        <v>28300</v>
      </c>
      <c r="T2848" s="4">
        <v>0</v>
      </c>
      <c r="U2848" s="4">
        <f t="shared" si="71"/>
        <v>0</v>
      </c>
      <c r="V2848" s="166"/>
      <c r="W2848" s="3">
        <v>2014</v>
      </c>
      <c r="X2848" s="3">
        <v>14</v>
      </c>
    </row>
    <row r="2849" spans="1:24" ht="89.25">
      <c r="A2849" s="3" t="s">
        <v>17677</v>
      </c>
      <c r="B2849" s="6" t="s">
        <v>361</v>
      </c>
      <c r="C2849" s="42" t="s">
        <v>4552</v>
      </c>
      <c r="D2849" s="42" t="s">
        <v>4529</v>
      </c>
      <c r="E2849" s="42" t="s">
        <v>4553</v>
      </c>
      <c r="F2849" s="6" t="s">
        <v>4829</v>
      </c>
      <c r="G2849" s="3" t="s">
        <v>11450</v>
      </c>
      <c r="H2849" s="54">
        <v>0</v>
      </c>
      <c r="I2849" s="55">
        <v>470000000</v>
      </c>
      <c r="J2849" s="56" t="s">
        <v>229</v>
      </c>
      <c r="K2849" s="6" t="s">
        <v>222</v>
      </c>
      <c r="L2849" s="17" t="s">
        <v>11411</v>
      </c>
      <c r="M2849" s="162" t="s">
        <v>230</v>
      </c>
      <c r="N2849" s="15" t="s">
        <v>17491</v>
      </c>
      <c r="O2849" s="6" t="s">
        <v>4568</v>
      </c>
      <c r="P2849" s="58" t="s">
        <v>241</v>
      </c>
      <c r="Q2849" s="6" t="s">
        <v>234</v>
      </c>
      <c r="R2849" s="3">
        <v>2</v>
      </c>
      <c r="S2849" s="1">
        <v>28300</v>
      </c>
      <c r="T2849" s="4">
        <v>0</v>
      </c>
      <c r="U2849" s="4">
        <f t="shared" si="71"/>
        <v>0</v>
      </c>
      <c r="V2849" s="166"/>
      <c r="W2849" s="3">
        <v>2014</v>
      </c>
      <c r="X2849" s="3">
        <v>11</v>
      </c>
    </row>
    <row r="2850" spans="1:24" ht="89.25">
      <c r="A2850" s="3" t="s">
        <v>18541</v>
      </c>
      <c r="B2850" s="6" t="s">
        <v>361</v>
      </c>
      <c r="C2850" s="42" t="s">
        <v>4552</v>
      </c>
      <c r="D2850" s="42" t="s">
        <v>4529</v>
      </c>
      <c r="E2850" s="42" t="s">
        <v>4553</v>
      </c>
      <c r="F2850" s="6" t="s">
        <v>4829</v>
      </c>
      <c r="G2850" s="3" t="s">
        <v>11450</v>
      </c>
      <c r="H2850" s="54">
        <v>0</v>
      </c>
      <c r="I2850" s="55">
        <v>470000000</v>
      </c>
      <c r="J2850" s="56" t="s">
        <v>229</v>
      </c>
      <c r="K2850" s="6" t="s">
        <v>9369</v>
      </c>
      <c r="L2850" s="17" t="s">
        <v>11411</v>
      </c>
      <c r="M2850" s="162" t="s">
        <v>230</v>
      </c>
      <c r="N2850" s="15" t="s">
        <v>17491</v>
      </c>
      <c r="O2850" s="6" t="s">
        <v>4568</v>
      </c>
      <c r="P2850" s="58" t="s">
        <v>241</v>
      </c>
      <c r="Q2850" s="6" t="s">
        <v>234</v>
      </c>
      <c r="R2850" s="3">
        <v>2</v>
      </c>
      <c r="S2850" s="1">
        <v>28300</v>
      </c>
      <c r="T2850" s="4">
        <f>R2850*S2850</f>
        <v>56600</v>
      </c>
      <c r="U2850" s="4">
        <f t="shared" ref="U2850:U2913" si="72">T2850*1.12</f>
        <v>63392.000000000007</v>
      </c>
      <c r="V2850" s="166"/>
      <c r="W2850" s="3">
        <v>2014</v>
      </c>
      <c r="X2850" s="3"/>
    </row>
    <row r="2851" spans="1:24" ht="89.25">
      <c r="A2851" s="3" t="s">
        <v>1553</v>
      </c>
      <c r="B2851" s="6" t="s">
        <v>361</v>
      </c>
      <c r="C2851" s="42" t="s">
        <v>4552</v>
      </c>
      <c r="D2851" s="42" t="s">
        <v>4529</v>
      </c>
      <c r="E2851" s="42" t="s">
        <v>4553</v>
      </c>
      <c r="F2851" s="6" t="s">
        <v>4830</v>
      </c>
      <c r="G2851" s="6" t="s">
        <v>11450</v>
      </c>
      <c r="H2851" s="54">
        <v>0</v>
      </c>
      <c r="I2851" s="16">
        <v>470000000</v>
      </c>
      <c r="J2851" s="56" t="s">
        <v>229</v>
      </c>
      <c r="K2851" s="6" t="s">
        <v>520</v>
      </c>
      <c r="L2851" s="16" t="s">
        <v>4567</v>
      </c>
      <c r="M2851" s="162" t="s">
        <v>230</v>
      </c>
      <c r="N2851" s="15" t="s">
        <v>521</v>
      </c>
      <c r="O2851" s="6" t="s">
        <v>4568</v>
      </c>
      <c r="P2851" s="58" t="s">
        <v>241</v>
      </c>
      <c r="Q2851" s="6" t="s">
        <v>234</v>
      </c>
      <c r="R2851" s="4">
        <v>2</v>
      </c>
      <c r="S2851" s="74">
        <v>28300</v>
      </c>
      <c r="T2851" s="4">
        <v>0</v>
      </c>
      <c r="U2851" s="4">
        <f t="shared" si="72"/>
        <v>0</v>
      </c>
      <c r="V2851" s="3"/>
      <c r="W2851" s="3">
        <v>2014</v>
      </c>
      <c r="X2851" s="3">
        <v>12</v>
      </c>
    </row>
    <row r="2852" spans="1:24" ht="89.25">
      <c r="A2852" s="3" t="s">
        <v>12643</v>
      </c>
      <c r="B2852" s="6" t="s">
        <v>361</v>
      </c>
      <c r="C2852" s="42" t="s">
        <v>4552</v>
      </c>
      <c r="D2852" s="42" t="s">
        <v>4529</v>
      </c>
      <c r="E2852" s="42" t="s">
        <v>4553</v>
      </c>
      <c r="F2852" s="6" t="s">
        <v>4830</v>
      </c>
      <c r="G2852" s="6" t="s">
        <v>11450</v>
      </c>
      <c r="H2852" s="54">
        <v>0</v>
      </c>
      <c r="I2852" s="16">
        <v>470000000</v>
      </c>
      <c r="J2852" s="56" t="s">
        <v>229</v>
      </c>
      <c r="K2852" s="6" t="s">
        <v>520</v>
      </c>
      <c r="L2852" s="17" t="s">
        <v>11411</v>
      </c>
      <c r="M2852" s="162" t="s">
        <v>230</v>
      </c>
      <c r="N2852" s="15" t="s">
        <v>521</v>
      </c>
      <c r="O2852" s="6" t="s">
        <v>4568</v>
      </c>
      <c r="P2852" s="58" t="s">
        <v>241</v>
      </c>
      <c r="Q2852" s="6" t="s">
        <v>234</v>
      </c>
      <c r="R2852" s="4">
        <v>2</v>
      </c>
      <c r="S2852" s="74">
        <v>28300</v>
      </c>
      <c r="T2852" s="4">
        <v>0</v>
      </c>
      <c r="U2852" s="4">
        <f t="shared" si="72"/>
        <v>0</v>
      </c>
      <c r="V2852" s="3"/>
      <c r="W2852" s="3">
        <v>2014</v>
      </c>
      <c r="X2852" s="3">
        <v>11</v>
      </c>
    </row>
    <row r="2853" spans="1:24" ht="89.25">
      <c r="A2853" s="3" t="s">
        <v>15735</v>
      </c>
      <c r="B2853" s="6" t="s">
        <v>361</v>
      </c>
      <c r="C2853" s="42" t="s">
        <v>4552</v>
      </c>
      <c r="D2853" s="42" t="s">
        <v>4529</v>
      </c>
      <c r="E2853" s="42" t="s">
        <v>4553</v>
      </c>
      <c r="F2853" s="6" t="s">
        <v>4830</v>
      </c>
      <c r="G2853" s="6" t="s">
        <v>11450</v>
      </c>
      <c r="H2853" s="54">
        <v>0</v>
      </c>
      <c r="I2853" s="16">
        <v>470000000</v>
      </c>
      <c r="J2853" s="56" t="s">
        <v>229</v>
      </c>
      <c r="K2853" s="6" t="s">
        <v>222</v>
      </c>
      <c r="L2853" s="17" t="s">
        <v>11411</v>
      </c>
      <c r="M2853" s="162" t="s">
        <v>230</v>
      </c>
      <c r="N2853" s="15" t="s">
        <v>521</v>
      </c>
      <c r="O2853" s="6" t="s">
        <v>4568</v>
      </c>
      <c r="P2853" s="58" t="s">
        <v>241</v>
      </c>
      <c r="Q2853" s="6" t="s">
        <v>234</v>
      </c>
      <c r="R2853" s="4">
        <v>2</v>
      </c>
      <c r="S2853" s="74">
        <v>28300</v>
      </c>
      <c r="T2853" s="4">
        <v>0</v>
      </c>
      <c r="U2853" s="4">
        <f t="shared" si="72"/>
        <v>0</v>
      </c>
      <c r="V2853" s="3"/>
      <c r="W2853" s="3">
        <v>2014</v>
      </c>
      <c r="X2853" s="3">
        <v>14</v>
      </c>
    </row>
    <row r="2854" spans="1:24" ht="89.25">
      <c r="A2854" s="3" t="s">
        <v>17678</v>
      </c>
      <c r="B2854" s="6" t="s">
        <v>361</v>
      </c>
      <c r="C2854" s="42" t="s">
        <v>4552</v>
      </c>
      <c r="D2854" s="42" t="s">
        <v>4529</v>
      </c>
      <c r="E2854" s="42" t="s">
        <v>4553</v>
      </c>
      <c r="F2854" s="6" t="s">
        <v>4830</v>
      </c>
      <c r="G2854" s="3" t="s">
        <v>11450</v>
      </c>
      <c r="H2854" s="54">
        <v>0</v>
      </c>
      <c r="I2854" s="16">
        <v>470000000</v>
      </c>
      <c r="J2854" s="56" t="s">
        <v>229</v>
      </c>
      <c r="K2854" s="6" t="s">
        <v>222</v>
      </c>
      <c r="L2854" s="17" t="s">
        <v>11411</v>
      </c>
      <c r="M2854" s="162" t="s">
        <v>230</v>
      </c>
      <c r="N2854" s="15" t="s">
        <v>17491</v>
      </c>
      <c r="O2854" s="6" t="s">
        <v>4568</v>
      </c>
      <c r="P2854" s="58" t="s">
        <v>241</v>
      </c>
      <c r="Q2854" s="6" t="s">
        <v>234</v>
      </c>
      <c r="R2854" s="4">
        <v>2</v>
      </c>
      <c r="S2854" s="74">
        <v>28300</v>
      </c>
      <c r="T2854" s="4">
        <v>0</v>
      </c>
      <c r="U2854" s="4">
        <f t="shared" si="72"/>
        <v>0</v>
      </c>
      <c r="V2854" s="3"/>
      <c r="W2854" s="3">
        <v>2014</v>
      </c>
      <c r="X2854" s="3">
        <v>11</v>
      </c>
    </row>
    <row r="2855" spans="1:24" ht="89.25">
      <c r="A2855" s="3" t="s">
        <v>18542</v>
      </c>
      <c r="B2855" s="6" t="s">
        <v>361</v>
      </c>
      <c r="C2855" s="42" t="s">
        <v>4552</v>
      </c>
      <c r="D2855" s="42" t="s">
        <v>4529</v>
      </c>
      <c r="E2855" s="42" t="s">
        <v>4553</v>
      </c>
      <c r="F2855" s="6" t="s">
        <v>4830</v>
      </c>
      <c r="G2855" s="3" t="s">
        <v>11450</v>
      </c>
      <c r="H2855" s="54">
        <v>0</v>
      </c>
      <c r="I2855" s="16">
        <v>470000000</v>
      </c>
      <c r="J2855" s="56" t="s">
        <v>229</v>
      </c>
      <c r="K2855" s="6" t="s">
        <v>9369</v>
      </c>
      <c r="L2855" s="17" t="s">
        <v>11411</v>
      </c>
      <c r="M2855" s="162" t="s">
        <v>230</v>
      </c>
      <c r="N2855" s="15" t="s">
        <v>17491</v>
      </c>
      <c r="O2855" s="6" t="s">
        <v>4568</v>
      </c>
      <c r="P2855" s="58" t="s">
        <v>241</v>
      </c>
      <c r="Q2855" s="6" t="s">
        <v>234</v>
      </c>
      <c r="R2855" s="4">
        <v>2</v>
      </c>
      <c r="S2855" s="74">
        <v>28300</v>
      </c>
      <c r="T2855" s="4">
        <f>R2855*S2855</f>
        <v>56600</v>
      </c>
      <c r="U2855" s="4">
        <f t="shared" si="72"/>
        <v>63392.000000000007</v>
      </c>
      <c r="V2855" s="3"/>
      <c r="W2855" s="3">
        <v>2014</v>
      </c>
      <c r="X2855" s="3"/>
    </row>
    <row r="2856" spans="1:24" ht="89.25">
      <c r="A2856" s="3" t="s">
        <v>10256</v>
      </c>
      <c r="B2856" s="6" t="s">
        <v>361</v>
      </c>
      <c r="C2856" s="42" t="s">
        <v>4554</v>
      </c>
      <c r="D2856" s="42" t="s">
        <v>4555</v>
      </c>
      <c r="E2856" s="42" t="s">
        <v>11479</v>
      </c>
      <c r="F2856" s="6" t="s">
        <v>11768</v>
      </c>
      <c r="G2856" s="6" t="s">
        <v>11450</v>
      </c>
      <c r="H2856" s="54">
        <v>0</v>
      </c>
      <c r="I2856" s="55">
        <v>470000000</v>
      </c>
      <c r="J2856" s="56" t="s">
        <v>229</v>
      </c>
      <c r="K2856" s="6" t="s">
        <v>520</v>
      </c>
      <c r="L2856" s="16" t="s">
        <v>4570</v>
      </c>
      <c r="M2856" s="162" t="s">
        <v>230</v>
      </c>
      <c r="N2856" s="15" t="s">
        <v>521</v>
      </c>
      <c r="O2856" s="6" t="s">
        <v>4568</v>
      </c>
      <c r="P2856" s="58" t="s">
        <v>241</v>
      </c>
      <c r="Q2856" s="6" t="s">
        <v>234</v>
      </c>
      <c r="R2856" s="3">
        <v>2</v>
      </c>
      <c r="S2856" s="1">
        <v>158900</v>
      </c>
      <c r="T2856" s="4">
        <v>0</v>
      </c>
      <c r="U2856" s="4">
        <f t="shared" si="72"/>
        <v>0</v>
      </c>
      <c r="V2856" s="166"/>
      <c r="W2856" s="3">
        <v>2014</v>
      </c>
      <c r="X2856" s="3">
        <v>12</v>
      </c>
    </row>
    <row r="2857" spans="1:24" ht="89.25">
      <c r="A2857" s="3" t="s">
        <v>12644</v>
      </c>
      <c r="B2857" s="6" t="s">
        <v>361</v>
      </c>
      <c r="C2857" s="42" t="s">
        <v>4554</v>
      </c>
      <c r="D2857" s="42" t="s">
        <v>4555</v>
      </c>
      <c r="E2857" s="42" t="s">
        <v>11479</v>
      </c>
      <c r="F2857" s="6" t="s">
        <v>11768</v>
      </c>
      <c r="G2857" s="6" t="s">
        <v>11450</v>
      </c>
      <c r="H2857" s="54">
        <v>0</v>
      </c>
      <c r="I2857" s="55">
        <v>470000000</v>
      </c>
      <c r="J2857" s="56" t="s">
        <v>229</v>
      </c>
      <c r="K2857" s="6" t="s">
        <v>520</v>
      </c>
      <c r="L2857" s="17" t="s">
        <v>11411</v>
      </c>
      <c r="M2857" s="162" t="s">
        <v>230</v>
      </c>
      <c r="N2857" s="15" t="s">
        <v>521</v>
      </c>
      <c r="O2857" s="6" t="s">
        <v>4568</v>
      </c>
      <c r="P2857" s="58" t="s">
        <v>241</v>
      </c>
      <c r="Q2857" s="6" t="s">
        <v>234</v>
      </c>
      <c r="R2857" s="3">
        <v>2</v>
      </c>
      <c r="S2857" s="1">
        <v>158900</v>
      </c>
      <c r="T2857" s="4">
        <v>0</v>
      </c>
      <c r="U2857" s="4">
        <f t="shared" si="72"/>
        <v>0</v>
      </c>
      <c r="V2857" s="166"/>
      <c r="W2857" s="3">
        <v>2014</v>
      </c>
      <c r="X2857" s="3">
        <v>11</v>
      </c>
    </row>
    <row r="2858" spans="1:24" ht="89.25">
      <c r="A2858" s="3" t="s">
        <v>15736</v>
      </c>
      <c r="B2858" s="6" t="s">
        <v>361</v>
      </c>
      <c r="C2858" s="42" t="s">
        <v>4554</v>
      </c>
      <c r="D2858" s="42" t="s">
        <v>4555</v>
      </c>
      <c r="E2858" s="42" t="s">
        <v>11479</v>
      </c>
      <c r="F2858" s="6" t="s">
        <v>11768</v>
      </c>
      <c r="G2858" s="6" t="s">
        <v>11450</v>
      </c>
      <c r="H2858" s="54">
        <v>0</v>
      </c>
      <c r="I2858" s="55">
        <v>470000000</v>
      </c>
      <c r="J2858" s="56" t="s">
        <v>229</v>
      </c>
      <c r="K2858" s="6" t="s">
        <v>15737</v>
      </c>
      <c r="L2858" s="17" t="s">
        <v>11411</v>
      </c>
      <c r="M2858" s="162" t="s">
        <v>230</v>
      </c>
      <c r="N2858" s="15" t="s">
        <v>521</v>
      </c>
      <c r="O2858" s="6" t="s">
        <v>4568</v>
      </c>
      <c r="P2858" s="58" t="s">
        <v>241</v>
      </c>
      <c r="Q2858" s="6" t="s">
        <v>234</v>
      </c>
      <c r="R2858" s="3">
        <v>2</v>
      </c>
      <c r="S2858" s="1">
        <v>158900</v>
      </c>
      <c r="T2858" s="4">
        <f>R2858*S2858</f>
        <v>317800</v>
      </c>
      <c r="U2858" s="4">
        <f t="shared" si="72"/>
        <v>355936.00000000006</v>
      </c>
      <c r="V2858" s="166"/>
      <c r="W2858" s="3">
        <v>2014</v>
      </c>
      <c r="X2858" s="3"/>
    </row>
    <row r="2859" spans="1:24" ht="89.25">
      <c r="A2859" s="3" t="s">
        <v>1554</v>
      </c>
      <c r="B2859" s="6" t="s">
        <v>361</v>
      </c>
      <c r="C2859" s="64" t="s">
        <v>4556</v>
      </c>
      <c r="D2859" s="6" t="s">
        <v>4557</v>
      </c>
      <c r="E2859" s="6" t="s">
        <v>4558</v>
      </c>
      <c r="F2859" s="6" t="s">
        <v>11769</v>
      </c>
      <c r="G2859" s="6" t="s">
        <v>11450</v>
      </c>
      <c r="H2859" s="54">
        <v>0.7</v>
      </c>
      <c r="I2859" s="16">
        <v>470000000</v>
      </c>
      <c r="J2859" s="56" t="s">
        <v>229</v>
      </c>
      <c r="K2859" s="6" t="s">
        <v>520</v>
      </c>
      <c r="L2859" s="16" t="s">
        <v>4567</v>
      </c>
      <c r="M2859" s="162" t="s">
        <v>230</v>
      </c>
      <c r="N2859" s="15" t="s">
        <v>521</v>
      </c>
      <c r="O2859" s="6" t="s">
        <v>4568</v>
      </c>
      <c r="P2859" s="58" t="s">
        <v>241</v>
      </c>
      <c r="Q2859" s="6" t="s">
        <v>234</v>
      </c>
      <c r="R2859" s="4">
        <v>5</v>
      </c>
      <c r="S2859" s="1">
        <v>5550</v>
      </c>
      <c r="T2859" s="4">
        <v>0</v>
      </c>
      <c r="U2859" s="4">
        <f t="shared" si="72"/>
        <v>0</v>
      </c>
      <c r="V2859" s="3"/>
      <c r="W2859" s="3">
        <v>2014</v>
      </c>
      <c r="X2859" s="3">
        <v>12</v>
      </c>
    </row>
    <row r="2860" spans="1:24" ht="89.25">
      <c r="A2860" s="3" t="s">
        <v>12645</v>
      </c>
      <c r="B2860" s="6" t="s">
        <v>361</v>
      </c>
      <c r="C2860" s="64" t="s">
        <v>4556</v>
      </c>
      <c r="D2860" s="6" t="s">
        <v>4557</v>
      </c>
      <c r="E2860" s="6" t="s">
        <v>4558</v>
      </c>
      <c r="F2860" s="6" t="s">
        <v>11769</v>
      </c>
      <c r="G2860" s="6" t="s">
        <v>11450</v>
      </c>
      <c r="H2860" s="54">
        <v>0.7</v>
      </c>
      <c r="I2860" s="16">
        <v>470000000</v>
      </c>
      <c r="J2860" s="56" t="s">
        <v>229</v>
      </c>
      <c r="K2860" s="6" t="s">
        <v>520</v>
      </c>
      <c r="L2860" s="17" t="s">
        <v>11411</v>
      </c>
      <c r="M2860" s="162" t="s">
        <v>230</v>
      </c>
      <c r="N2860" s="15" t="s">
        <v>521</v>
      </c>
      <c r="O2860" s="6" t="s">
        <v>4568</v>
      </c>
      <c r="P2860" s="58" t="s">
        <v>241</v>
      </c>
      <c r="Q2860" s="6" t="s">
        <v>234</v>
      </c>
      <c r="R2860" s="4">
        <v>5</v>
      </c>
      <c r="S2860" s="1">
        <v>5550</v>
      </c>
      <c r="T2860" s="4">
        <v>0</v>
      </c>
      <c r="U2860" s="4">
        <f t="shared" si="72"/>
        <v>0</v>
      </c>
      <c r="V2860" s="3"/>
      <c r="W2860" s="3">
        <v>2014</v>
      </c>
      <c r="X2860" s="3">
        <v>11</v>
      </c>
    </row>
    <row r="2861" spans="1:24" ht="89.25">
      <c r="A2861" s="3" t="s">
        <v>15738</v>
      </c>
      <c r="B2861" s="6" t="s">
        <v>361</v>
      </c>
      <c r="C2861" s="64" t="s">
        <v>4556</v>
      </c>
      <c r="D2861" s="6" t="s">
        <v>4557</v>
      </c>
      <c r="E2861" s="6" t="s">
        <v>4558</v>
      </c>
      <c r="F2861" s="6" t="s">
        <v>11769</v>
      </c>
      <c r="G2861" s="6" t="s">
        <v>11450</v>
      </c>
      <c r="H2861" s="54">
        <v>0.7</v>
      </c>
      <c r="I2861" s="16">
        <v>470000000</v>
      </c>
      <c r="J2861" s="56" t="s">
        <v>229</v>
      </c>
      <c r="K2861" s="6" t="s">
        <v>15737</v>
      </c>
      <c r="L2861" s="17" t="s">
        <v>11411</v>
      </c>
      <c r="M2861" s="162" t="s">
        <v>230</v>
      </c>
      <c r="N2861" s="15" t="s">
        <v>521</v>
      </c>
      <c r="O2861" s="6" t="s">
        <v>4568</v>
      </c>
      <c r="P2861" s="58" t="s">
        <v>241</v>
      </c>
      <c r="Q2861" s="6" t="s">
        <v>234</v>
      </c>
      <c r="R2861" s="4">
        <v>5</v>
      </c>
      <c r="S2861" s="1">
        <v>5550</v>
      </c>
      <c r="T2861" s="4">
        <v>0</v>
      </c>
      <c r="U2861" s="4">
        <f t="shared" si="72"/>
        <v>0</v>
      </c>
      <c r="V2861" s="3"/>
      <c r="W2861" s="3">
        <v>2014</v>
      </c>
      <c r="X2861" s="3">
        <v>14</v>
      </c>
    </row>
    <row r="2862" spans="1:24" ht="89.25">
      <c r="A2862" s="3" t="s">
        <v>17679</v>
      </c>
      <c r="B2862" s="6" t="s">
        <v>361</v>
      </c>
      <c r="C2862" s="64" t="s">
        <v>4556</v>
      </c>
      <c r="D2862" s="6" t="s">
        <v>4557</v>
      </c>
      <c r="E2862" s="6" t="s">
        <v>4558</v>
      </c>
      <c r="F2862" s="6" t="s">
        <v>11769</v>
      </c>
      <c r="G2862" s="3" t="s">
        <v>11450</v>
      </c>
      <c r="H2862" s="54">
        <v>0.7</v>
      </c>
      <c r="I2862" s="16">
        <v>470000000</v>
      </c>
      <c r="J2862" s="56" t="s">
        <v>229</v>
      </c>
      <c r="K2862" s="6" t="s">
        <v>15737</v>
      </c>
      <c r="L2862" s="17" t="s">
        <v>11411</v>
      </c>
      <c r="M2862" s="162" t="s">
        <v>230</v>
      </c>
      <c r="N2862" s="15" t="s">
        <v>17491</v>
      </c>
      <c r="O2862" s="6" t="s">
        <v>4568</v>
      </c>
      <c r="P2862" s="58" t="s">
        <v>241</v>
      </c>
      <c r="Q2862" s="6" t="s">
        <v>234</v>
      </c>
      <c r="R2862" s="4">
        <v>5</v>
      </c>
      <c r="S2862" s="1">
        <v>5550</v>
      </c>
      <c r="T2862" s="4">
        <v>0</v>
      </c>
      <c r="U2862" s="4">
        <f t="shared" si="72"/>
        <v>0</v>
      </c>
      <c r="V2862" s="3"/>
      <c r="W2862" s="3">
        <v>2014</v>
      </c>
      <c r="X2862" s="3" t="s">
        <v>12076</v>
      </c>
    </row>
    <row r="2863" spans="1:24" ht="89.25">
      <c r="A2863" s="3" t="s">
        <v>1555</v>
      </c>
      <c r="B2863" s="6" t="s">
        <v>361</v>
      </c>
      <c r="C2863" s="64" t="s">
        <v>4559</v>
      </c>
      <c r="D2863" s="6" t="s">
        <v>4557</v>
      </c>
      <c r="E2863" s="6" t="s">
        <v>4560</v>
      </c>
      <c r="F2863" s="6" t="s">
        <v>11770</v>
      </c>
      <c r="G2863" s="6" t="s">
        <v>11450</v>
      </c>
      <c r="H2863" s="54">
        <v>0.7</v>
      </c>
      <c r="I2863" s="55">
        <v>470000000</v>
      </c>
      <c r="J2863" s="56" t="s">
        <v>229</v>
      </c>
      <c r="K2863" s="6" t="s">
        <v>520</v>
      </c>
      <c r="L2863" s="16" t="s">
        <v>4570</v>
      </c>
      <c r="M2863" s="162" t="s">
        <v>230</v>
      </c>
      <c r="N2863" s="15" t="s">
        <v>521</v>
      </c>
      <c r="O2863" s="6" t="s">
        <v>4568</v>
      </c>
      <c r="P2863" s="58" t="s">
        <v>241</v>
      </c>
      <c r="Q2863" s="6" t="s">
        <v>234</v>
      </c>
      <c r="R2863" s="3">
        <v>5</v>
      </c>
      <c r="S2863" s="1">
        <v>14460</v>
      </c>
      <c r="T2863" s="4">
        <v>0</v>
      </c>
      <c r="U2863" s="4">
        <f t="shared" si="72"/>
        <v>0</v>
      </c>
      <c r="V2863" s="166"/>
      <c r="W2863" s="3">
        <v>2014</v>
      </c>
      <c r="X2863" s="3">
        <v>12</v>
      </c>
    </row>
    <row r="2864" spans="1:24" ht="89.25">
      <c r="A2864" s="3" t="s">
        <v>12646</v>
      </c>
      <c r="B2864" s="6" t="s">
        <v>361</v>
      </c>
      <c r="C2864" s="64" t="s">
        <v>4559</v>
      </c>
      <c r="D2864" s="6" t="s">
        <v>4557</v>
      </c>
      <c r="E2864" s="6" t="s">
        <v>4560</v>
      </c>
      <c r="F2864" s="6" t="s">
        <v>11770</v>
      </c>
      <c r="G2864" s="6" t="s">
        <v>11450</v>
      </c>
      <c r="H2864" s="54">
        <v>0.7</v>
      </c>
      <c r="I2864" s="55">
        <v>470000000</v>
      </c>
      <c r="J2864" s="56" t="s">
        <v>229</v>
      </c>
      <c r="K2864" s="6" t="s">
        <v>520</v>
      </c>
      <c r="L2864" s="17" t="s">
        <v>11411</v>
      </c>
      <c r="M2864" s="162" t="s">
        <v>230</v>
      </c>
      <c r="N2864" s="15" t="s">
        <v>521</v>
      </c>
      <c r="O2864" s="6" t="s">
        <v>4568</v>
      </c>
      <c r="P2864" s="58" t="s">
        <v>241</v>
      </c>
      <c r="Q2864" s="6" t="s">
        <v>234</v>
      </c>
      <c r="R2864" s="3">
        <v>5</v>
      </c>
      <c r="S2864" s="1">
        <v>14460</v>
      </c>
      <c r="T2864" s="4">
        <v>0</v>
      </c>
      <c r="U2864" s="4">
        <f t="shared" si="72"/>
        <v>0</v>
      </c>
      <c r="V2864" s="166"/>
      <c r="W2864" s="3">
        <v>2014</v>
      </c>
      <c r="X2864" s="3">
        <v>11</v>
      </c>
    </row>
    <row r="2865" spans="1:24" ht="89.25">
      <c r="A2865" s="3" t="s">
        <v>15739</v>
      </c>
      <c r="B2865" s="6" t="s">
        <v>361</v>
      </c>
      <c r="C2865" s="64" t="s">
        <v>4559</v>
      </c>
      <c r="D2865" s="6" t="s">
        <v>4557</v>
      </c>
      <c r="E2865" s="6" t="s">
        <v>4560</v>
      </c>
      <c r="F2865" s="6" t="s">
        <v>11770</v>
      </c>
      <c r="G2865" s="6" t="s">
        <v>11450</v>
      </c>
      <c r="H2865" s="54">
        <v>0.7</v>
      </c>
      <c r="I2865" s="55">
        <v>470000000</v>
      </c>
      <c r="J2865" s="56" t="s">
        <v>229</v>
      </c>
      <c r="K2865" s="6" t="s">
        <v>15737</v>
      </c>
      <c r="L2865" s="17" t="s">
        <v>11411</v>
      </c>
      <c r="M2865" s="162" t="s">
        <v>230</v>
      </c>
      <c r="N2865" s="15" t="s">
        <v>521</v>
      </c>
      <c r="O2865" s="6" t="s">
        <v>4568</v>
      </c>
      <c r="P2865" s="58" t="s">
        <v>241</v>
      </c>
      <c r="Q2865" s="6" t="s">
        <v>234</v>
      </c>
      <c r="R2865" s="3">
        <v>5</v>
      </c>
      <c r="S2865" s="1">
        <v>14460</v>
      </c>
      <c r="T2865" s="4">
        <v>0</v>
      </c>
      <c r="U2865" s="4">
        <f t="shared" si="72"/>
        <v>0</v>
      </c>
      <c r="V2865" s="166"/>
      <c r="W2865" s="3">
        <v>2014</v>
      </c>
      <c r="X2865" s="3">
        <v>14</v>
      </c>
    </row>
    <row r="2866" spans="1:24" ht="89.25">
      <c r="A2866" s="3" t="s">
        <v>17680</v>
      </c>
      <c r="B2866" s="6" t="s">
        <v>361</v>
      </c>
      <c r="C2866" s="64" t="s">
        <v>4559</v>
      </c>
      <c r="D2866" s="6" t="s">
        <v>4557</v>
      </c>
      <c r="E2866" s="6" t="s">
        <v>4560</v>
      </c>
      <c r="F2866" s="6" t="s">
        <v>11770</v>
      </c>
      <c r="G2866" s="3" t="s">
        <v>11450</v>
      </c>
      <c r="H2866" s="54">
        <v>0.7</v>
      </c>
      <c r="I2866" s="55">
        <v>470000000</v>
      </c>
      <c r="J2866" s="56" t="s">
        <v>229</v>
      </c>
      <c r="K2866" s="6" t="s">
        <v>15737</v>
      </c>
      <c r="L2866" s="17" t="s">
        <v>11411</v>
      </c>
      <c r="M2866" s="162" t="s">
        <v>230</v>
      </c>
      <c r="N2866" s="15" t="s">
        <v>17491</v>
      </c>
      <c r="O2866" s="6" t="s">
        <v>4568</v>
      </c>
      <c r="P2866" s="58" t="s">
        <v>241</v>
      </c>
      <c r="Q2866" s="6" t="s">
        <v>234</v>
      </c>
      <c r="R2866" s="3">
        <v>5</v>
      </c>
      <c r="S2866" s="1">
        <v>14460</v>
      </c>
      <c r="T2866" s="4">
        <v>0</v>
      </c>
      <c r="U2866" s="4">
        <f t="shared" si="72"/>
        <v>0</v>
      </c>
      <c r="V2866" s="166"/>
      <c r="W2866" s="3">
        <v>2014</v>
      </c>
      <c r="X2866" s="3" t="s">
        <v>12076</v>
      </c>
    </row>
    <row r="2867" spans="1:24" ht="89.25">
      <c r="A2867" s="3" t="s">
        <v>1556</v>
      </c>
      <c r="B2867" s="6" t="s">
        <v>361</v>
      </c>
      <c r="C2867" s="64" t="s">
        <v>4840</v>
      </c>
      <c r="D2867" s="6" t="s">
        <v>360</v>
      </c>
      <c r="E2867" s="6" t="s">
        <v>4841</v>
      </c>
      <c r="F2867" s="6" t="s">
        <v>4831</v>
      </c>
      <c r="G2867" s="6" t="s">
        <v>11450</v>
      </c>
      <c r="H2867" s="54">
        <v>0.5</v>
      </c>
      <c r="I2867" s="16">
        <v>470000000</v>
      </c>
      <c r="J2867" s="56" t="s">
        <v>229</v>
      </c>
      <c r="K2867" s="6" t="s">
        <v>519</v>
      </c>
      <c r="L2867" s="16" t="s">
        <v>4567</v>
      </c>
      <c r="M2867" s="162" t="s">
        <v>230</v>
      </c>
      <c r="N2867" s="15" t="s">
        <v>521</v>
      </c>
      <c r="O2867" s="6" t="s">
        <v>4568</v>
      </c>
      <c r="P2867" s="58" t="s">
        <v>243</v>
      </c>
      <c r="Q2867" s="6" t="s">
        <v>244</v>
      </c>
      <c r="R2867" s="4">
        <v>100</v>
      </c>
      <c r="S2867" s="74">
        <v>1850</v>
      </c>
      <c r="T2867" s="4">
        <v>0</v>
      </c>
      <c r="U2867" s="4">
        <f t="shared" si="72"/>
        <v>0</v>
      </c>
      <c r="V2867" s="3"/>
      <c r="W2867" s="3">
        <v>2014</v>
      </c>
      <c r="X2867" s="3">
        <v>12</v>
      </c>
    </row>
    <row r="2868" spans="1:24" ht="89.25">
      <c r="A2868" s="3" t="s">
        <v>12649</v>
      </c>
      <c r="B2868" s="6" t="s">
        <v>361</v>
      </c>
      <c r="C2868" s="64" t="s">
        <v>4840</v>
      </c>
      <c r="D2868" s="6" t="s">
        <v>360</v>
      </c>
      <c r="E2868" s="6" t="s">
        <v>4841</v>
      </c>
      <c r="F2868" s="6" t="s">
        <v>4831</v>
      </c>
      <c r="G2868" s="6" t="s">
        <v>11450</v>
      </c>
      <c r="H2868" s="54">
        <v>0.5</v>
      </c>
      <c r="I2868" s="16">
        <v>470000000</v>
      </c>
      <c r="J2868" s="56" t="s">
        <v>229</v>
      </c>
      <c r="K2868" s="6" t="s">
        <v>519</v>
      </c>
      <c r="L2868" s="17" t="s">
        <v>11411</v>
      </c>
      <c r="M2868" s="162" t="s">
        <v>230</v>
      </c>
      <c r="N2868" s="15" t="s">
        <v>521</v>
      </c>
      <c r="O2868" s="6" t="s">
        <v>4568</v>
      </c>
      <c r="P2868" s="58" t="s">
        <v>243</v>
      </c>
      <c r="Q2868" s="6" t="s">
        <v>244</v>
      </c>
      <c r="R2868" s="4">
        <v>100</v>
      </c>
      <c r="S2868" s="74">
        <v>1850</v>
      </c>
      <c r="T2868" s="4">
        <v>0</v>
      </c>
      <c r="U2868" s="4">
        <f t="shared" si="72"/>
        <v>0</v>
      </c>
      <c r="V2868" s="3"/>
      <c r="W2868" s="3">
        <v>2014</v>
      </c>
      <c r="X2868" s="3">
        <v>11</v>
      </c>
    </row>
    <row r="2869" spans="1:24" ht="89.25">
      <c r="A2869" s="3" t="s">
        <v>15740</v>
      </c>
      <c r="B2869" s="6" t="s">
        <v>361</v>
      </c>
      <c r="C2869" s="64" t="s">
        <v>4840</v>
      </c>
      <c r="D2869" s="6" t="s">
        <v>360</v>
      </c>
      <c r="E2869" s="6" t="s">
        <v>4841</v>
      </c>
      <c r="F2869" s="6" t="s">
        <v>4831</v>
      </c>
      <c r="G2869" s="6" t="s">
        <v>11450</v>
      </c>
      <c r="H2869" s="54">
        <v>0.5</v>
      </c>
      <c r="I2869" s="16">
        <v>470000000</v>
      </c>
      <c r="J2869" s="56" t="s">
        <v>229</v>
      </c>
      <c r="K2869" s="6" t="s">
        <v>15737</v>
      </c>
      <c r="L2869" s="17" t="s">
        <v>11411</v>
      </c>
      <c r="M2869" s="162" t="s">
        <v>230</v>
      </c>
      <c r="N2869" s="15" t="s">
        <v>521</v>
      </c>
      <c r="O2869" s="6" t="s">
        <v>4568</v>
      </c>
      <c r="P2869" s="58" t="s">
        <v>243</v>
      </c>
      <c r="Q2869" s="6" t="s">
        <v>244</v>
      </c>
      <c r="R2869" s="4">
        <v>100</v>
      </c>
      <c r="S2869" s="74">
        <v>1850</v>
      </c>
      <c r="T2869" s="4">
        <v>0</v>
      </c>
      <c r="U2869" s="4">
        <f t="shared" si="72"/>
        <v>0</v>
      </c>
      <c r="V2869" s="3"/>
      <c r="W2869" s="3">
        <v>2014</v>
      </c>
      <c r="X2869" s="3">
        <v>14</v>
      </c>
    </row>
    <row r="2870" spans="1:24" ht="89.25">
      <c r="A2870" s="3" t="s">
        <v>17681</v>
      </c>
      <c r="B2870" s="6" t="s">
        <v>361</v>
      </c>
      <c r="C2870" s="64" t="s">
        <v>4840</v>
      </c>
      <c r="D2870" s="6" t="s">
        <v>360</v>
      </c>
      <c r="E2870" s="6" t="s">
        <v>4841</v>
      </c>
      <c r="F2870" s="6" t="s">
        <v>4831</v>
      </c>
      <c r="G2870" s="3" t="s">
        <v>11450</v>
      </c>
      <c r="H2870" s="54">
        <v>0.5</v>
      </c>
      <c r="I2870" s="16">
        <v>470000000</v>
      </c>
      <c r="J2870" s="56" t="s">
        <v>229</v>
      </c>
      <c r="K2870" s="6" t="s">
        <v>15737</v>
      </c>
      <c r="L2870" s="17" t="s">
        <v>11411</v>
      </c>
      <c r="M2870" s="162" t="s">
        <v>230</v>
      </c>
      <c r="N2870" s="15" t="s">
        <v>17491</v>
      </c>
      <c r="O2870" s="6" t="s">
        <v>4568</v>
      </c>
      <c r="P2870" s="58" t="s">
        <v>243</v>
      </c>
      <c r="Q2870" s="6" t="s">
        <v>244</v>
      </c>
      <c r="R2870" s="4">
        <v>100</v>
      </c>
      <c r="S2870" s="74">
        <v>1850</v>
      </c>
      <c r="T2870" s="4">
        <v>0</v>
      </c>
      <c r="U2870" s="4">
        <f t="shared" si="72"/>
        <v>0</v>
      </c>
      <c r="V2870" s="3"/>
      <c r="W2870" s="3">
        <v>2014</v>
      </c>
      <c r="X2870" s="3" t="s">
        <v>12076</v>
      </c>
    </row>
    <row r="2871" spans="1:24" ht="89.25">
      <c r="A2871" s="3" t="s">
        <v>1557</v>
      </c>
      <c r="B2871" s="6" t="s">
        <v>361</v>
      </c>
      <c r="C2871" s="64" t="s">
        <v>4840</v>
      </c>
      <c r="D2871" s="6" t="s">
        <v>360</v>
      </c>
      <c r="E2871" s="6" t="s">
        <v>4841</v>
      </c>
      <c r="F2871" s="6" t="s">
        <v>4832</v>
      </c>
      <c r="G2871" s="6" t="s">
        <v>11450</v>
      </c>
      <c r="H2871" s="54">
        <v>0.5</v>
      </c>
      <c r="I2871" s="55">
        <v>470000000</v>
      </c>
      <c r="J2871" s="56" t="s">
        <v>229</v>
      </c>
      <c r="K2871" s="6" t="s">
        <v>519</v>
      </c>
      <c r="L2871" s="16" t="s">
        <v>4570</v>
      </c>
      <c r="M2871" s="162" t="s">
        <v>230</v>
      </c>
      <c r="N2871" s="15" t="s">
        <v>521</v>
      </c>
      <c r="O2871" s="6" t="s">
        <v>4568</v>
      </c>
      <c r="P2871" s="58" t="s">
        <v>243</v>
      </c>
      <c r="Q2871" s="6" t="s">
        <v>244</v>
      </c>
      <c r="R2871" s="3">
        <v>100</v>
      </c>
      <c r="S2871" s="1">
        <v>2250</v>
      </c>
      <c r="T2871" s="4">
        <v>0</v>
      </c>
      <c r="U2871" s="4">
        <f t="shared" si="72"/>
        <v>0</v>
      </c>
      <c r="V2871" s="166"/>
      <c r="W2871" s="3">
        <v>2014</v>
      </c>
      <c r="X2871" s="3">
        <v>12</v>
      </c>
    </row>
    <row r="2872" spans="1:24" ht="89.25">
      <c r="A2872" s="3" t="s">
        <v>12650</v>
      </c>
      <c r="B2872" s="6" t="s">
        <v>361</v>
      </c>
      <c r="C2872" s="64" t="s">
        <v>4840</v>
      </c>
      <c r="D2872" s="6" t="s">
        <v>360</v>
      </c>
      <c r="E2872" s="6" t="s">
        <v>4841</v>
      </c>
      <c r="F2872" s="6" t="s">
        <v>4832</v>
      </c>
      <c r="G2872" s="6" t="s">
        <v>11450</v>
      </c>
      <c r="H2872" s="54">
        <v>0.5</v>
      </c>
      <c r="I2872" s="55">
        <v>470000000</v>
      </c>
      <c r="J2872" s="56" t="s">
        <v>229</v>
      </c>
      <c r="K2872" s="6" t="s">
        <v>519</v>
      </c>
      <c r="L2872" s="17" t="s">
        <v>11411</v>
      </c>
      <c r="M2872" s="162" t="s">
        <v>230</v>
      </c>
      <c r="N2872" s="15" t="s">
        <v>521</v>
      </c>
      <c r="O2872" s="6" t="s">
        <v>4568</v>
      </c>
      <c r="P2872" s="58" t="s">
        <v>243</v>
      </c>
      <c r="Q2872" s="6" t="s">
        <v>244</v>
      </c>
      <c r="R2872" s="3">
        <v>100</v>
      </c>
      <c r="S2872" s="1">
        <v>2250</v>
      </c>
      <c r="T2872" s="4">
        <v>0</v>
      </c>
      <c r="U2872" s="4">
        <f t="shared" si="72"/>
        <v>0</v>
      </c>
      <c r="V2872" s="166"/>
      <c r="W2872" s="3">
        <v>2014</v>
      </c>
      <c r="X2872" s="3">
        <v>11</v>
      </c>
    </row>
    <row r="2873" spans="1:24" ht="89.25">
      <c r="A2873" s="3" t="s">
        <v>15741</v>
      </c>
      <c r="B2873" s="6" t="s">
        <v>361</v>
      </c>
      <c r="C2873" s="64" t="s">
        <v>4840</v>
      </c>
      <c r="D2873" s="6" t="s">
        <v>360</v>
      </c>
      <c r="E2873" s="6" t="s">
        <v>4841</v>
      </c>
      <c r="F2873" s="6" t="s">
        <v>4832</v>
      </c>
      <c r="G2873" s="6" t="s">
        <v>11450</v>
      </c>
      <c r="H2873" s="54">
        <v>0.5</v>
      </c>
      <c r="I2873" s="55">
        <v>470000000</v>
      </c>
      <c r="J2873" s="56" t="s">
        <v>229</v>
      </c>
      <c r="K2873" s="6" t="s">
        <v>15737</v>
      </c>
      <c r="L2873" s="17" t="s">
        <v>11411</v>
      </c>
      <c r="M2873" s="162" t="s">
        <v>230</v>
      </c>
      <c r="N2873" s="15" t="s">
        <v>521</v>
      </c>
      <c r="O2873" s="6" t="s">
        <v>4568</v>
      </c>
      <c r="P2873" s="58" t="s">
        <v>243</v>
      </c>
      <c r="Q2873" s="6" t="s">
        <v>244</v>
      </c>
      <c r="R2873" s="3">
        <v>100</v>
      </c>
      <c r="S2873" s="1">
        <v>2250</v>
      </c>
      <c r="T2873" s="4">
        <v>0</v>
      </c>
      <c r="U2873" s="4">
        <f t="shared" si="72"/>
        <v>0</v>
      </c>
      <c r="V2873" s="166"/>
      <c r="W2873" s="3">
        <v>2014</v>
      </c>
      <c r="X2873" s="3">
        <v>14</v>
      </c>
    </row>
    <row r="2874" spans="1:24" ht="89.25">
      <c r="A2874" s="3" t="s">
        <v>17682</v>
      </c>
      <c r="B2874" s="6" t="s">
        <v>361</v>
      </c>
      <c r="C2874" s="64" t="s">
        <v>4840</v>
      </c>
      <c r="D2874" s="6" t="s">
        <v>360</v>
      </c>
      <c r="E2874" s="6" t="s">
        <v>4841</v>
      </c>
      <c r="F2874" s="6" t="s">
        <v>4832</v>
      </c>
      <c r="G2874" s="3" t="s">
        <v>11450</v>
      </c>
      <c r="H2874" s="54">
        <v>0.5</v>
      </c>
      <c r="I2874" s="55">
        <v>470000000</v>
      </c>
      <c r="J2874" s="56" t="s">
        <v>229</v>
      </c>
      <c r="K2874" s="6" t="s">
        <v>15737</v>
      </c>
      <c r="L2874" s="17" t="s">
        <v>11411</v>
      </c>
      <c r="M2874" s="162" t="s">
        <v>230</v>
      </c>
      <c r="N2874" s="15" t="s">
        <v>17491</v>
      </c>
      <c r="O2874" s="6" t="s">
        <v>4568</v>
      </c>
      <c r="P2874" s="58" t="s">
        <v>243</v>
      </c>
      <c r="Q2874" s="6" t="s">
        <v>244</v>
      </c>
      <c r="R2874" s="3">
        <v>100</v>
      </c>
      <c r="S2874" s="1">
        <v>2250</v>
      </c>
      <c r="T2874" s="4">
        <v>0</v>
      </c>
      <c r="U2874" s="4">
        <f t="shared" si="72"/>
        <v>0</v>
      </c>
      <c r="V2874" s="166"/>
      <c r="W2874" s="3">
        <v>2014</v>
      </c>
      <c r="X2874" s="3" t="s">
        <v>12076</v>
      </c>
    </row>
    <row r="2875" spans="1:24" ht="89.25">
      <c r="A2875" s="3" t="s">
        <v>1558</v>
      </c>
      <c r="B2875" s="6" t="s">
        <v>361</v>
      </c>
      <c r="C2875" s="64" t="s">
        <v>4842</v>
      </c>
      <c r="D2875" s="6" t="s">
        <v>4843</v>
      </c>
      <c r="E2875" s="6" t="s">
        <v>4844</v>
      </c>
      <c r="F2875" s="6" t="s">
        <v>4833</v>
      </c>
      <c r="G2875" s="6" t="s">
        <v>11450</v>
      </c>
      <c r="H2875" s="54">
        <v>0.5</v>
      </c>
      <c r="I2875" s="16">
        <v>470000000</v>
      </c>
      <c r="J2875" s="56" t="s">
        <v>229</v>
      </c>
      <c r="K2875" s="6" t="s">
        <v>519</v>
      </c>
      <c r="L2875" s="16" t="s">
        <v>4567</v>
      </c>
      <c r="M2875" s="162" t="s">
        <v>230</v>
      </c>
      <c r="N2875" s="15" t="s">
        <v>521</v>
      </c>
      <c r="O2875" s="6" t="s">
        <v>4568</v>
      </c>
      <c r="P2875" s="58" t="s">
        <v>241</v>
      </c>
      <c r="Q2875" s="6" t="s">
        <v>234</v>
      </c>
      <c r="R2875" s="4">
        <v>10</v>
      </c>
      <c r="S2875" s="74">
        <v>5775</v>
      </c>
      <c r="T2875" s="4">
        <v>0</v>
      </c>
      <c r="U2875" s="4">
        <f t="shared" si="72"/>
        <v>0</v>
      </c>
      <c r="V2875" s="3"/>
      <c r="W2875" s="3">
        <v>2014</v>
      </c>
      <c r="X2875" s="3">
        <v>12</v>
      </c>
    </row>
    <row r="2876" spans="1:24" ht="89.25">
      <c r="A2876" s="3" t="s">
        <v>12651</v>
      </c>
      <c r="B2876" s="6" t="s">
        <v>361</v>
      </c>
      <c r="C2876" s="64" t="s">
        <v>4842</v>
      </c>
      <c r="D2876" s="6" t="s">
        <v>4843</v>
      </c>
      <c r="E2876" s="6" t="s">
        <v>4844</v>
      </c>
      <c r="F2876" s="6" t="s">
        <v>4833</v>
      </c>
      <c r="G2876" s="6" t="s">
        <v>11450</v>
      </c>
      <c r="H2876" s="54">
        <v>0.5</v>
      </c>
      <c r="I2876" s="16">
        <v>470000000</v>
      </c>
      <c r="J2876" s="56" t="s">
        <v>229</v>
      </c>
      <c r="K2876" s="6" t="s">
        <v>519</v>
      </c>
      <c r="L2876" s="17" t="s">
        <v>11411</v>
      </c>
      <c r="M2876" s="162" t="s">
        <v>230</v>
      </c>
      <c r="N2876" s="15" t="s">
        <v>521</v>
      </c>
      <c r="O2876" s="6" t="s">
        <v>4568</v>
      </c>
      <c r="P2876" s="58" t="s">
        <v>241</v>
      </c>
      <c r="Q2876" s="6" t="s">
        <v>234</v>
      </c>
      <c r="R2876" s="4">
        <v>10</v>
      </c>
      <c r="S2876" s="74">
        <v>5775</v>
      </c>
      <c r="T2876" s="4">
        <v>0</v>
      </c>
      <c r="U2876" s="4">
        <f t="shared" si="72"/>
        <v>0</v>
      </c>
      <c r="V2876" s="3"/>
      <c r="W2876" s="3">
        <v>2014</v>
      </c>
      <c r="X2876" s="3">
        <v>11</v>
      </c>
    </row>
    <row r="2877" spans="1:24" ht="89.25">
      <c r="A2877" s="3" t="s">
        <v>15742</v>
      </c>
      <c r="B2877" s="6" t="s">
        <v>361</v>
      </c>
      <c r="C2877" s="64" t="s">
        <v>4842</v>
      </c>
      <c r="D2877" s="6" t="s">
        <v>4843</v>
      </c>
      <c r="E2877" s="6" t="s">
        <v>4844</v>
      </c>
      <c r="F2877" s="6" t="s">
        <v>4833</v>
      </c>
      <c r="G2877" s="6" t="s">
        <v>11450</v>
      </c>
      <c r="H2877" s="54">
        <v>0.5</v>
      </c>
      <c r="I2877" s="16">
        <v>470000000</v>
      </c>
      <c r="J2877" s="56" t="s">
        <v>229</v>
      </c>
      <c r="K2877" s="6" t="s">
        <v>8309</v>
      </c>
      <c r="L2877" s="17" t="s">
        <v>11411</v>
      </c>
      <c r="M2877" s="162" t="s">
        <v>230</v>
      </c>
      <c r="N2877" s="15" t="s">
        <v>521</v>
      </c>
      <c r="O2877" s="6" t="s">
        <v>4568</v>
      </c>
      <c r="P2877" s="58" t="s">
        <v>241</v>
      </c>
      <c r="Q2877" s="6" t="s">
        <v>234</v>
      </c>
      <c r="R2877" s="4">
        <v>10</v>
      </c>
      <c r="S2877" s="74">
        <v>5775</v>
      </c>
      <c r="T2877" s="4">
        <v>0</v>
      </c>
      <c r="U2877" s="4">
        <f t="shared" si="72"/>
        <v>0</v>
      </c>
      <c r="V2877" s="3"/>
      <c r="W2877" s="3">
        <v>2014</v>
      </c>
      <c r="X2877" s="3">
        <v>14</v>
      </c>
    </row>
    <row r="2878" spans="1:24" ht="89.25">
      <c r="A2878" s="3" t="s">
        <v>17683</v>
      </c>
      <c r="B2878" s="6" t="s">
        <v>361</v>
      </c>
      <c r="C2878" s="64" t="s">
        <v>4842</v>
      </c>
      <c r="D2878" s="6" t="s">
        <v>4843</v>
      </c>
      <c r="E2878" s="6" t="s">
        <v>4844</v>
      </c>
      <c r="F2878" s="6" t="s">
        <v>4833</v>
      </c>
      <c r="G2878" s="3" t="s">
        <v>11450</v>
      </c>
      <c r="H2878" s="54">
        <v>0.5</v>
      </c>
      <c r="I2878" s="16">
        <v>470000000</v>
      </c>
      <c r="J2878" s="56" t="s">
        <v>229</v>
      </c>
      <c r="K2878" s="6" t="s">
        <v>8309</v>
      </c>
      <c r="L2878" s="17" t="s">
        <v>11411</v>
      </c>
      <c r="M2878" s="162" t="s">
        <v>230</v>
      </c>
      <c r="N2878" s="15" t="s">
        <v>17491</v>
      </c>
      <c r="O2878" s="6" t="s">
        <v>4568</v>
      </c>
      <c r="P2878" s="58" t="s">
        <v>241</v>
      </c>
      <c r="Q2878" s="6" t="s">
        <v>234</v>
      </c>
      <c r="R2878" s="4">
        <v>10</v>
      </c>
      <c r="S2878" s="74">
        <v>5775</v>
      </c>
      <c r="T2878" s="4">
        <f>R2878*S2878</f>
        <v>57750</v>
      </c>
      <c r="U2878" s="4">
        <f t="shared" si="72"/>
        <v>64680.000000000007</v>
      </c>
      <c r="V2878" s="3"/>
      <c r="W2878" s="3">
        <v>2014</v>
      </c>
      <c r="X2878" s="3"/>
    </row>
    <row r="2879" spans="1:24" ht="89.25">
      <c r="A2879" s="3" t="s">
        <v>1559</v>
      </c>
      <c r="B2879" s="6" t="s">
        <v>361</v>
      </c>
      <c r="C2879" s="64" t="s">
        <v>7645</v>
      </c>
      <c r="D2879" s="6" t="s">
        <v>4843</v>
      </c>
      <c r="E2879" s="6" t="s">
        <v>7646</v>
      </c>
      <c r="F2879" s="6" t="s">
        <v>4834</v>
      </c>
      <c r="G2879" s="6" t="s">
        <v>11450</v>
      </c>
      <c r="H2879" s="54">
        <v>0.5</v>
      </c>
      <c r="I2879" s="55">
        <v>470000000</v>
      </c>
      <c r="J2879" s="56" t="s">
        <v>229</v>
      </c>
      <c r="K2879" s="6" t="s">
        <v>519</v>
      </c>
      <c r="L2879" s="16" t="s">
        <v>4570</v>
      </c>
      <c r="M2879" s="162" t="s">
        <v>230</v>
      </c>
      <c r="N2879" s="15" t="s">
        <v>521</v>
      </c>
      <c r="O2879" s="6" t="s">
        <v>4568</v>
      </c>
      <c r="P2879" s="58" t="s">
        <v>241</v>
      </c>
      <c r="Q2879" s="6" t="s">
        <v>234</v>
      </c>
      <c r="R2879" s="3">
        <v>10</v>
      </c>
      <c r="S2879" s="1">
        <v>1520</v>
      </c>
      <c r="T2879" s="4">
        <v>0</v>
      </c>
      <c r="U2879" s="4">
        <f t="shared" si="72"/>
        <v>0</v>
      </c>
      <c r="V2879" s="166"/>
      <c r="W2879" s="3">
        <v>2014</v>
      </c>
      <c r="X2879" s="3">
        <v>12</v>
      </c>
    </row>
    <row r="2880" spans="1:24" ht="89.25">
      <c r="A2880" s="3" t="s">
        <v>12652</v>
      </c>
      <c r="B2880" s="6" t="s">
        <v>361</v>
      </c>
      <c r="C2880" s="64" t="s">
        <v>7645</v>
      </c>
      <c r="D2880" s="6" t="s">
        <v>4843</v>
      </c>
      <c r="E2880" s="6" t="s">
        <v>7646</v>
      </c>
      <c r="F2880" s="6" t="s">
        <v>4834</v>
      </c>
      <c r="G2880" s="6" t="s">
        <v>11450</v>
      </c>
      <c r="H2880" s="54">
        <v>0.5</v>
      </c>
      <c r="I2880" s="55">
        <v>470000000</v>
      </c>
      <c r="J2880" s="56" t="s">
        <v>229</v>
      </c>
      <c r="K2880" s="6" t="s">
        <v>519</v>
      </c>
      <c r="L2880" s="17" t="s">
        <v>11411</v>
      </c>
      <c r="M2880" s="162" t="s">
        <v>230</v>
      </c>
      <c r="N2880" s="15" t="s">
        <v>521</v>
      </c>
      <c r="O2880" s="6" t="s">
        <v>4568</v>
      </c>
      <c r="P2880" s="58" t="s">
        <v>241</v>
      </c>
      <c r="Q2880" s="6" t="s">
        <v>234</v>
      </c>
      <c r="R2880" s="3">
        <v>10</v>
      </c>
      <c r="S2880" s="1">
        <v>1520</v>
      </c>
      <c r="T2880" s="4">
        <v>0</v>
      </c>
      <c r="U2880" s="4">
        <f t="shared" si="72"/>
        <v>0</v>
      </c>
      <c r="V2880" s="166"/>
      <c r="W2880" s="3">
        <v>2014</v>
      </c>
      <c r="X2880" s="3">
        <v>11</v>
      </c>
    </row>
    <row r="2881" spans="1:24" ht="89.25">
      <c r="A2881" s="3" t="s">
        <v>15743</v>
      </c>
      <c r="B2881" s="6" t="s">
        <v>361</v>
      </c>
      <c r="C2881" s="64" t="s">
        <v>7645</v>
      </c>
      <c r="D2881" s="6" t="s">
        <v>4843</v>
      </c>
      <c r="E2881" s="6" t="s">
        <v>7646</v>
      </c>
      <c r="F2881" s="6" t="s">
        <v>4834</v>
      </c>
      <c r="G2881" s="6" t="s">
        <v>11450</v>
      </c>
      <c r="H2881" s="54">
        <v>0.5</v>
      </c>
      <c r="I2881" s="55">
        <v>470000000</v>
      </c>
      <c r="J2881" s="56" t="s">
        <v>229</v>
      </c>
      <c r="K2881" s="6" t="s">
        <v>8309</v>
      </c>
      <c r="L2881" s="17" t="s">
        <v>11411</v>
      </c>
      <c r="M2881" s="162" t="s">
        <v>230</v>
      </c>
      <c r="N2881" s="15" t="s">
        <v>521</v>
      </c>
      <c r="O2881" s="6" t="s">
        <v>4568</v>
      </c>
      <c r="P2881" s="58" t="s">
        <v>241</v>
      </c>
      <c r="Q2881" s="6" t="s">
        <v>234</v>
      </c>
      <c r="R2881" s="3">
        <v>10</v>
      </c>
      <c r="S2881" s="1">
        <v>1520</v>
      </c>
      <c r="T2881" s="4">
        <v>0</v>
      </c>
      <c r="U2881" s="4">
        <f t="shared" si="72"/>
        <v>0</v>
      </c>
      <c r="V2881" s="166"/>
      <c r="W2881" s="3">
        <v>2014</v>
      </c>
      <c r="X2881" s="3">
        <v>14</v>
      </c>
    </row>
    <row r="2882" spans="1:24" ht="89.25">
      <c r="A2882" s="3" t="s">
        <v>17684</v>
      </c>
      <c r="B2882" s="6" t="s">
        <v>361</v>
      </c>
      <c r="C2882" s="64" t="s">
        <v>7645</v>
      </c>
      <c r="D2882" s="6" t="s">
        <v>4843</v>
      </c>
      <c r="E2882" s="6" t="s">
        <v>7646</v>
      </c>
      <c r="F2882" s="6" t="s">
        <v>4834</v>
      </c>
      <c r="G2882" s="3" t="s">
        <v>11450</v>
      </c>
      <c r="H2882" s="54">
        <v>0.5</v>
      </c>
      <c r="I2882" s="55">
        <v>470000000</v>
      </c>
      <c r="J2882" s="56" t="s">
        <v>229</v>
      </c>
      <c r="K2882" s="6" t="s">
        <v>8309</v>
      </c>
      <c r="L2882" s="17" t="s">
        <v>11411</v>
      </c>
      <c r="M2882" s="162" t="s">
        <v>230</v>
      </c>
      <c r="N2882" s="15" t="s">
        <v>17491</v>
      </c>
      <c r="O2882" s="6" t="s">
        <v>4568</v>
      </c>
      <c r="P2882" s="58" t="s">
        <v>241</v>
      </c>
      <c r="Q2882" s="6" t="s">
        <v>234</v>
      </c>
      <c r="R2882" s="3">
        <v>10</v>
      </c>
      <c r="S2882" s="1">
        <v>1520</v>
      </c>
      <c r="T2882" s="4">
        <f>R2882*S2882</f>
        <v>15200</v>
      </c>
      <c r="U2882" s="4">
        <f t="shared" si="72"/>
        <v>17024</v>
      </c>
      <c r="V2882" s="166"/>
      <c r="W2882" s="3">
        <v>2014</v>
      </c>
      <c r="X2882" s="3"/>
    </row>
    <row r="2883" spans="1:24" ht="89.25">
      <c r="A2883" s="3" t="s">
        <v>1560</v>
      </c>
      <c r="B2883" s="6" t="s">
        <v>361</v>
      </c>
      <c r="C2883" s="160" t="s">
        <v>4561</v>
      </c>
      <c r="D2883" s="160" t="s">
        <v>4562</v>
      </c>
      <c r="E2883" s="160" t="s">
        <v>4563</v>
      </c>
      <c r="F2883" s="6" t="s">
        <v>4835</v>
      </c>
      <c r="G2883" s="6" t="s">
        <v>11450</v>
      </c>
      <c r="H2883" s="54">
        <v>0</v>
      </c>
      <c r="I2883" s="16">
        <v>470000000</v>
      </c>
      <c r="J2883" s="56" t="s">
        <v>229</v>
      </c>
      <c r="K2883" s="6" t="s">
        <v>519</v>
      </c>
      <c r="L2883" s="16" t="s">
        <v>4567</v>
      </c>
      <c r="M2883" s="162" t="s">
        <v>230</v>
      </c>
      <c r="N2883" s="15" t="s">
        <v>521</v>
      </c>
      <c r="O2883" s="6" t="s">
        <v>4568</v>
      </c>
      <c r="P2883" s="58" t="s">
        <v>241</v>
      </c>
      <c r="Q2883" s="6" t="s">
        <v>234</v>
      </c>
      <c r="R2883" s="4">
        <v>10</v>
      </c>
      <c r="S2883" s="74">
        <v>13548</v>
      </c>
      <c r="T2883" s="4">
        <v>0</v>
      </c>
      <c r="U2883" s="4">
        <f t="shared" si="72"/>
        <v>0</v>
      </c>
      <c r="V2883" s="3"/>
      <c r="W2883" s="3">
        <v>2014</v>
      </c>
      <c r="X2883" s="3">
        <v>12</v>
      </c>
    </row>
    <row r="2884" spans="1:24" ht="89.25">
      <c r="A2884" s="3" t="s">
        <v>12653</v>
      </c>
      <c r="B2884" s="6" t="s">
        <v>361</v>
      </c>
      <c r="C2884" s="160" t="s">
        <v>4561</v>
      </c>
      <c r="D2884" s="160" t="s">
        <v>4562</v>
      </c>
      <c r="E2884" s="160" t="s">
        <v>4563</v>
      </c>
      <c r="F2884" s="6" t="s">
        <v>4835</v>
      </c>
      <c r="G2884" s="6" t="s">
        <v>11450</v>
      </c>
      <c r="H2884" s="54">
        <v>0</v>
      </c>
      <c r="I2884" s="16">
        <v>470000000</v>
      </c>
      <c r="J2884" s="56" t="s">
        <v>229</v>
      </c>
      <c r="K2884" s="6" t="s">
        <v>519</v>
      </c>
      <c r="L2884" s="17" t="s">
        <v>11411</v>
      </c>
      <c r="M2884" s="162" t="s">
        <v>230</v>
      </c>
      <c r="N2884" s="15" t="s">
        <v>521</v>
      </c>
      <c r="O2884" s="6" t="s">
        <v>4568</v>
      </c>
      <c r="P2884" s="58" t="s">
        <v>241</v>
      </c>
      <c r="Q2884" s="6" t="s">
        <v>234</v>
      </c>
      <c r="R2884" s="4">
        <v>10</v>
      </c>
      <c r="S2884" s="74">
        <v>13548</v>
      </c>
      <c r="T2884" s="4">
        <v>0</v>
      </c>
      <c r="U2884" s="4">
        <f t="shared" si="72"/>
        <v>0</v>
      </c>
      <c r="V2884" s="3"/>
      <c r="W2884" s="3">
        <v>2014</v>
      </c>
      <c r="X2884" s="3">
        <v>11</v>
      </c>
    </row>
    <row r="2885" spans="1:24" ht="89.25">
      <c r="A2885" s="3" t="s">
        <v>15744</v>
      </c>
      <c r="B2885" s="6" t="s">
        <v>361</v>
      </c>
      <c r="C2885" s="160" t="s">
        <v>4561</v>
      </c>
      <c r="D2885" s="160" t="s">
        <v>4562</v>
      </c>
      <c r="E2885" s="160" t="s">
        <v>4563</v>
      </c>
      <c r="F2885" s="6" t="s">
        <v>4835</v>
      </c>
      <c r="G2885" s="6" t="s">
        <v>11450</v>
      </c>
      <c r="H2885" s="54">
        <v>0</v>
      </c>
      <c r="I2885" s="16">
        <v>470000000</v>
      </c>
      <c r="J2885" s="56" t="s">
        <v>229</v>
      </c>
      <c r="K2885" s="6" t="s">
        <v>15745</v>
      </c>
      <c r="L2885" s="17" t="s">
        <v>11411</v>
      </c>
      <c r="M2885" s="162" t="s">
        <v>230</v>
      </c>
      <c r="N2885" s="15" t="s">
        <v>521</v>
      </c>
      <c r="O2885" s="6" t="s">
        <v>4568</v>
      </c>
      <c r="P2885" s="58" t="s">
        <v>241</v>
      </c>
      <c r="Q2885" s="6" t="s">
        <v>234</v>
      </c>
      <c r="R2885" s="4">
        <v>10</v>
      </c>
      <c r="S2885" s="74">
        <v>13548</v>
      </c>
      <c r="T2885" s="4">
        <v>0</v>
      </c>
      <c r="U2885" s="4">
        <f t="shared" si="72"/>
        <v>0</v>
      </c>
      <c r="V2885" s="3"/>
      <c r="W2885" s="3">
        <v>2014</v>
      </c>
      <c r="X2885" s="3">
        <v>14</v>
      </c>
    </row>
    <row r="2886" spans="1:24" ht="89.25">
      <c r="A2886" s="3" t="s">
        <v>17685</v>
      </c>
      <c r="B2886" s="6" t="s">
        <v>361</v>
      </c>
      <c r="C2886" s="160" t="s">
        <v>4561</v>
      </c>
      <c r="D2886" s="160" t="s">
        <v>4562</v>
      </c>
      <c r="E2886" s="160" t="s">
        <v>4563</v>
      </c>
      <c r="F2886" s="6" t="s">
        <v>4835</v>
      </c>
      <c r="G2886" s="3" t="s">
        <v>11450</v>
      </c>
      <c r="H2886" s="54">
        <v>0</v>
      </c>
      <c r="I2886" s="16">
        <v>470000000</v>
      </c>
      <c r="J2886" s="56" t="s">
        <v>229</v>
      </c>
      <c r="K2886" s="6" t="s">
        <v>15745</v>
      </c>
      <c r="L2886" s="17" t="s">
        <v>11411</v>
      </c>
      <c r="M2886" s="162" t="s">
        <v>230</v>
      </c>
      <c r="N2886" s="15" t="s">
        <v>17491</v>
      </c>
      <c r="O2886" s="6" t="s">
        <v>4568</v>
      </c>
      <c r="P2886" s="58" t="s">
        <v>241</v>
      </c>
      <c r="Q2886" s="6" t="s">
        <v>234</v>
      </c>
      <c r="R2886" s="4">
        <v>10</v>
      </c>
      <c r="S2886" s="74">
        <v>13548</v>
      </c>
      <c r="T2886" s="4">
        <v>0</v>
      </c>
      <c r="U2886" s="4">
        <f t="shared" si="72"/>
        <v>0</v>
      </c>
      <c r="V2886" s="3"/>
      <c r="W2886" s="3">
        <v>2014</v>
      </c>
      <c r="X2886" s="3" t="s">
        <v>12076</v>
      </c>
    </row>
    <row r="2887" spans="1:24" ht="89.25">
      <c r="A2887" s="3" t="s">
        <v>1561</v>
      </c>
      <c r="B2887" s="6" t="s">
        <v>361</v>
      </c>
      <c r="C2887" s="42" t="s">
        <v>4500</v>
      </c>
      <c r="D2887" s="6" t="s">
        <v>4501</v>
      </c>
      <c r="E2887" s="6" t="s">
        <v>4502</v>
      </c>
      <c r="F2887" s="6" t="s">
        <v>4836</v>
      </c>
      <c r="G2887" s="6" t="s">
        <v>11450</v>
      </c>
      <c r="H2887" s="54">
        <v>0</v>
      </c>
      <c r="I2887" s="55">
        <v>470000000</v>
      </c>
      <c r="J2887" s="56" t="s">
        <v>229</v>
      </c>
      <c r="K2887" s="6" t="s">
        <v>519</v>
      </c>
      <c r="L2887" s="16" t="s">
        <v>4570</v>
      </c>
      <c r="M2887" s="162" t="s">
        <v>230</v>
      </c>
      <c r="N2887" s="15" t="s">
        <v>521</v>
      </c>
      <c r="O2887" s="6" t="s">
        <v>4568</v>
      </c>
      <c r="P2887" s="58" t="s">
        <v>241</v>
      </c>
      <c r="Q2887" s="6" t="s">
        <v>234</v>
      </c>
      <c r="R2887" s="3">
        <v>150</v>
      </c>
      <c r="S2887" s="1">
        <v>84</v>
      </c>
      <c r="T2887" s="4">
        <v>0</v>
      </c>
      <c r="U2887" s="4">
        <f t="shared" si="72"/>
        <v>0</v>
      </c>
      <c r="V2887" s="166"/>
      <c r="W2887" s="3">
        <v>2014</v>
      </c>
      <c r="X2887" s="3">
        <v>12</v>
      </c>
    </row>
    <row r="2888" spans="1:24" ht="89.25">
      <c r="A2888" s="3" t="s">
        <v>12654</v>
      </c>
      <c r="B2888" s="6" t="s">
        <v>361</v>
      </c>
      <c r="C2888" s="42" t="s">
        <v>4500</v>
      </c>
      <c r="D2888" s="6" t="s">
        <v>4501</v>
      </c>
      <c r="E2888" s="6" t="s">
        <v>4502</v>
      </c>
      <c r="F2888" s="6" t="s">
        <v>4836</v>
      </c>
      <c r="G2888" s="6" t="s">
        <v>11450</v>
      </c>
      <c r="H2888" s="54">
        <v>0</v>
      </c>
      <c r="I2888" s="55">
        <v>470000000</v>
      </c>
      <c r="J2888" s="56" t="s">
        <v>229</v>
      </c>
      <c r="K2888" s="6" t="s">
        <v>519</v>
      </c>
      <c r="L2888" s="17" t="s">
        <v>11411</v>
      </c>
      <c r="M2888" s="162" t="s">
        <v>230</v>
      </c>
      <c r="N2888" s="15" t="s">
        <v>521</v>
      </c>
      <c r="O2888" s="6" t="s">
        <v>4568</v>
      </c>
      <c r="P2888" s="58" t="s">
        <v>241</v>
      </c>
      <c r="Q2888" s="6" t="s">
        <v>234</v>
      </c>
      <c r="R2888" s="3">
        <v>150</v>
      </c>
      <c r="S2888" s="1">
        <v>84</v>
      </c>
      <c r="T2888" s="4">
        <v>0</v>
      </c>
      <c r="U2888" s="4">
        <f t="shared" si="72"/>
        <v>0</v>
      </c>
      <c r="V2888" s="166"/>
      <c r="W2888" s="3">
        <v>2014</v>
      </c>
      <c r="X2888" s="3">
        <v>11</v>
      </c>
    </row>
    <row r="2889" spans="1:24" ht="89.25">
      <c r="A2889" s="3" t="s">
        <v>15746</v>
      </c>
      <c r="B2889" s="6" t="s">
        <v>361</v>
      </c>
      <c r="C2889" s="42" t="s">
        <v>4500</v>
      </c>
      <c r="D2889" s="6" t="s">
        <v>4501</v>
      </c>
      <c r="E2889" s="6" t="s">
        <v>4502</v>
      </c>
      <c r="F2889" s="6" t="s">
        <v>4836</v>
      </c>
      <c r="G2889" s="6" t="s">
        <v>11450</v>
      </c>
      <c r="H2889" s="54">
        <v>0</v>
      </c>
      <c r="I2889" s="55">
        <v>470000000</v>
      </c>
      <c r="J2889" s="56" t="s">
        <v>229</v>
      </c>
      <c r="K2889" s="6" t="s">
        <v>222</v>
      </c>
      <c r="L2889" s="17" t="s">
        <v>11411</v>
      </c>
      <c r="M2889" s="162" t="s">
        <v>230</v>
      </c>
      <c r="N2889" s="15" t="s">
        <v>521</v>
      </c>
      <c r="O2889" s="6" t="s">
        <v>4568</v>
      </c>
      <c r="P2889" s="58" t="s">
        <v>241</v>
      </c>
      <c r="Q2889" s="6" t="s">
        <v>234</v>
      </c>
      <c r="R2889" s="3">
        <v>150</v>
      </c>
      <c r="S2889" s="1">
        <v>84</v>
      </c>
      <c r="T2889" s="4">
        <v>0</v>
      </c>
      <c r="U2889" s="4">
        <f t="shared" si="72"/>
        <v>0</v>
      </c>
      <c r="V2889" s="166"/>
      <c r="W2889" s="3">
        <v>2014</v>
      </c>
      <c r="X2889" s="3">
        <v>14</v>
      </c>
    </row>
    <row r="2890" spans="1:24" ht="89.25">
      <c r="A2890" s="3" t="s">
        <v>17686</v>
      </c>
      <c r="B2890" s="6" t="s">
        <v>361</v>
      </c>
      <c r="C2890" s="42" t="s">
        <v>4500</v>
      </c>
      <c r="D2890" s="6" t="s">
        <v>4501</v>
      </c>
      <c r="E2890" s="6" t="s">
        <v>4502</v>
      </c>
      <c r="F2890" s="6" t="s">
        <v>4836</v>
      </c>
      <c r="G2890" s="3" t="s">
        <v>11450</v>
      </c>
      <c r="H2890" s="54">
        <v>0</v>
      </c>
      <c r="I2890" s="55">
        <v>470000000</v>
      </c>
      <c r="J2890" s="56" t="s">
        <v>229</v>
      </c>
      <c r="K2890" s="6" t="s">
        <v>222</v>
      </c>
      <c r="L2890" s="17" t="s">
        <v>11411</v>
      </c>
      <c r="M2890" s="162" t="s">
        <v>230</v>
      </c>
      <c r="N2890" s="15" t="s">
        <v>17491</v>
      </c>
      <c r="O2890" s="6" t="s">
        <v>4568</v>
      </c>
      <c r="P2890" s="58" t="s">
        <v>241</v>
      </c>
      <c r="Q2890" s="6" t="s">
        <v>234</v>
      </c>
      <c r="R2890" s="3">
        <v>150</v>
      </c>
      <c r="S2890" s="1">
        <v>84</v>
      </c>
      <c r="T2890" s="4">
        <v>0</v>
      </c>
      <c r="U2890" s="4">
        <f t="shared" si="72"/>
        <v>0</v>
      </c>
      <c r="V2890" s="166"/>
      <c r="W2890" s="3">
        <v>2014</v>
      </c>
      <c r="X2890" s="3">
        <v>11</v>
      </c>
    </row>
    <row r="2891" spans="1:24" ht="89.25">
      <c r="A2891" s="3" t="s">
        <v>18565</v>
      </c>
      <c r="B2891" s="6" t="s">
        <v>361</v>
      </c>
      <c r="C2891" s="42" t="s">
        <v>4500</v>
      </c>
      <c r="D2891" s="6" t="s">
        <v>4501</v>
      </c>
      <c r="E2891" s="6" t="s">
        <v>4502</v>
      </c>
      <c r="F2891" s="6" t="s">
        <v>4836</v>
      </c>
      <c r="G2891" s="3" t="s">
        <v>11450</v>
      </c>
      <c r="H2891" s="54">
        <v>0</v>
      </c>
      <c r="I2891" s="55">
        <v>470000000</v>
      </c>
      <c r="J2891" s="56" t="s">
        <v>229</v>
      </c>
      <c r="K2891" s="6" t="s">
        <v>9369</v>
      </c>
      <c r="L2891" s="17" t="s">
        <v>11411</v>
      </c>
      <c r="M2891" s="162" t="s">
        <v>230</v>
      </c>
      <c r="N2891" s="15" t="s">
        <v>17491</v>
      </c>
      <c r="O2891" s="6" t="s">
        <v>4568</v>
      </c>
      <c r="P2891" s="58" t="s">
        <v>241</v>
      </c>
      <c r="Q2891" s="6" t="s">
        <v>234</v>
      </c>
      <c r="R2891" s="3">
        <v>150</v>
      </c>
      <c r="S2891" s="1">
        <v>84</v>
      </c>
      <c r="T2891" s="4">
        <f>R2891*S2891</f>
        <v>12600</v>
      </c>
      <c r="U2891" s="4">
        <f t="shared" si="72"/>
        <v>14112.000000000002</v>
      </c>
      <c r="V2891" s="166"/>
      <c r="W2891" s="3">
        <v>2014</v>
      </c>
      <c r="X2891" s="3"/>
    </row>
    <row r="2892" spans="1:24" ht="89.25">
      <c r="A2892" s="3" t="s">
        <v>1562</v>
      </c>
      <c r="B2892" s="6" t="s">
        <v>361</v>
      </c>
      <c r="C2892" s="159" t="s">
        <v>4564</v>
      </c>
      <c r="D2892" s="159" t="s">
        <v>3493</v>
      </c>
      <c r="E2892" s="159" t="s">
        <v>4565</v>
      </c>
      <c r="F2892" s="6" t="s">
        <v>4837</v>
      </c>
      <c r="G2892" s="6" t="s">
        <v>11450</v>
      </c>
      <c r="H2892" s="54">
        <v>0</v>
      </c>
      <c r="I2892" s="16">
        <v>470000000</v>
      </c>
      <c r="J2892" s="56" t="s">
        <v>229</v>
      </c>
      <c r="K2892" s="6" t="s">
        <v>519</v>
      </c>
      <c r="L2892" s="16" t="s">
        <v>4567</v>
      </c>
      <c r="M2892" s="162" t="s">
        <v>230</v>
      </c>
      <c r="N2892" s="15" t="s">
        <v>521</v>
      </c>
      <c r="O2892" s="6" t="s">
        <v>4568</v>
      </c>
      <c r="P2892" s="58" t="s">
        <v>241</v>
      </c>
      <c r="Q2892" s="6" t="s">
        <v>234</v>
      </c>
      <c r="R2892" s="4">
        <v>4000</v>
      </c>
      <c r="S2892" s="74">
        <v>14</v>
      </c>
      <c r="T2892" s="4">
        <v>0</v>
      </c>
      <c r="U2892" s="4">
        <f t="shared" si="72"/>
        <v>0</v>
      </c>
      <c r="V2892" s="3"/>
      <c r="W2892" s="3">
        <v>2014</v>
      </c>
      <c r="X2892" s="3">
        <v>12</v>
      </c>
    </row>
    <row r="2893" spans="1:24" ht="89.25">
      <c r="A2893" s="3" t="s">
        <v>12655</v>
      </c>
      <c r="B2893" s="6" t="s">
        <v>361</v>
      </c>
      <c r="C2893" s="159" t="s">
        <v>4564</v>
      </c>
      <c r="D2893" s="159" t="s">
        <v>3493</v>
      </c>
      <c r="E2893" s="159" t="s">
        <v>4565</v>
      </c>
      <c r="F2893" s="6" t="s">
        <v>4837</v>
      </c>
      <c r="G2893" s="6" t="s">
        <v>11450</v>
      </c>
      <c r="H2893" s="54">
        <v>0</v>
      </c>
      <c r="I2893" s="16">
        <v>470000000</v>
      </c>
      <c r="J2893" s="56" t="s">
        <v>229</v>
      </c>
      <c r="K2893" s="6" t="s">
        <v>519</v>
      </c>
      <c r="L2893" s="17" t="s">
        <v>11411</v>
      </c>
      <c r="M2893" s="162" t="s">
        <v>230</v>
      </c>
      <c r="N2893" s="15" t="s">
        <v>521</v>
      </c>
      <c r="O2893" s="6" t="s">
        <v>4568</v>
      </c>
      <c r="P2893" s="58" t="s">
        <v>241</v>
      </c>
      <c r="Q2893" s="6" t="s">
        <v>234</v>
      </c>
      <c r="R2893" s="4">
        <v>4000</v>
      </c>
      <c r="S2893" s="74">
        <v>14</v>
      </c>
      <c r="T2893" s="4">
        <v>0</v>
      </c>
      <c r="U2893" s="4">
        <f t="shared" si="72"/>
        <v>0</v>
      </c>
      <c r="V2893" s="3"/>
      <c r="W2893" s="3">
        <v>2014</v>
      </c>
      <c r="X2893" s="3">
        <v>11</v>
      </c>
    </row>
    <row r="2894" spans="1:24" ht="89.25">
      <c r="A2894" s="3" t="s">
        <v>15747</v>
      </c>
      <c r="B2894" s="6" t="s">
        <v>361</v>
      </c>
      <c r="C2894" s="159" t="s">
        <v>4564</v>
      </c>
      <c r="D2894" s="159" t="s">
        <v>3493</v>
      </c>
      <c r="E2894" s="159" t="s">
        <v>4565</v>
      </c>
      <c r="F2894" s="6" t="s">
        <v>4837</v>
      </c>
      <c r="G2894" s="6" t="s">
        <v>11450</v>
      </c>
      <c r="H2894" s="54">
        <v>0</v>
      </c>
      <c r="I2894" s="16">
        <v>470000000</v>
      </c>
      <c r="J2894" s="56" t="s">
        <v>229</v>
      </c>
      <c r="K2894" s="6" t="s">
        <v>15745</v>
      </c>
      <c r="L2894" s="17" t="s">
        <v>11411</v>
      </c>
      <c r="M2894" s="162" t="s">
        <v>230</v>
      </c>
      <c r="N2894" s="15" t="s">
        <v>521</v>
      </c>
      <c r="O2894" s="6" t="s">
        <v>4568</v>
      </c>
      <c r="P2894" s="58" t="s">
        <v>241</v>
      </c>
      <c r="Q2894" s="6" t="s">
        <v>234</v>
      </c>
      <c r="R2894" s="4">
        <v>4000</v>
      </c>
      <c r="S2894" s="74">
        <v>14</v>
      </c>
      <c r="T2894" s="4">
        <v>0</v>
      </c>
      <c r="U2894" s="4">
        <f t="shared" si="72"/>
        <v>0</v>
      </c>
      <c r="V2894" s="3"/>
      <c r="W2894" s="3">
        <v>2014</v>
      </c>
      <c r="X2894" s="3">
        <v>14</v>
      </c>
    </row>
    <row r="2895" spans="1:24" ht="89.25">
      <c r="A2895" s="3" t="s">
        <v>17687</v>
      </c>
      <c r="B2895" s="6" t="s">
        <v>361</v>
      </c>
      <c r="C2895" s="159" t="s">
        <v>4564</v>
      </c>
      <c r="D2895" s="159" t="s">
        <v>3493</v>
      </c>
      <c r="E2895" s="159" t="s">
        <v>4565</v>
      </c>
      <c r="F2895" s="6" t="s">
        <v>4837</v>
      </c>
      <c r="G2895" s="3" t="s">
        <v>11450</v>
      </c>
      <c r="H2895" s="54">
        <v>0</v>
      </c>
      <c r="I2895" s="16">
        <v>470000000</v>
      </c>
      <c r="J2895" s="56" t="s">
        <v>229</v>
      </c>
      <c r="K2895" s="6" t="s">
        <v>15745</v>
      </c>
      <c r="L2895" s="17" t="s">
        <v>11411</v>
      </c>
      <c r="M2895" s="162" t="s">
        <v>230</v>
      </c>
      <c r="N2895" s="15" t="s">
        <v>17491</v>
      </c>
      <c r="O2895" s="6" t="s">
        <v>4568</v>
      </c>
      <c r="P2895" s="58" t="s">
        <v>241</v>
      </c>
      <c r="Q2895" s="6" t="s">
        <v>234</v>
      </c>
      <c r="R2895" s="4">
        <v>4000</v>
      </c>
      <c r="S2895" s="74">
        <v>14</v>
      </c>
      <c r="T2895" s="4">
        <f>R2895*S2895</f>
        <v>56000</v>
      </c>
      <c r="U2895" s="4">
        <f t="shared" si="72"/>
        <v>62720.000000000007</v>
      </c>
      <c r="V2895" s="3"/>
      <c r="W2895" s="3">
        <v>2014</v>
      </c>
      <c r="X2895" s="3"/>
    </row>
    <row r="2896" spans="1:24" ht="89.25">
      <c r="A2896" s="3" t="s">
        <v>1563</v>
      </c>
      <c r="B2896" s="6" t="s">
        <v>361</v>
      </c>
      <c r="C2896" s="159" t="s">
        <v>4847</v>
      </c>
      <c r="D2896" s="159" t="s">
        <v>4848</v>
      </c>
      <c r="E2896" s="159" t="s">
        <v>4849</v>
      </c>
      <c r="F2896" s="6" t="s">
        <v>4838</v>
      </c>
      <c r="G2896" s="6" t="s">
        <v>11450</v>
      </c>
      <c r="H2896" s="54">
        <v>0</v>
      </c>
      <c r="I2896" s="55">
        <v>470000000</v>
      </c>
      <c r="J2896" s="56" t="s">
        <v>229</v>
      </c>
      <c r="K2896" s="6" t="s">
        <v>519</v>
      </c>
      <c r="L2896" s="16" t="s">
        <v>4570</v>
      </c>
      <c r="M2896" s="162" t="s">
        <v>230</v>
      </c>
      <c r="N2896" s="15" t="s">
        <v>521</v>
      </c>
      <c r="O2896" s="6" t="s">
        <v>4568</v>
      </c>
      <c r="P2896" s="58" t="s">
        <v>241</v>
      </c>
      <c r="Q2896" s="6" t="s">
        <v>234</v>
      </c>
      <c r="R2896" s="3">
        <v>25</v>
      </c>
      <c r="S2896" s="1">
        <v>375</v>
      </c>
      <c r="T2896" s="4">
        <v>0</v>
      </c>
      <c r="U2896" s="4">
        <f t="shared" si="72"/>
        <v>0</v>
      </c>
      <c r="V2896" s="166"/>
      <c r="W2896" s="3">
        <v>2014</v>
      </c>
      <c r="X2896" s="3">
        <v>12</v>
      </c>
    </row>
    <row r="2897" spans="1:24" ht="89.25">
      <c r="A2897" s="3" t="s">
        <v>12656</v>
      </c>
      <c r="B2897" s="6" t="s">
        <v>361</v>
      </c>
      <c r="C2897" s="159" t="s">
        <v>4847</v>
      </c>
      <c r="D2897" s="159" t="s">
        <v>4848</v>
      </c>
      <c r="E2897" s="159" t="s">
        <v>4849</v>
      </c>
      <c r="F2897" s="6" t="s">
        <v>4838</v>
      </c>
      <c r="G2897" s="6" t="s">
        <v>11450</v>
      </c>
      <c r="H2897" s="54">
        <v>0</v>
      </c>
      <c r="I2897" s="55">
        <v>470000000</v>
      </c>
      <c r="J2897" s="56" t="s">
        <v>229</v>
      </c>
      <c r="K2897" s="6" t="s">
        <v>519</v>
      </c>
      <c r="L2897" s="17" t="s">
        <v>11411</v>
      </c>
      <c r="M2897" s="162" t="s">
        <v>230</v>
      </c>
      <c r="N2897" s="15" t="s">
        <v>521</v>
      </c>
      <c r="O2897" s="6" t="s">
        <v>4568</v>
      </c>
      <c r="P2897" s="58" t="s">
        <v>241</v>
      </c>
      <c r="Q2897" s="6" t="s">
        <v>234</v>
      </c>
      <c r="R2897" s="3">
        <v>25</v>
      </c>
      <c r="S2897" s="1">
        <v>375</v>
      </c>
      <c r="T2897" s="4">
        <v>0</v>
      </c>
      <c r="U2897" s="4">
        <f t="shared" si="72"/>
        <v>0</v>
      </c>
      <c r="V2897" s="166"/>
      <c r="W2897" s="3">
        <v>2014</v>
      </c>
      <c r="X2897" s="3">
        <v>11</v>
      </c>
    </row>
    <row r="2898" spans="1:24" ht="89.25">
      <c r="A2898" s="3" t="s">
        <v>15748</v>
      </c>
      <c r="B2898" s="6" t="s">
        <v>361</v>
      </c>
      <c r="C2898" s="159" t="s">
        <v>4847</v>
      </c>
      <c r="D2898" s="159" t="s">
        <v>4848</v>
      </c>
      <c r="E2898" s="159" t="s">
        <v>4849</v>
      </c>
      <c r="F2898" s="6" t="s">
        <v>4838</v>
      </c>
      <c r="G2898" s="6" t="s">
        <v>11450</v>
      </c>
      <c r="H2898" s="54">
        <v>0</v>
      </c>
      <c r="I2898" s="55">
        <v>470000000</v>
      </c>
      <c r="J2898" s="56" t="s">
        <v>229</v>
      </c>
      <c r="K2898" s="6" t="s">
        <v>222</v>
      </c>
      <c r="L2898" s="17" t="s">
        <v>11411</v>
      </c>
      <c r="M2898" s="162" t="s">
        <v>230</v>
      </c>
      <c r="N2898" s="15" t="s">
        <v>521</v>
      </c>
      <c r="O2898" s="6" t="s">
        <v>4568</v>
      </c>
      <c r="P2898" s="58" t="s">
        <v>241</v>
      </c>
      <c r="Q2898" s="6" t="s">
        <v>234</v>
      </c>
      <c r="R2898" s="3">
        <v>25</v>
      </c>
      <c r="S2898" s="1">
        <v>375</v>
      </c>
      <c r="T2898" s="4">
        <v>0</v>
      </c>
      <c r="U2898" s="4">
        <f t="shared" si="72"/>
        <v>0</v>
      </c>
      <c r="V2898" s="166"/>
      <c r="W2898" s="3">
        <v>2014</v>
      </c>
      <c r="X2898" s="3">
        <v>14</v>
      </c>
    </row>
    <row r="2899" spans="1:24" ht="89.25">
      <c r="A2899" s="3" t="s">
        <v>17688</v>
      </c>
      <c r="B2899" s="6" t="s">
        <v>361</v>
      </c>
      <c r="C2899" s="159" t="s">
        <v>4847</v>
      </c>
      <c r="D2899" s="159" t="s">
        <v>4848</v>
      </c>
      <c r="E2899" s="159" t="s">
        <v>4849</v>
      </c>
      <c r="F2899" s="6" t="s">
        <v>4838</v>
      </c>
      <c r="G2899" s="3" t="s">
        <v>11450</v>
      </c>
      <c r="H2899" s="54">
        <v>0</v>
      </c>
      <c r="I2899" s="55">
        <v>470000000</v>
      </c>
      <c r="J2899" s="56" t="s">
        <v>229</v>
      </c>
      <c r="K2899" s="6" t="s">
        <v>222</v>
      </c>
      <c r="L2899" s="17" t="s">
        <v>11411</v>
      </c>
      <c r="M2899" s="162" t="s">
        <v>230</v>
      </c>
      <c r="N2899" s="15" t="s">
        <v>17491</v>
      </c>
      <c r="O2899" s="6" t="s">
        <v>4568</v>
      </c>
      <c r="P2899" s="58" t="s">
        <v>241</v>
      </c>
      <c r="Q2899" s="6" t="s">
        <v>234</v>
      </c>
      <c r="R2899" s="3">
        <v>25</v>
      </c>
      <c r="S2899" s="1">
        <v>375</v>
      </c>
      <c r="T2899" s="4">
        <v>0</v>
      </c>
      <c r="U2899" s="4">
        <f t="shared" si="72"/>
        <v>0</v>
      </c>
      <c r="V2899" s="166"/>
      <c r="W2899" s="3">
        <v>2014</v>
      </c>
      <c r="X2899" s="3">
        <v>11</v>
      </c>
    </row>
    <row r="2900" spans="1:24" ht="89.25">
      <c r="A2900" s="3" t="s">
        <v>18566</v>
      </c>
      <c r="B2900" s="6" t="s">
        <v>361</v>
      </c>
      <c r="C2900" s="159" t="s">
        <v>4847</v>
      </c>
      <c r="D2900" s="159" t="s">
        <v>4848</v>
      </c>
      <c r="E2900" s="159" t="s">
        <v>4849</v>
      </c>
      <c r="F2900" s="6" t="s">
        <v>4838</v>
      </c>
      <c r="G2900" s="3" t="s">
        <v>11450</v>
      </c>
      <c r="H2900" s="54">
        <v>0</v>
      </c>
      <c r="I2900" s="55">
        <v>470000000</v>
      </c>
      <c r="J2900" s="56" t="s">
        <v>229</v>
      </c>
      <c r="K2900" s="6" t="s">
        <v>9369</v>
      </c>
      <c r="L2900" s="17" t="s">
        <v>11411</v>
      </c>
      <c r="M2900" s="162" t="s">
        <v>230</v>
      </c>
      <c r="N2900" s="15" t="s">
        <v>17491</v>
      </c>
      <c r="O2900" s="6" t="s">
        <v>4568</v>
      </c>
      <c r="P2900" s="58" t="s">
        <v>241</v>
      </c>
      <c r="Q2900" s="6" t="s">
        <v>234</v>
      </c>
      <c r="R2900" s="3">
        <v>25</v>
      </c>
      <c r="S2900" s="1">
        <v>375</v>
      </c>
      <c r="T2900" s="4">
        <f>R2900*S2900</f>
        <v>9375</v>
      </c>
      <c r="U2900" s="4">
        <f t="shared" si="72"/>
        <v>10500.000000000002</v>
      </c>
      <c r="V2900" s="166"/>
      <c r="W2900" s="3">
        <v>2014</v>
      </c>
      <c r="X2900" s="158"/>
    </row>
    <row r="2901" spans="1:24" ht="191.25">
      <c r="A2901" s="3" t="s">
        <v>1564</v>
      </c>
      <c r="B2901" s="6" t="s">
        <v>361</v>
      </c>
      <c r="C2901" s="159" t="s">
        <v>11480</v>
      </c>
      <c r="D2901" s="159" t="s">
        <v>11481</v>
      </c>
      <c r="E2901" s="159" t="s">
        <v>11482</v>
      </c>
      <c r="F2901" s="6" t="s">
        <v>11771</v>
      </c>
      <c r="G2901" s="6" t="s">
        <v>11450</v>
      </c>
      <c r="H2901" s="54">
        <v>0</v>
      </c>
      <c r="I2901" s="16">
        <v>470000000</v>
      </c>
      <c r="J2901" s="56" t="s">
        <v>229</v>
      </c>
      <c r="K2901" s="6" t="s">
        <v>519</v>
      </c>
      <c r="L2901" s="16" t="s">
        <v>4567</v>
      </c>
      <c r="M2901" s="162" t="s">
        <v>230</v>
      </c>
      <c r="N2901" s="15" t="s">
        <v>521</v>
      </c>
      <c r="O2901" s="6" t="s">
        <v>4568</v>
      </c>
      <c r="P2901" s="58" t="s">
        <v>241</v>
      </c>
      <c r="Q2901" s="6" t="s">
        <v>234</v>
      </c>
      <c r="R2901" s="4">
        <v>100</v>
      </c>
      <c r="S2901" s="74">
        <v>74</v>
      </c>
      <c r="T2901" s="4">
        <v>0</v>
      </c>
      <c r="U2901" s="4">
        <f t="shared" si="72"/>
        <v>0</v>
      </c>
      <c r="V2901" s="3"/>
      <c r="W2901" s="3">
        <v>2014</v>
      </c>
      <c r="X2901" s="3">
        <v>12</v>
      </c>
    </row>
    <row r="2902" spans="1:24" ht="191.25">
      <c r="A2902" s="3" t="s">
        <v>12657</v>
      </c>
      <c r="B2902" s="6" t="s">
        <v>361</v>
      </c>
      <c r="C2902" s="159" t="s">
        <v>11480</v>
      </c>
      <c r="D2902" s="159" t="s">
        <v>11481</v>
      </c>
      <c r="E2902" s="159" t="s">
        <v>11482</v>
      </c>
      <c r="F2902" s="6" t="s">
        <v>11771</v>
      </c>
      <c r="G2902" s="6" t="s">
        <v>11450</v>
      </c>
      <c r="H2902" s="54">
        <v>0</v>
      </c>
      <c r="I2902" s="16">
        <v>470000000</v>
      </c>
      <c r="J2902" s="56" t="s">
        <v>229</v>
      </c>
      <c r="K2902" s="6" t="s">
        <v>519</v>
      </c>
      <c r="L2902" s="17" t="s">
        <v>11411</v>
      </c>
      <c r="M2902" s="162" t="s">
        <v>230</v>
      </c>
      <c r="N2902" s="15" t="s">
        <v>521</v>
      </c>
      <c r="O2902" s="6" t="s">
        <v>4568</v>
      </c>
      <c r="P2902" s="58" t="s">
        <v>241</v>
      </c>
      <c r="Q2902" s="6" t="s">
        <v>234</v>
      </c>
      <c r="R2902" s="4">
        <v>100</v>
      </c>
      <c r="S2902" s="74">
        <v>74</v>
      </c>
      <c r="T2902" s="4">
        <v>0</v>
      </c>
      <c r="U2902" s="4">
        <f t="shared" si="72"/>
        <v>0</v>
      </c>
      <c r="V2902" s="3"/>
      <c r="W2902" s="3">
        <v>2014</v>
      </c>
      <c r="X2902" s="3">
        <v>11</v>
      </c>
    </row>
    <row r="2903" spans="1:24" ht="191.25">
      <c r="A2903" s="3" t="s">
        <v>15749</v>
      </c>
      <c r="B2903" s="6" t="s">
        <v>361</v>
      </c>
      <c r="C2903" s="159" t="s">
        <v>11480</v>
      </c>
      <c r="D2903" s="159" t="s">
        <v>11481</v>
      </c>
      <c r="E2903" s="159" t="s">
        <v>11482</v>
      </c>
      <c r="F2903" s="6" t="s">
        <v>11771</v>
      </c>
      <c r="G2903" s="6" t="s">
        <v>11450</v>
      </c>
      <c r="H2903" s="54">
        <v>0</v>
      </c>
      <c r="I2903" s="16">
        <v>470000000</v>
      </c>
      <c r="J2903" s="56" t="s">
        <v>229</v>
      </c>
      <c r="K2903" s="6" t="s">
        <v>222</v>
      </c>
      <c r="L2903" s="17" t="s">
        <v>11411</v>
      </c>
      <c r="M2903" s="162" t="s">
        <v>230</v>
      </c>
      <c r="N2903" s="15" t="s">
        <v>521</v>
      </c>
      <c r="O2903" s="6" t="s">
        <v>4568</v>
      </c>
      <c r="P2903" s="58" t="s">
        <v>241</v>
      </c>
      <c r="Q2903" s="6" t="s">
        <v>234</v>
      </c>
      <c r="R2903" s="4">
        <v>100</v>
      </c>
      <c r="S2903" s="74">
        <v>74</v>
      </c>
      <c r="T2903" s="319">
        <v>0</v>
      </c>
      <c r="U2903" s="319">
        <f t="shared" si="72"/>
        <v>0</v>
      </c>
      <c r="V2903" s="3"/>
      <c r="W2903" s="3">
        <v>2014</v>
      </c>
      <c r="X2903" s="3" t="s">
        <v>18205</v>
      </c>
    </row>
    <row r="2904" spans="1:24" ht="191.25">
      <c r="A2904" s="3" t="s">
        <v>17689</v>
      </c>
      <c r="B2904" s="6" t="s">
        <v>361</v>
      </c>
      <c r="C2904" s="159" t="s">
        <v>11480</v>
      </c>
      <c r="D2904" s="159" t="s">
        <v>11481</v>
      </c>
      <c r="E2904" s="159" t="s">
        <v>11482</v>
      </c>
      <c r="F2904" s="6" t="s">
        <v>11771</v>
      </c>
      <c r="G2904" s="3" t="s">
        <v>11450</v>
      </c>
      <c r="H2904" s="54">
        <v>0</v>
      </c>
      <c r="I2904" s="16">
        <v>470000000</v>
      </c>
      <c r="J2904" s="56" t="s">
        <v>229</v>
      </c>
      <c r="K2904" s="6" t="s">
        <v>222</v>
      </c>
      <c r="L2904" s="17" t="s">
        <v>11411</v>
      </c>
      <c r="M2904" s="162" t="s">
        <v>230</v>
      </c>
      <c r="N2904" s="15" t="s">
        <v>17491</v>
      </c>
      <c r="O2904" s="6" t="s">
        <v>4568</v>
      </c>
      <c r="P2904" s="58" t="s">
        <v>241</v>
      </c>
      <c r="Q2904" s="6" t="s">
        <v>234</v>
      </c>
      <c r="R2904" s="4">
        <v>60</v>
      </c>
      <c r="S2904" s="74">
        <v>123.33</v>
      </c>
      <c r="T2904" s="4">
        <v>0</v>
      </c>
      <c r="U2904" s="4">
        <f t="shared" si="72"/>
        <v>0</v>
      </c>
      <c r="V2904" s="3"/>
      <c r="W2904" s="3">
        <v>2014</v>
      </c>
      <c r="X2904" s="3">
        <v>11</v>
      </c>
    </row>
    <row r="2905" spans="1:24" ht="191.25">
      <c r="A2905" s="3" t="s">
        <v>18567</v>
      </c>
      <c r="B2905" s="6" t="s">
        <v>361</v>
      </c>
      <c r="C2905" s="159" t="s">
        <v>11480</v>
      </c>
      <c r="D2905" s="159" t="s">
        <v>11481</v>
      </c>
      <c r="E2905" s="159" t="s">
        <v>11482</v>
      </c>
      <c r="F2905" s="6" t="s">
        <v>11771</v>
      </c>
      <c r="G2905" s="3" t="s">
        <v>11450</v>
      </c>
      <c r="H2905" s="54">
        <v>0</v>
      </c>
      <c r="I2905" s="16">
        <v>470000000</v>
      </c>
      <c r="J2905" s="56" t="s">
        <v>229</v>
      </c>
      <c r="K2905" s="6" t="s">
        <v>9369</v>
      </c>
      <c r="L2905" s="17" t="s">
        <v>11411</v>
      </c>
      <c r="M2905" s="162" t="s">
        <v>230</v>
      </c>
      <c r="N2905" s="15" t="s">
        <v>17491</v>
      </c>
      <c r="O2905" s="6" t="s">
        <v>4568</v>
      </c>
      <c r="P2905" s="58" t="s">
        <v>241</v>
      </c>
      <c r="Q2905" s="6" t="s">
        <v>234</v>
      </c>
      <c r="R2905" s="4">
        <v>60</v>
      </c>
      <c r="S2905" s="74">
        <v>123.33</v>
      </c>
      <c r="T2905" s="4">
        <f>R2905*S2905</f>
        <v>7399.8</v>
      </c>
      <c r="U2905" s="4">
        <f t="shared" si="72"/>
        <v>8287.7760000000017</v>
      </c>
      <c r="V2905" s="3"/>
      <c r="W2905" s="3">
        <v>2014</v>
      </c>
      <c r="X2905" s="3"/>
    </row>
    <row r="2906" spans="1:24" ht="89.25">
      <c r="A2906" s="3" t="s">
        <v>1565</v>
      </c>
      <c r="B2906" s="6" t="s">
        <v>361</v>
      </c>
      <c r="C2906" s="42" t="s">
        <v>4500</v>
      </c>
      <c r="D2906" s="6" t="s">
        <v>4501</v>
      </c>
      <c r="E2906" s="6" t="s">
        <v>4502</v>
      </c>
      <c r="F2906" s="6" t="s">
        <v>4839</v>
      </c>
      <c r="G2906" s="6" t="s">
        <v>11450</v>
      </c>
      <c r="H2906" s="54">
        <v>0</v>
      </c>
      <c r="I2906" s="55">
        <v>470000000</v>
      </c>
      <c r="J2906" s="56" t="s">
        <v>229</v>
      </c>
      <c r="K2906" s="6" t="s">
        <v>519</v>
      </c>
      <c r="L2906" s="16" t="s">
        <v>4570</v>
      </c>
      <c r="M2906" s="162" t="s">
        <v>230</v>
      </c>
      <c r="N2906" s="15" t="s">
        <v>521</v>
      </c>
      <c r="O2906" s="6" t="s">
        <v>4568</v>
      </c>
      <c r="P2906" s="58" t="s">
        <v>241</v>
      </c>
      <c r="Q2906" s="6" t="s">
        <v>234</v>
      </c>
      <c r="R2906" s="3">
        <v>100</v>
      </c>
      <c r="S2906" s="1">
        <v>100</v>
      </c>
      <c r="T2906" s="4">
        <v>0</v>
      </c>
      <c r="U2906" s="4">
        <f t="shared" si="72"/>
        <v>0</v>
      </c>
      <c r="V2906" s="166"/>
      <c r="W2906" s="3">
        <v>2014</v>
      </c>
      <c r="X2906" s="3">
        <v>12</v>
      </c>
    </row>
    <row r="2907" spans="1:24" ht="89.25">
      <c r="A2907" s="3" t="s">
        <v>12658</v>
      </c>
      <c r="B2907" s="6" t="s">
        <v>361</v>
      </c>
      <c r="C2907" s="42" t="s">
        <v>4500</v>
      </c>
      <c r="D2907" s="6" t="s">
        <v>4501</v>
      </c>
      <c r="E2907" s="6" t="s">
        <v>4502</v>
      </c>
      <c r="F2907" s="6" t="s">
        <v>4839</v>
      </c>
      <c r="G2907" s="6" t="s">
        <v>11450</v>
      </c>
      <c r="H2907" s="54">
        <v>0</v>
      </c>
      <c r="I2907" s="55">
        <v>470000000</v>
      </c>
      <c r="J2907" s="56" t="s">
        <v>229</v>
      </c>
      <c r="K2907" s="6" t="s">
        <v>519</v>
      </c>
      <c r="L2907" s="17" t="s">
        <v>11411</v>
      </c>
      <c r="M2907" s="162" t="s">
        <v>230</v>
      </c>
      <c r="N2907" s="15" t="s">
        <v>521</v>
      </c>
      <c r="O2907" s="6" t="s">
        <v>4568</v>
      </c>
      <c r="P2907" s="58" t="s">
        <v>241</v>
      </c>
      <c r="Q2907" s="6" t="s">
        <v>234</v>
      </c>
      <c r="R2907" s="3">
        <v>100</v>
      </c>
      <c r="S2907" s="1">
        <v>100</v>
      </c>
      <c r="T2907" s="4">
        <v>0</v>
      </c>
      <c r="U2907" s="4">
        <f t="shared" si="72"/>
        <v>0</v>
      </c>
      <c r="V2907" s="166"/>
      <c r="W2907" s="3">
        <v>2014</v>
      </c>
      <c r="X2907" s="3">
        <v>11</v>
      </c>
    </row>
    <row r="2908" spans="1:24" ht="89.25">
      <c r="A2908" s="3" t="s">
        <v>15750</v>
      </c>
      <c r="B2908" s="6" t="s">
        <v>361</v>
      </c>
      <c r="C2908" s="42" t="s">
        <v>4500</v>
      </c>
      <c r="D2908" s="6" t="s">
        <v>4501</v>
      </c>
      <c r="E2908" s="6" t="s">
        <v>4502</v>
      </c>
      <c r="F2908" s="6" t="s">
        <v>4839</v>
      </c>
      <c r="G2908" s="6" t="s">
        <v>11450</v>
      </c>
      <c r="H2908" s="54">
        <v>0</v>
      </c>
      <c r="I2908" s="55">
        <v>470000000</v>
      </c>
      <c r="J2908" s="56" t="s">
        <v>229</v>
      </c>
      <c r="K2908" s="6" t="s">
        <v>222</v>
      </c>
      <c r="L2908" s="17" t="s">
        <v>11411</v>
      </c>
      <c r="M2908" s="162" t="s">
        <v>230</v>
      </c>
      <c r="N2908" s="15" t="s">
        <v>521</v>
      </c>
      <c r="O2908" s="6" t="s">
        <v>4568</v>
      </c>
      <c r="P2908" s="58" t="s">
        <v>241</v>
      </c>
      <c r="Q2908" s="6" t="s">
        <v>234</v>
      </c>
      <c r="R2908" s="3">
        <v>100</v>
      </c>
      <c r="S2908" s="1">
        <v>100</v>
      </c>
      <c r="T2908" s="4">
        <v>0</v>
      </c>
      <c r="U2908" s="4">
        <f t="shared" si="72"/>
        <v>0</v>
      </c>
      <c r="V2908" s="166"/>
      <c r="W2908" s="3">
        <v>2014</v>
      </c>
      <c r="X2908" s="3">
        <v>14</v>
      </c>
    </row>
    <row r="2909" spans="1:24" ht="89.25">
      <c r="A2909" s="3" t="s">
        <v>17690</v>
      </c>
      <c r="B2909" s="6" t="s">
        <v>361</v>
      </c>
      <c r="C2909" s="42" t="s">
        <v>4500</v>
      </c>
      <c r="D2909" s="6" t="s">
        <v>4501</v>
      </c>
      <c r="E2909" s="6" t="s">
        <v>4502</v>
      </c>
      <c r="F2909" s="6" t="s">
        <v>4839</v>
      </c>
      <c r="G2909" s="3" t="s">
        <v>11450</v>
      </c>
      <c r="H2909" s="54">
        <v>0</v>
      </c>
      <c r="I2909" s="55">
        <v>470000000</v>
      </c>
      <c r="J2909" s="56" t="s">
        <v>229</v>
      </c>
      <c r="K2909" s="6" t="s">
        <v>222</v>
      </c>
      <c r="L2909" s="17" t="s">
        <v>11411</v>
      </c>
      <c r="M2909" s="162" t="s">
        <v>230</v>
      </c>
      <c r="N2909" s="15" t="s">
        <v>17491</v>
      </c>
      <c r="O2909" s="6" t="s">
        <v>4568</v>
      </c>
      <c r="P2909" s="58" t="s">
        <v>241</v>
      </c>
      <c r="Q2909" s="6" t="s">
        <v>234</v>
      </c>
      <c r="R2909" s="3">
        <v>100</v>
      </c>
      <c r="S2909" s="1">
        <v>100</v>
      </c>
      <c r="T2909" s="4">
        <v>0</v>
      </c>
      <c r="U2909" s="4">
        <f t="shared" si="72"/>
        <v>0</v>
      </c>
      <c r="V2909" s="166"/>
      <c r="W2909" s="3">
        <v>2014</v>
      </c>
      <c r="X2909" s="3">
        <v>11</v>
      </c>
    </row>
    <row r="2910" spans="1:24" ht="89.25">
      <c r="A2910" s="3" t="s">
        <v>18568</v>
      </c>
      <c r="B2910" s="6" t="s">
        <v>361</v>
      </c>
      <c r="C2910" s="42" t="s">
        <v>4500</v>
      </c>
      <c r="D2910" s="6" t="s">
        <v>4501</v>
      </c>
      <c r="E2910" s="6" t="s">
        <v>4502</v>
      </c>
      <c r="F2910" s="6" t="s">
        <v>4839</v>
      </c>
      <c r="G2910" s="3" t="s">
        <v>11450</v>
      </c>
      <c r="H2910" s="54">
        <v>0</v>
      </c>
      <c r="I2910" s="55">
        <v>470000000</v>
      </c>
      <c r="J2910" s="56" t="s">
        <v>229</v>
      </c>
      <c r="K2910" s="6" t="s">
        <v>9369</v>
      </c>
      <c r="L2910" s="17" t="s">
        <v>11411</v>
      </c>
      <c r="M2910" s="162" t="s">
        <v>230</v>
      </c>
      <c r="N2910" s="15" t="s">
        <v>17491</v>
      </c>
      <c r="O2910" s="6" t="s">
        <v>4568</v>
      </c>
      <c r="P2910" s="58" t="s">
        <v>241</v>
      </c>
      <c r="Q2910" s="6" t="s">
        <v>234</v>
      </c>
      <c r="R2910" s="3">
        <v>100</v>
      </c>
      <c r="S2910" s="1">
        <v>100</v>
      </c>
      <c r="T2910" s="4">
        <f>R2910*S2910</f>
        <v>10000</v>
      </c>
      <c r="U2910" s="4">
        <f t="shared" si="72"/>
        <v>11200.000000000002</v>
      </c>
      <c r="V2910" s="166"/>
      <c r="W2910" s="3">
        <v>2014</v>
      </c>
      <c r="X2910" s="3"/>
    </row>
    <row r="2911" spans="1:24" ht="153">
      <c r="A2911" s="3" t="s">
        <v>1566</v>
      </c>
      <c r="B2911" s="6" t="s">
        <v>361</v>
      </c>
      <c r="C2911" s="42" t="s">
        <v>7653</v>
      </c>
      <c r="D2911" s="6" t="s">
        <v>7654</v>
      </c>
      <c r="E2911" s="6" t="s">
        <v>7655</v>
      </c>
      <c r="F2911" s="6" t="s">
        <v>7656</v>
      </c>
      <c r="G2911" s="6" t="s">
        <v>11450</v>
      </c>
      <c r="H2911" s="54">
        <v>0</v>
      </c>
      <c r="I2911" s="55">
        <v>470000000</v>
      </c>
      <c r="J2911" s="56" t="s">
        <v>229</v>
      </c>
      <c r="K2911" s="6" t="s">
        <v>519</v>
      </c>
      <c r="L2911" s="16" t="s">
        <v>4570</v>
      </c>
      <c r="M2911" s="162" t="s">
        <v>230</v>
      </c>
      <c r="N2911" s="15" t="s">
        <v>521</v>
      </c>
      <c r="O2911" s="6" t="s">
        <v>4568</v>
      </c>
      <c r="P2911" s="58" t="s">
        <v>241</v>
      </c>
      <c r="Q2911" s="6" t="s">
        <v>234</v>
      </c>
      <c r="R2911" s="1">
        <v>10</v>
      </c>
      <c r="S2911" s="59">
        <v>35500</v>
      </c>
      <c r="T2911" s="4">
        <v>0</v>
      </c>
      <c r="U2911" s="4">
        <f t="shared" si="72"/>
        <v>0</v>
      </c>
      <c r="V2911" s="1"/>
      <c r="W2911" s="3">
        <v>2014</v>
      </c>
      <c r="X2911" s="3">
        <v>12</v>
      </c>
    </row>
    <row r="2912" spans="1:24" ht="153">
      <c r="A2912" s="3" t="s">
        <v>12659</v>
      </c>
      <c r="B2912" s="6" t="s">
        <v>361</v>
      </c>
      <c r="C2912" s="42" t="s">
        <v>7653</v>
      </c>
      <c r="D2912" s="6" t="s">
        <v>7654</v>
      </c>
      <c r="E2912" s="6" t="s">
        <v>7655</v>
      </c>
      <c r="F2912" s="6" t="s">
        <v>7656</v>
      </c>
      <c r="G2912" s="6" t="s">
        <v>11450</v>
      </c>
      <c r="H2912" s="54">
        <v>0</v>
      </c>
      <c r="I2912" s="55">
        <v>470000000</v>
      </c>
      <c r="J2912" s="56" t="s">
        <v>229</v>
      </c>
      <c r="K2912" s="6" t="s">
        <v>519</v>
      </c>
      <c r="L2912" s="17" t="s">
        <v>11411</v>
      </c>
      <c r="M2912" s="162" t="s">
        <v>230</v>
      </c>
      <c r="N2912" s="15" t="s">
        <v>521</v>
      </c>
      <c r="O2912" s="6" t="s">
        <v>4568</v>
      </c>
      <c r="P2912" s="58" t="s">
        <v>241</v>
      </c>
      <c r="Q2912" s="6" t="s">
        <v>234</v>
      </c>
      <c r="R2912" s="1">
        <v>10</v>
      </c>
      <c r="S2912" s="59">
        <v>35500</v>
      </c>
      <c r="T2912" s="4">
        <v>0</v>
      </c>
      <c r="U2912" s="4">
        <f t="shared" si="72"/>
        <v>0</v>
      </c>
      <c r="V2912" s="1"/>
      <c r="W2912" s="3">
        <v>2014</v>
      </c>
      <c r="X2912" s="1">
        <v>11</v>
      </c>
    </row>
    <row r="2913" spans="1:24" ht="153">
      <c r="A2913" s="3" t="s">
        <v>15751</v>
      </c>
      <c r="B2913" s="6" t="s">
        <v>361</v>
      </c>
      <c r="C2913" s="42" t="s">
        <v>7653</v>
      </c>
      <c r="D2913" s="6" t="s">
        <v>7654</v>
      </c>
      <c r="E2913" s="6" t="s">
        <v>7655</v>
      </c>
      <c r="F2913" s="6" t="s">
        <v>7656</v>
      </c>
      <c r="G2913" s="6" t="s">
        <v>11450</v>
      </c>
      <c r="H2913" s="54">
        <v>0</v>
      </c>
      <c r="I2913" s="55">
        <v>470000000</v>
      </c>
      <c r="J2913" s="56" t="s">
        <v>229</v>
      </c>
      <c r="K2913" s="6" t="s">
        <v>15752</v>
      </c>
      <c r="L2913" s="17" t="s">
        <v>11411</v>
      </c>
      <c r="M2913" s="162" t="s">
        <v>230</v>
      </c>
      <c r="N2913" s="15" t="s">
        <v>521</v>
      </c>
      <c r="O2913" s="6" t="s">
        <v>4568</v>
      </c>
      <c r="P2913" s="58" t="s">
        <v>241</v>
      </c>
      <c r="Q2913" s="6" t="s">
        <v>234</v>
      </c>
      <c r="R2913" s="1">
        <v>10</v>
      </c>
      <c r="S2913" s="59">
        <v>35500</v>
      </c>
      <c r="T2913" s="4">
        <v>0</v>
      </c>
      <c r="U2913" s="4">
        <f t="shared" si="72"/>
        <v>0</v>
      </c>
      <c r="V2913" s="1"/>
      <c r="W2913" s="3">
        <v>2014</v>
      </c>
      <c r="X2913" s="1" t="s">
        <v>18204</v>
      </c>
    </row>
    <row r="2914" spans="1:24" ht="153">
      <c r="A2914" s="3" t="s">
        <v>17691</v>
      </c>
      <c r="B2914" s="6" t="s">
        <v>361</v>
      </c>
      <c r="C2914" s="42" t="s">
        <v>7653</v>
      </c>
      <c r="D2914" s="6" t="s">
        <v>7654</v>
      </c>
      <c r="E2914" s="6" t="s">
        <v>7655</v>
      </c>
      <c r="F2914" s="6" t="s">
        <v>7656</v>
      </c>
      <c r="G2914" s="3" t="s">
        <v>11450</v>
      </c>
      <c r="H2914" s="54">
        <v>0</v>
      </c>
      <c r="I2914" s="55">
        <v>470000000</v>
      </c>
      <c r="J2914" s="56" t="s">
        <v>229</v>
      </c>
      <c r="K2914" s="6" t="s">
        <v>15752</v>
      </c>
      <c r="L2914" s="17" t="s">
        <v>11411</v>
      </c>
      <c r="M2914" s="162" t="s">
        <v>230</v>
      </c>
      <c r="N2914" s="15" t="s">
        <v>17491</v>
      </c>
      <c r="O2914" s="6" t="s">
        <v>4568</v>
      </c>
      <c r="P2914" s="58" t="s">
        <v>241</v>
      </c>
      <c r="Q2914" s="6" t="s">
        <v>234</v>
      </c>
      <c r="R2914" s="1">
        <v>5</v>
      </c>
      <c r="S2914" s="59">
        <v>35500</v>
      </c>
      <c r="T2914" s="4">
        <v>0</v>
      </c>
      <c r="U2914" s="4">
        <f t="shared" ref="U2914:U2923" si="73">T2914*1.12</f>
        <v>0</v>
      </c>
      <c r="V2914" s="1"/>
      <c r="W2914" s="3">
        <v>2014</v>
      </c>
      <c r="X2914" s="1" t="s">
        <v>12076</v>
      </c>
    </row>
    <row r="2915" spans="1:24" ht="153">
      <c r="A2915" s="3" t="s">
        <v>1567</v>
      </c>
      <c r="B2915" s="6" t="s">
        <v>361</v>
      </c>
      <c r="C2915" s="42" t="s">
        <v>7653</v>
      </c>
      <c r="D2915" s="6" t="s">
        <v>7654</v>
      </c>
      <c r="E2915" s="6" t="s">
        <v>7655</v>
      </c>
      <c r="F2915" s="6" t="s">
        <v>7657</v>
      </c>
      <c r="G2915" s="6" t="s">
        <v>11450</v>
      </c>
      <c r="H2915" s="54">
        <v>0</v>
      </c>
      <c r="I2915" s="55">
        <v>470000000</v>
      </c>
      <c r="J2915" s="56" t="s">
        <v>229</v>
      </c>
      <c r="K2915" s="6" t="s">
        <v>519</v>
      </c>
      <c r="L2915" s="16" t="s">
        <v>4570</v>
      </c>
      <c r="M2915" s="162" t="s">
        <v>230</v>
      </c>
      <c r="N2915" s="15" t="s">
        <v>521</v>
      </c>
      <c r="O2915" s="6" t="s">
        <v>4568</v>
      </c>
      <c r="P2915" s="58" t="s">
        <v>241</v>
      </c>
      <c r="Q2915" s="6" t="s">
        <v>234</v>
      </c>
      <c r="R2915" s="1">
        <v>10</v>
      </c>
      <c r="S2915" s="59">
        <v>38281.233</v>
      </c>
      <c r="T2915" s="4">
        <v>0</v>
      </c>
      <c r="U2915" s="4">
        <f t="shared" si="73"/>
        <v>0</v>
      </c>
      <c r="V2915" s="1"/>
      <c r="W2915" s="3">
        <v>2014</v>
      </c>
      <c r="X2915" s="4">
        <v>12</v>
      </c>
    </row>
    <row r="2916" spans="1:24" ht="153">
      <c r="A2916" s="3" t="s">
        <v>12660</v>
      </c>
      <c r="B2916" s="6" t="s">
        <v>361</v>
      </c>
      <c r="C2916" s="42" t="s">
        <v>7653</v>
      </c>
      <c r="D2916" s="6" t="s">
        <v>7654</v>
      </c>
      <c r="E2916" s="6" t="s">
        <v>7655</v>
      </c>
      <c r="F2916" s="6" t="s">
        <v>7657</v>
      </c>
      <c r="G2916" s="6" t="s">
        <v>11450</v>
      </c>
      <c r="H2916" s="54">
        <v>0</v>
      </c>
      <c r="I2916" s="55">
        <v>470000000</v>
      </c>
      <c r="J2916" s="56" t="s">
        <v>229</v>
      </c>
      <c r="K2916" s="6" t="s">
        <v>519</v>
      </c>
      <c r="L2916" s="17" t="s">
        <v>11411</v>
      </c>
      <c r="M2916" s="162" t="s">
        <v>230</v>
      </c>
      <c r="N2916" s="15" t="s">
        <v>521</v>
      </c>
      <c r="O2916" s="6" t="s">
        <v>4568</v>
      </c>
      <c r="P2916" s="58" t="s">
        <v>241</v>
      </c>
      <c r="Q2916" s="6" t="s">
        <v>234</v>
      </c>
      <c r="R2916" s="1">
        <v>10</v>
      </c>
      <c r="S2916" s="59">
        <v>38281.233</v>
      </c>
      <c r="T2916" s="4">
        <v>0</v>
      </c>
      <c r="U2916" s="4">
        <f t="shared" si="73"/>
        <v>0</v>
      </c>
      <c r="V2916" s="1"/>
      <c r="W2916" s="3">
        <v>2014</v>
      </c>
      <c r="X2916" s="1">
        <v>11</v>
      </c>
    </row>
    <row r="2917" spans="1:24" ht="153">
      <c r="A2917" s="3" t="s">
        <v>15753</v>
      </c>
      <c r="B2917" s="6" t="s">
        <v>361</v>
      </c>
      <c r="C2917" s="42" t="s">
        <v>7653</v>
      </c>
      <c r="D2917" s="6" t="s">
        <v>7654</v>
      </c>
      <c r="E2917" s="6" t="s">
        <v>7655</v>
      </c>
      <c r="F2917" s="6" t="s">
        <v>7657</v>
      </c>
      <c r="G2917" s="6" t="s">
        <v>11450</v>
      </c>
      <c r="H2917" s="54">
        <v>0</v>
      </c>
      <c r="I2917" s="55">
        <v>470000000</v>
      </c>
      <c r="J2917" s="56" t="s">
        <v>229</v>
      </c>
      <c r="K2917" s="6" t="s">
        <v>15752</v>
      </c>
      <c r="L2917" s="17" t="s">
        <v>11411</v>
      </c>
      <c r="M2917" s="162" t="s">
        <v>230</v>
      </c>
      <c r="N2917" s="15" t="s">
        <v>521</v>
      </c>
      <c r="O2917" s="6" t="s">
        <v>4568</v>
      </c>
      <c r="P2917" s="58" t="s">
        <v>241</v>
      </c>
      <c r="Q2917" s="6" t="s">
        <v>234</v>
      </c>
      <c r="R2917" s="1">
        <v>10</v>
      </c>
      <c r="S2917" s="59">
        <v>38281.233</v>
      </c>
      <c r="T2917" s="4">
        <v>0</v>
      </c>
      <c r="U2917" s="4">
        <f t="shared" si="73"/>
        <v>0</v>
      </c>
      <c r="V2917" s="1"/>
      <c r="W2917" s="3">
        <v>2014</v>
      </c>
      <c r="X2917" s="1" t="s">
        <v>18204</v>
      </c>
    </row>
    <row r="2918" spans="1:24" ht="153">
      <c r="A2918" s="3" t="s">
        <v>17692</v>
      </c>
      <c r="B2918" s="6" t="s">
        <v>361</v>
      </c>
      <c r="C2918" s="42" t="s">
        <v>7653</v>
      </c>
      <c r="D2918" s="6" t="s">
        <v>7654</v>
      </c>
      <c r="E2918" s="6" t="s">
        <v>7655</v>
      </c>
      <c r="F2918" s="6" t="s">
        <v>7657</v>
      </c>
      <c r="G2918" s="3" t="s">
        <v>11450</v>
      </c>
      <c r="H2918" s="54">
        <v>0</v>
      </c>
      <c r="I2918" s="55">
        <v>470000000</v>
      </c>
      <c r="J2918" s="56" t="s">
        <v>229</v>
      </c>
      <c r="K2918" s="6" t="s">
        <v>15752</v>
      </c>
      <c r="L2918" s="17" t="s">
        <v>11411</v>
      </c>
      <c r="M2918" s="162" t="s">
        <v>230</v>
      </c>
      <c r="N2918" s="15" t="s">
        <v>17491</v>
      </c>
      <c r="O2918" s="6" t="s">
        <v>4568</v>
      </c>
      <c r="P2918" s="58" t="s">
        <v>241</v>
      </c>
      <c r="Q2918" s="6" t="s">
        <v>234</v>
      </c>
      <c r="R2918" s="1">
        <v>5</v>
      </c>
      <c r="S2918" s="59">
        <v>38281.233</v>
      </c>
      <c r="T2918" s="4">
        <v>0</v>
      </c>
      <c r="U2918" s="4">
        <f t="shared" si="73"/>
        <v>0</v>
      </c>
      <c r="V2918" s="1"/>
      <c r="W2918" s="3">
        <v>2014</v>
      </c>
      <c r="X2918" s="1" t="s">
        <v>12076</v>
      </c>
    </row>
    <row r="2919" spans="1:24" ht="89.25">
      <c r="A2919" s="3" t="s">
        <v>1568</v>
      </c>
      <c r="B2919" s="6" t="s">
        <v>361</v>
      </c>
      <c r="C2919" s="42" t="s">
        <v>7658</v>
      </c>
      <c r="D2919" s="6" t="s">
        <v>7659</v>
      </c>
      <c r="E2919" s="6" t="s">
        <v>7660</v>
      </c>
      <c r="F2919" s="6" t="s">
        <v>7661</v>
      </c>
      <c r="G2919" s="6" t="s">
        <v>11450</v>
      </c>
      <c r="H2919" s="54">
        <v>0</v>
      </c>
      <c r="I2919" s="55">
        <v>470000000</v>
      </c>
      <c r="J2919" s="56" t="s">
        <v>229</v>
      </c>
      <c r="K2919" s="6" t="s">
        <v>519</v>
      </c>
      <c r="L2919" s="16" t="s">
        <v>4570</v>
      </c>
      <c r="M2919" s="162" t="s">
        <v>230</v>
      </c>
      <c r="N2919" s="15" t="s">
        <v>521</v>
      </c>
      <c r="O2919" s="6" t="s">
        <v>4568</v>
      </c>
      <c r="P2919" s="58" t="s">
        <v>241</v>
      </c>
      <c r="Q2919" s="6" t="s">
        <v>234</v>
      </c>
      <c r="R2919" s="1">
        <v>2</v>
      </c>
      <c r="S2919" s="59">
        <v>74667.08</v>
      </c>
      <c r="T2919" s="4">
        <v>0</v>
      </c>
      <c r="U2919" s="4">
        <f t="shared" si="73"/>
        <v>0</v>
      </c>
      <c r="V2919" s="1"/>
      <c r="W2919" s="3">
        <v>2014</v>
      </c>
      <c r="X2919" s="4">
        <v>12</v>
      </c>
    </row>
    <row r="2920" spans="1:24" ht="89.25">
      <c r="A2920" s="3" t="s">
        <v>12661</v>
      </c>
      <c r="B2920" s="6" t="s">
        <v>361</v>
      </c>
      <c r="C2920" s="42" t="s">
        <v>7658</v>
      </c>
      <c r="D2920" s="6" t="s">
        <v>7659</v>
      </c>
      <c r="E2920" s="6" t="s">
        <v>7660</v>
      </c>
      <c r="F2920" s="6" t="s">
        <v>7661</v>
      </c>
      <c r="G2920" s="6" t="s">
        <v>11450</v>
      </c>
      <c r="H2920" s="54">
        <v>0</v>
      </c>
      <c r="I2920" s="55">
        <v>470000000</v>
      </c>
      <c r="J2920" s="56" t="s">
        <v>229</v>
      </c>
      <c r="K2920" s="6" t="s">
        <v>519</v>
      </c>
      <c r="L2920" s="17" t="s">
        <v>11411</v>
      </c>
      <c r="M2920" s="162" t="s">
        <v>230</v>
      </c>
      <c r="N2920" s="15" t="s">
        <v>521</v>
      </c>
      <c r="O2920" s="6" t="s">
        <v>4568</v>
      </c>
      <c r="P2920" s="58" t="s">
        <v>241</v>
      </c>
      <c r="Q2920" s="6" t="s">
        <v>234</v>
      </c>
      <c r="R2920" s="1">
        <v>2</v>
      </c>
      <c r="S2920" s="59">
        <v>74667.08</v>
      </c>
      <c r="T2920" s="4">
        <v>0</v>
      </c>
      <c r="U2920" s="4">
        <f t="shared" si="73"/>
        <v>0</v>
      </c>
      <c r="V2920" s="1"/>
      <c r="W2920" s="3">
        <v>2014</v>
      </c>
      <c r="X2920" s="1">
        <v>11</v>
      </c>
    </row>
    <row r="2921" spans="1:24" ht="89.25">
      <c r="A2921" s="3" t="s">
        <v>15754</v>
      </c>
      <c r="B2921" s="6" t="s">
        <v>361</v>
      </c>
      <c r="C2921" s="42" t="s">
        <v>7658</v>
      </c>
      <c r="D2921" s="6" t="s">
        <v>7659</v>
      </c>
      <c r="E2921" s="6" t="s">
        <v>7660</v>
      </c>
      <c r="F2921" s="6" t="s">
        <v>7661</v>
      </c>
      <c r="G2921" s="6" t="s">
        <v>11450</v>
      </c>
      <c r="H2921" s="54">
        <v>0</v>
      </c>
      <c r="I2921" s="55">
        <v>470000000</v>
      </c>
      <c r="J2921" s="56" t="s">
        <v>229</v>
      </c>
      <c r="K2921" s="6" t="s">
        <v>15752</v>
      </c>
      <c r="L2921" s="17" t="s">
        <v>11411</v>
      </c>
      <c r="M2921" s="162" t="s">
        <v>230</v>
      </c>
      <c r="N2921" s="15" t="s">
        <v>521</v>
      </c>
      <c r="O2921" s="6" t="s">
        <v>4568</v>
      </c>
      <c r="P2921" s="58" t="s">
        <v>241</v>
      </c>
      <c r="Q2921" s="6" t="s">
        <v>234</v>
      </c>
      <c r="R2921" s="1">
        <v>2</v>
      </c>
      <c r="S2921" s="59">
        <v>74667.08</v>
      </c>
      <c r="T2921" s="4">
        <f>R2921*S2921</f>
        <v>149334.16</v>
      </c>
      <c r="U2921" s="4">
        <f t="shared" si="73"/>
        <v>167254.25920000003</v>
      </c>
      <c r="V2921" s="1"/>
      <c r="W2921" s="3">
        <v>2014</v>
      </c>
      <c r="X2921" s="1"/>
    </row>
    <row r="2922" spans="1:24" ht="89.25">
      <c r="A2922" s="3" t="s">
        <v>1569</v>
      </c>
      <c r="B2922" s="6" t="s">
        <v>361</v>
      </c>
      <c r="C2922" s="42" t="s">
        <v>7663</v>
      </c>
      <c r="D2922" s="6" t="s">
        <v>7664</v>
      </c>
      <c r="E2922" s="6" t="s">
        <v>7665</v>
      </c>
      <c r="F2922" s="6" t="s">
        <v>7662</v>
      </c>
      <c r="G2922" s="6" t="s">
        <v>11450</v>
      </c>
      <c r="H2922" s="54">
        <v>0</v>
      </c>
      <c r="I2922" s="55">
        <v>470000000</v>
      </c>
      <c r="J2922" s="56" t="s">
        <v>229</v>
      </c>
      <c r="K2922" s="6" t="s">
        <v>519</v>
      </c>
      <c r="L2922" s="16" t="s">
        <v>4570</v>
      </c>
      <c r="M2922" s="162" t="s">
        <v>230</v>
      </c>
      <c r="N2922" s="15" t="s">
        <v>521</v>
      </c>
      <c r="O2922" s="6" t="s">
        <v>4568</v>
      </c>
      <c r="P2922" s="58" t="s">
        <v>242</v>
      </c>
      <c r="Q2922" s="6" t="s">
        <v>239</v>
      </c>
      <c r="R2922" s="1">
        <v>10</v>
      </c>
      <c r="S2922" s="59">
        <v>1194380</v>
      </c>
      <c r="T2922" s="4">
        <v>0</v>
      </c>
      <c r="U2922" s="4">
        <f t="shared" si="73"/>
        <v>0</v>
      </c>
      <c r="V2922" s="1"/>
      <c r="W2922" s="3">
        <v>2014</v>
      </c>
      <c r="X2922" s="1" t="s">
        <v>12648</v>
      </c>
    </row>
    <row r="2923" spans="1:24" ht="89.25">
      <c r="A2923" s="3" t="s">
        <v>12647</v>
      </c>
      <c r="B2923" s="6" t="s">
        <v>361</v>
      </c>
      <c r="C2923" s="42" t="s">
        <v>7663</v>
      </c>
      <c r="D2923" s="6" t="s">
        <v>7664</v>
      </c>
      <c r="E2923" s="6" t="s">
        <v>7665</v>
      </c>
      <c r="F2923" s="6" t="s">
        <v>7662</v>
      </c>
      <c r="G2923" s="6" t="s">
        <v>11449</v>
      </c>
      <c r="H2923" s="54">
        <v>0</v>
      </c>
      <c r="I2923" s="55">
        <v>470000000</v>
      </c>
      <c r="J2923" s="56" t="s">
        <v>229</v>
      </c>
      <c r="K2923" s="6" t="s">
        <v>519</v>
      </c>
      <c r="L2923" s="17" t="s">
        <v>11411</v>
      </c>
      <c r="M2923" s="162" t="s">
        <v>230</v>
      </c>
      <c r="N2923" s="15" t="s">
        <v>524</v>
      </c>
      <c r="O2923" s="6" t="s">
        <v>4568</v>
      </c>
      <c r="P2923" s="58" t="s">
        <v>242</v>
      </c>
      <c r="Q2923" s="6" t="s">
        <v>239</v>
      </c>
      <c r="R2923" s="1">
        <v>10</v>
      </c>
      <c r="S2923" s="59">
        <v>1194380</v>
      </c>
      <c r="T2923" s="4">
        <v>0</v>
      </c>
      <c r="U2923" s="4">
        <f t="shared" si="73"/>
        <v>0</v>
      </c>
      <c r="V2923" s="1"/>
      <c r="W2923" s="3">
        <v>2014</v>
      </c>
      <c r="X2923" s="58">
        <v>11</v>
      </c>
    </row>
    <row r="2924" spans="1:24" ht="89.25">
      <c r="A2924" s="3" t="s">
        <v>15755</v>
      </c>
      <c r="B2924" s="6" t="s">
        <v>361</v>
      </c>
      <c r="C2924" s="42" t="s">
        <v>7663</v>
      </c>
      <c r="D2924" s="6" t="s">
        <v>7664</v>
      </c>
      <c r="E2924" s="6" t="s">
        <v>7665</v>
      </c>
      <c r="F2924" s="6" t="s">
        <v>7662</v>
      </c>
      <c r="G2924" s="6" t="s">
        <v>11449</v>
      </c>
      <c r="H2924" s="54">
        <v>0</v>
      </c>
      <c r="I2924" s="55">
        <v>470000000</v>
      </c>
      <c r="J2924" s="56" t="s">
        <v>229</v>
      </c>
      <c r="K2924" s="6" t="s">
        <v>15756</v>
      </c>
      <c r="L2924" s="17" t="s">
        <v>11411</v>
      </c>
      <c r="M2924" s="162" t="s">
        <v>230</v>
      </c>
      <c r="N2924" s="15" t="s">
        <v>524</v>
      </c>
      <c r="O2924" s="6" t="s">
        <v>4568</v>
      </c>
      <c r="P2924" s="58" t="s">
        <v>242</v>
      </c>
      <c r="Q2924" s="6" t="s">
        <v>239</v>
      </c>
      <c r="R2924" s="1">
        <v>10</v>
      </c>
      <c r="S2924" s="59">
        <v>1194380</v>
      </c>
      <c r="T2924" s="4">
        <v>0</v>
      </c>
      <c r="U2924" s="4">
        <f>T2924*1.12</f>
        <v>0</v>
      </c>
      <c r="V2924" s="1"/>
      <c r="W2924" s="3">
        <v>2014</v>
      </c>
      <c r="X2924" s="58" t="s">
        <v>14230</v>
      </c>
    </row>
    <row r="2925" spans="1:24" ht="89.25">
      <c r="A2925" s="3" t="s">
        <v>19188</v>
      </c>
      <c r="B2925" s="6" t="s">
        <v>361</v>
      </c>
      <c r="C2925" s="42" t="s">
        <v>7663</v>
      </c>
      <c r="D2925" s="6" t="s">
        <v>7664</v>
      </c>
      <c r="E2925" s="6" t="s">
        <v>7665</v>
      </c>
      <c r="F2925" s="6" t="s">
        <v>7662</v>
      </c>
      <c r="G2925" s="6" t="s">
        <v>11449</v>
      </c>
      <c r="H2925" s="54">
        <v>0</v>
      </c>
      <c r="I2925" s="55">
        <v>470000000</v>
      </c>
      <c r="J2925" s="56" t="s">
        <v>229</v>
      </c>
      <c r="K2925" s="6" t="s">
        <v>15756</v>
      </c>
      <c r="L2925" s="17" t="s">
        <v>11411</v>
      </c>
      <c r="M2925" s="162" t="s">
        <v>230</v>
      </c>
      <c r="N2925" s="15" t="s">
        <v>524</v>
      </c>
      <c r="O2925" s="6" t="s">
        <v>4568</v>
      </c>
      <c r="P2925" s="58" t="s">
        <v>242</v>
      </c>
      <c r="Q2925" s="6" t="s">
        <v>239</v>
      </c>
      <c r="R2925" s="1">
        <v>10</v>
      </c>
      <c r="S2925" s="59">
        <v>1188430</v>
      </c>
      <c r="T2925" s="4">
        <f t="shared" ref="T2925" si="74">R2925*S2925</f>
        <v>11884300</v>
      </c>
      <c r="U2925" s="4">
        <f>T2925*1.12</f>
        <v>13310416.000000002</v>
      </c>
      <c r="V2925" s="1"/>
      <c r="W2925" s="3">
        <v>2014</v>
      </c>
      <c r="X2925" s="58"/>
    </row>
    <row r="2926" spans="1:24" ht="114.75">
      <c r="A2926" s="3" t="s">
        <v>1570</v>
      </c>
      <c r="B2926" s="6" t="s">
        <v>361</v>
      </c>
      <c r="C2926" s="6" t="s">
        <v>4112</v>
      </c>
      <c r="D2926" s="6" t="s">
        <v>454</v>
      </c>
      <c r="E2926" s="6" t="s">
        <v>4113</v>
      </c>
      <c r="F2926" s="53" t="s">
        <v>4111</v>
      </c>
      <c r="G2926" s="6" t="s">
        <v>11450</v>
      </c>
      <c r="H2926" s="54">
        <v>0</v>
      </c>
      <c r="I2926" s="55">
        <v>470000000</v>
      </c>
      <c r="J2926" s="56" t="s">
        <v>229</v>
      </c>
      <c r="K2926" s="57" t="s">
        <v>641</v>
      </c>
      <c r="L2926" s="57" t="s">
        <v>364</v>
      </c>
      <c r="M2926" s="3" t="s">
        <v>230</v>
      </c>
      <c r="N2926" s="52" t="s">
        <v>7694</v>
      </c>
      <c r="O2926" s="6" t="s">
        <v>365</v>
      </c>
      <c r="P2926" s="58" t="s">
        <v>241</v>
      </c>
      <c r="Q2926" s="6" t="s">
        <v>234</v>
      </c>
      <c r="R2926" s="22">
        <v>20</v>
      </c>
      <c r="S2926" s="106">
        <v>2300</v>
      </c>
      <c r="T2926" s="4">
        <f t="shared" ref="T2926:T2935" si="75">R2926*S2926</f>
        <v>46000</v>
      </c>
      <c r="U2926" s="4">
        <f t="shared" ref="U2926:U3070" si="76">T2926*1.12</f>
        <v>51520.000000000007</v>
      </c>
      <c r="V2926" s="1"/>
      <c r="W2926" s="3">
        <v>2014</v>
      </c>
      <c r="X2926" s="3"/>
    </row>
    <row r="2927" spans="1:24" ht="114.75">
      <c r="A2927" s="3" t="s">
        <v>1571</v>
      </c>
      <c r="B2927" s="6" t="s">
        <v>361</v>
      </c>
      <c r="C2927" s="6" t="s">
        <v>4114</v>
      </c>
      <c r="D2927" s="6" t="s">
        <v>454</v>
      </c>
      <c r="E2927" s="6" t="s">
        <v>4115</v>
      </c>
      <c r="F2927" s="6" t="s">
        <v>4107</v>
      </c>
      <c r="G2927" s="6" t="s">
        <v>11450</v>
      </c>
      <c r="H2927" s="54">
        <v>0</v>
      </c>
      <c r="I2927" s="55">
        <v>470000000</v>
      </c>
      <c r="J2927" s="56" t="s">
        <v>229</v>
      </c>
      <c r="K2927" s="57" t="s">
        <v>641</v>
      </c>
      <c r="L2927" s="57" t="s">
        <v>364</v>
      </c>
      <c r="M2927" s="3" t="s">
        <v>230</v>
      </c>
      <c r="N2927" s="52" t="s">
        <v>7693</v>
      </c>
      <c r="O2927" s="6" t="s">
        <v>365</v>
      </c>
      <c r="P2927" s="58" t="s">
        <v>241</v>
      </c>
      <c r="Q2927" s="6" t="s">
        <v>234</v>
      </c>
      <c r="R2927" s="22">
        <v>60</v>
      </c>
      <c r="S2927" s="106">
        <f>1920.8*1.1</f>
        <v>2112.88</v>
      </c>
      <c r="T2927" s="4">
        <v>0</v>
      </c>
      <c r="U2927" s="4">
        <f t="shared" si="76"/>
        <v>0</v>
      </c>
      <c r="V2927" s="1"/>
      <c r="W2927" s="3">
        <v>2014</v>
      </c>
      <c r="X2927" s="3" t="s">
        <v>14230</v>
      </c>
    </row>
    <row r="2928" spans="1:24" ht="114.75">
      <c r="A2928" s="3" t="s">
        <v>18315</v>
      </c>
      <c r="B2928" s="6" t="s">
        <v>361</v>
      </c>
      <c r="C2928" s="6" t="s">
        <v>4114</v>
      </c>
      <c r="D2928" s="6" t="s">
        <v>454</v>
      </c>
      <c r="E2928" s="6" t="s">
        <v>4115</v>
      </c>
      <c r="F2928" s="6" t="s">
        <v>4107</v>
      </c>
      <c r="G2928" s="6" t="s">
        <v>11450</v>
      </c>
      <c r="H2928" s="54">
        <v>0</v>
      </c>
      <c r="I2928" s="55">
        <v>470000000</v>
      </c>
      <c r="J2928" s="56" t="s">
        <v>229</v>
      </c>
      <c r="K2928" s="57" t="s">
        <v>641</v>
      </c>
      <c r="L2928" s="57" t="s">
        <v>364</v>
      </c>
      <c r="M2928" s="3" t="s">
        <v>230</v>
      </c>
      <c r="N2928" s="52" t="s">
        <v>7693</v>
      </c>
      <c r="O2928" s="6" t="s">
        <v>365</v>
      </c>
      <c r="P2928" s="58" t="s">
        <v>241</v>
      </c>
      <c r="Q2928" s="6" t="s">
        <v>234</v>
      </c>
      <c r="R2928" s="22">
        <v>60</v>
      </c>
      <c r="S2928" s="106">
        <v>1493.7893333300001</v>
      </c>
      <c r="T2928" s="4">
        <f t="shared" ref="T2928" si="77">R2928*S2928</f>
        <v>89627.359999799999</v>
      </c>
      <c r="U2928" s="4">
        <f t="shared" si="76"/>
        <v>100382.64319977601</v>
      </c>
      <c r="V2928" s="1"/>
      <c r="W2928" s="3">
        <v>2014</v>
      </c>
      <c r="X2928" s="3"/>
    </row>
    <row r="2929" spans="1:24" ht="114.75">
      <c r="A2929" s="3" t="s">
        <v>1572</v>
      </c>
      <c r="B2929" s="6" t="s">
        <v>361</v>
      </c>
      <c r="C2929" s="6" t="s">
        <v>11895</v>
      </c>
      <c r="D2929" s="6" t="s">
        <v>454</v>
      </c>
      <c r="E2929" s="6" t="s">
        <v>11894</v>
      </c>
      <c r="F2929" s="6" t="s">
        <v>11896</v>
      </c>
      <c r="G2929" s="6" t="s">
        <v>11450</v>
      </c>
      <c r="H2929" s="54">
        <v>0</v>
      </c>
      <c r="I2929" s="55">
        <v>470000000</v>
      </c>
      <c r="J2929" s="56" t="s">
        <v>229</v>
      </c>
      <c r="K2929" s="57" t="s">
        <v>641</v>
      </c>
      <c r="L2929" s="57" t="s">
        <v>364</v>
      </c>
      <c r="M2929" s="3" t="s">
        <v>230</v>
      </c>
      <c r="N2929" s="52" t="s">
        <v>7693</v>
      </c>
      <c r="O2929" s="6" t="s">
        <v>365</v>
      </c>
      <c r="P2929" s="58" t="s">
        <v>241</v>
      </c>
      <c r="Q2929" s="6" t="s">
        <v>234</v>
      </c>
      <c r="R2929" s="22">
        <v>80</v>
      </c>
      <c r="S2929" s="106">
        <f>1920.8*1.1</f>
        <v>2112.88</v>
      </c>
      <c r="T2929" s="4">
        <v>0</v>
      </c>
      <c r="U2929" s="4">
        <f t="shared" si="76"/>
        <v>0</v>
      </c>
      <c r="V2929" s="1"/>
      <c r="W2929" s="3">
        <v>2014</v>
      </c>
      <c r="X2929" s="3" t="s">
        <v>14230</v>
      </c>
    </row>
    <row r="2930" spans="1:24" ht="114.75">
      <c r="A2930" s="3" t="s">
        <v>18316</v>
      </c>
      <c r="B2930" s="6" t="s">
        <v>361</v>
      </c>
      <c r="C2930" s="6" t="s">
        <v>11895</v>
      </c>
      <c r="D2930" s="6" t="s">
        <v>454</v>
      </c>
      <c r="E2930" s="6" t="s">
        <v>11894</v>
      </c>
      <c r="F2930" s="6" t="s">
        <v>11896</v>
      </c>
      <c r="G2930" s="6" t="s">
        <v>11450</v>
      </c>
      <c r="H2930" s="54">
        <v>0</v>
      </c>
      <c r="I2930" s="55">
        <v>470000000</v>
      </c>
      <c r="J2930" s="56" t="s">
        <v>229</v>
      </c>
      <c r="K2930" s="57" t="s">
        <v>641</v>
      </c>
      <c r="L2930" s="57" t="s">
        <v>364</v>
      </c>
      <c r="M2930" s="3" t="s">
        <v>230</v>
      </c>
      <c r="N2930" s="52" t="s">
        <v>7693</v>
      </c>
      <c r="O2930" s="6" t="s">
        <v>365</v>
      </c>
      <c r="P2930" s="58" t="s">
        <v>241</v>
      </c>
      <c r="Q2930" s="6" t="s">
        <v>234</v>
      </c>
      <c r="R2930" s="22">
        <v>80</v>
      </c>
      <c r="S2930" s="106">
        <v>1866.7060000000001</v>
      </c>
      <c r="T2930" s="4">
        <f t="shared" ref="T2930" si="78">R2930*S2930</f>
        <v>149336.48000000001</v>
      </c>
      <c r="U2930" s="4">
        <f t="shared" si="76"/>
        <v>167256.85760000002</v>
      </c>
      <c r="V2930" s="1"/>
      <c r="W2930" s="3">
        <v>2014</v>
      </c>
      <c r="X2930" s="3"/>
    </row>
    <row r="2931" spans="1:24" ht="114.75">
      <c r="A2931" s="3" t="s">
        <v>1573</v>
      </c>
      <c r="B2931" s="6" t="s">
        <v>361</v>
      </c>
      <c r="C2931" s="6" t="s">
        <v>4116</v>
      </c>
      <c r="D2931" s="6" t="s">
        <v>454</v>
      </c>
      <c r="E2931" s="6" t="s">
        <v>4117</v>
      </c>
      <c r="F2931" s="6" t="s">
        <v>4108</v>
      </c>
      <c r="G2931" s="6" t="s">
        <v>11450</v>
      </c>
      <c r="H2931" s="54">
        <v>0</v>
      </c>
      <c r="I2931" s="55">
        <v>470000000</v>
      </c>
      <c r="J2931" s="56" t="s">
        <v>229</v>
      </c>
      <c r="K2931" s="57" t="s">
        <v>641</v>
      </c>
      <c r="L2931" s="57" t="s">
        <v>364</v>
      </c>
      <c r="M2931" s="3" t="s">
        <v>230</v>
      </c>
      <c r="N2931" s="52" t="s">
        <v>7693</v>
      </c>
      <c r="O2931" s="6" t="s">
        <v>365</v>
      </c>
      <c r="P2931" s="58" t="s">
        <v>241</v>
      </c>
      <c r="Q2931" s="6" t="s">
        <v>234</v>
      </c>
      <c r="R2931" s="22">
        <v>80</v>
      </c>
      <c r="S2931" s="106">
        <v>1398.03</v>
      </c>
      <c r="T2931" s="4">
        <f t="shared" si="75"/>
        <v>111842.4</v>
      </c>
      <c r="U2931" s="4">
        <f t="shared" si="76"/>
        <v>125263.48800000001</v>
      </c>
      <c r="V2931" s="1"/>
      <c r="W2931" s="3">
        <v>2014</v>
      </c>
      <c r="X2931" s="3"/>
    </row>
    <row r="2932" spans="1:24" ht="114.75">
      <c r="A2932" s="3" t="s">
        <v>1574</v>
      </c>
      <c r="B2932" s="6" t="s">
        <v>361</v>
      </c>
      <c r="C2932" s="6" t="s">
        <v>4118</v>
      </c>
      <c r="D2932" s="6" t="s">
        <v>454</v>
      </c>
      <c r="E2932" s="6" t="s">
        <v>4119</v>
      </c>
      <c r="F2932" s="6" t="s">
        <v>4109</v>
      </c>
      <c r="G2932" s="6" t="s">
        <v>11450</v>
      </c>
      <c r="H2932" s="54">
        <v>0</v>
      </c>
      <c r="I2932" s="55">
        <v>470000000</v>
      </c>
      <c r="J2932" s="56" t="s">
        <v>229</v>
      </c>
      <c r="K2932" s="57" t="s">
        <v>641</v>
      </c>
      <c r="L2932" s="57" t="s">
        <v>364</v>
      </c>
      <c r="M2932" s="3" t="s">
        <v>230</v>
      </c>
      <c r="N2932" s="52" t="s">
        <v>7693</v>
      </c>
      <c r="O2932" s="6" t="s">
        <v>365</v>
      </c>
      <c r="P2932" s="58" t="s">
        <v>241</v>
      </c>
      <c r="Q2932" s="6" t="s">
        <v>234</v>
      </c>
      <c r="R2932" s="22">
        <v>30</v>
      </c>
      <c r="S2932" s="106">
        <v>1070</v>
      </c>
      <c r="T2932" s="4">
        <f t="shared" si="75"/>
        <v>32100</v>
      </c>
      <c r="U2932" s="4">
        <f t="shared" si="76"/>
        <v>35952</v>
      </c>
      <c r="V2932" s="1"/>
      <c r="W2932" s="3">
        <v>2014</v>
      </c>
      <c r="X2932" s="3"/>
    </row>
    <row r="2933" spans="1:24" ht="114.75">
      <c r="A2933" s="3" t="s">
        <v>1575</v>
      </c>
      <c r="B2933" s="6" t="s">
        <v>361</v>
      </c>
      <c r="C2933" s="6" t="s">
        <v>4120</v>
      </c>
      <c r="D2933" s="6" t="s">
        <v>454</v>
      </c>
      <c r="E2933" s="6" t="s">
        <v>4121</v>
      </c>
      <c r="F2933" s="6" t="s">
        <v>4110</v>
      </c>
      <c r="G2933" s="6" t="s">
        <v>11450</v>
      </c>
      <c r="H2933" s="54">
        <v>0</v>
      </c>
      <c r="I2933" s="55">
        <v>470000000</v>
      </c>
      <c r="J2933" s="56" t="s">
        <v>229</v>
      </c>
      <c r="K2933" s="57" t="s">
        <v>641</v>
      </c>
      <c r="L2933" s="57" t="s">
        <v>364</v>
      </c>
      <c r="M2933" s="3" t="s">
        <v>230</v>
      </c>
      <c r="N2933" s="52" t="s">
        <v>7693</v>
      </c>
      <c r="O2933" s="6" t="s">
        <v>365</v>
      </c>
      <c r="P2933" s="58" t="s">
        <v>241</v>
      </c>
      <c r="Q2933" s="6" t="s">
        <v>234</v>
      </c>
      <c r="R2933" s="22">
        <v>30</v>
      </c>
      <c r="S2933" s="106">
        <v>1398.03</v>
      </c>
      <c r="T2933" s="4">
        <f t="shared" si="75"/>
        <v>41940.9</v>
      </c>
      <c r="U2933" s="4">
        <f t="shared" si="76"/>
        <v>46973.808000000005</v>
      </c>
      <c r="V2933" s="1"/>
      <c r="W2933" s="3">
        <v>2014</v>
      </c>
      <c r="X2933" s="3"/>
    </row>
    <row r="2934" spans="1:24" ht="114.75">
      <c r="A2934" s="3" t="s">
        <v>1576</v>
      </c>
      <c r="B2934" s="6" t="s">
        <v>361</v>
      </c>
      <c r="C2934" s="6" t="s">
        <v>4124</v>
      </c>
      <c r="D2934" s="6" t="s">
        <v>454</v>
      </c>
      <c r="E2934" s="6" t="s">
        <v>4125</v>
      </c>
      <c r="F2934" s="53" t="s">
        <v>4122</v>
      </c>
      <c r="G2934" s="6" t="s">
        <v>11450</v>
      </c>
      <c r="H2934" s="54">
        <v>0</v>
      </c>
      <c r="I2934" s="55">
        <v>470000000</v>
      </c>
      <c r="J2934" s="56" t="s">
        <v>229</v>
      </c>
      <c r="K2934" s="57" t="s">
        <v>641</v>
      </c>
      <c r="L2934" s="57" t="s">
        <v>364</v>
      </c>
      <c r="M2934" s="3" t="s">
        <v>230</v>
      </c>
      <c r="N2934" s="52" t="s">
        <v>7693</v>
      </c>
      <c r="O2934" s="6" t="s">
        <v>365</v>
      </c>
      <c r="P2934" s="58" t="s">
        <v>241</v>
      </c>
      <c r="Q2934" s="6" t="s">
        <v>234</v>
      </c>
      <c r="R2934" s="22">
        <v>10</v>
      </c>
      <c r="S2934" s="59">
        <v>8700</v>
      </c>
      <c r="T2934" s="4">
        <f t="shared" si="75"/>
        <v>87000</v>
      </c>
      <c r="U2934" s="4">
        <f t="shared" si="76"/>
        <v>97440.000000000015</v>
      </c>
      <c r="V2934" s="1"/>
      <c r="W2934" s="3">
        <v>2014</v>
      </c>
      <c r="X2934" s="3"/>
    </row>
    <row r="2935" spans="1:24" ht="114.75">
      <c r="A2935" s="3" t="s">
        <v>1577</v>
      </c>
      <c r="B2935" s="6" t="s">
        <v>361</v>
      </c>
      <c r="C2935" s="6" t="s">
        <v>4126</v>
      </c>
      <c r="D2935" s="6" t="s">
        <v>4127</v>
      </c>
      <c r="E2935" s="6" t="s">
        <v>4128</v>
      </c>
      <c r="F2935" s="107" t="s">
        <v>4123</v>
      </c>
      <c r="G2935" s="6" t="s">
        <v>11450</v>
      </c>
      <c r="H2935" s="54">
        <v>0</v>
      </c>
      <c r="I2935" s="55">
        <v>470000000</v>
      </c>
      <c r="J2935" s="56" t="s">
        <v>229</v>
      </c>
      <c r="K2935" s="57" t="s">
        <v>641</v>
      </c>
      <c r="L2935" s="57" t="s">
        <v>364</v>
      </c>
      <c r="M2935" s="3" t="s">
        <v>230</v>
      </c>
      <c r="N2935" s="52" t="s">
        <v>7693</v>
      </c>
      <c r="O2935" s="6" t="s">
        <v>365</v>
      </c>
      <c r="P2935" s="58" t="s">
        <v>241</v>
      </c>
      <c r="Q2935" s="6" t="s">
        <v>234</v>
      </c>
      <c r="R2935" s="108">
        <v>55</v>
      </c>
      <c r="S2935" s="106">
        <v>39000</v>
      </c>
      <c r="T2935" s="4">
        <f t="shared" si="75"/>
        <v>2145000</v>
      </c>
      <c r="U2935" s="4">
        <f t="shared" si="76"/>
        <v>2402400</v>
      </c>
      <c r="V2935" s="1"/>
      <c r="W2935" s="3">
        <v>2014</v>
      </c>
      <c r="X2935" s="3"/>
    </row>
    <row r="2936" spans="1:24" ht="114.75">
      <c r="A2936" s="3" t="s">
        <v>1578</v>
      </c>
      <c r="B2936" s="6" t="s">
        <v>361</v>
      </c>
      <c r="C2936" s="6" t="s">
        <v>4132</v>
      </c>
      <c r="D2936" s="6" t="s">
        <v>343</v>
      </c>
      <c r="E2936" s="6" t="s">
        <v>4131</v>
      </c>
      <c r="F2936" s="53" t="s">
        <v>4129</v>
      </c>
      <c r="G2936" s="6" t="s">
        <v>11450</v>
      </c>
      <c r="H2936" s="54">
        <v>0</v>
      </c>
      <c r="I2936" s="55">
        <v>470000000</v>
      </c>
      <c r="J2936" s="56" t="s">
        <v>229</v>
      </c>
      <c r="K2936" s="57" t="s">
        <v>641</v>
      </c>
      <c r="L2936" s="17" t="s">
        <v>11411</v>
      </c>
      <c r="M2936" s="3" t="s">
        <v>230</v>
      </c>
      <c r="N2936" s="52" t="s">
        <v>7694</v>
      </c>
      <c r="O2936" s="6" t="s">
        <v>365</v>
      </c>
      <c r="P2936" s="58" t="s">
        <v>235</v>
      </c>
      <c r="Q2936" s="6" t="s">
        <v>367</v>
      </c>
      <c r="R2936" s="22">
        <v>0.5</v>
      </c>
      <c r="S2936" s="106">
        <v>973500</v>
      </c>
      <c r="T2936" s="4">
        <v>0</v>
      </c>
      <c r="U2936" s="4">
        <f t="shared" si="76"/>
        <v>0</v>
      </c>
      <c r="V2936" s="1"/>
      <c r="W2936" s="3">
        <v>2014</v>
      </c>
      <c r="X2936" s="3">
        <v>11</v>
      </c>
    </row>
    <row r="2937" spans="1:24" ht="114.75">
      <c r="A2937" s="3" t="s">
        <v>12260</v>
      </c>
      <c r="B2937" s="6" t="s">
        <v>361</v>
      </c>
      <c r="C2937" s="6" t="s">
        <v>4132</v>
      </c>
      <c r="D2937" s="6" t="s">
        <v>343</v>
      </c>
      <c r="E2937" s="6" t="s">
        <v>4131</v>
      </c>
      <c r="F2937" s="53" t="s">
        <v>4129</v>
      </c>
      <c r="G2937" s="6" t="s">
        <v>11450</v>
      </c>
      <c r="H2937" s="54">
        <v>0</v>
      </c>
      <c r="I2937" s="55">
        <v>470000000</v>
      </c>
      <c r="J2937" s="56" t="s">
        <v>229</v>
      </c>
      <c r="K2937" s="57" t="s">
        <v>633</v>
      </c>
      <c r="L2937" s="17" t="s">
        <v>11411</v>
      </c>
      <c r="M2937" s="3" t="s">
        <v>230</v>
      </c>
      <c r="N2937" s="52" t="s">
        <v>7694</v>
      </c>
      <c r="O2937" s="6" t="s">
        <v>365</v>
      </c>
      <c r="P2937" s="58" t="s">
        <v>235</v>
      </c>
      <c r="Q2937" s="6" t="s">
        <v>367</v>
      </c>
      <c r="R2937" s="22">
        <v>0.5</v>
      </c>
      <c r="S2937" s="106">
        <v>973500</v>
      </c>
      <c r="T2937" s="4">
        <f>R2937*S2937</f>
        <v>486750</v>
      </c>
      <c r="U2937" s="4">
        <f>T2937*1.12</f>
        <v>545160</v>
      </c>
      <c r="V2937" s="1"/>
      <c r="W2937" s="3">
        <v>2014</v>
      </c>
      <c r="X2937" s="3"/>
    </row>
    <row r="2938" spans="1:24" ht="114.75">
      <c r="A2938" s="3" t="s">
        <v>1579</v>
      </c>
      <c r="B2938" s="6" t="s">
        <v>361</v>
      </c>
      <c r="C2938" s="6" t="s">
        <v>4133</v>
      </c>
      <c r="D2938" s="6" t="s">
        <v>343</v>
      </c>
      <c r="E2938" s="6" t="s">
        <v>4134</v>
      </c>
      <c r="F2938" s="53" t="s">
        <v>4130</v>
      </c>
      <c r="G2938" s="6" t="s">
        <v>11450</v>
      </c>
      <c r="H2938" s="54">
        <v>0</v>
      </c>
      <c r="I2938" s="55">
        <v>470000000</v>
      </c>
      <c r="J2938" s="56" t="s">
        <v>229</v>
      </c>
      <c r="K2938" s="57" t="s">
        <v>641</v>
      </c>
      <c r="L2938" s="17" t="s">
        <v>11411</v>
      </c>
      <c r="M2938" s="3" t="s">
        <v>230</v>
      </c>
      <c r="N2938" s="52" t="s">
        <v>7694</v>
      </c>
      <c r="O2938" s="6" t="s">
        <v>365</v>
      </c>
      <c r="P2938" s="58" t="s">
        <v>235</v>
      </c>
      <c r="Q2938" s="6" t="s">
        <v>367</v>
      </c>
      <c r="R2938" s="22">
        <v>1</v>
      </c>
      <c r="S2938" s="106">
        <f>1176*1000</f>
        <v>1176000</v>
      </c>
      <c r="T2938" s="4">
        <v>0</v>
      </c>
      <c r="U2938" s="4">
        <f t="shared" si="76"/>
        <v>0</v>
      </c>
      <c r="V2938" s="1"/>
      <c r="W2938" s="3">
        <v>2014</v>
      </c>
      <c r="X2938" s="3">
        <v>11</v>
      </c>
    </row>
    <row r="2939" spans="1:24" ht="114.75">
      <c r="A2939" s="3" t="s">
        <v>12261</v>
      </c>
      <c r="B2939" s="6" t="s">
        <v>361</v>
      </c>
      <c r="C2939" s="6" t="s">
        <v>4133</v>
      </c>
      <c r="D2939" s="6" t="s">
        <v>343</v>
      </c>
      <c r="E2939" s="6" t="s">
        <v>4134</v>
      </c>
      <c r="F2939" s="53" t="s">
        <v>4130</v>
      </c>
      <c r="G2939" s="6" t="s">
        <v>11450</v>
      </c>
      <c r="H2939" s="54">
        <v>0</v>
      </c>
      <c r="I2939" s="55">
        <v>470000000</v>
      </c>
      <c r="J2939" s="56" t="s">
        <v>229</v>
      </c>
      <c r="K2939" s="57" t="s">
        <v>633</v>
      </c>
      <c r="L2939" s="17" t="s">
        <v>11411</v>
      </c>
      <c r="M2939" s="3" t="s">
        <v>230</v>
      </c>
      <c r="N2939" s="52" t="s">
        <v>7694</v>
      </c>
      <c r="O2939" s="6" t="s">
        <v>365</v>
      </c>
      <c r="P2939" s="58" t="s">
        <v>235</v>
      </c>
      <c r="Q2939" s="6" t="s">
        <v>367</v>
      </c>
      <c r="R2939" s="22">
        <v>1</v>
      </c>
      <c r="S2939" s="106">
        <f>1176*1000</f>
        <v>1176000</v>
      </c>
      <c r="T2939" s="4">
        <f>R2939*S2939</f>
        <v>1176000</v>
      </c>
      <c r="U2939" s="4">
        <f>T2939*1.12</f>
        <v>1317120.0000000002</v>
      </c>
      <c r="V2939" s="1"/>
      <c r="W2939" s="3">
        <v>2014</v>
      </c>
      <c r="X2939" s="3"/>
    </row>
    <row r="2940" spans="1:24" ht="114.75">
      <c r="A2940" s="3" t="s">
        <v>1580</v>
      </c>
      <c r="B2940" s="6" t="s">
        <v>361</v>
      </c>
      <c r="C2940" s="6" t="s">
        <v>564</v>
      </c>
      <c r="D2940" s="6" t="s">
        <v>565</v>
      </c>
      <c r="E2940" s="6" t="s">
        <v>566</v>
      </c>
      <c r="F2940" s="109" t="s">
        <v>11772</v>
      </c>
      <c r="G2940" s="6" t="s">
        <v>11450</v>
      </c>
      <c r="H2940" s="54">
        <v>0</v>
      </c>
      <c r="I2940" s="55">
        <v>470000000</v>
      </c>
      <c r="J2940" s="56" t="s">
        <v>229</v>
      </c>
      <c r="K2940" s="57" t="s">
        <v>641</v>
      </c>
      <c r="L2940" s="57" t="s">
        <v>364</v>
      </c>
      <c r="M2940" s="3" t="s">
        <v>230</v>
      </c>
      <c r="N2940" s="52" t="s">
        <v>7693</v>
      </c>
      <c r="O2940" s="6" t="s">
        <v>365</v>
      </c>
      <c r="P2940" s="58" t="s">
        <v>241</v>
      </c>
      <c r="Q2940" s="6" t="s">
        <v>234</v>
      </c>
      <c r="R2940" s="22">
        <v>10</v>
      </c>
      <c r="S2940" s="106">
        <v>12474</v>
      </c>
      <c r="T2940" s="4">
        <v>0</v>
      </c>
      <c r="U2940" s="4">
        <f t="shared" si="76"/>
        <v>0</v>
      </c>
      <c r="V2940" s="1"/>
      <c r="W2940" s="3">
        <v>2014</v>
      </c>
      <c r="X2940" s="3"/>
    </row>
    <row r="2941" spans="1:24" ht="114.75">
      <c r="A2941" s="3" t="s">
        <v>12961</v>
      </c>
      <c r="B2941" s="6" t="s">
        <v>361</v>
      </c>
      <c r="C2941" s="6" t="s">
        <v>564</v>
      </c>
      <c r="D2941" s="6" t="s">
        <v>565</v>
      </c>
      <c r="E2941" s="6" t="s">
        <v>566</v>
      </c>
      <c r="F2941" s="109" t="s">
        <v>11772</v>
      </c>
      <c r="G2941" s="6" t="s">
        <v>11450</v>
      </c>
      <c r="H2941" s="54">
        <v>0</v>
      </c>
      <c r="I2941" s="55">
        <v>470000000</v>
      </c>
      <c r="J2941" s="56" t="s">
        <v>229</v>
      </c>
      <c r="K2941" s="57" t="s">
        <v>12962</v>
      </c>
      <c r="L2941" s="57" t="s">
        <v>364</v>
      </c>
      <c r="M2941" s="3" t="s">
        <v>230</v>
      </c>
      <c r="N2941" s="52" t="s">
        <v>7693</v>
      </c>
      <c r="O2941" s="6" t="s">
        <v>365</v>
      </c>
      <c r="P2941" s="58" t="s">
        <v>241</v>
      </c>
      <c r="Q2941" s="6" t="s">
        <v>234</v>
      </c>
      <c r="R2941" s="22">
        <v>10</v>
      </c>
      <c r="S2941" s="106">
        <v>12474</v>
      </c>
      <c r="T2941" s="4">
        <f t="shared" ref="T2941:T2950" si="79">R2941*S2941</f>
        <v>124740</v>
      </c>
      <c r="U2941" s="4">
        <f>T2941*1.12</f>
        <v>139708.80000000002</v>
      </c>
      <c r="V2941" s="1"/>
      <c r="W2941" s="3">
        <v>2014</v>
      </c>
      <c r="X2941" s="3"/>
    </row>
    <row r="2942" spans="1:24" ht="114.75">
      <c r="A2942" s="3" t="s">
        <v>1581</v>
      </c>
      <c r="B2942" s="6" t="s">
        <v>361</v>
      </c>
      <c r="C2942" s="44" t="s">
        <v>7695</v>
      </c>
      <c r="D2942" s="44" t="s">
        <v>7696</v>
      </c>
      <c r="E2942" s="49" t="s">
        <v>7697</v>
      </c>
      <c r="F2942" s="110" t="s">
        <v>7715</v>
      </c>
      <c r="G2942" s="6" t="s">
        <v>11450</v>
      </c>
      <c r="H2942" s="54">
        <v>0</v>
      </c>
      <c r="I2942" s="55">
        <v>470000000</v>
      </c>
      <c r="J2942" s="56" t="s">
        <v>229</v>
      </c>
      <c r="K2942" s="57" t="s">
        <v>641</v>
      </c>
      <c r="L2942" s="57" t="s">
        <v>364</v>
      </c>
      <c r="M2942" s="3" t="s">
        <v>230</v>
      </c>
      <c r="N2942" s="52" t="s">
        <v>7694</v>
      </c>
      <c r="O2942" s="6" t="s">
        <v>365</v>
      </c>
      <c r="P2942" s="58" t="s">
        <v>241</v>
      </c>
      <c r="Q2942" s="6" t="s">
        <v>234</v>
      </c>
      <c r="R2942" s="22">
        <v>2</v>
      </c>
      <c r="S2942" s="97">
        <v>218904.84</v>
      </c>
      <c r="T2942" s="4">
        <v>0</v>
      </c>
      <c r="U2942" s="4">
        <f t="shared" si="76"/>
        <v>0</v>
      </c>
      <c r="V2942" s="1"/>
      <c r="W2942" s="3">
        <v>2014</v>
      </c>
      <c r="X2942" s="3" t="s">
        <v>14785</v>
      </c>
    </row>
    <row r="2943" spans="1:24" ht="114.75">
      <c r="A2943" s="3" t="s">
        <v>16470</v>
      </c>
      <c r="B2943" s="6" t="s">
        <v>361</v>
      </c>
      <c r="C2943" s="44" t="s">
        <v>7695</v>
      </c>
      <c r="D2943" s="44" t="s">
        <v>7696</v>
      </c>
      <c r="E2943" s="49" t="s">
        <v>7697</v>
      </c>
      <c r="F2943" s="110" t="s">
        <v>7715</v>
      </c>
      <c r="G2943" s="3" t="s">
        <v>11450</v>
      </c>
      <c r="H2943" s="54">
        <v>0</v>
      </c>
      <c r="I2943" s="55">
        <v>470000000</v>
      </c>
      <c r="J2943" s="56" t="s">
        <v>229</v>
      </c>
      <c r="K2943" s="57" t="s">
        <v>10120</v>
      </c>
      <c r="L2943" s="57" t="s">
        <v>364</v>
      </c>
      <c r="M2943" s="3" t="s">
        <v>230</v>
      </c>
      <c r="N2943" s="52" t="s">
        <v>7694</v>
      </c>
      <c r="O2943" s="6" t="s">
        <v>365</v>
      </c>
      <c r="P2943" s="58" t="s">
        <v>241</v>
      </c>
      <c r="Q2943" s="6" t="s">
        <v>234</v>
      </c>
      <c r="R2943" s="22">
        <v>2</v>
      </c>
      <c r="S2943" s="97">
        <v>262685.80799999996</v>
      </c>
      <c r="T2943" s="4">
        <f t="shared" ref="T2943" si="80">R2943*S2943</f>
        <v>525371.61599999992</v>
      </c>
      <c r="U2943" s="4">
        <f t="shared" si="76"/>
        <v>588416.20991999994</v>
      </c>
      <c r="V2943" s="1"/>
      <c r="W2943" s="3">
        <v>2014</v>
      </c>
      <c r="X2943" s="3"/>
    </row>
    <row r="2944" spans="1:24" ht="114.75">
      <c r="A2944" s="3" t="s">
        <v>1582</v>
      </c>
      <c r="B2944" s="6" t="s">
        <v>361</v>
      </c>
      <c r="C2944" s="6" t="s">
        <v>4135</v>
      </c>
      <c r="D2944" s="6" t="s">
        <v>4136</v>
      </c>
      <c r="E2944" s="6" t="s">
        <v>4137</v>
      </c>
      <c r="F2944" s="110" t="s">
        <v>7716</v>
      </c>
      <c r="G2944" s="6" t="s">
        <v>11450</v>
      </c>
      <c r="H2944" s="54">
        <v>0</v>
      </c>
      <c r="I2944" s="55">
        <v>470000000</v>
      </c>
      <c r="J2944" s="56" t="s">
        <v>229</v>
      </c>
      <c r="K2944" s="57" t="s">
        <v>641</v>
      </c>
      <c r="L2944" s="57" t="s">
        <v>364</v>
      </c>
      <c r="M2944" s="3" t="s">
        <v>230</v>
      </c>
      <c r="N2944" s="52" t="s">
        <v>7694</v>
      </c>
      <c r="O2944" s="6" t="s">
        <v>365</v>
      </c>
      <c r="P2944" s="58" t="s">
        <v>241</v>
      </c>
      <c r="Q2944" s="6" t="s">
        <v>234</v>
      </c>
      <c r="R2944" s="22">
        <v>2</v>
      </c>
      <c r="S2944" s="97">
        <v>295773.94</v>
      </c>
      <c r="T2944" s="4">
        <v>0</v>
      </c>
      <c r="U2944" s="4">
        <f t="shared" si="76"/>
        <v>0</v>
      </c>
      <c r="V2944" s="1"/>
      <c r="W2944" s="3">
        <v>2014</v>
      </c>
      <c r="X2944" s="3" t="s">
        <v>14785</v>
      </c>
    </row>
    <row r="2945" spans="1:24" ht="114.75">
      <c r="A2945" s="3" t="s">
        <v>16471</v>
      </c>
      <c r="B2945" s="6" t="s">
        <v>361</v>
      </c>
      <c r="C2945" s="6" t="s">
        <v>4135</v>
      </c>
      <c r="D2945" s="6" t="s">
        <v>4136</v>
      </c>
      <c r="E2945" s="6" t="s">
        <v>4137</v>
      </c>
      <c r="F2945" s="110" t="s">
        <v>7716</v>
      </c>
      <c r="G2945" s="3" t="s">
        <v>11450</v>
      </c>
      <c r="H2945" s="54">
        <v>0</v>
      </c>
      <c r="I2945" s="55">
        <v>470000000</v>
      </c>
      <c r="J2945" s="56" t="s">
        <v>229</v>
      </c>
      <c r="K2945" s="57" t="s">
        <v>10120</v>
      </c>
      <c r="L2945" s="57" t="s">
        <v>364</v>
      </c>
      <c r="M2945" s="3" t="s">
        <v>230</v>
      </c>
      <c r="N2945" s="52" t="s">
        <v>7694</v>
      </c>
      <c r="O2945" s="6" t="s">
        <v>365</v>
      </c>
      <c r="P2945" s="58" t="s">
        <v>241</v>
      </c>
      <c r="Q2945" s="6" t="s">
        <v>234</v>
      </c>
      <c r="R2945" s="22">
        <v>2</v>
      </c>
      <c r="S2945" s="97">
        <v>354928.728</v>
      </c>
      <c r="T2945" s="4">
        <v>0</v>
      </c>
      <c r="U2945" s="4">
        <f t="shared" si="76"/>
        <v>0</v>
      </c>
      <c r="V2945" s="1"/>
      <c r="W2945" s="3">
        <v>2014</v>
      </c>
      <c r="X2945" s="3">
        <v>11.14</v>
      </c>
    </row>
    <row r="2946" spans="1:24" ht="114.75">
      <c r="A2946" s="3" t="s">
        <v>18973</v>
      </c>
      <c r="B2946" s="6" t="s">
        <v>361</v>
      </c>
      <c r="C2946" s="6" t="s">
        <v>4135</v>
      </c>
      <c r="D2946" s="6" t="s">
        <v>4136</v>
      </c>
      <c r="E2946" s="6" t="s">
        <v>4137</v>
      </c>
      <c r="F2946" s="110" t="s">
        <v>7716</v>
      </c>
      <c r="G2946" s="3" t="s">
        <v>11450</v>
      </c>
      <c r="H2946" s="54">
        <v>0</v>
      </c>
      <c r="I2946" s="55">
        <v>470000000</v>
      </c>
      <c r="J2946" s="56" t="s">
        <v>229</v>
      </c>
      <c r="K2946" s="57" t="s">
        <v>18437</v>
      </c>
      <c r="L2946" s="57" t="s">
        <v>364</v>
      </c>
      <c r="M2946" s="3" t="s">
        <v>230</v>
      </c>
      <c r="N2946" s="52" t="s">
        <v>16511</v>
      </c>
      <c r="O2946" s="6" t="s">
        <v>365</v>
      </c>
      <c r="P2946" s="58" t="s">
        <v>241</v>
      </c>
      <c r="Q2946" s="6" t="s">
        <v>234</v>
      </c>
      <c r="R2946" s="22">
        <v>2</v>
      </c>
      <c r="S2946" s="97">
        <v>354928.728</v>
      </c>
      <c r="T2946" s="4">
        <v>0</v>
      </c>
      <c r="U2946" s="4">
        <f t="shared" si="76"/>
        <v>0</v>
      </c>
      <c r="V2946" s="1"/>
      <c r="W2946" s="3">
        <v>2014</v>
      </c>
      <c r="X2946" s="3">
        <v>11.15</v>
      </c>
    </row>
    <row r="2947" spans="1:24" ht="76.5">
      <c r="A2947" s="3" t="s">
        <v>19417</v>
      </c>
      <c r="B2947" s="6" t="s">
        <v>361</v>
      </c>
      <c r="C2947" s="6" t="s">
        <v>4135</v>
      </c>
      <c r="D2947" s="6" t="s">
        <v>4136</v>
      </c>
      <c r="E2947" s="6" t="s">
        <v>4137</v>
      </c>
      <c r="F2947" s="110" t="s">
        <v>7716</v>
      </c>
      <c r="G2947" s="3" t="s">
        <v>11450</v>
      </c>
      <c r="H2947" s="54">
        <v>0</v>
      </c>
      <c r="I2947" s="55">
        <v>470000000</v>
      </c>
      <c r="J2947" s="56" t="s">
        <v>229</v>
      </c>
      <c r="K2947" s="57" t="s">
        <v>19379</v>
      </c>
      <c r="L2947" s="57" t="s">
        <v>364</v>
      </c>
      <c r="M2947" s="3" t="s">
        <v>230</v>
      </c>
      <c r="N2947" s="52" t="s">
        <v>16511</v>
      </c>
      <c r="O2947" s="6" t="s">
        <v>19407</v>
      </c>
      <c r="P2947" s="58" t="s">
        <v>241</v>
      </c>
      <c r="Q2947" s="6" t="s">
        <v>234</v>
      </c>
      <c r="R2947" s="22">
        <v>2</v>
      </c>
      <c r="S2947" s="97">
        <v>354928.728</v>
      </c>
      <c r="T2947" s="4">
        <f t="shared" ref="T2947" si="81">R2947*S2947</f>
        <v>709857.45600000001</v>
      </c>
      <c r="U2947" s="4">
        <f t="shared" ref="U2947" si="82">T2947*1.12</f>
        <v>795040.3507200001</v>
      </c>
      <c r="V2947" s="1"/>
      <c r="W2947" s="3">
        <v>2014</v>
      </c>
      <c r="X2947" s="3"/>
    </row>
    <row r="2948" spans="1:24" ht="114.75">
      <c r="A2948" s="3" t="s">
        <v>1583</v>
      </c>
      <c r="B2948" s="6" t="s">
        <v>361</v>
      </c>
      <c r="C2948" s="6" t="s">
        <v>4138</v>
      </c>
      <c r="D2948" s="6" t="s">
        <v>368</v>
      </c>
      <c r="E2948" s="6" t="s">
        <v>4139</v>
      </c>
      <c r="F2948" s="110" t="s">
        <v>7717</v>
      </c>
      <c r="G2948" s="6" t="s">
        <v>11450</v>
      </c>
      <c r="H2948" s="54">
        <v>0</v>
      </c>
      <c r="I2948" s="55">
        <v>470000000</v>
      </c>
      <c r="J2948" s="56" t="s">
        <v>229</v>
      </c>
      <c r="K2948" s="57" t="s">
        <v>641</v>
      </c>
      <c r="L2948" s="57" t="s">
        <v>364</v>
      </c>
      <c r="M2948" s="3" t="s">
        <v>230</v>
      </c>
      <c r="N2948" s="52" t="s">
        <v>7693</v>
      </c>
      <c r="O2948" s="6" t="s">
        <v>365</v>
      </c>
      <c r="P2948" s="58" t="s">
        <v>241</v>
      </c>
      <c r="Q2948" s="6" t="s">
        <v>234</v>
      </c>
      <c r="R2948" s="22">
        <v>100</v>
      </c>
      <c r="S2948" s="59">
        <v>1707.4090000000001</v>
      </c>
      <c r="T2948" s="4">
        <f t="shared" si="79"/>
        <v>170740.90000000002</v>
      </c>
      <c r="U2948" s="4">
        <f t="shared" si="76"/>
        <v>191229.80800000005</v>
      </c>
      <c r="V2948" s="1"/>
      <c r="W2948" s="3">
        <v>2014</v>
      </c>
      <c r="X2948" s="3"/>
    </row>
    <row r="2949" spans="1:24" ht="114.75">
      <c r="A2949" s="3" t="s">
        <v>1584</v>
      </c>
      <c r="B2949" s="6" t="s">
        <v>361</v>
      </c>
      <c r="C2949" s="6" t="s">
        <v>4140</v>
      </c>
      <c r="D2949" s="6" t="s">
        <v>368</v>
      </c>
      <c r="E2949" s="6" t="s">
        <v>4141</v>
      </c>
      <c r="F2949" s="111" t="s">
        <v>7718</v>
      </c>
      <c r="G2949" s="6" t="s">
        <v>11450</v>
      </c>
      <c r="H2949" s="54">
        <v>0</v>
      </c>
      <c r="I2949" s="55">
        <v>470000000</v>
      </c>
      <c r="J2949" s="56" t="s">
        <v>229</v>
      </c>
      <c r="K2949" s="57" t="s">
        <v>641</v>
      </c>
      <c r="L2949" s="57" t="s">
        <v>364</v>
      </c>
      <c r="M2949" s="3" t="s">
        <v>230</v>
      </c>
      <c r="N2949" s="52" t="s">
        <v>7693</v>
      </c>
      <c r="O2949" s="6" t="s">
        <v>365</v>
      </c>
      <c r="P2949" s="58" t="s">
        <v>241</v>
      </c>
      <c r="Q2949" s="6" t="s">
        <v>234</v>
      </c>
      <c r="R2949" s="22">
        <v>20</v>
      </c>
      <c r="S2949" s="59">
        <v>789.36</v>
      </c>
      <c r="T2949" s="4">
        <f t="shared" si="79"/>
        <v>15787.2</v>
      </c>
      <c r="U2949" s="4">
        <f t="shared" si="76"/>
        <v>17681.664000000004</v>
      </c>
      <c r="V2949" s="1"/>
      <c r="W2949" s="3">
        <v>2014</v>
      </c>
      <c r="X2949" s="3"/>
    </row>
    <row r="2950" spans="1:24" ht="114.75">
      <c r="A2950" s="3" t="s">
        <v>1585</v>
      </c>
      <c r="B2950" s="6" t="s">
        <v>361</v>
      </c>
      <c r="C2950" s="6" t="s">
        <v>4142</v>
      </c>
      <c r="D2950" s="6" t="s">
        <v>368</v>
      </c>
      <c r="E2950" s="6" t="s">
        <v>4143</v>
      </c>
      <c r="F2950" s="111" t="s">
        <v>7719</v>
      </c>
      <c r="G2950" s="6" t="s">
        <v>11450</v>
      </c>
      <c r="H2950" s="54">
        <v>0</v>
      </c>
      <c r="I2950" s="55">
        <v>470000000</v>
      </c>
      <c r="J2950" s="56" t="s">
        <v>229</v>
      </c>
      <c r="K2950" s="57" t="s">
        <v>641</v>
      </c>
      <c r="L2950" s="57" t="s">
        <v>364</v>
      </c>
      <c r="M2950" s="3" t="s">
        <v>230</v>
      </c>
      <c r="N2950" s="52" t="s">
        <v>7693</v>
      </c>
      <c r="O2950" s="6" t="s">
        <v>365</v>
      </c>
      <c r="P2950" s="58" t="s">
        <v>241</v>
      </c>
      <c r="Q2950" s="6" t="s">
        <v>234</v>
      </c>
      <c r="R2950" s="108">
        <v>60</v>
      </c>
      <c r="S2950" s="59">
        <v>1191.96</v>
      </c>
      <c r="T2950" s="4">
        <f t="shared" si="79"/>
        <v>71517.600000000006</v>
      </c>
      <c r="U2950" s="4">
        <f t="shared" si="76"/>
        <v>80099.712000000014</v>
      </c>
      <c r="V2950" s="1"/>
      <c r="W2950" s="3">
        <v>2014</v>
      </c>
      <c r="X2950" s="3"/>
    </row>
    <row r="2951" spans="1:24" ht="114.75">
      <c r="A2951" s="3" t="s">
        <v>1586</v>
      </c>
      <c r="B2951" s="6" t="s">
        <v>361</v>
      </c>
      <c r="C2951" s="6" t="s">
        <v>4147</v>
      </c>
      <c r="D2951" s="6" t="s">
        <v>4148</v>
      </c>
      <c r="E2951" s="6" t="s">
        <v>4149</v>
      </c>
      <c r="F2951" s="53" t="s">
        <v>4144</v>
      </c>
      <c r="G2951" s="6" t="s">
        <v>11450</v>
      </c>
      <c r="H2951" s="54">
        <v>0</v>
      </c>
      <c r="I2951" s="55">
        <v>470000000</v>
      </c>
      <c r="J2951" s="56" t="s">
        <v>229</v>
      </c>
      <c r="K2951" s="57" t="s">
        <v>641</v>
      </c>
      <c r="L2951" s="57" t="s">
        <v>364</v>
      </c>
      <c r="M2951" s="3" t="s">
        <v>230</v>
      </c>
      <c r="N2951" s="52" t="s">
        <v>7693</v>
      </c>
      <c r="O2951" s="6" t="s">
        <v>365</v>
      </c>
      <c r="P2951" s="58" t="s">
        <v>237</v>
      </c>
      <c r="Q2951" s="6" t="s">
        <v>238</v>
      </c>
      <c r="R2951" s="22">
        <v>500</v>
      </c>
      <c r="S2951" s="59">
        <v>544.5</v>
      </c>
      <c r="T2951" s="4">
        <v>0</v>
      </c>
      <c r="U2951" s="4">
        <f t="shared" si="76"/>
        <v>0</v>
      </c>
      <c r="V2951" s="1"/>
      <c r="W2951" s="3">
        <v>2014</v>
      </c>
      <c r="X2951" s="3">
        <v>11.12</v>
      </c>
    </row>
    <row r="2952" spans="1:24" ht="114.75">
      <c r="A2952" s="3" t="s">
        <v>11918</v>
      </c>
      <c r="B2952" s="6" t="s">
        <v>361</v>
      </c>
      <c r="C2952" s="6" t="s">
        <v>4147</v>
      </c>
      <c r="D2952" s="6" t="s">
        <v>4148</v>
      </c>
      <c r="E2952" s="6" t="s">
        <v>4149</v>
      </c>
      <c r="F2952" s="53" t="s">
        <v>4144</v>
      </c>
      <c r="G2952" s="6" t="s">
        <v>11450</v>
      </c>
      <c r="H2952" s="54">
        <v>0</v>
      </c>
      <c r="I2952" s="55">
        <v>470000000</v>
      </c>
      <c r="J2952" s="56" t="s">
        <v>229</v>
      </c>
      <c r="K2952" s="57" t="s">
        <v>11919</v>
      </c>
      <c r="L2952" s="17" t="s">
        <v>11920</v>
      </c>
      <c r="M2952" s="3" t="s">
        <v>230</v>
      </c>
      <c r="N2952" s="52" t="s">
        <v>7693</v>
      </c>
      <c r="O2952" s="6" t="s">
        <v>365</v>
      </c>
      <c r="P2952" s="58" t="s">
        <v>237</v>
      </c>
      <c r="Q2952" s="6" t="s">
        <v>238</v>
      </c>
      <c r="R2952" s="22">
        <v>500</v>
      </c>
      <c r="S2952" s="59">
        <v>544.5</v>
      </c>
      <c r="T2952" s="4">
        <v>0</v>
      </c>
      <c r="U2952" s="4">
        <f>T2952*1.12</f>
        <v>0</v>
      </c>
      <c r="V2952" s="1"/>
      <c r="W2952" s="3">
        <v>2014</v>
      </c>
      <c r="X2952" s="3" t="s">
        <v>14785</v>
      </c>
    </row>
    <row r="2953" spans="1:24" ht="114.75">
      <c r="A2953" s="3" t="s">
        <v>16469</v>
      </c>
      <c r="B2953" s="6" t="s">
        <v>361</v>
      </c>
      <c r="C2953" s="6" t="s">
        <v>4147</v>
      </c>
      <c r="D2953" s="6" t="s">
        <v>4148</v>
      </c>
      <c r="E2953" s="6" t="s">
        <v>4149</v>
      </c>
      <c r="F2953" s="53" t="s">
        <v>4144</v>
      </c>
      <c r="G2953" s="3" t="s">
        <v>11450</v>
      </c>
      <c r="H2953" s="54">
        <v>0</v>
      </c>
      <c r="I2953" s="55">
        <v>470000000</v>
      </c>
      <c r="J2953" s="56" t="s">
        <v>229</v>
      </c>
      <c r="K2953" s="57" t="s">
        <v>10120</v>
      </c>
      <c r="L2953" s="17" t="s">
        <v>11920</v>
      </c>
      <c r="M2953" s="3" t="s">
        <v>230</v>
      </c>
      <c r="N2953" s="52" t="s">
        <v>7693</v>
      </c>
      <c r="O2953" s="6" t="s">
        <v>365</v>
      </c>
      <c r="P2953" s="58" t="s">
        <v>237</v>
      </c>
      <c r="Q2953" s="6" t="s">
        <v>238</v>
      </c>
      <c r="R2953" s="22">
        <v>500</v>
      </c>
      <c r="S2953" s="59">
        <v>653.4</v>
      </c>
      <c r="T2953" s="4">
        <f>R2953*S2953</f>
        <v>326700</v>
      </c>
      <c r="U2953" s="4">
        <f>T2953*1.12</f>
        <v>365904.00000000006</v>
      </c>
      <c r="V2953" s="1"/>
      <c r="W2953" s="3">
        <v>2014</v>
      </c>
      <c r="X2953" s="3"/>
    </row>
    <row r="2954" spans="1:24" ht="114.75">
      <c r="A2954" s="3" t="s">
        <v>1587</v>
      </c>
      <c r="B2954" s="6" t="s">
        <v>361</v>
      </c>
      <c r="C2954" s="6" t="s">
        <v>4150</v>
      </c>
      <c r="D2954" s="6" t="s">
        <v>4148</v>
      </c>
      <c r="E2954" s="6" t="s">
        <v>4151</v>
      </c>
      <c r="F2954" s="53" t="s">
        <v>4145</v>
      </c>
      <c r="G2954" s="6" t="s">
        <v>11450</v>
      </c>
      <c r="H2954" s="54">
        <v>0</v>
      </c>
      <c r="I2954" s="55">
        <v>470000000</v>
      </c>
      <c r="J2954" s="56" t="s">
        <v>229</v>
      </c>
      <c r="K2954" s="57" t="s">
        <v>641</v>
      </c>
      <c r="L2954" s="57" t="s">
        <v>364</v>
      </c>
      <c r="M2954" s="3" t="s">
        <v>230</v>
      </c>
      <c r="N2954" s="52" t="s">
        <v>7693</v>
      </c>
      <c r="O2954" s="6" t="s">
        <v>365</v>
      </c>
      <c r="P2954" s="58" t="s">
        <v>237</v>
      </c>
      <c r="Q2954" s="6" t="s">
        <v>238</v>
      </c>
      <c r="R2954" s="22">
        <v>1000</v>
      </c>
      <c r="S2954" s="59">
        <v>471.9</v>
      </c>
      <c r="T2954" s="4">
        <v>0</v>
      </c>
      <c r="U2954" s="4">
        <f t="shared" si="76"/>
        <v>0</v>
      </c>
      <c r="V2954" s="1"/>
      <c r="W2954" s="3">
        <v>2014</v>
      </c>
      <c r="X2954" s="3">
        <v>11.12</v>
      </c>
    </row>
    <row r="2955" spans="1:24" ht="114.75">
      <c r="A2955" s="3" t="s">
        <v>11921</v>
      </c>
      <c r="B2955" s="6" t="s">
        <v>361</v>
      </c>
      <c r="C2955" s="6" t="s">
        <v>4150</v>
      </c>
      <c r="D2955" s="6" t="s">
        <v>4148</v>
      </c>
      <c r="E2955" s="6" t="s">
        <v>4151</v>
      </c>
      <c r="F2955" s="53" t="s">
        <v>4145</v>
      </c>
      <c r="G2955" s="6" t="s">
        <v>11450</v>
      </c>
      <c r="H2955" s="54">
        <v>0</v>
      </c>
      <c r="I2955" s="55">
        <v>470000000</v>
      </c>
      <c r="J2955" s="56" t="s">
        <v>229</v>
      </c>
      <c r="K2955" s="57" t="s">
        <v>11919</v>
      </c>
      <c r="L2955" s="17" t="s">
        <v>11920</v>
      </c>
      <c r="M2955" s="3" t="s">
        <v>230</v>
      </c>
      <c r="N2955" s="52" t="s">
        <v>7693</v>
      </c>
      <c r="O2955" s="6" t="s">
        <v>365</v>
      </c>
      <c r="P2955" s="58" t="s">
        <v>237</v>
      </c>
      <c r="Q2955" s="6" t="s">
        <v>238</v>
      </c>
      <c r="R2955" s="22">
        <v>1000</v>
      </c>
      <c r="S2955" s="59">
        <v>471.9</v>
      </c>
      <c r="T2955" s="4">
        <v>0</v>
      </c>
      <c r="U2955" s="4">
        <f>T2955*1.12</f>
        <v>0</v>
      </c>
      <c r="V2955" s="1"/>
      <c r="W2955" s="3">
        <v>2014</v>
      </c>
      <c r="X2955" s="3" t="s">
        <v>14785</v>
      </c>
    </row>
    <row r="2956" spans="1:24" ht="114.75">
      <c r="A2956" s="3" t="s">
        <v>16472</v>
      </c>
      <c r="B2956" s="6" t="s">
        <v>361</v>
      </c>
      <c r="C2956" s="6" t="s">
        <v>4150</v>
      </c>
      <c r="D2956" s="6" t="s">
        <v>4148</v>
      </c>
      <c r="E2956" s="6" t="s">
        <v>4151</v>
      </c>
      <c r="F2956" s="53" t="s">
        <v>4145</v>
      </c>
      <c r="G2956" s="3" t="s">
        <v>11450</v>
      </c>
      <c r="H2956" s="54">
        <v>0</v>
      </c>
      <c r="I2956" s="55">
        <v>470000000</v>
      </c>
      <c r="J2956" s="56" t="s">
        <v>229</v>
      </c>
      <c r="K2956" s="57" t="s">
        <v>10120</v>
      </c>
      <c r="L2956" s="17" t="s">
        <v>11920</v>
      </c>
      <c r="M2956" s="3" t="s">
        <v>230</v>
      </c>
      <c r="N2956" s="52" t="s">
        <v>7693</v>
      </c>
      <c r="O2956" s="6" t="s">
        <v>365</v>
      </c>
      <c r="P2956" s="58" t="s">
        <v>237</v>
      </c>
      <c r="Q2956" s="6" t="s">
        <v>238</v>
      </c>
      <c r="R2956" s="22">
        <v>1000</v>
      </c>
      <c r="S2956" s="59">
        <v>566.28</v>
      </c>
      <c r="T2956" s="4">
        <f>R2956*S2956</f>
        <v>566280</v>
      </c>
      <c r="U2956" s="4">
        <f>T2956*1.12</f>
        <v>634233.60000000009</v>
      </c>
      <c r="V2956" s="1"/>
      <c r="W2956" s="3">
        <v>2014</v>
      </c>
      <c r="X2956" s="3"/>
    </row>
    <row r="2957" spans="1:24" ht="114.75">
      <c r="A2957" s="3" t="s">
        <v>1588</v>
      </c>
      <c r="B2957" s="6" t="s">
        <v>361</v>
      </c>
      <c r="C2957" s="6" t="s">
        <v>4152</v>
      </c>
      <c r="D2957" s="6" t="s">
        <v>4148</v>
      </c>
      <c r="E2957" s="6" t="s">
        <v>4153</v>
      </c>
      <c r="F2957" s="53" t="s">
        <v>4146</v>
      </c>
      <c r="G2957" s="6" t="s">
        <v>11450</v>
      </c>
      <c r="H2957" s="54">
        <v>0</v>
      </c>
      <c r="I2957" s="55">
        <v>470000000</v>
      </c>
      <c r="J2957" s="56" t="s">
        <v>229</v>
      </c>
      <c r="K2957" s="57" t="s">
        <v>641</v>
      </c>
      <c r="L2957" s="57" t="s">
        <v>364</v>
      </c>
      <c r="M2957" s="3" t="s">
        <v>230</v>
      </c>
      <c r="N2957" s="52" t="s">
        <v>7693</v>
      </c>
      <c r="O2957" s="6" t="s">
        <v>365</v>
      </c>
      <c r="P2957" s="58" t="s">
        <v>237</v>
      </c>
      <c r="Q2957" s="6" t="s">
        <v>238</v>
      </c>
      <c r="R2957" s="22">
        <v>500</v>
      </c>
      <c r="S2957" s="59">
        <v>246</v>
      </c>
      <c r="T2957" s="4">
        <v>0</v>
      </c>
      <c r="U2957" s="4">
        <f t="shared" si="76"/>
        <v>0</v>
      </c>
      <c r="V2957" s="1"/>
      <c r="W2957" s="3">
        <v>2014</v>
      </c>
      <c r="X2957" s="3">
        <v>11.12</v>
      </c>
    </row>
    <row r="2958" spans="1:24" ht="114.75">
      <c r="A2958" s="3" t="s">
        <v>11922</v>
      </c>
      <c r="B2958" s="6" t="s">
        <v>361</v>
      </c>
      <c r="C2958" s="6" t="s">
        <v>4152</v>
      </c>
      <c r="D2958" s="6" t="s">
        <v>4148</v>
      </c>
      <c r="E2958" s="6" t="s">
        <v>4153</v>
      </c>
      <c r="F2958" s="53" t="s">
        <v>4146</v>
      </c>
      <c r="G2958" s="6" t="s">
        <v>11450</v>
      </c>
      <c r="H2958" s="54">
        <v>0</v>
      </c>
      <c r="I2958" s="55">
        <v>470000000</v>
      </c>
      <c r="J2958" s="56" t="s">
        <v>229</v>
      </c>
      <c r="K2958" s="57" t="s">
        <v>11919</v>
      </c>
      <c r="L2958" s="17" t="s">
        <v>11920</v>
      </c>
      <c r="M2958" s="3" t="s">
        <v>230</v>
      </c>
      <c r="N2958" s="52" t="s">
        <v>7693</v>
      </c>
      <c r="O2958" s="6" t="s">
        <v>365</v>
      </c>
      <c r="P2958" s="58" t="s">
        <v>237</v>
      </c>
      <c r="Q2958" s="6" t="s">
        <v>238</v>
      </c>
      <c r="R2958" s="22">
        <v>500</v>
      </c>
      <c r="S2958" s="59">
        <v>246</v>
      </c>
      <c r="T2958" s="4">
        <v>0</v>
      </c>
      <c r="U2958" s="4">
        <f>T2958*1.12</f>
        <v>0</v>
      </c>
      <c r="V2958" s="1"/>
      <c r="W2958" s="3">
        <v>2014</v>
      </c>
      <c r="X2958" s="3" t="s">
        <v>14785</v>
      </c>
    </row>
    <row r="2959" spans="1:24" ht="114.75">
      <c r="A2959" s="3" t="s">
        <v>16473</v>
      </c>
      <c r="B2959" s="6" t="s">
        <v>361</v>
      </c>
      <c r="C2959" s="6" t="s">
        <v>4152</v>
      </c>
      <c r="D2959" s="6" t="s">
        <v>4148</v>
      </c>
      <c r="E2959" s="6" t="s">
        <v>4153</v>
      </c>
      <c r="F2959" s="53" t="s">
        <v>4146</v>
      </c>
      <c r="G2959" s="3" t="s">
        <v>11450</v>
      </c>
      <c r="H2959" s="54">
        <v>0</v>
      </c>
      <c r="I2959" s="55">
        <v>470000000</v>
      </c>
      <c r="J2959" s="56" t="s">
        <v>229</v>
      </c>
      <c r="K2959" s="57" t="s">
        <v>10120</v>
      </c>
      <c r="L2959" s="17" t="s">
        <v>11920</v>
      </c>
      <c r="M2959" s="3" t="s">
        <v>230</v>
      </c>
      <c r="N2959" s="52" t="s">
        <v>7693</v>
      </c>
      <c r="O2959" s="6" t="s">
        <v>365</v>
      </c>
      <c r="P2959" s="58" t="s">
        <v>237</v>
      </c>
      <c r="Q2959" s="6" t="s">
        <v>238</v>
      </c>
      <c r="R2959" s="22">
        <v>500</v>
      </c>
      <c r="S2959" s="59">
        <v>295.2</v>
      </c>
      <c r="T2959" s="4">
        <f>R2959*S2959</f>
        <v>147600</v>
      </c>
      <c r="U2959" s="4">
        <f>T2959*1.12</f>
        <v>165312.00000000003</v>
      </c>
      <c r="V2959" s="1"/>
      <c r="W2959" s="3">
        <v>2014</v>
      </c>
      <c r="X2959" s="3"/>
    </row>
    <row r="2960" spans="1:24" ht="114.75">
      <c r="A2960" s="3" t="s">
        <v>1589</v>
      </c>
      <c r="B2960" s="6" t="s">
        <v>361</v>
      </c>
      <c r="C2960" s="6" t="s">
        <v>4881</v>
      </c>
      <c r="D2960" s="6" t="s">
        <v>4882</v>
      </c>
      <c r="E2960" s="6" t="s">
        <v>4883</v>
      </c>
      <c r="F2960" s="53" t="s">
        <v>4850</v>
      </c>
      <c r="G2960" s="6" t="s">
        <v>11450</v>
      </c>
      <c r="H2960" s="54">
        <v>0</v>
      </c>
      <c r="I2960" s="55">
        <v>470000000</v>
      </c>
      <c r="J2960" s="56" t="s">
        <v>229</v>
      </c>
      <c r="K2960" s="57" t="s">
        <v>641</v>
      </c>
      <c r="L2960" s="57" t="s">
        <v>364</v>
      </c>
      <c r="M2960" s="3" t="s">
        <v>230</v>
      </c>
      <c r="N2960" s="52" t="s">
        <v>7693</v>
      </c>
      <c r="O2960" s="6" t="s">
        <v>365</v>
      </c>
      <c r="P2960" s="58" t="s">
        <v>241</v>
      </c>
      <c r="Q2960" s="53" t="s">
        <v>234</v>
      </c>
      <c r="R2960" s="22">
        <v>8</v>
      </c>
      <c r="S2960" s="59">
        <v>5222.1499999999996</v>
      </c>
      <c r="T2960" s="4">
        <v>0</v>
      </c>
      <c r="U2960" s="4">
        <f t="shared" si="76"/>
        <v>0</v>
      </c>
      <c r="V2960" s="1"/>
      <c r="W2960" s="3">
        <v>2014</v>
      </c>
      <c r="X2960" s="3">
        <v>11.12</v>
      </c>
    </row>
    <row r="2961" spans="1:24" ht="114.75">
      <c r="A2961" s="3" t="s">
        <v>11923</v>
      </c>
      <c r="B2961" s="6" t="s">
        <v>361</v>
      </c>
      <c r="C2961" s="6" t="s">
        <v>4881</v>
      </c>
      <c r="D2961" s="6" t="s">
        <v>4882</v>
      </c>
      <c r="E2961" s="6" t="s">
        <v>4883</v>
      </c>
      <c r="F2961" s="53" t="s">
        <v>4850</v>
      </c>
      <c r="G2961" s="6" t="s">
        <v>11450</v>
      </c>
      <c r="H2961" s="54">
        <v>0</v>
      </c>
      <c r="I2961" s="55">
        <v>470000000</v>
      </c>
      <c r="J2961" s="56" t="s">
        <v>229</v>
      </c>
      <c r="K2961" s="57" t="s">
        <v>11919</v>
      </c>
      <c r="L2961" s="17" t="s">
        <v>11920</v>
      </c>
      <c r="M2961" s="3" t="s">
        <v>230</v>
      </c>
      <c r="N2961" s="52" t="s">
        <v>7693</v>
      </c>
      <c r="O2961" s="6" t="s">
        <v>365</v>
      </c>
      <c r="P2961" s="58" t="s">
        <v>241</v>
      </c>
      <c r="Q2961" s="53" t="s">
        <v>234</v>
      </c>
      <c r="R2961" s="22">
        <v>8</v>
      </c>
      <c r="S2961" s="59">
        <v>5222.1499999999996</v>
      </c>
      <c r="T2961" s="4">
        <v>0</v>
      </c>
      <c r="U2961" s="4">
        <f>T2961*1.12</f>
        <v>0</v>
      </c>
      <c r="V2961" s="1"/>
      <c r="W2961" s="3">
        <v>2014</v>
      </c>
      <c r="X2961" s="3" t="s">
        <v>14785</v>
      </c>
    </row>
    <row r="2962" spans="1:24" ht="114.75">
      <c r="A2962" s="3" t="s">
        <v>16474</v>
      </c>
      <c r="B2962" s="6" t="s">
        <v>361</v>
      </c>
      <c r="C2962" s="6" t="s">
        <v>4881</v>
      </c>
      <c r="D2962" s="6" t="s">
        <v>4882</v>
      </c>
      <c r="E2962" s="6" t="s">
        <v>4883</v>
      </c>
      <c r="F2962" s="53" t="s">
        <v>4850</v>
      </c>
      <c r="G2962" s="3" t="s">
        <v>11450</v>
      </c>
      <c r="H2962" s="54">
        <v>0</v>
      </c>
      <c r="I2962" s="55">
        <v>470000000</v>
      </c>
      <c r="J2962" s="56" t="s">
        <v>229</v>
      </c>
      <c r="K2962" s="57" t="s">
        <v>10120</v>
      </c>
      <c r="L2962" s="17" t="s">
        <v>11920</v>
      </c>
      <c r="M2962" s="3" t="s">
        <v>230</v>
      </c>
      <c r="N2962" s="52" t="s">
        <v>7693</v>
      </c>
      <c r="O2962" s="6" t="s">
        <v>365</v>
      </c>
      <c r="P2962" s="58" t="s">
        <v>241</v>
      </c>
      <c r="Q2962" s="53" t="s">
        <v>234</v>
      </c>
      <c r="R2962" s="22">
        <v>8</v>
      </c>
      <c r="S2962" s="59">
        <v>6266.579999999999</v>
      </c>
      <c r="T2962" s="4">
        <f>R2962*S2962</f>
        <v>50132.639999999992</v>
      </c>
      <c r="U2962" s="4">
        <f>T2962*1.12</f>
        <v>56148.556799999998</v>
      </c>
      <c r="V2962" s="1"/>
      <c r="W2962" s="3">
        <v>2014</v>
      </c>
      <c r="X2962" s="3"/>
    </row>
    <row r="2963" spans="1:24" ht="114.75">
      <c r="A2963" s="3" t="s">
        <v>1590</v>
      </c>
      <c r="B2963" s="6" t="s">
        <v>361</v>
      </c>
      <c r="C2963" s="6" t="s">
        <v>4884</v>
      </c>
      <c r="D2963" s="6" t="s">
        <v>4882</v>
      </c>
      <c r="E2963" s="6" t="s">
        <v>4885</v>
      </c>
      <c r="F2963" s="53" t="s">
        <v>4851</v>
      </c>
      <c r="G2963" s="6" t="s">
        <v>11450</v>
      </c>
      <c r="H2963" s="54">
        <v>0</v>
      </c>
      <c r="I2963" s="55">
        <v>470000000</v>
      </c>
      <c r="J2963" s="56" t="s">
        <v>229</v>
      </c>
      <c r="K2963" s="57" t="s">
        <v>641</v>
      </c>
      <c r="L2963" s="57" t="s">
        <v>364</v>
      </c>
      <c r="M2963" s="3" t="s">
        <v>230</v>
      </c>
      <c r="N2963" s="52" t="s">
        <v>7693</v>
      </c>
      <c r="O2963" s="6" t="s">
        <v>365</v>
      </c>
      <c r="P2963" s="58" t="s">
        <v>241</v>
      </c>
      <c r="Q2963" s="53" t="s">
        <v>234</v>
      </c>
      <c r="R2963" s="22">
        <v>12</v>
      </c>
      <c r="S2963" s="59">
        <v>7517.15</v>
      </c>
      <c r="T2963" s="4">
        <v>0</v>
      </c>
      <c r="U2963" s="4">
        <f t="shared" si="76"/>
        <v>0</v>
      </c>
      <c r="V2963" s="1"/>
      <c r="W2963" s="3">
        <v>2014</v>
      </c>
      <c r="X2963" s="3">
        <v>11.12</v>
      </c>
    </row>
    <row r="2964" spans="1:24" ht="114.75">
      <c r="A2964" s="3" t="s">
        <v>11924</v>
      </c>
      <c r="B2964" s="6" t="s">
        <v>361</v>
      </c>
      <c r="C2964" s="6" t="s">
        <v>4884</v>
      </c>
      <c r="D2964" s="6" t="s">
        <v>4882</v>
      </c>
      <c r="E2964" s="6" t="s">
        <v>4885</v>
      </c>
      <c r="F2964" s="53" t="s">
        <v>4851</v>
      </c>
      <c r="G2964" s="6" t="s">
        <v>11450</v>
      </c>
      <c r="H2964" s="54">
        <v>0</v>
      </c>
      <c r="I2964" s="55">
        <v>470000000</v>
      </c>
      <c r="J2964" s="56" t="s">
        <v>229</v>
      </c>
      <c r="K2964" s="57" t="s">
        <v>11919</v>
      </c>
      <c r="L2964" s="17" t="s">
        <v>11920</v>
      </c>
      <c r="M2964" s="3" t="s">
        <v>230</v>
      </c>
      <c r="N2964" s="52" t="s">
        <v>7693</v>
      </c>
      <c r="O2964" s="6" t="s">
        <v>365</v>
      </c>
      <c r="P2964" s="58" t="s">
        <v>241</v>
      </c>
      <c r="Q2964" s="53" t="s">
        <v>234</v>
      </c>
      <c r="R2964" s="22">
        <v>12</v>
      </c>
      <c r="S2964" s="59">
        <v>7517.15</v>
      </c>
      <c r="T2964" s="4">
        <v>0</v>
      </c>
      <c r="U2964" s="4">
        <f>T2964*1.12</f>
        <v>0</v>
      </c>
      <c r="V2964" s="1"/>
      <c r="W2964" s="3">
        <v>2014</v>
      </c>
      <c r="X2964" s="3" t="s">
        <v>14785</v>
      </c>
    </row>
    <row r="2965" spans="1:24" ht="114.75">
      <c r="A2965" s="3" t="s">
        <v>16475</v>
      </c>
      <c r="B2965" s="6" t="s">
        <v>361</v>
      </c>
      <c r="C2965" s="6" t="s">
        <v>4884</v>
      </c>
      <c r="D2965" s="6" t="s">
        <v>4882</v>
      </c>
      <c r="E2965" s="6" t="s">
        <v>4885</v>
      </c>
      <c r="F2965" s="53" t="s">
        <v>4851</v>
      </c>
      <c r="G2965" s="3" t="s">
        <v>11450</v>
      </c>
      <c r="H2965" s="54">
        <v>0</v>
      </c>
      <c r="I2965" s="55">
        <v>470000000</v>
      </c>
      <c r="J2965" s="56" t="s">
        <v>229</v>
      </c>
      <c r="K2965" s="57" t="s">
        <v>10120</v>
      </c>
      <c r="L2965" s="17" t="s">
        <v>11920</v>
      </c>
      <c r="M2965" s="3" t="s">
        <v>230</v>
      </c>
      <c r="N2965" s="52" t="s">
        <v>7693</v>
      </c>
      <c r="O2965" s="6" t="s">
        <v>365</v>
      </c>
      <c r="P2965" s="58" t="s">
        <v>241</v>
      </c>
      <c r="Q2965" s="53" t="s">
        <v>234</v>
      </c>
      <c r="R2965" s="22">
        <v>12</v>
      </c>
      <c r="S2965" s="59">
        <v>9020.58</v>
      </c>
      <c r="T2965" s="4">
        <f>R2965*S2965</f>
        <v>108246.95999999999</v>
      </c>
      <c r="U2965" s="4">
        <f>T2965*1.12</f>
        <v>121236.5952</v>
      </c>
      <c r="V2965" s="1"/>
      <c r="W2965" s="3">
        <v>2014</v>
      </c>
      <c r="X2965" s="3"/>
    </row>
    <row r="2966" spans="1:24" ht="114.75">
      <c r="A2966" s="3" t="s">
        <v>1591</v>
      </c>
      <c r="B2966" s="6" t="s">
        <v>361</v>
      </c>
      <c r="C2966" s="6" t="s">
        <v>4886</v>
      </c>
      <c r="D2966" s="6" t="s">
        <v>4882</v>
      </c>
      <c r="E2966" s="6" t="s">
        <v>4887</v>
      </c>
      <c r="F2966" s="53" t="s">
        <v>4852</v>
      </c>
      <c r="G2966" s="6" t="s">
        <v>11450</v>
      </c>
      <c r="H2966" s="54">
        <v>0</v>
      </c>
      <c r="I2966" s="55">
        <v>470000000</v>
      </c>
      <c r="J2966" s="56" t="s">
        <v>229</v>
      </c>
      <c r="K2966" s="57" t="s">
        <v>641</v>
      </c>
      <c r="L2966" s="57" t="s">
        <v>364</v>
      </c>
      <c r="M2966" s="3" t="s">
        <v>230</v>
      </c>
      <c r="N2966" s="52" t="s">
        <v>7693</v>
      </c>
      <c r="O2966" s="6" t="s">
        <v>365</v>
      </c>
      <c r="P2966" s="58" t="s">
        <v>241</v>
      </c>
      <c r="Q2966" s="53" t="s">
        <v>234</v>
      </c>
      <c r="R2966" s="22">
        <v>8</v>
      </c>
      <c r="S2966" s="59">
        <v>10410</v>
      </c>
      <c r="T2966" s="4">
        <v>0</v>
      </c>
      <c r="U2966" s="4">
        <f t="shared" si="76"/>
        <v>0</v>
      </c>
      <c r="V2966" s="1"/>
      <c r="W2966" s="3">
        <v>2014</v>
      </c>
      <c r="X2966" s="3">
        <v>11.12</v>
      </c>
    </row>
    <row r="2967" spans="1:24" ht="114.75">
      <c r="A2967" s="3" t="s">
        <v>11925</v>
      </c>
      <c r="B2967" s="6" t="s">
        <v>361</v>
      </c>
      <c r="C2967" s="6" t="s">
        <v>4886</v>
      </c>
      <c r="D2967" s="6" t="s">
        <v>4882</v>
      </c>
      <c r="E2967" s="6" t="s">
        <v>4887</v>
      </c>
      <c r="F2967" s="53" t="s">
        <v>4852</v>
      </c>
      <c r="G2967" s="6" t="s">
        <v>11450</v>
      </c>
      <c r="H2967" s="54">
        <v>0</v>
      </c>
      <c r="I2967" s="55">
        <v>470000000</v>
      </c>
      <c r="J2967" s="56" t="s">
        <v>229</v>
      </c>
      <c r="K2967" s="57" t="s">
        <v>11919</v>
      </c>
      <c r="L2967" s="17" t="s">
        <v>11920</v>
      </c>
      <c r="M2967" s="3" t="s">
        <v>230</v>
      </c>
      <c r="N2967" s="52" t="s">
        <v>7693</v>
      </c>
      <c r="O2967" s="6" t="s">
        <v>365</v>
      </c>
      <c r="P2967" s="58" t="s">
        <v>241</v>
      </c>
      <c r="Q2967" s="53" t="s">
        <v>234</v>
      </c>
      <c r="R2967" s="22">
        <v>8</v>
      </c>
      <c r="S2967" s="59">
        <v>10410</v>
      </c>
      <c r="T2967" s="4">
        <v>0</v>
      </c>
      <c r="U2967" s="4">
        <f>T2967*1.12</f>
        <v>0</v>
      </c>
      <c r="V2967" s="1"/>
      <c r="W2967" s="3">
        <v>2014</v>
      </c>
      <c r="X2967" s="3" t="s">
        <v>14785</v>
      </c>
    </row>
    <row r="2968" spans="1:24" ht="114.75">
      <c r="A2968" s="3" t="s">
        <v>16476</v>
      </c>
      <c r="B2968" s="6" t="s">
        <v>361</v>
      </c>
      <c r="C2968" s="6" t="s">
        <v>4886</v>
      </c>
      <c r="D2968" s="6" t="s">
        <v>4882</v>
      </c>
      <c r="E2968" s="6" t="s">
        <v>4887</v>
      </c>
      <c r="F2968" s="53" t="s">
        <v>4852</v>
      </c>
      <c r="G2968" s="3" t="s">
        <v>11450</v>
      </c>
      <c r="H2968" s="54">
        <v>0</v>
      </c>
      <c r="I2968" s="55">
        <v>470000000</v>
      </c>
      <c r="J2968" s="56" t="s">
        <v>229</v>
      </c>
      <c r="K2968" s="57" t="s">
        <v>10120</v>
      </c>
      <c r="L2968" s="17" t="s">
        <v>11920</v>
      </c>
      <c r="M2968" s="3" t="s">
        <v>230</v>
      </c>
      <c r="N2968" s="52" t="s">
        <v>7693</v>
      </c>
      <c r="O2968" s="6" t="s">
        <v>365</v>
      </c>
      <c r="P2968" s="58" t="s">
        <v>241</v>
      </c>
      <c r="Q2968" s="53" t="s">
        <v>234</v>
      </c>
      <c r="R2968" s="22">
        <v>8</v>
      </c>
      <c r="S2968" s="59">
        <v>12492</v>
      </c>
      <c r="T2968" s="4">
        <f>R2968*S2968</f>
        <v>99936</v>
      </c>
      <c r="U2968" s="4">
        <f>T2968*1.12</f>
        <v>111928.32000000001</v>
      </c>
      <c r="V2968" s="1"/>
      <c r="W2968" s="3">
        <v>2014</v>
      </c>
      <c r="X2968" s="3"/>
    </row>
    <row r="2969" spans="1:24" ht="114.75">
      <c r="A2969" s="3" t="s">
        <v>1592</v>
      </c>
      <c r="B2969" s="6" t="s">
        <v>361</v>
      </c>
      <c r="C2969" s="6" t="s">
        <v>4888</v>
      </c>
      <c r="D2969" s="6" t="s">
        <v>4882</v>
      </c>
      <c r="E2969" s="6" t="s">
        <v>4889</v>
      </c>
      <c r="F2969" s="53" t="s">
        <v>4853</v>
      </c>
      <c r="G2969" s="6" t="s">
        <v>11450</v>
      </c>
      <c r="H2969" s="54">
        <v>0</v>
      </c>
      <c r="I2969" s="55">
        <v>470000000</v>
      </c>
      <c r="J2969" s="56" t="s">
        <v>229</v>
      </c>
      <c r="K2969" s="57" t="s">
        <v>641</v>
      </c>
      <c r="L2969" s="57" t="s">
        <v>364</v>
      </c>
      <c r="M2969" s="3" t="s">
        <v>230</v>
      </c>
      <c r="N2969" s="52" t="s">
        <v>7693</v>
      </c>
      <c r="O2969" s="6" t="s">
        <v>365</v>
      </c>
      <c r="P2969" s="58" t="s">
        <v>241</v>
      </c>
      <c r="Q2969" s="53" t="s">
        <v>234</v>
      </c>
      <c r="R2969" s="22">
        <v>8</v>
      </c>
      <c r="S2969" s="59">
        <v>11119.28</v>
      </c>
      <c r="T2969" s="4">
        <v>0</v>
      </c>
      <c r="U2969" s="4">
        <f t="shared" si="76"/>
        <v>0</v>
      </c>
      <c r="V2969" s="1"/>
      <c r="W2969" s="3">
        <v>2014</v>
      </c>
      <c r="X2969" s="3">
        <v>11.12</v>
      </c>
    </row>
    <row r="2970" spans="1:24" ht="114.75">
      <c r="A2970" s="3" t="s">
        <v>11926</v>
      </c>
      <c r="B2970" s="6" t="s">
        <v>361</v>
      </c>
      <c r="C2970" s="6" t="s">
        <v>4888</v>
      </c>
      <c r="D2970" s="6" t="s">
        <v>4882</v>
      </c>
      <c r="E2970" s="6" t="s">
        <v>4889</v>
      </c>
      <c r="F2970" s="53" t="s">
        <v>4853</v>
      </c>
      <c r="G2970" s="6" t="s">
        <v>11450</v>
      </c>
      <c r="H2970" s="54">
        <v>0</v>
      </c>
      <c r="I2970" s="55">
        <v>470000000</v>
      </c>
      <c r="J2970" s="56" t="s">
        <v>229</v>
      </c>
      <c r="K2970" s="57" t="s">
        <v>11919</v>
      </c>
      <c r="L2970" s="17" t="s">
        <v>11920</v>
      </c>
      <c r="M2970" s="3" t="s">
        <v>230</v>
      </c>
      <c r="N2970" s="52" t="s">
        <v>7693</v>
      </c>
      <c r="O2970" s="6" t="s">
        <v>365</v>
      </c>
      <c r="P2970" s="58" t="s">
        <v>241</v>
      </c>
      <c r="Q2970" s="53" t="s">
        <v>234</v>
      </c>
      <c r="R2970" s="22">
        <v>8</v>
      </c>
      <c r="S2970" s="59">
        <v>11119.28</v>
      </c>
      <c r="T2970" s="4">
        <v>0</v>
      </c>
      <c r="U2970" s="4">
        <f>T2970*1.12</f>
        <v>0</v>
      </c>
      <c r="V2970" s="1"/>
      <c r="W2970" s="3">
        <v>2014</v>
      </c>
      <c r="X2970" s="3" t="s">
        <v>14785</v>
      </c>
    </row>
    <row r="2971" spans="1:24" ht="114.75">
      <c r="A2971" s="3" t="s">
        <v>16477</v>
      </c>
      <c r="B2971" s="6" t="s">
        <v>361</v>
      </c>
      <c r="C2971" s="6" t="s">
        <v>4888</v>
      </c>
      <c r="D2971" s="6" t="s">
        <v>4882</v>
      </c>
      <c r="E2971" s="6" t="s">
        <v>4889</v>
      </c>
      <c r="F2971" s="53" t="s">
        <v>4853</v>
      </c>
      <c r="G2971" s="3" t="s">
        <v>11450</v>
      </c>
      <c r="H2971" s="54">
        <v>0</v>
      </c>
      <c r="I2971" s="55">
        <v>470000000</v>
      </c>
      <c r="J2971" s="56" t="s">
        <v>229</v>
      </c>
      <c r="K2971" s="57" t="s">
        <v>10120</v>
      </c>
      <c r="L2971" s="17" t="s">
        <v>11920</v>
      </c>
      <c r="M2971" s="3" t="s">
        <v>230</v>
      </c>
      <c r="N2971" s="52" t="s">
        <v>7693</v>
      </c>
      <c r="O2971" s="6" t="s">
        <v>365</v>
      </c>
      <c r="P2971" s="58" t="s">
        <v>241</v>
      </c>
      <c r="Q2971" s="53" t="s">
        <v>234</v>
      </c>
      <c r="R2971" s="22">
        <v>8</v>
      </c>
      <c r="S2971" s="59">
        <v>13343.136</v>
      </c>
      <c r="T2971" s="4">
        <f>R2971*S2971</f>
        <v>106745.088</v>
      </c>
      <c r="U2971" s="4">
        <f>T2971*1.12</f>
        <v>119554.49856000002</v>
      </c>
      <c r="V2971" s="1"/>
      <c r="W2971" s="3">
        <v>2014</v>
      </c>
      <c r="X2971" s="3"/>
    </row>
    <row r="2972" spans="1:24" ht="114.75">
      <c r="A2972" s="3" t="s">
        <v>1593</v>
      </c>
      <c r="B2972" s="6" t="s">
        <v>361</v>
      </c>
      <c r="C2972" s="6" t="s">
        <v>4890</v>
      </c>
      <c r="D2972" s="6" t="s">
        <v>4882</v>
      </c>
      <c r="E2972" s="6" t="s">
        <v>4891</v>
      </c>
      <c r="F2972" s="53" t="s">
        <v>4854</v>
      </c>
      <c r="G2972" s="6" t="s">
        <v>11450</v>
      </c>
      <c r="H2972" s="54">
        <v>0</v>
      </c>
      <c r="I2972" s="55">
        <v>470000000</v>
      </c>
      <c r="J2972" s="56" t="s">
        <v>229</v>
      </c>
      <c r="K2972" s="57" t="s">
        <v>641</v>
      </c>
      <c r="L2972" s="57" t="s">
        <v>364</v>
      </c>
      <c r="M2972" s="3" t="s">
        <v>230</v>
      </c>
      <c r="N2972" s="52" t="s">
        <v>7693</v>
      </c>
      <c r="O2972" s="6" t="s">
        <v>365</v>
      </c>
      <c r="P2972" s="58" t="s">
        <v>241</v>
      </c>
      <c r="Q2972" s="53" t="s">
        <v>234</v>
      </c>
      <c r="R2972" s="22">
        <v>10</v>
      </c>
      <c r="S2972" s="59">
        <v>6837.85</v>
      </c>
      <c r="T2972" s="4">
        <v>0</v>
      </c>
      <c r="U2972" s="4">
        <f t="shared" si="76"/>
        <v>0</v>
      </c>
      <c r="V2972" s="1"/>
      <c r="W2972" s="3">
        <v>2014</v>
      </c>
      <c r="X2972" s="3">
        <v>11.12</v>
      </c>
    </row>
    <row r="2973" spans="1:24" ht="114.75">
      <c r="A2973" s="3" t="s">
        <v>11927</v>
      </c>
      <c r="B2973" s="6" t="s">
        <v>361</v>
      </c>
      <c r="C2973" s="6" t="s">
        <v>4890</v>
      </c>
      <c r="D2973" s="6" t="s">
        <v>4882</v>
      </c>
      <c r="E2973" s="6" t="s">
        <v>4891</v>
      </c>
      <c r="F2973" s="53" t="s">
        <v>4854</v>
      </c>
      <c r="G2973" s="6" t="s">
        <v>11450</v>
      </c>
      <c r="H2973" s="54">
        <v>0</v>
      </c>
      <c r="I2973" s="55">
        <v>470000000</v>
      </c>
      <c r="J2973" s="56" t="s">
        <v>229</v>
      </c>
      <c r="K2973" s="57" t="s">
        <v>11919</v>
      </c>
      <c r="L2973" s="17" t="s">
        <v>11920</v>
      </c>
      <c r="M2973" s="3" t="s">
        <v>230</v>
      </c>
      <c r="N2973" s="52" t="s">
        <v>7693</v>
      </c>
      <c r="O2973" s="6" t="s">
        <v>365</v>
      </c>
      <c r="P2973" s="58" t="s">
        <v>241</v>
      </c>
      <c r="Q2973" s="53" t="s">
        <v>234</v>
      </c>
      <c r="R2973" s="22">
        <v>10</v>
      </c>
      <c r="S2973" s="59">
        <v>6837.85</v>
      </c>
      <c r="T2973" s="4">
        <v>0</v>
      </c>
      <c r="U2973" s="4">
        <f>T2973*1.12</f>
        <v>0</v>
      </c>
      <c r="V2973" s="1"/>
      <c r="W2973" s="3">
        <v>2014</v>
      </c>
      <c r="X2973" s="3" t="s">
        <v>14785</v>
      </c>
    </row>
    <row r="2974" spans="1:24" ht="114.75">
      <c r="A2974" s="3" t="s">
        <v>16478</v>
      </c>
      <c r="B2974" s="6" t="s">
        <v>361</v>
      </c>
      <c r="C2974" s="6" t="s">
        <v>4890</v>
      </c>
      <c r="D2974" s="6" t="s">
        <v>4882</v>
      </c>
      <c r="E2974" s="6" t="s">
        <v>4891</v>
      </c>
      <c r="F2974" s="53" t="s">
        <v>4854</v>
      </c>
      <c r="G2974" s="3" t="s">
        <v>11450</v>
      </c>
      <c r="H2974" s="54">
        <v>0</v>
      </c>
      <c r="I2974" s="55">
        <v>470000000</v>
      </c>
      <c r="J2974" s="56" t="s">
        <v>229</v>
      </c>
      <c r="K2974" s="57" t="s">
        <v>10120</v>
      </c>
      <c r="L2974" s="17" t="s">
        <v>11920</v>
      </c>
      <c r="M2974" s="3" t="s">
        <v>230</v>
      </c>
      <c r="N2974" s="52" t="s">
        <v>7693</v>
      </c>
      <c r="O2974" s="6" t="s">
        <v>365</v>
      </c>
      <c r="P2974" s="58" t="s">
        <v>241</v>
      </c>
      <c r="Q2974" s="53" t="s">
        <v>234</v>
      </c>
      <c r="R2974" s="22">
        <v>10</v>
      </c>
      <c r="S2974" s="59">
        <v>8205.42</v>
      </c>
      <c r="T2974" s="4">
        <f>R2974*S2974</f>
        <v>82054.2</v>
      </c>
      <c r="U2974" s="4">
        <f>T2974*1.12</f>
        <v>91900.704000000012</v>
      </c>
      <c r="V2974" s="1"/>
      <c r="W2974" s="3">
        <v>2014</v>
      </c>
      <c r="X2974" s="3"/>
    </row>
    <row r="2975" spans="1:24" ht="114.75">
      <c r="A2975" s="3" t="s">
        <v>1594</v>
      </c>
      <c r="B2975" s="6" t="s">
        <v>361</v>
      </c>
      <c r="C2975" s="6" t="s">
        <v>4890</v>
      </c>
      <c r="D2975" s="6" t="s">
        <v>4882</v>
      </c>
      <c r="E2975" s="6" t="s">
        <v>4891</v>
      </c>
      <c r="F2975" s="53" t="s">
        <v>4855</v>
      </c>
      <c r="G2975" s="6" t="s">
        <v>11450</v>
      </c>
      <c r="H2975" s="54">
        <v>0</v>
      </c>
      <c r="I2975" s="55">
        <v>470000000</v>
      </c>
      <c r="J2975" s="56" t="s">
        <v>229</v>
      </c>
      <c r="K2975" s="57" t="s">
        <v>641</v>
      </c>
      <c r="L2975" s="57" t="s">
        <v>364</v>
      </c>
      <c r="M2975" s="3" t="s">
        <v>230</v>
      </c>
      <c r="N2975" s="52" t="s">
        <v>7693</v>
      </c>
      <c r="O2975" s="6" t="s">
        <v>365</v>
      </c>
      <c r="P2975" s="58" t="s">
        <v>241</v>
      </c>
      <c r="Q2975" s="53" t="s">
        <v>234</v>
      </c>
      <c r="R2975" s="22">
        <v>10</v>
      </c>
      <c r="S2975" s="59">
        <v>33660</v>
      </c>
      <c r="T2975" s="4">
        <v>0</v>
      </c>
      <c r="U2975" s="4">
        <f t="shared" si="76"/>
        <v>0</v>
      </c>
      <c r="V2975" s="1"/>
      <c r="W2975" s="3">
        <v>2014</v>
      </c>
      <c r="X2975" s="3">
        <v>11.12</v>
      </c>
    </row>
    <row r="2976" spans="1:24" ht="114.75">
      <c r="A2976" s="3" t="s">
        <v>11928</v>
      </c>
      <c r="B2976" s="6" t="s">
        <v>361</v>
      </c>
      <c r="C2976" s="6" t="s">
        <v>4890</v>
      </c>
      <c r="D2976" s="6" t="s">
        <v>4882</v>
      </c>
      <c r="E2976" s="6" t="s">
        <v>4891</v>
      </c>
      <c r="F2976" s="53" t="s">
        <v>4855</v>
      </c>
      <c r="G2976" s="6" t="s">
        <v>11450</v>
      </c>
      <c r="H2976" s="54">
        <v>0</v>
      </c>
      <c r="I2976" s="55">
        <v>470000000</v>
      </c>
      <c r="J2976" s="56" t="s">
        <v>229</v>
      </c>
      <c r="K2976" s="57" t="s">
        <v>11919</v>
      </c>
      <c r="L2976" s="17" t="s">
        <v>11920</v>
      </c>
      <c r="M2976" s="3" t="s">
        <v>230</v>
      </c>
      <c r="N2976" s="52" t="s">
        <v>7693</v>
      </c>
      <c r="O2976" s="6" t="s">
        <v>365</v>
      </c>
      <c r="P2976" s="58" t="s">
        <v>241</v>
      </c>
      <c r="Q2976" s="53" t="s">
        <v>234</v>
      </c>
      <c r="R2976" s="22">
        <v>10</v>
      </c>
      <c r="S2976" s="59">
        <v>33660</v>
      </c>
      <c r="T2976" s="4">
        <v>0</v>
      </c>
      <c r="U2976" s="4">
        <f>T2976*1.12</f>
        <v>0</v>
      </c>
      <c r="V2976" s="1"/>
      <c r="W2976" s="3">
        <v>2014</v>
      </c>
      <c r="X2976" s="3" t="s">
        <v>14785</v>
      </c>
    </row>
    <row r="2977" spans="1:24" ht="114.75">
      <c r="A2977" s="3" t="s">
        <v>16479</v>
      </c>
      <c r="B2977" s="6" t="s">
        <v>361</v>
      </c>
      <c r="C2977" s="6" t="s">
        <v>4890</v>
      </c>
      <c r="D2977" s="6" t="s">
        <v>4882</v>
      </c>
      <c r="E2977" s="6" t="s">
        <v>4891</v>
      </c>
      <c r="F2977" s="53" t="s">
        <v>4855</v>
      </c>
      <c r="G2977" s="3" t="s">
        <v>11450</v>
      </c>
      <c r="H2977" s="54">
        <v>0</v>
      </c>
      <c r="I2977" s="55">
        <v>470000000</v>
      </c>
      <c r="J2977" s="56" t="s">
        <v>229</v>
      </c>
      <c r="K2977" s="57" t="s">
        <v>10120</v>
      </c>
      <c r="L2977" s="17" t="s">
        <v>11920</v>
      </c>
      <c r="M2977" s="3" t="s">
        <v>230</v>
      </c>
      <c r="N2977" s="52" t="s">
        <v>7693</v>
      </c>
      <c r="O2977" s="6" t="s">
        <v>365</v>
      </c>
      <c r="P2977" s="58" t="s">
        <v>241</v>
      </c>
      <c r="Q2977" s="53" t="s">
        <v>234</v>
      </c>
      <c r="R2977" s="22">
        <v>10</v>
      </c>
      <c r="S2977" s="59">
        <v>40392</v>
      </c>
      <c r="T2977" s="4">
        <f>R2977*S2977</f>
        <v>403920</v>
      </c>
      <c r="U2977" s="4">
        <f>T2977*1.12</f>
        <v>452390.40000000002</v>
      </c>
      <c r="V2977" s="1"/>
      <c r="W2977" s="3">
        <v>2014</v>
      </c>
      <c r="X2977" s="3"/>
    </row>
    <row r="2978" spans="1:24" ht="114.75">
      <c r="A2978" s="3" t="s">
        <v>1595</v>
      </c>
      <c r="B2978" s="6" t="s">
        <v>361</v>
      </c>
      <c r="C2978" s="6" t="s">
        <v>4890</v>
      </c>
      <c r="D2978" s="6" t="s">
        <v>4882</v>
      </c>
      <c r="E2978" s="6" t="s">
        <v>4891</v>
      </c>
      <c r="F2978" s="53" t="s">
        <v>4856</v>
      </c>
      <c r="G2978" s="6" t="s">
        <v>11450</v>
      </c>
      <c r="H2978" s="54">
        <v>0</v>
      </c>
      <c r="I2978" s="55">
        <v>470000000</v>
      </c>
      <c r="J2978" s="56" t="s">
        <v>229</v>
      </c>
      <c r="K2978" s="57" t="s">
        <v>641</v>
      </c>
      <c r="L2978" s="57" t="s">
        <v>364</v>
      </c>
      <c r="M2978" s="3" t="s">
        <v>230</v>
      </c>
      <c r="N2978" s="52" t="s">
        <v>7693</v>
      </c>
      <c r="O2978" s="6" t="s">
        <v>365</v>
      </c>
      <c r="P2978" s="58" t="s">
        <v>241</v>
      </c>
      <c r="Q2978" s="53" t="s">
        <v>234</v>
      </c>
      <c r="R2978" s="22">
        <v>8</v>
      </c>
      <c r="S2978" s="59">
        <v>35382.85</v>
      </c>
      <c r="T2978" s="4">
        <v>0</v>
      </c>
      <c r="U2978" s="4">
        <f t="shared" si="76"/>
        <v>0</v>
      </c>
      <c r="V2978" s="1"/>
      <c r="W2978" s="3">
        <v>2014</v>
      </c>
      <c r="X2978" s="3">
        <v>11.12</v>
      </c>
    </row>
    <row r="2979" spans="1:24" ht="114.75">
      <c r="A2979" s="3" t="s">
        <v>11929</v>
      </c>
      <c r="B2979" s="6" t="s">
        <v>361</v>
      </c>
      <c r="C2979" s="6" t="s">
        <v>4890</v>
      </c>
      <c r="D2979" s="6" t="s">
        <v>4882</v>
      </c>
      <c r="E2979" s="6" t="s">
        <v>4891</v>
      </c>
      <c r="F2979" s="53" t="s">
        <v>4856</v>
      </c>
      <c r="G2979" s="6" t="s">
        <v>11450</v>
      </c>
      <c r="H2979" s="54">
        <v>0</v>
      </c>
      <c r="I2979" s="55">
        <v>470000000</v>
      </c>
      <c r="J2979" s="56" t="s">
        <v>229</v>
      </c>
      <c r="K2979" s="57" t="s">
        <v>11919</v>
      </c>
      <c r="L2979" s="17" t="s">
        <v>11920</v>
      </c>
      <c r="M2979" s="3" t="s">
        <v>230</v>
      </c>
      <c r="N2979" s="52" t="s">
        <v>7693</v>
      </c>
      <c r="O2979" s="6" t="s">
        <v>365</v>
      </c>
      <c r="P2979" s="58" t="s">
        <v>241</v>
      </c>
      <c r="Q2979" s="53" t="s">
        <v>234</v>
      </c>
      <c r="R2979" s="22">
        <v>8</v>
      </c>
      <c r="S2979" s="59">
        <v>35382.85</v>
      </c>
      <c r="T2979" s="4">
        <v>0</v>
      </c>
      <c r="U2979" s="4">
        <f>T2979*1.12</f>
        <v>0</v>
      </c>
      <c r="V2979" s="1"/>
      <c r="W2979" s="3">
        <v>2014</v>
      </c>
      <c r="X2979" s="3" t="s">
        <v>14785</v>
      </c>
    </row>
    <row r="2980" spans="1:24" ht="114.75">
      <c r="A2980" s="3" t="s">
        <v>16480</v>
      </c>
      <c r="B2980" s="6" t="s">
        <v>361</v>
      </c>
      <c r="C2980" s="6" t="s">
        <v>4890</v>
      </c>
      <c r="D2980" s="6" t="s">
        <v>4882</v>
      </c>
      <c r="E2980" s="6" t="s">
        <v>4891</v>
      </c>
      <c r="F2980" s="53" t="s">
        <v>4856</v>
      </c>
      <c r="G2980" s="3" t="s">
        <v>11450</v>
      </c>
      <c r="H2980" s="54">
        <v>0</v>
      </c>
      <c r="I2980" s="55">
        <v>470000000</v>
      </c>
      <c r="J2980" s="56" t="s">
        <v>229</v>
      </c>
      <c r="K2980" s="57" t="s">
        <v>10120</v>
      </c>
      <c r="L2980" s="17" t="s">
        <v>11920</v>
      </c>
      <c r="M2980" s="3" t="s">
        <v>230</v>
      </c>
      <c r="N2980" s="52" t="s">
        <v>7693</v>
      </c>
      <c r="O2980" s="6" t="s">
        <v>365</v>
      </c>
      <c r="P2980" s="58" t="s">
        <v>241</v>
      </c>
      <c r="Q2980" s="53" t="s">
        <v>234</v>
      </c>
      <c r="R2980" s="22">
        <v>8</v>
      </c>
      <c r="S2980" s="59">
        <v>42459.42</v>
      </c>
      <c r="T2980" s="4">
        <f>R2980*S2980</f>
        <v>339675.36</v>
      </c>
      <c r="U2980" s="4">
        <f>T2980*1.12</f>
        <v>380436.4032</v>
      </c>
      <c r="V2980" s="1"/>
      <c r="W2980" s="3">
        <v>2014</v>
      </c>
      <c r="X2980" s="3"/>
    </row>
    <row r="2981" spans="1:24" ht="114.75">
      <c r="A2981" s="3" t="s">
        <v>1596</v>
      </c>
      <c r="B2981" s="6" t="s">
        <v>361</v>
      </c>
      <c r="C2981" s="6" t="s">
        <v>4890</v>
      </c>
      <c r="D2981" s="6" t="s">
        <v>4882</v>
      </c>
      <c r="E2981" s="6" t="s">
        <v>4891</v>
      </c>
      <c r="F2981" s="53" t="s">
        <v>4857</v>
      </c>
      <c r="G2981" s="6" t="s">
        <v>11450</v>
      </c>
      <c r="H2981" s="54">
        <v>0</v>
      </c>
      <c r="I2981" s="55">
        <v>470000000</v>
      </c>
      <c r="J2981" s="56" t="s">
        <v>229</v>
      </c>
      <c r="K2981" s="57" t="s">
        <v>641</v>
      </c>
      <c r="L2981" s="57" t="s">
        <v>364</v>
      </c>
      <c r="M2981" s="3" t="s">
        <v>230</v>
      </c>
      <c r="N2981" s="52" t="s">
        <v>7693</v>
      </c>
      <c r="O2981" s="6" t="s">
        <v>365</v>
      </c>
      <c r="P2981" s="58" t="s">
        <v>241</v>
      </c>
      <c r="Q2981" s="53" t="s">
        <v>234</v>
      </c>
      <c r="R2981" s="22">
        <v>8</v>
      </c>
      <c r="S2981" s="59">
        <v>37572.85</v>
      </c>
      <c r="T2981" s="4">
        <v>0</v>
      </c>
      <c r="U2981" s="4">
        <f t="shared" si="76"/>
        <v>0</v>
      </c>
      <c r="V2981" s="1"/>
      <c r="W2981" s="3">
        <v>2014</v>
      </c>
      <c r="X2981" s="3">
        <v>11.12</v>
      </c>
    </row>
    <row r="2982" spans="1:24" ht="114.75">
      <c r="A2982" s="3" t="s">
        <v>11930</v>
      </c>
      <c r="B2982" s="6" t="s">
        <v>361</v>
      </c>
      <c r="C2982" s="6" t="s">
        <v>4890</v>
      </c>
      <c r="D2982" s="6" t="s">
        <v>4882</v>
      </c>
      <c r="E2982" s="6" t="s">
        <v>4891</v>
      </c>
      <c r="F2982" s="53" t="s">
        <v>4857</v>
      </c>
      <c r="G2982" s="6" t="s">
        <v>11450</v>
      </c>
      <c r="H2982" s="54">
        <v>0</v>
      </c>
      <c r="I2982" s="55">
        <v>470000000</v>
      </c>
      <c r="J2982" s="56" t="s">
        <v>229</v>
      </c>
      <c r="K2982" s="57" t="s">
        <v>11919</v>
      </c>
      <c r="L2982" s="17" t="s">
        <v>11920</v>
      </c>
      <c r="M2982" s="3" t="s">
        <v>230</v>
      </c>
      <c r="N2982" s="52" t="s">
        <v>7693</v>
      </c>
      <c r="O2982" s="6" t="s">
        <v>365</v>
      </c>
      <c r="P2982" s="58" t="s">
        <v>241</v>
      </c>
      <c r="Q2982" s="53" t="s">
        <v>234</v>
      </c>
      <c r="R2982" s="22">
        <v>8</v>
      </c>
      <c r="S2982" s="59">
        <v>37572.85</v>
      </c>
      <c r="T2982" s="4">
        <v>0</v>
      </c>
      <c r="U2982" s="4">
        <f>T2982*1.12</f>
        <v>0</v>
      </c>
      <c r="V2982" s="1"/>
      <c r="W2982" s="3">
        <v>2014</v>
      </c>
      <c r="X2982" s="3" t="s">
        <v>14785</v>
      </c>
    </row>
    <row r="2983" spans="1:24" ht="114.75">
      <c r="A2983" s="3" t="s">
        <v>16481</v>
      </c>
      <c r="B2983" s="6" t="s">
        <v>361</v>
      </c>
      <c r="C2983" s="6" t="s">
        <v>4890</v>
      </c>
      <c r="D2983" s="6" t="s">
        <v>4882</v>
      </c>
      <c r="E2983" s="6" t="s">
        <v>4891</v>
      </c>
      <c r="F2983" s="53" t="s">
        <v>4857</v>
      </c>
      <c r="G2983" s="3" t="s">
        <v>11450</v>
      </c>
      <c r="H2983" s="54">
        <v>0</v>
      </c>
      <c r="I2983" s="55">
        <v>470000000</v>
      </c>
      <c r="J2983" s="56" t="s">
        <v>229</v>
      </c>
      <c r="K2983" s="57" t="s">
        <v>10120</v>
      </c>
      <c r="L2983" s="17" t="s">
        <v>11920</v>
      </c>
      <c r="M2983" s="3" t="s">
        <v>230</v>
      </c>
      <c r="N2983" s="52" t="s">
        <v>7693</v>
      </c>
      <c r="O2983" s="6" t="s">
        <v>365</v>
      </c>
      <c r="P2983" s="58" t="s">
        <v>241</v>
      </c>
      <c r="Q2983" s="53" t="s">
        <v>234</v>
      </c>
      <c r="R2983" s="22">
        <v>8</v>
      </c>
      <c r="S2983" s="59">
        <v>45087.42</v>
      </c>
      <c r="T2983" s="4">
        <f>R2983*S2983</f>
        <v>360699.36</v>
      </c>
      <c r="U2983" s="4">
        <f>T2983*1.12</f>
        <v>403983.28320000001</v>
      </c>
      <c r="V2983" s="1"/>
      <c r="W2983" s="3">
        <v>2014</v>
      </c>
      <c r="X2983" s="3"/>
    </row>
    <row r="2984" spans="1:24" ht="114.75">
      <c r="A2984" s="3" t="s">
        <v>1597</v>
      </c>
      <c r="B2984" s="6" t="s">
        <v>361</v>
      </c>
      <c r="C2984" s="6" t="s">
        <v>4892</v>
      </c>
      <c r="D2984" s="6" t="s">
        <v>4882</v>
      </c>
      <c r="E2984" s="6" t="s">
        <v>4893</v>
      </c>
      <c r="F2984" s="53" t="s">
        <v>4858</v>
      </c>
      <c r="G2984" s="6" t="s">
        <v>11450</v>
      </c>
      <c r="H2984" s="54">
        <v>0</v>
      </c>
      <c r="I2984" s="55">
        <v>470000000</v>
      </c>
      <c r="J2984" s="56" t="s">
        <v>229</v>
      </c>
      <c r="K2984" s="57" t="s">
        <v>641</v>
      </c>
      <c r="L2984" s="57" t="s">
        <v>364</v>
      </c>
      <c r="M2984" s="3" t="s">
        <v>230</v>
      </c>
      <c r="N2984" s="52" t="s">
        <v>7693</v>
      </c>
      <c r="O2984" s="6" t="s">
        <v>365</v>
      </c>
      <c r="P2984" s="58" t="s">
        <v>241</v>
      </c>
      <c r="Q2984" s="53" t="s">
        <v>234</v>
      </c>
      <c r="R2984" s="22">
        <v>10</v>
      </c>
      <c r="S2984" s="59">
        <v>19729.28</v>
      </c>
      <c r="T2984" s="4">
        <v>0</v>
      </c>
      <c r="U2984" s="4">
        <f t="shared" si="76"/>
        <v>0</v>
      </c>
      <c r="V2984" s="1"/>
      <c r="W2984" s="3">
        <v>2014</v>
      </c>
      <c r="X2984" s="3">
        <v>11.12</v>
      </c>
    </row>
    <row r="2985" spans="1:24" ht="114.75">
      <c r="A2985" s="3" t="s">
        <v>11931</v>
      </c>
      <c r="B2985" s="6" t="s">
        <v>361</v>
      </c>
      <c r="C2985" s="6" t="s">
        <v>4892</v>
      </c>
      <c r="D2985" s="6" t="s">
        <v>4882</v>
      </c>
      <c r="E2985" s="6" t="s">
        <v>4893</v>
      </c>
      <c r="F2985" s="53" t="s">
        <v>4858</v>
      </c>
      <c r="G2985" s="6" t="s">
        <v>11450</v>
      </c>
      <c r="H2985" s="54">
        <v>0</v>
      </c>
      <c r="I2985" s="55">
        <v>470000000</v>
      </c>
      <c r="J2985" s="56" t="s">
        <v>229</v>
      </c>
      <c r="K2985" s="57" t="s">
        <v>11919</v>
      </c>
      <c r="L2985" s="17" t="s">
        <v>11920</v>
      </c>
      <c r="M2985" s="3" t="s">
        <v>230</v>
      </c>
      <c r="N2985" s="52" t="s">
        <v>7693</v>
      </c>
      <c r="O2985" s="6" t="s">
        <v>365</v>
      </c>
      <c r="P2985" s="58" t="s">
        <v>241</v>
      </c>
      <c r="Q2985" s="53" t="s">
        <v>234</v>
      </c>
      <c r="R2985" s="22">
        <v>10</v>
      </c>
      <c r="S2985" s="59">
        <v>19729.28</v>
      </c>
      <c r="T2985" s="4">
        <v>0</v>
      </c>
      <c r="U2985" s="4">
        <f>T2985*1.12</f>
        <v>0</v>
      </c>
      <c r="V2985" s="1"/>
      <c r="W2985" s="3">
        <v>2014</v>
      </c>
      <c r="X2985" s="3" t="s">
        <v>14785</v>
      </c>
    </row>
    <row r="2986" spans="1:24" ht="114.75">
      <c r="A2986" s="3" t="s">
        <v>16482</v>
      </c>
      <c r="B2986" s="6" t="s">
        <v>361</v>
      </c>
      <c r="C2986" s="6" t="s">
        <v>4892</v>
      </c>
      <c r="D2986" s="6" t="s">
        <v>4882</v>
      </c>
      <c r="E2986" s="6" t="s">
        <v>4893</v>
      </c>
      <c r="F2986" s="53" t="s">
        <v>4858</v>
      </c>
      <c r="G2986" s="3" t="s">
        <v>11450</v>
      </c>
      <c r="H2986" s="54">
        <v>0</v>
      </c>
      <c r="I2986" s="55">
        <v>470000000</v>
      </c>
      <c r="J2986" s="56" t="s">
        <v>229</v>
      </c>
      <c r="K2986" s="57" t="s">
        <v>10120</v>
      </c>
      <c r="L2986" s="17" t="s">
        <v>11920</v>
      </c>
      <c r="M2986" s="3" t="s">
        <v>230</v>
      </c>
      <c r="N2986" s="52" t="s">
        <v>7693</v>
      </c>
      <c r="O2986" s="6" t="s">
        <v>365</v>
      </c>
      <c r="P2986" s="58" t="s">
        <v>241</v>
      </c>
      <c r="Q2986" s="53" t="s">
        <v>234</v>
      </c>
      <c r="R2986" s="22">
        <v>10</v>
      </c>
      <c r="S2986" s="59">
        <v>23675.135999999999</v>
      </c>
      <c r="T2986" s="4">
        <f>R2986*S2986</f>
        <v>236751.35999999999</v>
      </c>
      <c r="U2986" s="4">
        <f>T2986*1.12</f>
        <v>265161.5232</v>
      </c>
      <c r="V2986" s="1"/>
      <c r="W2986" s="3">
        <v>2014</v>
      </c>
      <c r="X2986" s="3"/>
    </row>
    <row r="2987" spans="1:24" ht="114.75">
      <c r="A2987" s="3" t="s">
        <v>1598</v>
      </c>
      <c r="B2987" s="6" t="s">
        <v>361</v>
      </c>
      <c r="C2987" s="6" t="s">
        <v>4890</v>
      </c>
      <c r="D2987" s="6" t="s">
        <v>4882</v>
      </c>
      <c r="E2987" s="6" t="s">
        <v>4891</v>
      </c>
      <c r="F2987" s="53" t="s">
        <v>4859</v>
      </c>
      <c r="G2987" s="6" t="s">
        <v>11450</v>
      </c>
      <c r="H2987" s="54">
        <v>0</v>
      </c>
      <c r="I2987" s="55">
        <v>470000000</v>
      </c>
      <c r="J2987" s="56" t="s">
        <v>229</v>
      </c>
      <c r="K2987" s="57" t="s">
        <v>641</v>
      </c>
      <c r="L2987" s="57" t="s">
        <v>364</v>
      </c>
      <c r="M2987" s="3" t="s">
        <v>230</v>
      </c>
      <c r="N2987" s="52" t="s">
        <v>7693</v>
      </c>
      <c r="O2987" s="6" t="s">
        <v>365</v>
      </c>
      <c r="P2987" s="58" t="s">
        <v>241</v>
      </c>
      <c r="Q2987" s="53" t="s">
        <v>234</v>
      </c>
      <c r="R2987" s="22">
        <v>10</v>
      </c>
      <c r="S2987" s="59">
        <v>40149.65</v>
      </c>
      <c r="T2987" s="4">
        <v>0</v>
      </c>
      <c r="U2987" s="4">
        <f t="shared" si="76"/>
        <v>0</v>
      </c>
      <c r="V2987" s="1"/>
      <c r="W2987" s="3">
        <v>2014</v>
      </c>
      <c r="X2987" s="3">
        <v>11.12</v>
      </c>
    </row>
    <row r="2988" spans="1:24" ht="114.75">
      <c r="A2988" s="3" t="s">
        <v>11932</v>
      </c>
      <c r="B2988" s="6" t="s">
        <v>361</v>
      </c>
      <c r="C2988" s="6" t="s">
        <v>4890</v>
      </c>
      <c r="D2988" s="6" t="s">
        <v>4882</v>
      </c>
      <c r="E2988" s="6" t="s">
        <v>4891</v>
      </c>
      <c r="F2988" s="53" t="s">
        <v>4859</v>
      </c>
      <c r="G2988" s="6" t="s">
        <v>11450</v>
      </c>
      <c r="H2988" s="54">
        <v>0</v>
      </c>
      <c r="I2988" s="55">
        <v>470000000</v>
      </c>
      <c r="J2988" s="56" t="s">
        <v>229</v>
      </c>
      <c r="K2988" s="57" t="s">
        <v>11919</v>
      </c>
      <c r="L2988" s="17" t="s">
        <v>11920</v>
      </c>
      <c r="M2988" s="3" t="s">
        <v>230</v>
      </c>
      <c r="N2988" s="52" t="s">
        <v>7693</v>
      </c>
      <c r="O2988" s="6" t="s">
        <v>365</v>
      </c>
      <c r="P2988" s="58" t="s">
        <v>241</v>
      </c>
      <c r="Q2988" s="53" t="s">
        <v>234</v>
      </c>
      <c r="R2988" s="22">
        <v>10</v>
      </c>
      <c r="S2988" s="59">
        <v>40149.65</v>
      </c>
      <c r="T2988" s="4">
        <v>0</v>
      </c>
      <c r="U2988" s="4">
        <f>T2988*1.12</f>
        <v>0</v>
      </c>
      <c r="V2988" s="1"/>
      <c r="W2988" s="3">
        <v>2014</v>
      </c>
      <c r="X2988" s="3" t="s">
        <v>14785</v>
      </c>
    </row>
    <row r="2989" spans="1:24" ht="114.75">
      <c r="A2989" s="3" t="s">
        <v>16483</v>
      </c>
      <c r="B2989" s="6" t="s">
        <v>361</v>
      </c>
      <c r="C2989" s="6" t="s">
        <v>4890</v>
      </c>
      <c r="D2989" s="6" t="s">
        <v>4882</v>
      </c>
      <c r="E2989" s="6" t="s">
        <v>4891</v>
      </c>
      <c r="F2989" s="53" t="s">
        <v>4859</v>
      </c>
      <c r="G2989" s="3" t="s">
        <v>11450</v>
      </c>
      <c r="H2989" s="54">
        <v>0</v>
      </c>
      <c r="I2989" s="55">
        <v>470000000</v>
      </c>
      <c r="J2989" s="56" t="s">
        <v>229</v>
      </c>
      <c r="K2989" s="57" t="s">
        <v>10120</v>
      </c>
      <c r="L2989" s="17" t="s">
        <v>11920</v>
      </c>
      <c r="M2989" s="3" t="s">
        <v>230</v>
      </c>
      <c r="N2989" s="52" t="s">
        <v>7693</v>
      </c>
      <c r="O2989" s="6" t="s">
        <v>365</v>
      </c>
      <c r="P2989" s="58" t="s">
        <v>241</v>
      </c>
      <c r="Q2989" s="53" t="s">
        <v>234</v>
      </c>
      <c r="R2989" s="22">
        <v>10</v>
      </c>
      <c r="S2989" s="59">
        <v>48179.58</v>
      </c>
      <c r="T2989" s="4">
        <f>R2989*S2989</f>
        <v>481795.80000000005</v>
      </c>
      <c r="U2989" s="4">
        <f>T2989*1.12</f>
        <v>539611.29600000009</v>
      </c>
      <c r="V2989" s="1"/>
      <c r="W2989" s="3">
        <v>2014</v>
      </c>
      <c r="X2989" s="3"/>
    </row>
    <row r="2990" spans="1:24" ht="114.75">
      <c r="A2990" s="3" t="s">
        <v>1599</v>
      </c>
      <c r="B2990" s="6" t="s">
        <v>361</v>
      </c>
      <c r="C2990" s="6" t="s">
        <v>4894</v>
      </c>
      <c r="D2990" s="6" t="s">
        <v>4882</v>
      </c>
      <c r="E2990" s="6" t="s">
        <v>4895</v>
      </c>
      <c r="F2990" s="53" t="s">
        <v>4860</v>
      </c>
      <c r="G2990" s="6" t="s">
        <v>11450</v>
      </c>
      <c r="H2990" s="54">
        <v>0</v>
      </c>
      <c r="I2990" s="55">
        <v>470000000</v>
      </c>
      <c r="J2990" s="56" t="s">
        <v>229</v>
      </c>
      <c r="K2990" s="57" t="s">
        <v>641</v>
      </c>
      <c r="L2990" s="57" t="s">
        <v>364</v>
      </c>
      <c r="M2990" s="3" t="s">
        <v>230</v>
      </c>
      <c r="N2990" s="52" t="s">
        <v>7693</v>
      </c>
      <c r="O2990" s="6" t="s">
        <v>365</v>
      </c>
      <c r="P2990" s="58" t="s">
        <v>241</v>
      </c>
      <c r="Q2990" s="53" t="s">
        <v>234</v>
      </c>
      <c r="R2990" s="22">
        <v>10</v>
      </c>
      <c r="S2990" s="59">
        <v>23196.43</v>
      </c>
      <c r="T2990" s="4">
        <v>0</v>
      </c>
      <c r="U2990" s="4">
        <f t="shared" si="76"/>
        <v>0</v>
      </c>
      <c r="V2990" s="1"/>
      <c r="W2990" s="3">
        <v>2014</v>
      </c>
      <c r="X2990" s="3">
        <v>11.12</v>
      </c>
    </row>
    <row r="2991" spans="1:24" ht="114.75">
      <c r="A2991" s="3" t="s">
        <v>11933</v>
      </c>
      <c r="B2991" s="6" t="s">
        <v>361</v>
      </c>
      <c r="C2991" s="6" t="s">
        <v>4894</v>
      </c>
      <c r="D2991" s="6" t="s">
        <v>4882</v>
      </c>
      <c r="E2991" s="6" t="s">
        <v>4895</v>
      </c>
      <c r="F2991" s="53" t="s">
        <v>4860</v>
      </c>
      <c r="G2991" s="6" t="s">
        <v>11450</v>
      </c>
      <c r="H2991" s="54">
        <v>0</v>
      </c>
      <c r="I2991" s="55">
        <v>470000000</v>
      </c>
      <c r="J2991" s="56" t="s">
        <v>229</v>
      </c>
      <c r="K2991" s="57" t="s">
        <v>11919</v>
      </c>
      <c r="L2991" s="17" t="s">
        <v>11920</v>
      </c>
      <c r="M2991" s="3" t="s">
        <v>230</v>
      </c>
      <c r="N2991" s="52" t="s">
        <v>7693</v>
      </c>
      <c r="O2991" s="6" t="s">
        <v>365</v>
      </c>
      <c r="P2991" s="58" t="s">
        <v>241</v>
      </c>
      <c r="Q2991" s="53" t="s">
        <v>234</v>
      </c>
      <c r="R2991" s="22">
        <v>10</v>
      </c>
      <c r="S2991" s="59">
        <v>23196.43</v>
      </c>
      <c r="T2991" s="4">
        <v>0</v>
      </c>
      <c r="U2991" s="4">
        <f>T2991*1.12</f>
        <v>0</v>
      </c>
      <c r="V2991" s="1"/>
      <c r="W2991" s="3">
        <v>2014</v>
      </c>
      <c r="X2991" s="3" t="s">
        <v>14785</v>
      </c>
    </row>
    <row r="2992" spans="1:24" ht="114.75">
      <c r="A2992" s="3" t="s">
        <v>16484</v>
      </c>
      <c r="B2992" s="6" t="s">
        <v>361</v>
      </c>
      <c r="C2992" s="6" t="s">
        <v>4894</v>
      </c>
      <c r="D2992" s="6" t="s">
        <v>4882</v>
      </c>
      <c r="E2992" s="6" t="s">
        <v>4895</v>
      </c>
      <c r="F2992" s="53" t="s">
        <v>4860</v>
      </c>
      <c r="G2992" s="3" t="s">
        <v>11450</v>
      </c>
      <c r="H2992" s="54">
        <v>0</v>
      </c>
      <c r="I2992" s="55">
        <v>470000000</v>
      </c>
      <c r="J2992" s="56" t="s">
        <v>229</v>
      </c>
      <c r="K2992" s="57" t="s">
        <v>10120</v>
      </c>
      <c r="L2992" s="17" t="s">
        <v>11920</v>
      </c>
      <c r="M2992" s="3" t="s">
        <v>230</v>
      </c>
      <c r="N2992" s="52" t="s">
        <v>7693</v>
      </c>
      <c r="O2992" s="6" t="s">
        <v>365</v>
      </c>
      <c r="P2992" s="58" t="s">
        <v>241</v>
      </c>
      <c r="Q2992" s="53" t="s">
        <v>234</v>
      </c>
      <c r="R2992" s="22">
        <v>10</v>
      </c>
      <c r="S2992" s="59">
        <v>27835.716</v>
      </c>
      <c r="T2992" s="4">
        <f>R2992*S2992</f>
        <v>278357.16000000003</v>
      </c>
      <c r="U2992" s="4">
        <f>T2992*1.12</f>
        <v>311760.01920000004</v>
      </c>
      <c r="V2992" s="1"/>
      <c r="W2992" s="3">
        <v>2014</v>
      </c>
      <c r="X2992" s="3"/>
    </row>
    <row r="2993" spans="1:24" ht="114.75">
      <c r="A2993" s="3" t="s">
        <v>1600</v>
      </c>
      <c r="B2993" s="6" t="s">
        <v>361</v>
      </c>
      <c r="C2993" s="6" t="s">
        <v>4896</v>
      </c>
      <c r="D2993" s="6" t="s">
        <v>4882</v>
      </c>
      <c r="E2993" s="6" t="s">
        <v>4897</v>
      </c>
      <c r="F2993" s="53" t="s">
        <v>4861</v>
      </c>
      <c r="G2993" s="6" t="s">
        <v>11450</v>
      </c>
      <c r="H2993" s="54">
        <v>0</v>
      </c>
      <c r="I2993" s="55">
        <v>470000000</v>
      </c>
      <c r="J2993" s="56" t="s">
        <v>229</v>
      </c>
      <c r="K2993" s="57" t="s">
        <v>641</v>
      </c>
      <c r="L2993" s="57" t="s">
        <v>364</v>
      </c>
      <c r="M2993" s="3" t="s">
        <v>230</v>
      </c>
      <c r="N2993" s="52" t="s">
        <v>7693</v>
      </c>
      <c r="O2993" s="6" t="s">
        <v>365</v>
      </c>
      <c r="P2993" s="58" t="s">
        <v>241</v>
      </c>
      <c r="Q2993" s="53" t="s">
        <v>234</v>
      </c>
      <c r="R2993" s="22">
        <v>12</v>
      </c>
      <c r="S2993" s="59">
        <v>6580.72</v>
      </c>
      <c r="T2993" s="4">
        <v>0</v>
      </c>
      <c r="U2993" s="4">
        <f t="shared" si="76"/>
        <v>0</v>
      </c>
      <c r="V2993" s="1"/>
      <c r="W2993" s="3">
        <v>2014</v>
      </c>
      <c r="X2993" s="3">
        <v>11.12</v>
      </c>
    </row>
    <row r="2994" spans="1:24" ht="114.75">
      <c r="A2994" s="3" t="s">
        <v>11934</v>
      </c>
      <c r="B2994" s="6" t="s">
        <v>361</v>
      </c>
      <c r="C2994" s="6" t="s">
        <v>4896</v>
      </c>
      <c r="D2994" s="6" t="s">
        <v>4882</v>
      </c>
      <c r="E2994" s="6" t="s">
        <v>4897</v>
      </c>
      <c r="F2994" s="53" t="s">
        <v>4861</v>
      </c>
      <c r="G2994" s="6" t="s">
        <v>11450</v>
      </c>
      <c r="H2994" s="54">
        <v>0</v>
      </c>
      <c r="I2994" s="55">
        <v>470000000</v>
      </c>
      <c r="J2994" s="56" t="s">
        <v>229</v>
      </c>
      <c r="K2994" s="57" t="s">
        <v>11919</v>
      </c>
      <c r="L2994" s="17" t="s">
        <v>11920</v>
      </c>
      <c r="M2994" s="3" t="s">
        <v>230</v>
      </c>
      <c r="N2994" s="52" t="s">
        <v>7693</v>
      </c>
      <c r="O2994" s="6" t="s">
        <v>365</v>
      </c>
      <c r="P2994" s="58" t="s">
        <v>241</v>
      </c>
      <c r="Q2994" s="53" t="s">
        <v>234</v>
      </c>
      <c r="R2994" s="22">
        <v>12</v>
      </c>
      <c r="S2994" s="59">
        <v>6580.72</v>
      </c>
      <c r="T2994" s="4">
        <v>0</v>
      </c>
      <c r="U2994" s="4">
        <f>T2994*1.12</f>
        <v>0</v>
      </c>
      <c r="V2994" s="1"/>
      <c r="W2994" s="3">
        <v>2014</v>
      </c>
      <c r="X2994" s="3" t="s">
        <v>14785</v>
      </c>
    </row>
    <row r="2995" spans="1:24" ht="114.75">
      <c r="A2995" s="3" t="s">
        <v>16485</v>
      </c>
      <c r="B2995" s="6" t="s">
        <v>361</v>
      </c>
      <c r="C2995" s="6" t="s">
        <v>4896</v>
      </c>
      <c r="D2995" s="6" t="s">
        <v>4882</v>
      </c>
      <c r="E2995" s="6" t="s">
        <v>4897</v>
      </c>
      <c r="F2995" s="53" t="s">
        <v>4861</v>
      </c>
      <c r="G2995" s="3" t="s">
        <v>11450</v>
      </c>
      <c r="H2995" s="54">
        <v>0</v>
      </c>
      <c r="I2995" s="55">
        <v>470000000</v>
      </c>
      <c r="J2995" s="56" t="s">
        <v>229</v>
      </c>
      <c r="K2995" s="57" t="s">
        <v>10120</v>
      </c>
      <c r="L2995" s="17" t="s">
        <v>11920</v>
      </c>
      <c r="M2995" s="3" t="s">
        <v>230</v>
      </c>
      <c r="N2995" s="52" t="s">
        <v>7693</v>
      </c>
      <c r="O2995" s="6" t="s">
        <v>365</v>
      </c>
      <c r="P2995" s="58" t="s">
        <v>241</v>
      </c>
      <c r="Q2995" s="53" t="s">
        <v>234</v>
      </c>
      <c r="R2995" s="22">
        <v>12</v>
      </c>
      <c r="S2995" s="59">
        <v>7896.8639999999996</v>
      </c>
      <c r="T2995" s="4">
        <f>R2995*S2995</f>
        <v>94762.367999999988</v>
      </c>
      <c r="U2995" s="4">
        <f>T2995*1.12</f>
        <v>106133.85215999999</v>
      </c>
      <c r="V2995" s="1"/>
      <c r="W2995" s="3">
        <v>2014</v>
      </c>
      <c r="X2995" s="3"/>
    </row>
    <row r="2996" spans="1:24" ht="114.75">
      <c r="A2996" s="3" t="s">
        <v>1601</v>
      </c>
      <c r="B2996" s="6" t="s">
        <v>361</v>
      </c>
      <c r="C2996" s="6" t="s">
        <v>4898</v>
      </c>
      <c r="D2996" s="6" t="s">
        <v>4882</v>
      </c>
      <c r="E2996" s="6" t="s">
        <v>4899</v>
      </c>
      <c r="F2996" s="53" t="s">
        <v>4862</v>
      </c>
      <c r="G2996" s="6" t="s">
        <v>11450</v>
      </c>
      <c r="H2996" s="54">
        <v>0</v>
      </c>
      <c r="I2996" s="55">
        <v>470000000</v>
      </c>
      <c r="J2996" s="56" t="s">
        <v>229</v>
      </c>
      <c r="K2996" s="57" t="s">
        <v>641</v>
      </c>
      <c r="L2996" s="57" t="s">
        <v>364</v>
      </c>
      <c r="M2996" s="3" t="s">
        <v>230</v>
      </c>
      <c r="N2996" s="52" t="s">
        <v>7693</v>
      </c>
      <c r="O2996" s="6" t="s">
        <v>365</v>
      </c>
      <c r="P2996" s="58" t="s">
        <v>241</v>
      </c>
      <c r="Q2996" s="53" t="s">
        <v>234</v>
      </c>
      <c r="R2996" s="22">
        <v>14</v>
      </c>
      <c r="S2996" s="59">
        <v>8265</v>
      </c>
      <c r="T2996" s="4">
        <v>0</v>
      </c>
      <c r="U2996" s="4">
        <f t="shared" si="76"/>
        <v>0</v>
      </c>
      <c r="V2996" s="1"/>
      <c r="W2996" s="3">
        <v>2014</v>
      </c>
      <c r="X2996" s="3">
        <v>11.12</v>
      </c>
    </row>
    <row r="2997" spans="1:24" ht="114.75">
      <c r="A2997" s="3" t="s">
        <v>11935</v>
      </c>
      <c r="B2997" s="6" t="s">
        <v>361</v>
      </c>
      <c r="C2997" s="6" t="s">
        <v>4898</v>
      </c>
      <c r="D2997" s="6" t="s">
        <v>4882</v>
      </c>
      <c r="E2997" s="6" t="s">
        <v>4899</v>
      </c>
      <c r="F2997" s="53" t="s">
        <v>4862</v>
      </c>
      <c r="G2997" s="6" t="s">
        <v>11450</v>
      </c>
      <c r="H2997" s="54">
        <v>0</v>
      </c>
      <c r="I2997" s="55">
        <v>470000000</v>
      </c>
      <c r="J2997" s="56" t="s">
        <v>229</v>
      </c>
      <c r="K2997" s="57" t="s">
        <v>11919</v>
      </c>
      <c r="L2997" s="17" t="s">
        <v>11920</v>
      </c>
      <c r="M2997" s="3" t="s">
        <v>230</v>
      </c>
      <c r="N2997" s="52" t="s">
        <v>7693</v>
      </c>
      <c r="O2997" s="6" t="s">
        <v>365</v>
      </c>
      <c r="P2997" s="58" t="s">
        <v>241</v>
      </c>
      <c r="Q2997" s="53" t="s">
        <v>234</v>
      </c>
      <c r="R2997" s="22">
        <v>14</v>
      </c>
      <c r="S2997" s="59">
        <v>8265</v>
      </c>
      <c r="T2997" s="4">
        <v>0</v>
      </c>
      <c r="U2997" s="4">
        <f>T2997*1.12</f>
        <v>0</v>
      </c>
      <c r="V2997" s="1"/>
      <c r="W2997" s="3">
        <v>2014</v>
      </c>
      <c r="X2997" s="3" t="s">
        <v>14785</v>
      </c>
    </row>
    <row r="2998" spans="1:24" ht="114.75">
      <c r="A2998" s="3" t="s">
        <v>16486</v>
      </c>
      <c r="B2998" s="6" t="s">
        <v>361</v>
      </c>
      <c r="C2998" s="6" t="s">
        <v>4898</v>
      </c>
      <c r="D2998" s="6" t="s">
        <v>4882</v>
      </c>
      <c r="E2998" s="6" t="s">
        <v>4899</v>
      </c>
      <c r="F2998" s="53" t="s">
        <v>4862</v>
      </c>
      <c r="G2998" s="3" t="s">
        <v>11450</v>
      </c>
      <c r="H2998" s="54">
        <v>0</v>
      </c>
      <c r="I2998" s="55">
        <v>470000000</v>
      </c>
      <c r="J2998" s="56" t="s">
        <v>229</v>
      </c>
      <c r="K2998" s="57" t="s">
        <v>10120</v>
      </c>
      <c r="L2998" s="17" t="s">
        <v>11920</v>
      </c>
      <c r="M2998" s="3" t="s">
        <v>230</v>
      </c>
      <c r="N2998" s="52" t="s">
        <v>7693</v>
      </c>
      <c r="O2998" s="6" t="s">
        <v>365</v>
      </c>
      <c r="P2998" s="58" t="s">
        <v>241</v>
      </c>
      <c r="Q2998" s="53" t="s">
        <v>234</v>
      </c>
      <c r="R2998" s="22">
        <v>14</v>
      </c>
      <c r="S2998" s="59">
        <v>9918</v>
      </c>
      <c r="T2998" s="4">
        <f>R2998*S2998</f>
        <v>138852</v>
      </c>
      <c r="U2998" s="4">
        <f>T2998*1.12</f>
        <v>155514.24000000002</v>
      </c>
      <c r="V2998" s="1"/>
      <c r="W2998" s="3">
        <v>2014</v>
      </c>
      <c r="X2998" s="3"/>
    </row>
    <row r="2999" spans="1:24" ht="114.75">
      <c r="A2999" s="3" t="s">
        <v>1602</v>
      </c>
      <c r="B2999" s="6" t="s">
        <v>361</v>
      </c>
      <c r="C2999" s="6" t="s">
        <v>4898</v>
      </c>
      <c r="D2999" s="6" t="s">
        <v>4882</v>
      </c>
      <c r="E2999" s="6" t="s">
        <v>4899</v>
      </c>
      <c r="F2999" s="53" t="s">
        <v>4863</v>
      </c>
      <c r="G2999" s="6" t="s">
        <v>11450</v>
      </c>
      <c r="H2999" s="54">
        <v>0</v>
      </c>
      <c r="I2999" s="55">
        <v>470000000</v>
      </c>
      <c r="J2999" s="56" t="s">
        <v>229</v>
      </c>
      <c r="K2999" s="57" t="s">
        <v>641</v>
      </c>
      <c r="L2999" s="57" t="s">
        <v>364</v>
      </c>
      <c r="M2999" s="3" t="s">
        <v>230</v>
      </c>
      <c r="N2999" s="52" t="s">
        <v>7693</v>
      </c>
      <c r="O2999" s="6" t="s">
        <v>365</v>
      </c>
      <c r="P2999" s="58" t="s">
        <v>241</v>
      </c>
      <c r="Q2999" s="53" t="s">
        <v>234</v>
      </c>
      <c r="R2999" s="22">
        <v>14</v>
      </c>
      <c r="S2999" s="59">
        <v>9707.15</v>
      </c>
      <c r="T2999" s="4">
        <v>0</v>
      </c>
      <c r="U2999" s="4">
        <f t="shared" si="76"/>
        <v>0</v>
      </c>
      <c r="V2999" s="1"/>
      <c r="W2999" s="3">
        <v>2014</v>
      </c>
      <c r="X2999" s="3">
        <v>11.12</v>
      </c>
    </row>
    <row r="3000" spans="1:24" ht="114.75">
      <c r="A3000" s="3" t="s">
        <v>11936</v>
      </c>
      <c r="B3000" s="6" t="s">
        <v>361</v>
      </c>
      <c r="C3000" s="6" t="s">
        <v>4898</v>
      </c>
      <c r="D3000" s="6" t="s">
        <v>4882</v>
      </c>
      <c r="E3000" s="6" t="s">
        <v>4899</v>
      </c>
      <c r="F3000" s="53" t="s">
        <v>4863</v>
      </c>
      <c r="G3000" s="6" t="s">
        <v>11450</v>
      </c>
      <c r="H3000" s="54">
        <v>0</v>
      </c>
      <c r="I3000" s="55">
        <v>470000000</v>
      </c>
      <c r="J3000" s="56" t="s">
        <v>229</v>
      </c>
      <c r="K3000" s="57" t="s">
        <v>11919</v>
      </c>
      <c r="L3000" s="17" t="s">
        <v>11920</v>
      </c>
      <c r="M3000" s="3" t="s">
        <v>230</v>
      </c>
      <c r="N3000" s="52" t="s">
        <v>7693</v>
      </c>
      <c r="O3000" s="6" t="s">
        <v>365</v>
      </c>
      <c r="P3000" s="58" t="s">
        <v>241</v>
      </c>
      <c r="Q3000" s="53" t="s">
        <v>234</v>
      </c>
      <c r="R3000" s="22">
        <v>14</v>
      </c>
      <c r="S3000" s="59">
        <v>9707.15</v>
      </c>
      <c r="T3000" s="4">
        <v>0</v>
      </c>
      <c r="U3000" s="4">
        <f>T3000*1.12</f>
        <v>0</v>
      </c>
      <c r="V3000" s="1"/>
      <c r="W3000" s="3">
        <v>2014</v>
      </c>
      <c r="X3000" s="3" t="s">
        <v>14785</v>
      </c>
    </row>
    <row r="3001" spans="1:24" ht="114.75">
      <c r="A3001" s="3" t="s">
        <v>16487</v>
      </c>
      <c r="B3001" s="6" t="s">
        <v>361</v>
      </c>
      <c r="C3001" s="6" t="s">
        <v>4898</v>
      </c>
      <c r="D3001" s="6" t="s">
        <v>4882</v>
      </c>
      <c r="E3001" s="6" t="s">
        <v>4899</v>
      </c>
      <c r="F3001" s="53" t="s">
        <v>4863</v>
      </c>
      <c r="G3001" s="3" t="s">
        <v>11450</v>
      </c>
      <c r="H3001" s="54">
        <v>0</v>
      </c>
      <c r="I3001" s="55">
        <v>470000000</v>
      </c>
      <c r="J3001" s="56" t="s">
        <v>229</v>
      </c>
      <c r="K3001" s="57" t="s">
        <v>10120</v>
      </c>
      <c r="L3001" s="17" t="s">
        <v>11920</v>
      </c>
      <c r="M3001" s="3" t="s">
        <v>230</v>
      </c>
      <c r="N3001" s="52" t="s">
        <v>7693</v>
      </c>
      <c r="O3001" s="6" t="s">
        <v>365</v>
      </c>
      <c r="P3001" s="58" t="s">
        <v>241</v>
      </c>
      <c r="Q3001" s="53" t="s">
        <v>234</v>
      </c>
      <c r="R3001" s="22">
        <v>14</v>
      </c>
      <c r="S3001" s="59">
        <v>11648.58</v>
      </c>
      <c r="T3001" s="4">
        <f>R3001*S3001</f>
        <v>163080.12</v>
      </c>
      <c r="U3001" s="4">
        <f>T3001*1.12</f>
        <v>182649.73440000002</v>
      </c>
      <c r="V3001" s="1"/>
      <c r="W3001" s="3">
        <v>2014</v>
      </c>
      <c r="X3001" s="3"/>
    </row>
    <row r="3002" spans="1:24" ht="114.75">
      <c r="A3002" s="3" t="s">
        <v>1603</v>
      </c>
      <c r="B3002" s="6" t="s">
        <v>361</v>
      </c>
      <c r="C3002" s="6" t="s">
        <v>4900</v>
      </c>
      <c r="D3002" s="6" t="s">
        <v>4882</v>
      </c>
      <c r="E3002" s="6" t="s">
        <v>4901</v>
      </c>
      <c r="F3002" s="53" t="s">
        <v>4864</v>
      </c>
      <c r="G3002" s="6" t="s">
        <v>11450</v>
      </c>
      <c r="H3002" s="54">
        <v>0</v>
      </c>
      <c r="I3002" s="55">
        <v>470000000</v>
      </c>
      <c r="J3002" s="56" t="s">
        <v>229</v>
      </c>
      <c r="K3002" s="57" t="s">
        <v>641</v>
      </c>
      <c r="L3002" s="57" t="s">
        <v>364</v>
      </c>
      <c r="M3002" s="3" t="s">
        <v>230</v>
      </c>
      <c r="N3002" s="52" t="s">
        <v>7693</v>
      </c>
      <c r="O3002" s="6" t="s">
        <v>365</v>
      </c>
      <c r="P3002" s="58" t="s">
        <v>241</v>
      </c>
      <c r="Q3002" s="53" t="s">
        <v>234</v>
      </c>
      <c r="R3002" s="22">
        <v>14</v>
      </c>
      <c r="S3002" s="59">
        <v>11685</v>
      </c>
      <c r="T3002" s="4">
        <v>0</v>
      </c>
      <c r="U3002" s="4">
        <f t="shared" si="76"/>
        <v>0</v>
      </c>
      <c r="V3002" s="1"/>
      <c r="W3002" s="3">
        <v>2014</v>
      </c>
      <c r="X3002" s="3">
        <v>11.12</v>
      </c>
    </row>
    <row r="3003" spans="1:24" ht="114.75">
      <c r="A3003" s="3" t="s">
        <v>11937</v>
      </c>
      <c r="B3003" s="6" t="s">
        <v>361</v>
      </c>
      <c r="C3003" s="6" t="s">
        <v>4900</v>
      </c>
      <c r="D3003" s="6" t="s">
        <v>4882</v>
      </c>
      <c r="E3003" s="6" t="s">
        <v>4901</v>
      </c>
      <c r="F3003" s="53" t="s">
        <v>4864</v>
      </c>
      <c r="G3003" s="6" t="s">
        <v>11450</v>
      </c>
      <c r="H3003" s="54">
        <v>0</v>
      </c>
      <c r="I3003" s="55">
        <v>470000000</v>
      </c>
      <c r="J3003" s="56" t="s">
        <v>229</v>
      </c>
      <c r="K3003" s="57" t="s">
        <v>11919</v>
      </c>
      <c r="L3003" s="17" t="s">
        <v>11920</v>
      </c>
      <c r="M3003" s="3" t="s">
        <v>230</v>
      </c>
      <c r="N3003" s="52" t="s">
        <v>7693</v>
      </c>
      <c r="O3003" s="6" t="s">
        <v>365</v>
      </c>
      <c r="P3003" s="58" t="s">
        <v>241</v>
      </c>
      <c r="Q3003" s="53" t="s">
        <v>234</v>
      </c>
      <c r="R3003" s="22">
        <v>14</v>
      </c>
      <c r="S3003" s="59">
        <v>11685</v>
      </c>
      <c r="T3003" s="4">
        <v>0</v>
      </c>
      <c r="U3003" s="4">
        <f>T3003*1.12</f>
        <v>0</v>
      </c>
      <c r="V3003" s="1"/>
      <c r="W3003" s="3">
        <v>2014</v>
      </c>
      <c r="X3003" s="3" t="s">
        <v>14785</v>
      </c>
    </row>
    <row r="3004" spans="1:24" ht="114.75">
      <c r="A3004" s="3" t="s">
        <v>16488</v>
      </c>
      <c r="B3004" s="6" t="s">
        <v>361</v>
      </c>
      <c r="C3004" s="6" t="s">
        <v>4900</v>
      </c>
      <c r="D3004" s="6" t="s">
        <v>4882</v>
      </c>
      <c r="E3004" s="6" t="s">
        <v>4901</v>
      </c>
      <c r="F3004" s="53" t="s">
        <v>4864</v>
      </c>
      <c r="G3004" s="3" t="s">
        <v>11450</v>
      </c>
      <c r="H3004" s="54">
        <v>0</v>
      </c>
      <c r="I3004" s="55">
        <v>470000000</v>
      </c>
      <c r="J3004" s="56" t="s">
        <v>229</v>
      </c>
      <c r="K3004" s="57" t="s">
        <v>10120</v>
      </c>
      <c r="L3004" s="17" t="s">
        <v>11920</v>
      </c>
      <c r="M3004" s="3" t="s">
        <v>230</v>
      </c>
      <c r="N3004" s="52" t="s">
        <v>7693</v>
      </c>
      <c r="O3004" s="6" t="s">
        <v>365</v>
      </c>
      <c r="P3004" s="58" t="s">
        <v>241</v>
      </c>
      <c r="Q3004" s="53" t="s">
        <v>234</v>
      </c>
      <c r="R3004" s="22">
        <v>14</v>
      </c>
      <c r="S3004" s="59">
        <v>14022</v>
      </c>
      <c r="T3004" s="4">
        <f>R3004*S3004</f>
        <v>196308</v>
      </c>
      <c r="U3004" s="4">
        <f>T3004*1.12</f>
        <v>219864.96000000002</v>
      </c>
      <c r="V3004" s="1"/>
      <c r="W3004" s="3">
        <v>2014</v>
      </c>
      <c r="X3004" s="3"/>
    </row>
    <row r="3005" spans="1:24" ht="114.75">
      <c r="A3005" s="3" t="s">
        <v>1604</v>
      </c>
      <c r="B3005" s="6" t="s">
        <v>361</v>
      </c>
      <c r="C3005" s="6" t="s">
        <v>4900</v>
      </c>
      <c r="D3005" s="6" t="s">
        <v>4882</v>
      </c>
      <c r="E3005" s="6" t="s">
        <v>4901</v>
      </c>
      <c r="F3005" s="53" t="s">
        <v>4865</v>
      </c>
      <c r="G3005" s="6" t="s">
        <v>11450</v>
      </c>
      <c r="H3005" s="54">
        <v>0</v>
      </c>
      <c r="I3005" s="55">
        <v>470000000</v>
      </c>
      <c r="J3005" s="56" t="s">
        <v>229</v>
      </c>
      <c r="K3005" s="57" t="s">
        <v>641</v>
      </c>
      <c r="L3005" s="57" t="s">
        <v>364</v>
      </c>
      <c r="M3005" s="3" t="s">
        <v>230</v>
      </c>
      <c r="N3005" s="52" t="s">
        <v>7693</v>
      </c>
      <c r="O3005" s="6" t="s">
        <v>365</v>
      </c>
      <c r="P3005" s="58" t="s">
        <v>241</v>
      </c>
      <c r="Q3005" s="53" t="s">
        <v>234</v>
      </c>
      <c r="R3005" s="22">
        <v>14</v>
      </c>
      <c r="S3005" s="59">
        <v>12305.35</v>
      </c>
      <c r="T3005" s="4">
        <v>0</v>
      </c>
      <c r="U3005" s="4">
        <f t="shared" si="76"/>
        <v>0</v>
      </c>
      <c r="V3005" s="1"/>
      <c r="W3005" s="3">
        <v>2014</v>
      </c>
      <c r="X3005" s="3">
        <v>11.12</v>
      </c>
    </row>
    <row r="3006" spans="1:24" ht="114.75">
      <c r="A3006" s="3" t="s">
        <v>11938</v>
      </c>
      <c r="B3006" s="6" t="s">
        <v>361</v>
      </c>
      <c r="C3006" s="6" t="s">
        <v>4900</v>
      </c>
      <c r="D3006" s="6" t="s">
        <v>4882</v>
      </c>
      <c r="E3006" s="6" t="s">
        <v>4901</v>
      </c>
      <c r="F3006" s="53" t="s">
        <v>4865</v>
      </c>
      <c r="G3006" s="6" t="s">
        <v>11450</v>
      </c>
      <c r="H3006" s="54">
        <v>0</v>
      </c>
      <c r="I3006" s="55">
        <v>470000000</v>
      </c>
      <c r="J3006" s="56" t="s">
        <v>229</v>
      </c>
      <c r="K3006" s="57" t="s">
        <v>11919</v>
      </c>
      <c r="L3006" s="17" t="s">
        <v>11920</v>
      </c>
      <c r="M3006" s="3" t="s">
        <v>230</v>
      </c>
      <c r="N3006" s="52" t="s">
        <v>7693</v>
      </c>
      <c r="O3006" s="6" t="s">
        <v>365</v>
      </c>
      <c r="P3006" s="58" t="s">
        <v>241</v>
      </c>
      <c r="Q3006" s="53" t="s">
        <v>234</v>
      </c>
      <c r="R3006" s="22">
        <v>14</v>
      </c>
      <c r="S3006" s="59">
        <v>12305.35</v>
      </c>
      <c r="T3006" s="4">
        <v>0</v>
      </c>
      <c r="U3006" s="4">
        <f>T3006*1.12</f>
        <v>0</v>
      </c>
      <c r="V3006" s="1"/>
      <c r="W3006" s="3">
        <v>2014</v>
      </c>
      <c r="X3006" s="3" t="s">
        <v>14785</v>
      </c>
    </row>
    <row r="3007" spans="1:24" ht="114.75">
      <c r="A3007" s="3" t="s">
        <v>16489</v>
      </c>
      <c r="B3007" s="6" t="s">
        <v>361</v>
      </c>
      <c r="C3007" s="6" t="s">
        <v>4900</v>
      </c>
      <c r="D3007" s="6" t="s">
        <v>4882</v>
      </c>
      <c r="E3007" s="6" t="s">
        <v>4901</v>
      </c>
      <c r="F3007" s="53" t="s">
        <v>4865</v>
      </c>
      <c r="G3007" s="3" t="s">
        <v>11450</v>
      </c>
      <c r="H3007" s="54">
        <v>0</v>
      </c>
      <c r="I3007" s="55">
        <v>470000000</v>
      </c>
      <c r="J3007" s="56" t="s">
        <v>229</v>
      </c>
      <c r="K3007" s="57" t="s">
        <v>10120</v>
      </c>
      <c r="L3007" s="17" t="s">
        <v>11920</v>
      </c>
      <c r="M3007" s="3" t="s">
        <v>230</v>
      </c>
      <c r="N3007" s="52" t="s">
        <v>7693</v>
      </c>
      <c r="O3007" s="6" t="s">
        <v>365</v>
      </c>
      <c r="P3007" s="58" t="s">
        <v>241</v>
      </c>
      <c r="Q3007" s="53" t="s">
        <v>234</v>
      </c>
      <c r="R3007" s="22">
        <v>14</v>
      </c>
      <c r="S3007" s="59">
        <v>14766.42</v>
      </c>
      <c r="T3007" s="4">
        <f>R3007*S3007</f>
        <v>206729.88</v>
      </c>
      <c r="U3007" s="4">
        <f>T3007*1.12</f>
        <v>231537.46560000003</v>
      </c>
      <c r="V3007" s="1"/>
      <c r="W3007" s="3">
        <v>2014</v>
      </c>
      <c r="X3007" s="3"/>
    </row>
    <row r="3008" spans="1:24" ht="114.75">
      <c r="A3008" s="3" t="s">
        <v>1605</v>
      </c>
      <c r="B3008" s="6" t="s">
        <v>361</v>
      </c>
      <c r="C3008" s="6" t="s">
        <v>4900</v>
      </c>
      <c r="D3008" s="6" t="s">
        <v>4882</v>
      </c>
      <c r="E3008" s="6" t="s">
        <v>4901</v>
      </c>
      <c r="F3008" s="53" t="s">
        <v>4866</v>
      </c>
      <c r="G3008" s="6" t="s">
        <v>11450</v>
      </c>
      <c r="H3008" s="54">
        <v>0</v>
      </c>
      <c r="I3008" s="55">
        <v>470000000</v>
      </c>
      <c r="J3008" s="56" t="s">
        <v>229</v>
      </c>
      <c r="K3008" s="57" t="s">
        <v>641</v>
      </c>
      <c r="L3008" s="57" t="s">
        <v>364</v>
      </c>
      <c r="M3008" s="3" t="s">
        <v>230</v>
      </c>
      <c r="N3008" s="52" t="s">
        <v>7693</v>
      </c>
      <c r="O3008" s="6" t="s">
        <v>365</v>
      </c>
      <c r="P3008" s="58" t="s">
        <v>241</v>
      </c>
      <c r="Q3008" s="53" t="s">
        <v>234</v>
      </c>
      <c r="R3008" s="22">
        <v>14</v>
      </c>
      <c r="S3008" s="59">
        <v>14164.28</v>
      </c>
      <c r="T3008" s="4">
        <v>0</v>
      </c>
      <c r="U3008" s="4">
        <f t="shared" si="76"/>
        <v>0</v>
      </c>
      <c r="V3008" s="1"/>
      <c r="W3008" s="3">
        <v>2014</v>
      </c>
      <c r="X3008" s="3">
        <v>11.12</v>
      </c>
    </row>
    <row r="3009" spans="1:24" ht="114.75">
      <c r="A3009" s="3" t="s">
        <v>11939</v>
      </c>
      <c r="B3009" s="6" t="s">
        <v>361</v>
      </c>
      <c r="C3009" s="6" t="s">
        <v>4900</v>
      </c>
      <c r="D3009" s="6" t="s">
        <v>4882</v>
      </c>
      <c r="E3009" s="6" t="s">
        <v>4901</v>
      </c>
      <c r="F3009" s="53" t="s">
        <v>4866</v>
      </c>
      <c r="G3009" s="6" t="s">
        <v>11450</v>
      </c>
      <c r="H3009" s="54">
        <v>0</v>
      </c>
      <c r="I3009" s="55">
        <v>470000000</v>
      </c>
      <c r="J3009" s="56" t="s">
        <v>229</v>
      </c>
      <c r="K3009" s="57" t="s">
        <v>11919</v>
      </c>
      <c r="L3009" s="17" t="s">
        <v>11920</v>
      </c>
      <c r="M3009" s="3" t="s">
        <v>230</v>
      </c>
      <c r="N3009" s="52" t="s">
        <v>7693</v>
      </c>
      <c r="O3009" s="6" t="s">
        <v>365</v>
      </c>
      <c r="P3009" s="58" t="s">
        <v>241</v>
      </c>
      <c r="Q3009" s="53" t="s">
        <v>234</v>
      </c>
      <c r="R3009" s="22">
        <v>14</v>
      </c>
      <c r="S3009" s="59">
        <v>14164.28</v>
      </c>
      <c r="T3009" s="4">
        <v>0</v>
      </c>
      <c r="U3009" s="4">
        <f>T3009*1.12</f>
        <v>0</v>
      </c>
      <c r="V3009" s="1"/>
      <c r="W3009" s="3">
        <v>2014</v>
      </c>
      <c r="X3009" s="3" t="s">
        <v>14785</v>
      </c>
    </row>
    <row r="3010" spans="1:24" ht="114.75">
      <c r="A3010" s="3" t="s">
        <v>16490</v>
      </c>
      <c r="B3010" s="6" t="s">
        <v>361</v>
      </c>
      <c r="C3010" s="6" t="s">
        <v>4900</v>
      </c>
      <c r="D3010" s="6" t="s">
        <v>4882</v>
      </c>
      <c r="E3010" s="6" t="s">
        <v>4901</v>
      </c>
      <c r="F3010" s="53" t="s">
        <v>4866</v>
      </c>
      <c r="G3010" s="3" t="s">
        <v>11450</v>
      </c>
      <c r="H3010" s="54">
        <v>0</v>
      </c>
      <c r="I3010" s="55">
        <v>470000000</v>
      </c>
      <c r="J3010" s="56" t="s">
        <v>229</v>
      </c>
      <c r="K3010" s="57" t="s">
        <v>10120</v>
      </c>
      <c r="L3010" s="17" t="s">
        <v>11920</v>
      </c>
      <c r="M3010" s="3" t="s">
        <v>230</v>
      </c>
      <c r="N3010" s="52" t="s">
        <v>7693</v>
      </c>
      <c r="O3010" s="6" t="s">
        <v>365</v>
      </c>
      <c r="P3010" s="58" t="s">
        <v>241</v>
      </c>
      <c r="Q3010" s="53" t="s">
        <v>234</v>
      </c>
      <c r="R3010" s="22">
        <v>14</v>
      </c>
      <c r="S3010" s="59">
        <v>16997.135999999999</v>
      </c>
      <c r="T3010" s="4">
        <f>R3010*S3010</f>
        <v>237959.90399999998</v>
      </c>
      <c r="U3010" s="4">
        <f>T3010*1.12</f>
        <v>266515.09247999999</v>
      </c>
      <c r="V3010" s="1"/>
      <c r="W3010" s="3">
        <v>2014</v>
      </c>
      <c r="X3010" s="3"/>
    </row>
    <row r="3011" spans="1:24" ht="114.75">
      <c r="A3011" s="3" t="s">
        <v>1606</v>
      </c>
      <c r="B3011" s="6" t="s">
        <v>361</v>
      </c>
      <c r="C3011" s="6" t="s">
        <v>4892</v>
      </c>
      <c r="D3011" s="6" t="s">
        <v>4882</v>
      </c>
      <c r="E3011" s="6" t="s">
        <v>4893</v>
      </c>
      <c r="F3011" s="53" t="s">
        <v>4867</v>
      </c>
      <c r="G3011" s="6" t="s">
        <v>11450</v>
      </c>
      <c r="H3011" s="54">
        <v>0</v>
      </c>
      <c r="I3011" s="55">
        <v>470000000</v>
      </c>
      <c r="J3011" s="56" t="s">
        <v>229</v>
      </c>
      <c r="K3011" s="57" t="s">
        <v>641</v>
      </c>
      <c r="L3011" s="57" t="s">
        <v>364</v>
      </c>
      <c r="M3011" s="3" t="s">
        <v>230</v>
      </c>
      <c r="N3011" s="52" t="s">
        <v>7693</v>
      </c>
      <c r="O3011" s="6" t="s">
        <v>365</v>
      </c>
      <c r="P3011" s="58" t="s">
        <v>241</v>
      </c>
      <c r="Q3011" s="53" t="s">
        <v>234</v>
      </c>
      <c r="R3011" s="22">
        <v>14</v>
      </c>
      <c r="S3011" s="59">
        <v>16870.72</v>
      </c>
      <c r="T3011" s="4">
        <v>0</v>
      </c>
      <c r="U3011" s="4">
        <f t="shared" si="76"/>
        <v>0</v>
      </c>
      <c r="V3011" s="1"/>
      <c r="W3011" s="3">
        <v>2014</v>
      </c>
      <c r="X3011" s="3">
        <v>11.12</v>
      </c>
    </row>
    <row r="3012" spans="1:24" ht="114.75">
      <c r="A3012" s="3" t="s">
        <v>11940</v>
      </c>
      <c r="B3012" s="6" t="s">
        <v>361</v>
      </c>
      <c r="C3012" s="6" t="s">
        <v>4892</v>
      </c>
      <c r="D3012" s="6" t="s">
        <v>4882</v>
      </c>
      <c r="E3012" s="6" t="s">
        <v>4893</v>
      </c>
      <c r="F3012" s="53" t="s">
        <v>4867</v>
      </c>
      <c r="G3012" s="6" t="s">
        <v>11450</v>
      </c>
      <c r="H3012" s="54">
        <v>0</v>
      </c>
      <c r="I3012" s="55">
        <v>470000000</v>
      </c>
      <c r="J3012" s="56" t="s">
        <v>229</v>
      </c>
      <c r="K3012" s="57" t="s">
        <v>11919</v>
      </c>
      <c r="L3012" s="17" t="s">
        <v>11920</v>
      </c>
      <c r="M3012" s="3" t="s">
        <v>230</v>
      </c>
      <c r="N3012" s="52" t="s">
        <v>7693</v>
      </c>
      <c r="O3012" s="6" t="s">
        <v>365</v>
      </c>
      <c r="P3012" s="58" t="s">
        <v>241</v>
      </c>
      <c r="Q3012" s="53" t="s">
        <v>234</v>
      </c>
      <c r="R3012" s="22">
        <v>14</v>
      </c>
      <c r="S3012" s="59">
        <v>16870.72</v>
      </c>
      <c r="T3012" s="4">
        <v>0</v>
      </c>
      <c r="U3012" s="4">
        <f>T3012*1.12</f>
        <v>0</v>
      </c>
      <c r="V3012" s="1"/>
      <c r="W3012" s="3">
        <v>2014</v>
      </c>
      <c r="X3012" s="3" t="s">
        <v>14785</v>
      </c>
    </row>
    <row r="3013" spans="1:24" ht="114.75">
      <c r="A3013" s="3" t="s">
        <v>16491</v>
      </c>
      <c r="B3013" s="6" t="s">
        <v>361</v>
      </c>
      <c r="C3013" s="6" t="s">
        <v>4892</v>
      </c>
      <c r="D3013" s="6" t="s">
        <v>4882</v>
      </c>
      <c r="E3013" s="6" t="s">
        <v>4893</v>
      </c>
      <c r="F3013" s="53" t="s">
        <v>4867</v>
      </c>
      <c r="G3013" s="3" t="s">
        <v>11450</v>
      </c>
      <c r="H3013" s="54">
        <v>0</v>
      </c>
      <c r="I3013" s="55">
        <v>470000000</v>
      </c>
      <c r="J3013" s="56" t="s">
        <v>229</v>
      </c>
      <c r="K3013" s="57" t="s">
        <v>10120</v>
      </c>
      <c r="L3013" s="17" t="s">
        <v>11920</v>
      </c>
      <c r="M3013" s="3" t="s">
        <v>230</v>
      </c>
      <c r="N3013" s="52" t="s">
        <v>7693</v>
      </c>
      <c r="O3013" s="6" t="s">
        <v>365</v>
      </c>
      <c r="P3013" s="58" t="s">
        <v>241</v>
      </c>
      <c r="Q3013" s="53" t="s">
        <v>234</v>
      </c>
      <c r="R3013" s="22">
        <v>14</v>
      </c>
      <c r="S3013" s="59">
        <v>20244.864000000001</v>
      </c>
      <c r="T3013" s="4">
        <f>R3013*S3013</f>
        <v>283428.09600000002</v>
      </c>
      <c r="U3013" s="4">
        <f>T3013*1.12</f>
        <v>317439.46752000006</v>
      </c>
      <c r="V3013" s="1"/>
      <c r="W3013" s="3">
        <v>2014</v>
      </c>
      <c r="X3013" s="3"/>
    </row>
    <row r="3014" spans="1:24" ht="114.75">
      <c r="A3014" s="3" t="s">
        <v>1607</v>
      </c>
      <c r="B3014" s="6" t="s">
        <v>361</v>
      </c>
      <c r="C3014" s="6" t="s">
        <v>4894</v>
      </c>
      <c r="D3014" s="6" t="s">
        <v>4882</v>
      </c>
      <c r="E3014" s="6" t="s">
        <v>4895</v>
      </c>
      <c r="F3014" s="53" t="s">
        <v>4868</v>
      </c>
      <c r="G3014" s="6" t="s">
        <v>11450</v>
      </c>
      <c r="H3014" s="54">
        <v>0</v>
      </c>
      <c r="I3014" s="55">
        <v>470000000</v>
      </c>
      <c r="J3014" s="56" t="s">
        <v>229</v>
      </c>
      <c r="K3014" s="57" t="s">
        <v>641</v>
      </c>
      <c r="L3014" s="57" t="s">
        <v>364</v>
      </c>
      <c r="M3014" s="3" t="s">
        <v>230</v>
      </c>
      <c r="N3014" s="52" t="s">
        <v>7693</v>
      </c>
      <c r="O3014" s="6" t="s">
        <v>365</v>
      </c>
      <c r="P3014" s="58" t="s">
        <v>241</v>
      </c>
      <c r="Q3014" s="53" t="s">
        <v>234</v>
      </c>
      <c r="R3014" s="22">
        <v>14</v>
      </c>
      <c r="S3014" s="59">
        <v>19121.78</v>
      </c>
      <c r="T3014" s="4">
        <v>0</v>
      </c>
      <c r="U3014" s="4">
        <f t="shared" si="76"/>
        <v>0</v>
      </c>
      <c r="V3014" s="1"/>
      <c r="W3014" s="3">
        <v>2014</v>
      </c>
      <c r="X3014" s="3">
        <v>11.12</v>
      </c>
    </row>
    <row r="3015" spans="1:24" ht="114.75">
      <c r="A3015" s="3" t="s">
        <v>11941</v>
      </c>
      <c r="B3015" s="6" t="s">
        <v>361</v>
      </c>
      <c r="C3015" s="6" t="s">
        <v>4894</v>
      </c>
      <c r="D3015" s="6" t="s">
        <v>4882</v>
      </c>
      <c r="E3015" s="6" t="s">
        <v>4895</v>
      </c>
      <c r="F3015" s="53" t="s">
        <v>4868</v>
      </c>
      <c r="G3015" s="6" t="s">
        <v>11450</v>
      </c>
      <c r="H3015" s="54">
        <v>0</v>
      </c>
      <c r="I3015" s="55">
        <v>470000000</v>
      </c>
      <c r="J3015" s="56" t="s">
        <v>229</v>
      </c>
      <c r="K3015" s="57" t="s">
        <v>11919</v>
      </c>
      <c r="L3015" s="17" t="s">
        <v>11920</v>
      </c>
      <c r="M3015" s="3" t="s">
        <v>230</v>
      </c>
      <c r="N3015" s="52" t="s">
        <v>7693</v>
      </c>
      <c r="O3015" s="6" t="s">
        <v>365</v>
      </c>
      <c r="P3015" s="58" t="s">
        <v>241</v>
      </c>
      <c r="Q3015" s="53" t="s">
        <v>234</v>
      </c>
      <c r="R3015" s="22">
        <v>14</v>
      </c>
      <c r="S3015" s="59">
        <v>19121.78</v>
      </c>
      <c r="T3015" s="4">
        <v>0</v>
      </c>
      <c r="U3015" s="4">
        <f>T3015*1.12</f>
        <v>0</v>
      </c>
      <c r="V3015" s="1"/>
      <c r="W3015" s="3">
        <v>2014</v>
      </c>
      <c r="X3015" s="3" t="s">
        <v>14785</v>
      </c>
    </row>
    <row r="3016" spans="1:24" ht="114.75">
      <c r="A3016" s="3" t="s">
        <v>16492</v>
      </c>
      <c r="B3016" s="6" t="s">
        <v>361</v>
      </c>
      <c r="C3016" s="6" t="s">
        <v>4894</v>
      </c>
      <c r="D3016" s="6" t="s">
        <v>4882</v>
      </c>
      <c r="E3016" s="6" t="s">
        <v>4895</v>
      </c>
      <c r="F3016" s="53" t="s">
        <v>4868</v>
      </c>
      <c r="G3016" s="3" t="s">
        <v>11450</v>
      </c>
      <c r="H3016" s="54">
        <v>0</v>
      </c>
      <c r="I3016" s="55">
        <v>470000000</v>
      </c>
      <c r="J3016" s="56" t="s">
        <v>229</v>
      </c>
      <c r="K3016" s="57" t="s">
        <v>10120</v>
      </c>
      <c r="L3016" s="17" t="s">
        <v>11920</v>
      </c>
      <c r="M3016" s="3" t="s">
        <v>230</v>
      </c>
      <c r="N3016" s="52" t="s">
        <v>7693</v>
      </c>
      <c r="O3016" s="6" t="s">
        <v>365</v>
      </c>
      <c r="P3016" s="58" t="s">
        <v>241</v>
      </c>
      <c r="Q3016" s="53" t="s">
        <v>234</v>
      </c>
      <c r="R3016" s="22">
        <v>14</v>
      </c>
      <c r="S3016" s="59">
        <v>22946.135999999999</v>
      </c>
      <c r="T3016" s="4">
        <f>R3016*S3016</f>
        <v>321245.90399999998</v>
      </c>
      <c r="U3016" s="4">
        <f>T3016*1.12</f>
        <v>359795.41248</v>
      </c>
      <c r="V3016" s="1"/>
      <c r="W3016" s="3">
        <v>2014</v>
      </c>
      <c r="X3016" s="3"/>
    </row>
    <row r="3017" spans="1:24" ht="114.75">
      <c r="A3017" s="3" t="s">
        <v>1608</v>
      </c>
      <c r="B3017" s="6" t="s">
        <v>361</v>
      </c>
      <c r="C3017" s="6" t="s">
        <v>4902</v>
      </c>
      <c r="D3017" s="6" t="s">
        <v>4882</v>
      </c>
      <c r="E3017" s="6" t="s">
        <v>4903</v>
      </c>
      <c r="F3017" s="53" t="s">
        <v>4869</v>
      </c>
      <c r="G3017" s="6" t="s">
        <v>11450</v>
      </c>
      <c r="H3017" s="54">
        <v>0</v>
      </c>
      <c r="I3017" s="55">
        <v>470000000</v>
      </c>
      <c r="J3017" s="56" t="s">
        <v>229</v>
      </c>
      <c r="K3017" s="57" t="s">
        <v>641</v>
      </c>
      <c r="L3017" s="57" t="s">
        <v>364</v>
      </c>
      <c r="M3017" s="3" t="s">
        <v>230</v>
      </c>
      <c r="N3017" s="52" t="s">
        <v>7693</v>
      </c>
      <c r="O3017" s="6" t="s">
        <v>365</v>
      </c>
      <c r="P3017" s="58" t="s">
        <v>241</v>
      </c>
      <c r="Q3017" s="53" t="s">
        <v>234</v>
      </c>
      <c r="R3017" s="22">
        <v>14</v>
      </c>
      <c r="S3017" s="59">
        <v>904.28</v>
      </c>
      <c r="T3017" s="4">
        <v>0</v>
      </c>
      <c r="U3017" s="4">
        <f t="shared" si="76"/>
        <v>0</v>
      </c>
      <c r="V3017" s="1"/>
      <c r="W3017" s="3">
        <v>2014</v>
      </c>
      <c r="X3017" s="3">
        <v>11.12</v>
      </c>
    </row>
    <row r="3018" spans="1:24" ht="114.75">
      <c r="A3018" s="3" t="s">
        <v>11942</v>
      </c>
      <c r="B3018" s="6" t="s">
        <v>361</v>
      </c>
      <c r="C3018" s="6" t="s">
        <v>4902</v>
      </c>
      <c r="D3018" s="6" t="s">
        <v>4882</v>
      </c>
      <c r="E3018" s="6" t="s">
        <v>4903</v>
      </c>
      <c r="F3018" s="53" t="s">
        <v>4869</v>
      </c>
      <c r="G3018" s="6" t="s">
        <v>11450</v>
      </c>
      <c r="H3018" s="54">
        <v>0</v>
      </c>
      <c r="I3018" s="55">
        <v>470000000</v>
      </c>
      <c r="J3018" s="56" t="s">
        <v>229</v>
      </c>
      <c r="K3018" s="57" t="s">
        <v>11919</v>
      </c>
      <c r="L3018" s="17" t="s">
        <v>11920</v>
      </c>
      <c r="M3018" s="3" t="s">
        <v>230</v>
      </c>
      <c r="N3018" s="52" t="s">
        <v>7693</v>
      </c>
      <c r="O3018" s="6" t="s">
        <v>365</v>
      </c>
      <c r="P3018" s="58" t="s">
        <v>241</v>
      </c>
      <c r="Q3018" s="53" t="s">
        <v>234</v>
      </c>
      <c r="R3018" s="22">
        <v>14</v>
      </c>
      <c r="S3018" s="59">
        <v>904.28</v>
      </c>
      <c r="T3018" s="4">
        <v>0</v>
      </c>
      <c r="U3018" s="4">
        <f>T3018*1.12</f>
        <v>0</v>
      </c>
      <c r="V3018" s="1"/>
      <c r="W3018" s="3">
        <v>2014</v>
      </c>
      <c r="X3018" s="3" t="s">
        <v>14785</v>
      </c>
    </row>
    <row r="3019" spans="1:24" ht="114.75">
      <c r="A3019" s="3" t="s">
        <v>16493</v>
      </c>
      <c r="B3019" s="6" t="s">
        <v>361</v>
      </c>
      <c r="C3019" s="6" t="s">
        <v>4902</v>
      </c>
      <c r="D3019" s="6" t="s">
        <v>4882</v>
      </c>
      <c r="E3019" s="6" t="s">
        <v>4903</v>
      </c>
      <c r="F3019" s="53" t="s">
        <v>4869</v>
      </c>
      <c r="G3019" s="3" t="s">
        <v>11450</v>
      </c>
      <c r="H3019" s="54">
        <v>0</v>
      </c>
      <c r="I3019" s="55">
        <v>470000000</v>
      </c>
      <c r="J3019" s="56" t="s">
        <v>229</v>
      </c>
      <c r="K3019" s="57" t="s">
        <v>10120</v>
      </c>
      <c r="L3019" s="17" t="s">
        <v>11920</v>
      </c>
      <c r="M3019" s="3" t="s">
        <v>230</v>
      </c>
      <c r="N3019" s="52" t="s">
        <v>7693</v>
      </c>
      <c r="O3019" s="6" t="s">
        <v>365</v>
      </c>
      <c r="P3019" s="58" t="s">
        <v>241</v>
      </c>
      <c r="Q3019" s="53" t="s">
        <v>234</v>
      </c>
      <c r="R3019" s="22">
        <v>14</v>
      </c>
      <c r="S3019" s="59">
        <v>1085.136</v>
      </c>
      <c r="T3019" s="4">
        <f>R3019*S3019</f>
        <v>15191.903999999999</v>
      </c>
      <c r="U3019" s="4">
        <f>T3019*1.12</f>
        <v>17014.932479999999</v>
      </c>
      <c r="V3019" s="1"/>
      <c r="W3019" s="3">
        <v>2014</v>
      </c>
      <c r="X3019" s="3"/>
    </row>
    <row r="3020" spans="1:24" ht="114.75">
      <c r="A3020" s="3" t="s">
        <v>1609</v>
      </c>
      <c r="B3020" s="6" t="s">
        <v>361</v>
      </c>
      <c r="C3020" s="6" t="s">
        <v>4902</v>
      </c>
      <c r="D3020" s="6" t="s">
        <v>4882</v>
      </c>
      <c r="E3020" s="6" t="s">
        <v>4903</v>
      </c>
      <c r="F3020" s="53" t="s">
        <v>4870</v>
      </c>
      <c r="G3020" s="6" t="s">
        <v>11450</v>
      </c>
      <c r="H3020" s="54">
        <v>0</v>
      </c>
      <c r="I3020" s="55">
        <v>470000000</v>
      </c>
      <c r="J3020" s="56" t="s">
        <v>229</v>
      </c>
      <c r="K3020" s="57" t="s">
        <v>641</v>
      </c>
      <c r="L3020" s="57" t="s">
        <v>364</v>
      </c>
      <c r="M3020" s="3" t="s">
        <v>230</v>
      </c>
      <c r="N3020" s="52" t="s">
        <v>7693</v>
      </c>
      <c r="O3020" s="6" t="s">
        <v>365</v>
      </c>
      <c r="P3020" s="58" t="s">
        <v>241</v>
      </c>
      <c r="Q3020" s="53" t="s">
        <v>234</v>
      </c>
      <c r="R3020" s="22">
        <v>14</v>
      </c>
      <c r="S3020" s="59">
        <v>1026.43</v>
      </c>
      <c r="T3020" s="4">
        <v>0</v>
      </c>
      <c r="U3020" s="4">
        <f t="shared" si="76"/>
        <v>0</v>
      </c>
      <c r="V3020" s="1"/>
      <c r="W3020" s="3">
        <v>2014</v>
      </c>
      <c r="X3020" s="3">
        <v>11.12</v>
      </c>
    </row>
    <row r="3021" spans="1:24" ht="114.75">
      <c r="A3021" s="3" t="s">
        <v>11943</v>
      </c>
      <c r="B3021" s="6" t="s">
        <v>361</v>
      </c>
      <c r="C3021" s="6" t="s">
        <v>4902</v>
      </c>
      <c r="D3021" s="6" t="s">
        <v>4882</v>
      </c>
      <c r="E3021" s="6" t="s">
        <v>4903</v>
      </c>
      <c r="F3021" s="53" t="s">
        <v>4870</v>
      </c>
      <c r="G3021" s="6" t="s">
        <v>11450</v>
      </c>
      <c r="H3021" s="54">
        <v>0</v>
      </c>
      <c r="I3021" s="55">
        <v>470000000</v>
      </c>
      <c r="J3021" s="56" t="s">
        <v>229</v>
      </c>
      <c r="K3021" s="57" t="s">
        <v>11919</v>
      </c>
      <c r="L3021" s="17" t="s">
        <v>11920</v>
      </c>
      <c r="M3021" s="3" t="s">
        <v>230</v>
      </c>
      <c r="N3021" s="52" t="s">
        <v>7693</v>
      </c>
      <c r="O3021" s="6" t="s">
        <v>365</v>
      </c>
      <c r="P3021" s="58" t="s">
        <v>241</v>
      </c>
      <c r="Q3021" s="53" t="s">
        <v>234</v>
      </c>
      <c r="R3021" s="22">
        <v>14</v>
      </c>
      <c r="S3021" s="59">
        <v>1026.43</v>
      </c>
      <c r="T3021" s="4">
        <v>0</v>
      </c>
      <c r="U3021" s="4">
        <f>T3021*1.12</f>
        <v>0</v>
      </c>
      <c r="V3021" s="1"/>
      <c r="W3021" s="3">
        <v>2014</v>
      </c>
      <c r="X3021" s="3" t="s">
        <v>14785</v>
      </c>
    </row>
    <row r="3022" spans="1:24" ht="114.75">
      <c r="A3022" s="3" t="s">
        <v>16494</v>
      </c>
      <c r="B3022" s="6" t="s">
        <v>361</v>
      </c>
      <c r="C3022" s="6" t="s">
        <v>4902</v>
      </c>
      <c r="D3022" s="6" t="s">
        <v>4882</v>
      </c>
      <c r="E3022" s="6" t="s">
        <v>4903</v>
      </c>
      <c r="F3022" s="53" t="s">
        <v>4870</v>
      </c>
      <c r="G3022" s="3" t="s">
        <v>11450</v>
      </c>
      <c r="H3022" s="54">
        <v>0</v>
      </c>
      <c r="I3022" s="55">
        <v>470000000</v>
      </c>
      <c r="J3022" s="56" t="s">
        <v>229</v>
      </c>
      <c r="K3022" s="57" t="s">
        <v>10120</v>
      </c>
      <c r="L3022" s="17" t="s">
        <v>11920</v>
      </c>
      <c r="M3022" s="3" t="s">
        <v>230</v>
      </c>
      <c r="N3022" s="52" t="s">
        <v>7693</v>
      </c>
      <c r="O3022" s="6" t="s">
        <v>365</v>
      </c>
      <c r="P3022" s="58" t="s">
        <v>241</v>
      </c>
      <c r="Q3022" s="53" t="s">
        <v>234</v>
      </c>
      <c r="R3022" s="22">
        <v>14</v>
      </c>
      <c r="S3022" s="59">
        <v>1231.7160000000001</v>
      </c>
      <c r="T3022" s="4">
        <f>R3022*S3022</f>
        <v>17244.024000000001</v>
      </c>
      <c r="U3022" s="4">
        <f>T3022*1.12</f>
        <v>19313.306880000004</v>
      </c>
      <c r="V3022" s="1"/>
      <c r="W3022" s="3">
        <v>2014</v>
      </c>
      <c r="X3022" s="3"/>
    </row>
    <row r="3023" spans="1:24" ht="114.75">
      <c r="A3023" s="3" t="s">
        <v>1610</v>
      </c>
      <c r="B3023" s="6" t="s">
        <v>361</v>
      </c>
      <c r="C3023" s="6" t="s">
        <v>4904</v>
      </c>
      <c r="D3023" s="6" t="s">
        <v>4882</v>
      </c>
      <c r="E3023" s="6" t="s">
        <v>4905</v>
      </c>
      <c r="F3023" s="53" t="s">
        <v>4871</v>
      </c>
      <c r="G3023" s="6" t="s">
        <v>11450</v>
      </c>
      <c r="H3023" s="54">
        <v>0</v>
      </c>
      <c r="I3023" s="55">
        <v>470000000</v>
      </c>
      <c r="J3023" s="56" t="s">
        <v>229</v>
      </c>
      <c r="K3023" s="57" t="s">
        <v>641</v>
      </c>
      <c r="L3023" s="57" t="s">
        <v>364</v>
      </c>
      <c r="M3023" s="3" t="s">
        <v>230</v>
      </c>
      <c r="N3023" s="52" t="s">
        <v>7693</v>
      </c>
      <c r="O3023" s="6" t="s">
        <v>365</v>
      </c>
      <c r="P3023" s="58" t="s">
        <v>241</v>
      </c>
      <c r="Q3023" s="53" t="s">
        <v>234</v>
      </c>
      <c r="R3023" s="22">
        <v>10</v>
      </c>
      <c r="S3023" s="59">
        <v>486.43</v>
      </c>
      <c r="T3023" s="4">
        <v>0</v>
      </c>
      <c r="U3023" s="4">
        <f t="shared" si="76"/>
        <v>0</v>
      </c>
      <c r="V3023" s="1"/>
      <c r="W3023" s="3">
        <v>2014</v>
      </c>
      <c r="X3023" s="3">
        <v>11.12</v>
      </c>
    </row>
    <row r="3024" spans="1:24" ht="114.75">
      <c r="A3024" s="3" t="s">
        <v>11944</v>
      </c>
      <c r="B3024" s="6" t="s">
        <v>361</v>
      </c>
      <c r="C3024" s="6" t="s">
        <v>4904</v>
      </c>
      <c r="D3024" s="6" t="s">
        <v>4882</v>
      </c>
      <c r="E3024" s="6" t="s">
        <v>4905</v>
      </c>
      <c r="F3024" s="53" t="s">
        <v>4871</v>
      </c>
      <c r="G3024" s="6" t="s">
        <v>11450</v>
      </c>
      <c r="H3024" s="54">
        <v>0</v>
      </c>
      <c r="I3024" s="55">
        <v>470000000</v>
      </c>
      <c r="J3024" s="56" t="s">
        <v>229</v>
      </c>
      <c r="K3024" s="57" t="s">
        <v>11919</v>
      </c>
      <c r="L3024" s="17" t="s">
        <v>11920</v>
      </c>
      <c r="M3024" s="3" t="s">
        <v>230</v>
      </c>
      <c r="N3024" s="52" t="s">
        <v>7693</v>
      </c>
      <c r="O3024" s="6" t="s">
        <v>365</v>
      </c>
      <c r="P3024" s="58" t="s">
        <v>241</v>
      </c>
      <c r="Q3024" s="53" t="s">
        <v>234</v>
      </c>
      <c r="R3024" s="22">
        <v>10</v>
      </c>
      <c r="S3024" s="59">
        <v>486.43</v>
      </c>
      <c r="T3024" s="4">
        <v>0</v>
      </c>
      <c r="U3024" s="4">
        <f>T3024*1.12</f>
        <v>0</v>
      </c>
      <c r="V3024" s="1"/>
      <c r="W3024" s="3">
        <v>2014</v>
      </c>
      <c r="X3024" s="3" t="s">
        <v>14785</v>
      </c>
    </row>
    <row r="3025" spans="1:24" ht="114.75">
      <c r="A3025" s="3" t="s">
        <v>16495</v>
      </c>
      <c r="B3025" s="6" t="s">
        <v>361</v>
      </c>
      <c r="C3025" s="6" t="s">
        <v>4904</v>
      </c>
      <c r="D3025" s="6" t="s">
        <v>4882</v>
      </c>
      <c r="E3025" s="6" t="s">
        <v>4905</v>
      </c>
      <c r="F3025" s="53" t="s">
        <v>4871</v>
      </c>
      <c r="G3025" s="3" t="s">
        <v>11450</v>
      </c>
      <c r="H3025" s="54">
        <v>0</v>
      </c>
      <c r="I3025" s="55">
        <v>470000000</v>
      </c>
      <c r="J3025" s="56" t="s">
        <v>229</v>
      </c>
      <c r="K3025" s="57" t="s">
        <v>10120</v>
      </c>
      <c r="L3025" s="17" t="s">
        <v>11920</v>
      </c>
      <c r="M3025" s="3" t="s">
        <v>230</v>
      </c>
      <c r="N3025" s="52" t="s">
        <v>7693</v>
      </c>
      <c r="O3025" s="6" t="s">
        <v>365</v>
      </c>
      <c r="P3025" s="58" t="s">
        <v>241</v>
      </c>
      <c r="Q3025" s="53" t="s">
        <v>234</v>
      </c>
      <c r="R3025" s="22">
        <v>10</v>
      </c>
      <c r="S3025" s="59">
        <v>583.71600000000001</v>
      </c>
      <c r="T3025" s="4">
        <f>R3025*S3025</f>
        <v>5837.16</v>
      </c>
      <c r="U3025" s="4">
        <f>T3025*1.12</f>
        <v>6537.6192000000001</v>
      </c>
      <c r="V3025" s="1"/>
      <c r="W3025" s="3">
        <v>2014</v>
      </c>
      <c r="X3025" s="3"/>
    </row>
    <row r="3026" spans="1:24" ht="114.75">
      <c r="A3026" s="3" t="s">
        <v>1611</v>
      </c>
      <c r="B3026" s="6" t="s">
        <v>361</v>
      </c>
      <c r="C3026" s="6" t="s">
        <v>4904</v>
      </c>
      <c r="D3026" s="6" t="s">
        <v>4882</v>
      </c>
      <c r="E3026" s="6" t="s">
        <v>4905</v>
      </c>
      <c r="F3026" s="53" t="s">
        <v>4872</v>
      </c>
      <c r="G3026" s="6" t="s">
        <v>11450</v>
      </c>
      <c r="H3026" s="54">
        <v>0</v>
      </c>
      <c r="I3026" s="55">
        <v>470000000</v>
      </c>
      <c r="J3026" s="56" t="s">
        <v>229</v>
      </c>
      <c r="K3026" s="57" t="s">
        <v>641</v>
      </c>
      <c r="L3026" s="57" t="s">
        <v>364</v>
      </c>
      <c r="M3026" s="3" t="s">
        <v>230</v>
      </c>
      <c r="N3026" s="52" t="s">
        <v>7693</v>
      </c>
      <c r="O3026" s="6" t="s">
        <v>365</v>
      </c>
      <c r="P3026" s="58" t="s">
        <v>241</v>
      </c>
      <c r="Q3026" s="53" t="s">
        <v>234</v>
      </c>
      <c r="R3026" s="22">
        <v>10</v>
      </c>
      <c r="S3026" s="59">
        <v>486.43</v>
      </c>
      <c r="T3026" s="4">
        <v>0</v>
      </c>
      <c r="U3026" s="4">
        <f t="shared" si="76"/>
        <v>0</v>
      </c>
      <c r="V3026" s="1"/>
      <c r="W3026" s="3">
        <v>2014</v>
      </c>
      <c r="X3026" s="3">
        <v>11.12</v>
      </c>
    </row>
    <row r="3027" spans="1:24" ht="114.75">
      <c r="A3027" s="3" t="s">
        <v>11945</v>
      </c>
      <c r="B3027" s="6" t="s">
        <v>361</v>
      </c>
      <c r="C3027" s="6" t="s">
        <v>4904</v>
      </c>
      <c r="D3027" s="6" t="s">
        <v>4882</v>
      </c>
      <c r="E3027" s="6" t="s">
        <v>4905</v>
      </c>
      <c r="F3027" s="53" t="s">
        <v>4872</v>
      </c>
      <c r="G3027" s="6" t="s">
        <v>11450</v>
      </c>
      <c r="H3027" s="54">
        <v>0</v>
      </c>
      <c r="I3027" s="55">
        <v>470000000</v>
      </c>
      <c r="J3027" s="56" t="s">
        <v>229</v>
      </c>
      <c r="K3027" s="57" t="s">
        <v>11919</v>
      </c>
      <c r="L3027" s="17" t="s">
        <v>11920</v>
      </c>
      <c r="M3027" s="3" t="s">
        <v>230</v>
      </c>
      <c r="N3027" s="52" t="s">
        <v>7693</v>
      </c>
      <c r="O3027" s="6" t="s">
        <v>365</v>
      </c>
      <c r="P3027" s="58" t="s">
        <v>241</v>
      </c>
      <c r="Q3027" s="53" t="s">
        <v>234</v>
      </c>
      <c r="R3027" s="22">
        <v>10</v>
      </c>
      <c r="S3027" s="59">
        <v>486.43</v>
      </c>
      <c r="T3027" s="4">
        <v>0</v>
      </c>
      <c r="U3027" s="4">
        <f>T3027*1.12</f>
        <v>0</v>
      </c>
      <c r="V3027" s="1"/>
      <c r="W3027" s="3">
        <v>2014</v>
      </c>
      <c r="X3027" s="3" t="s">
        <v>14785</v>
      </c>
    </row>
    <row r="3028" spans="1:24" ht="114.75">
      <c r="A3028" s="3" t="s">
        <v>16496</v>
      </c>
      <c r="B3028" s="6" t="s">
        <v>361</v>
      </c>
      <c r="C3028" s="6" t="s">
        <v>4904</v>
      </c>
      <c r="D3028" s="6" t="s">
        <v>4882</v>
      </c>
      <c r="E3028" s="6" t="s">
        <v>4905</v>
      </c>
      <c r="F3028" s="53" t="s">
        <v>4872</v>
      </c>
      <c r="G3028" s="3" t="s">
        <v>11450</v>
      </c>
      <c r="H3028" s="54">
        <v>0</v>
      </c>
      <c r="I3028" s="55">
        <v>470000000</v>
      </c>
      <c r="J3028" s="56" t="s">
        <v>229</v>
      </c>
      <c r="K3028" s="57" t="s">
        <v>10120</v>
      </c>
      <c r="L3028" s="17" t="s">
        <v>11920</v>
      </c>
      <c r="M3028" s="3" t="s">
        <v>230</v>
      </c>
      <c r="N3028" s="52" t="s">
        <v>7693</v>
      </c>
      <c r="O3028" s="6" t="s">
        <v>365</v>
      </c>
      <c r="P3028" s="58" t="s">
        <v>241</v>
      </c>
      <c r="Q3028" s="53" t="s">
        <v>234</v>
      </c>
      <c r="R3028" s="22">
        <v>10</v>
      </c>
      <c r="S3028" s="59">
        <v>583.71600000000001</v>
      </c>
      <c r="T3028" s="4">
        <f>R3028*S3028</f>
        <v>5837.16</v>
      </c>
      <c r="U3028" s="4">
        <f>T3028*1.12</f>
        <v>6537.6192000000001</v>
      </c>
      <c r="V3028" s="1"/>
      <c r="W3028" s="3">
        <v>2014</v>
      </c>
      <c r="X3028" s="3"/>
    </row>
    <row r="3029" spans="1:24" ht="114.75">
      <c r="A3029" s="3" t="s">
        <v>1612</v>
      </c>
      <c r="B3029" s="6" t="s">
        <v>361</v>
      </c>
      <c r="C3029" s="6" t="s">
        <v>4906</v>
      </c>
      <c r="D3029" s="6" t="s">
        <v>4882</v>
      </c>
      <c r="E3029" s="6" t="s">
        <v>4907</v>
      </c>
      <c r="F3029" s="53" t="s">
        <v>4873</v>
      </c>
      <c r="G3029" s="6" t="s">
        <v>11450</v>
      </c>
      <c r="H3029" s="54">
        <v>0</v>
      </c>
      <c r="I3029" s="55">
        <v>470000000</v>
      </c>
      <c r="J3029" s="56" t="s">
        <v>229</v>
      </c>
      <c r="K3029" s="57" t="s">
        <v>641</v>
      </c>
      <c r="L3029" s="57" t="s">
        <v>364</v>
      </c>
      <c r="M3029" s="3" t="s">
        <v>230</v>
      </c>
      <c r="N3029" s="52" t="s">
        <v>7693</v>
      </c>
      <c r="O3029" s="6" t="s">
        <v>365</v>
      </c>
      <c r="P3029" s="58" t="s">
        <v>241</v>
      </c>
      <c r="Q3029" s="53" t="s">
        <v>234</v>
      </c>
      <c r="R3029" s="22">
        <v>10</v>
      </c>
      <c r="S3029" s="59">
        <v>1061.78</v>
      </c>
      <c r="T3029" s="4">
        <v>0</v>
      </c>
      <c r="U3029" s="4">
        <f t="shared" si="76"/>
        <v>0</v>
      </c>
      <c r="V3029" s="1"/>
      <c r="W3029" s="3">
        <v>2014</v>
      </c>
      <c r="X3029" s="3">
        <v>11.12</v>
      </c>
    </row>
    <row r="3030" spans="1:24" ht="114.75">
      <c r="A3030" s="3" t="s">
        <v>11946</v>
      </c>
      <c r="B3030" s="6" t="s">
        <v>361</v>
      </c>
      <c r="C3030" s="6" t="s">
        <v>4906</v>
      </c>
      <c r="D3030" s="6" t="s">
        <v>4882</v>
      </c>
      <c r="E3030" s="6" t="s">
        <v>4907</v>
      </c>
      <c r="F3030" s="53" t="s">
        <v>4873</v>
      </c>
      <c r="G3030" s="6" t="s">
        <v>11450</v>
      </c>
      <c r="H3030" s="54">
        <v>0</v>
      </c>
      <c r="I3030" s="55">
        <v>470000000</v>
      </c>
      <c r="J3030" s="56" t="s">
        <v>229</v>
      </c>
      <c r="K3030" s="57" t="s">
        <v>11919</v>
      </c>
      <c r="L3030" s="17" t="s">
        <v>11920</v>
      </c>
      <c r="M3030" s="3" t="s">
        <v>230</v>
      </c>
      <c r="N3030" s="52" t="s">
        <v>7693</v>
      </c>
      <c r="O3030" s="6" t="s">
        <v>365</v>
      </c>
      <c r="P3030" s="58" t="s">
        <v>241</v>
      </c>
      <c r="Q3030" s="53" t="s">
        <v>234</v>
      </c>
      <c r="R3030" s="22">
        <v>10</v>
      </c>
      <c r="S3030" s="59">
        <v>1061.78</v>
      </c>
      <c r="T3030" s="4">
        <v>0</v>
      </c>
      <c r="U3030" s="4">
        <f>T3030*1.12</f>
        <v>0</v>
      </c>
      <c r="V3030" s="1"/>
      <c r="W3030" s="3">
        <v>2014</v>
      </c>
      <c r="X3030" s="3" t="s">
        <v>14785</v>
      </c>
    </row>
    <row r="3031" spans="1:24" ht="114.75">
      <c r="A3031" s="3" t="s">
        <v>16497</v>
      </c>
      <c r="B3031" s="6" t="s">
        <v>361</v>
      </c>
      <c r="C3031" s="6" t="s">
        <v>4906</v>
      </c>
      <c r="D3031" s="6" t="s">
        <v>4882</v>
      </c>
      <c r="E3031" s="6" t="s">
        <v>4907</v>
      </c>
      <c r="F3031" s="53" t="s">
        <v>4873</v>
      </c>
      <c r="G3031" s="3" t="s">
        <v>11450</v>
      </c>
      <c r="H3031" s="54">
        <v>0</v>
      </c>
      <c r="I3031" s="55">
        <v>470000000</v>
      </c>
      <c r="J3031" s="56" t="s">
        <v>229</v>
      </c>
      <c r="K3031" s="57" t="s">
        <v>10120</v>
      </c>
      <c r="L3031" s="17" t="s">
        <v>11920</v>
      </c>
      <c r="M3031" s="3" t="s">
        <v>230</v>
      </c>
      <c r="N3031" s="52" t="s">
        <v>7693</v>
      </c>
      <c r="O3031" s="6" t="s">
        <v>365</v>
      </c>
      <c r="P3031" s="58" t="s">
        <v>241</v>
      </c>
      <c r="Q3031" s="53" t="s">
        <v>234</v>
      </c>
      <c r="R3031" s="22">
        <v>10</v>
      </c>
      <c r="S3031" s="59">
        <v>1274.136</v>
      </c>
      <c r="T3031" s="4">
        <f>R3031*S3031</f>
        <v>12741.36</v>
      </c>
      <c r="U3031" s="4">
        <f>T3031*1.12</f>
        <v>14270.323200000003</v>
      </c>
      <c r="V3031" s="1"/>
      <c r="W3031" s="3">
        <v>2014</v>
      </c>
      <c r="X3031" s="3"/>
    </row>
    <row r="3032" spans="1:24" ht="114.75">
      <c r="A3032" s="3" t="s">
        <v>1613</v>
      </c>
      <c r="B3032" s="6" t="s">
        <v>361</v>
      </c>
      <c r="C3032" s="6" t="s">
        <v>4908</v>
      </c>
      <c r="D3032" s="6" t="s">
        <v>4882</v>
      </c>
      <c r="E3032" s="6" t="s">
        <v>4909</v>
      </c>
      <c r="F3032" s="109" t="s">
        <v>4874</v>
      </c>
      <c r="G3032" s="6" t="s">
        <v>11450</v>
      </c>
      <c r="H3032" s="54">
        <v>0</v>
      </c>
      <c r="I3032" s="55">
        <v>470000000</v>
      </c>
      <c r="J3032" s="56" t="s">
        <v>229</v>
      </c>
      <c r="K3032" s="57" t="s">
        <v>641</v>
      </c>
      <c r="L3032" s="57" t="s">
        <v>364</v>
      </c>
      <c r="M3032" s="3" t="s">
        <v>230</v>
      </c>
      <c r="N3032" s="52" t="s">
        <v>7693</v>
      </c>
      <c r="O3032" s="6" t="s">
        <v>365</v>
      </c>
      <c r="P3032" s="58" t="s">
        <v>241</v>
      </c>
      <c r="Q3032" s="53" t="s">
        <v>234</v>
      </c>
      <c r="R3032" s="22">
        <v>14</v>
      </c>
      <c r="S3032" s="59">
        <v>2308.9299999999998</v>
      </c>
      <c r="T3032" s="4">
        <v>0</v>
      </c>
      <c r="U3032" s="4">
        <f t="shared" si="76"/>
        <v>0</v>
      </c>
      <c r="V3032" s="1"/>
      <c r="W3032" s="3">
        <v>2014</v>
      </c>
      <c r="X3032" s="3">
        <v>11.12</v>
      </c>
    </row>
    <row r="3033" spans="1:24" ht="114.75">
      <c r="A3033" s="3" t="s">
        <v>11947</v>
      </c>
      <c r="B3033" s="6" t="s">
        <v>361</v>
      </c>
      <c r="C3033" s="6" t="s">
        <v>4908</v>
      </c>
      <c r="D3033" s="6" t="s">
        <v>4882</v>
      </c>
      <c r="E3033" s="6" t="s">
        <v>4909</v>
      </c>
      <c r="F3033" s="109" t="s">
        <v>4874</v>
      </c>
      <c r="G3033" s="6" t="s">
        <v>11450</v>
      </c>
      <c r="H3033" s="54">
        <v>0</v>
      </c>
      <c r="I3033" s="55">
        <v>470000000</v>
      </c>
      <c r="J3033" s="56" t="s">
        <v>229</v>
      </c>
      <c r="K3033" s="57" t="s">
        <v>11919</v>
      </c>
      <c r="L3033" s="17" t="s">
        <v>11920</v>
      </c>
      <c r="M3033" s="3" t="s">
        <v>230</v>
      </c>
      <c r="N3033" s="52" t="s">
        <v>7693</v>
      </c>
      <c r="O3033" s="6" t="s">
        <v>365</v>
      </c>
      <c r="P3033" s="58" t="s">
        <v>241</v>
      </c>
      <c r="Q3033" s="53" t="s">
        <v>234</v>
      </c>
      <c r="R3033" s="22">
        <v>14</v>
      </c>
      <c r="S3033" s="59">
        <v>2308.9299999999998</v>
      </c>
      <c r="T3033" s="4">
        <v>0</v>
      </c>
      <c r="U3033" s="4">
        <f>T3033*1.12</f>
        <v>0</v>
      </c>
      <c r="V3033" s="1"/>
      <c r="W3033" s="3">
        <v>2014</v>
      </c>
      <c r="X3033" s="3" t="s">
        <v>14785</v>
      </c>
    </row>
    <row r="3034" spans="1:24" ht="114.75">
      <c r="A3034" s="3" t="s">
        <v>16498</v>
      </c>
      <c r="B3034" s="6" t="s">
        <v>361</v>
      </c>
      <c r="C3034" s="6" t="s">
        <v>4908</v>
      </c>
      <c r="D3034" s="6" t="s">
        <v>4882</v>
      </c>
      <c r="E3034" s="6" t="s">
        <v>4909</v>
      </c>
      <c r="F3034" s="109" t="s">
        <v>4874</v>
      </c>
      <c r="G3034" s="3" t="s">
        <v>11450</v>
      </c>
      <c r="H3034" s="54">
        <v>0</v>
      </c>
      <c r="I3034" s="55">
        <v>470000000</v>
      </c>
      <c r="J3034" s="56" t="s">
        <v>229</v>
      </c>
      <c r="K3034" s="57" t="s">
        <v>10120</v>
      </c>
      <c r="L3034" s="17" t="s">
        <v>11920</v>
      </c>
      <c r="M3034" s="3" t="s">
        <v>230</v>
      </c>
      <c r="N3034" s="52" t="s">
        <v>7693</v>
      </c>
      <c r="O3034" s="6" t="s">
        <v>365</v>
      </c>
      <c r="P3034" s="58" t="s">
        <v>241</v>
      </c>
      <c r="Q3034" s="53" t="s">
        <v>234</v>
      </c>
      <c r="R3034" s="22">
        <v>14</v>
      </c>
      <c r="S3034" s="59">
        <v>2770.7159999999999</v>
      </c>
      <c r="T3034" s="4">
        <f>R3034*S3034</f>
        <v>38790.023999999998</v>
      </c>
      <c r="U3034" s="4">
        <f>T3034*1.12</f>
        <v>43444.826880000001</v>
      </c>
      <c r="V3034" s="1"/>
      <c r="W3034" s="3">
        <v>2014</v>
      </c>
      <c r="X3034" s="3"/>
    </row>
    <row r="3035" spans="1:24" ht="114.75">
      <c r="A3035" s="3" t="s">
        <v>1614</v>
      </c>
      <c r="B3035" s="6" t="s">
        <v>361</v>
      </c>
      <c r="C3035" s="6" t="s">
        <v>4908</v>
      </c>
      <c r="D3035" s="6" t="s">
        <v>4882</v>
      </c>
      <c r="E3035" s="6" t="s">
        <v>4909</v>
      </c>
      <c r="F3035" s="109" t="s">
        <v>4875</v>
      </c>
      <c r="G3035" s="6" t="s">
        <v>11450</v>
      </c>
      <c r="H3035" s="54">
        <v>0</v>
      </c>
      <c r="I3035" s="55">
        <v>470000000</v>
      </c>
      <c r="J3035" s="56" t="s">
        <v>229</v>
      </c>
      <c r="K3035" s="57" t="s">
        <v>641</v>
      </c>
      <c r="L3035" s="57" t="s">
        <v>364</v>
      </c>
      <c r="M3035" s="3" t="s">
        <v>230</v>
      </c>
      <c r="N3035" s="52" t="s">
        <v>7693</v>
      </c>
      <c r="O3035" s="6" t="s">
        <v>365</v>
      </c>
      <c r="P3035" s="58" t="s">
        <v>241</v>
      </c>
      <c r="Q3035" s="53" t="s">
        <v>234</v>
      </c>
      <c r="R3035" s="22">
        <v>14</v>
      </c>
      <c r="S3035" s="59">
        <v>3118.93</v>
      </c>
      <c r="T3035" s="4">
        <v>0</v>
      </c>
      <c r="U3035" s="4">
        <f t="shared" si="76"/>
        <v>0</v>
      </c>
      <c r="V3035" s="1"/>
      <c r="W3035" s="3">
        <v>2014</v>
      </c>
      <c r="X3035" s="3">
        <v>11.12</v>
      </c>
    </row>
    <row r="3036" spans="1:24" ht="114.75">
      <c r="A3036" s="3" t="s">
        <v>11948</v>
      </c>
      <c r="B3036" s="6" t="s">
        <v>361</v>
      </c>
      <c r="C3036" s="6" t="s">
        <v>4908</v>
      </c>
      <c r="D3036" s="6" t="s">
        <v>4882</v>
      </c>
      <c r="E3036" s="6" t="s">
        <v>4909</v>
      </c>
      <c r="F3036" s="109" t="s">
        <v>4875</v>
      </c>
      <c r="G3036" s="6" t="s">
        <v>11450</v>
      </c>
      <c r="H3036" s="54">
        <v>0</v>
      </c>
      <c r="I3036" s="55">
        <v>470000000</v>
      </c>
      <c r="J3036" s="56" t="s">
        <v>229</v>
      </c>
      <c r="K3036" s="57" t="s">
        <v>11919</v>
      </c>
      <c r="L3036" s="17" t="s">
        <v>11920</v>
      </c>
      <c r="M3036" s="3" t="s">
        <v>230</v>
      </c>
      <c r="N3036" s="52" t="s">
        <v>7693</v>
      </c>
      <c r="O3036" s="6" t="s">
        <v>365</v>
      </c>
      <c r="P3036" s="58" t="s">
        <v>241</v>
      </c>
      <c r="Q3036" s="53" t="s">
        <v>234</v>
      </c>
      <c r="R3036" s="22">
        <v>14</v>
      </c>
      <c r="S3036" s="59">
        <v>3118.93</v>
      </c>
      <c r="T3036" s="4">
        <v>0</v>
      </c>
      <c r="U3036" s="4">
        <f>T3036*1.12</f>
        <v>0</v>
      </c>
      <c r="V3036" s="1"/>
      <c r="W3036" s="3">
        <v>2014</v>
      </c>
      <c r="X3036" s="3" t="s">
        <v>14785</v>
      </c>
    </row>
    <row r="3037" spans="1:24" ht="114.75">
      <c r="A3037" s="3" t="s">
        <v>16499</v>
      </c>
      <c r="B3037" s="6" t="s">
        <v>361</v>
      </c>
      <c r="C3037" s="6" t="s">
        <v>4908</v>
      </c>
      <c r="D3037" s="6" t="s">
        <v>4882</v>
      </c>
      <c r="E3037" s="6" t="s">
        <v>4909</v>
      </c>
      <c r="F3037" s="109" t="s">
        <v>4875</v>
      </c>
      <c r="G3037" s="3" t="s">
        <v>11450</v>
      </c>
      <c r="H3037" s="54">
        <v>0</v>
      </c>
      <c r="I3037" s="55">
        <v>470000000</v>
      </c>
      <c r="J3037" s="56" t="s">
        <v>229</v>
      </c>
      <c r="K3037" s="57" t="s">
        <v>10120</v>
      </c>
      <c r="L3037" s="17" t="s">
        <v>11920</v>
      </c>
      <c r="M3037" s="3" t="s">
        <v>230</v>
      </c>
      <c r="N3037" s="52" t="s">
        <v>7693</v>
      </c>
      <c r="O3037" s="6" t="s">
        <v>365</v>
      </c>
      <c r="P3037" s="58" t="s">
        <v>241</v>
      </c>
      <c r="Q3037" s="53" t="s">
        <v>234</v>
      </c>
      <c r="R3037" s="22">
        <v>14</v>
      </c>
      <c r="S3037" s="59">
        <v>3742.7159999999994</v>
      </c>
      <c r="T3037" s="4">
        <f>R3037*S3037</f>
        <v>52398.02399999999</v>
      </c>
      <c r="U3037" s="4">
        <f>T3037*1.12</f>
        <v>58685.786879999992</v>
      </c>
      <c r="V3037" s="1"/>
      <c r="W3037" s="3">
        <v>2014</v>
      </c>
      <c r="X3037" s="3"/>
    </row>
    <row r="3038" spans="1:24" ht="114.75">
      <c r="A3038" s="3" t="s">
        <v>1615</v>
      </c>
      <c r="B3038" s="6" t="s">
        <v>361</v>
      </c>
      <c r="C3038" s="6" t="s">
        <v>4888</v>
      </c>
      <c r="D3038" s="6" t="s">
        <v>4882</v>
      </c>
      <c r="E3038" s="6" t="s">
        <v>4889</v>
      </c>
      <c r="F3038" s="53" t="s">
        <v>4880</v>
      </c>
      <c r="G3038" s="6" t="s">
        <v>11450</v>
      </c>
      <c r="H3038" s="54">
        <v>0</v>
      </c>
      <c r="I3038" s="55">
        <v>470000000</v>
      </c>
      <c r="J3038" s="56" t="s">
        <v>229</v>
      </c>
      <c r="K3038" s="57" t="s">
        <v>641</v>
      </c>
      <c r="L3038" s="57" t="s">
        <v>364</v>
      </c>
      <c r="M3038" s="3" t="s">
        <v>230</v>
      </c>
      <c r="N3038" s="52" t="s">
        <v>7693</v>
      </c>
      <c r="O3038" s="6" t="s">
        <v>365</v>
      </c>
      <c r="P3038" s="58" t="s">
        <v>241</v>
      </c>
      <c r="Q3038" s="53" t="s">
        <v>234</v>
      </c>
      <c r="R3038" s="22">
        <v>6</v>
      </c>
      <c r="S3038" s="59">
        <v>21981.558170000008</v>
      </c>
      <c r="T3038" s="4">
        <v>0</v>
      </c>
      <c r="U3038" s="4">
        <f t="shared" si="76"/>
        <v>0</v>
      </c>
      <c r="V3038" s="1"/>
      <c r="W3038" s="3">
        <v>2014</v>
      </c>
      <c r="X3038" s="3">
        <v>11.12</v>
      </c>
    </row>
    <row r="3039" spans="1:24" ht="114.75">
      <c r="A3039" s="3" t="s">
        <v>11949</v>
      </c>
      <c r="B3039" s="6" t="s">
        <v>361</v>
      </c>
      <c r="C3039" s="6" t="s">
        <v>4888</v>
      </c>
      <c r="D3039" s="6" t="s">
        <v>4882</v>
      </c>
      <c r="E3039" s="6" t="s">
        <v>4889</v>
      </c>
      <c r="F3039" s="53" t="s">
        <v>4880</v>
      </c>
      <c r="G3039" s="6" t="s">
        <v>11450</v>
      </c>
      <c r="H3039" s="54">
        <v>0</v>
      </c>
      <c r="I3039" s="55">
        <v>470000000</v>
      </c>
      <c r="J3039" s="56" t="s">
        <v>229</v>
      </c>
      <c r="K3039" s="57" t="s">
        <v>11919</v>
      </c>
      <c r="L3039" s="17" t="s">
        <v>11920</v>
      </c>
      <c r="M3039" s="3" t="s">
        <v>230</v>
      </c>
      <c r="N3039" s="52" t="s">
        <v>7693</v>
      </c>
      <c r="O3039" s="6" t="s">
        <v>365</v>
      </c>
      <c r="P3039" s="58" t="s">
        <v>241</v>
      </c>
      <c r="Q3039" s="53" t="s">
        <v>234</v>
      </c>
      <c r="R3039" s="22">
        <v>6</v>
      </c>
      <c r="S3039" s="59">
        <v>21981.558170000008</v>
      </c>
      <c r="T3039" s="4">
        <v>0</v>
      </c>
      <c r="U3039" s="4">
        <f>T3039*1.12</f>
        <v>0</v>
      </c>
      <c r="V3039" s="1"/>
      <c r="W3039" s="3">
        <v>2014</v>
      </c>
      <c r="X3039" s="3" t="s">
        <v>14785</v>
      </c>
    </row>
    <row r="3040" spans="1:24" ht="114.75">
      <c r="A3040" s="3" t="s">
        <v>16500</v>
      </c>
      <c r="B3040" s="6" t="s">
        <v>361</v>
      </c>
      <c r="C3040" s="6" t="s">
        <v>4888</v>
      </c>
      <c r="D3040" s="6" t="s">
        <v>4882</v>
      </c>
      <c r="E3040" s="6" t="s">
        <v>4889</v>
      </c>
      <c r="F3040" s="53" t="s">
        <v>4880</v>
      </c>
      <c r="G3040" s="3" t="s">
        <v>11450</v>
      </c>
      <c r="H3040" s="54">
        <v>0</v>
      </c>
      <c r="I3040" s="55">
        <v>470000000</v>
      </c>
      <c r="J3040" s="56" t="s">
        <v>229</v>
      </c>
      <c r="K3040" s="57" t="s">
        <v>10120</v>
      </c>
      <c r="L3040" s="17" t="s">
        <v>11920</v>
      </c>
      <c r="M3040" s="3" t="s">
        <v>230</v>
      </c>
      <c r="N3040" s="52" t="s">
        <v>7693</v>
      </c>
      <c r="O3040" s="6" t="s">
        <v>365</v>
      </c>
      <c r="P3040" s="58" t="s">
        <v>241</v>
      </c>
      <c r="Q3040" s="53" t="s">
        <v>234</v>
      </c>
      <c r="R3040" s="22">
        <v>6</v>
      </c>
      <c r="S3040" s="59">
        <v>26377.869804000009</v>
      </c>
      <c r="T3040" s="4">
        <f>R3040*S3040</f>
        <v>158267.21882400004</v>
      </c>
      <c r="U3040" s="4">
        <f>T3040*1.12</f>
        <v>177259.28508288006</v>
      </c>
      <c r="V3040" s="1"/>
      <c r="W3040" s="3">
        <v>2014</v>
      </c>
      <c r="X3040" s="3"/>
    </row>
    <row r="3041" spans="1:24" ht="114.75">
      <c r="A3041" s="3" t="s">
        <v>1616</v>
      </c>
      <c r="B3041" s="6" t="s">
        <v>361</v>
      </c>
      <c r="C3041" s="6" t="s">
        <v>4910</v>
      </c>
      <c r="D3041" s="6" t="s">
        <v>4882</v>
      </c>
      <c r="E3041" s="6" t="s">
        <v>4911</v>
      </c>
      <c r="F3041" s="53" t="s">
        <v>4879</v>
      </c>
      <c r="G3041" s="6" t="s">
        <v>11450</v>
      </c>
      <c r="H3041" s="54">
        <v>0</v>
      </c>
      <c r="I3041" s="55">
        <v>470000000</v>
      </c>
      <c r="J3041" s="56" t="s">
        <v>229</v>
      </c>
      <c r="K3041" s="57" t="s">
        <v>641</v>
      </c>
      <c r="L3041" s="57" t="s">
        <v>364</v>
      </c>
      <c r="M3041" s="3" t="s">
        <v>230</v>
      </c>
      <c r="N3041" s="52" t="s">
        <v>7693</v>
      </c>
      <c r="O3041" s="6" t="s">
        <v>365</v>
      </c>
      <c r="P3041" s="58" t="s">
        <v>241</v>
      </c>
      <c r="Q3041" s="53" t="s">
        <v>234</v>
      </c>
      <c r="R3041" s="22">
        <v>8</v>
      </c>
      <c r="S3041" s="59">
        <v>22416.848410000006</v>
      </c>
      <c r="T3041" s="4">
        <v>0</v>
      </c>
      <c r="U3041" s="4">
        <f t="shared" si="76"/>
        <v>0</v>
      </c>
      <c r="V3041" s="1"/>
      <c r="W3041" s="3">
        <v>2014</v>
      </c>
      <c r="X3041" s="3">
        <v>11.12</v>
      </c>
    </row>
    <row r="3042" spans="1:24" ht="114.75">
      <c r="A3042" s="3" t="s">
        <v>11950</v>
      </c>
      <c r="B3042" s="6" t="s">
        <v>361</v>
      </c>
      <c r="C3042" s="6" t="s">
        <v>4910</v>
      </c>
      <c r="D3042" s="6" t="s">
        <v>4882</v>
      </c>
      <c r="E3042" s="6" t="s">
        <v>4911</v>
      </c>
      <c r="F3042" s="53" t="s">
        <v>4879</v>
      </c>
      <c r="G3042" s="6" t="s">
        <v>11450</v>
      </c>
      <c r="H3042" s="54">
        <v>0</v>
      </c>
      <c r="I3042" s="55">
        <v>470000000</v>
      </c>
      <c r="J3042" s="56" t="s">
        <v>229</v>
      </c>
      <c r="K3042" s="57" t="s">
        <v>11919</v>
      </c>
      <c r="L3042" s="17" t="s">
        <v>11920</v>
      </c>
      <c r="M3042" s="3" t="s">
        <v>230</v>
      </c>
      <c r="N3042" s="52" t="s">
        <v>7693</v>
      </c>
      <c r="O3042" s="6" t="s">
        <v>365</v>
      </c>
      <c r="P3042" s="58" t="s">
        <v>241</v>
      </c>
      <c r="Q3042" s="53" t="s">
        <v>234</v>
      </c>
      <c r="R3042" s="22">
        <v>8</v>
      </c>
      <c r="S3042" s="59">
        <v>22416.848410000006</v>
      </c>
      <c r="T3042" s="4">
        <v>0</v>
      </c>
      <c r="U3042" s="4">
        <f>T3042*1.12</f>
        <v>0</v>
      </c>
      <c r="V3042" s="1"/>
      <c r="W3042" s="3">
        <v>2014</v>
      </c>
      <c r="X3042" s="3" t="s">
        <v>14785</v>
      </c>
    </row>
    <row r="3043" spans="1:24" ht="114.75">
      <c r="A3043" s="3" t="s">
        <v>16501</v>
      </c>
      <c r="B3043" s="6" t="s">
        <v>361</v>
      </c>
      <c r="C3043" s="6" t="s">
        <v>4910</v>
      </c>
      <c r="D3043" s="6" t="s">
        <v>4882</v>
      </c>
      <c r="E3043" s="6" t="s">
        <v>4911</v>
      </c>
      <c r="F3043" s="53" t="s">
        <v>4879</v>
      </c>
      <c r="G3043" s="3" t="s">
        <v>11450</v>
      </c>
      <c r="H3043" s="54">
        <v>0</v>
      </c>
      <c r="I3043" s="55">
        <v>470000000</v>
      </c>
      <c r="J3043" s="56" t="s">
        <v>229</v>
      </c>
      <c r="K3043" s="57" t="s">
        <v>10120</v>
      </c>
      <c r="L3043" s="17" t="s">
        <v>11920</v>
      </c>
      <c r="M3043" s="3" t="s">
        <v>230</v>
      </c>
      <c r="N3043" s="52" t="s">
        <v>7693</v>
      </c>
      <c r="O3043" s="6" t="s">
        <v>365</v>
      </c>
      <c r="P3043" s="58" t="s">
        <v>241</v>
      </c>
      <c r="Q3043" s="53" t="s">
        <v>234</v>
      </c>
      <c r="R3043" s="22">
        <v>8</v>
      </c>
      <c r="S3043" s="59">
        <v>26900.218092000006</v>
      </c>
      <c r="T3043" s="4">
        <f>R3043*S3043</f>
        <v>215201.74473600005</v>
      </c>
      <c r="U3043" s="4">
        <f>T3043*1.12</f>
        <v>241025.95410432009</v>
      </c>
      <c r="V3043" s="1"/>
      <c r="W3043" s="3">
        <v>2014</v>
      </c>
      <c r="X3043" s="3"/>
    </row>
    <row r="3044" spans="1:24" ht="114.75">
      <c r="A3044" s="3" t="s">
        <v>1617</v>
      </c>
      <c r="B3044" s="6" t="s">
        <v>361</v>
      </c>
      <c r="C3044" s="6" t="s">
        <v>4912</v>
      </c>
      <c r="D3044" s="6" t="s">
        <v>4882</v>
      </c>
      <c r="E3044" s="6" t="s">
        <v>4913</v>
      </c>
      <c r="F3044" s="53" t="s">
        <v>4878</v>
      </c>
      <c r="G3044" s="6" t="s">
        <v>11450</v>
      </c>
      <c r="H3044" s="54">
        <v>0</v>
      </c>
      <c r="I3044" s="55">
        <v>470000000</v>
      </c>
      <c r="J3044" s="56" t="s">
        <v>229</v>
      </c>
      <c r="K3044" s="57" t="s">
        <v>641</v>
      </c>
      <c r="L3044" s="57" t="s">
        <v>364</v>
      </c>
      <c r="M3044" s="3" t="s">
        <v>230</v>
      </c>
      <c r="N3044" s="52" t="s">
        <v>7693</v>
      </c>
      <c r="O3044" s="6" t="s">
        <v>365</v>
      </c>
      <c r="P3044" s="58" t="s">
        <v>241</v>
      </c>
      <c r="Q3044" s="53" t="s">
        <v>234</v>
      </c>
      <c r="R3044" s="22">
        <v>16</v>
      </c>
      <c r="S3044" s="59">
        <v>4404.9844300000013</v>
      </c>
      <c r="T3044" s="4">
        <v>0</v>
      </c>
      <c r="U3044" s="4">
        <f t="shared" si="76"/>
        <v>0</v>
      </c>
      <c r="V3044" s="1"/>
      <c r="W3044" s="3">
        <v>2014</v>
      </c>
      <c r="X3044" s="3">
        <v>11.12</v>
      </c>
    </row>
    <row r="3045" spans="1:24" ht="114.75">
      <c r="A3045" s="3" t="s">
        <v>11951</v>
      </c>
      <c r="B3045" s="6" t="s">
        <v>361</v>
      </c>
      <c r="C3045" s="6" t="s">
        <v>4912</v>
      </c>
      <c r="D3045" s="6" t="s">
        <v>4882</v>
      </c>
      <c r="E3045" s="6" t="s">
        <v>4913</v>
      </c>
      <c r="F3045" s="53" t="s">
        <v>4878</v>
      </c>
      <c r="G3045" s="6" t="s">
        <v>11450</v>
      </c>
      <c r="H3045" s="54">
        <v>0</v>
      </c>
      <c r="I3045" s="55">
        <v>470000000</v>
      </c>
      <c r="J3045" s="56" t="s">
        <v>229</v>
      </c>
      <c r="K3045" s="57" t="s">
        <v>11919</v>
      </c>
      <c r="L3045" s="17" t="s">
        <v>11920</v>
      </c>
      <c r="M3045" s="3" t="s">
        <v>230</v>
      </c>
      <c r="N3045" s="52" t="s">
        <v>7693</v>
      </c>
      <c r="O3045" s="6" t="s">
        <v>365</v>
      </c>
      <c r="P3045" s="58" t="s">
        <v>241</v>
      </c>
      <c r="Q3045" s="53" t="s">
        <v>234</v>
      </c>
      <c r="R3045" s="22">
        <v>16</v>
      </c>
      <c r="S3045" s="59">
        <v>4404.9844300000013</v>
      </c>
      <c r="T3045" s="4">
        <v>0</v>
      </c>
      <c r="U3045" s="4">
        <f>T3045*1.12</f>
        <v>0</v>
      </c>
      <c r="V3045" s="1"/>
      <c r="W3045" s="3">
        <v>2014</v>
      </c>
      <c r="X3045" s="3" t="s">
        <v>14785</v>
      </c>
    </row>
    <row r="3046" spans="1:24" ht="114.75">
      <c r="A3046" s="3" t="s">
        <v>16502</v>
      </c>
      <c r="B3046" s="6" t="s">
        <v>361</v>
      </c>
      <c r="C3046" s="6" t="s">
        <v>4912</v>
      </c>
      <c r="D3046" s="6" t="s">
        <v>4882</v>
      </c>
      <c r="E3046" s="6" t="s">
        <v>4913</v>
      </c>
      <c r="F3046" s="53" t="s">
        <v>4878</v>
      </c>
      <c r="G3046" s="3" t="s">
        <v>11450</v>
      </c>
      <c r="H3046" s="54">
        <v>0</v>
      </c>
      <c r="I3046" s="55">
        <v>470000000</v>
      </c>
      <c r="J3046" s="56" t="s">
        <v>229</v>
      </c>
      <c r="K3046" s="57" t="s">
        <v>10120</v>
      </c>
      <c r="L3046" s="17" t="s">
        <v>11920</v>
      </c>
      <c r="M3046" s="3" t="s">
        <v>230</v>
      </c>
      <c r="N3046" s="52" t="s">
        <v>7693</v>
      </c>
      <c r="O3046" s="6" t="s">
        <v>365</v>
      </c>
      <c r="P3046" s="58" t="s">
        <v>241</v>
      </c>
      <c r="Q3046" s="53" t="s">
        <v>234</v>
      </c>
      <c r="R3046" s="22">
        <v>16</v>
      </c>
      <c r="S3046" s="59">
        <v>5285.9813160000012</v>
      </c>
      <c r="T3046" s="4">
        <f>R3046*S3046</f>
        <v>84575.70105600002</v>
      </c>
      <c r="U3046" s="4">
        <f>T3046*1.12</f>
        <v>94724.785182720036</v>
      </c>
      <c r="V3046" s="1"/>
      <c r="W3046" s="3">
        <v>2014</v>
      </c>
      <c r="X3046" s="3"/>
    </row>
    <row r="3047" spans="1:24" ht="114.75">
      <c r="A3047" s="3" t="s">
        <v>1618</v>
      </c>
      <c r="B3047" s="6" t="s">
        <v>361</v>
      </c>
      <c r="C3047" s="6" t="s">
        <v>4914</v>
      </c>
      <c r="D3047" s="6" t="s">
        <v>4882</v>
      </c>
      <c r="E3047" s="6" t="s">
        <v>4915</v>
      </c>
      <c r="F3047" s="53" t="s">
        <v>4877</v>
      </c>
      <c r="G3047" s="6" t="s">
        <v>11450</v>
      </c>
      <c r="H3047" s="54">
        <v>0</v>
      </c>
      <c r="I3047" s="55">
        <v>470000000</v>
      </c>
      <c r="J3047" s="56" t="s">
        <v>229</v>
      </c>
      <c r="K3047" s="57" t="s">
        <v>641</v>
      </c>
      <c r="L3047" s="57" t="s">
        <v>364</v>
      </c>
      <c r="M3047" s="3" t="s">
        <v>230</v>
      </c>
      <c r="N3047" s="52" t="s">
        <v>7693</v>
      </c>
      <c r="O3047" s="6" t="s">
        <v>365</v>
      </c>
      <c r="P3047" s="58" t="s">
        <v>241</v>
      </c>
      <c r="Q3047" s="53" t="s">
        <v>234</v>
      </c>
      <c r="R3047" s="22">
        <v>16</v>
      </c>
      <c r="S3047" s="59">
        <v>9313.2490000000016</v>
      </c>
      <c r="T3047" s="4">
        <v>0</v>
      </c>
      <c r="U3047" s="4">
        <f t="shared" si="76"/>
        <v>0</v>
      </c>
      <c r="V3047" s="1"/>
      <c r="W3047" s="3">
        <v>2014</v>
      </c>
      <c r="X3047" s="3">
        <v>11.12</v>
      </c>
    </row>
    <row r="3048" spans="1:24" ht="114.75">
      <c r="A3048" s="3" t="s">
        <v>11952</v>
      </c>
      <c r="B3048" s="6" t="s">
        <v>361</v>
      </c>
      <c r="C3048" s="6" t="s">
        <v>4914</v>
      </c>
      <c r="D3048" s="6" t="s">
        <v>4882</v>
      </c>
      <c r="E3048" s="6" t="s">
        <v>4915</v>
      </c>
      <c r="F3048" s="53" t="s">
        <v>4877</v>
      </c>
      <c r="G3048" s="6" t="s">
        <v>11450</v>
      </c>
      <c r="H3048" s="54">
        <v>0</v>
      </c>
      <c r="I3048" s="55">
        <v>470000000</v>
      </c>
      <c r="J3048" s="56" t="s">
        <v>229</v>
      </c>
      <c r="K3048" s="57" t="s">
        <v>11919</v>
      </c>
      <c r="L3048" s="17" t="s">
        <v>11920</v>
      </c>
      <c r="M3048" s="3" t="s">
        <v>230</v>
      </c>
      <c r="N3048" s="52" t="s">
        <v>7693</v>
      </c>
      <c r="O3048" s="6" t="s">
        <v>365</v>
      </c>
      <c r="P3048" s="58" t="s">
        <v>241</v>
      </c>
      <c r="Q3048" s="53" t="s">
        <v>234</v>
      </c>
      <c r="R3048" s="22">
        <v>16</v>
      </c>
      <c r="S3048" s="59">
        <v>9313.2490000000016</v>
      </c>
      <c r="T3048" s="4">
        <v>0</v>
      </c>
      <c r="U3048" s="4">
        <f>T3048*1.12</f>
        <v>0</v>
      </c>
      <c r="V3048" s="1"/>
      <c r="W3048" s="3">
        <v>2014</v>
      </c>
      <c r="X3048" s="3" t="s">
        <v>14785</v>
      </c>
    </row>
    <row r="3049" spans="1:24" ht="114.75">
      <c r="A3049" s="3" t="s">
        <v>16503</v>
      </c>
      <c r="B3049" s="6" t="s">
        <v>361</v>
      </c>
      <c r="C3049" s="6" t="s">
        <v>4914</v>
      </c>
      <c r="D3049" s="6" t="s">
        <v>4882</v>
      </c>
      <c r="E3049" s="6" t="s">
        <v>4915</v>
      </c>
      <c r="F3049" s="53" t="s">
        <v>4877</v>
      </c>
      <c r="G3049" s="3" t="s">
        <v>11450</v>
      </c>
      <c r="H3049" s="54">
        <v>0</v>
      </c>
      <c r="I3049" s="55">
        <v>470000000</v>
      </c>
      <c r="J3049" s="56" t="s">
        <v>229</v>
      </c>
      <c r="K3049" s="57" t="s">
        <v>10120</v>
      </c>
      <c r="L3049" s="17" t="s">
        <v>11920</v>
      </c>
      <c r="M3049" s="3" t="s">
        <v>230</v>
      </c>
      <c r="N3049" s="52" t="s">
        <v>7693</v>
      </c>
      <c r="O3049" s="6" t="s">
        <v>365</v>
      </c>
      <c r="P3049" s="58" t="s">
        <v>241</v>
      </c>
      <c r="Q3049" s="53" t="s">
        <v>234</v>
      </c>
      <c r="R3049" s="22">
        <v>16</v>
      </c>
      <c r="S3049" s="59">
        <v>11175.898800000001</v>
      </c>
      <c r="T3049" s="4">
        <f>R3049*S3049</f>
        <v>178814.38080000001</v>
      </c>
      <c r="U3049" s="4">
        <f>T3049*1.12</f>
        <v>200272.10649600002</v>
      </c>
      <c r="V3049" s="1"/>
      <c r="W3049" s="3">
        <v>2014</v>
      </c>
      <c r="X3049" s="3"/>
    </row>
    <row r="3050" spans="1:24" ht="114.75">
      <c r="A3050" s="3" t="s">
        <v>1619</v>
      </c>
      <c r="B3050" s="6" t="s">
        <v>361</v>
      </c>
      <c r="C3050" s="6" t="s">
        <v>4916</v>
      </c>
      <c r="D3050" s="6" t="s">
        <v>4882</v>
      </c>
      <c r="E3050" s="6" t="s">
        <v>4917</v>
      </c>
      <c r="F3050" s="109" t="s">
        <v>4876</v>
      </c>
      <c r="G3050" s="6" t="s">
        <v>11450</v>
      </c>
      <c r="H3050" s="54">
        <v>0</v>
      </c>
      <c r="I3050" s="55">
        <v>470000000</v>
      </c>
      <c r="J3050" s="56" t="s">
        <v>229</v>
      </c>
      <c r="K3050" s="57" t="s">
        <v>641</v>
      </c>
      <c r="L3050" s="57" t="s">
        <v>364</v>
      </c>
      <c r="M3050" s="3" t="s">
        <v>230</v>
      </c>
      <c r="N3050" s="52" t="s">
        <v>7693</v>
      </c>
      <c r="O3050" s="6" t="s">
        <v>365</v>
      </c>
      <c r="P3050" s="58" t="s">
        <v>241</v>
      </c>
      <c r="Q3050" s="53" t="s">
        <v>234</v>
      </c>
      <c r="R3050" s="22">
        <v>16</v>
      </c>
      <c r="S3050" s="59">
        <v>8744.67</v>
      </c>
      <c r="T3050" s="4">
        <v>0</v>
      </c>
      <c r="U3050" s="4">
        <f t="shared" si="76"/>
        <v>0</v>
      </c>
      <c r="V3050" s="1"/>
      <c r="W3050" s="3">
        <v>2014</v>
      </c>
      <c r="X3050" s="3">
        <v>11.12</v>
      </c>
    </row>
    <row r="3051" spans="1:24" ht="114.75">
      <c r="A3051" s="3" t="s">
        <v>11953</v>
      </c>
      <c r="B3051" s="6" t="s">
        <v>361</v>
      </c>
      <c r="C3051" s="6" t="s">
        <v>4916</v>
      </c>
      <c r="D3051" s="6" t="s">
        <v>4882</v>
      </c>
      <c r="E3051" s="6" t="s">
        <v>4917</v>
      </c>
      <c r="F3051" s="109" t="s">
        <v>4876</v>
      </c>
      <c r="G3051" s="6" t="s">
        <v>11450</v>
      </c>
      <c r="H3051" s="54">
        <v>0</v>
      </c>
      <c r="I3051" s="55">
        <v>470000000</v>
      </c>
      <c r="J3051" s="56" t="s">
        <v>229</v>
      </c>
      <c r="K3051" s="57" t="s">
        <v>11919</v>
      </c>
      <c r="L3051" s="17" t="s">
        <v>11920</v>
      </c>
      <c r="M3051" s="3" t="s">
        <v>230</v>
      </c>
      <c r="N3051" s="52" t="s">
        <v>7693</v>
      </c>
      <c r="O3051" s="6" t="s">
        <v>365</v>
      </c>
      <c r="P3051" s="58" t="s">
        <v>241</v>
      </c>
      <c r="Q3051" s="53" t="s">
        <v>234</v>
      </c>
      <c r="R3051" s="22">
        <v>16</v>
      </c>
      <c r="S3051" s="59">
        <v>8744.67</v>
      </c>
      <c r="T3051" s="4">
        <v>0</v>
      </c>
      <c r="U3051" s="4">
        <f>T3051*1.12</f>
        <v>0</v>
      </c>
      <c r="V3051" s="1"/>
      <c r="W3051" s="3">
        <v>2014</v>
      </c>
      <c r="X3051" s="3" t="s">
        <v>14785</v>
      </c>
    </row>
    <row r="3052" spans="1:24" ht="114.75">
      <c r="A3052" s="3" t="s">
        <v>16504</v>
      </c>
      <c r="B3052" s="6" t="s">
        <v>361</v>
      </c>
      <c r="C3052" s="6" t="s">
        <v>4916</v>
      </c>
      <c r="D3052" s="6" t="s">
        <v>4882</v>
      </c>
      <c r="E3052" s="6" t="s">
        <v>4917</v>
      </c>
      <c r="F3052" s="109" t="s">
        <v>4876</v>
      </c>
      <c r="G3052" s="3" t="s">
        <v>11450</v>
      </c>
      <c r="H3052" s="54">
        <v>0</v>
      </c>
      <c r="I3052" s="55">
        <v>470000000</v>
      </c>
      <c r="J3052" s="56" t="s">
        <v>229</v>
      </c>
      <c r="K3052" s="57" t="s">
        <v>10120</v>
      </c>
      <c r="L3052" s="17" t="s">
        <v>11920</v>
      </c>
      <c r="M3052" s="3" t="s">
        <v>230</v>
      </c>
      <c r="N3052" s="52" t="s">
        <v>7693</v>
      </c>
      <c r="O3052" s="6" t="s">
        <v>365</v>
      </c>
      <c r="P3052" s="58" t="s">
        <v>241</v>
      </c>
      <c r="Q3052" s="53" t="s">
        <v>234</v>
      </c>
      <c r="R3052" s="22">
        <v>16</v>
      </c>
      <c r="S3052" s="59">
        <v>10493.603999999999</v>
      </c>
      <c r="T3052" s="4">
        <f>R3052*S3052</f>
        <v>167897.66399999999</v>
      </c>
      <c r="U3052" s="4">
        <f>T3052*1.12</f>
        <v>188045.38368</v>
      </c>
      <c r="V3052" s="1"/>
      <c r="W3052" s="3">
        <v>2014</v>
      </c>
      <c r="X3052" s="3"/>
    </row>
    <row r="3053" spans="1:24" ht="114.75">
      <c r="A3053" s="3" t="s">
        <v>1620</v>
      </c>
      <c r="B3053" s="6" t="s">
        <v>361</v>
      </c>
      <c r="C3053" s="6" t="s">
        <v>4923</v>
      </c>
      <c r="D3053" s="6" t="s">
        <v>4924</v>
      </c>
      <c r="E3053" s="6" t="s">
        <v>4925</v>
      </c>
      <c r="F3053" s="53" t="s">
        <v>4918</v>
      </c>
      <c r="G3053" s="6" t="s">
        <v>11450</v>
      </c>
      <c r="H3053" s="54">
        <v>0</v>
      </c>
      <c r="I3053" s="55">
        <v>470000000</v>
      </c>
      <c r="J3053" s="56" t="s">
        <v>229</v>
      </c>
      <c r="K3053" s="57" t="s">
        <v>641</v>
      </c>
      <c r="L3053" s="57" t="s">
        <v>364</v>
      </c>
      <c r="M3053" s="3" t="s">
        <v>230</v>
      </c>
      <c r="N3053" s="52" t="s">
        <v>7693</v>
      </c>
      <c r="O3053" s="6" t="s">
        <v>365</v>
      </c>
      <c r="P3053" s="58" t="s">
        <v>241</v>
      </c>
      <c r="Q3053" s="53" t="s">
        <v>234</v>
      </c>
      <c r="R3053" s="22">
        <v>40</v>
      </c>
      <c r="S3053" s="59">
        <v>6254</v>
      </c>
      <c r="T3053" s="4">
        <v>0</v>
      </c>
      <c r="U3053" s="4">
        <f t="shared" si="76"/>
        <v>0</v>
      </c>
      <c r="V3053" s="1"/>
      <c r="W3053" s="3">
        <v>2014</v>
      </c>
      <c r="X3053" s="3">
        <v>11.12</v>
      </c>
    </row>
    <row r="3054" spans="1:24" ht="114.75">
      <c r="A3054" s="3" t="s">
        <v>11954</v>
      </c>
      <c r="B3054" s="6" t="s">
        <v>361</v>
      </c>
      <c r="C3054" s="6" t="s">
        <v>4923</v>
      </c>
      <c r="D3054" s="6" t="s">
        <v>4924</v>
      </c>
      <c r="E3054" s="6" t="s">
        <v>4925</v>
      </c>
      <c r="F3054" s="53" t="s">
        <v>4918</v>
      </c>
      <c r="G3054" s="6" t="s">
        <v>11450</v>
      </c>
      <c r="H3054" s="54">
        <v>0</v>
      </c>
      <c r="I3054" s="55">
        <v>470000000</v>
      </c>
      <c r="J3054" s="56" t="s">
        <v>229</v>
      </c>
      <c r="K3054" s="57" t="s">
        <v>11919</v>
      </c>
      <c r="L3054" s="17" t="s">
        <v>11920</v>
      </c>
      <c r="M3054" s="3" t="s">
        <v>230</v>
      </c>
      <c r="N3054" s="52" t="s">
        <v>7693</v>
      </c>
      <c r="O3054" s="6" t="s">
        <v>365</v>
      </c>
      <c r="P3054" s="58" t="s">
        <v>241</v>
      </c>
      <c r="Q3054" s="53" t="s">
        <v>234</v>
      </c>
      <c r="R3054" s="22">
        <v>40</v>
      </c>
      <c r="S3054" s="59">
        <v>6254</v>
      </c>
      <c r="T3054" s="4">
        <v>0</v>
      </c>
      <c r="U3054" s="4">
        <f>T3054*1.12</f>
        <v>0</v>
      </c>
      <c r="V3054" s="1"/>
      <c r="W3054" s="3">
        <v>2014</v>
      </c>
      <c r="X3054" s="3" t="s">
        <v>14785</v>
      </c>
    </row>
    <row r="3055" spans="1:24" ht="114.75">
      <c r="A3055" s="3" t="s">
        <v>16505</v>
      </c>
      <c r="B3055" s="6" t="s">
        <v>361</v>
      </c>
      <c r="C3055" s="6" t="s">
        <v>4923</v>
      </c>
      <c r="D3055" s="6" t="s">
        <v>4924</v>
      </c>
      <c r="E3055" s="6" t="s">
        <v>4925</v>
      </c>
      <c r="F3055" s="53" t="s">
        <v>4918</v>
      </c>
      <c r="G3055" s="3" t="s">
        <v>11450</v>
      </c>
      <c r="H3055" s="54">
        <v>0</v>
      </c>
      <c r="I3055" s="55">
        <v>470000000</v>
      </c>
      <c r="J3055" s="56" t="s">
        <v>229</v>
      </c>
      <c r="K3055" s="57" t="s">
        <v>10120</v>
      </c>
      <c r="L3055" s="17" t="s">
        <v>11920</v>
      </c>
      <c r="M3055" s="3" t="s">
        <v>230</v>
      </c>
      <c r="N3055" s="52" t="s">
        <v>7693</v>
      </c>
      <c r="O3055" s="6" t="s">
        <v>365</v>
      </c>
      <c r="P3055" s="58" t="s">
        <v>241</v>
      </c>
      <c r="Q3055" s="53" t="s">
        <v>234</v>
      </c>
      <c r="R3055" s="22">
        <v>40</v>
      </c>
      <c r="S3055" s="59">
        <v>10867.348800000002</v>
      </c>
      <c r="T3055" s="4">
        <f>R3055*S3055</f>
        <v>434693.95200000005</v>
      </c>
      <c r="U3055" s="4">
        <f>T3055*1.12</f>
        <v>486857.22624000011</v>
      </c>
      <c r="V3055" s="1"/>
      <c r="W3055" s="3">
        <v>2014</v>
      </c>
      <c r="X3055" s="3"/>
    </row>
    <row r="3056" spans="1:24" ht="114.75">
      <c r="A3056" s="3" t="s">
        <v>1621</v>
      </c>
      <c r="B3056" s="6" t="s">
        <v>361</v>
      </c>
      <c r="C3056" s="6" t="s">
        <v>4923</v>
      </c>
      <c r="D3056" s="6" t="s">
        <v>4924</v>
      </c>
      <c r="E3056" s="6" t="s">
        <v>4925</v>
      </c>
      <c r="F3056" s="53" t="s">
        <v>4919</v>
      </c>
      <c r="G3056" s="6" t="s">
        <v>11450</v>
      </c>
      <c r="H3056" s="54">
        <v>0</v>
      </c>
      <c r="I3056" s="55">
        <v>470000000</v>
      </c>
      <c r="J3056" s="56" t="s">
        <v>229</v>
      </c>
      <c r="K3056" s="57" t="s">
        <v>641</v>
      </c>
      <c r="L3056" s="57" t="s">
        <v>364</v>
      </c>
      <c r="M3056" s="3" t="s">
        <v>230</v>
      </c>
      <c r="N3056" s="52" t="s">
        <v>7693</v>
      </c>
      <c r="O3056" s="6" t="s">
        <v>365</v>
      </c>
      <c r="P3056" s="58" t="s">
        <v>241</v>
      </c>
      <c r="Q3056" s="53" t="s">
        <v>234</v>
      </c>
      <c r="R3056" s="22">
        <v>40</v>
      </c>
      <c r="S3056" s="59">
        <v>6734.12</v>
      </c>
      <c r="T3056" s="4">
        <v>0</v>
      </c>
      <c r="U3056" s="4">
        <f t="shared" si="76"/>
        <v>0</v>
      </c>
      <c r="V3056" s="1"/>
      <c r="W3056" s="3">
        <v>2014</v>
      </c>
      <c r="X3056" s="3">
        <v>11.12</v>
      </c>
    </row>
    <row r="3057" spans="1:24" ht="114.75">
      <c r="A3057" s="3" t="s">
        <v>11955</v>
      </c>
      <c r="B3057" s="6" t="s">
        <v>361</v>
      </c>
      <c r="C3057" s="6" t="s">
        <v>4923</v>
      </c>
      <c r="D3057" s="6" t="s">
        <v>4924</v>
      </c>
      <c r="E3057" s="6" t="s">
        <v>4925</v>
      </c>
      <c r="F3057" s="53" t="s">
        <v>4919</v>
      </c>
      <c r="G3057" s="6" t="s">
        <v>11450</v>
      </c>
      <c r="H3057" s="54">
        <v>0</v>
      </c>
      <c r="I3057" s="55">
        <v>470000000</v>
      </c>
      <c r="J3057" s="56" t="s">
        <v>229</v>
      </c>
      <c r="K3057" s="57" t="s">
        <v>11919</v>
      </c>
      <c r="L3057" s="17" t="s">
        <v>11920</v>
      </c>
      <c r="M3057" s="3" t="s">
        <v>230</v>
      </c>
      <c r="N3057" s="52" t="s">
        <v>7693</v>
      </c>
      <c r="O3057" s="6" t="s">
        <v>365</v>
      </c>
      <c r="P3057" s="58" t="s">
        <v>241</v>
      </c>
      <c r="Q3057" s="53" t="s">
        <v>234</v>
      </c>
      <c r="R3057" s="22">
        <v>40</v>
      </c>
      <c r="S3057" s="59">
        <v>6734.12</v>
      </c>
      <c r="T3057" s="4">
        <v>0</v>
      </c>
      <c r="U3057" s="4">
        <f>T3057*1.12</f>
        <v>0</v>
      </c>
      <c r="V3057" s="1"/>
      <c r="W3057" s="3">
        <v>2014</v>
      </c>
      <c r="X3057" s="3" t="s">
        <v>14785</v>
      </c>
    </row>
    <row r="3058" spans="1:24" ht="114.75">
      <c r="A3058" s="3" t="s">
        <v>16506</v>
      </c>
      <c r="B3058" s="6" t="s">
        <v>361</v>
      </c>
      <c r="C3058" s="6" t="s">
        <v>4923</v>
      </c>
      <c r="D3058" s="6" t="s">
        <v>4924</v>
      </c>
      <c r="E3058" s="6" t="s">
        <v>4925</v>
      </c>
      <c r="F3058" s="53" t="s">
        <v>4919</v>
      </c>
      <c r="G3058" s="3" t="s">
        <v>11450</v>
      </c>
      <c r="H3058" s="54">
        <v>0</v>
      </c>
      <c r="I3058" s="55">
        <v>470000000</v>
      </c>
      <c r="J3058" s="56" t="s">
        <v>229</v>
      </c>
      <c r="K3058" s="57" t="s">
        <v>10120</v>
      </c>
      <c r="L3058" s="17" t="s">
        <v>11920</v>
      </c>
      <c r="M3058" s="3" t="s">
        <v>230</v>
      </c>
      <c r="N3058" s="52" t="s">
        <v>7693</v>
      </c>
      <c r="O3058" s="6" t="s">
        <v>365</v>
      </c>
      <c r="P3058" s="58" t="s">
        <v>241</v>
      </c>
      <c r="Q3058" s="53" t="s">
        <v>234</v>
      </c>
      <c r="R3058" s="22">
        <v>40</v>
      </c>
      <c r="S3058" s="59">
        <v>9378.7584000000006</v>
      </c>
      <c r="T3058" s="4">
        <f>R3058*S3058</f>
        <v>375150.33600000001</v>
      </c>
      <c r="U3058" s="4">
        <f>T3058*1.12</f>
        <v>420168.37632000004</v>
      </c>
      <c r="V3058" s="1"/>
      <c r="W3058" s="3">
        <v>2014</v>
      </c>
      <c r="X3058" s="3"/>
    </row>
    <row r="3059" spans="1:24" ht="114.75">
      <c r="A3059" s="3" t="s">
        <v>1622</v>
      </c>
      <c r="B3059" s="6" t="s">
        <v>361</v>
      </c>
      <c r="C3059" s="6" t="s">
        <v>4923</v>
      </c>
      <c r="D3059" s="6" t="s">
        <v>4924</v>
      </c>
      <c r="E3059" s="6" t="s">
        <v>4925</v>
      </c>
      <c r="F3059" s="53" t="s">
        <v>4920</v>
      </c>
      <c r="G3059" s="6" t="s">
        <v>11450</v>
      </c>
      <c r="H3059" s="54">
        <v>0</v>
      </c>
      <c r="I3059" s="55">
        <v>470000000</v>
      </c>
      <c r="J3059" s="56" t="s">
        <v>229</v>
      </c>
      <c r="K3059" s="57" t="s">
        <v>641</v>
      </c>
      <c r="L3059" s="57" t="s">
        <v>364</v>
      </c>
      <c r="M3059" s="3" t="s">
        <v>230</v>
      </c>
      <c r="N3059" s="52" t="s">
        <v>7693</v>
      </c>
      <c r="O3059" s="6" t="s">
        <v>365</v>
      </c>
      <c r="P3059" s="58" t="s">
        <v>241</v>
      </c>
      <c r="Q3059" s="53" t="s">
        <v>234</v>
      </c>
      <c r="R3059" s="22">
        <v>40</v>
      </c>
      <c r="S3059" s="59">
        <v>5800</v>
      </c>
      <c r="T3059" s="4">
        <v>0</v>
      </c>
      <c r="U3059" s="4">
        <f t="shared" si="76"/>
        <v>0</v>
      </c>
      <c r="V3059" s="1"/>
      <c r="W3059" s="3">
        <v>2014</v>
      </c>
      <c r="X3059" s="3">
        <v>11.12</v>
      </c>
    </row>
    <row r="3060" spans="1:24" ht="114.75">
      <c r="A3060" s="3" t="s">
        <v>11956</v>
      </c>
      <c r="B3060" s="6" t="s">
        <v>361</v>
      </c>
      <c r="C3060" s="6" t="s">
        <v>4923</v>
      </c>
      <c r="D3060" s="6" t="s">
        <v>4924</v>
      </c>
      <c r="E3060" s="6" t="s">
        <v>4925</v>
      </c>
      <c r="F3060" s="53" t="s">
        <v>4920</v>
      </c>
      <c r="G3060" s="6" t="s">
        <v>11450</v>
      </c>
      <c r="H3060" s="54">
        <v>0</v>
      </c>
      <c r="I3060" s="55">
        <v>470000000</v>
      </c>
      <c r="J3060" s="56" t="s">
        <v>229</v>
      </c>
      <c r="K3060" s="57" t="s">
        <v>11919</v>
      </c>
      <c r="L3060" s="17" t="s">
        <v>11920</v>
      </c>
      <c r="M3060" s="3" t="s">
        <v>230</v>
      </c>
      <c r="N3060" s="52" t="s">
        <v>7693</v>
      </c>
      <c r="O3060" s="6" t="s">
        <v>365</v>
      </c>
      <c r="P3060" s="58" t="s">
        <v>241</v>
      </c>
      <c r="Q3060" s="53" t="s">
        <v>234</v>
      </c>
      <c r="R3060" s="22">
        <v>40</v>
      </c>
      <c r="S3060" s="59">
        <v>5800</v>
      </c>
      <c r="T3060" s="4">
        <v>0</v>
      </c>
      <c r="U3060" s="4">
        <f>T3060*1.12</f>
        <v>0</v>
      </c>
      <c r="V3060" s="1"/>
      <c r="W3060" s="3">
        <v>2014</v>
      </c>
      <c r="X3060" s="3" t="s">
        <v>14785</v>
      </c>
    </row>
    <row r="3061" spans="1:24" ht="114.75">
      <c r="A3061" s="3" t="s">
        <v>16507</v>
      </c>
      <c r="B3061" s="6" t="s">
        <v>361</v>
      </c>
      <c r="C3061" s="6" t="s">
        <v>4923</v>
      </c>
      <c r="D3061" s="6" t="s">
        <v>4924</v>
      </c>
      <c r="E3061" s="6" t="s">
        <v>4925</v>
      </c>
      <c r="F3061" s="53" t="s">
        <v>4920</v>
      </c>
      <c r="G3061" s="3" t="s">
        <v>11450</v>
      </c>
      <c r="H3061" s="54">
        <v>0</v>
      </c>
      <c r="I3061" s="55">
        <v>470000000</v>
      </c>
      <c r="J3061" s="56" t="s">
        <v>229</v>
      </c>
      <c r="K3061" s="57" t="s">
        <v>10120</v>
      </c>
      <c r="L3061" s="17" t="s">
        <v>11920</v>
      </c>
      <c r="M3061" s="3" t="s">
        <v>230</v>
      </c>
      <c r="N3061" s="52" t="s">
        <v>7693</v>
      </c>
      <c r="O3061" s="6" t="s">
        <v>365</v>
      </c>
      <c r="P3061" s="58" t="s">
        <v>241</v>
      </c>
      <c r="Q3061" s="53" t="s">
        <v>234</v>
      </c>
      <c r="R3061" s="22">
        <v>40</v>
      </c>
      <c r="S3061" s="59">
        <v>6960</v>
      </c>
      <c r="T3061" s="4">
        <f>R3061*S3061</f>
        <v>278400</v>
      </c>
      <c r="U3061" s="4">
        <f>T3061*1.12</f>
        <v>311808.00000000006</v>
      </c>
      <c r="V3061" s="1"/>
      <c r="W3061" s="3">
        <v>2014</v>
      </c>
      <c r="X3061" s="3"/>
    </row>
    <row r="3062" spans="1:24" ht="114.75">
      <c r="A3062" s="3" t="s">
        <v>1623</v>
      </c>
      <c r="B3062" s="6" t="s">
        <v>361</v>
      </c>
      <c r="C3062" s="6" t="s">
        <v>4926</v>
      </c>
      <c r="D3062" s="6" t="s">
        <v>4924</v>
      </c>
      <c r="E3062" s="6" t="s">
        <v>4927</v>
      </c>
      <c r="F3062" s="53" t="s">
        <v>4921</v>
      </c>
      <c r="G3062" s="6" t="s">
        <v>11450</v>
      </c>
      <c r="H3062" s="54">
        <v>0</v>
      </c>
      <c r="I3062" s="55">
        <v>470000000</v>
      </c>
      <c r="J3062" s="56" t="s">
        <v>229</v>
      </c>
      <c r="K3062" s="57" t="s">
        <v>641</v>
      </c>
      <c r="L3062" s="57" t="s">
        <v>364</v>
      </c>
      <c r="M3062" s="3" t="s">
        <v>230</v>
      </c>
      <c r="N3062" s="52" t="s">
        <v>7693</v>
      </c>
      <c r="O3062" s="6" t="s">
        <v>365</v>
      </c>
      <c r="P3062" s="58" t="s">
        <v>241</v>
      </c>
      <c r="Q3062" s="53" t="s">
        <v>234</v>
      </c>
      <c r="R3062" s="22">
        <v>30</v>
      </c>
      <c r="S3062" s="59">
        <v>13800</v>
      </c>
      <c r="T3062" s="4">
        <v>0</v>
      </c>
      <c r="U3062" s="4">
        <f t="shared" si="76"/>
        <v>0</v>
      </c>
      <c r="V3062" s="1"/>
      <c r="W3062" s="3">
        <v>2014</v>
      </c>
      <c r="X3062" s="3">
        <v>11.12</v>
      </c>
    </row>
    <row r="3063" spans="1:24" ht="114.75">
      <c r="A3063" s="3" t="s">
        <v>11957</v>
      </c>
      <c r="B3063" s="6" t="s">
        <v>361</v>
      </c>
      <c r="C3063" s="6" t="s">
        <v>4926</v>
      </c>
      <c r="D3063" s="6" t="s">
        <v>4924</v>
      </c>
      <c r="E3063" s="6" t="s">
        <v>4927</v>
      </c>
      <c r="F3063" s="53" t="s">
        <v>4921</v>
      </c>
      <c r="G3063" s="6" t="s">
        <v>11450</v>
      </c>
      <c r="H3063" s="54">
        <v>0</v>
      </c>
      <c r="I3063" s="55">
        <v>470000000</v>
      </c>
      <c r="J3063" s="56" t="s">
        <v>229</v>
      </c>
      <c r="K3063" s="57" t="s">
        <v>11919</v>
      </c>
      <c r="L3063" s="17" t="s">
        <v>11920</v>
      </c>
      <c r="M3063" s="3" t="s">
        <v>230</v>
      </c>
      <c r="N3063" s="52" t="s">
        <v>7693</v>
      </c>
      <c r="O3063" s="6" t="s">
        <v>365</v>
      </c>
      <c r="P3063" s="58" t="s">
        <v>241</v>
      </c>
      <c r="Q3063" s="53" t="s">
        <v>234</v>
      </c>
      <c r="R3063" s="22">
        <v>30</v>
      </c>
      <c r="S3063" s="59">
        <v>13800</v>
      </c>
      <c r="T3063" s="4">
        <v>0</v>
      </c>
      <c r="U3063" s="4">
        <f>T3063*1.12</f>
        <v>0</v>
      </c>
      <c r="V3063" s="1"/>
      <c r="W3063" s="3">
        <v>2014</v>
      </c>
      <c r="X3063" s="3" t="s">
        <v>14785</v>
      </c>
    </row>
    <row r="3064" spans="1:24" ht="114.75">
      <c r="A3064" s="3" t="s">
        <v>16508</v>
      </c>
      <c r="B3064" s="6" t="s">
        <v>361</v>
      </c>
      <c r="C3064" s="6" t="s">
        <v>4926</v>
      </c>
      <c r="D3064" s="6" t="s">
        <v>4924</v>
      </c>
      <c r="E3064" s="6" t="s">
        <v>4927</v>
      </c>
      <c r="F3064" s="53" t="s">
        <v>4921</v>
      </c>
      <c r="G3064" s="3" t="s">
        <v>11450</v>
      </c>
      <c r="H3064" s="54">
        <v>0</v>
      </c>
      <c r="I3064" s="55">
        <v>470000000</v>
      </c>
      <c r="J3064" s="56" t="s">
        <v>229</v>
      </c>
      <c r="K3064" s="57" t="s">
        <v>10120</v>
      </c>
      <c r="L3064" s="17" t="s">
        <v>11920</v>
      </c>
      <c r="M3064" s="3" t="s">
        <v>230</v>
      </c>
      <c r="N3064" s="52" t="s">
        <v>7693</v>
      </c>
      <c r="O3064" s="6" t="s">
        <v>365</v>
      </c>
      <c r="P3064" s="58" t="s">
        <v>241</v>
      </c>
      <c r="Q3064" s="53" t="s">
        <v>234</v>
      </c>
      <c r="R3064" s="22">
        <v>30</v>
      </c>
      <c r="S3064" s="59">
        <v>16560</v>
      </c>
      <c r="T3064" s="4">
        <f>R3064*S3064</f>
        <v>496800</v>
      </c>
      <c r="U3064" s="4">
        <f>T3064*1.12</f>
        <v>556416</v>
      </c>
      <c r="V3064" s="1"/>
      <c r="W3064" s="3">
        <v>2014</v>
      </c>
      <c r="X3064" s="3"/>
    </row>
    <row r="3065" spans="1:24" ht="114.75">
      <c r="A3065" s="3" t="s">
        <v>1624</v>
      </c>
      <c r="B3065" s="6" t="s">
        <v>361</v>
      </c>
      <c r="C3065" s="6" t="s">
        <v>4926</v>
      </c>
      <c r="D3065" s="6" t="s">
        <v>4924</v>
      </c>
      <c r="E3065" s="6" t="s">
        <v>4927</v>
      </c>
      <c r="F3065" s="53" t="s">
        <v>4922</v>
      </c>
      <c r="G3065" s="6" t="s">
        <v>11450</v>
      </c>
      <c r="H3065" s="54">
        <v>0</v>
      </c>
      <c r="I3065" s="55">
        <v>470000000</v>
      </c>
      <c r="J3065" s="56" t="s">
        <v>229</v>
      </c>
      <c r="K3065" s="57" t="s">
        <v>641</v>
      </c>
      <c r="L3065" s="57" t="s">
        <v>364</v>
      </c>
      <c r="M3065" s="3" t="s">
        <v>230</v>
      </c>
      <c r="N3065" s="52" t="s">
        <v>7693</v>
      </c>
      <c r="O3065" s="6" t="s">
        <v>365</v>
      </c>
      <c r="P3065" s="58" t="s">
        <v>241</v>
      </c>
      <c r="Q3065" s="53" t="s">
        <v>234</v>
      </c>
      <c r="R3065" s="22">
        <v>30</v>
      </c>
      <c r="S3065" s="59">
        <v>14500</v>
      </c>
      <c r="T3065" s="4">
        <v>0</v>
      </c>
      <c r="U3065" s="4">
        <f t="shared" si="76"/>
        <v>0</v>
      </c>
      <c r="V3065" s="1"/>
      <c r="W3065" s="3">
        <v>2014</v>
      </c>
      <c r="X3065" s="3">
        <v>11.12</v>
      </c>
    </row>
    <row r="3066" spans="1:24" ht="114.75">
      <c r="A3066" s="3" t="s">
        <v>11958</v>
      </c>
      <c r="B3066" s="6" t="s">
        <v>361</v>
      </c>
      <c r="C3066" s="6" t="s">
        <v>4926</v>
      </c>
      <c r="D3066" s="6" t="s">
        <v>4924</v>
      </c>
      <c r="E3066" s="6" t="s">
        <v>4927</v>
      </c>
      <c r="F3066" s="53" t="s">
        <v>4922</v>
      </c>
      <c r="G3066" s="6" t="s">
        <v>11450</v>
      </c>
      <c r="H3066" s="54">
        <v>0</v>
      </c>
      <c r="I3066" s="55">
        <v>470000000</v>
      </c>
      <c r="J3066" s="56" t="s">
        <v>229</v>
      </c>
      <c r="K3066" s="57" t="s">
        <v>11919</v>
      </c>
      <c r="L3066" s="17" t="s">
        <v>11920</v>
      </c>
      <c r="M3066" s="3" t="s">
        <v>230</v>
      </c>
      <c r="N3066" s="52" t="s">
        <v>7693</v>
      </c>
      <c r="O3066" s="6" t="s">
        <v>365</v>
      </c>
      <c r="P3066" s="58" t="s">
        <v>241</v>
      </c>
      <c r="Q3066" s="53" t="s">
        <v>234</v>
      </c>
      <c r="R3066" s="22">
        <v>30</v>
      </c>
      <c r="S3066" s="59">
        <v>14500</v>
      </c>
      <c r="T3066" s="4">
        <v>0</v>
      </c>
      <c r="U3066" s="4">
        <f>T3066*1.12</f>
        <v>0</v>
      </c>
      <c r="V3066" s="1"/>
      <c r="W3066" s="3">
        <v>2014</v>
      </c>
      <c r="X3066" s="3" t="s">
        <v>14785</v>
      </c>
    </row>
    <row r="3067" spans="1:24" ht="114.75">
      <c r="A3067" s="3" t="s">
        <v>16509</v>
      </c>
      <c r="B3067" s="6" t="s">
        <v>361</v>
      </c>
      <c r="C3067" s="6" t="s">
        <v>4926</v>
      </c>
      <c r="D3067" s="6" t="s">
        <v>4924</v>
      </c>
      <c r="E3067" s="6" t="s">
        <v>4927</v>
      </c>
      <c r="F3067" s="53" t="s">
        <v>4922</v>
      </c>
      <c r="G3067" s="3" t="s">
        <v>11450</v>
      </c>
      <c r="H3067" s="54">
        <v>0</v>
      </c>
      <c r="I3067" s="55">
        <v>470000000</v>
      </c>
      <c r="J3067" s="56" t="s">
        <v>229</v>
      </c>
      <c r="K3067" s="57" t="s">
        <v>10120</v>
      </c>
      <c r="L3067" s="17" t="s">
        <v>11920</v>
      </c>
      <c r="M3067" s="3" t="s">
        <v>230</v>
      </c>
      <c r="N3067" s="52" t="s">
        <v>7693</v>
      </c>
      <c r="O3067" s="6" t="s">
        <v>365</v>
      </c>
      <c r="P3067" s="58" t="s">
        <v>241</v>
      </c>
      <c r="Q3067" s="53" t="s">
        <v>234</v>
      </c>
      <c r="R3067" s="22">
        <v>30</v>
      </c>
      <c r="S3067" s="59">
        <v>17400</v>
      </c>
      <c r="T3067" s="4">
        <f>R3067*S3067</f>
        <v>522000</v>
      </c>
      <c r="U3067" s="4">
        <f>T3067*1.12</f>
        <v>584640</v>
      </c>
      <c r="V3067" s="1"/>
      <c r="W3067" s="3">
        <v>2014</v>
      </c>
      <c r="X3067" s="3"/>
    </row>
    <row r="3068" spans="1:24" ht="114.75">
      <c r="A3068" s="3" t="s">
        <v>1625</v>
      </c>
      <c r="B3068" s="6" t="s">
        <v>361</v>
      </c>
      <c r="C3068" s="6" t="s">
        <v>4929</v>
      </c>
      <c r="D3068" s="6" t="s">
        <v>4930</v>
      </c>
      <c r="E3068" s="6" t="s">
        <v>4931</v>
      </c>
      <c r="F3068" s="53" t="s">
        <v>4928</v>
      </c>
      <c r="G3068" s="6" t="s">
        <v>11450</v>
      </c>
      <c r="H3068" s="54">
        <v>0</v>
      </c>
      <c r="I3068" s="55">
        <v>470000000</v>
      </c>
      <c r="J3068" s="56" t="s">
        <v>229</v>
      </c>
      <c r="K3068" s="57" t="s">
        <v>641</v>
      </c>
      <c r="L3068" s="57" t="s">
        <v>364</v>
      </c>
      <c r="M3068" s="3" t="s">
        <v>230</v>
      </c>
      <c r="N3068" s="52" t="s">
        <v>7693</v>
      </c>
      <c r="O3068" s="6" t="s">
        <v>365</v>
      </c>
      <c r="P3068" s="58" t="s">
        <v>247</v>
      </c>
      <c r="Q3068" s="6" t="s">
        <v>240</v>
      </c>
      <c r="R3068" s="22">
        <v>2</v>
      </c>
      <c r="S3068" s="59">
        <v>210000</v>
      </c>
      <c r="T3068" s="4">
        <f>R3068*S3068</f>
        <v>420000</v>
      </c>
      <c r="U3068" s="4">
        <f t="shared" si="76"/>
        <v>470400.00000000006</v>
      </c>
      <c r="V3068" s="1"/>
      <c r="W3068" s="3">
        <v>2014</v>
      </c>
      <c r="X3068" s="3"/>
    </row>
    <row r="3069" spans="1:24" ht="114.75">
      <c r="A3069" s="3" t="s">
        <v>1626</v>
      </c>
      <c r="B3069" s="6" t="s">
        <v>361</v>
      </c>
      <c r="C3069" s="6" t="s">
        <v>4932</v>
      </c>
      <c r="D3069" s="6" t="s">
        <v>4930</v>
      </c>
      <c r="E3069" s="6" t="s">
        <v>4933</v>
      </c>
      <c r="F3069" s="53" t="s">
        <v>370</v>
      </c>
      <c r="G3069" s="6" t="s">
        <v>11450</v>
      </c>
      <c r="H3069" s="54">
        <v>0</v>
      </c>
      <c r="I3069" s="55">
        <v>470000000</v>
      </c>
      <c r="J3069" s="56" t="s">
        <v>229</v>
      </c>
      <c r="K3069" s="57" t="s">
        <v>641</v>
      </c>
      <c r="L3069" s="17" t="s">
        <v>11411</v>
      </c>
      <c r="M3069" s="3" t="s">
        <v>230</v>
      </c>
      <c r="N3069" s="52" t="s">
        <v>7693</v>
      </c>
      <c r="O3069" s="6" t="s">
        <v>365</v>
      </c>
      <c r="P3069" s="58" t="s">
        <v>247</v>
      </c>
      <c r="Q3069" s="6" t="s">
        <v>240</v>
      </c>
      <c r="R3069" s="22">
        <v>2</v>
      </c>
      <c r="S3069" s="59">
        <v>227295.65100000001</v>
      </c>
      <c r="T3069" s="4">
        <f>R3069*S3069</f>
        <v>454591.30200000003</v>
      </c>
      <c r="U3069" s="4">
        <f t="shared" si="76"/>
        <v>509142.25824000005</v>
      </c>
      <c r="V3069" s="1"/>
      <c r="W3069" s="3">
        <v>2014</v>
      </c>
      <c r="X3069" s="3"/>
    </row>
    <row r="3070" spans="1:24" ht="114.75">
      <c r="A3070" s="3" t="s">
        <v>1627</v>
      </c>
      <c r="B3070" s="6" t="s">
        <v>361</v>
      </c>
      <c r="C3070" s="6" t="s">
        <v>4934</v>
      </c>
      <c r="D3070" s="6" t="s">
        <v>4930</v>
      </c>
      <c r="E3070" s="6" t="s">
        <v>4935</v>
      </c>
      <c r="F3070" s="53" t="s">
        <v>371</v>
      </c>
      <c r="G3070" s="6" t="s">
        <v>11450</v>
      </c>
      <c r="H3070" s="54">
        <v>0</v>
      </c>
      <c r="I3070" s="55">
        <v>470000000</v>
      </c>
      <c r="J3070" s="56" t="s">
        <v>229</v>
      </c>
      <c r="K3070" s="57" t="s">
        <v>641</v>
      </c>
      <c r="L3070" s="57" t="s">
        <v>364</v>
      </c>
      <c r="M3070" s="3" t="s">
        <v>230</v>
      </c>
      <c r="N3070" s="52" t="s">
        <v>7693</v>
      </c>
      <c r="O3070" s="6" t="s">
        <v>365</v>
      </c>
      <c r="P3070" s="58" t="s">
        <v>247</v>
      </c>
      <c r="Q3070" s="6" t="s">
        <v>240</v>
      </c>
      <c r="R3070" s="22">
        <v>2</v>
      </c>
      <c r="S3070" s="59">
        <v>227295.65100000001</v>
      </c>
      <c r="T3070" s="4">
        <v>0</v>
      </c>
      <c r="U3070" s="4">
        <f t="shared" si="76"/>
        <v>0</v>
      </c>
      <c r="V3070" s="1"/>
      <c r="W3070" s="3">
        <v>2014</v>
      </c>
      <c r="X3070" s="3">
        <v>12</v>
      </c>
    </row>
    <row r="3071" spans="1:24" ht="114.75">
      <c r="A3071" s="3" t="s">
        <v>13408</v>
      </c>
      <c r="B3071" s="6" t="s">
        <v>361</v>
      </c>
      <c r="C3071" s="6" t="s">
        <v>4934</v>
      </c>
      <c r="D3071" s="6" t="s">
        <v>4930</v>
      </c>
      <c r="E3071" s="6" t="s">
        <v>4935</v>
      </c>
      <c r="F3071" s="53" t="s">
        <v>371</v>
      </c>
      <c r="G3071" s="6" t="s">
        <v>11450</v>
      </c>
      <c r="H3071" s="54">
        <v>0</v>
      </c>
      <c r="I3071" s="55">
        <v>470000000</v>
      </c>
      <c r="J3071" s="56" t="s">
        <v>229</v>
      </c>
      <c r="K3071" s="57" t="s">
        <v>641</v>
      </c>
      <c r="L3071" s="17" t="s">
        <v>11411</v>
      </c>
      <c r="M3071" s="3" t="s">
        <v>230</v>
      </c>
      <c r="N3071" s="52" t="s">
        <v>7693</v>
      </c>
      <c r="O3071" s="6" t="s">
        <v>365</v>
      </c>
      <c r="P3071" s="58" t="s">
        <v>247</v>
      </c>
      <c r="Q3071" s="6" t="s">
        <v>240</v>
      </c>
      <c r="R3071" s="22">
        <v>2</v>
      </c>
      <c r="S3071" s="59">
        <v>227295.65100000001</v>
      </c>
      <c r="T3071" s="4">
        <f>R3071*S3071</f>
        <v>454591.30200000003</v>
      </c>
      <c r="U3071" s="4">
        <f>T3071*1.12</f>
        <v>509142.25824000005</v>
      </c>
      <c r="V3071" s="1"/>
      <c r="W3071" s="3">
        <v>2014</v>
      </c>
      <c r="X3071" s="3"/>
    </row>
    <row r="3072" spans="1:24" ht="114.75">
      <c r="A3072" s="3" t="s">
        <v>1628</v>
      </c>
      <c r="B3072" s="6" t="s">
        <v>361</v>
      </c>
      <c r="C3072" s="6" t="s">
        <v>4936</v>
      </c>
      <c r="D3072" s="6" t="s">
        <v>4930</v>
      </c>
      <c r="E3072" s="6" t="s">
        <v>4937</v>
      </c>
      <c r="F3072" s="53" t="s">
        <v>372</v>
      </c>
      <c r="G3072" s="6" t="s">
        <v>11450</v>
      </c>
      <c r="H3072" s="54">
        <v>0</v>
      </c>
      <c r="I3072" s="55">
        <v>470000000</v>
      </c>
      <c r="J3072" s="56" t="s">
        <v>229</v>
      </c>
      <c r="K3072" s="57" t="s">
        <v>641</v>
      </c>
      <c r="L3072" s="17" t="s">
        <v>11411</v>
      </c>
      <c r="M3072" s="3" t="s">
        <v>230</v>
      </c>
      <c r="N3072" s="52" t="s">
        <v>7693</v>
      </c>
      <c r="O3072" s="6" t="s">
        <v>365</v>
      </c>
      <c r="P3072" s="58" t="s">
        <v>247</v>
      </c>
      <c r="Q3072" s="6" t="s">
        <v>240</v>
      </c>
      <c r="R3072" s="22">
        <v>2</v>
      </c>
      <c r="S3072" s="59">
        <v>227295.65100000001</v>
      </c>
      <c r="T3072" s="4">
        <f t="shared" ref="T3072:T3149" si="83">R3072*S3072</f>
        <v>454591.30200000003</v>
      </c>
      <c r="U3072" s="4">
        <f t="shared" ref="U3072:U3149" si="84">T3072*1.12</f>
        <v>509142.25824000005</v>
      </c>
      <c r="V3072" s="1"/>
      <c r="W3072" s="3">
        <v>2014</v>
      </c>
      <c r="X3072" s="3"/>
    </row>
    <row r="3073" spans="1:24" ht="114.75">
      <c r="A3073" s="3" t="s">
        <v>1629</v>
      </c>
      <c r="B3073" s="6" t="s">
        <v>361</v>
      </c>
      <c r="C3073" s="6" t="s">
        <v>4938</v>
      </c>
      <c r="D3073" s="6" t="s">
        <v>3878</v>
      </c>
      <c r="E3073" s="6" t="s">
        <v>4939</v>
      </c>
      <c r="F3073" s="53" t="s">
        <v>373</v>
      </c>
      <c r="G3073" s="6" t="s">
        <v>11450</v>
      </c>
      <c r="H3073" s="54">
        <v>0</v>
      </c>
      <c r="I3073" s="55">
        <v>470000000</v>
      </c>
      <c r="J3073" s="56" t="s">
        <v>229</v>
      </c>
      <c r="K3073" s="57" t="s">
        <v>641</v>
      </c>
      <c r="L3073" s="17" t="s">
        <v>11411</v>
      </c>
      <c r="M3073" s="3" t="s">
        <v>230</v>
      </c>
      <c r="N3073" s="52" t="s">
        <v>7693</v>
      </c>
      <c r="O3073" s="6" t="s">
        <v>365</v>
      </c>
      <c r="P3073" s="58" t="s">
        <v>247</v>
      </c>
      <c r="Q3073" s="6" t="s">
        <v>240</v>
      </c>
      <c r="R3073" s="22">
        <v>1</v>
      </c>
      <c r="S3073" s="68">
        <f>105790*1.1</f>
        <v>116369.00000000001</v>
      </c>
      <c r="T3073" s="4">
        <f t="shared" si="83"/>
        <v>116369.00000000001</v>
      </c>
      <c r="U3073" s="4">
        <f t="shared" si="84"/>
        <v>130333.28000000003</v>
      </c>
      <c r="V3073" s="1"/>
      <c r="W3073" s="3">
        <v>2014</v>
      </c>
      <c r="X3073" s="3"/>
    </row>
    <row r="3074" spans="1:24" ht="114.75">
      <c r="A3074" s="3" t="s">
        <v>1630</v>
      </c>
      <c r="B3074" s="6" t="s">
        <v>361</v>
      </c>
      <c r="C3074" s="6" t="s">
        <v>4940</v>
      </c>
      <c r="D3074" s="6" t="s">
        <v>3878</v>
      </c>
      <c r="E3074" s="6" t="s">
        <v>4941</v>
      </c>
      <c r="F3074" s="53" t="s">
        <v>374</v>
      </c>
      <c r="G3074" s="6" t="s">
        <v>11450</v>
      </c>
      <c r="H3074" s="54">
        <v>0</v>
      </c>
      <c r="I3074" s="55">
        <v>470000000</v>
      </c>
      <c r="J3074" s="56" t="s">
        <v>229</v>
      </c>
      <c r="K3074" s="57" t="s">
        <v>641</v>
      </c>
      <c r="L3074" s="17" t="s">
        <v>11411</v>
      </c>
      <c r="M3074" s="3" t="s">
        <v>230</v>
      </c>
      <c r="N3074" s="52" t="s">
        <v>7693</v>
      </c>
      <c r="O3074" s="6" t="s">
        <v>365</v>
      </c>
      <c r="P3074" s="58" t="s">
        <v>247</v>
      </c>
      <c r="Q3074" s="6" t="s">
        <v>240</v>
      </c>
      <c r="R3074" s="22">
        <v>1</v>
      </c>
      <c r="S3074" s="68">
        <f>105790*1.1</f>
        <v>116369.00000000001</v>
      </c>
      <c r="T3074" s="4">
        <f t="shared" si="83"/>
        <v>116369.00000000001</v>
      </c>
      <c r="U3074" s="4">
        <f t="shared" si="84"/>
        <v>130333.28000000003</v>
      </c>
      <c r="V3074" s="1"/>
      <c r="W3074" s="3">
        <v>2014</v>
      </c>
      <c r="X3074" s="3"/>
    </row>
    <row r="3075" spans="1:24" ht="114.75">
      <c r="A3075" s="3" t="s">
        <v>1631</v>
      </c>
      <c r="B3075" s="6" t="s">
        <v>361</v>
      </c>
      <c r="C3075" s="6" t="s">
        <v>4942</v>
      </c>
      <c r="D3075" s="6" t="s">
        <v>3878</v>
      </c>
      <c r="E3075" s="6" t="s">
        <v>4943</v>
      </c>
      <c r="F3075" s="53" t="s">
        <v>375</v>
      </c>
      <c r="G3075" s="6" t="s">
        <v>11450</v>
      </c>
      <c r="H3075" s="54">
        <v>0</v>
      </c>
      <c r="I3075" s="55">
        <v>470000000</v>
      </c>
      <c r="J3075" s="56" t="s">
        <v>229</v>
      </c>
      <c r="K3075" s="57" t="s">
        <v>641</v>
      </c>
      <c r="L3075" s="17" t="s">
        <v>11411</v>
      </c>
      <c r="M3075" s="3" t="s">
        <v>230</v>
      </c>
      <c r="N3075" s="52" t="s">
        <v>7693</v>
      </c>
      <c r="O3075" s="6" t="s">
        <v>365</v>
      </c>
      <c r="P3075" s="58" t="s">
        <v>247</v>
      </c>
      <c r="Q3075" s="6" t="s">
        <v>240</v>
      </c>
      <c r="R3075" s="22">
        <v>1</v>
      </c>
      <c r="S3075" s="68">
        <f>117640*1.1</f>
        <v>129404.00000000001</v>
      </c>
      <c r="T3075" s="4">
        <f t="shared" si="83"/>
        <v>129404.00000000001</v>
      </c>
      <c r="U3075" s="4">
        <f t="shared" si="84"/>
        <v>144932.48000000004</v>
      </c>
      <c r="V3075" s="1"/>
      <c r="W3075" s="3">
        <v>2014</v>
      </c>
      <c r="X3075" s="3"/>
    </row>
    <row r="3076" spans="1:24" ht="114.75">
      <c r="A3076" s="3" t="s">
        <v>1632</v>
      </c>
      <c r="B3076" s="6" t="s">
        <v>361</v>
      </c>
      <c r="C3076" s="6" t="s">
        <v>4942</v>
      </c>
      <c r="D3076" s="6" t="s">
        <v>3878</v>
      </c>
      <c r="E3076" s="6" t="s">
        <v>4943</v>
      </c>
      <c r="F3076" s="53" t="s">
        <v>376</v>
      </c>
      <c r="G3076" s="6" t="s">
        <v>11450</v>
      </c>
      <c r="H3076" s="54">
        <v>0</v>
      </c>
      <c r="I3076" s="55">
        <v>470000000</v>
      </c>
      <c r="J3076" s="56" t="s">
        <v>229</v>
      </c>
      <c r="K3076" s="57" t="s">
        <v>641</v>
      </c>
      <c r="L3076" s="17" t="s">
        <v>11411</v>
      </c>
      <c r="M3076" s="3" t="s">
        <v>230</v>
      </c>
      <c r="N3076" s="52" t="s">
        <v>7693</v>
      </c>
      <c r="O3076" s="6" t="s">
        <v>365</v>
      </c>
      <c r="P3076" s="58" t="s">
        <v>247</v>
      </c>
      <c r="Q3076" s="6" t="s">
        <v>240</v>
      </c>
      <c r="R3076" s="22">
        <v>1</v>
      </c>
      <c r="S3076" s="68">
        <f>117640*1.1</f>
        <v>129404.00000000001</v>
      </c>
      <c r="T3076" s="4">
        <f t="shared" si="83"/>
        <v>129404.00000000001</v>
      </c>
      <c r="U3076" s="4">
        <f t="shared" si="84"/>
        <v>144932.48000000004</v>
      </c>
      <c r="V3076" s="1"/>
      <c r="W3076" s="3">
        <v>2014</v>
      </c>
      <c r="X3076" s="3"/>
    </row>
    <row r="3077" spans="1:24" ht="255">
      <c r="A3077" s="3" t="s">
        <v>1633</v>
      </c>
      <c r="B3077" s="6" t="s">
        <v>361</v>
      </c>
      <c r="C3077" s="6" t="s">
        <v>4947</v>
      </c>
      <c r="D3077" s="6" t="s">
        <v>4948</v>
      </c>
      <c r="E3077" s="6" t="s">
        <v>4949</v>
      </c>
      <c r="F3077" s="53" t="s">
        <v>4944</v>
      </c>
      <c r="G3077" s="3" t="s">
        <v>11449</v>
      </c>
      <c r="H3077" s="54">
        <v>0</v>
      </c>
      <c r="I3077" s="55">
        <v>470000000</v>
      </c>
      <c r="J3077" s="56" t="s">
        <v>229</v>
      </c>
      <c r="K3077" s="57" t="s">
        <v>641</v>
      </c>
      <c r="L3077" s="57" t="s">
        <v>364</v>
      </c>
      <c r="M3077" s="3" t="s">
        <v>230</v>
      </c>
      <c r="N3077" s="52" t="s">
        <v>7693</v>
      </c>
      <c r="O3077" s="6" t="s">
        <v>365</v>
      </c>
      <c r="P3077" s="58" t="s">
        <v>247</v>
      </c>
      <c r="Q3077" s="6" t="s">
        <v>240</v>
      </c>
      <c r="R3077" s="22">
        <v>35</v>
      </c>
      <c r="S3077" s="59">
        <v>299600</v>
      </c>
      <c r="T3077" s="4">
        <v>0</v>
      </c>
      <c r="U3077" s="4">
        <f t="shared" si="84"/>
        <v>0</v>
      </c>
      <c r="V3077" s="1"/>
      <c r="W3077" s="3">
        <v>2014</v>
      </c>
      <c r="X3077" s="3">
        <v>12</v>
      </c>
    </row>
    <row r="3078" spans="1:24" ht="255">
      <c r="A3078" s="3" t="s">
        <v>13409</v>
      </c>
      <c r="B3078" s="6" t="s">
        <v>361</v>
      </c>
      <c r="C3078" s="6" t="s">
        <v>4947</v>
      </c>
      <c r="D3078" s="6" t="s">
        <v>4948</v>
      </c>
      <c r="E3078" s="6" t="s">
        <v>4949</v>
      </c>
      <c r="F3078" s="53" t="s">
        <v>4944</v>
      </c>
      <c r="G3078" s="3" t="s">
        <v>11449</v>
      </c>
      <c r="H3078" s="54">
        <v>0</v>
      </c>
      <c r="I3078" s="55">
        <v>470000000</v>
      </c>
      <c r="J3078" s="56" t="s">
        <v>229</v>
      </c>
      <c r="K3078" s="57" t="s">
        <v>641</v>
      </c>
      <c r="L3078" s="17" t="s">
        <v>11411</v>
      </c>
      <c r="M3078" s="3" t="s">
        <v>230</v>
      </c>
      <c r="N3078" s="52" t="s">
        <v>7693</v>
      </c>
      <c r="O3078" s="6" t="s">
        <v>365</v>
      </c>
      <c r="P3078" s="58" t="s">
        <v>247</v>
      </c>
      <c r="Q3078" s="6" t="s">
        <v>240</v>
      </c>
      <c r="R3078" s="22">
        <v>35</v>
      </c>
      <c r="S3078" s="59">
        <v>299600</v>
      </c>
      <c r="T3078" s="4">
        <f>R3078*S3078</f>
        <v>10486000</v>
      </c>
      <c r="U3078" s="4">
        <f>T3078*1.12</f>
        <v>11744320.000000002</v>
      </c>
      <c r="V3078" s="1"/>
      <c r="W3078" s="3">
        <v>2014</v>
      </c>
      <c r="X3078" s="3"/>
    </row>
    <row r="3079" spans="1:24" ht="255">
      <c r="A3079" s="3" t="s">
        <v>1634</v>
      </c>
      <c r="B3079" s="6" t="s">
        <v>361</v>
      </c>
      <c r="C3079" s="6" t="s">
        <v>4950</v>
      </c>
      <c r="D3079" s="6" t="s">
        <v>4948</v>
      </c>
      <c r="E3079" s="6" t="s">
        <v>4951</v>
      </c>
      <c r="F3079" s="53" t="s">
        <v>4945</v>
      </c>
      <c r="G3079" s="3" t="s">
        <v>11449</v>
      </c>
      <c r="H3079" s="54">
        <v>0</v>
      </c>
      <c r="I3079" s="55">
        <v>470000000</v>
      </c>
      <c r="J3079" s="56" t="s">
        <v>229</v>
      </c>
      <c r="K3079" s="57" t="s">
        <v>641</v>
      </c>
      <c r="L3079" s="57" t="s">
        <v>364</v>
      </c>
      <c r="M3079" s="3" t="s">
        <v>230</v>
      </c>
      <c r="N3079" s="52" t="s">
        <v>7693</v>
      </c>
      <c r="O3079" s="6" t="s">
        <v>365</v>
      </c>
      <c r="P3079" s="58" t="s">
        <v>247</v>
      </c>
      <c r="Q3079" s="6" t="s">
        <v>240</v>
      </c>
      <c r="R3079" s="22">
        <v>30</v>
      </c>
      <c r="S3079" s="59">
        <v>304950</v>
      </c>
      <c r="T3079" s="4">
        <v>0</v>
      </c>
      <c r="U3079" s="4">
        <f t="shared" si="84"/>
        <v>0</v>
      </c>
      <c r="V3079" s="1"/>
      <c r="W3079" s="3">
        <v>2014</v>
      </c>
      <c r="X3079" s="3">
        <v>12</v>
      </c>
    </row>
    <row r="3080" spans="1:24" ht="255">
      <c r="A3080" s="3" t="s">
        <v>13410</v>
      </c>
      <c r="B3080" s="6" t="s">
        <v>361</v>
      </c>
      <c r="C3080" s="6" t="s">
        <v>4950</v>
      </c>
      <c r="D3080" s="6" t="s">
        <v>4948</v>
      </c>
      <c r="E3080" s="6" t="s">
        <v>4951</v>
      </c>
      <c r="F3080" s="53" t="s">
        <v>4945</v>
      </c>
      <c r="G3080" s="3" t="s">
        <v>11449</v>
      </c>
      <c r="H3080" s="54">
        <v>0</v>
      </c>
      <c r="I3080" s="55">
        <v>470000000</v>
      </c>
      <c r="J3080" s="56" t="s">
        <v>229</v>
      </c>
      <c r="K3080" s="57" t="s">
        <v>641</v>
      </c>
      <c r="L3080" s="17" t="s">
        <v>11411</v>
      </c>
      <c r="M3080" s="3" t="s">
        <v>230</v>
      </c>
      <c r="N3080" s="52" t="s">
        <v>7693</v>
      </c>
      <c r="O3080" s="6" t="s">
        <v>365</v>
      </c>
      <c r="P3080" s="58" t="s">
        <v>247</v>
      </c>
      <c r="Q3080" s="6" t="s">
        <v>240</v>
      </c>
      <c r="R3080" s="22">
        <v>30</v>
      </c>
      <c r="S3080" s="59">
        <v>304950</v>
      </c>
      <c r="T3080" s="4">
        <f>R3080*S3080</f>
        <v>9148500</v>
      </c>
      <c r="U3080" s="4">
        <f>T3080*1.12</f>
        <v>10246320.000000002</v>
      </c>
      <c r="V3080" s="1"/>
      <c r="W3080" s="3">
        <v>2014</v>
      </c>
      <c r="X3080" s="3"/>
    </row>
    <row r="3081" spans="1:24" ht="114.75">
      <c r="A3081" s="3" t="s">
        <v>1635</v>
      </c>
      <c r="B3081" s="6" t="s">
        <v>361</v>
      </c>
      <c r="C3081" s="6" t="s">
        <v>11723</v>
      </c>
      <c r="D3081" s="6" t="s">
        <v>377</v>
      </c>
      <c r="E3081" s="6" t="s">
        <v>4952</v>
      </c>
      <c r="F3081" s="53" t="s">
        <v>4946</v>
      </c>
      <c r="G3081" s="3" t="s">
        <v>11450</v>
      </c>
      <c r="H3081" s="54">
        <v>0</v>
      </c>
      <c r="I3081" s="55">
        <v>470000000</v>
      </c>
      <c r="J3081" s="56" t="s">
        <v>229</v>
      </c>
      <c r="K3081" s="57" t="s">
        <v>641</v>
      </c>
      <c r="L3081" s="57" t="s">
        <v>364</v>
      </c>
      <c r="M3081" s="3" t="s">
        <v>230</v>
      </c>
      <c r="N3081" s="52" t="s">
        <v>7694</v>
      </c>
      <c r="O3081" s="6" t="s">
        <v>365</v>
      </c>
      <c r="P3081" s="58" t="s">
        <v>243</v>
      </c>
      <c r="Q3081" s="6" t="s">
        <v>244</v>
      </c>
      <c r="R3081" s="22">
        <v>20</v>
      </c>
      <c r="S3081" s="59">
        <v>6699</v>
      </c>
      <c r="T3081" s="4">
        <v>0</v>
      </c>
      <c r="U3081" s="4">
        <f t="shared" si="84"/>
        <v>0</v>
      </c>
      <c r="V3081" s="1"/>
      <c r="W3081" s="3">
        <v>2014</v>
      </c>
      <c r="X3081" s="3">
        <v>12</v>
      </c>
    </row>
    <row r="3082" spans="1:24" ht="114.75">
      <c r="A3082" s="3" t="s">
        <v>13411</v>
      </c>
      <c r="B3082" s="6" t="s">
        <v>361</v>
      </c>
      <c r="C3082" s="6" t="s">
        <v>11723</v>
      </c>
      <c r="D3082" s="6" t="s">
        <v>377</v>
      </c>
      <c r="E3082" s="6" t="s">
        <v>4952</v>
      </c>
      <c r="F3082" s="53" t="s">
        <v>4946</v>
      </c>
      <c r="G3082" s="3" t="s">
        <v>11450</v>
      </c>
      <c r="H3082" s="54">
        <v>0</v>
      </c>
      <c r="I3082" s="55">
        <v>470000000</v>
      </c>
      <c r="J3082" s="56" t="s">
        <v>229</v>
      </c>
      <c r="K3082" s="57" t="s">
        <v>641</v>
      </c>
      <c r="L3082" s="17" t="s">
        <v>11411</v>
      </c>
      <c r="M3082" s="3" t="s">
        <v>230</v>
      </c>
      <c r="N3082" s="52" t="s">
        <v>7694</v>
      </c>
      <c r="O3082" s="6" t="s">
        <v>365</v>
      </c>
      <c r="P3082" s="58" t="s">
        <v>243</v>
      </c>
      <c r="Q3082" s="6" t="s">
        <v>244</v>
      </c>
      <c r="R3082" s="22">
        <v>20</v>
      </c>
      <c r="S3082" s="59">
        <v>6699</v>
      </c>
      <c r="T3082" s="4">
        <v>0</v>
      </c>
      <c r="U3082" s="4">
        <f>T3082*1.12</f>
        <v>0</v>
      </c>
      <c r="V3082" s="1"/>
      <c r="W3082" s="3">
        <v>2014</v>
      </c>
      <c r="X3082" s="3" t="s">
        <v>14785</v>
      </c>
    </row>
    <row r="3083" spans="1:24" ht="114.75">
      <c r="A3083" s="3" t="s">
        <v>18226</v>
      </c>
      <c r="B3083" s="6" t="s">
        <v>361</v>
      </c>
      <c r="C3083" s="6" t="s">
        <v>11723</v>
      </c>
      <c r="D3083" s="6" t="s">
        <v>377</v>
      </c>
      <c r="E3083" s="6" t="s">
        <v>4952</v>
      </c>
      <c r="F3083" s="53" t="s">
        <v>4946</v>
      </c>
      <c r="G3083" s="3" t="s">
        <v>11450</v>
      </c>
      <c r="H3083" s="54">
        <v>0</v>
      </c>
      <c r="I3083" s="55">
        <v>470000000</v>
      </c>
      <c r="J3083" s="56" t="s">
        <v>229</v>
      </c>
      <c r="K3083" s="57" t="s">
        <v>10120</v>
      </c>
      <c r="L3083" s="17" t="s">
        <v>11411</v>
      </c>
      <c r="M3083" s="3" t="s">
        <v>230</v>
      </c>
      <c r="N3083" s="52" t="s">
        <v>7694</v>
      </c>
      <c r="O3083" s="6" t="s">
        <v>365</v>
      </c>
      <c r="P3083" s="58" t="s">
        <v>243</v>
      </c>
      <c r="Q3083" s="6" t="s">
        <v>244</v>
      </c>
      <c r="R3083" s="22">
        <v>20</v>
      </c>
      <c r="S3083" s="59">
        <v>8038.7999999999993</v>
      </c>
      <c r="T3083" s="4">
        <f>R3083*S3083</f>
        <v>160776</v>
      </c>
      <c r="U3083" s="4">
        <f>T3083*1.12</f>
        <v>180069.12000000002</v>
      </c>
      <c r="V3083" s="1"/>
      <c r="W3083" s="3">
        <v>2014</v>
      </c>
      <c r="X3083" s="3"/>
    </row>
    <row r="3084" spans="1:24" ht="114.75">
      <c r="A3084" s="3" t="s">
        <v>1636</v>
      </c>
      <c r="B3084" s="6" t="s">
        <v>361</v>
      </c>
      <c r="C3084" s="6" t="s">
        <v>4953</v>
      </c>
      <c r="D3084" s="6" t="s">
        <v>4959</v>
      </c>
      <c r="E3084" s="6" t="s">
        <v>4960</v>
      </c>
      <c r="F3084" s="6" t="s">
        <v>378</v>
      </c>
      <c r="G3084" s="3" t="s">
        <v>11450</v>
      </c>
      <c r="H3084" s="54">
        <v>0</v>
      </c>
      <c r="I3084" s="55">
        <v>470000000</v>
      </c>
      <c r="J3084" s="56" t="s">
        <v>229</v>
      </c>
      <c r="K3084" s="57" t="s">
        <v>642</v>
      </c>
      <c r="L3084" s="57" t="s">
        <v>364</v>
      </c>
      <c r="M3084" s="3" t="s">
        <v>230</v>
      </c>
      <c r="N3084" s="52" t="s">
        <v>7693</v>
      </c>
      <c r="O3084" s="6" t="s">
        <v>365</v>
      </c>
      <c r="P3084" s="58" t="s">
        <v>241</v>
      </c>
      <c r="Q3084" s="6" t="s">
        <v>234</v>
      </c>
      <c r="R3084" s="22">
        <v>60</v>
      </c>
      <c r="S3084" s="59">
        <v>10450</v>
      </c>
      <c r="T3084" s="4">
        <v>0</v>
      </c>
      <c r="U3084" s="4">
        <f t="shared" si="84"/>
        <v>0</v>
      </c>
      <c r="V3084" s="1"/>
      <c r="W3084" s="3">
        <v>2014</v>
      </c>
      <c r="X3084" s="3">
        <v>12</v>
      </c>
    </row>
    <row r="3085" spans="1:24" ht="114.75">
      <c r="A3085" s="3" t="s">
        <v>13015</v>
      </c>
      <c r="B3085" s="6" t="s">
        <v>361</v>
      </c>
      <c r="C3085" s="6" t="s">
        <v>4953</v>
      </c>
      <c r="D3085" s="6" t="s">
        <v>4959</v>
      </c>
      <c r="E3085" s="6" t="s">
        <v>4960</v>
      </c>
      <c r="F3085" s="6" t="s">
        <v>378</v>
      </c>
      <c r="G3085" s="3" t="s">
        <v>11450</v>
      </c>
      <c r="H3085" s="54">
        <v>0</v>
      </c>
      <c r="I3085" s="55">
        <v>470000000</v>
      </c>
      <c r="J3085" s="56" t="s">
        <v>229</v>
      </c>
      <c r="K3085" s="57" t="s">
        <v>642</v>
      </c>
      <c r="L3085" s="17" t="s">
        <v>11411</v>
      </c>
      <c r="M3085" s="3" t="s">
        <v>230</v>
      </c>
      <c r="N3085" s="52" t="s">
        <v>7693</v>
      </c>
      <c r="O3085" s="6" t="s">
        <v>365</v>
      </c>
      <c r="P3085" s="58" t="s">
        <v>241</v>
      </c>
      <c r="Q3085" s="6" t="s">
        <v>234</v>
      </c>
      <c r="R3085" s="22">
        <v>60</v>
      </c>
      <c r="S3085" s="59">
        <v>10450</v>
      </c>
      <c r="T3085" s="4">
        <f>R3085*S3085</f>
        <v>627000</v>
      </c>
      <c r="U3085" s="4">
        <f>T3085*1.12</f>
        <v>702240.00000000012</v>
      </c>
      <c r="V3085" s="1"/>
      <c r="W3085" s="3">
        <v>2014</v>
      </c>
      <c r="X3085" s="3"/>
    </row>
    <row r="3086" spans="1:24" ht="114.75">
      <c r="A3086" s="3" t="s">
        <v>1637</v>
      </c>
      <c r="B3086" s="6" t="s">
        <v>361</v>
      </c>
      <c r="C3086" s="6" t="s">
        <v>4961</v>
      </c>
      <c r="D3086" s="6" t="s">
        <v>4962</v>
      </c>
      <c r="E3086" s="6" t="s">
        <v>4963</v>
      </c>
      <c r="F3086" s="6" t="s">
        <v>4954</v>
      </c>
      <c r="G3086" s="3" t="s">
        <v>11450</v>
      </c>
      <c r="H3086" s="54">
        <v>0</v>
      </c>
      <c r="I3086" s="55">
        <v>470000000</v>
      </c>
      <c r="J3086" s="56" t="s">
        <v>229</v>
      </c>
      <c r="K3086" s="57" t="s">
        <v>642</v>
      </c>
      <c r="L3086" s="57" t="s">
        <v>364</v>
      </c>
      <c r="M3086" s="3" t="s">
        <v>230</v>
      </c>
      <c r="N3086" s="52" t="s">
        <v>7693</v>
      </c>
      <c r="O3086" s="6" t="s">
        <v>365</v>
      </c>
      <c r="P3086" s="58" t="s">
        <v>241</v>
      </c>
      <c r="Q3086" s="6" t="s">
        <v>234</v>
      </c>
      <c r="R3086" s="22">
        <v>10</v>
      </c>
      <c r="S3086" s="51">
        <v>5714</v>
      </c>
      <c r="T3086" s="4">
        <v>0</v>
      </c>
      <c r="U3086" s="4">
        <f t="shared" si="84"/>
        <v>0</v>
      </c>
      <c r="V3086" s="1"/>
      <c r="W3086" s="3">
        <v>2014</v>
      </c>
      <c r="X3086" s="3">
        <v>12</v>
      </c>
    </row>
    <row r="3087" spans="1:24" ht="114.75">
      <c r="A3087" s="3" t="s">
        <v>13016</v>
      </c>
      <c r="B3087" s="6" t="s">
        <v>361</v>
      </c>
      <c r="C3087" s="6" t="s">
        <v>4961</v>
      </c>
      <c r="D3087" s="6" t="s">
        <v>4962</v>
      </c>
      <c r="E3087" s="6" t="s">
        <v>4963</v>
      </c>
      <c r="F3087" s="6" t="s">
        <v>4954</v>
      </c>
      <c r="G3087" s="3" t="s">
        <v>11450</v>
      </c>
      <c r="H3087" s="54">
        <v>0</v>
      </c>
      <c r="I3087" s="55">
        <v>470000000</v>
      </c>
      <c r="J3087" s="56" t="s">
        <v>229</v>
      </c>
      <c r="K3087" s="57" t="s">
        <v>642</v>
      </c>
      <c r="L3087" s="17" t="s">
        <v>11411</v>
      </c>
      <c r="M3087" s="3" t="s">
        <v>230</v>
      </c>
      <c r="N3087" s="52" t="s">
        <v>7693</v>
      </c>
      <c r="O3087" s="6" t="s">
        <v>365</v>
      </c>
      <c r="P3087" s="58" t="s">
        <v>241</v>
      </c>
      <c r="Q3087" s="6" t="s">
        <v>234</v>
      </c>
      <c r="R3087" s="22">
        <v>10</v>
      </c>
      <c r="S3087" s="51">
        <v>5714</v>
      </c>
      <c r="T3087" s="4">
        <f>R3087*S3087</f>
        <v>57140</v>
      </c>
      <c r="U3087" s="4">
        <f>T3087*1.12</f>
        <v>63996.800000000003</v>
      </c>
      <c r="V3087" s="1"/>
      <c r="W3087" s="3">
        <v>2014</v>
      </c>
      <c r="X3087" s="3"/>
    </row>
    <row r="3088" spans="1:24" ht="114.75">
      <c r="A3088" s="3" t="s">
        <v>1638</v>
      </c>
      <c r="B3088" s="6" t="s">
        <v>361</v>
      </c>
      <c r="C3088" s="6" t="s">
        <v>4964</v>
      </c>
      <c r="D3088" s="6" t="s">
        <v>429</v>
      </c>
      <c r="E3088" s="6" t="s">
        <v>4965</v>
      </c>
      <c r="F3088" s="6" t="s">
        <v>4955</v>
      </c>
      <c r="G3088" s="3" t="s">
        <v>11450</v>
      </c>
      <c r="H3088" s="54">
        <v>0</v>
      </c>
      <c r="I3088" s="55">
        <v>470000000</v>
      </c>
      <c r="J3088" s="56" t="s">
        <v>229</v>
      </c>
      <c r="K3088" s="57" t="s">
        <v>642</v>
      </c>
      <c r="L3088" s="57" t="s">
        <v>364</v>
      </c>
      <c r="M3088" s="3" t="s">
        <v>230</v>
      </c>
      <c r="N3088" s="52" t="s">
        <v>7693</v>
      </c>
      <c r="O3088" s="6" t="s">
        <v>365</v>
      </c>
      <c r="P3088" s="58" t="s">
        <v>241</v>
      </c>
      <c r="Q3088" s="6" t="s">
        <v>234</v>
      </c>
      <c r="R3088" s="22">
        <v>40</v>
      </c>
      <c r="S3088" s="59">
        <v>6930</v>
      </c>
      <c r="T3088" s="4">
        <v>0</v>
      </c>
      <c r="U3088" s="4">
        <f t="shared" si="84"/>
        <v>0</v>
      </c>
      <c r="V3088" s="1"/>
      <c r="W3088" s="3">
        <v>2014</v>
      </c>
      <c r="X3088" s="3">
        <v>12</v>
      </c>
    </row>
    <row r="3089" spans="1:24" ht="114.75">
      <c r="A3089" s="3" t="s">
        <v>13017</v>
      </c>
      <c r="B3089" s="6" t="s">
        <v>361</v>
      </c>
      <c r="C3089" s="6" t="s">
        <v>4964</v>
      </c>
      <c r="D3089" s="6" t="s">
        <v>429</v>
      </c>
      <c r="E3089" s="6" t="s">
        <v>4965</v>
      </c>
      <c r="F3089" s="6" t="s">
        <v>4955</v>
      </c>
      <c r="G3089" s="3" t="s">
        <v>11450</v>
      </c>
      <c r="H3089" s="54">
        <v>0</v>
      </c>
      <c r="I3089" s="55">
        <v>470000000</v>
      </c>
      <c r="J3089" s="56" t="s">
        <v>229</v>
      </c>
      <c r="K3089" s="57" t="s">
        <v>642</v>
      </c>
      <c r="L3089" s="17" t="s">
        <v>11411</v>
      </c>
      <c r="M3089" s="3" t="s">
        <v>230</v>
      </c>
      <c r="N3089" s="52" t="s">
        <v>7693</v>
      </c>
      <c r="O3089" s="6" t="s">
        <v>365</v>
      </c>
      <c r="P3089" s="58" t="s">
        <v>241</v>
      </c>
      <c r="Q3089" s="6" t="s">
        <v>234</v>
      </c>
      <c r="R3089" s="22">
        <v>40</v>
      </c>
      <c r="S3089" s="59">
        <v>6930</v>
      </c>
      <c r="T3089" s="4">
        <f>R3089*S3089</f>
        <v>277200</v>
      </c>
      <c r="U3089" s="4">
        <f>T3089*1.12</f>
        <v>310464.00000000006</v>
      </c>
      <c r="V3089" s="1"/>
      <c r="W3089" s="3">
        <v>2014</v>
      </c>
      <c r="X3089" s="3"/>
    </row>
    <row r="3090" spans="1:24" ht="114.75">
      <c r="A3090" s="3" t="s">
        <v>1639</v>
      </c>
      <c r="B3090" s="6" t="s">
        <v>361</v>
      </c>
      <c r="C3090" s="6" t="s">
        <v>4966</v>
      </c>
      <c r="D3090" s="6" t="s">
        <v>429</v>
      </c>
      <c r="E3090" s="6" t="s">
        <v>4967</v>
      </c>
      <c r="F3090" s="6" t="s">
        <v>4956</v>
      </c>
      <c r="G3090" s="3" t="s">
        <v>11450</v>
      </c>
      <c r="H3090" s="54">
        <v>0</v>
      </c>
      <c r="I3090" s="55">
        <v>470000000</v>
      </c>
      <c r="J3090" s="56" t="s">
        <v>229</v>
      </c>
      <c r="K3090" s="57" t="s">
        <v>642</v>
      </c>
      <c r="L3090" s="57" t="s">
        <v>364</v>
      </c>
      <c r="M3090" s="3" t="s">
        <v>230</v>
      </c>
      <c r="N3090" s="52" t="s">
        <v>7693</v>
      </c>
      <c r="O3090" s="6" t="s">
        <v>365</v>
      </c>
      <c r="P3090" s="58" t="s">
        <v>241</v>
      </c>
      <c r="Q3090" s="6" t="s">
        <v>234</v>
      </c>
      <c r="R3090" s="112">
        <v>10</v>
      </c>
      <c r="S3090" s="59">
        <v>6930</v>
      </c>
      <c r="T3090" s="4">
        <v>0</v>
      </c>
      <c r="U3090" s="4">
        <f t="shared" si="84"/>
        <v>0</v>
      </c>
      <c r="V3090" s="1"/>
      <c r="W3090" s="3">
        <v>2014</v>
      </c>
      <c r="X3090" s="3">
        <v>12</v>
      </c>
    </row>
    <row r="3091" spans="1:24" ht="114.75">
      <c r="A3091" s="3" t="s">
        <v>13018</v>
      </c>
      <c r="B3091" s="6" t="s">
        <v>361</v>
      </c>
      <c r="C3091" s="6" t="s">
        <v>4966</v>
      </c>
      <c r="D3091" s="6" t="s">
        <v>429</v>
      </c>
      <c r="E3091" s="6" t="s">
        <v>4967</v>
      </c>
      <c r="F3091" s="6" t="s">
        <v>4956</v>
      </c>
      <c r="G3091" s="3" t="s">
        <v>11450</v>
      </c>
      <c r="H3091" s="54">
        <v>0</v>
      </c>
      <c r="I3091" s="55">
        <v>470000000</v>
      </c>
      <c r="J3091" s="56" t="s">
        <v>229</v>
      </c>
      <c r="K3091" s="57" t="s">
        <v>642</v>
      </c>
      <c r="L3091" s="17" t="s">
        <v>11411</v>
      </c>
      <c r="M3091" s="3" t="s">
        <v>230</v>
      </c>
      <c r="N3091" s="52" t="s">
        <v>7693</v>
      </c>
      <c r="O3091" s="6" t="s">
        <v>365</v>
      </c>
      <c r="P3091" s="58" t="s">
        <v>241</v>
      </c>
      <c r="Q3091" s="6" t="s">
        <v>234</v>
      </c>
      <c r="R3091" s="112">
        <v>10</v>
      </c>
      <c r="S3091" s="59">
        <v>6930</v>
      </c>
      <c r="T3091" s="4">
        <f>R3091*S3091</f>
        <v>69300</v>
      </c>
      <c r="U3091" s="4">
        <f>T3091*1.12</f>
        <v>77616.000000000015</v>
      </c>
      <c r="V3091" s="1"/>
      <c r="W3091" s="3">
        <v>2014</v>
      </c>
      <c r="X3091" s="3"/>
    </row>
    <row r="3092" spans="1:24" ht="114.75">
      <c r="A3092" s="3" t="s">
        <v>1640</v>
      </c>
      <c r="B3092" s="6" t="s">
        <v>361</v>
      </c>
      <c r="C3092" s="6" t="s">
        <v>4968</v>
      </c>
      <c r="D3092" s="6" t="s">
        <v>429</v>
      </c>
      <c r="E3092" s="6" t="s">
        <v>4969</v>
      </c>
      <c r="F3092" s="6" t="s">
        <v>4957</v>
      </c>
      <c r="G3092" s="3" t="s">
        <v>11450</v>
      </c>
      <c r="H3092" s="54">
        <v>0</v>
      </c>
      <c r="I3092" s="55">
        <v>470000000</v>
      </c>
      <c r="J3092" s="56" t="s">
        <v>229</v>
      </c>
      <c r="K3092" s="57" t="s">
        <v>642</v>
      </c>
      <c r="L3092" s="57" t="s">
        <v>364</v>
      </c>
      <c r="M3092" s="3" t="s">
        <v>230</v>
      </c>
      <c r="N3092" s="52" t="s">
        <v>7693</v>
      </c>
      <c r="O3092" s="6" t="s">
        <v>365</v>
      </c>
      <c r="P3092" s="58" t="s">
        <v>241</v>
      </c>
      <c r="Q3092" s="6" t="s">
        <v>234</v>
      </c>
      <c r="R3092" s="112">
        <v>40</v>
      </c>
      <c r="S3092" s="59">
        <v>6875</v>
      </c>
      <c r="T3092" s="4">
        <v>0</v>
      </c>
      <c r="U3092" s="4">
        <f t="shared" si="84"/>
        <v>0</v>
      </c>
      <c r="V3092" s="1"/>
      <c r="W3092" s="3">
        <v>2014</v>
      </c>
      <c r="X3092" s="3">
        <v>12</v>
      </c>
    </row>
    <row r="3093" spans="1:24" ht="114.75">
      <c r="A3093" s="3" t="s">
        <v>14061</v>
      </c>
      <c r="B3093" s="6" t="s">
        <v>361</v>
      </c>
      <c r="C3093" s="6" t="s">
        <v>4968</v>
      </c>
      <c r="D3093" s="6" t="s">
        <v>429</v>
      </c>
      <c r="E3093" s="6" t="s">
        <v>4969</v>
      </c>
      <c r="F3093" s="6" t="s">
        <v>4957</v>
      </c>
      <c r="G3093" s="3" t="s">
        <v>11450</v>
      </c>
      <c r="H3093" s="54">
        <v>0</v>
      </c>
      <c r="I3093" s="55">
        <v>470000000</v>
      </c>
      <c r="J3093" s="56" t="s">
        <v>229</v>
      </c>
      <c r="K3093" s="57" t="s">
        <v>642</v>
      </c>
      <c r="L3093" s="17" t="s">
        <v>11411</v>
      </c>
      <c r="M3093" s="3" t="s">
        <v>230</v>
      </c>
      <c r="N3093" s="52" t="s">
        <v>7693</v>
      </c>
      <c r="O3093" s="6" t="s">
        <v>365</v>
      </c>
      <c r="P3093" s="58" t="s">
        <v>241</v>
      </c>
      <c r="Q3093" s="6" t="s">
        <v>234</v>
      </c>
      <c r="R3093" s="112">
        <v>40</v>
      </c>
      <c r="S3093" s="59">
        <v>6875</v>
      </c>
      <c r="T3093" s="4">
        <f>R3093*S3093</f>
        <v>275000</v>
      </c>
      <c r="U3093" s="4">
        <f>T3093*1.12</f>
        <v>308000.00000000006</v>
      </c>
      <c r="V3093" s="1"/>
      <c r="W3093" s="3">
        <v>2014</v>
      </c>
      <c r="X3093" s="3"/>
    </row>
    <row r="3094" spans="1:24" ht="153">
      <c r="A3094" s="3" t="s">
        <v>1641</v>
      </c>
      <c r="B3094" s="6" t="s">
        <v>361</v>
      </c>
      <c r="C3094" s="6" t="s">
        <v>4970</v>
      </c>
      <c r="D3094" s="6" t="s">
        <v>4971</v>
      </c>
      <c r="E3094" s="6" t="s">
        <v>4972</v>
      </c>
      <c r="F3094" s="6" t="s">
        <v>4958</v>
      </c>
      <c r="G3094" s="3" t="s">
        <v>11450</v>
      </c>
      <c r="H3094" s="54">
        <v>0</v>
      </c>
      <c r="I3094" s="55">
        <v>470000000</v>
      </c>
      <c r="J3094" s="56" t="s">
        <v>229</v>
      </c>
      <c r="K3094" s="57" t="s">
        <v>642</v>
      </c>
      <c r="L3094" s="57" t="s">
        <v>364</v>
      </c>
      <c r="M3094" s="3" t="s">
        <v>230</v>
      </c>
      <c r="N3094" s="52" t="s">
        <v>7693</v>
      </c>
      <c r="O3094" s="6" t="s">
        <v>365</v>
      </c>
      <c r="P3094" s="58" t="s">
        <v>237</v>
      </c>
      <c r="Q3094" s="53" t="s">
        <v>238</v>
      </c>
      <c r="R3094" s="112">
        <v>700</v>
      </c>
      <c r="S3094" s="59">
        <v>428.2</v>
      </c>
      <c r="T3094" s="4">
        <v>0</v>
      </c>
      <c r="U3094" s="4">
        <f t="shared" si="84"/>
        <v>0</v>
      </c>
      <c r="V3094" s="1"/>
      <c r="W3094" s="3">
        <v>2014</v>
      </c>
      <c r="X3094" s="3">
        <v>12</v>
      </c>
    </row>
    <row r="3095" spans="1:24" ht="153">
      <c r="A3095" s="3" t="s">
        <v>13019</v>
      </c>
      <c r="B3095" s="6" t="s">
        <v>361</v>
      </c>
      <c r="C3095" s="6" t="s">
        <v>4970</v>
      </c>
      <c r="D3095" s="6" t="s">
        <v>4971</v>
      </c>
      <c r="E3095" s="6" t="s">
        <v>4972</v>
      </c>
      <c r="F3095" s="6" t="s">
        <v>4958</v>
      </c>
      <c r="G3095" s="3" t="s">
        <v>11450</v>
      </c>
      <c r="H3095" s="54">
        <v>0</v>
      </c>
      <c r="I3095" s="55">
        <v>470000000</v>
      </c>
      <c r="J3095" s="56" t="s">
        <v>229</v>
      </c>
      <c r="K3095" s="57" t="s">
        <v>642</v>
      </c>
      <c r="L3095" s="17" t="s">
        <v>11411</v>
      </c>
      <c r="M3095" s="3" t="s">
        <v>230</v>
      </c>
      <c r="N3095" s="52" t="s">
        <v>7693</v>
      </c>
      <c r="O3095" s="6" t="s">
        <v>365</v>
      </c>
      <c r="P3095" s="58" t="s">
        <v>237</v>
      </c>
      <c r="Q3095" s="53" t="s">
        <v>238</v>
      </c>
      <c r="R3095" s="112">
        <v>700</v>
      </c>
      <c r="S3095" s="59">
        <v>428.2</v>
      </c>
      <c r="T3095" s="4">
        <f>R3095*S3095</f>
        <v>299740</v>
      </c>
      <c r="U3095" s="4">
        <f>T3095*1.12</f>
        <v>335708.80000000005</v>
      </c>
      <c r="V3095" s="1"/>
      <c r="W3095" s="3">
        <v>2014</v>
      </c>
      <c r="X3095" s="3"/>
    </row>
    <row r="3096" spans="1:24" ht="114.75">
      <c r="A3096" s="3" t="s">
        <v>1642</v>
      </c>
      <c r="B3096" s="6" t="s">
        <v>361</v>
      </c>
      <c r="C3096" s="6" t="s">
        <v>3532</v>
      </c>
      <c r="D3096" s="6" t="s">
        <v>3533</v>
      </c>
      <c r="E3096" s="6" t="s">
        <v>3534</v>
      </c>
      <c r="F3096" s="53" t="s">
        <v>4973</v>
      </c>
      <c r="G3096" s="3" t="s">
        <v>11450</v>
      </c>
      <c r="H3096" s="54">
        <v>0</v>
      </c>
      <c r="I3096" s="55">
        <v>470000000</v>
      </c>
      <c r="J3096" s="56" t="s">
        <v>229</v>
      </c>
      <c r="K3096" s="57" t="s">
        <v>642</v>
      </c>
      <c r="L3096" s="57" t="s">
        <v>364</v>
      </c>
      <c r="M3096" s="3" t="s">
        <v>230</v>
      </c>
      <c r="N3096" s="52" t="s">
        <v>7693</v>
      </c>
      <c r="O3096" s="6" t="s">
        <v>365</v>
      </c>
      <c r="P3096" s="58" t="s">
        <v>247</v>
      </c>
      <c r="Q3096" s="53" t="s">
        <v>244</v>
      </c>
      <c r="R3096" s="112">
        <v>200</v>
      </c>
      <c r="S3096" s="59">
        <v>812.9</v>
      </c>
      <c r="T3096" s="4">
        <v>0</v>
      </c>
      <c r="U3096" s="4">
        <f t="shared" si="84"/>
        <v>0</v>
      </c>
      <c r="V3096" s="1"/>
      <c r="W3096" s="3">
        <v>2014</v>
      </c>
      <c r="X3096" s="3">
        <v>12</v>
      </c>
    </row>
    <row r="3097" spans="1:24" ht="114.75">
      <c r="A3097" s="3" t="s">
        <v>13453</v>
      </c>
      <c r="B3097" s="6" t="s">
        <v>361</v>
      </c>
      <c r="C3097" s="6" t="s">
        <v>3532</v>
      </c>
      <c r="D3097" s="6" t="s">
        <v>3533</v>
      </c>
      <c r="E3097" s="6" t="s">
        <v>3534</v>
      </c>
      <c r="F3097" s="53" t="s">
        <v>4973</v>
      </c>
      <c r="G3097" s="3" t="s">
        <v>11450</v>
      </c>
      <c r="H3097" s="54">
        <v>0</v>
      </c>
      <c r="I3097" s="55">
        <v>470000000</v>
      </c>
      <c r="J3097" s="56" t="s">
        <v>229</v>
      </c>
      <c r="K3097" s="57" t="s">
        <v>642</v>
      </c>
      <c r="L3097" s="12" t="s">
        <v>404</v>
      </c>
      <c r="M3097" s="3" t="s">
        <v>230</v>
      </c>
      <c r="N3097" s="52" t="s">
        <v>7693</v>
      </c>
      <c r="O3097" s="6" t="s">
        <v>365</v>
      </c>
      <c r="P3097" s="58" t="s">
        <v>247</v>
      </c>
      <c r="Q3097" s="53" t="s">
        <v>244</v>
      </c>
      <c r="R3097" s="112">
        <v>200</v>
      </c>
      <c r="S3097" s="59">
        <v>812.9</v>
      </c>
      <c r="T3097" s="4">
        <f>R3097*S3097</f>
        <v>162580</v>
      </c>
      <c r="U3097" s="4">
        <f>T3097*1.12</f>
        <v>182089.60000000001</v>
      </c>
      <c r="V3097" s="1"/>
      <c r="W3097" s="3">
        <v>2014</v>
      </c>
      <c r="X3097" s="3"/>
    </row>
    <row r="3098" spans="1:24" ht="114.75">
      <c r="A3098" s="3" t="s">
        <v>1643</v>
      </c>
      <c r="B3098" s="6" t="s">
        <v>361</v>
      </c>
      <c r="C3098" s="6" t="s">
        <v>4976</v>
      </c>
      <c r="D3098" s="6" t="s">
        <v>3533</v>
      </c>
      <c r="E3098" s="6" t="s">
        <v>4977</v>
      </c>
      <c r="F3098" s="53" t="s">
        <v>4974</v>
      </c>
      <c r="G3098" s="3" t="s">
        <v>11450</v>
      </c>
      <c r="H3098" s="54">
        <v>0</v>
      </c>
      <c r="I3098" s="55">
        <v>470000000</v>
      </c>
      <c r="J3098" s="56" t="s">
        <v>229</v>
      </c>
      <c r="K3098" s="57" t="s">
        <v>642</v>
      </c>
      <c r="L3098" s="57" t="s">
        <v>364</v>
      </c>
      <c r="M3098" s="3" t="s">
        <v>230</v>
      </c>
      <c r="N3098" s="52" t="s">
        <v>7693</v>
      </c>
      <c r="O3098" s="6" t="s">
        <v>365</v>
      </c>
      <c r="P3098" s="58" t="s">
        <v>247</v>
      </c>
      <c r="Q3098" s="53" t="s">
        <v>244</v>
      </c>
      <c r="R3098" s="112">
        <v>200</v>
      </c>
      <c r="S3098" s="59">
        <v>812.9</v>
      </c>
      <c r="T3098" s="4">
        <v>0</v>
      </c>
      <c r="U3098" s="4">
        <f t="shared" si="84"/>
        <v>0</v>
      </c>
      <c r="V3098" s="1"/>
      <c r="W3098" s="3">
        <v>2014</v>
      </c>
      <c r="X3098" s="3">
        <v>12</v>
      </c>
    </row>
    <row r="3099" spans="1:24" ht="114.75">
      <c r="A3099" s="3" t="s">
        <v>13454</v>
      </c>
      <c r="B3099" s="6" t="s">
        <v>361</v>
      </c>
      <c r="C3099" s="6" t="s">
        <v>4976</v>
      </c>
      <c r="D3099" s="6" t="s">
        <v>3533</v>
      </c>
      <c r="E3099" s="6" t="s">
        <v>4977</v>
      </c>
      <c r="F3099" s="53" t="s">
        <v>4974</v>
      </c>
      <c r="G3099" s="3" t="s">
        <v>11450</v>
      </c>
      <c r="H3099" s="54">
        <v>0</v>
      </c>
      <c r="I3099" s="55">
        <v>470000000</v>
      </c>
      <c r="J3099" s="56" t="s">
        <v>229</v>
      </c>
      <c r="K3099" s="57" t="s">
        <v>642</v>
      </c>
      <c r="L3099" s="12" t="s">
        <v>404</v>
      </c>
      <c r="M3099" s="3" t="s">
        <v>230</v>
      </c>
      <c r="N3099" s="52" t="s">
        <v>7693</v>
      </c>
      <c r="O3099" s="6" t="s">
        <v>365</v>
      </c>
      <c r="P3099" s="58" t="s">
        <v>247</v>
      </c>
      <c r="Q3099" s="53" t="s">
        <v>244</v>
      </c>
      <c r="R3099" s="112">
        <v>200</v>
      </c>
      <c r="S3099" s="59">
        <v>812.9</v>
      </c>
      <c r="T3099" s="4">
        <f>R3099*S3099</f>
        <v>162580</v>
      </c>
      <c r="U3099" s="4">
        <f>T3099*1.12</f>
        <v>182089.60000000001</v>
      </c>
      <c r="V3099" s="1"/>
      <c r="W3099" s="3">
        <v>2014</v>
      </c>
      <c r="X3099" s="3"/>
    </row>
    <row r="3100" spans="1:24" ht="114.75">
      <c r="A3100" s="3" t="s">
        <v>1644</v>
      </c>
      <c r="B3100" s="6" t="s">
        <v>361</v>
      </c>
      <c r="C3100" s="6" t="s">
        <v>4978</v>
      </c>
      <c r="D3100" s="6" t="s">
        <v>4979</v>
      </c>
      <c r="E3100" s="6" t="s">
        <v>4980</v>
      </c>
      <c r="F3100" s="53" t="s">
        <v>4975</v>
      </c>
      <c r="G3100" s="3" t="s">
        <v>11450</v>
      </c>
      <c r="H3100" s="54">
        <v>0</v>
      </c>
      <c r="I3100" s="55">
        <v>470000000</v>
      </c>
      <c r="J3100" s="56" t="s">
        <v>229</v>
      </c>
      <c r="K3100" s="57" t="s">
        <v>642</v>
      </c>
      <c r="L3100" s="57" t="s">
        <v>364</v>
      </c>
      <c r="M3100" s="3" t="s">
        <v>230</v>
      </c>
      <c r="N3100" s="52" t="s">
        <v>7693</v>
      </c>
      <c r="O3100" s="6" t="s">
        <v>365</v>
      </c>
      <c r="P3100" s="58" t="s">
        <v>247</v>
      </c>
      <c r="Q3100" s="53" t="s">
        <v>244</v>
      </c>
      <c r="R3100" s="22">
        <v>50</v>
      </c>
      <c r="S3100" s="59">
        <v>565.63</v>
      </c>
      <c r="T3100" s="4">
        <v>0</v>
      </c>
      <c r="U3100" s="4">
        <f t="shared" si="84"/>
        <v>0</v>
      </c>
      <c r="V3100" s="1"/>
      <c r="W3100" s="3">
        <v>2014</v>
      </c>
      <c r="X3100" s="3">
        <v>12</v>
      </c>
    </row>
    <row r="3101" spans="1:24" ht="114.75">
      <c r="A3101" s="3" t="s">
        <v>13452</v>
      </c>
      <c r="B3101" s="6" t="s">
        <v>361</v>
      </c>
      <c r="C3101" s="6" t="s">
        <v>4978</v>
      </c>
      <c r="D3101" s="6" t="s">
        <v>4979</v>
      </c>
      <c r="E3101" s="6" t="s">
        <v>4980</v>
      </c>
      <c r="F3101" s="76" t="s">
        <v>4975</v>
      </c>
      <c r="G3101" s="3" t="s">
        <v>11450</v>
      </c>
      <c r="H3101" s="54">
        <v>0</v>
      </c>
      <c r="I3101" s="55">
        <v>470000000</v>
      </c>
      <c r="J3101" s="56" t="s">
        <v>229</v>
      </c>
      <c r="K3101" s="57" t="s">
        <v>642</v>
      </c>
      <c r="L3101" s="12" t="s">
        <v>404</v>
      </c>
      <c r="M3101" s="3" t="s">
        <v>230</v>
      </c>
      <c r="N3101" s="52" t="s">
        <v>7693</v>
      </c>
      <c r="O3101" s="6" t="s">
        <v>365</v>
      </c>
      <c r="P3101" s="58" t="s">
        <v>247</v>
      </c>
      <c r="Q3101" s="76" t="s">
        <v>244</v>
      </c>
      <c r="R3101" s="22">
        <v>50</v>
      </c>
      <c r="S3101" s="59">
        <v>565.63</v>
      </c>
      <c r="T3101" s="4">
        <v>0</v>
      </c>
      <c r="U3101" s="4">
        <f>T3101*1.12</f>
        <v>0</v>
      </c>
      <c r="V3101" s="1"/>
      <c r="W3101" s="3">
        <v>2014</v>
      </c>
      <c r="X3101" s="3" t="s">
        <v>19350</v>
      </c>
    </row>
    <row r="3102" spans="1:24" ht="76.5">
      <c r="A3102" s="3" t="s">
        <v>19341</v>
      </c>
      <c r="B3102" s="6" t="s">
        <v>361</v>
      </c>
      <c r="C3102" s="6" t="s">
        <v>4978</v>
      </c>
      <c r="D3102" s="6" t="s">
        <v>4979</v>
      </c>
      <c r="E3102" s="6" t="s">
        <v>4980</v>
      </c>
      <c r="F3102" s="76" t="s">
        <v>4975</v>
      </c>
      <c r="G3102" s="3" t="s">
        <v>11450</v>
      </c>
      <c r="H3102" s="54">
        <v>0</v>
      </c>
      <c r="I3102" s="55">
        <v>470000000</v>
      </c>
      <c r="J3102" s="56" t="s">
        <v>229</v>
      </c>
      <c r="K3102" s="57" t="s">
        <v>18437</v>
      </c>
      <c r="L3102" s="12" t="s">
        <v>404</v>
      </c>
      <c r="M3102" s="3" t="s">
        <v>230</v>
      </c>
      <c r="N3102" s="52" t="s">
        <v>16511</v>
      </c>
      <c r="O3102" s="6" t="s">
        <v>19407</v>
      </c>
      <c r="P3102" s="58" t="s">
        <v>247</v>
      </c>
      <c r="Q3102" s="76" t="s">
        <v>244</v>
      </c>
      <c r="R3102" s="22">
        <v>50</v>
      </c>
      <c r="S3102" s="59">
        <v>855.38772000000006</v>
      </c>
      <c r="T3102" s="4">
        <f>R3102*S3102</f>
        <v>42769.386000000006</v>
      </c>
      <c r="U3102" s="4">
        <f>T3102*1.12</f>
        <v>47901.712320000013</v>
      </c>
      <c r="V3102" s="1"/>
      <c r="W3102" s="3">
        <v>2014</v>
      </c>
      <c r="X3102" s="3"/>
    </row>
    <row r="3103" spans="1:24" ht="114.75">
      <c r="A3103" s="3" t="s">
        <v>1645</v>
      </c>
      <c r="B3103" s="6" t="s">
        <v>361</v>
      </c>
      <c r="C3103" s="6" t="s">
        <v>4993</v>
      </c>
      <c r="D3103" s="6" t="s">
        <v>4994</v>
      </c>
      <c r="E3103" s="6" t="s">
        <v>4995</v>
      </c>
      <c r="F3103" s="48" t="s">
        <v>4981</v>
      </c>
      <c r="G3103" s="3" t="s">
        <v>11450</v>
      </c>
      <c r="H3103" s="54">
        <v>0</v>
      </c>
      <c r="I3103" s="55">
        <v>470000000</v>
      </c>
      <c r="J3103" s="56" t="s">
        <v>229</v>
      </c>
      <c r="K3103" s="57" t="s">
        <v>7698</v>
      </c>
      <c r="L3103" s="57" t="s">
        <v>364</v>
      </c>
      <c r="M3103" s="3" t="s">
        <v>230</v>
      </c>
      <c r="N3103" s="52" t="s">
        <v>7693</v>
      </c>
      <c r="O3103" s="6" t="s">
        <v>365</v>
      </c>
      <c r="P3103" s="58" t="s">
        <v>241</v>
      </c>
      <c r="Q3103" s="48" t="s">
        <v>234</v>
      </c>
      <c r="R3103" s="113">
        <v>400</v>
      </c>
      <c r="S3103" s="158"/>
      <c r="T3103" s="4">
        <f t="shared" si="83"/>
        <v>0</v>
      </c>
      <c r="U3103" s="4">
        <f t="shared" si="84"/>
        <v>0</v>
      </c>
      <c r="V3103" s="1"/>
      <c r="W3103" s="3">
        <v>2014</v>
      </c>
      <c r="X3103" s="3"/>
    </row>
    <row r="3104" spans="1:24" ht="114.75">
      <c r="A3104" s="3" t="s">
        <v>1646</v>
      </c>
      <c r="B3104" s="6" t="s">
        <v>361</v>
      </c>
      <c r="C3104" s="6" t="s">
        <v>4996</v>
      </c>
      <c r="D3104" s="6" t="s">
        <v>4994</v>
      </c>
      <c r="E3104" s="6" t="s">
        <v>4997</v>
      </c>
      <c r="F3104" s="48" t="s">
        <v>4982</v>
      </c>
      <c r="G3104" s="3" t="s">
        <v>11450</v>
      </c>
      <c r="H3104" s="54">
        <v>0</v>
      </c>
      <c r="I3104" s="55">
        <v>470000000</v>
      </c>
      <c r="J3104" s="56" t="s">
        <v>229</v>
      </c>
      <c r="K3104" s="57" t="s">
        <v>7698</v>
      </c>
      <c r="L3104" s="57" t="s">
        <v>364</v>
      </c>
      <c r="M3104" s="3" t="s">
        <v>230</v>
      </c>
      <c r="N3104" s="52" t="s">
        <v>7693</v>
      </c>
      <c r="O3104" s="6" t="s">
        <v>365</v>
      </c>
      <c r="P3104" s="58" t="s">
        <v>241</v>
      </c>
      <c r="Q3104" s="48" t="s">
        <v>234</v>
      </c>
      <c r="R3104" s="113">
        <v>20</v>
      </c>
      <c r="S3104" s="59">
        <v>72.2</v>
      </c>
      <c r="T3104" s="4">
        <f t="shared" si="83"/>
        <v>1444</v>
      </c>
      <c r="U3104" s="4">
        <f t="shared" si="84"/>
        <v>1617.2800000000002</v>
      </c>
      <c r="V3104" s="1"/>
      <c r="W3104" s="3">
        <v>2014</v>
      </c>
      <c r="X3104" s="3"/>
    </row>
    <row r="3105" spans="1:24" ht="114.75">
      <c r="A3105" s="3" t="s">
        <v>1647</v>
      </c>
      <c r="B3105" s="6" t="s">
        <v>361</v>
      </c>
      <c r="C3105" s="6" t="s">
        <v>4998</v>
      </c>
      <c r="D3105" s="6" t="s">
        <v>4994</v>
      </c>
      <c r="E3105" s="6" t="s">
        <v>4999</v>
      </c>
      <c r="F3105" s="48" t="s">
        <v>4983</v>
      </c>
      <c r="G3105" s="3" t="s">
        <v>11450</v>
      </c>
      <c r="H3105" s="54">
        <v>0</v>
      </c>
      <c r="I3105" s="55">
        <v>470000000</v>
      </c>
      <c r="J3105" s="56" t="s">
        <v>229</v>
      </c>
      <c r="K3105" s="57" t="s">
        <v>7698</v>
      </c>
      <c r="L3105" s="57" t="s">
        <v>364</v>
      </c>
      <c r="M3105" s="3" t="s">
        <v>230</v>
      </c>
      <c r="N3105" s="52" t="s">
        <v>7693</v>
      </c>
      <c r="O3105" s="6" t="s">
        <v>365</v>
      </c>
      <c r="P3105" s="58" t="s">
        <v>241</v>
      </c>
      <c r="Q3105" s="48" t="s">
        <v>234</v>
      </c>
      <c r="R3105" s="113">
        <v>20</v>
      </c>
      <c r="S3105" s="59">
        <v>84.72</v>
      </c>
      <c r="T3105" s="4">
        <f t="shared" si="83"/>
        <v>1694.4</v>
      </c>
      <c r="U3105" s="4">
        <f t="shared" si="84"/>
        <v>1897.7280000000003</v>
      </c>
      <c r="V3105" s="1"/>
      <c r="W3105" s="3">
        <v>2014</v>
      </c>
      <c r="X3105" s="3"/>
    </row>
    <row r="3106" spans="1:24" ht="114.75">
      <c r="A3106" s="3" t="s">
        <v>1648</v>
      </c>
      <c r="B3106" s="6" t="s">
        <v>361</v>
      </c>
      <c r="C3106" s="6" t="s">
        <v>5000</v>
      </c>
      <c r="D3106" s="6" t="s">
        <v>4994</v>
      </c>
      <c r="E3106" s="6" t="s">
        <v>5001</v>
      </c>
      <c r="F3106" s="48" t="s">
        <v>4984</v>
      </c>
      <c r="G3106" s="3" t="s">
        <v>11450</v>
      </c>
      <c r="H3106" s="54">
        <v>0</v>
      </c>
      <c r="I3106" s="55">
        <v>470000000</v>
      </c>
      <c r="J3106" s="56" t="s">
        <v>229</v>
      </c>
      <c r="K3106" s="57" t="s">
        <v>7698</v>
      </c>
      <c r="L3106" s="57" t="s">
        <v>364</v>
      </c>
      <c r="M3106" s="3" t="s">
        <v>230</v>
      </c>
      <c r="N3106" s="52" t="s">
        <v>7693</v>
      </c>
      <c r="O3106" s="6" t="s">
        <v>365</v>
      </c>
      <c r="P3106" s="58" t="s">
        <v>241</v>
      </c>
      <c r="Q3106" s="48" t="s">
        <v>234</v>
      </c>
      <c r="R3106" s="113">
        <v>20</v>
      </c>
      <c r="S3106" s="59">
        <v>81.42</v>
      </c>
      <c r="T3106" s="4">
        <f t="shared" si="83"/>
        <v>1628.4</v>
      </c>
      <c r="U3106" s="4">
        <f t="shared" si="84"/>
        <v>1823.8080000000002</v>
      </c>
      <c r="V3106" s="1"/>
      <c r="W3106" s="3">
        <v>2014</v>
      </c>
      <c r="X3106" s="3"/>
    </row>
    <row r="3107" spans="1:24" ht="114.75">
      <c r="A3107" s="3" t="s">
        <v>1649</v>
      </c>
      <c r="B3107" s="6" t="s">
        <v>361</v>
      </c>
      <c r="C3107" s="6" t="s">
        <v>5002</v>
      </c>
      <c r="D3107" s="6" t="s">
        <v>4994</v>
      </c>
      <c r="E3107" s="6" t="s">
        <v>5003</v>
      </c>
      <c r="F3107" s="48" t="s">
        <v>4985</v>
      </c>
      <c r="G3107" s="3" t="s">
        <v>11450</v>
      </c>
      <c r="H3107" s="54">
        <v>0</v>
      </c>
      <c r="I3107" s="55">
        <v>470000000</v>
      </c>
      <c r="J3107" s="56" t="s">
        <v>229</v>
      </c>
      <c r="K3107" s="57" t="s">
        <v>7698</v>
      </c>
      <c r="L3107" s="57" t="s">
        <v>364</v>
      </c>
      <c r="M3107" s="3" t="s">
        <v>230</v>
      </c>
      <c r="N3107" s="52" t="s">
        <v>7693</v>
      </c>
      <c r="O3107" s="6" t="s">
        <v>365</v>
      </c>
      <c r="P3107" s="58" t="s">
        <v>241</v>
      </c>
      <c r="Q3107" s="48" t="s">
        <v>234</v>
      </c>
      <c r="R3107" s="113">
        <v>20</v>
      </c>
      <c r="S3107" s="59">
        <v>97.99</v>
      </c>
      <c r="T3107" s="4">
        <f t="shared" si="83"/>
        <v>1959.8</v>
      </c>
      <c r="U3107" s="4">
        <f t="shared" si="84"/>
        <v>2194.9760000000001</v>
      </c>
      <c r="V3107" s="1"/>
      <c r="W3107" s="3">
        <v>2014</v>
      </c>
      <c r="X3107" s="3"/>
    </row>
    <row r="3108" spans="1:24" ht="114.75">
      <c r="A3108" s="3" t="s">
        <v>1650</v>
      </c>
      <c r="B3108" s="6" t="s">
        <v>361</v>
      </c>
      <c r="C3108" s="6" t="s">
        <v>5004</v>
      </c>
      <c r="D3108" s="6" t="s">
        <v>4994</v>
      </c>
      <c r="E3108" s="6" t="s">
        <v>5005</v>
      </c>
      <c r="F3108" s="48" t="s">
        <v>4986</v>
      </c>
      <c r="G3108" s="3" t="s">
        <v>11450</v>
      </c>
      <c r="H3108" s="54">
        <v>0</v>
      </c>
      <c r="I3108" s="55">
        <v>470000000</v>
      </c>
      <c r="J3108" s="56" t="s">
        <v>229</v>
      </c>
      <c r="K3108" s="57" t="s">
        <v>7698</v>
      </c>
      <c r="L3108" s="57" t="s">
        <v>364</v>
      </c>
      <c r="M3108" s="3" t="s">
        <v>230</v>
      </c>
      <c r="N3108" s="52" t="s">
        <v>7693</v>
      </c>
      <c r="O3108" s="6" t="s">
        <v>365</v>
      </c>
      <c r="P3108" s="58" t="s">
        <v>241</v>
      </c>
      <c r="Q3108" s="48" t="s">
        <v>234</v>
      </c>
      <c r="R3108" s="113">
        <v>20</v>
      </c>
      <c r="S3108" s="59">
        <v>117.74</v>
      </c>
      <c r="T3108" s="4">
        <f t="shared" si="83"/>
        <v>2354.7999999999997</v>
      </c>
      <c r="U3108" s="4">
        <f t="shared" si="84"/>
        <v>2637.3759999999997</v>
      </c>
      <c r="V3108" s="1"/>
      <c r="W3108" s="3">
        <v>2014</v>
      </c>
      <c r="X3108" s="3"/>
    </row>
    <row r="3109" spans="1:24" ht="114.75">
      <c r="A3109" s="3" t="s">
        <v>1651</v>
      </c>
      <c r="B3109" s="6" t="s">
        <v>361</v>
      </c>
      <c r="C3109" s="6" t="s">
        <v>5006</v>
      </c>
      <c r="D3109" s="6" t="s">
        <v>4994</v>
      </c>
      <c r="E3109" s="6" t="s">
        <v>5007</v>
      </c>
      <c r="F3109" s="48" t="s">
        <v>4987</v>
      </c>
      <c r="G3109" s="3" t="s">
        <v>11450</v>
      </c>
      <c r="H3109" s="54">
        <v>0</v>
      </c>
      <c r="I3109" s="55">
        <v>470000000</v>
      </c>
      <c r="J3109" s="56" t="s">
        <v>229</v>
      </c>
      <c r="K3109" s="57" t="s">
        <v>7698</v>
      </c>
      <c r="L3109" s="57" t="s">
        <v>364</v>
      </c>
      <c r="M3109" s="3" t="s">
        <v>230</v>
      </c>
      <c r="N3109" s="52" t="s">
        <v>7693</v>
      </c>
      <c r="O3109" s="6" t="s">
        <v>365</v>
      </c>
      <c r="P3109" s="58" t="s">
        <v>241</v>
      </c>
      <c r="Q3109" s="48" t="s">
        <v>234</v>
      </c>
      <c r="R3109" s="113">
        <v>20</v>
      </c>
      <c r="S3109" s="59">
        <v>122.49</v>
      </c>
      <c r="T3109" s="4">
        <f t="shared" si="83"/>
        <v>2449.7999999999997</v>
      </c>
      <c r="U3109" s="4">
        <f t="shared" si="84"/>
        <v>2743.7759999999998</v>
      </c>
      <c r="V3109" s="1"/>
      <c r="W3109" s="3">
        <v>2014</v>
      </c>
      <c r="X3109" s="3"/>
    </row>
    <row r="3110" spans="1:24" ht="114.75">
      <c r="A3110" s="3" t="s">
        <v>1652</v>
      </c>
      <c r="B3110" s="6" t="s">
        <v>361</v>
      </c>
      <c r="C3110" s="6" t="s">
        <v>5008</v>
      </c>
      <c r="D3110" s="6" t="s">
        <v>4994</v>
      </c>
      <c r="E3110" s="6" t="s">
        <v>5009</v>
      </c>
      <c r="F3110" s="48" t="s">
        <v>4988</v>
      </c>
      <c r="G3110" s="3" t="s">
        <v>11450</v>
      </c>
      <c r="H3110" s="54">
        <v>0</v>
      </c>
      <c r="I3110" s="55">
        <v>470000000</v>
      </c>
      <c r="J3110" s="56" t="s">
        <v>229</v>
      </c>
      <c r="K3110" s="57" t="s">
        <v>7698</v>
      </c>
      <c r="L3110" s="57" t="s">
        <v>364</v>
      </c>
      <c r="M3110" s="3" t="s">
        <v>230</v>
      </c>
      <c r="N3110" s="52" t="s">
        <v>7693</v>
      </c>
      <c r="O3110" s="6" t="s">
        <v>365</v>
      </c>
      <c r="P3110" s="58" t="s">
        <v>241</v>
      </c>
      <c r="Q3110" s="48" t="s">
        <v>234</v>
      </c>
      <c r="R3110" s="113">
        <v>20</v>
      </c>
      <c r="S3110" s="59">
        <v>162.16999999999999</v>
      </c>
      <c r="T3110" s="4">
        <f t="shared" si="83"/>
        <v>3243.3999999999996</v>
      </c>
      <c r="U3110" s="4">
        <f t="shared" si="84"/>
        <v>3632.6079999999997</v>
      </c>
      <c r="V3110" s="1"/>
      <c r="W3110" s="3">
        <v>2014</v>
      </c>
      <c r="X3110" s="3"/>
    </row>
    <row r="3111" spans="1:24" ht="114.75">
      <c r="A3111" s="3" t="s">
        <v>1653</v>
      </c>
      <c r="B3111" s="6" t="s">
        <v>361</v>
      </c>
      <c r="C3111" s="6" t="s">
        <v>5010</v>
      </c>
      <c r="D3111" s="6" t="s">
        <v>4994</v>
      </c>
      <c r="E3111" s="6" t="s">
        <v>5011</v>
      </c>
      <c r="F3111" s="48" t="s">
        <v>4989</v>
      </c>
      <c r="G3111" s="3" t="s">
        <v>11450</v>
      </c>
      <c r="H3111" s="54">
        <v>0</v>
      </c>
      <c r="I3111" s="55">
        <v>470000000</v>
      </c>
      <c r="J3111" s="56" t="s">
        <v>229</v>
      </c>
      <c r="K3111" s="57" t="s">
        <v>7698</v>
      </c>
      <c r="L3111" s="57" t="s">
        <v>364</v>
      </c>
      <c r="M3111" s="3" t="s">
        <v>230</v>
      </c>
      <c r="N3111" s="52" t="s">
        <v>7693</v>
      </c>
      <c r="O3111" s="6" t="s">
        <v>365</v>
      </c>
      <c r="P3111" s="58" t="s">
        <v>241</v>
      </c>
      <c r="Q3111" s="48" t="s">
        <v>234</v>
      </c>
      <c r="R3111" s="113">
        <v>10</v>
      </c>
      <c r="S3111" s="59">
        <v>149.19</v>
      </c>
      <c r="T3111" s="4">
        <f t="shared" si="83"/>
        <v>1491.9</v>
      </c>
      <c r="U3111" s="4">
        <f t="shared" si="84"/>
        <v>1670.9280000000003</v>
      </c>
      <c r="V3111" s="1"/>
      <c r="W3111" s="3">
        <v>2014</v>
      </c>
      <c r="X3111" s="3"/>
    </row>
    <row r="3112" spans="1:24" ht="114.75">
      <c r="A3112" s="3" t="s">
        <v>10257</v>
      </c>
      <c r="B3112" s="6" t="s">
        <v>361</v>
      </c>
      <c r="C3112" s="6" t="s">
        <v>5012</v>
      </c>
      <c r="D3112" s="6" t="s">
        <v>4994</v>
      </c>
      <c r="E3112" s="6" t="s">
        <v>5013</v>
      </c>
      <c r="F3112" s="48" t="s">
        <v>4990</v>
      </c>
      <c r="G3112" s="3" t="s">
        <v>11450</v>
      </c>
      <c r="H3112" s="54">
        <v>0</v>
      </c>
      <c r="I3112" s="55">
        <v>470000000</v>
      </c>
      <c r="J3112" s="56" t="s">
        <v>229</v>
      </c>
      <c r="K3112" s="57" t="s">
        <v>7698</v>
      </c>
      <c r="L3112" s="57" t="s">
        <v>364</v>
      </c>
      <c r="M3112" s="3" t="s">
        <v>230</v>
      </c>
      <c r="N3112" s="52" t="s">
        <v>7693</v>
      </c>
      <c r="O3112" s="6" t="s">
        <v>365</v>
      </c>
      <c r="P3112" s="58" t="s">
        <v>241</v>
      </c>
      <c r="Q3112" s="48" t="s">
        <v>234</v>
      </c>
      <c r="R3112" s="113">
        <v>10</v>
      </c>
      <c r="S3112" s="59">
        <v>125.98</v>
      </c>
      <c r="T3112" s="4">
        <f t="shared" si="83"/>
        <v>1259.8</v>
      </c>
      <c r="U3112" s="4">
        <f t="shared" si="84"/>
        <v>1410.9760000000001</v>
      </c>
      <c r="V3112" s="1"/>
      <c r="W3112" s="3">
        <v>2014</v>
      </c>
      <c r="X3112" s="3"/>
    </row>
    <row r="3113" spans="1:24" ht="114.75">
      <c r="A3113" s="3" t="s">
        <v>10258</v>
      </c>
      <c r="B3113" s="6" t="s">
        <v>361</v>
      </c>
      <c r="C3113" s="6" t="s">
        <v>5014</v>
      </c>
      <c r="D3113" s="6" t="s">
        <v>4994</v>
      </c>
      <c r="E3113" s="6" t="s">
        <v>5015</v>
      </c>
      <c r="F3113" s="48" t="s">
        <v>4991</v>
      </c>
      <c r="G3113" s="3" t="s">
        <v>11450</v>
      </c>
      <c r="H3113" s="54">
        <v>0</v>
      </c>
      <c r="I3113" s="55">
        <v>470000000</v>
      </c>
      <c r="J3113" s="56" t="s">
        <v>229</v>
      </c>
      <c r="K3113" s="57" t="s">
        <v>7698</v>
      </c>
      <c r="L3113" s="57" t="s">
        <v>364</v>
      </c>
      <c r="M3113" s="3" t="s">
        <v>230</v>
      </c>
      <c r="N3113" s="52" t="s">
        <v>7693</v>
      </c>
      <c r="O3113" s="6" t="s">
        <v>365</v>
      </c>
      <c r="P3113" s="58" t="s">
        <v>241</v>
      </c>
      <c r="Q3113" s="48" t="s">
        <v>234</v>
      </c>
      <c r="R3113" s="113">
        <v>10</v>
      </c>
      <c r="S3113" s="59">
        <v>331</v>
      </c>
      <c r="T3113" s="4">
        <f t="shared" si="83"/>
        <v>3310</v>
      </c>
      <c r="U3113" s="4">
        <f t="shared" si="84"/>
        <v>3707.2000000000003</v>
      </c>
      <c r="V3113" s="1"/>
      <c r="W3113" s="3">
        <v>2014</v>
      </c>
      <c r="X3113" s="3"/>
    </row>
    <row r="3114" spans="1:24" ht="114.75">
      <c r="A3114" s="3" t="s">
        <v>10259</v>
      </c>
      <c r="B3114" s="6" t="s">
        <v>361</v>
      </c>
      <c r="C3114" s="6" t="s">
        <v>5016</v>
      </c>
      <c r="D3114" s="6" t="s">
        <v>4994</v>
      </c>
      <c r="E3114" s="6" t="s">
        <v>5017</v>
      </c>
      <c r="F3114" s="48" t="s">
        <v>4992</v>
      </c>
      <c r="G3114" s="3" t="s">
        <v>11450</v>
      </c>
      <c r="H3114" s="54">
        <v>0</v>
      </c>
      <c r="I3114" s="55">
        <v>470000000</v>
      </c>
      <c r="J3114" s="56" t="s">
        <v>229</v>
      </c>
      <c r="K3114" s="57" t="s">
        <v>7698</v>
      </c>
      <c r="L3114" s="57" t="s">
        <v>364</v>
      </c>
      <c r="M3114" s="3" t="s">
        <v>230</v>
      </c>
      <c r="N3114" s="52" t="s">
        <v>7693</v>
      </c>
      <c r="O3114" s="6" t="s">
        <v>365</v>
      </c>
      <c r="P3114" s="58" t="s">
        <v>241</v>
      </c>
      <c r="Q3114" s="48" t="s">
        <v>234</v>
      </c>
      <c r="R3114" s="113">
        <v>10</v>
      </c>
      <c r="S3114" s="59">
        <v>454</v>
      </c>
      <c r="T3114" s="4">
        <f t="shared" si="83"/>
        <v>4540</v>
      </c>
      <c r="U3114" s="4">
        <f t="shared" si="84"/>
        <v>5084.8</v>
      </c>
      <c r="V3114" s="1"/>
      <c r="W3114" s="3">
        <v>2014</v>
      </c>
      <c r="X3114" s="3"/>
    </row>
    <row r="3115" spans="1:24" ht="114.75">
      <c r="A3115" s="3" t="s">
        <v>10260</v>
      </c>
      <c r="B3115" s="6" t="s">
        <v>361</v>
      </c>
      <c r="C3115" s="6" t="s">
        <v>5031</v>
      </c>
      <c r="D3115" s="6" t="s">
        <v>4994</v>
      </c>
      <c r="E3115" s="6" t="s">
        <v>5032</v>
      </c>
      <c r="F3115" s="48" t="s">
        <v>5018</v>
      </c>
      <c r="G3115" s="3" t="s">
        <v>11450</v>
      </c>
      <c r="H3115" s="54">
        <v>0</v>
      </c>
      <c r="I3115" s="55">
        <v>470000000</v>
      </c>
      <c r="J3115" s="56" t="s">
        <v>229</v>
      </c>
      <c r="K3115" s="57" t="s">
        <v>7698</v>
      </c>
      <c r="L3115" s="57" t="s">
        <v>364</v>
      </c>
      <c r="M3115" s="3" t="s">
        <v>230</v>
      </c>
      <c r="N3115" s="52" t="s">
        <v>7693</v>
      </c>
      <c r="O3115" s="6" t="s">
        <v>365</v>
      </c>
      <c r="P3115" s="58" t="s">
        <v>241</v>
      </c>
      <c r="Q3115" s="48" t="s">
        <v>234</v>
      </c>
      <c r="R3115" s="113">
        <v>12</v>
      </c>
      <c r="S3115" s="59">
        <v>711.54050000000007</v>
      </c>
      <c r="T3115" s="4">
        <f t="shared" si="83"/>
        <v>8538.4860000000008</v>
      </c>
      <c r="U3115" s="4">
        <f t="shared" si="84"/>
        <v>9563.1043200000022</v>
      </c>
      <c r="V3115" s="1"/>
      <c r="W3115" s="3">
        <v>2014</v>
      </c>
      <c r="X3115" s="3"/>
    </row>
    <row r="3116" spans="1:24" ht="114.75">
      <c r="A3116" s="3" t="s">
        <v>10261</v>
      </c>
      <c r="B3116" s="6" t="s">
        <v>361</v>
      </c>
      <c r="C3116" s="6" t="s">
        <v>5033</v>
      </c>
      <c r="D3116" s="6" t="s">
        <v>4994</v>
      </c>
      <c r="E3116" s="6" t="s">
        <v>5034</v>
      </c>
      <c r="F3116" s="48" t="s">
        <v>5019</v>
      </c>
      <c r="G3116" s="3" t="s">
        <v>11450</v>
      </c>
      <c r="H3116" s="54">
        <v>0</v>
      </c>
      <c r="I3116" s="55">
        <v>470000000</v>
      </c>
      <c r="J3116" s="56" t="s">
        <v>229</v>
      </c>
      <c r="K3116" s="57" t="s">
        <v>7698</v>
      </c>
      <c r="L3116" s="57" t="s">
        <v>364</v>
      </c>
      <c r="M3116" s="3" t="s">
        <v>230</v>
      </c>
      <c r="N3116" s="52" t="s">
        <v>7693</v>
      </c>
      <c r="O3116" s="6" t="s">
        <v>365</v>
      </c>
      <c r="P3116" s="58" t="s">
        <v>241</v>
      </c>
      <c r="Q3116" s="48" t="s">
        <v>234</v>
      </c>
      <c r="R3116" s="113">
        <v>12</v>
      </c>
      <c r="S3116" s="59">
        <v>711.54050000000007</v>
      </c>
      <c r="T3116" s="4">
        <f t="shared" si="83"/>
        <v>8538.4860000000008</v>
      </c>
      <c r="U3116" s="4">
        <f t="shared" si="84"/>
        <v>9563.1043200000022</v>
      </c>
      <c r="V3116" s="1"/>
      <c r="W3116" s="3">
        <v>2014</v>
      </c>
      <c r="X3116" s="3"/>
    </row>
    <row r="3117" spans="1:24" ht="114.75">
      <c r="A3117" s="3" t="s">
        <v>10262</v>
      </c>
      <c r="B3117" s="6" t="s">
        <v>361</v>
      </c>
      <c r="C3117" s="6" t="s">
        <v>5035</v>
      </c>
      <c r="D3117" s="6" t="s">
        <v>4994</v>
      </c>
      <c r="E3117" s="6" t="s">
        <v>5036</v>
      </c>
      <c r="F3117" s="48" t="s">
        <v>5020</v>
      </c>
      <c r="G3117" s="3" t="s">
        <v>11450</v>
      </c>
      <c r="H3117" s="54">
        <v>0</v>
      </c>
      <c r="I3117" s="55">
        <v>470000000</v>
      </c>
      <c r="J3117" s="56" t="s">
        <v>229</v>
      </c>
      <c r="K3117" s="57" t="s">
        <v>7698</v>
      </c>
      <c r="L3117" s="57" t="s">
        <v>364</v>
      </c>
      <c r="M3117" s="3" t="s">
        <v>230</v>
      </c>
      <c r="N3117" s="52" t="s">
        <v>7693</v>
      </c>
      <c r="O3117" s="6" t="s">
        <v>365</v>
      </c>
      <c r="P3117" s="58" t="s">
        <v>241</v>
      </c>
      <c r="Q3117" s="48" t="s">
        <v>234</v>
      </c>
      <c r="R3117" s="113">
        <v>12</v>
      </c>
      <c r="S3117" s="59">
        <v>769.41480000000001</v>
      </c>
      <c r="T3117" s="4">
        <f t="shared" si="83"/>
        <v>9232.9776000000002</v>
      </c>
      <c r="U3117" s="4">
        <f t="shared" si="84"/>
        <v>10340.934912000001</v>
      </c>
      <c r="V3117" s="1"/>
      <c r="W3117" s="3">
        <v>2014</v>
      </c>
      <c r="X3117" s="3"/>
    </row>
    <row r="3118" spans="1:24" ht="114.75">
      <c r="A3118" s="3" t="s">
        <v>10263</v>
      </c>
      <c r="B3118" s="6" t="s">
        <v>361</v>
      </c>
      <c r="C3118" s="6" t="s">
        <v>5037</v>
      </c>
      <c r="D3118" s="6" t="s">
        <v>4994</v>
      </c>
      <c r="E3118" s="6" t="s">
        <v>5038</v>
      </c>
      <c r="F3118" s="48" t="s">
        <v>5021</v>
      </c>
      <c r="G3118" s="3" t="s">
        <v>11450</v>
      </c>
      <c r="H3118" s="54">
        <v>0</v>
      </c>
      <c r="I3118" s="55">
        <v>470000000</v>
      </c>
      <c r="J3118" s="56" t="s">
        <v>229</v>
      </c>
      <c r="K3118" s="57" t="s">
        <v>7698</v>
      </c>
      <c r="L3118" s="57" t="s">
        <v>364</v>
      </c>
      <c r="M3118" s="3" t="s">
        <v>230</v>
      </c>
      <c r="N3118" s="52" t="s">
        <v>7693</v>
      </c>
      <c r="O3118" s="6" t="s">
        <v>365</v>
      </c>
      <c r="P3118" s="58" t="s">
        <v>241</v>
      </c>
      <c r="Q3118" s="48" t="s">
        <v>234</v>
      </c>
      <c r="R3118" s="113">
        <v>12</v>
      </c>
      <c r="S3118" s="59">
        <v>793.08240000000012</v>
      </c>
      <c r="T3118" s="4">
        <f t="shared" si="83"/>
        <v>9516.988800000001</v>
      </c>
      <c r="U3118" s="4">
        <f t="shared" si="84"/>
        <v>10659.027456000002</v>
      </c>
      <c r="V3118" s="1"/>
      <c r="W3118" s="3">
        <v>2014</v>
      </c>
      <c r="X3118" s="3"/>
    </row>
    <row r="3119" spans="1:24" ht="114.75">
      <c r="A3119" s="3" t="s">
        <v>10264</v>
      </c>
      <c r="B3119" s="6" t="s">
        <v>361</v>
      </c>
      <c r="C3119" s="6" t="s">
        <v>5039</v>
      </c>
      <c r="D3119" s="6" t="s">
        <v>4994</v>
      </c>
      <c r="E3119" s="6" t="s">
        <v>5040</v>
      </c>
      <c r="F3119" s="48" t="s">
        <v>5022</v>
      </c>
      <c r="G3119" s="3" t="s">
        <v>11450</v>
      </c>
      <c r="H3119" s="54">
        <v>0</v>
      </c>
      <c r="I3119" s="55">
        <v>470000000</v>
      </c>
      <c r="J3119" s="56" t="s">
        <v>229</v>
      </c>
      <c r="K3119" s="57" t="s">
        <v>7698</v>
      </c>
      <c r="L3119" s="57" t="s">
        <v>364</v>
      </c>
      <c r="M3119" s="3" t="s">
        <v>230</v>
      </c>
      <c r="N3119" s="52" t="s">
        <v>7693</v>
      </c>
      <c r="O3119" s="6" t="s">
        <v>365</v>
      </c>
      <c r="P3119" s="58" t="s">
        <v>241</v>
      </c>
      <c r="Q3119" s="48" t="s">
        <v>234</v>
      </c>
      <c r="R3119" s="113">
        <v>12</v>
      </c>
      <c r="S3119" s="59">
        <v>561.21010000000012</v>
      </c>
      <c r="T3119" s="4">
        <f t="shared" si="83"/>
        <v>6734.521200000001</v>
      </c>
      <c r="U3119" s="4">
        <f t="shared" si="84"/>
        <v>7542.6637440000022</v>
      </c>
      <c r="V3119" s="1"/>
      <c r="W3119" s="3">
        <v>2014</v>
      </c>
      <c r="X3119" s="3"/>
    </row>
    <row r="3120" spans="1:24" ht="114.75">
      <c r="A3120" s="3" t="s">
        <v>10265</v>
      </c>
      <c r="B3120" s="6" t="s">
        <v>361</v>
      </c>
      <c r="C3120" s="6" t="s">
        <v>5041</v>
      </c>
      <c r="D3120" s="6" t="s">
        <v>4994</v>
      </c>
      <c r="E3120" s="6" t="s">
        <v>5042</v>
      </c>
      <c r="F3120" s="48" t="s">
        <v>5023</v>
      </c>
      <c r="G3120" s="3" t="s">
        <v>11450</v>
      </c>
      <c r="H3120" s="54">
        <v>0</v>
      </c>
      <c r="I3120" s="55">
        <v>470000000</v>
      </c>
      <c r="J3120" s="56" t="s">
        <v>229</v>
      </c>
      <c r="K3120" s="57" t="s">
        <v>7698</v>
      </c>
      <c r="L3120" s="57" t="s">
        <v>364</v>
      </c>
      <c r="M3120" s="3" t="s">
        <v>230</v>
      </c>
      <c r="N3120" s="52" t="s">
        <v>7693</v>
      </c>
      <c r="O3120" s="6" t="s">
        <v>365</v>
      </c>
      <c r="P3120" s="58" t="s">
        <v>241</v>
      </c>
      <c r="Q3120" s="48" t="s">
        <v>234</v>
      </c>
      <c r="R3120" s="113">
        <v>12</v>
      </c>
      <c r="S3120" s="59">
        <v>907.51210000000003</v>
      </c>
      <c r="T3120" s="4">
        <f t="shared" si="83"/>
        <v>10890.145200000001</v>
      </c>
      <c r="U3120" s="4">
        <f t="shared" si="84"/>
        <v>12196.962624000002</v>
      </c>
      <c r="V3120" s="1"/>
      <c r="W3120" s="3">
        <v>2014</v>
      </c>
      <c r="X3120" s="3"/>
    </row>
    <row r="3121" spans="1:24" ht="114.75">
      <c r="A3121" s="3" t="s">
        <v>10266</v>
      </c>
      <c r="B3121" s="6" t="s">
        <v>361</v>
      </c>
      <c r="C3121" s="6" t="s">
        <v>5043</v>
      </c>
      <c r="D3121" s="6" t="s">
        <v>4994</v>
      </c>
      <c r="E3121" s="6" t="s">
        <v>5044</v>
      </c>
      <c r="F3121" s="48" t="s">
        <v>5024</v>
      </c>
      <c r="G3121" s="3" t="s">
        <v>11450</v>
      </c>
      <c r="H3121" s="54">
        <v>0</v>
      </c>
      <c r="I3121" s="55">
        <v>470000000</v>
      </c>
      <c r="J3121" s="56" t="s">
        <v>229</v>
      </c>
      <c r="K3121" s="57" t="s">
        <v>7698</v>
      </c>
      <c r="L3121" s="57" t="s">
        <v>364</v>
      </c>
      <c r="M3121" s="3" t="s">
        <v>230</v>
      </c>
      <c r="N3121" s="52" t="s">
        <v>7693</v>
      </c>
      <c r="O3121" s="6" t="s">
        <v>365</v>
      </c>
      <c r="P3121" s="58" t="s">
        <v>241</v>
      </c>
      <c r="Q3121" s="48" t="s">
        <v>234</v>
      </c>
      <c r="R3121" s="113">
        <v>10</v>
      </c>
      <c r="S3121" s="59">
        <v>992.74450000000013</v>
      </c>
      <c r="T3121" s="4">
        <f t="shared" si="83"/>
        <v>9927.4450000000015</v>
      </c>
      <c r="U3121" s="4">
        <f t="shared" si="84"/>
        <v>11118.738400000002</v>
      </c>
      <c r="V3121" s="1"/>
      <c r="W3121" s="3">
        <v>2014</v>
      </c>
      <c r="X3121" s="3"/>
    </row>
    <row r="3122" spans="1:24" ht="114.75">
      <c r="A3122" s="3" t="s">
        <v>10267</v>
      </c>
      <c r="B3122" s="6" t="s">
        <v>361</v>
      </c>
      <c r="C3122" s="6" t="s">
        <v>5045</v>
      </c>
      <c r="D3122" s="6" t="s">
        <v>4994</v>
      </c>
      <c r="E3122" s="6" t="s">
        <v>5046</v>
      </c>
      <c r="F3122" s="48" t="s">
        <v>5025</v>
      </c>
      <c r="G3122" s="3" t="s">
        <v>11450</v>
      </c>
      <c r="H3122" s="54">
        <v>0</v>
      </c>
      <c r="I3122" s="55">
        <v>470000000</v>
      </c>
      <c r="J3122" s="56" t="s">
        <v>229</v>
      </c>
      <c r="K3122" s="57" t="s">
        <v>7698</v>
      </c>
      <c r="L3122" s="57" t="s">
        <v>364</v>
      </c>
      <c r="M3122" s="3" t="s">
        <v>230</v>
      </c>
      <c r="N3122" s="52" t="s">
        <v>7693</v>
      </c>
      <c r="O3122" s="6" t="s">
        <v>365</v>
      </c>
      <c r="P3122" s="58" t="s">
        <v>241</v>
      </c>
      <c r="Q3122" s="48" t="s">
        <v>234</v>
      </c>
      <c r="R3122" s="113">
        <v>10</v>
      </c>
      <c r="S3122" s="59">
        <v>1065.3324000000002</v>
      </c>
      <c r="T3122" s="4">
        <f t="shared" si="83"/>
        <v>10653.324000000002</v>
      </c>
      <c r="U3122" s="4">
        <f t="shared" si="84"/>
        <v>11931.722880000003</v>
      </c>
      <c r="V3122" s="1"/>
      <c r="W3122" s="3">
        <v>2014</v>
      </c>
      <c r="X3122" s="3"/>
    </row>
    <row r="3123" spans="1:24" ht="114.75">
      <c r="A3123" s="3" t="s">
        <v>10268</v>
      </c>
      <c r="B3123" s="6" t="s">
        <v>361</v>
      </c>
      <c r="C3123" s="6" t="s">
        <v>5047</v>
      </c>
      <c r="D3123" s="6" t="s">
        <v>4994</v>
      </c>
      <c r="E3123" s="6" t="s">
        <v>5048</v>
      </c>
      <c r="F3123" s="48" t="s">
        <v>5026</v>
      </c>
      <c r="G3123" s="3" t="s">
        <v>11450</v>
      </c>
      <c r="H3123" s="54">
        <v>0</v>
      </c>
      <c r="I3123" s="55">
        <v>470000000</v>
      </c>
      <c r="J3123" s="56" t="s">
        <v>229</v>
      </c>
      <c r="K3123" s="57" t="s">
        <v>7698</v>
      </c>
      <c r="L3123" s="57" t="s">
        <v>364</v>
      </c>
      <c r="M3123" s="3" t="s">
        <v>230</v>
      </c>
      <c r="N3123" s="52" t="s">
        <v>7693</v>
      </c>
      <c r="O3123" s="6" t="s">
        <v>365</v>
      </c>
      <c r="P3123" s="58" t="s">
        <v>241</v>
      </c>
      <c r="Q3123" s="48" t="s">
        <v>234</v>
      </c>
      <c r="R3123" s="113">
        <v>10</v>
      </c>
      <c r="S3123" s="59">
        <v>1573</v>
      </c>
      <c r="T3123" s="4">
        <f t="shared" si="83"/>
        <v>15730</v>
      </c>
      <c r="U3123" s="4">
        <f t="shared" si="84"/>
        <v>17617.600000000002</v>
      </c>
      <c r="V3123" s="1"/>
      <c r="W3123" s="3">
        <v>2014</v>
      </c>
      <c r="X3123" s="3"/>
    </row>
    <row r="3124" spans="1:24" ht="114.75">
      <c r="A3124" s="3" t="s">
        <v>10269</v>
      </c>
      <c r="B3124" s="6" t="s">
        <v>361</v>
      </c>
      <c r="C3124" s="6" t="s">
        <v>5049</v>
      </c>
      <c r="D3124" s="6" t="s">
        <v>4994</v>
      </c>
      <c r="E3124" s="6" t="s">
        <v>5050</v>
      </c>
      <c r="F3124" s="48" t="s">
        <v>5027</v>
      </c>
      <c r="G3124" s="3" t="s">
        <v>11450</v>
      </c>
      <c r="H3124" s="54">
        <v>0</v>
      </c>
      <c r="I3124" s="55">
        <v>470000000</v>
      </c>
      <c r="J3124" s="56" t="s">
        <v>229</v>
      </c>
      <c r="K3124" s="57" t="s">
        <v>7698</v>
      </c>
      <c r="L3124" s="57" t="s">
        <v>364</v>
      </c>
      <c r="M3124" s="3" t="s">
        <v>230</v>
      </c>
      <c r="N3124" s="52" t="s">
        <v>7693</v>
      </c>
      <c r="O3124" s="6" t="s">
        <v>365</v>
      </c>
      <c r="P3124" s="58" t="s">
        <v>241</v>
      </c>
      <c r="Q3124" s="48" t="s">
        <v>234</v>
      </c>
      <c r="R3124" s="113">
        <v>10</v>
      </c>
      <c r="S3124" s="59">
        <v>1573</v>
      </c>
      <c r="T3124" s="4">
        <f t="shared" si="83"/>
        <v>15730</v>
      </c>
      <c r="U3124" s="4">
        <f t="shared" si="84"/>
        <v>17617.600000000002</v>
      </c>
      <c r="V3124" s="1"/>
      <c r="W3124" s="3">
        <v>2014</v>
      </c>
      <c r="X3124" s="3"/>
    </row>
    <row r="3125" spans="1:24" ht="114.75">
      <c r="A3125" s="3" t="s">
        <v>10270</v>
      </c>
      <c r="B3125" s="6" t="s">
        <v>361</v>
      </c>
      <c r="C3125" s="6" t="s">
        <v>5051</v>
      </c>
      <c r="D3125" s="6" t="s">
        <v>4994</v>
      </c>
      <c r="E3125" s="6" t="s">
        <v>5052</v>
      </c>
      <c r="F3125" s="48" t="s">
        <v>5028</v>
      </c>
      <c r="G3125" s="3" t="s">
        <v>11450</v>
      </c>
      <c r="H3125" s="54">
        <v>0</v>
      </c>
      <c r="I3125" s="55">
        <v>470000000</v>
      </c>
      <c r="J3125" s="56" t="s">
        <v>229</v>
      </c>
      <c r="K3125" s="57" t="s">
        <v>7698</v>
      </c>
      <c r="L3125" s="57" t="s">
        <v>364</v>
      </c>
      <c r="M3125" s="3" t="s">
        <v>230</v>
      </c>
      <c r="N3125" s="52" t="s">
        <v>7693</v>
      </c>
      <c r="O3125" s="6" t="s">
        <v>365</v>
      </c>
      <c r="P3125" s="58" t="s">
        <v>241</v>
      </c>
      <c r="Q3125" s="48" t="s">
        <v>234</v>
      </c>
      <c r="R3125" s="113">
        <v>10</v>
      </c>
      <c r="S3125" s="59">
        <v>1905.75</v>
      </c>
      <c r="T3125" s="4">
        <f t="shared" si="83"/>
        <v>19057.5</v>
      </c>
      <c r="U3125" s="4">
        <f t="shared" si="84"/>
        <v>21344.400000000001</v>
      </c>
      <c r="V3125" s="1"/>
      <c r="W3125" s="3">
        <v>2014</v>
      </c>
      <c r="X3125" s="3"/>
    </row>
    <row r="3126" spans="1:24" ht="114.75">
      <c r="A3126" s="3" t="s">
        <v>10271</v>
      </c>
      <c r="B3126" s="6" t="s">
        <v>361</v>
      </c>
      <c r="C3126" s="6" t="s">
        <v>5053</v>
      </c>
      <c r="D3126" s="6" t="s">
        <v>4994</v>
      </c>
      <c r="E3126" s="6" t="s">
        <v>5054</v>
      </c>
      <c r="F3126" s="48" t="s">
        <v>5029</v>
      </c>
      <c r="G3126" s="3" t="s">
        <v>11450</v>
      </c>
      <c r="H3126" s="54">
        <v>0</v>
      </c>
      <c r="I3126" s="55">
        <v>470000000</v>
      </c>
      <c r="J3126" s="56" t="s">
        <v>229</v>
      </c>
      <c r="K3126" s="57" t="s">
        <v>7698</v>
      </c>
      <c r="L3126" s="57" t="s">
        <v>364</v>
      </c>
      <c r="M3126" s="3" t="s">
        <v>230</v>
      </c>
      <c r="N3126" s="52" t="s">
        <v>7693</v>
      </c>
      <c r="O3126" s="6" t="s">
        <v>365</v>
      </c>
      <c r="P3126" s="58" t="s">
        <v>241</v>
      </c>
      <c r="Q3126" s="48" t="s">
        <v>234</v>
      </c>
      <c r="R3126" s="113">
        <v>10</v>
      </c>
      <c r="S3126" s="59">
        <v>1905.75</v>
      </c>
      <c r="T3126" s="4">
        <f t="shared" si="83"/>
        <v>19057.5</v>
      </c>
      <c r="U3126" s="4">
        <f t="shared" si="84"/>
        <v>21344.400000000001</v>
      </c>
      <c r="V3126" s="1"/>
      <c r="W3126" s="3">
        <v>2014</v>
      </c>
      <c r="X3126" s="3"/>
    </row>
    <row r="3127" spans="1:24" ht="114.75">
      <c r="A3127" s="3" t="s">
        <v>10272</v>
      </c>
      <c r="B3127" s="6" t="s">
        <v>361</v>
      </c>
      <c r="C3127" s="6" t="s">
        <v>5055</v>
      </c>
      <c r="D3127" s="6" t="s">
        <v>4994</v>
      </c>
      <c r="E3127" s="6" t="s">
        <v>5056</v>
      </c>
      <c r="F3127" s="48" t="s">
        <v>5030</v>
      </c>
      <c r="G3127" s="3" t="s">
        <v>11450</v>
      </c>
      <c r="H3127" s="54">
        <v>0</v>
      </c>
      <c r="I3127" s="55">
        <v>470000000</v>
      </c>
      <c r="J3127" s="56" t="s">
        <v>229</v>
      </c>
      <c r="K3127" s="57" t="s">
        <v>7698</v>
      </c>
      <c r="L3127" s="57" t="s">
        <v>364</v>
      </c>
      <c r="M3127" s="3" t="s">
        <v>230</v>
      </c>
      <c r="N3127" s="52" t="s">
        <v>7693</v>
      </c>
      <c r="O3127" s="6" t="s">
        <v>365</v>
      </c>
      <c r="P3127" s="58" t="s">
        <v>241</v>
      </c>
      <c r="Q3127" s="48" t="s">
        <v>234</v>
      </c>
      <c r="R3127" s="113">
        <v>10</v>
      </c>
      <c r="S3127" s="59">
        <v>2238.5</v>
      </c>
      <c r="T3127" s="4">
        <f t="shared" si="83"/>
        <v>22385</v>
      </c>
      <c r="U3127" s="4">
        <f t="shared" si="84"/>
        <v>25071.200000000001</v>
      </c>
      <c r="V3127" s="1"/>
      <c r="W3127" s="3">
        <v>2014</v>
      </c>
      <c r="X3127" s="3"/>
    </row>
    <row r="3128" spans="1:24" ht="114.75">
      <c r="A3128" s="3" t="s">
        <v>10273</v>
      </c>
      <c r="B3128" s="6" t="s">
        <v>361</v>
      </c>
      <c r="C3128" s="6" t="s">
        <v>5059</v>
      </c>
      <c r="D3128" s="6" t="s">
        <v>4994</v>
      </c>
      <c r="E3128" s="6" t="s">
        <v>5060</v>
      </c>
      <c r="F3128" s="7" t="s">
        <v>5057</v>
      </c>
      <c r="G3128" s="3" t="s">
        <v>11450</v>
      </c>
      <c r="H3128" s="54">
        <v>0</v>
      </c>
      <c r="I3128" s="55">
        <v>470000000</v>
      </c>
      <c r="J3128" s="56" t="s">
        <v>229</v>
      </c>
      <c r="K3128" s="57" t="s">
        <v>7698</v>
      </c>
      <c r="L3128" s="57" t="s">
        <v>364</v>
      </c>
      <c r="M3128" s="3" t="s">
        <v>230</v>
      </c>
      <c r="N3128" s="52" t="s">
        <v>7693</v>
      </c>
      <c r="O3128" s="6" t="s">
        <v>365</v>
      </c>
      <c r="P3128" s="58" t="s">
        <v>241</v>
      </c>
      <c r="Q3128" s="48" t="s">
        <v>234</v>
      </c>
      <c r="R3128" s="113">
        <v>20</v>
      </c>
      <c r="S3128" s="59">
        <v>209</v>
      </c>
      <c r="T3128" s="4">
        <f t="shared" si="83"/>
        <v>4180</v>
      </c>
      <c r="U3128" s="4">
        <f t="shared" si="84"/>
        <v>4681.6000000000004</v>
      </c>
      <c r="V3128" s="1"/>
      <c r="W3128" s="3">
        <v>2014</v>
      </c>
      <c r="X3128" s="3"/>
    </row>
    <row r="3129" spans="1:24" ht="114.75">
      <c r="A3129" s="3" t="s">
        <v>10274</v>
      </c>
      <c r="B3129" s="6" t="s">
        <v>361</v>
      </c>
      <c r="C3129" s="6" t="s">
        <v>5059</v>
      </c>
      <c r="D3129" s="6" t="s">
        <v>4994</v>
      </c>
      <c r="E3129" s="6" t="s">
        <v>5060</v>
      </c>
      <c r="F3129" s="7" t="s">
        <v>5058</v>
      </c>
      <c r="G3129" s="3" t="s">
        <v>11450</v>
      </c>
      <c r="H3129" s="54">
        <v>0</v>
      </c>
      <c r="I3129" s="55">
        <v>470000000</v>
      </c>
      <c r="J3129" s="56" t="s">
        <v>229</v>
      </c>
      <c r="K3129" s="57" t="s">
        <v>7698</v>
      </c>
      <c r="L3129" s="57" t="s">
        <v>364</v>
      </c>
      <c r="M3129" s="3" t="s">
        <v>230</v>
      </c>
      <c r="N3129" s="52" t="s">
        <v>7693</v>
      </c>
      <c r="O3129" s="6" t="s">
        <v>365</v>
      </c>
      <c r="P3129" s="58" t="s">
        <v>241</v>
      </c>
      <c r="Q3129" s="48" t="s">
        <v>234</v>
      </c>
      <c r="R3129" s="22">
        <v>20</v>
      </c>
      <c r="S3129" s="59">
        <v>209</v>
      </c>
      <c r="T3129" s="4">
        <f t="shared" si="83"/>
        <v>4180</v>
      </c>
      <c r="U3129" s="4">
        <f t="shared" si="84"/>
        <v>4681.6000000000004</v>
      </c>
      <c r="V3129" s="1"/>
      <c r="W3129" s="3">
        <v>2014</v>
      </c>
      <c r="X3129" s="3"/>
    </row>
    <row r="3130" spans="1:24" ht="114.75">
      <c r="A3130" s="3" t="s">
        <v>10275</v>
      </c>
      <c r="B3130" s="6" t="s">
        <v>361</v>
      </c>
      <c r="C3130" s="6" t="s">
        <v>5069</v>
      </c>
      <c r="D3130" s="6" t="s">
        <v>5070</v>
      </c>
      <c r="E3130" s="6" t="s">
        <v>5071</v>
      </c>
      <c r="F3130" s="109" t="s">
        <v>5061</v>
      </c>
      <c r="G3130" s="3" t="s">
        <v>11450</v>
      </c>
      <c r="H3130" s="54">
        <v>0</v>
      </c>
      <c r="I3130" s="55">
        <v>470000000</v>
      </c>
      <c r="J3130" s="56" t="s">
        <v>229</v>
      </c>
      <c r="K3130" s="57" t="s">
        <v>7698</v>
      </c>
      <c r="L3130" s="57" t="s">
        <v>364</v>
      </c>
      <c r="M3130" s="3" t="s">
        <v>230</v>
      </c>
      <c r="N3130" s="52" t="s">
        <v>7693</v>
      </c>
      <c r="O3130" s="6" t="s">
        <v>365</v>
      </c>
      <c r="P3130" s="58" t="s">
        <v>241</v>
      </c>
      <c r="Q3130" s="48" t="s">
        <v>234</v>
      </c>
      <c r="R3130" s="113">
        <v>10</v>
      </c>
      <c r="S3130" s="59">
        <v>315.62300000000005</v>
      </c>
      <c r="T3130" s="4">
        <f t="shared" si="83"/>
        <v>3156.2300000000005</v>
      </c>
      <c r="U3130" s="4">
        <f t="shared" si="84"/>
        <v>3534.9776000000011</v>
      </c>
      <c r="V3130" s="1"/>
      <c r="W3130" s="3">
        <v>2014</v>
      </c>
      <c r="X3130" s="3"/>
    </row>
    <row r="3131" spans="1:24" ht="114.75">
      <c r="A3131" s="3" t="s">
        <v>10276</v>
      </c>
      <c r="B3131" s="6" t="s">
        <v>361</v>
      </c>
      <c r="C3131" s="6" t="s">
        <v>5072</v>
      </c>
      <c r="D3131" s="6" t="s">
        <v>5070</v>
      </c>
      <c r="E3131" s="6" t="s">
        <v>5073</v>
      </c>
      <c r="F3131" s="109" t="s">
        <v>5062</v>
      </c>
      <c r="G3131" s="3" t="s">
        <v>11450</v>
      </c>
      <c r="H3131" s="54">
        <v>0</v>
      </c>
      <c r="I3131" s="55">
        <v>470000000</v>
      </c>
      <c r="J3131" s="56" t="s">
        <v>229</v>
      </c>
      <c r="K3131" s="57" t="s">
        <v>7698</v>
      </c>
      <c r="L3131" s="57" t="s">
        <v>364</v>
      </c>
      <c r="M3131" s="3" t="s">
        <v>230</v>
      </c>
      <c r="N3131" s="52" t="s">
        <v>7693</v>
      </c>
      <c r="O3131" s="6" t="s">
        <v>365</v>
      </c>
      <c r="P3131" s="58" t="s">
        <v>241</v>
      </c>
      <c r="Q3131" s="48" t="s">
        <v>234</v>
      </c>
      <c r="R3131" s="113">
        <v>10</v>
      </c>
      <c r="S3131" s="59">
        <v>324.40100000000007</v>
      </c>
      <c r="T3131" s="4">
        <f t="shared" si="83"/>
        <v>3244.0100000000007</v>
      </c>
      <c r="U3131" s="4">
        <f t="shared" si="84"/>
        <v>3633.291200000001</v>
      </c>
      <c r="V3131" s="1"/>
      <c r="W3131" s="3">
        <v>2014</v>
      </c>
      <c r="X3131" s="3"/>
    </row>
    <row r="3132" spans="1:24" ht="114.75">
      <c r="A3132" s="3" t="s">
        <v>10277</v>
      </c>
      <c r="B3132" s="6" t="s">
        <v>361</v>
      </c>
      <c r="C3132" s="6" t="s">
        <v>5072</v>
      </c>
      <c r="D3132" s="6" t="s">
        <v>5070</v>
      </c>
      <c r="E3132" s="6" t="s">
        <v>5073</v>
      </c>
      <c r="F3132" s="109" t="s">
        <v>5063</v>
      </c>
      <c r="G3132" s="3" t="s">
        <v>11450</v>
      </c>
      <c r="H3132" s="54">
        <v>0</v>
      </c>
      <c r="I3132" s="55">
        <v>470000000</v>
      </c>
      <c r="J3132" s="56" t="s">
        <v>229</v>
      </c>
      <c r="K3132" s="57" t="s">
        <v>7698</v>
      </c>
      <c r="L3132" s="57" t="s">
        <v>364</v>
      </c>
      <c r="M3132" s="3" t="s">
        <v>230</v>
      </c>
      <c r="N3132" s="52" t="s">
        <v>7693</v>
      </c>
      <c r="O3132" s="6" t="s">
        <v>365</v>
      </c>
      <c r="P3132" s="58" t="s">
        <v>241</v>
      </c>
      <c r="Q3132" s="48" t="s">
        <v>234</v>
      </c>
      <c r="R3132" s="113">
        <v>10</v>
      </c>
      <c r="S3132" s="59">
        <v>407.71499999999997</v>
      </c>
      <c r="T3132" s="4">
        <f t="shared" si="83"/>
        <v>4077.1499999999996</v>
      </c>
      <c r="U3132" s="4">
        <f t="shared" si="84"/>
        <v>4566.4080000000004</v>
      </c>
      <c r="V3132" s="1"/>
      <c r="W3132" s="3">
        <v>2014</v>
      </c>
      <c r="X3132" s="3"/>
    </row>
    <row r="3133" spans="1:24" ht="114.75">
      <c r="A3133" s="3" t="s">
        <v>10278</v>
      </c>
      <c r="B3133" s="6" t="s">
        <v>361</v>
      </c>
      <c r="C3133" s="6" t="s">
        <v>5072</v>
      </c>
      <c r="D3133" s="6" t="s">
        <v>5070</v>
      </c>
      <c r="E3133" s="6" t="s">
        <v>5073</v>
      </c>
      <c r="F3133" s="109" t="s">
        <v>5064</v>
      </c>
      <c r="G3133" s="3" t="s">
        <v>11450</v>
      </c>
      <c r="H3133" s="54">
        <v>0</v>
      </c>
      <c r="I3133" s="55">
        <v>470000000</v>
      </c>
      <c r="J3133" s="56" t="s">
        <v>229</v>
      </c>
      <c r="K3133" s="57" t="s">
        <v>7698</v>
      </c>
      <c r="L3133" s="57" t="s">
        <v>364</v>
      </c>
      <c r="M3133" s="3" t="s">
        <v>230</v>
      </c>
      <c r="N3133" s="52" t="s">
        <v>7693</v>
      </c>
      <c r="O3133" s="6" t="s">
        <v>365</v>
      </c>
      <c r="P3133" s="58" t="s">
        <v>241</v>
      </c>
      <c r="Q3133" s="48" t="s">
        <v>234</v>
      </c>
      <c r="R3133" s="113">
        <v>10</v>
      </c>
      <c r="S3133" s="59">
        <v>454.608</v>
      </c>
      <c r="T3133" s="4">
        <f t="shared" si="83"/>
        <v>4546.08</v>
      </c>
      <c r="U3133" s="4">
        <f t="shared" si="84"/>
        <v>5091.6096000000007</v>
      </c>
      <c r="V3133" s="1"/>
      <c r="W3133" s="3">
        <v>2014</v>
      </c>
      <c r="X3133" s="3"/>
    </row>
    <row r="3134" spans="1:24" ht="114.75">
      <c r="A3134" s="3" t="s">
        <v>10279</v>
      </c>
      <c r="B3134" s="6" t="s">
        <v>361</v>
      </c>
      <c r="C3134" s="6" t="s">
        <v>5074</v>
      </c>
      <c r="D3134" s="6" t="s">
        <v>5070</v>
      </c>
      <c r="E3134" s="6" t="s">
        <v>5075</v>
      </c>
      <c r="F3134" s="109" t="s">
        <v>5065</v>
      </c>
      <c r="G3134" s="3" t="s">
        <v>11450</v>
      </c>
      <c r="H3134" s="54">
        <v>0</v>
      </c>
      <c r="I3134" s="55">
        <v>470000000</v>
      </c>
      <c r="J3134" s="56" t="s">
        <v>229</v>
      </c>
      <c r="K3134" s="57" t="s">
        <v>7698</v>
      </c>
      <c r="L3134" s="57" t="s">
        <v>364</v>
      </c>
      <c r="M3134" s="3" t="s">
        <v>230</v>
      </c>
      <c r="N3134" s="52" t="s">
        <v>7693</v>
      </c>
      <c r="O3134" s="6" t="s">
        <v>365</v>
      </c>
      <c r="P3134" s="58" t="s">
        <v>241</v>
      </c>
      <c r="Q3134" s="48" t="s">
        <v>234</v>
      </c>
      <c r="R3134" s="113">
        <v>10</v>
      </c>
      <c r="S3134" s="59">
        <v>514.20600000000002</v>
      </c>
      <c r="T3134" s="4">
        <f t="shared" si="83"/>
        <v>5142.0600000000004</v>
      </c>
      <c r="U3134" s="4">
        <f t="shared" si="84"/>
        <v>5759.1072000000013</v>
      </c>
      <c r="V3134" s="1"/>
      <c r="W3134" s="3">
        <v>2014</v>
      </c>
      <c r="X3134" s="3"/>
    </row>
    <row r="3135" spans="1:24" ht="114.75">
      <c r="A3135" s="3" t="s">
        <v>10280</v>
      </c>
      <c r="B3135" s="6" t="s">
        <v>361</v>
      </c>
      <c r="C3135" s="6" t="s">
        <v>5074</v>
      </c>
      <c r="D3135" s="6" t="s">
        <v>5070</v>
      </c>
      <c r="E3135" s="6" t="s">
        <v>5075</v>
      </c>
      <c r="F3135" s="109" t="s">
        <v>5066</v>
      </c>
      <c r="G3135" s="3" t="s">
        <v>11450</v>
      </c>
      <c r="H3135" s="54">
        <v>0</v>
      </c>
      <c r="I3135" s="55">
        <v>470000000</v>
      </c>
      <c r="J3135" s="56" t="s">
        <v>229</v>
      </c>
      <c r="K3135" s="57" t="s">
        <v>7698</v>
      </c>
      <c r="L3135" s="57" t="s">
        <v>364</v>
      </c>
      <c r="M3135" s="3" t="s">
        <v>230</v>
      </c>
      <c r="N3135" s="52" t="s">
        <v>7693</v>
      </c>
      <c r="O3135" s="6" t="s">
        <v>365</v>
      </c>
      <c r="P3135" s="58" t="s">
        <v>241</v>
      </c>
      <c r="Q3135" s="48" t="s">
        <v>234</v>
      </c>
      <c r="R3135" s="113">
        <v>10</v>
      </c>
      <c r="S3135" s="59">
        <v>636.71300000000008</v>
      </c>
      <c r="T3135" s="4">
        <f t="shared" si="83"/>
        <v>6367.130000000001</v>
      </c>
      <c r="U3135" s="4">
        <f t="shared" si="84"/>
        <v>7131.1856000000016</v>
      </c>
      <c r="V3135" s="1"/>
      <c r="W3135" s="3">
        <v>2014</v>
      </c>
      <c r="X3135" s="3"/>
    </row>
    <row r="3136" spans="1:24" ht="114.75">
      <c r="A3136" s="3" t="s">
        <v>10281</v>
      </c>
      <c r="B3136" s="6" t="s">
        <v>361</v>
      </c>
      <c r="C3136" s="6" t="s">
        <v>5074</v>
      </c>
      <c r="D3136" s="6" t="s">
        <v>5070</v>
      </c>
      <c r="E3136" s="6" t="s">
        <v>5075</v>
      </c>
      <c r="F3136" s="109" t="s">
        <v>5067</v>
      </c>
      <c r="G3136" s="3" t="s">
        <v>11450</v>
      </c>
      <c r="H3136" s="54">
        <v>0</v>
      </c>
      <c r="I3136" s="55">
        <v>470000000</v>
      </c>
      <c r="J3136" s="56" t="s">
        <v>229</v>
      </c>
      <c r="K3136" s="57" t="s">
        <v>7698</v>
      </c>
      <c r="L3136" s="57" t="s">
        <v>364</v>
      </c>
      <c r="M3136" s="3" t="s">
        <v>230</v>
      </c>
      <c r="N3136" s="52" t="s">
        <v>7693</v>
      </c>
      <c r="O3136" s="6" t="s">
        <v>365</v>
      </c>
      <c r="P3136" s="58" t="s">
        <v>241</v>
      </c>
      <c r="Q3136" s="48" t="s">
        <v>234</v>
      </c>
      <c r="R3136" s="113">
        <v>10</v>
      </c>
      <c r="S3136" s="59">
        <v>812.16410000000008</v>
      </c>
      <c r="T3136" s="4">
        <f t="shared" si="83"/>
        <v>8121.6410000000005</v>
      </c>
      <c r="U3136" s="4">
        <f t="shared" si="84"/>
        <v>9096.2379200000014</v>
      </c>
      <c r="V3136" s="1"/>
      <c r="W3136" s="3">
        <v>2014</v>
      </c>
      <c r="X3136" s="3"/>
    </row>
    <row r="3137" spans="1:24" ht="114.75">
      <c r="A3137" s="3" t="s">
        <v>10282</v>
      </c>
      <c r="B3137" s="6" t="s">
        <v>361</v>
      </c>
      <c r="C3137" s="6" t="s">
        <v>5074</v>
      </c>
      <c r="D3137" s="6" t="s">
        <v>5070</v>
      </c>
      <c r="E3137" s="6" t="s">
        <v>5075</v>
      </c>
      <c r="F3137" s="109" t="s">
        <v>5068</v>
      </c>
      <c r="G3137" s="3" t="s">
        <v>11450</v>
      </c>
      <c r="H3137" s="54">
        <v>0</v>
      </c>
      <c r="I3137" s="55">
        <v>470000000</v>
      </c>
      <c r="J3137" s="56" t="s">
        <v>229</v>
      </c>
      <c r="K3137" s="57" t="s">
        <v>7698</v>
      </c>
      <c r="L3137" s="57" t="s">
        <v>364</v>
      </c>
      <c r="M3137" s="3" t="s">
        <v>230</v>
      </c>
      <c r="N3137" s="52" t="s">
        <v>7693</v>
      </c>
      <c r="O3137" s="6" t="s">
        <v>365</v>
      </c>
      <c r="P3137" s="58" t="s">
        <v>241</v>
      </c>
      <c r="Q3137" s="48" t="s">
        <v>234</v>
      </c>
      <c r="R3137" s="113">
        <v>10</v>
      </c>
      <c r="S3137" s="59">
        <v>907.5363000000001</v>
      </c>
      <c r="T3137" s="4">
        <f t="shared" si="83"/>
        <v>9075.3630000000012</v>
      </c>
      <c r="U3137" s="4">
        <f t="shared" si="84"/>
        <v>10164.406560000003</v>
      </c>
      <c r="V3137" s="1"/>
      <c r="W3137" s="3">
        <v>2014</v>
      </c>
      <c r="X3137" s="3"/>
    </row>
    <row r="3138" spans="1:24" ht="114.75">
      <c r="A3138" s="3" t="s">
        <v>10283</v>
      </c>
      <c r="B3138" s="6" t="s">
        <v>361</v>
      </c>
      <c r="C3138" s="6" t="s">
        <v>5072</v>
      </c>
      <c r="D3138" s="6" t="s">
        <v>5070</v>
      </c>
      <c r="E3138" s="6" t="s">
        <v>5073</v>
      </c>
      <c r="F3138" s="109" t="s">
        <v>5076</v>
      </c>
      <c r="G3138" s="3" t="s">
        <v>11450</v>
      </c>
      <c r="H3138" s="54">
        <v>0</v>
      </c>
      <c r="I3138" s="55">
        <v>470000000</v>
      </c>
      <c r="J3138" s="56" t="s">
        <v>229</v>
      </c>
      <c r="K3138" s="57" t="s">
        <v>7698</v>
      </c>
      <c r="L3138" s="57" t="s">
        <v>364</v>
      </c>
      <c r="M3138" s="3" t="s">
        <v>230</v>
      </c>
      <c r="N3138" s="52" t="s">
        <v>7693</v>
      </c>
      <c r="O3138" s="6" t="s">
        <v>365</v>
      </c>
      <c r="P3138" s="58" t="s">
        <v>241</v>
      </c>
      <c r="Q3138" s="48" t="s">
        <v>234</v>
      </c>
      <c r="R3138" s="113">
        <v>10</v>
      </c>
      <c r="S3138" s="59">
        <v>641.29999999999995</v>
      </c>
      <c r="T3138" s="4">
        <f t="shared" si="83"/>
        <v>6413</v>
      </c>
      <c r="U3138" s="4">
        <f t="shared" si="84"/>
        <v>7182.56</v>
      </c>
      <c r="V3138" s="1"/>
      <c r="W3138" s="3">
        <v>2014</v>
      </c>
      <c r="X3138" s="3"/>
    </row>
    <row r="3139" spans="1:24" ht="114.75">
      <c r="A3139" s="3" t="s">
        <v>10284</v>
      </c>
      <c r="B3139" s="6" t="s">
        <v>361</v>
      </c>
      <c r="C3139" s="6" t="s">
        <v>5086</v>
      </c>
      <c r="D3139" s="6" t="s">
        <v>5087</v>
      </c>
      <c r="E3139" s="6" t="s">
        <v>5088</v>
      </c>
      <c r="F3139" s="48" t="s">
        <v>5077</v>
      </c>
      <c r="G3139" s="3" t="s">
        <v>11450</v>
      </c>
      <c r="H3139" s="54">
        <v>0</v>
      </c>
      <c r="I3139" s="55">
        <v>470000000</v>
      </c>
      <c r="J3139" s="56" t="s">
        <v>229</v>
      </c>
      <c r="K3139" s="57" t="s">
        <v>7698</v>
      </c>
      <c r="L3139" s="57" t="s">
        <v>364</v>
      </c>
      <c r="M3139" s="3" t="s">
        <v>230</v>
      </c>
      <c r="N3139" s="52" t="s">
        <v>7693</v>
      </c>
      <c r="O3139" s="6" t="s">
        <v>365</v>
      </c>
      <c r="P3139" s="58" t="s">
        <v>241</v>
      </c>
      <c r="Q3139" s="48" t="s">
        <v>234</v>
      </c>
      <c r="R3139" s="113">
        <v>10</v>
      </c>
      <c r="S3139" s="59">
        <v>169.4</v>
      </c>
      <c r="T3139" s="4">
        <f t="shared" si="83"/>
        <v>1694</v>
      </c>
      <c r="U3139" s="4">
        <f t="shared" si="84"/>
        <v>1897.2800000000002</v>
      </c>
      <c r="V3139" s="1"/>
      <c r="W3139" s="3">
        <v>2014</v>
      </c>
      <c r="X3139" s="3"/>
    </row>
    <row r="3140" spans="1:24" ht="114.75">
      <c r="A3140" s="3" t="s">
        <v>10285</v>
      </c>
      <c r="B3140" s="6" t="s">
        <v>361</v>
      </c>
      <c r="C3140" s="6" t="s">
        <v>5086</v>
      </c>
      <c r="D3140" s="6" t="s">
        <v>5087</v>
      </c>
      <c r="E3140" s="6" t="s">
        <v>5088</v>
      </c>
      <c r="F3140" s="48" t="s">
        <v>5078</v>
      </c>
      <c r="G3140" s="3" t="s">
        <v>11450</v>
      </c>
      <c r="H3140" s="54">
        <v>0</v>
      </c>
      <c r="I3140" s="55">
        <v>470000000</v>
      </c>
      <c r="J3140" s="56" t="s">
        <v>229</v>
      </c>
      <c r="K3140" s="57" t="s">
        <v>7698</v>
      </c>
      <c r="L3140" s="57" t="s">
        <v>364</v>
      </c>
      <c r="M3140" s="3" t="s">
        <v>230</v>
      </c>
      <c r="N3140" s="52" t="s">
        <v>7693</v>
      </c>
      <c r="O3140" s="6" t="s">
        <v>365</v>
      </c>
      <c r="P3140" s="58" t="s">
        <v>241</v>
      </c>
      <c r="Q3140" s="48" t="s">
        <v>234</v>
      </c>
      <c r="R3140" s="113">
        <v>10</v>
      </c>
      <c r="S3140" s="59">
        <v>181.5</v>
      </c>
      <c r="T3140" s="4">
        <f t="shared" si="83"/>
        <v>1815</v>
      </c>
      <c r="U3140" s="4">
        <f t="shared" si="84"/>
        <v>2032.8000000000002</v>
      </c>
      <c r="V3140" s="1"/>
      <c r="W3140" s="3">
        <v>2014</v>
      </c>
      <c r="X3140" s="3"/>
    </row>
    <row r="3141" spans="1:24" ht="114.75">
      <c r="A3141" s="3" t="s">
        <v>10286</v>
      </c>
      <c r="B3141" s="6" t="s">
        <v>361</v>
      </c>
      <c r="C3141" s="6" t="s">
        <v>5086</v>
      </c>
      <c r="D3141" s="6" t="s">
        <v>5087</v>
      </c>
      <c r="E3141" s="6" t="s">
        <v>5088</v>
      </c>
      <c r="F3141" s="48" t="s">
        <v>5079</v>
      </c>
      <c r="G3141" s="3" t="s">
        <v>11450</v>
      </c>
      <c r="H3141" s="54">
        <v>0</v>
      </c>
      <c r="I3141" s="55">
        <v>470000000</v>
      </c>
      <c r="J3141" s="56" t="s">
        <v>229</v>
      </c>
      <c r="K3141" s="57" t="s">
        <v>7698</v>
      </c>
      <c r="L3141" s="57" t="s">
        <v>364</v>
      </c>
      <c r="M3141" s="3" t="s">
        <v>230</v>
      </c>
      <c r="N3141" s="52" t="s">
        <v>7693</v>
      </c>
      <c r="O3141" s="6" t="s">
        <v>365</v>
      </c>
      <c r="P3141" s="58" t="s">
        <v>241</v>
      </c>
      <c r="Q3141" s="48" t="s">
        <v>234</v>
      </c>
      <c r="R3141" s="113">
        <v>10</v>
      </c>
      <c r="S3141" s="59">
        <v>242</v>
      </c>
      <c r="T3141" s="4">
        <f t="shared" si="83"/>
        <v>2420</v>
      </c>
      <c r="U3141" s="4">
        <f t="shared" si="84"/>
        <v>2710.4</v>
      </c>
      <c r="V3141" s="1"/>
      <c r="W3141" s="3">
        <v>2014</v>
      </c>
      <c r="X3141" s="3"/>
    </row>
    <row r="3142" spans="1:24" ht="114.75">
      <c r="A3142" s="3" t="s">
        <v>10287</v>
      </c>
      <c r="B3142" s="6" t="s">
        <v>361</v>
      </c>
      <c r="C3142" s="6" t="s">
        <v>5086</v>
      </c>
      <c r="D3142" s="6" t="s">
        <v>5087</v>
      </c>
      <c r="E3142" s="6" t="s">
        <v>5088</v>
      </c>
      <c r="F3142" s="48" t="s">
        <v>5080</v>
      </c>
      <c r="G3142" s="3" t="s">
        <v>11450</v>
      </c>
      <c r="H3142" s="54">
        <v>0</v>
      </c>
      <c r="I3142" s="55">
        <v>470000000</v>
      </c>
      <c r="J3142" s="56" t="s">
        <v>229</v>
      </c>
      <c r="K3142" s="57" t="s">
        <v>7698</v>
      </c>
      <c r="L3142" s="57" t="s">
        <v>364</v>
      </c>
      <c r="M3142" s="3" t="s">
        <v>230</v>
      </c>
      <c r="N3142" s="52" t="s">
        <v>7693</v>
      </c>
      <c r="O3142" s="6" t="s">
        <v>365</v>
      </c>
      <c r="P3142" s="58" t="s">
        <v>241</v>
      </c>
      <c r="Q3142" s="48" t="s">
        <v>234</v>
      </c>
      <c r="R3142" s="113">
        <v>10</v>
      </c>
      <c r="S3142" s="59">
        <v>515.36</v>
      </c>
      <c r="T3142" s="4">
        <f t="shared" si="83"/>
        <v>5153.6000000000004</v>
      </c>
      <c r="U3142" s="4">
        <f t="shared" si="84"/>
        <v>5772.0320000000011</v>
      </c>
      <c r="V3142" s="1"/>
      <c r="W3142" s="3">
        <v>2014</v>
      </c>
      <c r="X3142" s="3"/>
    </row>
    <row r="3143" spans="1:24" ht="114.75">
      <c r="A3143" s="3" t="s">
        <v>10288</v>
      </c>
      <c r="B3143" s="6" t="s">
        <v>361</v>
      </c>
      <c r="C3143" s="6" t="s">
        <v>5086</v>
      </c>
      <c r="D3143" s="6" t="s">
        <v>5087</v>
      </c>
      <c r="E3143" s="6" t="s">
        <v>5088</v>
      </c>
      <c r="F3143" s="48" t="s">
        <v>5081</v>
      </c>
      <c r="G3143" s="3" t="s">
        <v>11450</v>
      </c>
      <c r="H3143" s="54">
        <v>0</v>
      </c>
      <c r="I3143" s="55">
        <v>470000000</v>
      </c>
      <c r="J3143" s="56" t="s">
        <v>229</v>
      </c>
      <c r="K3143" s="57" t="s">
        <v>7698</v>
      </c>
      <c r="L3143" s="57" t="s">
        <v>364</v>
      </c>
      <c r="M3143" s="3" t="s">
        <v>230</v>
      </c>
      <c r="N3143" s="52" t="s">
        <v>7693</v>
      </c>
      <c r="O3143" s="6" t="s">
        <v>365</v>
      </c>
      <c r="P3143" s="58" t="s">
        <v>241</v>
      </c>
      <c r="Q3143" s="48" t="s">
        <v>234</v>
      </c>
      <c r="R3143" s="113">
        <v>10</v>
      </c>
      <c r="S3143" s="59">
        <v>454.89</v>
      </c>
      <c r="T3143" s="4">
        <f t="shared" si="83"/>
        <v>4548.8999999999996</v>
      </c>
      <c r="U3143" s="4">
        <f t="shared" si="84"/>
        <v>5094.768</v>
      </c>
      <c r="V3143" s="1"/>
      <c r="W3143" s="3">
        <v>2014</v>
      </c>
      <c r="X3143" s="3"/>
    </row>
    <row r="3144" spans="1:24" ht="114.75">
      <c r="A3144" s="3" t="s">
        <v>10289</v>
      </c>
      <c r="B3144" s="6" t="s">
        <v>361</v>
      </c>
      <c r="C3144" s="6" t="s">
        <v>5086</v>
      </c>
      <c r="D3144" s="6" t="s">
        <v>5087</v>
      </c>
      <c r="E3144" s="6" t="s">
        <v>5088</v>
      </c>
      <c r="F3144" s="48" t="s">
        <v>5082</v>
      </c>
      <c r="G3144" s="3" t="s">
        <v>11450</v>
      </c>
      <c r="H3144" s="54">
        <v>0</v>
      </c>
      <c r="I3144" s="55">
        <v>470000000</v>
      </c>
      <c r="J3144" s="56" t="s">
        <v>229</v>
      </c>
      <c r="K3144" s="57" t="s">
        <v>7698</v>
      </c>
      <c r="L3144" s="57" t="s">
        <v>364</v>
      </c>
      <c r="M3144" s="3" t="s">
        <v>230</v>
      </c>
      <c r="N3144" s="52" t="s">
        <v>7693</v>
      </c>
      <c r="O3144" s="6" t="s">
        <v>365</v>
      </c>
      <c r="P3144" s="58" t="s">
        <v>241</v>
      </c>
      <c r="Q3144" s="48" t="s">
        <v>234</v>
      </c>
      <c r="R3144" s="113">
        <v>10</v>
      </c>
      <c r="S3144" s="59">
        <v>441.25</v>
      </c>
      <c r="T3144" s="4">
        <f t="shared" si="83"/>
        <v>4412.5</v>
      </c>
      <c r="U3144" s="4">
        <f t="shared" si="84"/>
        <v>4942.0000000000009</v>
      </c>
      <c r="V3144" s="1"/>
      <c r="W3144" s="3">
        <v>2014</v>
      </c>
      <c r="X3144" s="3"/>
    </row>
    <row r="3145" spans="1:24" ht="114.75">
      <c r="A3145" s="3" t="s">
        <v>10290</v>
      </c>
      <c r="B3145" s="6" t="s">
        <v>361</v>
      </c>
      <c r="C3145" s="6" t="s">
        <v>5086</v>
      </c>
      <c r="D3145" s="6" t="s">
        <v>5087</v>
      </c>
      <c r="E3145" s="6" t="s">
        <v>5088</v>
      </c>
      <c r="F3145" s="48" t="s">
        <v>5083</v>
      </c>
      <c r="G3145" s="3" t="s">
        <v>11450</v>
      </c>
      <c r="H3145" s="54">
        <v>0</v>
      </c>
      <c r="I3145" s="55">
        <v>470000000</v>
      </c>
      <c r="J3145" s="56" t="s">
        <v>229</v>
      </c>
      <c r="K3145" s="57" t="s">
        <v>7698</v>
      </c>
      <c r="L3145" s="57" t="s">
        <v>364</v>
      </c>
      <c r="M3145" s="3" t="s">
        <v>230</v>
      </c>
      <c r="N3145" s="52" t="s">
        <v>7693</v>
      </c>
      <c r="O3145" s="6" t="s">
        <v>365</v>
      </c>
      <c r="P3145" s="58" t="s">
        <v>241</v>
      </c>
      <c r="Q3145" s="48" t="s">
        <v>234</v>
      </c>
      <c r="R3145" s="113">
        <v>10</v>
      </c>
      <c r="S3145" s="59">
        <v>304.43</v>
      </c>
      <c r="T3145" s="4">
        <f t="shared" si="83"/>
        <v>3044.3</v>
      </c>
      <c r="U3145" s="4">
        <f t="shared" si="84"/>
        <v>3409.6160000000004</v>
      </c>
      <c r="V3145" s="1"/>
      <c r="W3145" s="3">
        <v>2014</v>
      </c>
      <c r="X3145" s="3"/>
    </row>
    <row r="3146" spans="1:24" ht="114.75">
      <c r="A3146" s="3" t="s">
        <v>10291</v>
      </c>
      <c r="B3146" s="6" t="s">
        <v>361</v>
      </c>
      <c r="C3146" s="6" t="s">
        <v>5086</v>
      </c>
      <c r="D3146" s="6" t="s">
        <v>5087</v>
      </c>
      <c r="E3146" s="6" t="s">
        <v>5088</v>
      </c>
      <c r="F3146" s="48" t="s">
        <v>5084</v>
      </c>
      <c r="G3146" s="3" t="s">
        <v>11450</v>
      </c>
      <c r="H3146" s="54">
        <v>0</v>
      </c>
      <c r="I3146" s="55">
        <v>470000000</v>
      </c>
      <c r="J3146" s="56" t="s">
        <v>229</v>
      </c>
      <c r="K3146" s="57" t="s">
        <v>7698</v>
      </c>
      <c r="L3146" s="57" t="s">
        <v>364</v>
      </c>
      <c r="M3146" s="3" t="s">
        <v>230</v>
      </c>
      <c r="N3146" s="52" t="s">
        <v>7693</v>
      </c>
      <c r="O3146" s="6" t="s">
        <v>365</v>
      </c>
      <c r="P3146" s="58" t="s">
        <v>241</v>
      </c>
      <c r="Q3146" s="48" t="s">
        <v>234</v>
      </c>
      <c r="R3146" s="113">
        <v>10</v>
      </c>
      <c r="S3146" s="59">
        <v>393.53</v>
      </c>
      <c r="T3146" s="4">
        <f t="shared" si="83"/>
        <v>3935.2999999999997</v>
      </c>
      <c r="U3146" s="4">
        <f t="shared" si="84"/>
        <v>4407.5360000000001</v>
      </c>
      <c r="V3146" s="1"/>
      <c r="W3146" s="3">
        <v>2014</v>
      </c>
      <c r="X3146" s="3"/>
    </row>
    <row r="3147" spans="1:24" ht="114.75">
      <c r="A3147" s="3" t="s">
        <v>10292</v>
      </c>
      <c r="B3147" s="6" t="s">
        <v>361</v>
      </c>
      <c r="C3147" s="6" t="s">
        <v>5086</v>
      </c>
      <c r="D3147" s="6" t="s">
        <v>5087</v>
      </c>
      <c r="E3147" s="6" t="s">
        <v>5088</v>
      </c>
      <c r="F3147" s="48" t="s">
        <v>5085</v>
      </c>
      <c r="G3147" s="3" t="s">
        <v>11450</v>
      </c>
      <c r="H3147" s="54">
        <v>0</v>
      </c>
      <c r="I3147" s="55">
        <v>470000000</v>
      </c>
      <c r="J3147" s="56" t="s">
        <v>229</v>
      </c>
      <c r="K3147" s="57" t="s">
        <v>7698</v>
      </c>
      <c r="L3147" s="57" t="s">
        <v>364</v>
      </c>
      <c r="M3147" s="3" t="s">
        <v>230</v>
      </c>
      <c r="N3147" s="52" t="s">
        <v>7693</v>
      </c>
      <c r="O3147" s="6" t="s">
        <v>365</v>
      </c>
      <c r="P3147" s="58" t="s">
        <v>241</v>
      </c>
      <c r="Q3147" s="48" t="s">
        <v>234</v>
      </c>
      <c r="R3147" s="113">
        <v>10</v>
      </c>
      <c r="S3147" s="59">
        <v>883.46940000000006</v>
      </c>
      <c r="T3147" s="4">
        <f t="shared" si="83"/>
        <v>8834.6940000000013</v>
      </c>
      <c r="U3147" s="4">
        <f t="shared" si="84"/>
        <v>9894.857280000002</v>
      </c>
      <c r="V3147" s="1"/>
      <c r="W3147" s="3">
        <v>2014</v>
      </c>
      <c r="X3147" s="3"/>
    </row>
    <row r="3148" spans="1:24" ht="114.75">
      <c r="A3148" s="3" t="s">
        <v>10293</v>
      </c>
      <c r="B3148" s="6" t="s">
        <v>361</v>
      </c>
      <c r="C3148" s="6" t="s">
        <v>5091</v>
      </c>
      <c r="D3148" s="6" t="s">
        <v>5070</v>
      </c>
      <c r="E3148" s="6" t="s">
        <v>5092</v>
      </c>
      <c r="F3148" s="48" t="s">
        <v>5089</v>
      </c>
      <c r="G3148" s="3" t="s">
        <v>11450</v>
      </c>
      <c r="H3148" s="54">
        <v>0</v>
      </c>
      <c r="I3148" s="55">
        <v>470000000</v>
      </c>
      <c r="J3148" s="56" t="s">
        <v>229</v>
      </c>
      <c r="K3148" s="57" t="s">
        <v>7698</v>
      </c>
      <c r="L3148" s="57" t="s">
        <v>364</v>
      </c>
      <c r="M3148" s="3" t="s">
        <v>230</v>
      </c>
      <c r="N3148" s="52" t="s">
        <v>7693</v>
      </c>
      <c r="O3148" s="6" t="s">
        <v>365</v>
      </c>
      <c r="P3148" s="58" t="s">
        <v>241</v>
      </c>
      <c r="Q3148" s="48" t="s">
        <v>234</v>
      </c>
      <c r="R3148" s="113">
        <v>10</v>
      </c>
      <c r="S3148" s="59">
        <v>1624.3524</v>
      </c>
      <c r="T3148" s="4">
        <f t="shared" si="83"/>
        <v>16243.523999999999</v>
      </c>
      <c r="U3148" s="4">
        <f t="shared" si="84"/>
        <v>18192.746880000002</v>
      </c>
      <c r="V3148" s="1"/>
      <c r="W3148" s="3">
        <v>2014</v>
      </c>
      <c r="X3148" s="3"/>
    </row>
    <row r="3149" spans="1:24" ht="114.75">
      <c r="A3149" s="3" t="s">
        <v>10294</v>
      </c>
      <c r="B3149" s="6" t="s">
        <v>361</v>
      </c>
      <c r="C3149" s="6" t="s">
        <v>5093</v>
      </c>
      <c r="D3149" s="6" t="s">
        <v>5070</v>
      </c>
      <c r="E3149" s="6" t="s">
        <v>5094</v>
      </c>
      <c r="F3149" s="48" t="s">
        <v>5090</v>
      </c>
      <c r="G3149" s="3" t="s">
        <v>11450</v>
      </c>
      <c r="H3149" s="54">
        <v>0</v>
      </c>
      <c r="I3149" s="55">
        <v>470000000</v>
      </c>
      <c r="J3149" s="56" t="s">
        <v>229</v>
      </c>
      <c r="K3149" s="57" t="s">
        <v>7698</v>
      </c>
      <c r="L3149" s="57" t="s">
        <v>364</v>
      </c>
      <c r="M3149" s="3" t="s">
        <v>230</v>
      </c>
      <c r="N3149" s="52" t="s">
        <v>7693</v>
      </c>
      <c r="O3149" s="6" t="s">
        <v>365</v>
      </c>
      <c r="P3149" s="58" t="s">
        <v>241</v>
      </c>
      <c r="Q3149" s="48" t="s">
        <v>234</v>
      </c>
      <c r="R3149" s="113">
        <v>10</v>
      </c>
      <c r="S3149" s="59">
        <v>2547.6792000000005</v>
      </c>
      <c r="T3149" s="4">
        <f t="shared" si="83"/>
        <v>25476.792000000005</v>
      </c>
      <c r="U3149" s="4">
        <f t="shared" si="84"/>
        <v>28534.007040000008</v>
      </c>
      <c r="V3149" s="1"/>
      <c r="W3149" s="3">
        <v>2014</v>
      </c>
      <c r="X3149" s="3"/>
    </row>
    <row r="3150" spans="1:24" ht="114.75">
      <c r="A3150" s="3" t="s">
        <v>10295</v>
      </c>
      <c r="B3150" s="6" t="s">
        <v>361</v>
      </c>
      <c r="C3150" s="6" t="s">
        <v>5086</v>
      </c>
      <c r="D3150" s="6" t="s">
        <v>5087</v>
      </c>
      <c r="E3150" s="6" t="s">
        <v>5088</v>
      </c>
      <c r="F3150" s="48" t="s">
        <v>5095</v>
      </c>
      <c r="G3150" s="3" t="s">
        <v>11450</v>
      </c>
      <c r="H3150" s="54">
        <v>0</v>
      </c>
      <c r="I3150" s="55">
        <v>470000000</v>
      </c>
      <c r="J3150" s="56" t="s">
        <v>229</v>
      </c>
      <c r="K3150" s="57" t="s">
        <v>7698</v>
      </c>
      <c r="L3150" s="57" t="s">
        <v>364</v>
      </c>
      <c r="M3150" s="3" t="s">
        <v>230</v>
      </c>
      <c r="N3150" s="52" t="s">
        <v>366</v>
      </c>
      <c r="O3150" s="6" t="s">
        <v>365</v>
      </c>
      <c r="P3150" s="58" t="s">
        <v>241</v>
      </c>
      <c r="Q3150" s="48" t="s">
        <v>234</v>
      </c>
      <c r="R3150" s="113">
        <v>10</v>
      </c>
      <c r="S3150" s="59">
        <v>552.93700000000001</v>
      </c>
      <c r="T3150" s="4">
        <f t="shared" ref="T3150:T3217" si="85">R3150*S3150</f>
        <v>5529.37</v>
      </c>
      <c r="U3150" s="4">
        <f t="shared" ref="U3150:U3306" si="86">T3150*1.12</f>
        <v>6192.8944000000001</v>
      </c>
      <c r="V3150" s="1"/>
      <c r="W3150" s="3">
        <v>2014</v>
      </c>
      <c r="X3150" s="3"/>
    </row>
    <row r="3151" spans="1:24" ht="114.75">
      <c r="A3151" s="3" t="s">
        <v>10296</v>
      </c>
      <c r="B3151" s="6" t="s">
        <v>361</v>
      </c>
      <c r="C3151" s="6" t="s">
        <v>5086</v>
      </c>
      <c r="D3151" s="6" t="s">
        <v>5087</v>
      </c>
      <c r="E3151" s="6" t="s">
        <v>5088</v>
      </c>
      <c r="F3151" s="48" t="s">
        <v>5096</v>
      </c>
      <c r="G3151" s="3" t="s">
        <v>11450</v>
      </c>
      <c r="H3151" s="54">
        <v>0</v>
      </c>
      <c r="I3151" s="55">
        <v>470000000</v>
      </c>
      <c r="J3151" s="56" t="s">
        <v>229</v>
      </c>
      <c r="K3151" s="57" t="s">
        <v>7698</v>
      </c>
      <c r="L3151" s="57" t="s">
        <v>364</v>
      </c>
      <c r="M3151" s="3" t="s">
        <v>230</v>
      </c>
      <c r="N3151" s="52" t="s">
        <v>366</v>
      </c>
      <c r="O3151" s="6" t="s">
        <v>365</v>
      </c>
      <c r="P3151" s="58" t="s">
        <v>241</v>
      </c>
      <c r="Q3151" s="48" t="s">
        <v>234</v>
      </c>
      <c r="R3151" s="113">
        <v>10</v>
      </c>
      <c r="S3151" s="59">
        <v>856.24440000000004</v>
      </c>
      <c r="T3151" s="4">
        <f t="shared" si="85"/>
        <v>8562.4439999999995</v>
      </c>
      <c r="U3151" s="4">
        <f t="shared" si="86"/>
        <v>9589.9372800000001</v>
      </c>
      <c r="V3151" s="1"/>
      <c r="W3151" s="3">
        <v>2014</v>
      </c>
      <c r="X3151" s="3"/>
    </row>
    <row r="3152" spans="1:24" ht="114.75">
      <c r="A3152" s="3" t="s">
        <v>10297</v>
      </c>
      <c r="B3152" s="6" t="s">
        <v>361</v>
      </c>
      <c r="C3152" s="6" t="s">
        <v>5109</v>
      </c>
      <c r="D3152" s="6" t="s">
        <v>5110</v>
      </c>
      <c r="E3152" s="6" t="s">
        <v>5111</v>
      </c>
      <c r="F3152" s="48" t="s">
        <v>5097</v>
      </c>
      <c r="G3152" s="3" t="s">
        <v>11450</v>
      </c>
      <c r="H3152" s="54">
        <v>0</v>
      </c>
      <c r="I3152" s="55">
        <v>470000000</v>
      </c>
      <c r="J3152" s="56" t="s">
        <v>229</v>
      </c>
      <c r="K3152" s="57" t="s">
        <v>7698</v>
      </c>
      <c r="L3152" s="57" t="s">
        <v>364</v>
      </c>
      <c r="M3152" s="3" t="s">
        <v>230</v>
      </c>
      <c r="N3152" s="52" t="s">
        <v>7693</v>
      </c>
      <c r="O3152" s="6" t="s">
        <v>365</v>
      </c>
      <c r="P3152" s="58" t="s">
        <v>242</v>
      </c>
      <c r="Q3152" s="48" t="s">
        <v>239</v>
      </c>
      <c r="R3152" s="22">
        <v>6</v>
      </c>
      <c r="S3152" s="59">
        <v>1742.4</v>
      </c>
      <c r="T3152" s="4">
        <v>0</v>
      </c>
      <c r="U3152" s="4">
        <f t="shared" si="86"/>
        <v>0</v>
      </c>
      <c r="V3152" s="1"/>
      <c r="W3152" s="3">
        <v>2014</v>
      </c>
      <c r="X3152" s="3" t="s">
        <v>14785</v>
      </c>
    </row>
    <row r="3153" spans="1:24" ht="114.75">
      <c r="A3153" s="3" t="s">
        <v>18331</v>
      </c>
      <c r="B3153" s="6" t="s">
        <v>361</v>
      </c>
      <c r="C3153" s="6" t="s">
        <v>5109</v>
      </c>
      <c r="D3153" s="6" t="s">
        <v>5110</v>
      </c>
      <c r="E3153" s="6" t="s">
        <v>5111</v>
      </c>
      <c r="F3153" s="48" t="s">
        <v>5097</v>
      </c>
      <c r="G3153" s="3" t="s">
        <v>11450</v>
      </c>
      <c r="H3153" s="54">
        <v>0</v>
      </c>
      <c r="I3153" s="55">
        <v>470000000</v>
      </c>
      <c r="J3153" s="56" t="s">
        <v>229</v>
      </c>
      <c r="K3153" s="57" t="s">
        <v>8950</v>
      </c>
      <c r="L3153" s="57" t="s">
        <v>364</v>
      </c>
      <c r="M3153" s="3" t="s">
        <v>230</v>
      </c>
      <c r="N3153" s="52" t="s">
        <v>7693</v>
      </c>
      <c r="O3153" s="6" t="s">
        <v>365</v>
      </c>
      <c r="P3153" s="58" t="s">
        <v>242</v>
      </c>
      <c r="Q3153" s="48" t="s">
        <v>239</v>
      </c>
      <c r="R3153" s="22">
        <v>6</v>
      </c>
      <c r="S3153" s="59">
        <v>2090.88</v>
      </c>
      <c r="T3153" s="4">
        <v>0</v>
      </c>
      <c r="U3153" s="4">
        <f t="shared" si="86"/>
        <v>0</v>
      </c>
      <c r="V3153" s="1"/>
      <c r="W3153" s="3">
        <v>2014</v>
      </c>
      <c r="X3153" s="3">
        <v>11.14</v>
      </c>
    </row>
    <row r="3154" spans="1:24" ht="114.75">
      <c r="A3154" s="3" t="s">
        <v>18974</v>
      </c>
      <c r="B3154" s="6" t="s">
        <v>361</v>
      </c>
      <c r="C3154" s="6" t="s">
        <v>5109</v>
      </c>
      <c r="D3154" s="6" t="s">
        <v>5110</v>
      </c>
      <c r="E3154" s="6" t="s">
        <v>5111</v>
      </c>
      <c r="F3154" s="48" t="s">
        <v>5097</v>
      </c>
      <c r="G3154" s="3" t="s">
        <v>11450</v>
      </c>
      <c r="H3154" s="54">
        <v>0</v>
      </c>
      <c r="I3154" s="55">
        <v>470000000</v>
      </c>
      <c r="J3154" s="56" t="s">
        <v>229</v>
      </c>
      <c r="K3154" s="57" t="s">
        <v>18437</v>
      </c>
      <c r="L3154" s="57" t="s">
        <v>364</v>
      </c>
      <c r="M3154" s="3" t="s">
        <v>230</v>
      </c>
      <c r="N3154" s="52" t="s">
        <v>16511</v>
      </c>
      <c r="O3154" s="6" t="s">
        <v>365</v>
      </c>
      <c r="P3154" s="58" t="s">
        <v>242</v>
      </c>
      <c r="Q3154" s="48" t="s">
        <v>239</v>
      </c>
      <c r="R3154" s="22">
        <v>6</v>
      </c>
      <c r="S3154" s="59">
        <v>2090.88</v>
      </c>
      <c r="T3154" s="4">
        <v>0</v>
      </c>
      <c r="U3154" s="4">
        <f t="shared" si="86"/>
        <v>0</v>
      </c>
      <c r="V3154" s="1"/>
      <c r="W3154" s="3">
        <v>2014</v>
      </c>
      <c r="X3154" s="3">
        <v>11.15</v>
      </c>
    </row>
    <row r="3155" spans="1:24" ht="76.5">
      <c r="A3155" s="3" t="s">
        <v>19422</v>
      </c>
      <c r="B3155" s="6" t="s">
        <v>361</v>
      </c>
      <c r="C3155" s="6" t="s">
        <v>5109</v>
      </c>
      <c r="D3155" s="6" t="s">
        <v>5110</v>
      </c>
      <c r="E3155" s="6" t="s">
        <v>5111</v>
      </c>
      <c r="F3155" s="48" t="s">
        <v>5097</v>
      </c>
      <c r="G3155" s="3" t="s">
        <v>11450</v>
      </c>
      <c r="H3155" s="54">
        <v>0</v>
      </c>
      <c r="I3155" s="55">
        <v>470000000</v>
      </c>
      <c r="J3155" s="56" t="s">
        <v>229</v>
      </c>
      <c r="K3155" s="57" t="s">
        <v>19379</v>
      </c>
      <c r="L3155" s="57" t="s">
        <v>364</v>
      </c>
      <c r="M3155" s="3" t="s">
        <v>230</v>
      </c>
      <c r="N3155" s="52" t="s">
        <v>16511</v>
      </c>
      <c r="O3155" s="6" t="s">
        <v>19407</v>
      </c>
      <c r="P3155" s="58" t="s">
        <v>242</v>
      </c>
      <c r="Q3155" s="48" t="s">
        <v>239</v>
      </c>
      <c r="R3155" s="22">
        <v>6</v>
      </c>
      <c r="S3155" s="59">
        <v>2090.88</v>
      </c>
      <c r="T3155" s="4">
        <f t="shared" ref="T3155" si="87">R3155*S3155</f>
        <v>12545.28</v>
      </c>
      <c r="U3155" s="4">
        <f t="shared" ref="U3155" si="88">T3155*1.12</f>
        <v>14050.713600000003</v>
      </c>
      <c r="V3155" s="1"/>
      <c r="W3155" s="3">
        <v>2014</v>
      </c>
      <c r="X3155" s="3"/>
    </row>
    <row r="3156" spans="1:24" ht="114.75">
      <c r="A3156" s="3" t="s">
        <v>10298</v>
      </c>
      <c r="B3156" s="6" t="s">
        <v>361</v>
      </c>
      <c r="C3156" s="6" t="s">
        <v>5106</v>
      </c>
      <c r="D3156" s="6" t="s">
        <v>5107</v>
      </c>
      <c r="E3156" s="6" t="s">
        <v>5108</v>
      </c>
      <c r="F3156" s="48" t="s">
        <v>5098</v>
      </c>
      <c r="G3156" s="3" t="s">
        <v>11450</v>
      </c>
      <c r="H3156" s="54">
        <v>0</v>
      </c>
      <c r="I3156" s="55">
        <v>470000000</v>
      </c>
      <c r="J3156" s="56" t="s">
        <v>229</v>
      </c>
      <c r="K3156" s="57" t="s">
        <v>7698</v>
      </c>
      <c r="L3156" s="57" t="s">
        <v>364</v>
      </c>
      <c r="M3156" s="3" t="s">
        <v>230</v>
      </c>
      <c r="N3156" s="52" t="s">
        <v>7693</v>
      </c>
      <c r="O3156" s="6" t="s">
        <v>365</v>
      </c>
      <c r="P3156" s="58" t="s">
        <v>241</v>
      </c>
      <c r="Q3156" s="48" t="s">
        <v>234</v>
      </c>
      <c r="R3156" s="22">
        <v>1</v>
      </c>
      <c r="S3156" s="59">
        <v>101049.1</v>
      </c>
      <c r="T3156" s="4">
        <v>0</v>
      </c>
      <c r="U3156" s="4">
        <f t="shared" si="86"/>
        <v>0</v>
      </c>
      <c r="V3156" s="1"/>
      <c r="W3156" s="3">
        <v>2014</v>
      </c>
      <c r="X3156" s="3" t="s">
        <v>14785</v>
      </c>
    </row>
    <row r="3157" spans="1:24" ht="114.75">
      <c r="A3157" s="3" t="s">
        <v>18332</v>
      </c>
      <c r="B3157" s="6" t="s">
        <v>361</v>
      </c>
      <c r="C3157" s="6" t="s">
        <v>5106</v>
      </c>
      <c r="D3157" s="6" t="s">
        <v>5107</v>
      </c>
      <c r="E3157" s="6" t="s">
        <v>5108</v>
      </c>
      <c r="F3157" s="48" t="s">
        <v>5098</v>
      </c>
      <c r="G3157" s="3" t="s">
        <v>11450</v>
      </c>
      <c r="H3157" s="54">
        <v>0</v>
      </c>
      <c r="I3157" s="55">
        <v>470000000</v>
      </c>
      <c r="J3157" s="56" t="s">
        <v>229</v>
      </c>
      <c r="K3157" s="57" t="s">
        <v>8950</v>
      </c>
      <c r="L3157" s="57" t="s">
        <v>364</v>
      </c>
      <c r="M3157" s="3" t="s">
        <v>230</v>
      </c>
      <c r="N3157" s="52" t="s">
        <v>7693</v>
      </c>
      <c r="O3157" s="6" t="s">
        <v>365</v>
      </c>
      <c r="P3157" s="58" t="s">
        <v>241</v>
      </c>
      <c r="Q3157" s="48" t="s">
        <v>234</v>
      </c>
      <c r="R3157" s="22">
        <v>1</v>
      </c>
      <c r="S3157" s="59">
        <v>310080</v>
      </c>
      <c r="T3157" s="4">
        <v>0</v>
      </c>
      <c r="U3157" s="4">
        <f t="shared" si="86"/>
        <v>0</v>
      </c>
      <c r="V3157" s="1"/>
      <c r="W3157" s="3">
        <v>2014</v>
      </c>
      <c r="X3157" s="3">
        <v>11.14</v>
      </c>
    </row>
    <row r="3158" spans="1:24" ht="114.75">
      <c r="A3158" s="3" t="s">
        <v>18975</v>
      </c>
      <c r="B3158" s="6" t="s">
        <v>361</v>
      </c>
      <c r="C3158" s="6" t="s">
        <v>5106</v>
      </c>
      <c r="D3158" s="6" t="s">
        <v>5107</v>
      </c>
      <c r="E3158" s="6" t="s">
        <v>5108</v>
      </c>
      <c r="F3158" s="48" t="s">
        <v>5098</v>
      </c>
      <c r="G3158" s="3" t="s">
        <v>11450</v>
      </c>
      <c r="H3158" s="54">
        <v>0</v>
      </c>
      <c r="I3158" s="55">
        <v>470000000</v>
      </c>
      <c r="J3158" s="56" t="s">
        <v>229</v>
      </c>
      <c r="K3158" s="57" t="s">
        <v>18437</v>
      </c>
      <c r="L3158" s="57" t="s">
        <v>364</v>
      </c>
      <c r="M3158" s="3" t="s">
        <v>230</v>
      </c>
      <c r="N3158" s="52" t="s">
        <v>16511</v>
      </c>
      <c r="O3158" s="6" t="s">
        <v>365</v>
      </c>
      <c r="P3158" s="58" t="s">
        <v>241</v>
      </c>
      <c r="Q3158" s="48" t="s">
        <v>234</v>
      </c>
      <c r="R3158" s="22">
        <v>1</v>
      </c>
      <c r="S3158" s="59">
        <v>310080</v>
      </c>
      <c r="T3158" s="4">
        <v>0</v>
      </c>
      <c r="U3158" s="4">
        <f t="shared" si="86"/>
        <v>0</v>
      </c>
      <c r="V3158" s="1"/>
      <c r="W3158" s="3">
        <v>2014</v>
      </c>
      <c r="X3158" s="3">
        <v>11.15</v>
      </c>
    </row>
    <row r="3159" spans="1:24" ht="76.5">
      <c r="A3159" s="3" t="s">
        <v>19423</v>
      </c>
      <c r="B3159" s="6" t="s">
        <v>361</v>
      </c>
      <c r="C3159" s="6" t="s">
        <v>5106</v>
      </c>
      <c r="D3159" s="6" t="s">
        <v>5107</v>
      </c>
      <c r="E3159" s="6" t="s">
        <v>5108</v>
      </c>
      <c r="F3159" s="48" t="s">
        <v>5098</v>
      </c>
      <c r="G3159" s="3" t="s">
        <v>11450</v>
      </c>
      <c r="H3159" s="54">
        <v>0</v>
      </c>
      <c r="I3159" s="55">
        <v>470000000</v>
      </c>
      <c r="J3159" s="56" t="s">
        <v>229</v>
      </c>
      <c r="K3159" s="57" t="s">
        <v>19379</v>
      </c>
      <c r="L3159" s="57" t="s">
        <v>364</v>
      </c>
      <c r="M3159" s="3" t="s">
        <v>230</v>
      </c>
      <c r="N3159" s="52" t="s">
        <v>16511</v>
      </c>
      <c r="O3159" s="6" t="s">
        <v>19407</v>
      </c>
      <c r="P3159" s="58" t="s">
        <v>241</v>
      </c>
      <c r="Q3159" s="48" t="s">
        <v>234</v>
      </c>
      <c r="R3159" s="22">
        <v>1</v>
      </c>
      <c r="S3159" s="59">
        <v>310080</v>
      </c>
      <c r="T3159" s="4">
        <f t="shared" ref="T3159" si="89">R3159*S3159</f>
        <v>310080</v>
      </c>
      <c r="U3159" s="4">
        <f t="shared" ref="U3159" si="90">T3159*1.12</f>
        <v>347289.60000000003</v>
      </c>
      <c r="V3159" s="1"/>
      <c r="W3159" s="3">
        <v>2014</v>
      </c>
      <c r="X3159" s="3"/>
    </row>
    <row r="3160" spans="1:24" ht="114.75">
      <c r="A3160" s="3" t="s">
        <v>10299</v>
      </c>
      <c r="B3160" s="6" t="s">
        <v>361</v>
      </c>
      <c r="C3160" s="6" t="s">
        <v>5112</v>
      </c>
      <c r="D3160" s="6" t="s">
        <v>5113</v>
      </c>
      <c r="E3160" s="6" t="s">
        <v>5114</v>
      </c>
      <c r="F3160" s="48" t="s">
        <v>5099</v>
      </c>
      <c r="G3160" s="3" t="s">
        <v>11450</v>
      </c>
      <c r="H3160" s="54">
        <v>0</v>
      </c>
      <c r="I3160" s="55">
        <v>470000000</v>
      </c>
      <c r="J3160" s="56" t="s">
        <v>229</v>
      </c>
      <c r="K3160" s="57" t="s">
        <v>7698</v>
      </c>
      <c r="L3160" s="57" t="s">
        <v>364</v>
      </c>
      <c r="M3160" s="3" t="s">
        <v>230</v>
      </c>
      <c r="N3160" s="52" t="s">
        <v>7693</v>
      </c>
      <c r="O3160" s="6" t="s">
        <v>365</v>
      </c>
      <c r="P3160" s="58" t="s">
        <v>241</v>
      </c>
      <c r="Q3160" s="48" t="s">
        <v>234</v>
      </c>
      <c r="R3160" s="22">
        <v>5</v>
      </c>
      <c r="S3160" s="59">
        <v>16500</v>
      </c>
      <c r="T3160" s="4">
        <v>0</v>
      </c>
      <c r="U3160" s="4">
        <f t="shared" si="86"/>
        <v>0</v>
      </c>
      <c r="V3160" s="1"/>
      <c r="W3160" s="3">
        <v>2014</v>
      </c>
      <c r="X3160" s="3" t="s">
        <v>14785</v>
      </c>
    </row>
    <row r="3161" spans="1:24" ht="114.75">
      <c r="A3161" s="3" t="s">
        <v>18333</v>
      </c>
      <c r="B3161" s="6" t="s">
        <v>361</v>
      </c>
      <c r="C3161" s="6" t="s">
        <v>5112</v>
      </c>
      <c r="D3161" s="6" t="s">
        <v>5113</v>
      </c>
      <c r="E3161" s="6" t="s">
        <v>5114</v>
      </c>
      <c r="F3161" s="48" t="s">
        <v>5099</v>
      </c>
      <c r="G3161" s="3" t="s">
        <v>11450</v>
      </c>
      <c r="H3161" s="54">
        <v>0</v>
      </c>
      <c r="I3161" s="55">
        <v>470000000</v>
      </c>
      <c r="J3161" s="56" t="s">
        <v>229</v>
      </c>
      <c r="K3161" s="57" t="s">
        <v>8950</v>
      </c>
      <c r="L3161" s="57" t="s">
        <v>364</v>
      </c>
      <c r="M3161" s="3" t="s">
        <v>230</v>
      </c>
      <c r="N3161" s="52" t="s">
        <v>7693</v>
      </c>
      <c r="O3161" s="6" t="s">
        <v>365</v>
      </c>
      <c r="P3161" s="58" t="s">
        <v>241</v>
      </c>
      <c r="Q3161" s="48" t="s">
        <v>234</v>
      </c>
      <c r="R3161" s="22">
        <v>5</v>
      </c>
      <c r="S3161" s="59">
        <v>19800</v>
      </c>
      <c r="T3161" s="4">
        <v>0</v>
      </c>
      <c r="U3161" s="4">
        <f t="shared" si="86"/>
        <v>0</v>
      </c>
      <c r="V3161" s="1"/>
      <c r="W3161" s="3">
        <v>2014</v>
      </c>
      <c r="X3161" s="3">
        <v>11.14</v>
      </c>
    </row>
    <row r="3162" spans="1:24" ht="114.75">
      <c r="A3162" s="3" t="s">
        <v>18976</v>
      </c>
      <c r="B3162" s="6" t="s">
        <v>361</v>
      </c>
      <c r="C3162" s="6" t="s">
        <v>5112</v>
      </c>
      <c r="D3162" s="6" t="s">
        <v>5113</v>
      </c>
      <c r="E3162" s="6" t="s">
        <v>5114</v>
      </c>
      <c r="F3162" s="48" t="s">
        <v>5099</v>
      </c>
      <c r="G3162" s="3" t="s">
        <v>11450</v>
      </c>
      <c r="H3162" s="54">
        <v>0</v>
      </c>
      <c r="I3162" s="55">
        <v>470000000</v>
      </c>
      <c r="J3162" s="56" t="s">
        <v>229</v>
      </c>
      <c r="K3162" s="57" t="s">
        <v>18437</v>
      </c>
      <c r="L3162" s="57" t="s">
        <v>364</v>
      </c>
      <c r="M3162" s="3" t="s">
        <v>230</v>
      </c>
      <c r="N3162" s="52" t="s">
        <v>16511</v>
      </c>
      <c r="O3162" s="6" t="s">
        <v>365</v>
      </c>
      <c r="P3162" s="58" t="s">
        <v>241</v>
      </c>
      <c r="Q3162" s="48" t="s">
        <v>234</v>
      </c>
      <c r="R3162" s="22">
        <v>5</v>
      </c>
      <c r="S3162" s="59">
        <v>19800</v>
      </c>
      <c r="T3162" s="4">
        <v>0</v>
      </c>
      <c r="U3162" s="4">
        <f t="shared" si="86"/>
        <v>0</v>
      </c>
      <c r="V3162" s="1"/>
      <c r="W3162" s="3">
        <v>2014</v>
      </c>
      <c r="X3162" s="3">
        <v>11.15</v>
      </c>
    </row>
    <row r="3163" spans="1:24" ht="76.5">
      <c r="A3163" s="3" t="s">
        <v>19424</v>
      </c>
      <c r="B3163" s="6" t="s">
        <v>361</v>
      </c>
      <c r="C3163" s="6" t="s">
        <v>5112</v>
      </c>
      <c r="D3163" s="6" t="s">
        <v>5113</v>
      </c>
      <c r="E3163" s="6" t="s">
        <v>5114</v>
      </c>
      <c r="F3163" s="48" t="s">
        <v>5099</v>
      </c>
      <c r="G3163" s="3" t="s">
        <v>11450</v>
      </c>
      <c r="H3163" s="54">
        <v>0</v>
      </c>
      <c r="I3163" s="55">
        <v>470000000</v>
      </c>
      <c r="J3163" s="56" t="s">
        <v>229</v>
      </c>
      <c r="K3163" s="57" t="s">
        <v>19379</v>
      </c>
      <c r="L3163" s="57" t="s">
        <v>364</v>
      </c>
      <c r="M3163" s="3" t="s">
        <v>230</v>
      </c>
      <c r="N3163" s="52" t="s">
        <v>16511</v>
      </c>
      <c r="O3163" s="6" t="s">
        <v>19407</v>
      </c>
      <c r="P3163" s="58" t="s">
        <v>241</v>
      </c>
      <c r="Q3163" s="48" t="s">
        <v>234</v>
      </c>
      <c r="R3163" s="22">
        <v>5</v>
      </c>
      <c r="S3163" s="59">
        <v>19800</v>
      </c>
      <c r="T3163" s="4">
        <f t="shared" ref="T3163" si="91">R3163*S3163</f>
        <v>99000</v>
      </c>
      <c r="U3163" s="4">
        <f t="shared" ref="U3163" si="92">T3163*1.12</f>
        <v>110880.00000000001</v>
      </c>
      <c r="V3163" s="1"/>
      <c r="W3163" s="3">
        <v>2014</v>
      </c>
      <c r="X3163" s="3"/>
    </row>
    <row r="3164" spans="1:24" ht="114.75">
      <c r="A3164" s="3" t="s">
        <v>10300</v>
      </c>
      <c r="B3164" s="6" t="s">
        <v>361</v>
      </c>
      <c r="C3164" s="6" t="s">
        <v>5115</v>
      </c>
      <c r="D3164" s="6" t="s">
        <v>5116</v>
      </c>
      <c r="E3164" s="6" t="s">
        <v>5117</v>
      </c>
      <c r="F3164" s="48" t="s">
        <v>5100</v>
      </c>
      <c r="G3164" s="3" t="s">
        <v>11450</v>
      </c>
      <c r="H3164" s="54">
        <v>0</v>
      </c>
      <c r="I3164" s="55">
        <v>470000000</v>
      </c>
      <c r="J3164" s="56" t="s">
        <v>229</v>
      </c>
      <c r="K3164" s="57" t="s">
        <v>7698</v>
      </c>
      <c r="L3164" s="57" t="s">
        <v>364</v>
      </c>
      <c r="M3164" s="3" t="s">
        <v>230</v>
      </c>
      <c r="N3164" s="52" t="s">
        <v>7693</v>
      </c>
      <c r="O3164" s="6" t="s">
        <v>365</v>
      </c>
      <c r="P3164" s="58" t="s">
        <v>241</v>
      </c>
      <c r="Q3164" s="48" t="s">
        <v>234</v>
      </c>
      <c r="R3164" s="22">
        <v>10</v>
      </c>
      <c r="S3164" s="59">
        <v>822.55799999999999</v>
      </c>
      <c r="T3164" s="4">
        <v>0</v>
      </c>
      <c r="U3164" s="4">
        <f t="shared" si="86"/>
        <v>0</v>
      </c>
      <c r="V3164" s="1"/>
      <c r="W3164" s="3">
        <v>2014</v>
      </c>
      <c r="X3164" s="3" t="s">
        <v>14785</v>
      </c>
    </row>
    <row r="3165" spans="1:24" ht="114.75">
      <c r="A3165" s="3" t="s">
        <v>18334</v>
      </c>
      <c r="B3165" s="6" t="s">
        <v>361</v>
      </c>
      <c r="C3165" s="6" t="s">
        <v>5115</v>
      </c>
      <c r="D3165" s="6" t="s">
        <v>5116</v>
      </c>
      <c r="E3165" s="6" t="s">
        <v>5117</v>
      </c>
      <c r="F3165" s="48" t="s">
        <v>5100</v>
      </c>
      <c r="G3165" s="3" t="s">
        <v>11450</v>
      </c>
      <c r="H3165" s="54">
        <v>0</v>
      </c>
      <c r="I3165" s="55">
        <v>470000000</v>
      </c>
      <c r="J3165" s="56" t="s">
        <v>229</v>
      </c>
      <c r="K3165" s="57" t="s">
        <v>8950</v>
      </c>
      <c r="L3165" s="57" t="s">
        <v>364</v>
      </c>
      <c r="M3165" s="3" t="s">
        <v>230</v>
      </c>
      <c r="N3165" s="52" t="s">
        <v>7693</v>
      </c>
      <c r="O3165" s="6" t="s">
        <v>365</v>
      </c>
      <c r="P3165" s="58" t="s">
        <v>241</v>
      </c>
      <c r="Q3165" s="48" t="s">
        <v>234</v>
      </c>
      <c r="R3165" s="22">
        <v>10</v>
      </c>
      <c r="S3165" s="59">
        <v>987.06959999999992</v>
      </c>
      <c r="T3165" s="4">
        <v>0</v>
      </c>
      <c r="U3165" s="4">
        <f t="shared" si="86"/>
        <v>0</v>
      </c>
      <c r="V3165" s="1"/>
      <c r="W3165" s="3">
        <v>2014</v>
      </c>
      <c r="X3165" s="3">
        <v>11.14</v>
      </c>
    </row>
    <row r="3166" spans="1:24" ht="114.75">
      <c r="A3166" s="3" t="s">
        <v>18977</v>
      </c>
      <c r="B3166" s="6" t="s">
        <v>361</v>
      </c>
      <c r="C3166" s="6" t="s">
        <v>5115</v>
      </c>
      <c r="D3166" s="6" t="s">
        <v>5116</v>
      </c>
      <c r="E3166" s="6" t="s">
        <v>5117</v>
      </c>
      <c r="F3166" s="48" t="s">
        <v>5100</v>
      </c>
      <c r="G3166" s="3" t="s">
        <v>11450</v>
      </c>
      <c r="H3166" s="54">
        <v>0</v>
      </c>
      <c r="I3166" s="55">
        <v>470000000</v>
      </c>
      <c r="J3166" s="56" t="s">
        <v>229</v>
      </c>
      <c r="K3166" s="57" t="s">
        <v>18437</v>
      </c>
      <c r="L3166" s="57" t="s">
        <v>364</v>
      </c>
      <c r="M3166" s="3" t="s">
        <v>230</v>
      </c>
      <c r="N3166" s="52" t="s">
        <v>16511</v>
      </c>
      <c r="O3166" s="6" t="s">
        <v>365</v>
      </c>
      <c r="P3166" s="58" t="s">
        <v>241</v>
      </c>
      <c r="Q3166" s="48" t="s">
        <v>234</v>
      </c>
      <c r="R3166" s="22">
        <v>10</v>
      </c>
      <c r="S3166" s="59">
        <v>987.06959999999992</v>
      </c>
      <c r="T3166" s="4">
        <v>0</v>
      </c>
      <c r="U3166" s="4">
        <f t="shared" si="86"/>
        <v>0</v>
      </c>
      <c r="V3166" s="1"/>
      <c r="W3166" s="3">
        <v>2014</v>
      </c>
      <c r="X3166" s="3">
        <v>11.15</v>
      </c>
    </row>
    <row r="3167" spans="1:24" ht="76.5">
      <c r="A3167" s="3" t="s">
        <v>19425</v>
      </c>
      <c r="B3167" s="6" t="s">
        <v>361</v>
      </c>
      <c r="C3167" s="6" t="s">
        <v>5115</v>
      </c>
      <c r="D3167" s="6" t="s">
        <v>5116</v>
      </c>
      <c r="E3167" s="6" t="s">
        <v>5117</v>
      </c>
      <c r="F3167" s="48" t="s">
        <v>5100</v>
      </c>
      <c r="G3167" s="3" t="s">
        <v>11450</v>
      </c>
      <c r="H3167" s="54">
        <v>0</v>
      </c>
      <c r="I3167" s="55">
        <v>470000000</v>
      </c>
      <c r="J3167" s="56" t="s">
        <v>229</v>
      </c>
      <c r="K3167" s="57" t="s">
        <v>19379</v>
      </c>
      <c r="L3167" s="57" t="s">
        <v>364</v>
      </c>
      <c r="M3167" s="3" t="s">
        <v>230</v>
      </c>
      <c r="N3167" s="52" t="s">
        <v>16511</v>
      </c>
      <c r="O3167" s="6" t="s">
        <v>19407</v>
      </c>
      <c r="P3167" s="58" t="s">
        <v>241</v>
      </c>
      <c r="Q3167" s="48" t="s">
        <v>234</v>
      </c>
      <c r="R3167" s="22">
        <v>10</v>
      </c>
      <c r="S3167" s="59">
        <v>987.06959999999992</v>
      </c>
      <c r="T3167" s="4">
        <f t="shared" ref="T3167" si="93">R3167*S3167</f>
        <v>9870.6959999999999</v>
      </c>
      <c r="U3167" s="4">
        <f t="shared" ref="U3167" si="94">T3167*1.12</f>
        <v>11055.179520000002</v>
      </c>
      <c r="V3167" s="1"/>
      <c r="W3167" s="3">
        <v>2014</v>
      </c>
      <c r="X3167" s="3"/>
    </row>
    <row r="3168" spans="1:24" ht="114.75">
      <c r="A3168" s="3" t="s">
        <v>10301</v>
      </c>
      <c r="B3168" s="6" t="s">
        <v>361</v>
      </c>
      <c r="C3168" s="6" t="s">
        <v>5118</v>
      </c>
      <c r="D3168" s="6" t="s">
        <v>5119</v>
      </c>
      <c r="E3168" s="6" t="s">
        <v>5120</v>
      </c>
      <c r="F3168" s="48" t="s">
        <v>5101</v>
      </c>
      <c r="G3168" s="3" t="s">
        <v>11450</v>
      </c>
      <c r="H3168" s="54">
        <v>0</v>
      </c>
      <c r="I3168" s="55">
        <v>470000000</v>
      </c>
      <c r="J3168" s="56" t="s">
        <v>229</v>
      </c>
      <c r="K3168" s="57" t="s">
        <v>7698</v>
      </c>
      <c r="L3168" s="57" t="s">
        <v>364</v>
      </c>
      <c r="M3168" s="3" t="s">
        <v>230</v>
      </c>
      <c r="N3168" s="52" t="s">
        <v>7693</v>
      </c>
      <c r="O3168" s="6" t="s">
        <v>365</v>
      </c>
      <c r="P3168" s="58" t="s">
        <v>241</v>
      </c>
      <c r="Q3168" s="48" t="s">
        <v>234</v>
      </c>
      <c r="R3168" s="22">
        <v>19</v>
      </c>
      <c r="S3168" s="59">
        <v>499.8026000000001</v>
      </c>
      <c r="T3168" s="4">
        <v>0</v>
      </c>
      <c r="U3168" s="4">
        <f t="shared" si="86"/>
        <v>0</v>
      </c>
      <c r="V3168" s="1"/>
      <c r="W3168" s="3">
        <v>2014</v>
      </c>
      <c r="X3168" s="3" t="s">
        <v>12051</v>
      </c>
    </row>
    <row r="3169" spans="1:24" ht="114.75">
      <c r="A3169" s="3" t="s">
        <v>18335</v>
      </c>
      <c r="B3169" s="6" t="s">
        <v>361</v>
      </c>
      <c r="C3169" s="6" t="s">
        <v>5118</v>
      </c>
      <c r="D3169" s="6" t="s">
        <v>5119</v>
      </c>
      <c r="E3169" s="6" t="s">
        <v>5120</v>
      </c>
      <c r="F3169" s="48" t="s">
        <v>5101</v>
      </c>
      <c r="G3169" s="3" t="s">
        <v>11450</v>
      </c>
      <c r="H3169" s="54">
        <v>0</v>
      </c>
      <c r="I3169" s="55">
        <v>470000000</v>
      </c>
      <c r="J3169" s="56" t="s">
        <v>229</v>
      </c>
      <c r="K3169" s="57" t="s">
        <v>8950</v>
      </c>
      <c r="L3169" s="57" t="s">
        <v>364</v>
      </c>
      <c r="M3169" s="3" t="s">
        <v>230</v>
      </c>
      <c r="N3169" s="52" t="s">
        <v>7693</v>
      </c>
      <c r="O3169" s="6" t="s">
        <v>365</v>
      </c>
      <c r="P3169" s="58" t="s">
        <v>241</v>
      </c>
      <c r="Q3169" s="48" t="s">
        <v>234</v>
      </c>
      <c r="R3169" s="22">
        <v>20</v>
      </c>
      <c r="S3169" s="59">
        <v>599.76312000000007</v>
      </c>
      <c r="T3169" s="4">
        <v>0</v>
      </c>
      <c r="U3169" s="4">
        <f t="shared" si="86"/>
        <v>0</v>
      </c>
      <c r="V3169" s="1"/>
      <c r="W3169" s="3">
        <v>2014</v>
      </c>
      <c r="X3169" s="3">
        <v>11.14</v>
      </c>
    </row>
    <row r="3170" spans="1:24" ht="114.75">
      <c r="A3170" s="3" t="s">
        <v>18978</v>
      </c>
      <c r="B3170" s="6" t="s">
        <v>361</v>
      </c>
      <c r="C3170" s="6" t="s">
        <v>5118</v>
      </c>
      <c r="D3170" s="6" t="s">
        <v>5119</v>
      </c>
      <c r="E3170" s="6" t="s">
        <v>5120</v>
      </c>
      <c r="F3170" s="48" t="s">
        <v>5101</v>
      </c>
      <c r="G3170" s="3" t="s">
        <v>11450</v>
      </c>
      <c r="H3170" s="54">
        <v>0</v>
      </c>
      <c r="I3170" s="55">
        <v>470000000</v>
      </c>
      <c r="J3170" s="56" t="s">
        <v>229</v>
      </c>
      <c r="K3170" s="57" t="s">
        <v>18437</v>
      </c>
      <c r="L3170" s="57" t="s">
        <v>364</v>
      </c>
      <c r="M3170" s="3" t="s">
        <v>230</v>
      </c>
      <c r="N3170" s="52" t="s">
        <v>16511</v>
      </c>
      <c r="O3170" s="6" t="s">
        <v>365</v>
      </c>
      <c r="P3170" s="58" t="s">
        <v>241</v>
      </c>
      <c r="Q3170" s="48" t="s">
        <v>234</v>
      </c>
      <c r="R3170" s="22">
        <v>20</v>
      </c>
      <c r="S3170" s="59">
        <v>599.76312000000007</v>
      </c>
      <c r="T3170" s="4">
        <v>0</v>
      </c>
      <c r="U3170" s="4">
        <f t="shared" si="86"/>
        <v>0</v>
      </c>
      <c r="V3170" s="1"/>
      <c r="W3170" s="3">
        <v>2014</v>
      </c>
      <c r="X3170" s="3">
        <v>11.15</v>
      </c>
    </row>
    <row r="3171" spans="1:24" ht="76.5">
      <c r="A3171" s="3" t="s">
        <v>19426</v>
      </c>
      <c r="B3171" s="6" t="s">
        <v>361</v>
      </c>
      <c r="C3171" s="6" t="s">
        <v>5118</v>
      </c>
      <c r="D3171" s="6" t="s">
        <v>5119</v>
      </c>
      <c r="E3171" s="6" t="s">
        <v>5120</v>
      </c>
      <c r="F3171" s="48" t="s">
        <v>5101</v>
      </c>
      <c r="G3171" s="3" t="s">
        <v>11450</v>
      </c>
      <c r="H3171" s="54">
        <v>0</v>
      </c>
      <c r="I3171" s="55">
        <v>470000000</v>
      </c>
      <c r="J3171" s="56" t="s">
        <v>229</v>
      </c>
      <c r="K3171" s="57" t="s">
        <v>19379</v>
      </c>
      <c r="L3171" s="57" t="s">
        <v>364</v>
      </c>
      <c r="M3171" s="3" t="s">
        <v>230</v>
      </c>
      <c r="N3171" s="52" t="s">
        <v>16511</v>
      </c>
      <c r="O3171" s="6" t="s">
        <v>19407</v>
      </c>
      <c r="P3171" s="58" t="s">
        <v>241</v>
      </c>
      <c r="Q3171" s="48" t="s">
        <v>234</v>
      </c>
      <c r="R3171" s="22">
        <v>20</v>
      </c>
      <c r="S3171" s="59">
        <v>599.76312000000007</v>
      </c>
      <c r="T3171" s="4">
        <f t="shared" ref="T3171" si="95">R3171*S3171</f>
        <v>11995.262400000001</v>
      </c>
      <c r="U3171" s="4">
        <f t="shared" ref="U3171" si="96">T3171*1.12</f>
        <v>13434.693888000003</v>
      </c>
      <c r="V3171" s="1"/>
      <c r="W3171" s="3">
        <v>2014</v>
      </c>
      <c r="X3171" s="3"/>
    </row>
    <row r="3172" spans="1:24" ht="114.75">
      <c r="A3172" s="3" t="s">
        <v>10302</v>
      </c>
      <c r="B3172" s="6" t="s">
        <v>361</v>
      </c>
      <c r="C3172" s="6" t="s">
        <v>5121</v>
      </c>
      <c r="D3172" s="6" t="s">
        <v>384</v>
      </c>
      <c r="E3172" s="6" t="s">
        <v>5122</v>
      </c>
      <c r="F3172" s="48" t="s">
        <v>5102</v>
      </c>
      <c r="G3172" s="3" t="s">
        <v>11450</v>
      </c>
      <c r="H3172" s="54">
        <v>0</v>
      </c>
      <c r="I3172" s="55">
        <v>470000000</v>
      </c>
      <c r="J3172" s="56" t="s">
        <v>229</v>
      </c>
      <c r="K3172" s="57" t="s">
        <v>7698</v>
      </c>
      <c r="L3172" s="57" t="s">
        <v>364</v>
      </c>
      <c r="M3172" s="3" t="s">
        <v>230</v>
      </c>
      <c r="N3172" s="52" t="s">
        <v>7693</v>
      </c>
      <c r="O3172" s="6" t="s">
        <v>365</v>
      </c>
      <c r="P3172" s="58" t="s">
        <v>241</v>
      </c>
      <c r="Q3172" s="48" t="s">
        <v>234</v>
      </c>
      <c r="R3172" s="22">
        <v>300</v>
      </c>
      <c r="S3172" s="59">
        <v>139.4162</v>
      </c>
      <c r="T3172" s="4">
        <v>0</v>
      </c>
      <c r="U3172" s="4">
        <f t="shared" si="86"/>
        <v>0</v>
      </c>
      <c r="V3172" s="1"/>
      <c r="W3172" s="3">
        <v>2014</v>
      </c>
      <c r="X3172" s="3" t="s">
        <v>14785</v>
      </c>
    </row>
    <row r="3173" spans="1:24" ht="114.75">
      <c r="A3173" s="3" t="s">
        <v>18336</v>
      </c>
      <c r="B3173" s="6" t="s">
        <v>361</v>
      </c>
      <c r="C3173" s="6" t="s">
        <v>5121</v>
      </c>
      <c r="D3173" s="6" t="s">
        <v>384</v>
      </c>
      <c r="E3173" s="6" t="s">
        <v>5122</v>
      </c>
      <c r="F3173" s="48" t="s">
        <v>5102</v>
      </c>
      <c r="G3173" s="3" t="s">
        <v>11450</v>
      </c>
      <c r="H3173" s="54">
        <v>0</v>
      </c>
      <c r="I3173" s="55">
        <v>470000000</v>
      </c>
      <c r="J3173" s="56" t="s">
        <v>229</v>
      </c>
      <c r="K3173" s="57" t="s">
        <v>8950</v>
      </c>
      <c r="L3173" s="57" t="s">
        <v>364</v>
      </c>
      <c r="M3173" s="3" t="s">
        <v>230</v>
      </c>
      <c r="N3173" s="52" t="s">
        <v>7693</v>
      </c>
      <c r="O3173" s="6" t="s">
        <v>365</v>
      </c>
      <c r="P3173" s="58" t="s">
        <v>241</v>
      </c>
      <c r="Q3173" s="48" t="s">
        <v>234</v>
      </c>
      <c r="R3173" s="22">
        <v>300</v>
      </c>
      <c r="S3173" s="59">
        <v>167.29944</v>
      </c>
      <c r="T3173" s="4">
        <v>0</v>
      </c>
      <c r="U3173" s="4">
        <f t="shared" si="86"/>
        <v>0</v>
      </c>
      <c r="V3173" s="1"/>
      <c r="W3173" s="3">
        <v>2014</v>
      </c>
      <c r="X3173" s="3">
        <v>11.14</v>
      </c>
    </row>
    <row r="3174" spans="1:24" ht="114.75">
      <c r="A3174" s="3" t="s">
        <v>18979</v>
      </c>
      <c r="B3174" s="6" t="s">
        <v>361</v>
      </c>
      <c r="C3174" s="6" t="s">
        <v>5121</v>
      </c>
      <c r="D3174" s="6" t="s">
        <v>384</v>
      </c>
      <c r="E3174" s="6" t="s">
        <v>5122</v>
      </c>
      <c r="F3174" s="48" t="s">
        <v>5102</v>
      </c>
      <c r="G3174" s="3" t="s">
        <v>11450</v>
      </c>
      <c r="H3174" s="54">
        <v>0</v>
      </c>
      <c r="I3174" s="55">
        <v>470000000</v>
      </c>
      <c r="J3174" s="56" t="s">
        <v>229</v>
      </c>
      <c r="K3174" s="57" t="s">
        <v>18437</v>
      </c>
      <c r="L3174" s="57" t="s">
        <v>364</v>
      </c>
      <c r="M3174" s="3" t="s">
        <v>230</v>
      </c>
      <c r="N3174" s="52" t="s">
        <v>16511</v>
      </c>
      <c r="O3174" s="6" t="s">
        <v>365</v>
      </c>
      <c r="P3174" s="58" t="s">
        <v>241</v>
      </c>
      <c r="Q3174" s="48" t="s">
        <v>234</v>
      </c>
      <c r="R3174" s="22">
        <v>300</v>
      </c>
      <c r="S3174" s="59">
        <v>167.29944</v>
      </c>
      <c r="T3174" s="4">
        <v>0</v>
      </c>
      <c r="U3174" s="4">
        <f t="shared" si="86"/>
        <v>0</v>
      </c>
      <c r="V3174" s="1"/>
      <c r="W3174" s="3">
        <v>2014</v>
      </c>
      <c r="X3174" s="3">
        <v>11.15</v>
      </c>
    </row>
    <row r="3175" spans="1:24" ht="76.5">
      <c r="A3175" s="3" t="s">
        <v>19427</v>
      </c>
      <c r="B3175" s="6" t="s">
        <v>361</v>
      </c>
      <c r="C3175" s="6" t="s">
        <v>5121</v>
      </c>
      <c r="D3175" s="6" t="s">
        <v>384</v>
      </c>
      <c r="E3175" s="6" t="s">
        <v>5122</v>
      </c>
      <c r="F3175" s="48" t="s">
        <v>5102</v>
      </c>
      <c r="G3175" s="3" t="s">
        <v>11450</v>
      </c>
      <c r="H3175" s="54">
        <v>0</v>
      </c>
      <c r="I3175" s="55">
        <v>470000000</v>
      </c>
      <c r="J3175" s="56" t="s">
        <v>229</v>
      </c>
      <c r="K3175" s="57" t="s">
        <v>19379</v>
      </c>
      <c r="L3175" s="57" t="s">
        <v>364</v>
      </c>
      <c r="M3175" s="3" t="s">
        <v>230</v>
      </c>
      <c r="N3175" s="52" t="s">
        <v>16511</v>
      </c>
      <c r="O3175" s="6" t="s">
        <v>19407</v>
      </c>
      <c r="P3175" s="58" t="s">
        <v>241</v>
      </c>
      <c r="Q3175" s="48" t="s">
        <v>234</v>
      </c>
      <c r="R3175" s="22">
        <v>300</v>
      </c>
      <c r="S3175" s="59">
        <v>167.29944</v>
      </c>
      <c r="T3175" s="4">
        <f t="shared" ref="T3175" si="97">R3175*S3175</f>
        <v>50189.832000000002</v>
      </c>
      <c r="U3175" s="4">
        <f t="shared" ref="U3175" si="98">T3175*1.12</f>
        <v>56212.611840000005</v>
      </c>
      <c r="V3175" s="1"/>
      <c r="W3175" s="3">
        <v>2014</v>
      </c>
      <c r="X3175" s="3"/>
    </row>
    <row r="3176" spans="1:24" ht="114.75">
      <c r="A3176" s="3" t="s">
        <v>10303</v>
      </c>
      <c r="B3176" s="6" t="s">
        <v>361</v>
      </c>
      <c r="C3176" s="6" t="s">
        <v>5123</v>
      </c>
      <c r="D3176" s="6" t="s">
        <v>5124</v>
      </c>
      <c r="E3176" s="6" t="s">
        <v>5125</v>
      </c>
      <c r="F3176" s="48" t="s">
        <v>5103</v>
      </c>
      <c r="G3176" s="3" t="s">
        <v>11450</v>
      </c>
      <c r="H3176" s="54">
        <v>0</v>
      </c>
      <c r="I3176" s="55">
        <v>470000000</v>
      </c>
      <c r="J3176" s="56" t="s">
        <v>229</v>
      </c>
      <c r="K3176" s="57" t="s">
        <v>7698</v>
      </c>
      <c r="L3176" s="57" t="s">
        <v>364</v>
      </c>
      <c r="M3176" s="3" t="s">
        <v>230</v>
      </c>
      <c r="N3176" s="52" t="s">
        <v>7693</v>
      </c>
      <c r="O3176" s="6" t="s">
        <v>365</v>
      </c>
      <c r="P3176" s="58" t="s">
        <v>241</v>
      </c>
      <c r="Q3176" s="48" t="s">
        <v>234</v>
      </c>
      <c r="R3176" s="22">
        <v>2</v>
      </c>
      <c r="S3176" s="59">
        <v>10987.669000000002</v>
      </c>
      <c r="T3176" s="4">
        <v>0</v>
      </c>
      <c r="U3176" s="4">
        <f t="shared" si="86"/>
        <v>0</v>
      </c>
      <c r="V3176" s="1"/>
      <c r="W3176" s="3">
        <v>2014</v>
      </c>
      <c r="X3176" s="3" t="s">
        <v>14785</v>
      </c>
    </row>
    <row r="3177" spans="1:24" ht="114.75">
      <c r="A3177" s="3" t="s">
        <v>18337</v>
      </c>
      <c r="B3177" s="6" t="s">
        <v>361</v>
      </c>
      <c r="C3177" s="6" t="s">
        <v>5123</v>
      </c>
      <c r="D3177" s="6" t="s">
        <v>5124</v>
      </c>
      <c r="E3177" s="6" t="s">
        <v>5125</v>
      </c>
      <c r="F3177" s="48" t="s">
        <v>5103</v>
      </c>
      <c r="G3177" s="3" t="s">
        <v>11450</v>
      </c>
      <c r="H3177" s="54">
        <v>0</v>
      </c>
      <c r="I3177" s="55">
        <v>470000000</v>
      </c>
      <c r="J3177" s="56" t="s">
        <v>229</v>
      </c>
      <c r="K3177" s="57" t="s">
        <v>8950</v>
      </c>
      <c r="L3177" s="57" t="s">
        <v>364</v>
      </c>
      <c r="M3177" s="3" t="s">
        <v>230</v>
      </c>
      <c r="N3177" s="52" t="s">
        <v>7693</v>
      </c>
      <c r="O3177" s="6" t="s">
        <v>365</v>
      </c>
      <c r="P3177" s="58" t="s">
        <v>241</v>
      </c>
      <c r="Q3177" s="48" t="s">
        <v>234</v>
      </c>
      <c r="R3177" s="22">
        <v>2</v>
      </c>
      <c r="S3177" s="59">
        <v>13185.202800000001</v>
      </c>
      <c r="T3177" s="4">
        <f t="shared" ref="T3177" si="99">R3177*S3177</f>
        <v>26370.405600000002</v>
      </c>
      <c r="U3177" s="4">
        <f t="shared" si="86"/>
        <v>29534.854272000004</v>
      </c>
      <c r="V3177" s="1"/>
      <c r="W3177" s="3">
        <v>2014</v>
      </c>
      <c r="X3177" s="3"/>
    </row>
    <row r="3178" spans="1:24" ht="114.75">
      <c r="A3178" s="3" t="s">
        <v>10304</v>
      </c>
      <c r="B3178" s="6" t="s">
        <v>361</v>
      </c>
      <c r="C3178" s="6" t="s">
        <v>5123</v>
      </c>
      <c r="D3178" s="6" t="s">
        <v>5124</v>
      </c>
      <c r="E3178" s="6" t="s">
        <v>5125</v>
      </c>
      <c r="F3178" s="48" t="s">
        <v>5104</v>
      </c>
      <c r="G3178" s="3" t="s">
        <v>11450</v>
      </c>
      <c r="H3178" s="54">
        <v>0</v>
      </c>
      <c r="I3178" s="55">
        <v>470000000</v>
      </c>
      <c r="J3178" s="56" t="s">
        <v>229</v>
      </c>
      <c r="K3178" s="57" t="s">
        <v>7698</v>
      </c>
      <c r="L3178" s="57" t="s">
        <v>364</v>
      </c>
      <c r="M3178" s="3" t="s">
        <v>230</v>
      </c>
      <c r="N3178" s="52" t="s">
        <v>7693</v>
      </c>
      <c r="O3178" s="6" t="s">
        <v>365</v>
      </c>
      <c r="P3178" s="58" t="s">
        <v>241</v>
      </c>
      <c r="Q3178" s="48" t="s">
        <v>234</v>
      </c>
      <c r="R3178" s="22">
        <v>2</v>
      </c>
      <c r="S3178" s="59">
        <v>12248.84</v>
      </c>
      <c r="T3178" s="4">
        <v>0</v>
      </c>
      <c r="U3178" s="4">
        <f t="shared" si="86"/>
        <v>0</v>
      </c>
      <c r="V3178" s="1"/>
      <c r="W3178" s="3">
        <v>2014</v>
      </c>
      <c r="X3178" s="3" t="s">
        <v>14785</v>
      </c>
    </row>
    <row r="3179" spans="1:24" ht="114.75">
      <c r="A3179" s="3" t="s">
        <v>18338</v>
      </c>
      <c r="B3179" s="6" t="s">
        <v>361</v>
      </c>
      <c r="C3179" s="6" t="s">
        <v>5123</v>
      </c>
      <c r="D3179" s="6" t="s">
        <v>5124</v>
      </c>
      <c r="E3179" s="6" t="s">
        <v>5125</v>
      </c>
      <c r="F3179" s="48" t="s">
        <v>5104</v>
      </c>
      <c r="G3179" s="3" t="s">
        <v>11450</v>
      </c>
      <c r="H3179" s="54">
        <v>0</v>
      </c>
      <c r="I3179" s="55">
        <v>470000000</v>
      </c>
      <c r="J3179" s="56" t="s">
        <v>229</v>
      </c>
      <c r="K3179" s="57" t="s">
        <v>8950</v>
      </c>
      <c r="L3179" s="57" t="s">
        <v>364</v>
      </c>
      <c r="M3179" s="3" t="s">
        <v>230</v>
      </c>
      <c r="N3179" s="52" t="s">
        <v>7693</v>
      </c>
      <c r="O3179" s="6" t="s">
        <v>365</v>
      </c>
      <c r="P3179" s="58" t="s">
        <v>241</v>
      </c>
      <c r="Q3179" s="48" t="s">
        <v>234</v>
      </c>
      <c r="R3179" s="22">
        <v>2</v>
      </c>
      <c r="S3179" s="59">
        <v>151239.39600000001</v>
      </c>
      <c r="T3179" s="4">
        <f t="shared" ref="T3179" si="100">R3179*S3179</f>
        <v>302478.79200000002</v>
      </c>
      <c r="U3179" s="4">
        <f t="shared" si="86"/>
        <v>338776.24704000005</v>
      </c>
      <c r="V3179" s="1"/>
      <c r="W3179" s="3">
        <v>2014</v>
      </c>
      <c r="X3179" s="3"/>
    </row>
    <row r="3180" spans="1:24" ht="114.75">
      <c r="A3180" s="3" t="s">
        <v>10305</v>
      </c>
      <c r="B3180" s="6" t="s">
        <v>361</v>
      </c>
      <c r="C3180" s="6" t="s">
        <v>5127</v>
      </c>
      <c r="D3180" s="6" t="s">
        <v>5126</v>
      </c>
      <c r="E3180" s="6" t="s">
        <v>5128</v>
      </c>
      <c r="F3180" s="48" t="s">
        <v>5105</v>
      </c>
      <c r="G3180" s="3" t="s">
        <v>11450</v>
      </c>
      <c r="H3180" s="54">
        <v>0</v>
      </c>
      <c r="I3180" s="55">
        <v>470000000</v>
      </c>
      <c r="J3180" s="56" t="s">
        <v>229</v>
      </c>
      <c r="K3180" s="57" t="s">
        <v>7698</v>
      </c>
      <c r="L3180" s="57" t="s">
        <v>364</v>
      </c>
      <c r="M3180" s="3" t="s">
        <v>230</v>
      </c>
      <c r="N3180" s="52" t="s">
        <v>7693</v>
      </c>
      <c r="O3180" s="6" t="s">
        <v>365</v>
      </c>
      <c r="P3180" s="58" t="s">
        <v>241</v>
      </c>
      <c r="Q3180" s="48" t="s">
        <v>234</v>
      </c>
      <c r="R3180" s="22">
        <v>5</v>
      </c>
      <c r="S3180" s="59">
        <v>4200</v>
      </c>
      <c r="T3180" s="4">
        <v>0</v>
      </c>
      <c r="U3180" s="4">
        <f t="shared" si="86"/>
        <v>0</v>
      </c>
      <c r="V3180" s="1"/>
      <c r="W3180" s="3">
        <v>2014</v>
      </c>
      <c r="X3180" s="3" t="s">
        <v>14785</v>
      </c>
    </row>
    <row r="3181" spans="1:24" ht="114.75">
      <c r="A3181" s="3" t="s">
        <v>18339</v>
      </c>
      <c r="B3181" s="6" t="s">
        <v>361</v>
      </c>
      <c r="C3181" s="6" t="s">
        <v>5127</v>
      </c>
      <c r="D3181" s="6" t="s">
        <v>5126</v>
      </c>
      <c r="E3181" s="6" t="s">
        <v>5128</v>
      </c>
      <c r="F3181" s="48" t="s">
        <v>5105</v>
      </c>
      <c r="G3181" s="3" t="s">
        <v>11450</v>
      </c>
      <c r="H3181" s="54">
        <v>0</v>
      </c>
      <c r="I3181" s="55">
        <v>470000000</v>
      </c>
      <c r="J3181" s="56" t="s">
        <v>229</v>
      </c>
      <c r="K3181" s="57" t="s">
        <v>8950</v>
      </c>
      <c r="L3181" s="57" t="s">
        <v>364</v>
      </c>
      <c r="M3181" s="3" t="s">
        <v>230</v>
      </c>
      <c r="N3181" s="52" t="s">
        <v>7693</v>
      </c>
      <c r="O3181" s="6" t="s">
        <v>365</v>
      </c>
      <c r="P3181" s="58" t="s">
        <v>241</v>
      </c>
      <c r="Q3181" s="48" t="s">
        <v>234</v>
      </c>
      <c r="R3181" s="22">
        <v>5</v>
      </c>
      <c r="S3181" s="59">
        <v>5040</v>
      </c>
      <c r="T3181" s="4">
        <f t="shared" ref="T3181" si="101">R3181*S3181</f>
        <v>25200</v>
      </c>
      <c r="U3181" s="4">
        <f t="shared" si="86"/>
        <v>28224.000000000004</v>
      </c>
      <c r="V3181" s="1"/>
      <c r="W3181" s="3">
        <v>2014</v>
      </c>
      <c r="X3181" s="3"/>
    </row>
    <row r="3182" spans="1:24" ht="114.75">
      <c r="A3182" s="3" t="s">
        <v>10306</v>
      </c>
      <c r="B3182" s="6" t="s">
        <v>361</v>
      </c>
      <c r="C3182" s="6" t="s">
        <v>7408</v>
      </c>
      <c r="D3182" s="3" t="s">
        <v>7409</v>
      </c>
      <c r="E3182" s="3" t="s">
        <v>7410</v>
      </c>
      <c r="F3182" s="48" t="s">
        <v>5129</v>
      </c>
      <c r="G3182" s="3" t="s">
        <v>11450</v>
      </c>
      <c r="H3182" s="54">
        <v>0</v>
      </c>
      <c r="I3182" s="55">
        <v>470000000</v>
      </c>
      <c r="J3182" s="56" t="s">
        <v>229</v>
      </c>
      <c r="K3182" s="57" t="s">
        <v>7698</v>
      </c>
      <c r="L3182" s="57" t="s">
        <v>364</v>
      </c>
      <c r="M3182" s="3" t="s">
        <v>230</v>
      </c>
      <c r="N3182" s="52" t="s">
        <v>7693</v>
      </c>
      <c r="O3182" s="6" t="s">
        <v>365</v>
      </c>
      <c r="P3182" s="58" t="s">
        <v>241</v>
      </c>
      <c r="Q3182" s="48" t="s">
        <v>234</v>
      </c>
      <c r="R3182" s="22">
        <v>20</v>
      </c>
      <c r="S3182" s="59">
        <v>361</v>
      </c>
      <c r="T3182" s="4">
        <v>0</v>
      </c>
      <c r="U3182" s="4">
        <f t="shared" si="86"/>
        <v>0</v>
      </c>
      <c r="V3182" s="1"/>
      <c r="W3182" s="3">
        <v>2014</v>
      </c>
      <c r="X3182" s="3">
        <v>11.14</v>
      </c>
    </row>
    <row r="3183" spans="1:24" ht="114.75">
      <c r="A3183" s="3" t="s">
        <v>18980</v>
      </c>
      <c r="B3183" s="6" t="s">
        <v>361</v>
      </c>
      <c r="C3183" s="6" t="s">
        <v>7408</v>
      </c>
      <c r="D3183" s="3" t="s">
        <v>7409</v>
      </c>
      <c r="E3183" s="3" t="s">
        <v>7410</v>
      </c>
      <c r="F3183" s="48" t="s">
        <v>5129</v>
      </c>
      <c r="G3183" s="3" t="s">
        <v>11450</v>
      </c>
      <c r="H3183" s="54">
        <v>0</v>
      </c>
      <c r="I3183" s="55">
        <v>470000000</v>
      </c>
      <c r="J3183" s="56" t="s">
        <v>229</v>
      </c>
      <c r="K3183" s="57" t="s">
        <v>18437</v>
      </c>
      <c r="L3183" s="57" t="s">
        <v>364</v>
      </c>
      <c r="M3183" s="3" t="s">
        <v>230</v>
      </c>
      <c r="N3183" s="52" t="s">
        <v>16511</v>
      </c>
      <c r="O3183" s="6" t="s">
        <v>365</v>
      </c>
      <c r="P3183" s="58" t="s">
        <v>241</v>
      </c>
      <c r="Q3183" s="48" t="s">
        <v>234</v>
      </c>
      <c r="R3183" s="22">
        <v>20</v>
      </c>
      <c r="S3183" s="59">
        <v>361</v>
      </c>
      <c r="T3183" s="4">
        <v>0</v>
      </c>
      <c r="U3183" s="4">
        <f t="shared" si="86"/>
        <v>0</v>
      </c>
      <c r="V3183" s="1"/>
      <c r="W3183" s="3">
        <v>2014</v>
      </c>
      <c r="X3183" s="3">
        <v>11.15</v>
      </c>
    </row>
    <row r="3184" spans="1:24" ht="76.5">
      <c r="A3184" s="3" t="s">
        <v>19418</v>
      </c>
      <c r="B3184" s="6" t="s">
        <v>361</v>
      </c>
      <c r="C3184" s="6" t="s">
        <v>7408</v>
      </c>
      <c r="D3184" s="3" t="s">
        <v>7409</v>
      </c>
      <c r="E3184" s="3" t="s">
        <v>7410</v>
      </c>
      <c r="F3184" s="48" t="s">
        <v>5129</v>
      </c>
      <c r="G3184" s="3" t="s">
        <v>11450</v>
      </c>
      <c r="H3184" s="54">
        <v>0</v>
      </c>
      <c r="I3184" s="55">
        <v>470000000</v>
      </c>
      <c r="J3184" s="56" t="s">
        <v>229</v>
      </c>
      <c r="K3184" s="57" t="s">
        <v>19379</v>
      </c>
      <c r="L3184" s="57" t="s">
        <v>364</v>
      </c>
      <c r="M3184" s="3" t="s">
        <v>230</v>
      </c>
      <c r="N3184" s="52" t="s">
        <v>16511</v>
      </c>
      <c r="O3184" s="6" t="s">
        <v>19407</v>
      </c>
      <c r="P3184" s="58" t="s">
        <v>241</v>
      </c>
      <c r="Q3184" s="48" t="s">
        <v>234</v>
      </c>
      <c r="R3184" s="22">
        <v>20</v>
      </c>
      <c r="S3184" s="59">
        <v>361</v>
      </c>
      <c r="T3184" s="4">
        <f t="shared" ref="T3184" si="102">R3184*S3184</f>
        <v>7220</v>
      </c>
      <c r="U3184" s="4">
        <f t="shared" ref="U3184" si="103">T3184*1.12</f>
        <v>8086.4000000000005</v>
      </c>
      <c r="V3184" s="1"/>
      <c r="W3184" s="3">
        <v>2014</v>
      </c>
      <c r="X3184" s="3"/>
    </row>
    <row r="3185" spans="1:24" ht="114.75">
      <c r="A3185" s="3" t="s">
        <v>10307</v>
      </c>
      <c r="B3185" s="6" t="s">
        <v>361</v>
      </c>
      <c r="C3185" s="6" t="s">
        <v>7408</v>
      </c>
      <c r="D3185" s="3" t="s">
        <v>7409</v>
      </c>
      <c r="E3185" s="3" t="s">
        <v>7410</v>
      </c>
      <c r="F3185" s="48" t="s">
        <v>7411</v>
      </c>
      <c r="G3185" s="3" t="s">
        <v>11450</v>
      </c>
      <c r="H3185" s="54">
        <v>0</v>
      </c>
      <c r="I3185" s="55">
        <v>470000000</v>
      </c>
      <c r="J3185" s="56" t="s">
        <v>229</v>
      </c>
      <c r="K3185" s="57" t="s">
        <v>7698</v>
      </c>
      <c r="L3185" s="57" t="s">
        <v>364</v>
      </c>
      <c r="M3185" s="3" t="s">
        <v>230</v>
      </c>
      <c r="N3185" s="52" t="s">
        <v>7693</v>
      </c>
      <c r="O3185" s="6" t="s">
        <v>365</v>
      </c>
      <c r="P3185" s="58" t="s">
        <v>241</v>
      </c>
      <c r="Q3185" s="48" t="s">
        <v>234</v>
      </c>
      <c r="R3185" s="22">
        <v>20</v>
      </c>
      <c r="S3185" s="59">
        <v>239.85830000000001</v>
      </c>
      <c r="T3185" s="4">
        <v>0</v>
      </c>
      <c r="U3185" s="4">
        <f t="shared" si="86"/>
        <v>0</v>
      </c>
      <c r="V3185" s="1"/>
      <c r="W3185" s="3">
        <v>2014</v>
      </c>
      <c r="X3185" s="3" t="s">
        <v>14785</v>
      </c>
    </row>
    <row r="3186" spans="1:24" ht="114.75">
      <c r="A3186" s="3" t="s">
        <v>18657</v>
      </c>
      <c r="B3186" s="6" t="s">
        <v>361</v>
      </c>
      <c r="C3186" s="6" t="s">
        <v>7408</v>
      </c>
      <c r="D3186" s="3" t="s">
        <v>7409</v>
      </c>
      <c r="E3186" s="3" t="s">
        <v>7410</v>
      </c>
      <c r="F3186" s="48" t="s">
        <v>7411</v>
      </c>
      <c r="G3186" s="3" t="s">
        <v>11450</v>
      </c>
      <c r="H3186" s="54">
        <v>0</v>
      </c>
      <c r="I3186" s="55">
        <v>470000000</v>
      </c>
      <c r="J3186" s="56" t="s">
        <v>229</v>
      </c>
      <c r="K3186" s="57" t="s">
        <v>9369</v>
      </c>
      <c r="L3186" s="57" t="s">
        <v>364</v>
      </c>
      <c r="M3186" s="3" t="s">
        <v>230</v>
      </c>
      <c r="N3186" s="52" t="s">
        <v>7693</v>
      </c>
      <c r="O3186" s="6" t="s">
        <v>365</v>
      </c>
      <c r="P3186" s="58" t="s">
        <v>241</v>
      </c>
      <c r="Q3186" s="48" t="s">
        <v>234</v>
      </c>
      <c r="R3186" s="22">
        <v>20</v>
      </c>
      <c r="S3186" s="59">
        <v>287.82996000000003</v>
      </c>
      <c r="T3186" s="4">
        <v>0</v>
      </c>
      <c r="U3186" s="4">
        <f t="shared" si="86"/>
        <v>0</v>
      </c>
      <c r="V3186" s="1"/>
      <c r="W3186" s="3">
        <v>2014</v>
      </c>
      <c r="X3186" s="3" t="s">
        <v>19351</v>
      </c>
    </row>
    <row r="3187" spans="1:24" ht="76.5">
      <c r="A3187" s="3" t="s">
        <v>19342</v>
      </c>
      <c r="B3187" s="6" t="s">
        <v>361</v>
      </c>
      <c r="C3187" s="6" t="s">
        <v>7408</v>
      </c>
      <c r="D3187" s="3" t="s">
        <v>7409</v>
      </c>
      <c r="E3187" s="3" t="s">
        <v>7410</v>
      </c>
      <c r="F3187" s="48" t="s">
        <v>7411</v>
      </c>
      <c r="G3187" s="3" t="s">
        <v>11450</v>
      </c>
      <c r="H3187" s="54">
        <v>0</v>
      </c>
      <c r="I3187" s="55">
        <v>470000000</v>
      </c>
      <c r="J3187" s="56" t="s">
        <v>229</v>
      </c>
      <c r="K3187" s="57" t="s">
        <v>18437</v>
      </c>
      <c r="L3187" s="57" t="s">
        <v>19343</v>
      </c>
      <c r="M3187" s="3" t="s">
        <v>230</v>
      </c>
      <c r="N3187" s="52" t="s">
        <v>16511</v>
      </c>
      <c r="O3187" s="6" t="s">
        <v>19407</v>
      </c>
      <c r="P3187" s="58" t="s">
        <v>241</v>
      </c>
      <c r="Q3187" s="48" t="s">
        <v>234</v>
      </c>
      <c r="R3187" s="22">
        <v>20</v>
      </c>
      <c r="S3187" s="59">
        <v>287.82996000000003</v>
      </c>
      <c r="T3187" s="4">
        <f t="shared" ref="T3187" si="104">R3187*S3187</f>
        <v>5756.5992000000006</v>
      </c>
      <c r="U3187" s="4">
        <f t="shared" si="86"/>
        <v>6447.3911040000012</v>
      </c>
      <c r="V3187" s="1"/>
      <c r="W3187" s="3">
        <v>2014</v>
      </c>
      <c r="X3187" s="3"/>
    </row>
    <row r="3188" spans="1:24" ht="114.75">
      <c r="A3188" s="3" t="s">
        <v>10308</v>
      </c>
      <c r="B3188" s="6" t="s">
        <v>361</v>
      </c>
      <c r="C3188" s="6" t="s">
        <v>7408</v>
      </c>
      <c r="D3188" s="3" t="s">
        <v>7409</v>
      </c>
      <c r="E3188" s="3" t="s">
        <v>7410</v>
      </c>
      <c r="F3188" s="48" t="s">
        <v>7412</v>
      </c>
      <c r="G3188" s="3" t="s">
        <v>11450</v>
      </c>
      <c r="H3188" s="54">
        <v>0</v>
      </c>
      <c r="I3188" s="55">
        <v>470000000</v>
      </c>
      <c r="J3188" s="56" t="s">
        <v>229</v>
      </c>
      <c r="K3188" s="57" t="s">
        <v>7698</v>
      </c>
      <c r="L3188" s="57" t="s">
        <v>364</v>
      </c>
      <c r="M3188" s="3" t="s">
        <v>230</v>
      </c>
      <c r="N3188" s="52" t="s">
        <v>7693</v>
      </c>
      <c r="O3188" s="6" t="s">
        <v>365</v>
      </c>
      <c r="P3188" s="58" t="s">
        <v>241</v>
      </c>
      <c r="Q3188" s="48" t="s">
        <v>234</v>
      </c>
      <c r="R3188" s="22">
        <v>20</v>
      </c>
      <c r="S3188" s="59">
        <v>526</v>
      </c>
      <c r="T3188" s="4">
        <f t="shared" si="85"/>
        <v>10520</v>
      </c>
      <c r="U3188" s="4">
        <f t="shared" si="86"/>
        <v>11782.400000000001</v>
      </c>
      <c r="V3188" s="1"/>
      <c r="W3188" s="3">
        <v>2014</v>
      </c>
      <c r="X3188" s="3"/>
    </row>
    <row r="3189" spans="1:24" ht="114.75">
      <c r="A3189" s="3" t="s">
        <v>10309</v>
      </c>
      <c r="B3189" s="6" t="s">
        <v>361</v>
      </c>
      <c r="C3189" s="6" t="s">
        <v>7408</v>
      </c>
      <c r="D3189" s="3" t="s">
        <v>7409</v>
      </c>
      <c r="E3189" s="3" t="s">
        <v>7410</v>
      </c>
      <c r="F3189" s="48" t="s">
        <v>7413</v>
      </c>
      <c r="G3189" s="3" t="s">
        <v>11450</v>
      </c>
      <c r="H3189" s="54">
        <v>0</v>
      </c>
      <c r="I3189" s="55">
        <v>470000000</v>
      </c>
      <c r="J3189" s="56" t="s">
        <v>229</v>
      </c>
      <c r="K3189" s="57" t="s">
        <v>7698</v>
      </c>
      <c r="L3189" s="57" t="s">
        <v>364</v>
      </c>
      <c r="M3189" s="3" t="s">
        <v>230</v>
      </c>
      <c r="N3189" s="52" t="s">
        <v>7693</v>
      </c>
      <c r="O3189" s="6" t="s">
        <v>365</v>
      </c>
      <c r="P3189" s="58" t="s">
        <v>241</v>
      </c>
      <c r="Q3189" s="48" t="s">
        <v>234</v>
      </c>
      <c r="R3189" s="22">
        <v>20</v>
      </c>
      <c r="S3189" s="59">
        <v>706.22860000000003</v>
      </c>
      <c r="T3189" s="4">
        <f t="shared" si="85"/>
        <v>14124.572</v>
      </c>
      <c r="U3189" s="4">
        <f t="shared" si="86"/>
        <v>15819.520640000002</v>
      </c>
      <c r="V3189" s="1"/>
      <c r="W3189" s="3">
        <v>2014</v>
      </c>
      <c r="X3189" s="3"/>
    </row>
    <row r="3190" spans="1:24" ht="114.75">
      <c r="A3190" s="3" t="s">
        <v>10310</v>
      </c>
      <c r="B3190" s="6" t="s">
        <v>361</v>
      </c>
      <c r="C3190" s="6" t="s">
        <v>7408</v>
      </c>
      <c r="D3190" s="3" t="s">
        <v>7409</v>
      </c>
      <c r="E3190" s="3" t="s">
        <v>7410</v>
      </c>
      <c r="F3190" s="48" t="s">
        <v>7414</v>
      </c>
      <c r="G3190" s="3" t="s">
        <v>11450</v>
      </c>
      <c r="H3190" s="54">
        <v>0</v>
      </c>
      <c r="I3190" s="55">
        <v>470000000</v>
      </c>
      <c r="J3190" s="56" t="s">
        <v>229</v>
      </c>
      <c r="K3190" s="57" t="s">
        <v>7698</v>
      </c>
      <c r="L3190" s="57" t="s">
        <v>364</v>
      </c>
      <c r="M3190" s="3" t="s">
        <v>230</v>
      </c>
      <c r="N3190" s="52" t="s">
        <v>7693</v>
      </c>
      <c r="O3190" s="6" t="s">
        <v>365</v>
      </c>
      <c r="P3190" s="58" t="s">
        <v>241</v>
      </c>
      <c r="Q3190" s="48" t="s">
        <v>234</v>
      </c>
      <c r="R3190" s="22">
        <v>20</v>
      </c>
      <c r="S3190" s="59">
        <v>699</v>
      </c>
      <c r="T3190" s="4">
        <v>0</v>
      </c>
      <c r="U3190" s="4">
        <f t="shared" si="86"/>
        <v>0</v>
      </c>
      <c r="V3190" s="1"/>
      <c r="W3190" s="3">
        <v>2014</v>
      </c>
      <c r="X3190" s="3" t="s">
        <v>16521</v>
      </c>
    </row>
    <row r="3191" spans="1:24" ht="114.75">
      <c r="A3191" s="3" t="s">
        <v>18981</v>
      </c>
      <c r="B3191" s="6" t="s">
        <v>361</v>
      </c>
      <c r="C3191" s="6" t="s">
        <v>7408</v>
      </c>
      <c r="D3191" s="3" t="s">
        <v>7409</v>
      </c>
      <c r="E3191" s="3" t="s">
        <v>7410</v>
      </c>
      <c r="F3191" s="48" t="s">
        <v>7414</v>
      </c>
      <c r="G3191" s="3" t="s">
        <v>11450</v>
      </c>
      <c r="H3191" s="54">
        <v>0</v>
      </c>
      <c r="I3191" s="55">
        <v>470000000</v>
      </c>
      <c r="J3191" s="56" t="s">
        <v>229</v>
      </c>
      <c r="K3191" s="57" t="s">
        <v>18437</v>
      </c>
      <c r="L3191" s="57" t="s">
        <v>364</v>
      </c>
      <c r="M3191" s="3" t="s">
        <v>230</v>
      </c>
      <c r="N3191" s="52" t="s">
        <v>16511</v>
      </c>
      <c r="O3191" s="6" t="s">
        <v>365</v>
      </c>
      <c r="P3191" s="58" t="s">
        <v>241</v>
      </c>
      <c r="Q3191" s="48" t="s">
        <v>234</v>
      </c>
      <c r="R3191" s="22">
        <v>20</v>
      </c>
      <c r="S3191" s="59">
        <v>983.39603999999997</v>
      </c>
      <c r="T3191" s="4">
        <v>0</v>
      </c>
      <c r="U3191" s="4">
        <f t="shared" si="86"/>
        <v>0</v>
      </c>
      <c r="V3191" s="1"/>
      <c r="W3191" s="3">
        <v>2014</v>
      </c>
      <c r="X3191" s="3">
        <v>11.15</v>
      </c>
    </row>
    <row r="3192" spans="1:24" ht="76.5">
      <c r="A3192" s="3" t="s">
        <v>19419</v>
      </c>
      <c r="B3192" s="6" t="s">
        <v>361</v>
      </c>
      <c r="C3192" s="6" t="s">
        <v>7408</v>
      </c>
      <c r="D3192" s="3" t="s">
        <v>7409</v>
      </c>
      <c r="E3192" s="3" t="s">
        <v>7410</v>
      </c>
      <c r="F3192" s="48" t="s">
        <v>7414</v>
      </c>
      <c r="G3192" s="3" t="s">
        <v>11450</v>
      </c>
      <c r="H3192" s="54">
        <v>0</v>
      </c>
      <c r="I3192" s="55">
        <v>470000000</v>
      </c>
      <c r="J3192" s="56" t="s">
        <v>229</v>
      </c>
      <c r="K3192" s="57" t="s">
        <v>19379</v>
      </c>
      <c r="L3192" s="57" t="s">
        <v>364</v>
      </c>
      <c r="M3192" s="3" t="s">
        <v>230</v>
      </c>
      <c r="N3192" s="52" t="s">
        <v>16511</v>
      </c>
      <c r="O3192" s="6" t="s">
        <v>19407</v>
      </c>
      <c r="P3192" s="58" t="s">
        <v>241</v>
      </c>
      <c r="Q3192" s="48" t="s">
        <v>234</v>
      </c>
      <c r="R3192" s="22">
        <v>20</v>
      </c>
      <c r="S3192" s="59">
        <v>983.39603999999997</v>
      </c>
      <c r="T3192" s="4">
        <f t="shared" ref="T3192" si="105">R3192*S3192</f>
        <v>19667.9208</v>
      </c>
      <c r="U3192" s="4">
        <f t="shared" ref="U3192" si="106">T3192*1.12</f>
        <v>22028.071296000002</v>
      </c>
      <c r="V3192" s="1"/>
      <c r="W3192" s="3">
        <v>2014</v>
      </c>
      <c r="X3192" s="3"/>
    </row>
    <row r="3193" spans="1:24" ht="114.75">
      <c r="A3193" s="3" t="s">
        <v>10311</v>
      </c>
      <c r="B3193" s="6" t="s">
        <v>361</v>
      </c>
      <c r="C3193" s="6" t="s">
        <v>7408</v>
      </c>
      <c r="D3193" s="3" t="s">
        <v>7409</v>
      </c>
      <c r="E3193" s="3" t="s">
        <v>7410</v>
      </c>
      <c r="F3193" s="48" t="s">
        <v>7415</v>
      </c>
      <c r="G3193" s="3" t="s">
        <v>11450</v>
      </c>
      <c r="H3193" s="54">
        <v>0</v>
      </c>
      <c r="I3193" s="55">
        <v>470000000</v>
      </c>
      <c r="J3193" s="56" t="s">
        <v>229</v>
      </c>
      <c r="K3193" s="57" t="s">
        <v>7698</v>
      </c>
      <c r="L3193" s="57" t="s">
        <v>364</v>
      </c>
      <c r="M3193" s="3" t="s">
        <v>230</v>
      </c>
      <c r="N3193" s="52" t="s">
        <v>7693</v>
      </c>
      <c r="O3193" s="6" t="s">
        <v>365</v>
      </c>
      <c r="P3193" s="58" t="s">
        <v>241</v>
      </c>
      <c r="Q3193" s="48" t="s">
        <v>234</v>
      </c>
      <c r="R3193" s="22">
        <v>20</v>
      </c>
      <c r="S3193" s="59">
        <v>785</v>
      </c>
      <c r="T3193" s="4">
        <v>0</v>
      </c>
      <c r="U3193" s="4">
        <f t="shared" si="86"/>
        <v>0</v>
      </c>
      <c r="V3193" s="1"/>
      <c r="W3193" s="3">
        <v>2014</v>
      </c>
      <c r="X3193" s="3" t="s">
        <v>14785</v>
      </c>
    </row>
    <row r="3194" spans="1:24" ht="114.75">
      <c r="A3194" s="3" t="s">
        <v>18658</v>
      </c>
      <c r="B3194" s="6" t="s">
        <v>361</v>
      </c>
      <c r="C3194" s="6" t="s">
        <v>7408</v>
      </c>
      <c r="D3194" s="3" t="s">
        <v>7409</v>
      </c>
      <c r="E3194" s="3" t="s">
        <v>7410</v>
      </c>
      <c r="F3194" s="48" t="s">
        <v>7415</v>
      </c>
      <c r="G3194" s="3" t="s">
        <v>11450</v>
      </c>
      <c r="H3194" s="54">
        <v>0</v>
      </c>
      <c r="I3194" s="55">
        <v>470000000</v>
      </c>
      <c r="J3194" s="56" t="s">
        <v>229</v>
      </c>
      <c r="K3194" s="57" t="s">
        <v>9369</v>
      </c>
      <c r="L3194" s="57" t="s">
        <v>364</v>
      </c>
      <c r="M3194" s="3" t="s">
        <v>230</v>
      </c>
      <c r="N3194" s="52" t="s">
        <v>7693</v>
      </c>
      <c r="O3194" s="6" t="s">
        <v>365</v>
      </c>
      <c r="P3194" s="58" t="s">
        <v>241</v>
      </c>
      <c r="Q3194" s="48" t="s">
        <v>234</v>
      </c>
      <c r="R3194" s="22">
        <v>20</v>
      </c>
      <c r="S3194" s="59">
        <v>1114.5116399999999</v>
      </c>
      <c r="T3194" s="4">
        <f t="shared" ref="T3194" si="107">R3194*S3194</f>
        <v>22290.232799999998</v>
      </c>
      <c r="U3194" s="4">
        <f t="shared" si="86"/>
        <v>24965.060735999999</v>
      </c>
      <c r="V3194" s="1"/>
      <c r="W3194" s="3">
        <v>2014</v>
      </c>
      <c r="X3194" s="3"/>
    </row>
    <row r="3195" spans="1:24" ht="114.75">
      <c r="A3195" s="3" t="s">
        <v>10312</v>
      </c>
      <c r="B3195" s="6" t="s">
        <v>361</v>
      </c>
      <c r="C3195" s="6" t="s">
        <v>7408</v>
      </c>
      <c r="D3195" s="3" t="s">
        <v>7409</v>
      </c>
      <c r="E3195" s="3" t="s">
        <v>7410</v>
      </c>
      <c r="F3195" s="48" t="s">
        <v>7416</v>
      </c>
      <c r="G3195" s="3" t="s">
        <v>11450</v>
      </c>
      <c r="H3195" s="54">
        <v>0</v>
      </c>
      <c r="I3195" s="55">
        <v>470000000</v>
      </c>
      <c r="J3195" s="56" t="s">
        <v>229</v>
      </c>
      <c r="K3195" s="57" t="s">
        <v>7698</v>
      </c>
      <c r="L3195" s="57" t="s">
        <v>364</v>
      </c>
      <c r="M3195" s="3" t="s">
        <v>230</v>
      </c>
      <c r="N3195" s="52" t="s">
        <v>7693</v>
      </c>
      <c r="O3195" s="6" t="s">
        <v>365</v>
      </c>
      <c r="P3195" s="58" t="s">
        <v>241</v>
      </c>
      <c r="Q3195" s="48" t="s">
        <v>234</v>
      </c>
      <c r="R3195" s="22">
        <v>20</v>
      </c>
      <c r="S3195" s="59">
        <v>955.65800000000002</v>
      </c>
      <c r="T3195" s="4">
        <v>0</v>
      </c>
      <c r="U3195" s="4">
        <f t="shared" si="86"/>
        <v>0</v>
      </c>
      <c r="V3195" s="1"/>
      <c r="W3195" s="3">
        <v>2014</v>
      </c>
      <c r="X3195" s="3" t="s">
        <v>16521</v>
      </c>
    </row>
    <row r="3196" spans="1:24" ht="114.75">
      <c r="A3196" s="3" t="s">
        <v>18982</v>
      </c>
      <c r="B3196" s="6" t="s">
        <v>361</v>
      </c>
      <c r="C3196" s="6" t="s">
        <v>7408</v>
      </c>
      <c r="D3196" s="3" t="s">
        <v>7409</v>
      </c>
      <c r="E3196" s="3" t="s">
        <v>7410</v>
      </c>
      <c r="F3196" s="48" t="s">
        <v>7416</v>
      </c>
      <c r="G3196" s="3" t="s">
        <v>11450</v>
      </c>
      <c r="H3196" s="54">
        <v>0</v>
      </c>
      <c r="I3196" s="55">
        <v>470000000</v>
      </c>
      <c r="J3196" s="56" t="s">
        <v>229</v>
      </c>
      <c r="K3196" s="57" t="s">
        <v>18437</v>
      </c>
      <c r="L3196" s="57" t="s">
        <v>364</v>
      </c>
      <c r="M3196" s="3" t="s">
        <v>230</v>
      </c>
      <c r="N3196" s="52" t="s">
        <v>16511</v>
      </c>
      <c r="O3196" s="6" t="s">
        <v>365</v>
      </c>
      <c r="P3196" s="58" t="s">
        <v>241</v>
      </c>
      <c r="Q3196" s="48" t="s">
        <v>234</v>
      </c>
      <c r="R3196" s="22">
        <v>20</v>
      </c>
      <c r="S3196" s="59">
        <v>1351.1731200000002</v>
      </c>
      <c r="T3196" s="4">
        <v>0</v>
      </c>
      <c r="U3196" s="4">
        <f t="shared" si="86"/>
        <v>0</v>
      </c>
      <c r="V3196" s="1"/>
      <c r="W3196" s="3">
        <v>2014</v>
      </c>
      <c r="X3196" s="3">
        <v>11.15</v>
      </c>
    </row>
    <row r="3197" spans="1:24" ht="76.5">
      <c r="A3197" s="3" t="s">
        <v>19420</v>
      </c>
      <c r="B3197" s="6" t="s">
        <v>361</v>
      </c>
      <c r="C3197" s="6" t="s">
        <v>7408</v>
      </c>
      <c r="D3197" s="3" t="s">
        <v>7409</v>
      </c>
      <c r="E3197" s="3" t="s">
        <v>7410</v>
      </c>
      <c r="F3197" s="48" t="s">
        <v>7416</v>
      </c>
      <c r="G3197" s="3" t="s">
        <v>11450</v>
      </c>
      <c r="H3197" s="54">
        <v>0</v>
      </c>
      <c r="I3197" s="55">
        <v>470000000</v>
      </c>
      <c r="J3197" s="56" t="s">
        <v>229</v>
      </c>
      <c r="K3197" s="57" t="s">
        <v>19379</v>
      </c>
      <c r="L3197" s="57" t="s">
        <v>364</v>
      </c>
      <c r="M3197" s="3" t="s">
        <v>230</v>
      </c>
      <c r="N3197" s="52" t="s">
        <v>16511</v>
      </c>
      <c r="O3197" s="6" t="s">
        <v>19407</v>
      </c>
      <c r="P3197" s="58" t="s">
        <v>241</v>
      </c>
      <c r="Q3197" s="48" t="s">
        <v>234</v>
      </c>
      <c r="R3197" s="22">
        <v>20</v>
      </c>
      <c r="S3197" s="59">
        <v>1351.1731200000002</v>
      </c>
      <c r="T3197" s="4">
        <f t="shared" ref="T3197" si="108">R3197*S3197</f>
        <v>27023.462400000004</v>
      </c>
      <c r="U3197" s="4">
        <f t="shared" ref="U3197" si="109">T3197*1.12</f>
        <v>30266.277888000008</v>
      </c>
      <c r="V3197" s="1"/>
      <c r="W3197" s="3">
        <v>2014</v>
      </c>
      <c r="X3197" s="3"/>
    </row>
    <row r="3198" spans="1:24" ht="114.75">
      <c r="A3198" s="3" t="s">
        <v>10313</v>
      </c>
      <c r="B3198" s="6" t="s">
        <v>361</v>
      </c>
      <c r="C3198" s="6" t="s">
        <v>7408</v>
      </c>
      <c r="D3198" s="3" t="s">
        <v>7409</v>
      </c>
      <c r="E3198" s="3" t="s">
        <v>7410</v>
      </c>
      <c r="F3198" s="48" t="s">
        <v>7417</v>
      </c>
      <c r="G3198" s="3" t="s">
        <v>11450</v>
      </c>
      <c r="H3198" s="54">
        <v>0</v>
      </c>
      <c r="I3198" s="55">
        <v>470000000</v>
      </c>
      <c r="J3198" s="56" t="s">
        <v>229</v>
      </c>
      <c r="K3198" s="57" t="s">
        <v>7698</v>
      </c>
      <c r="L3198" s="57" t="s">
        <v>364</v>
      </c>
      <c r="M3198" s="3" t="s">
        <v>230</v>
      </c>
      <c r="N3198" s="52" t="s">
        <v>7693</v>
      </c>
      <c r="O3198" s="6" t="s">
        <v>365</v>
      </c>
      <c r="P3198" s="58" t="s">
        <v>241</v>
      </c>
      <c r="Q3198" s="48" t="s">
        <v>234</v>
      </c>
      <c r="R3198" s="22">
        <v>20</v>
      </c>
      <c r="S3198" s="59">
        <v>1054</v>
      </c>
      <c r="T3198" s="4">
        <v>0</v>
      </c>
      <c r="U3198" s="4">
        <f t="shared" si="86"/>
        <v>0</v>
      </c>
      <c r="V3198" s="1"/>
      <c r="W3198" s="3">
        <v>2014</v>
      </c>
      <c r="X3198" s="3" t="s">
        <v>16521</v>
      </c>
    </row>
    <row r="3199" spans="1:24" ht="114.75">
      <c r="A3199" s="3" t="s">
        <v>18983</v>
      </c>
      <c r="B3199" s="6" t="s">
        <v>361</v>
      </c>
      <c r="C3199" s="6" t="s">
        <v>7408</v>
      </c>
      <c r="D3199" s="3" t="s">
        <v>7409</v>
      </c>
      <c r="E3199" s="3" t="s">
        <v>7410</v>
      </c>
      <c r="F3199" s="48" t="s">
        <v>7417</v>
      </c>
      <c r="G3199" s="3" t="s">
        <v>11450</v>
      </c>
      <c r="H3199" s="54">
        <v>0</v>
      </c>
      <c r="I3199" s="55">
        <v>470000000</v>
      </c>
      <c r="J3199" s="56" t="s">
        <v>229</v>
      </c>
      <c r="K3199" s="57" t="s">
        <v>18437</v>
      </c>
      <c r="L3199" s="57" t="s">
        <v>364</v>
      </c>
      <c r="M3199" s="3" t="s">
        <v>230</v>
      </c>
      <c r="N3199" s="52" t="s">
        <v>16511</v>
      </c>
      <c r="O3199" s="6" t="s">
        <v>365</v>
      </c>
      <c r="P3199" s="58" t="s">
        <v>241</v>
      </c>
      <c r="Q3199" s="48" t="s">
        <v>234</v>
      </c>
      <c r="R3199" s="22">
        <v>20</v>
      </c>
      <c r="S3199" s="59">
        <v>1479.0943200000004</v>
      </c>
      <c r="T3199" s="4">
        <v>0</v>
      </c>
      <c r="U3199" s="4">
        <f t="shared" si="86"/>
        <v>0</v>
      </c>
      <c r="V3199" s="1"/>
      <c r="W3199" s="3">
        <v>2014</v>
      </c>
      <c r="X3199" s="3">
        <v>11.15</v>
      </c>
    </row>
    <row r="3200" spans="1:24" ht="76.5">
      <c r="A3200" s="3" t="s">
        <v>19421</v>
      </c>
      <c r="B3200" s="6" t="s">
        <v>361</v>
      </c>
      <c r="C3200" s="6" t="s">
        <v>7408</v>
      </c>
      <c r="D3200" s="3" t="s">
        <v>7409</v>
      </c>
      <c r="E3200" s="3" t="s">
        <v>7410</v>
      </c>
      <c r="F3200" s="48" t="s">
        <v>7417</v>
      </c>
      <c r="G3200" s="3" t="s">
        <v>11450</v>
      </c>
      <c r="H3200" s="54">
        <v>0</v>
      </c>
      <c r="I3200" s="55">
        <v>470000000</v>
      </c>
      <c r="J3200" s="56" t="s">
        <v>229</v>
      </c>
      <c r="K3200" s="57" t="s">
        <v>19379</v>
      </c>
      <c r="L3200" s="57" t="s">
        <v>364</v>
      </c>
      <c r="M3200" s="3" t="s">
        <v>230</v>
      </c>
      <c r="N3200" s="52" t="s">
        <v>16511</v>
      </c>
      <c r="O3200" s="6" t="s">
        <v>19407</v>
      </c>
      <c r="P3200" s="58" t="s">
        <v>241</v>
      </c>
      <c r="Q3200" s="48" t="s">
        <v>234</v>
      </c>
      <c r="R3200" s="22">
        <v>20</v>
      </c>
      <c r="S3200" s="59">
        <v>1479.0943200000004</v>
      </c>
      <c r="T3200" s="4">
        <f t="shared" ref="T3200" si="110">R3200*S3200</f>
        <v>29581.886400000007</v>
      </c>
      <c r="U3200" s="4">
        <f t="shared" ref="U3200" si="111">T3200*1.12</f>
        <v>33131.712768000012</v>
      </c>
      <c r="V3200" s="1"/>
      <c r="W3200" s="3">
        <v>2014</v>
      </c>
      <c r="X3200" s="3"/>
    </row>
    <row r="3201" spans="1:24" ht="114.75">
      <c r="A3201" s="3" t="s">
        <v>10314</v>
      </c>
      <c r="B3201" s="6" t="s">
        <v>361</v>
      </c>
      <c r="C3201" s="6" t="s">
        <v>7408</v>
      </c>
      <c r="D3201" s="3" t="s">
        <v>7409</v>
      </c>
      <c r="E3201" s="3" t="s">
        <v>7410</v>
      </c>
      <c r="F3201" s="48" t="s">
        <v>7418</v>
      </c>
      <c r="G3201" s="3" t="s">
        <v>11450</v>
      </c>
      <c r="H3201" s="54">
        <v>0</v>
      </c>
      <c r="I3201" s="55">
        <v>470000000</v>
      </c>
      <c r="J3201" s="56" t="s">
        <v>229</v>
      </c>
      <c r="K3201" s="57" t="s">
        <v>7698</v>
      </c>
      <c r="L3201" s="57" t="s">
        <v>364</v>
      </c>
      <c r="M3201" s="3" t="s">
        <v>230</v>
      </c>
      <c r="N3201" s="52" t="s">
        <v>7693</v>
      </c>
      <c r="O3201" s="6" t="s">
        <v>365</v>
      </c>
      <c r="P3201" s="58" t="s">
        <v>241</v>
      </c>
      <c r="Q3201" s="48" t="s">
        <v>234</v>
      </c>
      <c r="R3201" s="22">
        <v>20</v>
      </c>
      <c r="S3201" s="59">
        <v>2198.6426000000001</v>
      </c>
      <c r="T3201" s="4">
        <f t="shared" si="85"/>
        <v>43972.851999999999</v>
      </c>
      <c r="U3201" s="4">
        <f t="shared" si="86"/>
        <v>49249.594240000006</v>
      </c>
      <c r="V3201" s="1"/>
      <c r="W3201" s="3">
        <v>2014</v>
      </c>
      <c r="X3201" s="3" t="s">
        <v>14785</v>
      </c>
    </row>
    <row r="3202" spans="1:24" ht="114.75">
      <c r="A3202" s="3" t="s">
        <v>18659</v>
      </c>
      <c r="B3202" s="6" t="s">
        <v>361</v>
      </c>
      <c r="C3202" s="6" t="s">
        <v>7408</v>
      </c>
      <c r="D3202" s="3" t="s">
        <v>7409</v>
      </c>
      <c r="E3202" s="3" t="s">
        <v>7410</v>
      </c>
      <c r="F3202" s="48" t="s">
        <v>7418</v>
      </c>
      <c r="G3202" s="3" t="s">
        <v>11450</v>
      </c>
      <c r="H3202" s="54">
        <v>0</v>
      </c>
      <c r="I3202" s="55">
        <v>470000000</v>
      </c>
      <c r="J3202" s="56" t="s">
        <v>229</v>
      </c>
      <c r="K3202" s="57" t="s">
        <v>9369</v>
      </c>
      <c r="L3202" s="57" t="s">
        <v>364</v>
      </c>
      <c r="M3202" s="3" t="s">
        <v>230</v>
      </c>
      <c r="N3202" s="52" t="s">
        <v>7693</v>
      </c>
      <c r="O3202" s="6" t="s">
        <v>365</v>
      </c>
      <c r="P3202" s="58" t="s">
        <v>241</v>
      </c>
      <c r="Q3202" s="48" t="s">
        <v>234</v>
      </c>
      <c r="R3202" s="22">
        <v>20</v>
      </c>
      <c r="S3202" s="59">
        <v>2638.3711200000002</v>
      </c>
      <c r="T3202" s="4">
        <f t="shared" si="85"/>
        <v>52767.422400000003</v>
      </c>
      <c r="U3202" s="4">
        <f t="shared" si="86"/>
        <v>59099.513088000007</v>
      </c>
      <c r="V3202" s="1"/>
      <c r="W3202" s="3">
        <v>2014</v>
      </c>
      <c r="X3202" s="3"/>
    </row>
    <row r="3203" spans="1:24" ht="114.75">
      <c r="A3203" s="3" t="s">
        <v>10315</v>
      </c>
      <c r="B3203" s="6" t="s">
        <v>361</v>
      </c>
      <c r="C3203" s="6" t="s">
        <v>5149</v>
      </c>
      <c r="D3203" s="6" t="s">
        <v>5150</v>
      </c>
      <c r="E3203" s="6" t="s">
        <v>5151</v>
      </c>
      <c r="F3203" s="48" t="s">
        <v>5130</v>
      </c>
      <c r="G3203" s="3" t="s">
        <v>11450</v>
      </c>
      <c r="H3203" s="54">
        <v>0</v>
      </c>
      <c r="I3203" s="55">
        <v>470000000</v>
      </c>
      <c r="J3203" s="56" t="s">
        <v>229</v>
      </c>
      <c r="K3203" s="57" t="s">
        <v>7698</v>
      </c>
      <c r="L3203" s="57" t="s">
        <v>364</v>
      </c>
      <c r="M3203" s="3" t="s">
        <v>230</v>
      </c>
      <c r="N3203" s="52" t="s">
        <v>7693</v>
      </c>
      <c r="O3203" s="6" t="s">
        <v>365</v>
      </c>
      <c r="P3203" s="58" t="s">
        <v>241</v>
      </c>
      <c r="Q3203" s="48" t="s">
        <v>234</v>
      </c>
      <c r="R3203" s="22">
        <v>20</v>
      </c>
      <c r="S3203" s="59">
        <v>159.929</v>
      </c>
      <c r="T3203" s="4">
        <f t="shared" si="85"/>
        <v>3198.58</v>
      </c>
      <c r="U3203" s="4">
        <f t="shared" si="86"/>
        <v>3582.4096000000004</v>
      </c>
      <c r="V3203" s="1"/>
      <c r="W3203" s="3">
        <v>2014</v>
      </c>
      <c r="X3203" s="3"/>
    </row>
    <row r="3204" spans="1:24" ht="114.75">
      <c r="A3204" s="3" t="s">
        <v>10316</v>
      </c>
      <c r="B3204" s="6" t="s">
        <v>361</v>
      </c>
      <c r="C3204" s="6" t="s">
        <v>5152</v>
      </c>
      <c r="D3204" s="6" t="s">
        <v>5150</v>
      </c>
      <c r="E3204" s="6" t="s">
        <v>5153</v>
      </c>
      <c r="F3204" s="48" t="s">
        <v>5131</v>
      </c>
      <c r="G3204" s="3" t="s">
        <v>11450</v>
      </c>
      <c r="H3204" s="54">
        <v>0</v>
      </c>
      <c r="I3204" s="55">
        <v>470000000</v>
      </c>
      <c r="J3204" s="56" t="s">
        <v>229</v>
      </c>
      <c r="K3204" s="57" t="s">
        <v>7698</v>
      </c>
      <c r="L3204" s="57" t="s">
        <v>364</v>
      </c>
      <c r="M3204" s="3" t="s">
        <v>230</v>
      </c>
      <c r="N3204" s="52" t="s">
        <v>7693</v>
      </c>
      <c r="O3204" s="6" t="s">
        <v>365</v>
      </c>
      <c r="P3204" s="58" t="s">
        <v>241</v>
      </c>
      <c r="Q3204" s="48" t="s">
        <v>234</v>
      </c>
      <c r="R3204" s="22">
        <v>20</v>
      </c>
      <c r="S3204" s="59">
        <v>186.55780000000004</v>
      </c>
      <c r="T3204" s="4">
        <f t="shared" si="85"/>
        <v>3731.1560000000009</v>
      </c>
      <c r="U3204" s="4">
        <f t="shared" si="86"/>
        <v>4178.8947200000011</v>
      </c>
      <c r="V3204" s="1"/>
      <c r="W3204" s="3">
        <v>2014</v>
      </c>
      <c r="X3204" s="3"/>
    </row>
    <row r="3205" spans="1:24" ht="114.75">
      <c r="A3205" s="3" t="s">
        <v>10317</v>
      </c>
      <c r="B3205" s="6" t="s">
        <v>361</v>
      </c>
      <c r="C3205" s="6" t="s">
        <v>5154</v>
      </c>
      <c r="D3205" s="6" t="s">
        <v>5150</v>
      </c>
      <c r="E3205" s="6" t="s">
        <v>5155</v>
      </c>
      <c r="F3205" s="48" t="s">
        <v>5132</v>
      </c>
      <c r="G3205" s="3" t="s">
        <v>11450</v>
      </c>
      <c r="H3205" s="54">
        <v>0</v>
      </c>
      <c r="I3205" s="55">
        <v>470000000</v>
      </c>
      <c r="J3205" s="56" t="s">
        <v>229</v>
      </c>
      <c r="K3205" s="57" t="s">
        <v>7698</v>
      </c>
      <c r="L3205" s="57" t="s">
        <v>364</v>
      </c>
      <c r="M3205" s="3" t="s">
        <v>230</v>
      </c>
      <c r="N3205" s="52" t="s">
        <v>7693</v>
      </c>
      <c r="O3205" s="6" t="s">
        <v>365</v>
      </c>
      <c r="P3205" s="58" t="s">
        <v>241</v>
      </c>
      <c r="Q3205" s="48" t="s">
        <v>234</v>
      </c>
      <c r="R3205" s="22">
        <v>25</v>
      </c>
      <c r="S3205" s="59">
        <v>223.86210000000003</v>
      </c>
      <c r="T3205" s="4">
        <f t="shared" si="85"/>
        <v>5596.5525000000007</v>
      </c>
      <c r="U3205" s="4">
        <f t="shared" si="86"/>
        <v>6268.1388000000015</v>
      </c>
      <c r="V3205" s="1"/>
      <c r="W3205" s="3">
        <v>2014</v>
      </c>
      <c r="X3205" s="3"/>
    </row>
    <row r="3206" spans="1:24" ht="114.75">
      <c r="A3206" s="3" t="s">
        <v>10318</v>
      </c>
      <c r="B3206" s="6" t="s">
        <v>361</v>
      </c>
      <c r="C3206" s="6" t="s">
        <v>5156</v>
      </c>
      <c r="D3206" s="6" t="s">
        <v>5150</v>
      </c>
      <c r="E3206" s="6" t="s">
        <v>5157</v>
      </c>
      <c r="F3206" s="48" t="s">
        <v>5133</v>
      </c>
      <c r="G3206" s="3" t="s">
        <v>11450</v>
      </c>
      <c r="H3206" s="54">
        <v>0</v>
      </c>
      <c r="I3206" s="55">
        <v>470000000</v>
      </c>
      <c r="J3206" s="56" t="s">
        <v>229</v>
      </c>
      <c r="K3206" s="57" t="s">
        <v>7698</v>
      </c>
      <c r="L3206" s="57" t="s">
        <v>364</v>
      </c>
      <c r="M3206" s="3" t="s">
        <v>230</v>
      </c>
      <c r="N3206" s="52" t="s">
        <v>7693</v>
      </c>
      <c r="O3206" s="6" t="s">
        <v>365</v>
      </c>
      <c r="P3206" s="58" t="s">
        <v>241</v>
      </c>
      <c r="Q3206" s="48" t="s">
        <v>234</v>
      </c>
      <c r="R3206" s="22">
        <v>25</v>
      </c>
      <c r="S3206" s="59">
        <v>259.83539999999999</v>
      </c>
      <c r="T3206" s="4">
        <f t="shared" si="85"/>
        <v>6495.8850000000002</v>
      </c>
      <c r="U3206" s="4">
        <f t="shared" si="86"/>
        <v>7275.3912000000009</v>
      </c>
      <c r="V3206" s="1"/>
      <c r="W3206" s="3">
        <v>2014</v>
      </c>
      <c r="X3206" s="3"/>
    </row>
    <row r="3207" spans="1:24" ht="114.75">
      <c r="A3207" s="3" t="s">
        <v>10319</v>
      </c>
      <c r="B3207" s="6" t="s">
        <v>361</v>
      </c>
      <c r="C3207" s="6" t="s">
        <v>5158</v>
      </c>
      <c r="D3207" s="6" t="s">
        <v>5150</v>
      </c>
      <c r="E3207" s="6" t="s">
        <v>5159</v>
      </c>
      <c r="F3207" s="48" t="s">
        <v>5134</v>
      </c>
      <c r="G3207" s="3" t="s">
        <v>11450</v>
      </c>
      <c r="H3207" s="54">
        <v>0</v>
      </c>
      <c r="I3207" s="55">
        <v>470000000</v>
      </c>
      <c r="J3207" s="56" t="s">
        <v>229</v>
      </c>
      <c r="K3207" s="57" t="s">
        <v>7698</v>
      </c>
      <c r="L3207" s="57" t="s">
        <v>364</v>
      </c>
      <c r="M3207" s="3" t="s">
        <v>230</v>
      </c>
      <c r="N3207" s="52" t="s">
        <v>7693</v>
      </c>
      <c r="O3207" s="6" t="s">
        <v>365</v>
      </c>
      <c r="P3207" s="58" t="s">
        <v>241</v>
      </c>
      <c r="Q3207" s="48" t="s">
        <v>234</v>
      </c>
      <c r="R3207" s="22">
        <v>25</v>
      </c>
      <c r="S3207" s="59">
        <v>293.15879999999999</v>
      </c>
      <c r="T3207" s="4">
        <f t="shared" si="85"/>
        <v>7328.9699999999993</v>
      </c>
      <c r="U3207" s="4">
        <f t="shared" si="86"/>
        <v>8208.4464000000007</v>
      </c>
      <c r="V3207" s="1"/>
      <c r="W3207" s="3">
        <v>2014</v>
      </c>
      <c r="X3207" s="3"/>
    </row>
    <row r="3208" spans="1:24" ht="114.75">
      <c r="A3208" s="3" t="s">
        <v>10320</v>
      </c>
      <c r="B3208" s="6" t="s">
        <v>361</v>
      </c>
      <c r="C3208" s="6" t="s">
        <v>5160</v>
      </c>
      <c r="D3208" s="6" t="s">
        <v>5150</v>
      </c>
      <c r="E3208" s="6" t="s">
        <v>5161</v>
      </c>
      <c r="F3208" s="48" t="s">
        <v>5135</v>
      </c>
      <c r="G3208" s="3" t="s">
        <v>11450</v>
      </c>
      <c r="H3208" s="54">
        <v>0</v>
      </c>
      <c r="I3208" s="55">
        <v>470000000</v>
      </c>
      <c r="J3208" s="56" t="s">
        <v>229</v>
      </c>
      <c r="K3208" s="57" t="s">
        <v>7698</v>
      </c>
      <c r="L3208" s="57" t="s">
        <v>364</v>
      </c>
      <c r="M3208" s="3" t="s">
        <v>230</v>
      </c>
      <c r="N3208" s="52" t="s">
        <v>7693</v>
      </c>
      <c r="O3208" s="6" t="s">
        <v>365</v>
      </c>
      <c r="P3208" s="58" t="s">
        <v>241</v>
      </c>
      <c r="Q3208" s="48" t="s">
        <v>234</v>
      </c>
      <c r="R3208" s="22">
        <v>25</v>
      </c>
      <c r="S3208" s="59">
        <v>379.77060000000006</v>
      </c>
      <c r="T3208" s="4">
        <f t="shared" si="85"/>
        <v>9494.2650000000012</v>
      </c>
      <c r="U3208" s="4">
        <f t="shared" si="86"/>
        <v>10633.576800000003</v>
      </c>
      <c r="V3208" s="1"/>
      <c r="W3208" s="3">
        <v>2014</v>
      </c>
      <c r="X3208" s="3"/>
    </row>
    <row r="3209" spans="1:24" ht="114.75">
      <c r="A3209" s="3" t="s">
        <v>10321</v>
      </c>
      <c r="B3209" s="6" t="s">
        <v>361</v>
      </c>
      <c r="C3209" s="6" t="s">
        <v>5162</v>
      </c>
      <c r="D3209" s="6" t="s">
        <v>5150</v>
      </c>
      <c r="E3209" s="6" t="s">
        <v>5163</v>
      </c>
      <c r="F3209" s="48" t="s">
        <v>5136</v>
      </c>
      <c r="G3209" s="3" t="s">
        <v>11450</v>
      </c>
      <c r="H3209" s="54">
        <v>0</v>
      </c>
      <c r="I3209" s="55">
        <v>470000000</v>
      </c>
      <c r="J3209" s="56" t="s">
        <v>229</v>
      </c>
      <c r="K3209" s="57" t="s">
        <v>7698</v>
      </c>
      <c r="L3209" s="57" t="s">
        <v>364</v>
      </c>
      <c r="M3209" s="3" t="s">
        <v>230</v>
      </c>
      <c r="N3209" s="52" t="s">
        <v>7693</v>
      </c>
      <c r="O3209" s="6" t="s">
        <v>365</v>
      </c>
      <c r="P3209" s="58" t="s">
        <v>241</v>
      </c>
      <c r="Q3209" s="48" t="s">
        <v>234</v>
      </c>
      <c r="R3209" s="22">
        <v>25</v>
      </c>
      <c r="S3209" s="59">
        <v>496</v>
      </c>
      <c r="T3209" s="4">
        <f t="shared" si="85"/>
        <v>12400</v>
      </c>
      <c r="U3209" s="4">
        <f t="shared" si="86"/>
        <v>13888.000000000002</v>
      </c>
      <c r="V3209" s="1"/>
      <c r="W3209" s="3">
        <v>2014</v>
      </c>
      <c r="X3209" s="3"/>
    </row>
    <row r="3210" spans="1:24" ht="114.75">
      <c r="A3210" s="3" t="s">
        <v>10322</v>
      </c>
      <c r="B3210" s="6" t="s">
        <v>361</v>
      </c>
      <c r="C3210" s="6" t="s">
        <v>5164</v>
      </c>
      <c r="D3210" s="6" t="s">
        <v>5150</v>
      </c>
      <c r="E3210" s="6" t="s">
        <v>5165</v>
      </c>
      <c r="F3210" s="48" t="s">
        <v>5137</v>
      </c>
      <c r="G3210" s="3" t="s">
        <v>11450</v>
      </c>
      <c r="H3210" s="54">
        <v>0</v>
      </c>
      <c r="I3210" s="55">
        <v>470000000</v>
      </c>
      <c r="J3210" s="56" t="s">
        <v>229</v>
      </c>
      <c r="K3210" s="57" t="s">
        <v>7698</v>
      </c>
      <c r="L3210" s="57" t="s">
        <v>364</v>
      </c>
      <c r="M3210" s="3" t="s">
        <v>230</v>
      </c>
      <c r="N3210" s="52" t="s">
        <v>7693</v>
      </c>
      <c r="O3210" s="6" t="s">
        <v>365</v>
      </c>
      <c r="P3210" s="58" t="s">
        <v>241</v>
      </c>
      <c r="Q3210" s="48" t="s">
        <v>234</v>
      </c>
      <c r="R3210" s="22">
        <v>25</v>
      </c>
      <c r="S3210" s="59">
        <v>598</v>
      </c>
      <c r="T3210" s="4">
        <f t="shared" si="85"/>
        <v>14950</v>
      </c>
      <c r="U3210" s="4">
        <f t="shared" si="86"/>
        <v>16744</v>
      </c>
      <c r="V3210" s="1"/>
      <c r="W3210" s="3">
        <v>2014</v>
      </c>
      <c r="X3210" s="3"/>
    </row>
    <row r="3211" spans="1:24" ht="114.75">
      <c r="A3211" s="3" t="s">
        <v>10323</v>
      </c>
      <c r="B3211" s="6" t="s">
        <v>361</v>
      </c>
      <c r="C3211" s="6" t="s">
        <v>5166</v>
      </c>
      <c r="D3211" s="6" t="s">
        <v>5150</v>
      </c>
      <c r="E3211" s="6" t="s">
        <v>5167</v>
      </c>
      <c r="F3211" s="48" t="s">
        <v>5138</v>
      </c>
      <c r="G3211" s="3" t="s">
        <v>11450</v>
      </c>
      <c r="H3211" s="54">
        <v>0</v>
      </c>
      <c r="I3211" s="55">
        <v>470000000</v>
      </c>
      <c r="J3211" s="56" t="s">
        <v>229</v>
      </c>
      <c r="K3211" s="57" t="s">
        <v>7698</v>
      </c>
      <c r="L3211" s="57" t="s">
        <v>364</v>
      </c>
      <c r="M3211" s="3" t="s">
        <v>230</v>
      </c>
      <c r="N3211" s="52" t="s">
        <v>7693</v>
      </c>
      <c r="O3211" s="6" t="s">
        <v>365</v>
      </c>
      <c r="P3211" s="58" t="s">
        <v>241</v>
      </c>
      <c r="Q3211" s="48" t="s">
        <v>234</v>
      </c>
      <c r="R3211" s="22">
        <v>25</v>
      </c>
      <c r="S3211" s="59">
        <v>739</v>
      </c>
      <c r="T3211" s="4">
        <f t="shared" si="85"/>
        <v>18475</v>
      </c>
      <c r="U3211" s="4">
        <f t="shared" si="86"/>
        <v>20692.000000000004</v>
      </c>
      <c r="V3211" s="1"/>
      <c r="W3211" s="3">
        <v>2014</v>
      </c>
      <c r="X3211" s="3"/>
    </row>
    <row r="3212" spans="1:24" ht="114.75">
      <c r="A3212" s="3" t="s">
        <v>10324</v>
      </c>
      <c r="B3212" s="6" t="s">
        <v>361</v>
      </c>
      <c r="C3212" s="6" t="s">
        <v>5168</v>
      </c>
      <c r="D3212" s="6" t="s">
        <v>5150</v>
      </c>
      <c r="E3212" s="6" t="s">
        <v>5169</v>
      </c>
      <c r="F3212" s="48" t="s">
        <v>5139</v>
      </c>
      <c r="G3212" s="3" t="s">
        <v>11450</v>
      </c>
      <c r="H3212" s="54">
        <v>0</v>
      </c>
      <c r="I3212" s="55">
        <v>470000000</v>
      </c>
      <c r="J3212" s="56" t="s">
        <v>229</v>
      </c>
      <c r="K3212" s="57" t="s">
        <v>7698</v>
      </c>
      <c r="L3212" s="57" t="s">
        <v>364</v>
      </c>
      <c r="M3212" s="3" t="s">
        <v>230</v>
      </c>
      <c r="N3212" s="52" t="s">
        <v>7693</v>
      </c>
      <c r="O3212" s="6" t="s">
        <v>365</v>
      </c>
      <c r="P3212" s="58" t="s">
        <v>241</v>
      </c>
      <c r="Q3212" s="48" t="s">
        <v>234</v>
      </c>
      <c r="R3212" s="22">
        <v>20</v>
      </c>
      <c r="S3212" s="59">
        <v>866.13010000000008</v>
      </c>
      <c r="T3212" s="4">
        <f t="shared" si="85"/>
        <v>17322.602000000003</v>
      </c>
      <c r="U3212" s="4">
        <f t="shared" si="86"/>
        <v>19401.314240000003</v>
      </c>
      <c r="V3212" s="1"/>
      <c r="W3212" s="3">
        <v>2014</v>
      </c>
      <c r="X3212" s="3"/>
    </row>
    <row r="3213" spans="1:24" ht="114.75">
      <c r="A3213" s="3" t="s">
        <v>10325</v>
      </c>
      <c r="B3213" s="6" t="s">
        <v>361</v>
      </c>
      <c r="C3213" s="6" t="s">
        <v>5170</v>
      </c>
      <c r="D3213" s="6" t="s">
        <v>5150</v>
      </c>
      <c r="E3213" s="6" t="s">
        <v>5171</v>
      </c>
      <c r="F3213" s="48" t="s">
        <v>5140</v>
      </c>
      <c r="G3213" s="3" t="s">
        <v>11450</v>
      </c>
      <c r="H3213" s="54">
        <v>0</v>
      </c>
      <c r="I3213" s="55">
        <v>470000000</v>
      </c>
      <c r="J3213" s="56" t="s">
        <v>229</v>
      </c>
      <c r="K3213" s="57" t="s">
        <v>7698</v>
      </c>
      <c r="L3213" s="57" t="s">
        <v>364</v>
      </c>
      <c r="M3213" s="3" t="s">
        <v>230</v>
      </c>
      <c r="N3213" s="52" t="s">
        <v>7693</v>
      </c>
      <c r="O3213" s="6" t="s">
        <v>365</v>
      </c>
      <c r="P3213" s="58" t="s">
        <v>241</v>
      </c>
      <c r="Q3213" s="48" t="s">
        <v>234</v>
      </c>
      <c r="R3213" s="22">
        <v>20</v>
      </c>
      <c r="S3213" s="59">
        <v>1125.9776000000002</v>
      </c>
      <c r="T3213" s="4">
        <v>0</v>
      </c>
      <c r="U3213" s="4">
        <f t="shared" si="86"/>
        <v>0</v>
      </c>
      <c r="V3213" s="1"/>
      <c r="W3213" s="3">
        <v>2014</v>
      </c>
      <c r="X3213" s="3" t="s">
        <v>16521</v>
      </c>
    </row>
    <row r="3214" spans="1:24" ht="114.75">
      <c r="A3214" s="3" t="s">
        <v>18984</v>
      </c>
      <c r="B3214" s="6" t="s">
        <v>361</v>
      </c>
      <c r="C3214" s="6" t="s">
        <v>5170</v>
      </c>
      <c r="D3214" s="6" t="s">
        <v>5150</v>
      </c>
      <c r="E3214" s="6" t="s">
        <v>5171</v>
      </c>
      <c r="F3214" s="48" t="s">
        <v>5140</v>
      </c>
      <c r="G3214" s="3" t="s">
        <v>11450</v>
      </c>
      <c r="H3214" s="54">
        <v>0</v>
      </c>
      <c r="I3214" s="55">
        <v>470000000</v>
      </c>
      <c r="J3214" s="56" t="s">
        <v>229</v>
      </c>
      <c r="K3214" s="57" t="s">
        <v>18437</v>
      </c>
      <c r="L3214" s="57" t="s">
        <v>364</v>
      </c>
      <c r="M3214" s="3" t="s">
        <v>230</v>
      </c>
      <c r="N3214" s="52" t="s">
        <v>16511</v>
      </c>
      <c r="O3214" s="6" t="s">
        <v>365</v>
      </c>
      <c r="P3214" s="58" t="s">
        <v>241</v>
      </c>
      <c r="Q3214" s="48" t="s">
        <v>234</v>
      </c>
      <c r="R3214" s="22">
        <v>20</v>
      </c>
      <c r="S3214" s="59">
        <v>1351.1731200000002</v>
      </c>
      <c r="T3214" s="4">
        <f t="shared" ref="T3214" si="112">R3214*S3214</f>
        <v>27023.462400000004</v>
      </c>
      <c r="U3214" s="4">
        <f t="shared" si="86"/>
        <v>30266.277888000008</v>
      </c>
      <c r="V3214" s="1"/>
      <c r="W3214" s="3">
        <v>2014</v>
      </c>
      <c r="X3214" s="3"/>
    </row>
    <row r="3215" spans="1:24" ht="114.75">
      <c r="A3215" s="3" t="s">
        <v>10326</v>
      </c>
      <c r="B3215" s="6" t="s">
        <v>361</v>
      </c>
      <c r="C3215" s="6" t="s">
        <v>5172</v>
      </c>
      <c r="D3215" s="6" t="s">
        <v>5150</v>
      </c>
      <c r="E3215" s="6" t="s">
        <v>5173</v>
      </c>
      <c r="F3215" s="48" t="s">
        <v>5141</v>
      </c>
      <c r="G3215" s="3" t="s">
        <v>11450</v>
      </c>
      <c r="H3215" s="54">
        <v>0</v>
      </c>
      <c r="I3215" s="55">
        <v>470000000</v>
      </c>
      <c r="J3215" s="56" t="s">
        <v>229</v>
      </c>
      <c r="K3215" s="57" t="s">
        <v>7698</v>
      </c>
      <c r="L3215" s="57" t="s">
        <v>364</v>
      </c>
      <c r="M3215" s="3" t="s">
        <v>230</v>
      </c>
      <c r="N3215" s="52" t="s">
        <v>7693</v>
      </c>
      <c r="O3215" s="6" t="s">
        <v>365</v>
      </c>
      <c r="P3215" s="58" t="s">
        <v>241</v>
      </c>
      <c r="Q3215" s="48" t="s">
        <v>234</v>
      </c>
      <c r="R3215" s="22">
        <v>20</v>
      </c>
      <c r="S3215" s="59">
        <v>2008</v>
      </c>
      <c r="T3215" s="4">
        <f t="shared" si="85"/>
        <v>40160</v>
      </c>
      <c r="U3215" s="4">
        <f t="shared" si="86"/>
        <v>44979.200000000004</v>
      </c>
      <c r="V3215" s="1"/>
      <c r="W3215" s="3">
        <v>2014</v>
      </c>
      <c r="X3215" s="3"/>
    </row>
    <row r="3216" spans="1:24" ht="114.75">
      <c r="A3216" s="3" t="s">
        <v>10327</v>
      </c>
      <c r="B3216" s="6" t="s">
        <v>361</v>
      </c>
      <c r="C3216" s="6" t="s">
        <v>5174</v>
      </c>
      <c r="D3216" s="6" t="s">
        <v>5150</v>
      </c>
      <c r="E3216" s="6" t="s">
        <v>5175</v>
      </c>
      <c r="F3216" s="48" t="s">
        <v>5142</v>
      </c>
      <c r="G3216" s="3" t="s">
        <v>11450</v>
      </c>
      <c r="H3216" s="54">
        <v>0</v>
      </c>
      <c r="I3216" s="55">
        <v>470000000</v>
      </c>
      <c r="J3216" s="56" t="s">
        <v>229</v>
      </c>
      <c r="K3216" s="57" t="s">
        <v>7698</v>
      </c>
      <c r="L3216" s="57" t="s">
        <v>364</v>
      </c>
      <c r="M3216" s="3" t="s">
        <v>230</v>
      </c>
      <c r="N3216" s="52" t="s">
        <v>7693</v>
      </c>
      <c r="O3216" s="6" t="s">
        <v>365</v>
      </c>
      <c r="P3216" s="58" t="s">
        <v>241</v>
      </c>
      <c r="Q3216" s="48" t="s">
        <v>234</v>
      </c>
      <c r="R3216" s="22">
        <v>20</v>
      </c>
      <c r="S3216" s="59">
        <v>3271.3197000000005</v>
      </c>
      <c r="T3216" s="4">
        <f t="shared" si="85"/>
        <v>65426.394000000008</v>
      </c>
      <c r="U3216" s="4">
        <f t="shared" si="86"/>
        <v>73277.561280000009</v>
      </c>
      <c r="V3216" s="1"/>
      <c r="W3216" s="3">
        <v>2014</v>
      </c>
      <c r="X3216" s="3"/>
    </row>
    <row r="3217" spans="1:24" ht="114.75">
      <c r="A3217" s="3" t="s">
        <v>10328</v>
      </c>
      <c r="B3217" s="6" t="s">
        <v>361</v>
      </c>
      <c r="C3217" s="6" t="s">
        <v>5176</v>
      </c>
      <c r="D3217" s="6" t="s">
        <v>5177</v>
      </c>
      <c r="E3217" s="6" t="s">
        <v>3003</v>
      </c>
      <c r="F3217" s="48" t="s">
        <v>5143</v>
      </c>
      <c r="G3217" s="3" t="s">
        <v>11450</v>
      </c>
      <c r="H3217" s="54">
        <v>0</v>
      </c>
      <c r="I3217" s="55">
        <v>470000000</v>
      </c>
      <c r="J3217" s="56" t="s">
        <v>229</v>
      </c>
      <c r="K3217" s="57" t="s">
        <v>7698</v>
      </c>
      <c r="L3217" s="57" t="s">
        <v>364</v>
      </c>
      <c r="M3217" s="3" t="s">
        <v>230</v>
      </c>
      <c r="N3217" s="52" t="s">
        <v>7693</v>
      </c>
      <c r="O3217" s="6" t="s">
        <v>365</v>
      </c>
      <c r="P3217" s="58" t="s">
        <v>242</v>
      </c>
      <c r="Q3217" s="48" t="s">
        <v>239</v>
      </c>
      <c r="R3217" s="22">
        <v>20</v>
      </c>
      <c r="S3217" s="106">
        <v>4356</v>
      </c>
      <c r="T3217" s="4">
        <f t="shared" si="85"/>
        <v>87120</v>
      </c>
      <c r="U3217" s="4">
        <f t="shared" si="86"/>
        <v>97574.400000000009</v>
      </c>
      <c r="V3217" s="1"/>
      <c r="W3217" s="3">
        <v>2014</v>
      </c>
      <c r="X3217" s="3"/>
    </row>
    <row r="3218" spans="1:24" ht="114.75">
      <c r="A3218" s="3" t="s">
        <v>10329</v>
      </c>
      <c r="B3218" s="6" t="s">
        <v>361</v>
      </c>
      <c r="C3218" s="6" t="s">
        <v>5178</v>
      </c>
      <c r="D3218" s="6" t="s">
        <v>5179</v>
      </c>
      <c r="E3218" s="6" t="s">
        <v>5180</v>
      </c>
      <c r="F3218" s="48" t="s">
        <v>5144</v>
      </c>
      <c r="G3218" s="3" t="s">
        <v>11450</v>
      </c>
      <c r="H3218" s="54">
        <v>0</v>
      </c>
      <c r="I3218" s="55">
        <v>470000000</v>
      </c>
      <c r="J3218" s="56" t="s">
        <v>229</v>
      </c>
      <c r="K3218" s="57" t="s">
        <v>7698</v>
      </c>
      <c r="L3218" s="57" t="s">
        <v>364</v>
      </c>
      <c r="M3218" s="3" t="s">
        <v>230</v>
      </c>
      <c r="N3218" s="52" t="s">
        <v>7693</v>
      </c>
      <c r="O3218" s="6" t="s">
        <v>365</v>
      </c>
      <c r="P3218" s="58" t="s">
        <v>241</v>
      </c>
      <c r="Q3218" s="48" t="s">
        <v>234</v>
      </c>
      <c r="R3218" s="22">
        <v>20</v>
      </c>
      <c r="S3218" s="106">
        <v>17424</v>
      </c>
      <c r="T3218" s="4">
        <v>0</v>
      </c>
      <c r="U3218" s="4">
        <f t="shared" si="86"/>
        <v>0</v>
      </c>
      <c r="V3218" s="1"/>
      <c r="W3218" s="3">
        <v>2014</v>
      </c>
      <c r="X3218" s="3" t="s">
        <v>14785</v>
      </c>
    </row>
    <row r="3219" spans="1:24" ht="114.75">
      <c r="A3219" s="3" t="s">
        <v>18660</v>
      </c>
      <c r="B3219" s="6" t="s">
        <v>361</v>
      </c>
      <c r="C3219" s="6" t="s">
        <v>5178</v>
      </c>
      <c r="D3219" s="6" t="s">
        <v>5179</v>
      </c>
      <c r="E3219" s="6" t="s">
        <v>5180</v>
      </c>
      <c r="F3219" s="48" t="s">
        <v>5144</v>
      </c>
      <c r="G3219" s="3" t="s">
        <v>11450</v>
      </c>
      <c r="H3219" s="54">
        <v>0</v>
      </c>
      <c r="I3219" s="55">
        <v>470000000</v>
      </c>
      <c r="J3219" s="56" t="s">
        <v>229</v>
      </c>
      <c r="K3219" s="57" t="s">
        <v>9369</v>
      </c>
      <c r="L3219" s="57" t="s">
        <v>364</v>
      </c>
      <c r="M3219" s="3" t="s">
        <v>230</v>
      </c>
      <c r="N3219" s="52" t="s">
        <v>7693</v>
      </c>
      <c r="O3219" s="6" t="s">
        <v>365</v>
      </c>
      <c r="P3219" s="58" t="s">
        <v>241</v>
      </c>
      <c r="Q3219" s="48" t="s">
        <v>234</v>
      </c>
      <c r="R3219" s="22">
        <v>20</v>
      </c>
      <c r="S3219" s="106">
        <v>20908.8</v>
      </c>
      <c r="T3219" s="4">
        <f t="shared" ref="T3219" si="113">R3219*S3219</f>
        <v>418176</v>
      </c>
      <c r="U3219" s="4">
        <f t="shared" si="86"/>
        <v>468357.12000000005</v>
      </c>
      <c r="V3219" s="1"/>
      <c r="W3219" s="3">
        <v>2014</v>
      </c>
      <c r="X3219" s="3"/>
    </row>
    <row r="3220" spans="1:24" ht="114.75">
      <c r="A3220" s="3" t="s">
        <v>10330</v>
      </c>
      <c r="B3220" s="6" t="s">
        <v>361</v>
      </c>
      <c r="C3220" s="6" t="s">
        <v>5178</v>
      </c>
      <c r="D3220" s="6" t="s">
        <v>5179</v>
      </c>
      <c r="E3220" s="6" t="s">
        <v>5180</v>
      </c>
      <c r="F3220" s="48" t="s">
        <v>5145</v>
      </c>
      <c r="G3220" s="3" t="s">
        <v>11450</v>
      </c>
      <c r="H3220" s="54">
        <v>0</v>
      </c>
      <c r="I3220" s="55">
        <v>470000000</v>
      </c>
      <c r="J3220" s="56" t="s">
        <v>229</v>
      </c>
      <c r="K3220" s="57" t="s">
        <v>7698</v>
      </c>
      <c r="L3220" s="57" t="s">
        <v>364</v>
      </c>
      <c r="M3220" s="3" t="s">
        <v>230</v>
      </c>
      <c r="N3220" s="52" t="s">
        <v>7693</v>
      </c>
      <c r="O3220" s="6" t="s">
        <v>365</v>
      </c>
      <c r="P3220" s="58" t="s">
        <v>241</v>
      </c>
      <c r="Q3220" s="48" t="s">
        <v>234</v>
      </c>
      <c r="R3220" s="22">
        <v>20</v>
      </c>
      <c r="S3220" s="106">
        <v>12144</v>
      </c>
      <c r="T3220" s="4">
        <v>0</v>
      </c>
      <c r="U3220" s="4">
        <f t="shared" si="86"/>
        <v>0</v>
      </c>
      <c r="V3220" s="1"/>
      <c r="W3220" s="3">
        <v>2014</v>
      </c>
      <c r="X3220" s="3" t="s">
        <v>14785</v>
      </c>
    </row>
    <row r="3221" spans="1:24" ht="114.75">
      <c r="A3221" s="3" t="s">
        <v>18661</v>
      </c>
      <c r="B3221" s="6" t="s">
        <v>361</v>
      </c>
      <c r="C3221" s="6" t="s">
        <v>5178</v>
      </c>
      <c r="D3221" s="6" t="s">
        <v>5179</v>
      </c>
      <c r="E3221" s="6" t="s">
        <v>5180</v>
      </c>
      <c r="F3221" s="48" t="s">
        <v>5145</v>
      </c>
      <c r="G3221" s="3" t="s">
        <v>11450</v>
      </c>
      <c r="H3221" s="54">
        <v>0</v>
      </c>
      <c r="I3221" s="55">
        <v>470000000</v>
      </c>
      <c r="J3221" s="56" t="s">
        <v>229</v>
      </c>
      <c r="K3221" s="57" t="s">
        <v>9369</v>
      </c>
      <c r="L3221" s="57" t="s">
        <v>364</v>
      </c>
      <c r="M3221" s="3" t="s">
        <v>230</v>
      </c>
      <c r="N3221" s="52" t="s">
        <v>7693</v>
      </c>
      <c r="O3221" s="6" t="s">
        <v>365</v>
      </c>
      <c r="P3221" s="58" t="s">
        <v>241</v>
      </c>
      <c r="Q3221" s="48" t="s">
        <v>234</v>
      </c>
      <c r="R3221" s="22">
        <v>20</v>
      </c>
      <c r="S3221" s="106">
        <v>14572.8</v>
      </c>
      <c r="T3221" s="4">
        <f t="shared" ref="T3221" si="114">R3221*S3221</f>
        <v>291456</v>
      </c>
      <c r="U3221" s="4">
        <f t="shared" si="86"/>
        <v>326430.72000000003</v>
      </c>
      <c r="V3221" s="1"/>
      <c r="W3221" s="3">
        <v>2014</v>
      </c>
      <c r="X3221" s="3"/>
    </row>
    <row r="3222" spans="1:24" ht="114.75">
      <c r="A3222" s="3" t="s">
        <v>10331</v>
      </c>
      <c r="B3222" s="6" t="s">
        <v>361</v>
      </c>
      <c r="C3222" s="6" t="s">
        <v>5181</v>
      </c>
      <c r="D3222" s="6" t="s">
        <v>5182</v>
      </c>
      <c r="E3222" s="6" t="s">
        <v>5183</v>
      </c>
      <c r="F3222" s="48" t="s">
        <v>5146</v>
      </c>
      <c r="G3222" s="3" t="s">
        <v>11450</v>
      </c>
      <c r="H3222" s="54">
        <v>0</v>
      </c>
      <c r="I3222" s="55">
        <v>470000000</v>
      </c>
      <c r="J3222" s="56" t="s">
        <v>229</v>
      </c>
      <c r="K3222" s="57" t="s">
        <v>7698</v>
      </c>
      <c r="L3222" s="57" t="s">
        <v>364</v>
      </c>
      <c r="M3222" s="3" t="s">
        <v>230</v>
      </c>
      <c r="N3222" s="52" t="s">
        <v>7693</v>
      </c>
      <c r="O3222" s="6" t="s">
        <v>365</v>
      </c>
      <c r="P3222" s="58" t="s">
        <v>241</v>
      </c>
      <c r="Q3222" s="48" t="s">
        <v>234</v>
      </c>
      <c r="R3222" s="22">
        <v>6</v>
      </c>
      <c r="S3222" s="106">
        <v>3300</v>
      </c>
      <c r="T3222" s="4">
        <v>0</v>
      </c>
      <c r="U3222" s="4">
        <f t="shared" si="86"/>
        <v>0</v>
      </c>
      <c r="V3222" s="1"/>
      <c r="W3222" s="3">
        <v>2014</v>
      </c>
      <c r="X3222" s="3" t="s">
        <v>14785</v>
      </c>
    </row>
    <row r="3223" spans="1:24" ht="114.75">
      <c r="A3223" s="3" t="s">
        <v>18662</v>
      </c>
      <c r="B3223" s="6" t="s">
        <v>361</v>
      </c>
      <c r="C3223" s="6" t="s">
        <v>5181</v>
      </c>
      <c r="D3223" s="6" t="s">
        <v>5182</v>
      </c>
      <c r="E3223" s="6" t="s">
        <v>5183</v>
      </c>
      <c r="F3223" s="48" t="s">
        <v>5146</v>
      </c>
      <c r="G3223" s="3" t="s">
        <v>11450</v>
      </c>
      <c r="H3223" s="54">
        <v>0</v>
      </c>
      <c r="I3223" s="55">
        <v>470000000</v>
      </c>
      <c r="J3223" s="56" t="s">
        <v>229</v>
      </c>
      <c r="K3223" s="57" t="s">
        <v>9369</v>
      </c>
      <c r="L3223" s="57" t="s">
        <v>364</v>
      </c>
      <c r="M3223" s="3" t="s">
        <v>230</v>
      </c>
      <c r="N3223" s="52" t="s">
        <v>7693</v>
      </c>
      <c r="O3223" s="6" t="s">
        <v>365</v>
      </c>
      <c r="P3223" s="58" t="s">
        <v>241</v>
      </c>
      <c r="Q3223" s="48" t="s">
        <v>234</v>
      </c>
      <c r="R3223" s="22">
        <v>6</v>
      </c>
      <c r="S3223" s="106">
        <v>3960</v>
      </c>
      <c r="T3223" s="4">
        <f t="shared" ref="T3223" si="115">R3223*S3223</f>
        <v>23760</v>
      </c>
      <c r="U3223" s="4">
        <f t="shared" si="86"/>
        <v>26611.200000000001</v>
      </c>
      <c r="V3223" s="1"/>
      <c r="W3223" s="3">
        <v>2014</v>
      </c>
      <c r="X3223" s="3"/>
    </row>
    <row r="3224" spans="1:24" ht="114.75">
      <c r="A3224" s="3" t="s">
        <v>10332</v>
      </c>
      <c r="B3224" s="6" t="s">
        <v>361</v>
      </c>
      <c r="C3224" s="6" t="s">
        <v>5181</v>
      </c>
      <c r="D3224" s="6" t="s">
        <v>5182</v>
      </c>
      <c r="E3224" s="6" t="s">
        <v>5183</v>
      </c>
      <c r="F3224" s="48" t="s">
        <v>5147</v>
      </c>
      <c r="G3224" s="3" t="s">
        <v>11450</v>
      </c>
      <c r="H3224" s="54">
        <v>0</v>
      </c>
      <c r="I3224" s="55">
        <v>470000000</v>
      </c>
      <c r="J3224" s="56" t="s">
        <v>229</v>
      </c>
      <c r="K3224" s="57" t="s">
        <v>7698</v>
      </c>
      <c r="L3224" s="57" t="s">
        <v>364</v>
      </c>
      <c r="M3224" s="3" t="s">
        <v>230</v>
      </c>
      <c r="N3224" s="52" t="s">
        <v>7693</v>
      </c>
      <c r="O3224" s="6" t="s">
        <v>365</v>
      </c>
      <c r="P3224" s="58" t="s">
        <v>241</v>
      </c>
      <c r="Q3224" s="48" t="s">
        <v>234</v>
      </c>
      <c r="R3224" s="22">
        <v>6</v>
      </c>
      <c r="S3224" s="106">
        <v>3300</v>
      </c>
      <c r="T3224" s="4">
        <v>0</v>
      </c>
      <c r="U3224" s="4">
        <f t="shared" si="86"/>
        <v>0</v>
      </c>
      <c r="V3224" s="1"/>
      <c r="W3224" s="3">
        <v>2014</v>
      </c>
      <c r="X3224" s="3" t="s">
        <v>14785</v>
      </c>
    </row>
    <row r="3225" spans="1:24" ht="114.75">
      <c r="A3225" s="3" t="s">
        <v>18663</v>
      </c>
      <c r="B3225" s="6" t="s">
        <v>361</v>
      </c>
      <c r="C3225" s="6" t="s">
        <v>5181</v>
      </c>
      <c r="D3225" s="6" t="s">
        <v>5182</v>
      </c>
      <c r="E3225" s="6" t="s">
        <v>5183</v>
      </c>
      <c r="F3225" s="48" t="s">
        <v>5147</v>
      </c>
      <c r="G3225" s="3" t="s">
        <v>11450</v>
      </c>
      <c r="H3225" s="54">
        <v>0</v>
      </c>
      <c r="I3225" s="55">
        <v>470000000</v>
      </c>
      <c r="J3225" s="56" t="s">
        <v>229</v>
      </c>
      <c r="K3225" s="57" t="s">
        <v>9369</v>
      </c>
      <c r="L3225" s="57" t="s">
        <v>364</v>
      </c>
      <c r="M3225" s="3" t="s">
        <v>230</v>
      </c>
      <c r="N3225" s="52" t="s">
        <v>7693</v>
      </c>
      <c r="O3225" s="6" t="s">
        <v>365</v>
      </c>
      <c r="P3225" s="58" t="s">
        <v>241</v>
      </c>
      <c r="Q3225" s="48" t="s">
        <v>234</v>
      </c>
      <c r="R3225" s="22">
        <v>6</v>
      </c>
      <c r="S3225" s="106">
        <v>3960</v>
      </c>
      <c r="T3225" s="4">
        <f t="shared" ref="T3225" si="116">R3225*S3225</f>
        <v>23760</v>
      </c>
      <c r="U3225" s="4">
        <f t="shared" si="86"/>
        <v>26611.200000000001</v>
      </c>
      <c r="V3225" s="1"/>
      <c r="W3225" s="3">
        <v>2014</v>
      </c>
      <c r="X3225" s="3"/>
    </row>
    <row r="3226" spans="1:24" ht="114.75">
      <c r="A3226" s="3" t="s">
        <v>10333</v>
      </c>
      <c r="B3226" s="6" t="s">
        <v>361</v>
      </c>
      <c r="C3226" s="6" t="s">
        <v>5181</v>
      </c>
      <c r="D3226" s="6" t="s">
        <v>5182</v>
      </c>
      <c r="E3226" s="6" t="s">
        <v>5183</v>
      </c>
      <c r="F3226" s="48" t="s">
        <v>5148</v>
      </c>
      <c r="G3226" s="3" t="s">
        <v>11450</v>
      </c>
      <c r="H3226" s="54">
        <v>0</v>
      </c>
      <c r="I3226" s="55">
        <v>470000000</v>
      </c>
      <c r="J3226" s="56" t="s">
        <v>229</v>
      </c>
      <c r="K3226" s="57" t="s">
        <v>7698</v>
      </c>
      <c r="L3226" s="57" t="s">
        <v>364</v>
      </c>
      <c r="M3226" s="3" t="s">
        <v>230</v>
      </c>
      <c r="N3226" s="52" t="s">
        <v>7693</v>
      </c>
      <c r="O3226" s="6" t="s">
        <v>365</v>
      </c>
      <c r="P3226" s="58" t="s">
        <v>241</v>
      </c>
      <c r="Q3226" s="48" t="s">
        <v>234</v>
      </c>
      <c r="R3226" s="22">
        <v>6</v>
      </c>
      <c r="S3226" s="106">
        <v>3300</v>
      </c>
      <c r="T3226" s="4">
        <v>0</v>
      </c>
      <c r="U3226" s="4">
        <f t="shared" si="86"/>
        <v>0</v>
      </c>
      <c r="V3226" s="1"/>
      <c r="W3226" s="3">
        <v>2014</v>
      </c>
      <c r="X3226" s="3" t="s">
        <v>14785</v>
      </c>
    </row>
    <row r="3227" spans="1:24" ht="114.75">
      <c r="A3227" s="3" t="s">
        <v>18664</v>
      </c>
      <c r="B3227" s="6" t="s">
        <v>361</v>
      </c>
      <c r="C3227" s="6" t="s">
        <v>5181</v>
      </c>
      <c r="D3227" s="6" t="s">
        <v>5182</v>
      </c>
      <c r="E3227" s="6" t="s">
        <v>5183</v>
      </c>
      <c r="F3227" s="48" t="s">
        <v>5148</v>
      </c>
      <c r="G3227" s="3" t="s">
        <v>11450</v>
      </c>
      <c r="H3227" s="54">
        <v>0</v>
      </c>
      <c r="I3227" s="55">
        <v>470000000</v>
      </c>
      <c r="J3227" s="56" t="s">
        <v>229</v>
      </c>
      <c r="K3227" s="57" t="s">
        <v>9369</v>
      </c>
      <c r="L3227" s="57" t="s">
        <v>364</v>
      </c>
      <c r="M3227" s="3" t="s">
        <v>230</v>
      </c>
      <c r="N3227" s="52" t="s">
        <v>7693</v>
      </c>
      <c r="O3227" s="6" t="s">
        <v>365</v>
      </c>
      <c r="P3227" s="58" t="s">
        <v>241</v>
      </c>
      <c r="Q3227" s="48" t="s">
        <v>234</v>
      </c>
      <c r="R3227" s="22">
        <v>6</v>
      </c>
      <c r="S3227" s="106">
        <v>3960</v>
      </c>
      <c r="T3227" s="4">
        <f t="shared" ref="T3227" si="117">R3227*S3227</f>
        <v>23760</v>
      </c>
      <c r="U3227" s="4">
        <f t="shared" si="86"/>
        <v>26611.200000000001</v>
      </c>
      <c r="V3227" s="1"/>
      <c r="W3227" s="3">
        <v>2014</v>
      </c>
      <c r="X3227" s="3"/>
    </row>
    <row r="3228" spans="1:24" ht="114.75">
      <c r="A3228" s="3" t="s">
        <v>10334</v>
      </c>
      <c r="B3228" s="6" t="s">
        <v>361</v>
      </c>
      <c r="C3228" s="6" t="s">
        <v>7421</v>
      </c>
      <c r="D3228" s="6" t="s">
        <v>7409</v>
      </c>
      <c r="E3228" s="6" t="s">
        <v>11483</v>
      </c>
      <c r="F3228" s="6" t="s">
        <v>7419</v>
      </c>
      <c r="G3228" s="3" t="s">
        <v>11450</v>
      </c>
      <c r="H3228" s="54">
        <v>0</v>
      </c>
      <c r="I3228" s="55">
        <v>470000000</v>
      </c>
      <c r="J3228" s="56" t="s">
        <v>229</v>
      </c>
      <c r="K3228" s="57" t="s">
        <v>7698</v>
      </c>
      <c r="L3228" s="57" t="s">
        <v>364</v>
      </c>
      <c r="M3228" s="3" t="s">
        <v>230</v>
      </c>
      <c r="N3228" s="52" t="s">
        <v>7693</v>
      </c>
      <c r="O3228" s="6" t="s">
        <v>365</v>
      </c>
      <c r="P3228" s="58" t="s">
        <v>241</v>
      </c>
      <c r="Q3228" s="48" t="s">
        <v>234</v>
      </c>
      <c r="R3228" s="113">
        <v>10</v>
      </c>
      <c r="S3228" s="59">
        <v>1271.8673000000003</v>
      </c>
      <c r="T3228" s="4">
        <v>0</v>
      </c>
      <c r="U3228" s="4">
        <f t="shared" si="86"/>
        <v>0</v>
      </c>
      <c r="V3228" s="1"/>
      <c r="W3228" s="3">
        <v>2014</v>
      </c>
      <c r="X3228" s="3" t="s">
        <v>14785</v>
      </c>
    </row>
    <row r="3229" spans="1:24" ht="114.75">
      <c r="A3229" s="3" t="s">
        <v>18665</v>
      </c>
      <c r="B3229" s="6" t="s">
        <v>361</v>
      </c>
      <c r="C3229" s="6" t="s">
        <v>7421</v>
      </c>
      <c r="D3229" s="6" t="s">
        <v>7409</v>
      </c>
      <c r="E3229" s="6" t="s">
        <v>11483</v>
      </c>
      <c r="F3229" s="6" t="s">
        <v>7419</v>
      </c>
      <c r="G3229" s="3" t="s">
        <v>11450</v>
      </c>
      <c r="H3229" s="54">
        <v>0</v>
      </c>
      <c r="I3229" s="55">
        <v>470000000</v>
      </c>
      <c r="J3229" s="56" t="s">
        <v>229</v>
      </c>
      <c r="K3229" s="57" t="s">
        <v>9369</v>
      </c>
      <c r="L3229" s="57" t="s">
        <v>364</v>
      </c>
      <c r="M3229" s="3" t="s">
        <v>230</v>
      </c>
      <c r="N3229" s="52" t="s">
        <v>7693</v>
      </c>
      <c r="O3229" s="6" t="s">
        <v>365</v>
      </c>
      <c r="P3229" s="58" t="s">
        <v>241</v>
      </c>
      <c r="Q3229" s="48" t="s">
        <v>234</v>
      </c>
      <c r="R3229" s="113">
        <v>10</v>
      </c>
      <c r="S3229" s="59">
        <v>1526.2407600000004</v>
      </c>
      <c r="T3229" s="4">
        <f t="shared" ref="T3229" si="118">R3229*S3229</f>
        <v>15262.407600000004</v>
      </c>
      <c r="U3229" s="4">
        <f t="shared" si="86"/>
        <v>17093.896512000007</v>
      </c>
      <c r="V3229" s="1"/>
      <c r="W3229" s="3">
        <v>2014</v>
      </c>
      <c r="X3229" s="3"/>
    </row>
    <row r="3230" spans="1:24" ht="114.75">
      <c r="A3230" s="3" t="s">
        <v>10335</v>
      </c>
      <c r="B3230" s="6" t="s">
        <v>361</v>
      </c>
      <c r="C3230" s="6" t="s">
        <v>7422</v>
      </c>
      <c r="D3230" s="6" t="s">
        <v>11484</v>
      </c>
      <c r="E3230" s="6" t="s">
        <v>11485</v>
      </c>
      <c r="F3230" s="6" t="s">
        <v>7420</v>
      </c>
      <c r="G3230" s="3" t="s">
        <v>11450</v>
      </c>
      <c r="H3230" s="54">
        <v>0</v>
      </c>
      <c r="I3230" s="55">
        <v>470000000</v>
      </c>
      <c r="J3230" s="56" t="s">
        <v>229</v>
      </c>
      <c r="K3230" s="57" t="s">
        <v>7698</v>
      </c>
      <c r="L3230" s="57" t="s">
        <v>364</v>
      </c>
      <c r="M3230" s="3" t="s">
        <v>230</v>
      </c>
      <c r="N3230" s="52" t="s">
        <v>7693</v>
      </c>
      <c r="O3230" s="6" t="s">
        <v>365</v>
      </c>
      <c r="P3230" s="58" t="s">
        <v>241</v>
      </c>
      <c r="Q3230" s="48" t="s">
        <v>234</v>
      </c>
      <c r="R3230" s="113">
        <v>20</v>
      </c>
      <c r="S3230" s="59">
        <v>1996.0710000000001</v>
      </c>
      <c r="T3230" s="4">
        <v>0</v>
      </c>
      <c r="U3230" s="4">
        <f t="shared" si="86"/>
        <v>0</v>
      </c>
      <c r="V3230" s="1"/>
      <c r="W3230" s="3">
        <v>2014</v>
      </c>
      <c r="X3230" s="3">
        <v>11</v>
      </c>
    </row>
    <row r="3231" spans="1:24" ht="114.75">
      <c r="A3231" s="3" t="s">
        <v>16663</v>
      </c>
      <c r="B3231" s="6" t="s">
        <v>361</v>
      </c>
      <c r="C3231" s="6" t="s">
        <v>7422</v>
      </c>
      <c r="D3231" s="6" t="s">
        <v>11484</v>
      </c>
      <c r="E3231" s="6" t="s">
        <v>11485</v>
      </c>
      <c r="F3231" s="6" t="s">
        <v>7420</v>
      </c>
      <c r="G3231" s="3" t="s">
        <v>11450</v>
      </c>
      <c r="H3231" s="54">
        <v>0</v>
      </c>
      <c r="I3231" s="55">
        <v>470000000</v>
      </c>
      <c r="J3231" s="56" t="s">
        <v>229</v>
      </c>
      <c r="K3231" s="57" t="s">
        <v>7699</v>
      </c>
      <c r="L3231" s="57" t="s">
        <v>364</v>
      </c>
      <c r="M3231" s="3" t="s">
        <v>230</v>
      </c>
      <c r="N3231" s="52" t="s">
        <v>7693</v>
      </c>
      <c r="O3231" s="6" t="s">
        <v>365</v>
      </c>
      <c r="P3231" s="58" t="s">
        <v>241</v>
      </c>
      <c r="Q3231" s="48" t="s">
        <v>234</v>
      </c>
      <c r="R3231" s="113">
        <v>20</v>
      </c>
      <c r="S3231" s="59">
        <v>1996.0710000000001</v>
      </c>
      <c r="T3231" s="4">
        <v>0</v>
      </c>
      <c r="U3231" s="4">
        <f t="shared" si="86"/>
        <v>0</v>
      </c>
      <c r="V3231" s="1"/>
      <c r="W3231" s="3">
        <v>2014</v>
      </c>
      <c r="X3231" s="3" t="s">
        <v>14785</v>
      </c>
    </row>
    <row r="3232" spans="1:24" ht="114.75">
      <c r="A3232" s="3" t="s">
        <v>18351</v>
      </c>
      <c r="B3232" s="6" t="s">
        <v>361</v>
      </c>
      <c r="C3232" s="6" t="s">
        <v>7422</v>
      </c>
      <c r="D3232" s="6" t="s">
        <v>11484</v>
      </c>
      <c r="E3232" s="6" t="s">
        <v>11485</v>
      </c>
      <c r="F3232" s="6" t="s">
        <v>7420</v>
      </c>
      <c r="G3232" s="3" t="s">
        <v>11450</v>
      </c>
      <c r="H3232" s="54">
        <v>0</v>
      </c>
      <c r="I3232" s="55">
        <v>470000000</v>
      </c>
      <c r="J3232" s="56" t="s">
        <v>229</v>
      </c>
      <c r="K3232" s="57" t="s">
        <v>8950</v>
      </c>
      <c r="L3232" s="57" t="s">
        <v>364</v>
      </c>
      <c r="M3232" s="3" t="s">
        <v>230</v>
      </c>
      <c r="N3232" s="52" t="s">
        <v>7693</v>
      </c>
      <c r="O3232" s="6" t="s">
        <v>365</v>
      </c>
      <c r="P3232" s="58" t="s">
        <v>241</v>
      </c>
      <c r="Q3232" s="48" t="s">
        <v>234</v>
      </c>
      <c r="R3232" s="113">
        <v>20</v>
      </c>
      <c r="S3232" s="59">
        <v>2395.2852000000003</v>
      </c>
      <c r="T3232" s="4">
        <f t="shared" ref="T3232" si="119">R3232*S3232</f>
        <v>47905.704000000005</v>
      </c>
      <c r="U3232" s="4">
        <f t="shared" si="86"/>
        <v>53654.388480000009</v>
      </c>
      <c r="V3232" s="1"/>
      <c r="W3232" s="3">
        <v>2014</v>
      </c>
      <c r="X3232" s="3"/>
    </row>
    <row r="3233" spans="1:24" ht="114.75">
      <c r="A3233" s="3" t="s">
        <v>10336</v>
      </c>
      <c r="B3233" s="6" t="s">
        <v>361</v>
      </c>
      <c r="C3233" s="6" t="s">
        <v>7424</v>
      </c>
      <c r="D3233" s="48" t="s">
        <v>7425</v>
      </c>
      <c r="E3233" s="6" t="s">
        <v>7426</v>
      </c>
      <c r="F3233" s="48" t="s">
        <v>7427</v>
      </c>
      <c r="G3233" s="3" t="s">
        <v>11450</v>
      </c>
      <c r="H3233" s="54">
        <v>0</v>
      </c>
      <c r="I3233" s="55">
        <v>470000000</v>
      </c>
      <c r="J3233" s="56" t="s">
        <v>229</v>
      </c>
      <c r="K3233" s="57" t="s">
        <v>7698</v>
      </c>
      <c r="L3233" s="57" t="s">
        <v>364</v>
      </c>
      <c r="M3233" s="3" t="s">
        <v>230</v>
      </c>
      <c r="N3233" s="52" t="s">
        <v>7693</v>
      </c>
      <c r="O3233" s="6" t="s">
        <v>365</v>
      </c>
      <c r="P3233" s="58" t="s">
        <v>241</v>
      </c>
      <c r="Q3233" s="48" t="s">
        <v>234</v>
      </c>
      <c r="R3233" s="113">
        <v>2</v>
      </c>
      <c r="S3233" s="114">
        <v>32400</v>
      </c>
      <c r="T3233" s="4">
        <v>0</v>
      </c>
      <c r="U3233" s="4">
        <f t="shared" si="86"/>
        <v>0</v>
      </c>
      <c r="V3233" s="1"/>
      <c r="W3233" s="3">
        <v>2014</v>
      </c>
      <c r="X3233" s="3">
        <v>12</v>
      </c>
    </row>
    <row r="3234" spans="1:24" ht="114.75">
      <c r="A3234" s="3" t="s">
        <v>13412</v>
      </c>
      <c r="B3234" s="6" t="s">
        <v>361</v>
      </c>
      <c r="C3234" s="6" t="s">
        <v>7424</v>
      </c>
      <c r="D3234" s="6" t="s">
        <v>7425</v>
      </c>
      <c r="E3234" s="6" t="s">
        <v>7426</v>
      </c>
      <c r="F3234" s="48" t="s">
        <v>7427</v>
      </c>
      <c r="G3234" s="3" t="s">
        <v>11450</v>
      </c>
      <c r="H3234" s="54">
        <v>0</v>
      </c>
      <c r="I3234" s="55">
        <v>470000000</v>
      </c>
      <c r="J3234" s="56" t="s">
        <v>229</v>
      </c>
      <c r="K3234" s="57" t="s">
        <v>7698</v>
      </c>
      <c r="L3234" s="17" t="s">
        <v>11411</v>
      </c>
      <c r="M3234" s="3" t="s">
        <v>230</v>
      </c>
      <c r="N3234" s="52" t="s">
        <v>7693</v>
      </c>
      <c r="O3234" s="6" t="s">
        <v>365</v>
      </c>
      <c r="P3234" s="58" t="s">
        <v>241</v>
      </c>
      <c r="Q3234" s="48" t="s">
        <v>234</v>
      </c>
      <c r="R3234" s="113">
        <v>2</v>
      </c>
      <c r="S3234" s="114">
        <v>32400</v>
      </c>
      <c r="T3234" s="4">
        <v>0</v>
      </c>
      <c r="U3234" s="4">
        <f>T3234*1.12</f>
        <v>0</v>
      </c>
      <c r="V3234" s="1"/>
      <c r="W3234" s="3">
        <v>2014</v>
      </c>
      <c r="X3234" s="3" t="s">
        <v>14785</v>
      </c>
    </row>
    <row r="3235" spans="1:24" ht="114.75">
      <c r="A3235" s="3" t="s">
        <v>18325</v>
      </c>
      <c r="B3235" s="6" t="s">
        <v>361</v>
      </c>
      <c r="C3235" s="6" t="s">
        <v>7424</v>
      </c>
      <c r="D3235" s="6" t="s">
        <v>7425</v>
      </c>
      <c r="E3235" s="6" t="s">
        <v>7426</v>
      </c>
      <c r="F3235" s="48" t="s">
        <v>7427</v>
      </c>
      <c r="G3235" s="3" t="s">
        <v>11450</v>
      </c>
      <c r="H3235" s="54">
        <v>0</v>
      </c>
      <c r="I3235" s="55">
        <v>470000000</v>
      </c>
      <c r="J3235" s="56" t="s">
        <v>229</v>
      </c>
      <c r="K3235" s="57" t="s">
        <v>8950</v>
      </c>
      <c r="L3235" s="17" t="s">
        <v>11411</v>
      </c>
      <c r="M3235" s="3" t="s">
        <v>230</v>
      </c>
      <c r="N3235" s="52" t="s">
        <v>7693</v>
      </c>
      <c r="O3235" s="6" t="s">
        <v>365</v>
      </c>
      <c r="P3235" s="58" t="s">
        <v>241</v>
      </c>
      <c r="Q3235" s="48" t="s">
        <v>234</v>
      </c>
      <c r="R3235" s="113">
        <v>2</v>
      </c>
      <c r="S3235" s="114">
        <v>38880</v>
      </c>
      <c r="T3235" s="4">
        <v>0</v>
      </c>
      <c r="U3235" s="4">
        <f>T3235*1.12</f>
        <v>0</v>
      </c>
      <c r="V3235" s="1"/>
      <c r="W3235" s="3">
        <v>2014</v>
      </c>
      <c r="X3235" s="3">
        <v>11.14</v>
      </c>
    </row>
    <row r="3236" spans="1:24" ht="114.75">
      <c r="A3236" s="3" t="s">
        <v>18985</v>
      </c>
      <c r="B3236" s="6" t="s">
        <v>361</v>
      </c>
      <c r="C3236" s="6" t="s">
        <v>7424</v>
      </c>
      <c r="D3236" s="6" t="s">
        <v>7425</v>
      </c>
      <c r="E3236" s="6" t="s">
        <v>7426</v>
      </c>
      <c r="F3236" s="48" t="s">
        <v>7427</v>
      </c>
      <c r="G3236" s="3" t="s">
        <v>11450</v>
      </c>
      <c r="H3236" s="54">
        <v>0</v>
      </c>
      <c r="I3236" s="55">
        <v>470000000</v>
      </c>
      <c r="J3236" s="56" t="s">
        <v>229</v>
      </c>
      <c r="K3236" s="57" t="s">
        <v>18437</v>
      </c>
      <c r="L3236" s="17" t="s">
        <v>11411</v>
      </c>
      <c r="M3236" s="3" t="s">
        <v>230</v>
      </c>
      <c r="N3236" s="52" t="s">
        <v>16511</v>
      </c>
      <c r="O3236" s="6" t="s">
        <v>365</v>
      </c>
      <c r="P3236" s="58" t="s">
        <v>241</v>
      </c>
      <c r="Q3236" s="48" t="s">
        <v>234</v>
      </c>
      <c r="R3236" s="113">
        <v>2</v>
      </c>
      <c r="S3236" s="114">
        <v>38880</v>
      </c>
      <c r="T3236" s="4">
        <v>0</v>
      </c>
      <c r="U3236" s="4">
        <f>T3236*1.12</f>
        <v>0</v>
      </c>
      <c r="V3236" s="1"/>
      <c r="W3236" s="3">
        <v>2014</v>
      </c>
      <c r="X3236" s="3">
        <v>11.15</v>
      </c>
    </row>
    <row r="3237" spans="1:24" ht="76.5">
      <c r="A3237" s="3" t="s">
        <v>19413</v>
      </c>
      <c r="B3237" s="6" t="s">
        <v>361</v>
      </c>
      <c r="C3237" s="6" t="s">
        <v>7424</v>
      </c>
      <c r="D3237" s="6" t="s">
        <v>7425</v>
      </c>
      <c r="E3237" s="6" t="s">
        <v>7426</v>
      </c>
      <c r="F3237" s="48" t="s">
        <v>7427</v>
      </c>
      <c r="G3237" s="3" t="s">
        <v>11450</v>
      </c>
      <c r="H3237" s="54">
        <v>0</v>
      </c>
      <c r="I3237" s="55">
        <v>470000000</v>
      </c>
      <c r="J3237" s="56" t="s">
        <v>229</v>
      </c>
      <c r="K3237" s="57" t="s">
        <v>19379</v>
      </c>
      <c r="L3237" s="17" t="s">
        <v>11411</v>
      </c>
      <c r="M3237" s="3" t="s">
        <v>230</v>
      </c>
      <c r="N3237" s="52" t="s">
        <v>16511</v>
      </c>
      <c r="O3237" s="6" t="s">
        <v>19407</v>
      </c>
      <c r="P3237" s="58" t="s">
        <v>241</v>
      </c>
      <c r="Q3237" s="48" t="s">
        <v>234</v>
      </c>
      <c r="R3237" s="113">
        <v>2</v>
      </c>
      <c r="S3237" s="114">
        <v>38880</v>
      </c>
      <c r="T3237" s="4">
        <f>R3237*S3237</f>
        <v>77760</v>
      </c>
      <c r="U3237" s="4">
        <f>T3237*1.12</f>
        <v>87091.200000000012</v>
      </c>
      <c r="V3237" s="1"/>
      <c r="W3237" s="3">
        <v>2014</v>
      </c>
      <c r="X3237" s="3"/>
    </row>
    <row r="3238" spans="1:24" ht="153">
      <c r="A3238" s="3" t="s">
        <v>10337</v>
      </c>
      <c r="B3238" s="6" t="s">
        <v>361</v>
      </c>
      <c r="C3238" s="6" t="s">
        <v>7428</v>
      </c>
      <c r="D3238" s="48" t="s">
        <v>379</v>
      </c>
      <c r="E3238" s="6" t="s">
        <v>7429</v>
      </c>
      <c r="F3238" s="48" t="s">
        <v>7430</v>
      </c>
      <c r="G3238" s="3" t="s">
        <v>11450</v>
      </c>
      <c r="H3238" s="54">
        <v>0</v>
      </c>
      <c r="I3238" s="55">
        <v>470000000</v>
      </c>
      <c r="J3238" s="56" t="s">
        <v>229</v>
      </c>
      <c r="K3238" s="57" t="s">
        <v>7698</v>
      </c>
      <c r="L3238" s="57" t="s">
        <v>364</v>
      </c>
      <c r="M3238" s="3" t="s">
        <v>230</v>
      </c>
      <c r="N3238" s="52" t="s">
        <v>7693</v>
      </c>
      <c r="O3238" s="6" t="s">
        <v>365</v>
      </c>
      <c r="P3238" s="58" t="s">
        <v>241</v>
      </c>
      <c r="Q3238" s="48" t="s">
        <v>234</v>
      </c>
      <c r="R3238" s="113">
        <v>15</v>
      </c>
      <c r="S3238" s="59">
        <v>1854.5340000000001</v>
      </c>
      <c r="T3238" s="4">
        <v>0</v>
      </c>
      <c r="U3238" s="4">
        <f t="shared" si="86"/>
        <v>0</v>
      </c>
      <c r="V3238" s="1"/>
      <c r="W3238" s="3">
        <v>2014</v>
      </c>
      <c r="X3238" s="3">
        <v>12</v>
      </c>
    </row>
    <row r="3239" spans="1:24" ht="153">
      <c r="A3239" s="3" t="s">
        <v>13413</v>
      </c>
      <c r="B3239" s="6" t="s">
        <v>361</v>
      </c>
      <c r="C3239" s="6" t="s">
        <v>7428</v>
      </c>
      <c r="D3239" s="48" t="s">
        <v>379</v>
      </c>
      <c r="E3239" s="6" t="s">
        <v>7429</v>
      </c>
      <c r="F3239" s="48" t="s">
        <v>7430</v>
      </c>
      <c r="G3239" s="3" t="s">
        <v>11450</v>
      </c>
      <c r="H3239" s="54">
        <v>0</v>
      </c>
      <c r="I3239" s="55">
        <v>470000000</v>
      </c>
      <c r="J3239" s="56" t="s">
        <v>229</v>
      </c>
      <c r="K3239" s="57" t="s">
        <v>7698</v>
      </c>
      <c r="L3239" s="17" t="s">
        <v>11411</v>
      </c>
      <c r="M3239" s="3" t="s">
        <v>230</v>
      </c>
      <c r="N3239" s="52" t="s">
        <v>7693</v>
      </c>
      <c r="O3239" s="6" t="s">
        <v>365</v>
      </c>
      <c r="P3239" s="58" t="s">
        <v>241</v>
      </c>
      <c r="Q3239" s="48" t="s">
        <v>234</v>
      </c>
      <c r="R3239" s="113">
        <v>15</v>
      </c>
      <c r="S3239" s="59">
        <v>1854.5340000000001</v>
      </c>
      <c r="T3239" s="4">
        <v>0</v>
      </c>
      <c r="U3239" s="4">
        <f>T3239*1.12</f>
        <v>0</v>
      </c>
      <c r="V3239" s="1"/>
      <c r="W3239" s="3">
        <v>2014</v>
      </c>
      <c r="X3239" s="3" t="s">
        <v>14785</v>
      </c>
    </row>
    <row r="3240" spans="1:24" ht="153">
      <c r="A3240" s="3" t="s">
        <v>18326</v>
      </c>
      <c r="B3240" s="6" t="s">
        <v>361</v>
      </c>
      <c r="C3240" s="6" t="s">
        <v>7428</v>
      </c>
      <c r="D3240" s="48" t="s">
        <v>379</v>
      </c>
      <c r="E3240" s="6" t="s">
        <v>7429</v>
      </c>
      <c r="F3240" s="48" t="s">
        <v>7430</v>
      </c>
      <c r="G3240" s="3" t="s">
        <v>11450</v>
      </c>
      <c r="H3240" s="54">
        <v>0</v>
      </c>
      <c r="I3240" s="55">
        <v>470000000</v>
      </c>
      <c r="J3240" s="56" t="s">
        <v>229</v>
      </c>
      <c r="K3240" s="57" t="s">
        <v>8950</v>
      </c>
      <c r="L3240" s="17" t="s">
        <v>11411</v>
      </c>
      <c r="M3240" s="3" t="s">
        <v>230</v>
      </c>
      <c r="N3240" s="52" t="s">
        <v>7693</v>
      </c>
      <c r="O3240" s="6" t="s">
        <v>365</v>
      </c>
      <c r="P3240" s="58" t="s">
        <v>241</v>
      </c>
      <c r="Q3240" s="48" t="s">
        <v>234</v>
      </c>
      <c r="R3240" s="113">
        <v>15</v>
      </c>
      <c r="S3240" s="59">
        <v>2225.4407999999999</v>
      </c>
      <c r="T3240" s="4">
        <v>0</v>
      </c>
      <c r="U3240" s="4">
        <f>T3240*1.12</f>
        <v>0</v>
      </c>
      <c r="V3240" s="1"/>
      <c r="W3240" s="3">
        <v>2014</v>
      </c>
      <c r="X3240" s="3">
        <v>11.14</v>
      </c>
    </row>
    <row r="3241" spans="1:24" ht="153">
      <c r="A3241" s="3" t="s">
        <v>18986</v>
      </c>
      <c r="B3241" s="6" t="s">
        <v>361</v>
      </c>
      <c r="C3241" s="6" t="s">
        <v>7428</v>
      </c>
      <c r="D3241" s="48" t="s">
        <v>379</v>
      </c>
      <c r="E3241" s="6" t="s">
        <v>7429</v>
      </c>
      <c r="F3241" s="48" t="s">
        <v>7430</v>
      </c>
      <c r="G3241" s="3" t="s">
        <v>11450</v>
      </c>
      <c r="H3241" s="54">
        <v>0</v>
      </c>
      <c r="I3241" s="55">
        <v>470000000</v>
      </c>
      <c r="J3241" s="56" t="s">
        <v>229</v>
      </c>
      <c r="K3241" s="57" t="s">
        <v>18437</v>
      </c>
      <c r="L3241" s="17" t="s">
        <v>11411</v>
      </c>
      <c r="M3241" s="3" t="s">
        <v>230</v>
      </c>
      <c r="N3241" s="52" t="s">
        <v>16511</v>
      </c>
      <c r="O3241" s="6" t="s">
        <v>365</v>
      </c>
      <c r="P3241" s="58" t="s">
        <v>241</v>
      </c>
      <c r="Q3241" s="48" t="s">
        <v>234</v>
      </c>
      <c r="R3241" s="113">
        <v>15</v>
      </c>
      <c r="S3241" s="59">
        <v>2225.4407999999999</v>
      </c>
      <c r="T3241" s="4">
        <v>0</v>
      </c>
      <c r="U3241" s="4">
        <f>T3241*1.12</f>
        <v>0</v>
      </c>
      <c r="V3241" s="1"/>
      <c r="W3241" s="3">
        <v>2014</v>
      </c>
      <c r="X3241" s="3">
        <v>11.15</v>
      </c>
    </row>
    <row r="3242" spans="1:24" ht="153">
      <c r="A3242" s="3" t="s">
        <v>19414</v>
      </c>
      <c r="B3242" s="6" t="s">
        <v>361</v>
      </c>
      <c r="C3242" s="6" t="s">
        <v>7428</v>
      </c>
      <c r="D3242" s="48" t="s">
        <v>379</v>
      </c>
      <c r="E3242" s="6" t="s">
        <v>7429</v>
      </c>
      <c r="F3242" s="48" t="s">
        <v>7430</v>
      </c>
      <c r="G3242" s="3" t="s">
        <v>11450</v>
      </c>
      <c r="H3242" s="54">
        <v>0</v>
      </c>
      <c r="I3242" s="55">
        <v>470000000</v>
      </c>
      <c r="J3242" s="56" t="s">
        <v>229</v>
      </c>
      <c r="K3242" s="57" t="s">
        <v>19379</v>
      </c>
      <c r="L3242" s="17" t="s">
        <v>11411</v>
      </c>
      <c r="M3242" s="3" t="s">
        <v>230</v>
      </c>
      <c r="N3242" s="52" t="s">
        <v>16511</v>
      </c>
      <c r="O3242" s="6" t="s">
        <v>19407</v>
      </c>
      <c r="P3242" s="58" t="s">
        <v>241</v>
      </c>
      <c r="Q3242" s="48" t="s">
        <v>234</v>
      </c>
      <c r="R3242" s="113">
        <v>15</v>
      </c>
      <c r="S3242" s="59">
        <v>2225.4407999999999</v>
      </c>
      <c r="T3242" s="4">
        <f>R3242*S3242</f>
        <v>33381.612000000001</v>
      </c>
      <c r="U3242" s="4">
        <f>T3242*1.12</f>
        <v>37387.405440000002</v>
      </c>
      <c r="V3242" s="1"/>
      <c r="W3242" s="3">
        <v>2014</v>
      </c>
      <c r="X3242" s="3"/>
    </row>
    <row r="3243" spans="1:24" ht="153">
      <c r="A3243" s="3" t="s">
        <v>10338</v>
      </c>
      <c r="B3243" s="6" t="s">
        <v>361</v>
      </c>
      <c r="C3243" s="6" t="s">
        <v>7428</v>
      </c>
      <c r="D3243" s="48" t="s">
        <v>379</v>
      </c>
      <c r="E3243" s="6" t="s">
        <v>7429</v>
      </c>
      <c r="F3243" s="48" t="s">
        <v>7431</v>
      </c>
      <c r="G3243" s="3" t="s">
        <v>11450</v>
      </c>
      <c r="H3243" s="54">
        <v>0</v>
      </c>
      <c r="I3243" s="55">
        <v>470000000</v>
      </c>
      <c r="J3243" s="56" t="s">
        <v>229</v>
      </c>
      <c r="K3243" s="57" t="s">
        <v>7698</v>
      </c>
      <c r="L3243" s="57" t="s">
        <v>364</v>
      </c>
      <c r="M3243" s="3" t="s">
        <v>230</v>
      </c>
      <c r="N3243" s="52" t="s">
        <v>7693</v>
      </c>
      <c r="O3243" s="6" t="s">
        <v>365</v>
      </c>
      <c r="P3243" s="58" t="s">
        <v>241</v>
      </c>
      <c r="Q3243" s="48" t="s">
        <v>234</v>
      </c>
      <c r="R3243" s="113">
        <v>15</v>
      </c>
      <c r="S3243" s="59">
        <v>1854.5340000000001</v>
      </c>
      <c r="T3243" s="4">
        <v>0</v>
      </c>
      <c r="U3243" s="4">
        <f t="shared" si="86"/>
        <v>0</v>
      </c>
      <c r="V3243" s="1"/>
      <c r="W3243" s="3">
        <v>2014</v>
      </c>
      <c r="X3243" s="3">
        <v>12</v>
      </c>
    </row>
    <row r="3244" spans="1:24" ht="153">
      <c r="A3244" s="3" t="s">
        <v>13414</v>
      </c>
      <c r="B3244" s="6" t="s">
        <v>361</v>
      </c>
      <c r="C3244" s="6" t="s">
        <v>7428</v>
      </c>
      <c r="D3244" s="48" t="s">
        <v>379</v>
      </c>
      <c r="E3244" s="6" t="s">
        <v>7429</v>
      </c>
      <c r="F3244" s="48" t="s">
        <v>7431</v>
      </c>
      <c r="G3244" s="3" t="s">
        <v>11450</v>
      </c>
      <c r="H3244" s="54">
        <v>0</v>
      </c>
      <c r="I3244" s="55">
        <v>470000000</v>
      </c>
      <c r="J3244" s="56" t="s">
        <v>229</v>
      </c>
      <c r="K3244" s="57" t="s">
        <v>7698</v>
      </c>
      <c r="L3244" s="17" t="s">
        <v>11411</v>
      </c>
      <c r="M3244" s="3" t="s">
        <v>230</v>
      </c>
      <c r="N3244" s="52" t="s">
        <v>7693</v>
      </c>
      <c r="O3244" s="6" t="s">
        <v>365</v>
      </c>
      <c r="P3244" s="58" t="s">
        <v>241</v>
      </c>
      <c r="Q3244" s="48" t="s">
        <v>234</v>
      </c>
      <c r="R3244" s="113">
        <v>15</v>
      </c>
      <c r="S3244" s="59">
        <v>1854.5340000000001</v>
      </c>
      <c r="T3244" s="4">
        <v>0</v>
      </c>
      <c r="U3244" s="4">
        <f>T3244*1.12</f>
        <v>0</v>
      </c>
      <c r="V3244" s="1"/>
      <c r="W3244" s="3">
        <v>2014</v>
      </c>
      <c r="X3244" s="3" t="s">
        <v>14785</v>
      </c>
    </row>
    <row r="3245" spans="1:24" ht="153">
      <c r="A3245" s="3" t="s">
        <v>18327</v>
      </c>
      <c r="B3245" s="6" t="s">
        <v>361</v>
      </c>
      <c r="C3245" s="6" t="s">
        <v>7428</v>
      </c>
      <c r="D3245" s="48" t="s">
        <v>379</v>
      </c>
      <c r="E3245" s="6" t="s">
        <v>7429</v>
      </c>
      <c r="F3245" s="48" t="s">
        <v>7431</v>
      </c>
      <c r="G3245" s="3" t="s">
        <v>11450</v>
      </c>
      <c r="H3245" s="54">
        <v>0</v>
      </c>
      <c r="I3245" s="55">
        <v>470000000</v>
      </c>
      <c r="J3245" s="56" t="s">
        <v>229</v>
      </c>
      <c r="K3245" s="57" t="s">
        <v>8950</v>
      </c>
      <c r="L3245" s="17" t="s">
        <v>11411</v>
      </c>
      <c r="M3245" s="3" t="s">
        <v>230</v>
      </c>
      <c r="N3245" s="52" t="s">
        <v>7693</v>
      </c>
      <c r="O3245" s="6" t="s">
        <v>365</v>
      </c>
      <c r="P3245" s="58" t="s">
        <v>241</v>
      </c>
      <c r="Q3245" s="48" t="s">
        <v>234</v>
      </c>
      <c r="R3245" s="113">
        <v>15</v>
      </c>
      <c r="S3245" s="59">
        <v>2225.4407999999999</v>
      </c>
      <c r="T3245" s="4">
        <v>0</v>
      </c>
      <c r="U3245" s="4">
        <f>T3245*1.12</f>
        <v>0</v>
      </c>
      <c r="V3245" s="1"/>
      <c r="W3245" s="3">
        <v>2014</v>
      </c>
      <c r="X3245" s="3">
        <v>11.14</v>
      </c>
    </row>
    <row r="3246" spans="1:24" ht="153">
      <c r="A3246" s="3" t="s">
        <v>18987</v>
      </c>
      <c r="B3246" s="6" t="s">
        <v>361</v>
      </c>
      <c r="C3246" s="6" t="s">
        <v>7428</v>
      </c>
      <c r="D3246" s="48" t="s">
        <v>379</v>
      </c>
      <c r="E3246" s="6" t="s">
        <v>7429</v>
      </c>
      <c r="F3246" s="48" t="s">
        <v>7431</v>
      </c>
      <c r="G3246" s="3" t="s">
        <v>11450</v>
      </c>
      <c r="H3246" s="54">
        <v>0</v>
      </c>
      <c r="I3246" s="55">
        <v>470000000</v>
      </c>
      <c r="J3246" s="56" t="s">
        <v>229</v>
      </c>
      <c r="K3246" s="57" t="s">
        <v>18437</v>
      </c>
      <c r="L3246" s="17" t="s">
        <v>11411</v>
      </c>
      <c r="M3246" s="3" t="s">
        <v>230</v>
      </c>
      <c r="N3246" s="52" t="s">
        <v>16511</v>
      </c>
      <c r="O3246" s="6" t="s">
        <v>365</v>
      </c>
      <c r="P3246" s="58" t="s">
        <v>241</v>
      </c>
      <c r="Q3246" s="48" t="s">
        <v>234</v>
      </c>
      <c r="R3246" s="113">
        <v>15</v>
      </c>
      <c r="S3246" s="59">
        <v>2225.4407999999999</v>
      </c>
      <c r="T3246" s="4">
        <v>0</v>
      </c>
      <c r="U3246" s="4">
        <f>T3246*1.12</f>
        <v>0</v>
      </c>
      <c r="V3246" s="1"/>
      <c r="W3246" s="3">
        <v>2014</v>
      </c>
      <c r="X3246" s="3">
        <v>11.15</v>
      </c>
    </row>
    <row r="3247" spans="1:24" ht="153">
      <c r="A3247" s="3" t="s">
        <v>19415</v>
      </c>
      <c r="B3247" s="6" t="s">
        <v>361</v>
      </c>
      <c r="C3247" s="6" t="s">
        <v>7428</v>
      </c>
      <c r="D3247" s="48" t="s">
        <v>379</v>
      </c>
      <c r="E3247" s="6" t="s">
        <v>7429</v>
      </c>
      <c r="F3247" s="48" t="s">
        <v>7431</v>
      </c>
      <c r="G3247" s="3" t="s">
        <v>11450</v>
      </c>
      <c r="H3247" s="54">
        <v>0</v>
      </c>
      <c r="I3247" s="55">
        <v>470000000</v>
      </c>
      <c r="J3247" s="56" t="s">
        <v>229</v>
      </c>
      <c r="K3247" s="57" t="s">
        <v>19379</v>
      </c>
      <c r="L3247" s="17" t="s">
        <v>11411</v>
      </c>
      <c r="M3247" s="3" t="s">
        <v>230</v>
      </c>
      <c r="N3247" s="52" t="s">
        <v>16511</v>
      </c>
      <c r="O3247" s="6" t="s">
        <v>19407</v>
      </c>
      <c r="P3247" s="58" t="s">
        <v>241</v>
      </c>
      <c r="Q3247" s="48" t="s">
        <v>234</v>
      </c>
      <c r="R3247" s="113">
        <v>15</v>
      </c>
      <c r="S3247" s="59">
        <v>2225.4407999999999</v>
      </c>
      <c r="T3247" s="4">
        <f>R3247*S3247</f>
        <v>33381.612000000001</v>
      </c>
      <c r="U3247" s="4">
        <f>T3247*1.12</f>
        <v>37387.405440000002</v>
      </c>
      <c r="V3247" s="1"/>
      <c r="W3247" s="3">
        <v>2014</v>
      </c>
      <c r="X3247" s="3"/>
    </row>
    <row r="3248" spans="1:24" ht="153">
      <c r="A3248" s="3" t="s">
        <v>10339</v>
      </c>
      <c r="B3248" s="6" t="s">
        <v>361</v>
      </c>
      <c r="C3248" s="6" t="s">
        <v>7428</v>
      </c>
      <c r="D3248" s="48" t="s">
        <v>379</v>
      </c>
      <c r="E3248" s="6" t="s">
        <v>7429</v>
      </c>
      <c r="F3248" s="48" t="s">
        <v>7432</v>
      </c>
      <c r="G3248" s="3" t="s">
        <v>11450</v>
      </c>
      <c r="H3248" s="54">
        <v>0</v>
      </c>
      <c r="I3248" s="55">
        <v>470000000</v>
      </c>
      <c r="J3248" s="56" t="s">
        <v>229</v>
      </c>
      <c r="K3248" s="57" t="s">
        <v>7698</v>
      </c>
      <c r="L3248" s="57" t="s">
        <v>364</v>
      </c>
      <c r="M3248" s="3" t="s">
        <v>230</v>
      </c>
      <c r="N3248" s="52" t="s">
        <v>7693</v>
      </c>
      <c r="O3248" s="6" t="s">
        <v>365</v>
      </c>
      <c r="P3248" s="58" t="s">
        <v>241</v>
      </c>
      <c r="Q3248" s="48" t="s">
        <v>234</v>
      </c>
      <c r="R3248" s="113">
        <v>15</v>
      </c>
      <c r="S3248" s="59">
        <v>4730.1870000000008</v>
      </c>
      <c r="T3248" s="4">
        <v>0</v>
      </c>
      <c r="U3248" s="4">
        <f t="shared" si="86"/>
        <v>0</v>
      </c>
      <c r="V3248" s="1"/>
      <c r="W3248" s="3">
        <v>2014</v>
      </c>
      <c r="X3248" s="3">
        <v>12</v>
      </c>
    </row>
    <row r="3249" spans="1:24" ht="153">
      <c r="A3249" s="3" t="s">
        <v>13415</v>
      </c>
      <c r="B3249" s="6" t="s">
        <v>361</v>
      </c>
      <c r="C3249" s="6" t="s">
        <v>7428</v>
      </c>
      <c r="D3249" s="48" t="s">
        <v>379</v>
      </c>
      <c r="E3249" s="6" t="s">
        <v>7429</v>
      </c>
      <c r="F3249" s="48" t="s">
        <v>7432</v>
      </c>
      <c r="G3249" s="3" t="s">
        <v>11450</v>
      </c>
      <c r="H3249" s="54">
        <v>0</v>
      </c>
      <c r="I3249" s="55">
        <v>470000000</v>
      </c>
      <c r="J3249" s="56" t="s">
        <v>229</v>
      </c>
      <c r="K3249" s="57" t="s">
        <v>7698</v>
      </c>
      <c r="L3249" s="17" t="s">
        <v>11411</v>
      </c>
      <c r="M3249" s="3" t="s">
        <v>230</v>
      </c>
      <c r="N3249" s="52" t="s">
        <v>7693</v>
      </c>
      <c r="O3249" s="6" t="s">
        <v>365</v>
      </c>
      <c r="P3249" s="58" t="s">
        <v>241</v>
      </c>
      <c r="Q3249" s="48" t="s">
        <v>234</v>
      </c>
      <c r="R3249" s="113">
        <v>15</v>
      </c>
      <c r="S3249" s="59">
        <v>4730.1870000000008</v>
      </c>
      <c r="T3249" s="4">
        <v>0</v>
      </c>
      <c r="U3249" s="4">
        <f>T3249*1.12</f>
        <v>0</v>
      </c>
      <c r="V3249" s="1"/>
      <c r="W3249" s="3">
        <v>2014</v>
      </c>
      <c r="X3249" s="3" t="s">
        <v>14785</v>
      </c>
    </row>
    <row r="3250" spans="1:24" ht="153">
      <c r="A3250" s="3" t="s">
        <v>18328</v>
      </c>
      <c r="B3250" s="6" t="s">
        <v>361</v>
      </c>
      <c r="C3250" s="6" t="s">
        <v>7428</v>
      </c>
      <c r="D3250" s="48" t="s">
        <v>379</v>
      </c>
      <c r="E3250" s="6" t="s">
        <v>7429</v>
      </c>
      <c r="F3250" s="48" t="s">
        <v>7432</v>
      </c>
      <c r="G3250" s="3" t="s">
        <v>11450</v>
      </c>
      <c r="H3250" s="54">
        <v>0</v>
      </c>
      <c r="I3250" s="55">
        <v>470000000</v>
      </c>
      <c r="J3250" s="56" t="s">
        <v>229</v>
      </c>
      <c r="K3250" s="57" t="s">
        <v>8950</v>
      </c>
      <c r="L3250" s="17" t="s">
        <v>11411</v>
      </c>
      <c r="M3250" s="3" t="s">
        <v>230</v>
      </c>
      <c r="N3250" s="52" t="s">
        <v>7693</v>
      </c>
      <c r="O3250" s="6" t="s">
        <v>365</v>
      </c>
      <c r="P3250" s="58" t="s">
        <v>241</v>
      </c>
      <c r="Q3250" s="48" t="s">
        <v>234</v>
      </c>
      <c r="R3250" s="113">
        <v>15</v>
      </c>
      <c r="S3250" s="59">
        <v>5676.224400000001</v>
      </c>
      <c r="T3250" s="4">
        <v>0</v>
      </c>
      <c r="U3250" s="4">
        <f>T3250*1.12</f>
        <v>0</v>
      </c>
      <c r="V3250" s="1"/>
      <c r="W3250" s="3">
        <v>2014</v>
      </c>
      <c r="X3250" s="3">
        <v>11.14</v>
      </c>
    </row>
    <row r="3251" spans="1:24" ht="153">
      <c r="A3251" s="3" t="s">
        <v>18988</v>
      </c>
      <c r="B3251" s="6" t="s">
        <v>361</v>
      </c>
      <c r="C3251" s="6" t="s">
        <v>7428</v>
      </c>
      <c r="D3251" s="48" t="s">
        <v>379</v>
      </c>
      <c r="E3251" s="6" t="s">
        <v>7429</v>
      </c>
      <c r="F3251" s="48" t="s">
        <v>7432</v>
      </c>
      <c r="G3251" s="3" t="s">
        <v>11450</v>
      </c>
      <c r="H3251" s="54">
        <v>0</v>
      </c>
      <c r="I3251" s="55">
        <v>470000000</v>
      </c>
      <c r="J3251" s="56" t="s">
        <v>229</v>
      </c>
      <c r="K3251" s="57" t="s">
        <v>18437</v>
      </c>
      <c r="L3251" s="17" t="s">
        <v>11411</v>
      </c>
      <c r="M3251" s="3" t="s">
        <v>230</v>
      </c>
      <c r="N3251" s="52" t="s">
        <v>16511</v>
      </c>
      <c r="O3251" s="6" t="s">
        <v>365</v>
      </c>
      <c r="P3251" s="58" t="s">
        <v>241</v>
      </c>
      <c r="Q3251" s="48" t="s">
        <v>234</v>
      </c>
      <c r="R3251" s="113">
        <v>15</v>
      </c>
      <c r="S3251" s="59">
        <v>5676.224400000001</v>
      </c>
      <c r="T3251" s="4">
        <v>0</v>
      </c>
      <c r="U3251" s="4">
        <f>T3251*1.12</f>
        <v>0</v>
      </c>
      <c r="V3251" s="1"/>
      <c r="W3251" s="3">
        <v>2014</v>
      </c>
      <c r="X3251" s="3">
        <v>11.15</v>
      </c>
    </row>
    <row r="3252" spans="1:24" ht="153">
      <c r="A3252" s="3" t="s">
        <v>19416</v>
      </c>
      <c r="B3252" s="6" t="s">
        <v>361</v>
      </c>
      <c r="C3252" s="6" t="s">
        <v>7428</v>
      </c>
      <c r="D3252" s="48" t="s">
        <v>379</v>
      </c>
      <c r="E3252" s="6" t="s">
        <v>7429</v>
      </c>
      <c r="F3252" s="48" t="s">
        <v>7432</v>
      </c>
      <c r="G3252" s="3" t="s">
        <v>11450</v>
      </c>
      <c r="H3252" s="54">
        <v>0</v>
      </c>
      <c r="I3252" s="55">
        <v>470000000</v>
      </c>
      <c r="J3252" s="56" t="s">
        <v>229</v>
      </c>
      <c r="K3252" s="57" t="s">
        <v>19379</v>
      </c>
      <c r="L3252" s="17" t="s">
        <v>11411</v>
      </c>
      <c r="M3252" s="3" t="s">
        <v>230</v>
      </c>
      <c r="N3252" s="52" t="s">
        <v>16511</v>
      </c>
      <c r="O3252" s="6" t="s">
        <v>19407</v>
      </c>
      <c r="P3252" s="58" t="s">
        <v>241</v>
      </c>
      <c r="Q3252" s="48" t="s">
        <v>234</v>
      </c>
      <c r="R3252" s="113">
        <v>15</v>
      </c>
      <c r="S3252" s="59">
        <v>5676.224400000001</v>
      </c>
      <c r="T3252" s="4">
        <f>R3252*S3252</f>
        <v>85143.366000000009</v>
      </c>
      <c r="U3252" s="4">
        <f>T3252*1.12</f>
        <v>95360.569920000024</v>
      </c>
      <c r="V3252" s="1"/>
      <c r="W3252" s="3">
        <v>2014</v>
      </c>
      <c r="X3252" s="3"/>
    </row>
    <row r="3253" spans="1:24" ht="114.75">
      <c r="A3253" s="3" t="s">
        <v>10340</v>
      </c>
      <c r="B3253" s="6" t="s">
        <v>361</v>
      </c>
      <c r="C3253" s="6" t="s">
        <v>7433</v>
      </c>
      <c r="D3253" s="48" t="s">
        <v>380</v>
      </c>
      <c r="E3253" s="6" t="s">
        <v>7434</v>
      </c>
      <c r="F3253" s="48" t="s">
        <v>7435</v>
      </c>
      <c r="G3253" s="3" t="s">
        <v>11450</v>
      </c>
      <c r="H3253" s="54">
        <v>0</v>
      </c>
      <c r="I3253" s="55">
        <v>470000000</v>
      </c>
      <c r="J3253" s="56" t="s">
        <v>229</v>
      </c>
      <c r="K3253" s="57" t="s">
        <v>7698</v>
      </c>
      <c r="L3253" s="57" t="s">
        <v>364</v>
      </c>
      <c r="M3253" s="3" t="s">
        <v>230</v>
      </c>
      <c r="N3253" s="52" t="s">
        <v>7693</v>
      </c>
      <c r="O3253" s="6" t="s">
        <v>365</v>
      </c>
      <c r="P3253" s="58" t="s">
        <v>241</v>
      </c>
      <c r="Q3253" s="48" t="s">
        <v>234</v>
      </c>
      <c r="R3253" s="113">
        <v>5</v>
      </c>
      <c r="S3253" s="59">
        <v>1215.4692</v>
      </c>
      <c r="T3253" s="4">
        <v>0</v>
      </c>
      <c r="U3253" s="4">
        <f t="shared" si="86"/>
        <v>0</v>
      </c>
      <c r="V3253" s="1"/>
      <c r="W3253" s="3">
        <v>2014</v>
      </c>
      <c r="X3253" s="3">
        <v>12</v>
      </c>
    </row>
    <row r="3254" spans="1:24" ht="114.75">
      <c r="A3254" s="3" t="s">
        <v>13416</v>
      </c>
      <c r="B3254" s="6" t="s">
        <v>361</v>
      </c>
      <c r="C3254" s="6" t="s">
        <v>7433</v>
      </c>
      <c r="D3254" s="48" t="s">
        <v>380</v>
      </c>
      <c r="E3254" s="6" t="s">
        <v>7434</v>
      </c>
      <c r="F3254" s="48" t="s">
        <v>7435</v>
      </c>
      <c r="G3254" s="3" t="s">
        <v>11450</v>
      </c>
      <c r="H3254" s="54">
        <v>0</v>
      </c>
      <c r="I3254" s="55">
        <v>470000000</v>
      </c>
      <c r="J3254" s="56" t="s">
        <v>229</v>
      </c>
      <c r="K3254" s="57" t="s">
        <v>7698</v>
      </c>
      <c r="L3254" s="17" t="s">
        <v>11411</v>
      </c>
      <c r="M3254" s="3" t="s">
        <v>230</v>
      </c>
      <c r="N3254" s="52" t="s">
        <v>7693</v>
      </c>
      <c r="O3254" s="6" t="s">
        <v>365</v>
      </c>
      <c r="P3254" s="58" t="s">
        <v>241</v>
      </c>
      <c r="Q3254" s="48" t="s">
        <v>234</v>
      </c>
      <c r="R3254" s="113">
        <v>5</v>
      </c>
      <c r="S3254" s="59">
        <v>1215.4692</v>
      </c>
      <c r="T3254" s="4">
        <f>R3254*S3254</f>
        <v>6077.3459999999995</v>
      </c>
      <c r="U3254" s="4">
        <f>T3254*1.12</f>
        <v>6806.62752</v>
      </c>
      <c r="V3254" s="1"/>
      <c r="W3254" s="3">
        <v>2014</v>
      </c>
      <c r="X3254" s="3" t="s">
        <v>14785</v>
      </c>
    </row>
    <row r="3255" spans="1:24" ht="114.75">
      <c r="A3255" s="3" t="s">
        <v>18329</v>
      </c>
      <c r="B3255" s="6" t="s">
        <v>361</v>
      </c>
      <c r="C3255" s="6" t="s">
        <v>7433</v>
      </c>
      <c r="D3255" s="48" t="s">
        <v>380</v>
      </c>
      <c r="E3255" s="6" t="s">
        <v>7434</v>
      </c>
      <c r="F3255" s="48" t="s">
        <v>7435</v>
      </c>
      <c r="G3255" s="3" t="s">
        <v>11450</v>
      </c>
      <c r="H3255" s="54">
        <v>0</v>
      </c>
      <c r="I3255" s="55">
        <v>470000000</v>
      </c>
      <c r="J3255" s="56" t="s">
        <v>229</v>
      </c>
      <c r="K3255" s="57" t="s">
        <v>8950</v>
      </c>
      <c r="L3255" s="17" t="s">
        <v>11411</v>
      </c>
      <c r="M3255" s="3" t="s">
        <v>230</v>
      </c>
      <c r="N3255" s="52" t="s">
        <v>7693</v>
      </c>
      <c r="O3255" s="6" t="s">
        <v>365</v>
      </c>
      <c r="P3255" s="58" t="s">
        <v>241</v>
      </c>
      <c r="Q3255" s="48" t="s">
        <v>234</v>
      </c>
      <c r="R3255" s="113">
        <v>5</v>
      </c>
      <c r="S3255" s="59">
        <v>1458.56304</v>
      </c>
      <c r="T3255" s="4">
        <f>R3255*S3255</f>
        <v>7292.8152</v>
      </c>
      <c r="U3255" s="4">
        <f>T3255*1.12</f>
        <v>8167.9530240000004</v>
      </c>
      <c r="V3255" s="1"/>
      <c r="W3255" s="3">
        <v>2014</v>
      </c>
      <c r="X3255" s="3"/>
    </row>
    <row r="3256" spans="1:24" ht="114.75">
      <c r="A3256" s="3" t="s">
        <v>10341</v>
      </c>
      <c r="B3256" s="6" t="s">
        <v>361</v>
      </c>
      <c r="C3256" s="6" t="s">
        <v>7433</v>
      </c>
      <c r="D3256" s="48" t="s">
        <v>380</v>
      </c>
      <c r="E3256" s="6" t="s">
        <v>7434</v>
      </c>
      <c r="F3256" s="6" t="s">
        <v>7423</v>
      </c>
      <c r="G3256" s="3" t="s">
        <v>11450</v>
      </c>
      <c r="H3256" s="54">
        <v>0</v>
      </c>
      <c r="I3256" s="55">
        <v>470000000</v>
      </c>
      <c r="J3256" s="56" t="s">
        <v>229</v>
      </c>
      <c r="K3256" s="57" t="s">
        <v>7698</v>
      </c>
      <c r="L3256" s="57" t="s">
        <v>364</v>
      </c>
      <c r="M3256" s="3" t="s">
        <v>230</v>
      </c>
      <c r="N3256" s="52" t="s">
        <v>7693</v>
      </c>
      <c r="O3256" s="6" t="s">
        <v>365</v>
      </c>
      <c r="P3256" s="58" t="s">
        <v>241</v>
      </c>
      <c r="Q3256" s="48" t="s">
        <v>234</v>
      </c>
      <c r="R3256" s="113">
        <v>3</v>
      </c>
      <c r="S3256" s="59">
        <v>6425.1</v>
      </c>
      <c r="T3256" s="4">
        <v>0</v>
      </c>
      <c r="U3256" s="4">
        <f t="shared" si="86"/>
        <v>0</v>
      </c>
      <c r="V3256" s="1"/>
      <c r="W3256" s="3">
        <v>2014</v>
      </c>
      <c r="X3256" s="3">
        <v>12</v>
      </c>
    </row>
    <row r="3257" spans="1:24" ht="114.75">
      <c r="A3257" s="3" t="s">
        <v>13417</v>
      </c>
      <c r="B3257" s="6" t="s">
        <v>361</v>
      </c>
      <c r="C3257" s="6" t="s">
        <v>7433</v>
      </c>
      <c r="D3257" s="48" t="s">
        <v>380</v>
      </c>
      <c r="E3257" s="6" t="s">
        <v>7434</v>
      </c>
      <c r="F3257" s="6" t="s">
        <v>7423</v>
      </c>
      <c r="G3257" s="3" t="s">
        <v>11450</v>
      </c>
      <c r="H3257" s="54">
        <v>0</v>
      </c>
      <c r="I3257" s="55">
        <v>470000000</v>
      </c>
      <c r="J3257" s="56" t="s">
        <v>229</v>
      </c>
      <c r="K3257" s="57" t="s">
        <v>7698</v>
      </c>
      <c r="L3257" s="17" t="s">
        <v>11411</v>
      </c>
      <c r="M3257" s="3" t="s">
        <v>230</v>
      </c>
      <c r="N3257" s="52" t="s">
        <v>7693</v>
      </c>
      <c r="O3257" s="6" t="s">
        <v>365</v>
      </c>
      <c r="P3257" s="58" t="s">
        <v>241</v>
      </c>
      <c r="Q3257" s="48" t="s">
        <v>234</v>
      </c>
      <c r="R3257" s="113">
        <v>3</v>
      </c>
      <c r="S3257" s="59">
        <v>6425.1</v>
      </c>
      <c r="T3257" s="4">
        <v>0</v>
      </c>
      <c r="U3257" s="4">
        <f>T3257*1.12</f>
        <v>0</v>
      </c>
      <c r="V3257" s="1"/>
      <c r="W3257" s="3">
        <v>2014</v>
      </c>
      <c r="X3257" s="3" t="s">
        <v>14785</v>
      </c>
    </row>
    <row r="3258" spans="1:24" ht="114.75">
      <c r="A3258" s="3" t="s">
        <v>18330</v>
      </c>
      <c r="B3258" s="6" t="s">
        <v>361</v>
      </c>
      <c r="C3258" s="6" t="s">
        <v>7433</v>
      </c>
      <c r="D3258" s="48" t="s">
        <v>380</v>
      </c>
      <c r="E3258" s="6" t="s">
        <v>7434</v>
      </c>
      <c r="F3258" s="6" t="s">
        <v>7423</v>
      </c>
      <c r="G3258" s="3" t="s">
        <v>11450</v>
      </c>
      <c r="H3258" s="54">
        <v>0</v>
      </c>
      <c r="I3258" s="55">
        <v>470000000</v>
      </c>
      <c r="J3258" s="56" t="s">
        <v>229</v>
      </c>
      <c r="K3258" s="57" t="s">
        <v>8950</v>
      </c>
      <c r="L3258" s="17" t="s">
        <v>11411</v>
      </c>
      <c r="M3258" s="3" t="s">
        <v>230</v>
      </c>
      <c r="N3258" s="52" t="s">
        <v>7693</v>
      </c>
      <c r="O3258" s="6" t="s">
        <v>365</v>
      </c>
      <c r="P3258" s="58" t="s">
        <v>241</v>
      </c>
      <c r="Q3258" s="48" t="s">
        <v>234</v>
      </c>
      <c r="R3258" s="113">
        <v>3</v>
      </c>
      <c r="S3258" s="59">
        <v>7710.12</v>
      </c>
      <c r="T3258" s="4">
        <f>R3258*S3258</f>
        <v>23130.36</v>
      </c>
      <c r="U3258" s="4">
        <f>T3258*1.12</f>
        <v>25906.003200000003</v>
      </c>
      <c r="V3258" s="1"/>
      <c r="W3258" s="3">
        <v>2014</v>
      </c>
      <c r="X3258" s="3"/>
    </row>
    <row r="3259" spans="1:24" ht="114.75">
      <c r="A3259" s="3" t="s">
        <v>10342</v>
      </c>
      <c r="B3259" s="6" t="s">
        <v>361</v>
      </c>
      <c r="C3259" s="6" t="s">
        <v>7436</v>
      </c>
      <c r="D3259" s="48" t="s">
        <v>7437</v>
      </c>
      <c r="E3259" s="6" t="s">
        <v>7438</v>
      </c>
      <c r="F3259" s="48" t="s">
        <v>11773</v>
      </c>
      <c r="G3259" s="3" t="s">
        <v>11450</v>
      </c>
      <c r="H3259" s="54">
        <v>0</v>
      </c>
      <c r="I3259" s="55">
        <v>470000000</v>
      </c>
      <c r="J3259" s="56" t="s">
        <v>229</v>
      </c>
      <c r="K3259" s="57" t="s">
        <v>9041</v>
      </c>
      <c r="L3259" s="57" t="s">
        <v>364</v>
      </c>
      <c r="M3259" s="3" t="s">
        <v>230</v>
      </c>
      <c r="N3259" s="52" t="s">
        <v>7693</v>
      </c>
      <c r="O3259" s="6" t="s">
        <v>365</v>
      </c>
      <c r="P3259" s="58" t="s">
        <v>241</v>
      </c>
      <c r="Q3259" s="48" t="s">
        <v>234</v>
      </c>
      <c r="R3259" s="22">
        <v>3</v>
      </c>
      <c r="S3259" s="59">
        <v>66000</v>
      </c>
      <c r="T3259" s="4">
        <v>0</v>
      </c>
      <c r="U3259" s="4">
        <f t="shared" si="86"/>
        <v>0</v>
      </c>
      <c r="V3259" s="1"/>
      <c r="W3259" s="3">
        <v>2014</v>
      </c>
      <c r="X3259" s="3">
        <v>12</v>
      </c>
    </row>
    <row r="3260" spans="1:24" ht="114.75">
      <c r="A3260" s="3" t="s">
        <v>13418</v>
      </c>
      <c r="B3260" s="6" t="s">
        <v>361</v>
      </c>
      <c r="C3260" s="6" t="s">
        <v>7436</v>
      </c>
      <c r="D3260" s="48" t="s">
        <v>7437</v>
      </c>
      <c r="E3260" s="6" t="s">
        <v>7438</v>
      </c>
      <c r="F3260" s="48" t="s">
        <v>11773</v>
      </c>
      <c r="G3260" s="3" t="s">
        <v>11450</v>
      </c>
      <c r="H3260" s="54">
        <v>0</v>
      </c>
      <c r="I3260" s="55">
        <v>470000000</v>
      </c>
      <c r="J3260" s="56" t="s">
        <v>229</v>
      </c>
      <c r="K3260" s="57" t="s">
        <v>9041</v>
      </c>
      <c r="L3260" s="17" t="s">
        <v>11411</v>
      </c>
      <c r="M3260" s="3" t="s">
        <v>230</v>
      </c>
      <c r="N3260" s="52" t="s">
        <v>7693</v>
      </c>
      <c r="O3260" s="6" t="s">
        <v>365</v>
      </c>
      <c r="P3260" s="58" t="s">
        <v>241</v>
      </c>
      <c r="Q3260" s="48" t="s">
        <v>234</v>
      </c>
      <c r="R3260" s="22">
        <v>3</v>
      </c>
      <c r="S3260" s="59">
        <v>66000</v>
      </c>
      <c r="T3260" s="4">
        <v>0</v>
      </c>
      <c r="U3260" s="4">
        <f>T3260*1.12</f>
        <v>0</v>
      </c>
      <c r="V3260" s="1"/>
      <c r="W3260" s="3">
        <v>2014</v>
      </c>
      <c r="X3260" s="3" t="s">
        <v>18206</v>
      </c>
    </row>
    <row r="3261" spans="1:24" ht="114.75">
      <c r="A3261" s="3" t="s">
        <v>16510</v>
      </c>
      <c r="B3261" s="6" t="s">
        <v>361</v>
      </c>
      <c r="C3261" s="6" t="s">
        <v>7436</v>
      </c>
      <c r="D3261" s="48" t="s">
        <v>7437</v>
      </c>
      <c r="E3261" s="6" t="s">
        <v>7438</v>
      </c>
      <c r="F3261" s="48" t="s">
        <v>11773</v>
      </c>
      <c r="G3261" s="3" t="s">
        <v>11450</v>
      </c>
      <c r="H3261" s="54">
        <v>0</v>
      </c>
      <c r="I3261" s="55">
        <v>470000000</v>
      </c>
      <c r="J3261" s="56" t="s">
        <v>229</v>
      </c>
      <c r="K3261" s="57" t="s">
        <v>9041</v>
      </c>
      <c r="L3261" s="17" t="s">
        <v>11411</v>
      </c>
      <c r="M3261" s="3" t="s">
        <v>230</v>
      </c>
      <c r="N3261" s="52" t="s">
        <v>16511</v>
      </c>
      <c r="O3261" s="6" t="s">
        <v>365</v>
      </c>
      <c r="P3261" s="58" t="s">
        <v>241</v>
      </c>
      <c r="Q3261" s="48" t="s">
        <v>234</v>
      </c>
      <c r="R3261" s="22">
        <v>3</v>
      </c>
      <c r="S3261" s="59">
        <v>79200</v>
      </c>
      <c r="T3261" s="4">
        <f>R3261*S3261</f>
        <v>237600</v>
      </c>
      <c r="U3261" s="4">
        <f>T3261*1.12</f>
        <v>266112</v>
      </c>
      <c r="V3261" s="1"/>
      <c r="W3261" s="3">
        <v>2014</v>
      </c>
      <c r="X3261" s="3"/>
    </row>
    <row r="3262" spans="1:24" ht="114.75">
      <c r="A3262" s="3" t="s">
        <v>10343</v>
      </c>
      <c r="B3262" s="6" t="s">
        <v>361</v>
      </c>
      <c r="C3262" s="6" t="s">
        <v>7439</v>
      </c>
      <c r="D3262" s="48" t="s">
        <v>11486</v>
      </c>
      <c r="E3262" s="6" t="s">
        <v>11487</v>
      </c>
      <c r="F3262" s="48" t="s">
        <v>11774</v>
      </c>
      <c r="G3262" s="3" t="s">
        <v>11450</v>
      </c>
      <c r="H3262" s="54">
        <v>0</v>
      </c>
      <c r="I3262" s="55">
        <v>470000000</v>
      </c>
      <c r="J3262" s="56" t="s">
        <v>229</v>
      </c>
      <c r="K3262" s="57" t="s">
        <v>9041</v>
      </c>
      <c r="L3262" s="57" t="s">
        <v>364</v>
      </c>
      <c r="M3262" s="3" t="s">
        <v>230</v>
      </c>
      <c r="N3262" s="52" t="s">
        <v>7693</v>
      </c>
      <c r="O3262" s="6" t="s">
        <v>365</v>
      </c>
      <c r="P3262" s="58" t="s">
        <v>241</v>
      </c>
      <c r="Q3262" s="48" t="s">
        <v>234</v>
      </c>
      <c r="R3262" s="22">
        <v>10</v>
      </c>
      <c r="S3262" s="59">
        <v>37842.199999999997</v>
      </c>
      <c r="T3262" s="4">
        <v>0</v>
      </c>
      <c r="U3262" s="4">
        <f t="shared" si="86"/>
        <v>0</v>
      </c>
      <c r="V3262" s="1"/>
      <c r="W3262" s="3">
        <v>2014</v>
      </c>
      <c r="X3262" s="3">
        <v>12</v>
      </c>
    </row>
    <row r="3263" spans="1:24" ht="114.75">
      <c r="A3263" s="3" t="s">
        <v>13419</v>
      </c>
      <c r="B3263" s="6" t="s">
        <v>361</v>
      </c>
      <c r="C3263" s="6" t="s">
        <v>7439</v>
      </c>
      <c r="D3263" s="48" t="s">
        <v>11486</v>
      </c>
      <c r="E3263" s="6" t="s">
        <v>11487</v>
      </c>
      <c r="F3263" s="48" t="s">
        <v>11774</v>
      </c>
      <c r="G3263" s="3" t="s">
        <v>11450</v>
      </c>
      <c r="H3263" s="54">
        <v>0</v>
      </c>
      <c r="I3263" s="55">
        <v>470000000</v>
      </c>
      <c r="J3263" s="56" t="s">
        <v>229</v>
      </c>
      <c r="K3263" s="57" t="s">
        <v>9041</v>
      </c>
      <c r="L3263" s="17" t="s">
        <v>11411</v>
      </c>
      <c r="M3263" s="3" t="s">
        <v>230</v>
      </c>
      <c r="N3263" s="52" t="s">
        <v>7693</v>
      </c>
      <c r="O3263" s="6" t="s">
        <v>365</v>
      </c>
      <c r="P3263" s="58" t="s">
        <v>241</v>
      </c>
      <c r="Q3263" s="48" t="s">
        <v>234</v>
      </c>
      <c r="R3263" s="22">
        <v>10</v>
      </c>
      <c r="S3263" s="59">
        <v>37842.199999999997</v>
      </c>
      <c r="T3263" s="4">
        <v>0</v>
      </c>
      <c r="U3263" s="4">
        <f>T3263*1.12</f>
        <v>0</v>
      </c>
      <c r="V3263" s="1"/>
      <c r="W3263" s="3">
        <v>2014</v>
      </c>
      <c r="X3263" s="3" t="s">
        <v>18206</v>
      </c>
    </row>
    <row r="3264" spans="1:24" ht="114.75">
      <c r="A3264" s="3" t="s">
        <v>16512</v>
      </c>
      <c r="B3264" s="6" t="s">
        <v>361</v>
      </c>
      <c r="C3264" s="6" t="s">
        <v>7439</v>
      </c>
      <c r="D3264" s="48" t="s">
        <v>11486</v>
      </c>
      <c r="E3264" s="6" t="s">
        <v>11487</v>
      </c>
      <c r="F3264" s="48" t="s">
        <v>11774</v>
      </c>
      <c r="G3264" s="3" t="s">
        <v>11450</v>
      </c>
      <c r="H3264" s="54">
        <v>0</v>
      </c>
      <c r="I3264" s="55">
        <v>470000000</v>
      </c>
      <c r="J3264" s="56" t="s">
        <v>229</v>
      </c>
      <c r="K3264" s="57" t="s">
        <v>9041</v>
      </c>
      <c r="L3264" s="17" t="s">
        <v>11411</v>
      </c>
      <c r="M3264" s="3" t="s">
        <v>230</v>
      </c>
      <c r="N3264" s="52" t="s">
        <v>16511</v>
      </c>
      <c r="O3264" s="6" t="s">
        <v>365</v>
      </c>
      <c r="P3264" s="58" t="s">
        <v>241</v>
      </c>
      <c r="Q3264" s="48" t="s">
        <v>234</v>
      </c>
      <c r="R3264" s="22">
        <v>10</v>
      </c>
      <c r="S3264" s="59">
        <v>45410.639999999992</v>
      </c>
      <c r="T3264" s="4">
        <f>R3264*S3264</f>
        <v>454106.39999999991</v>
      </c>
      <c r="U3264" s="4">
        <f>T3264*1.12</f>
        <v>508599.16799999995</v>
      </c>
      <c r="V3264" s="1"/>
      <c r="W3264" s="3">
        <v>2014</v>
      </c>
      <c r="X3264" s="3"/>
    </row>
    <row r="3265" spans="1:24" ht="114.75">
      <c r="A3265" s="3" t="s">
        <v>10344</v>
      </c>
      <c r="B3265" s="6" t="s">
        <v>361</v>
      </c>
      <c r="C3265" s="6" t="s">
        <v>2982</v>
      </c>
      <c r="D3265" s="48" t="s">
        <v>600</v>
      </c>
      <c r="E3265" s="6" t="s">
        <v>2983</v>
      </c>
      <c r="F3265" s="48" t="s">
        <v>11775</v>
      </c>
      <c r="G3265" s="3" t="s">
        <v>11450</v>
      </c>
      <c r="H3265" s="54">
        <v>0</v>
      </c>
      <c r="I3265" s="55">
        <v>470000000</v>
      </c>
      <c r="J3265" s="56" t="s">
        <v>229</v>
      </c>
      <c r="K3265" s="57" t="s">
        <v>9041</v>
      </c>
      <c r="L3265" s="57" t="s">
        <v>364</v>
      </c>
      <c r="M3265" s="3" t="s">
        <v>230</v>
      </c>
      <c r="N3265" s="52" t="s">
        <v>7693</v>
      </c>
      <c r="O3265" s="6" t="s">
        <v>365</v>
      </c>
      <c r="P3265" s="58" t="s">
        <v>241</v>
      </c>
      <c r="Q3265" s="48" t="s">
        <v>234</v>
      </c>
      <c r="R3265" s="22">
        <v>5</v>
      </c>
      <c r="S3265" s="59">
        <v>52932.88</v>
      </c>
      <c r="T3265" s="4">
        <v>0</v>
      </c>
      <c r="U3265" s="4">
        <f t="shared" si="86"/>
        <v>0</v>
      </c>
      <c r="V3265" s="1"/>
      <c r="W3265" s="3">
        <v>2014</v>
      </c>
      <c r="X3265" s="3">
        <v>12</v>
      </c>
    </row>
    <row r="3266" spans="1:24" ht="114.75">
      <c r="A3266" s="3" t="s">
        <v>13420</v>
      </c>
      <c r="B3266" s="6" t="s">
        <v>361</v>
      </c>
      <c r="C3266" s="6" t="s">
        <v>2982</v>
      </c>
      <c r="D3266" s="48" t="s">
        <v>600</v>
      </c>
      <c r="E3266" s="6" t="s">
        <v>2983</v>
      </c>
      <c r="F3266" s="48" t="s">
        <v>11775</v>
      </c>
      <c r="G3266" s="3" t="s">
        <v>11450</v>
      </c>
      <c r="H3266" s="54">
        <v>0</v>
      </c>
      <c r="I3266" s="55">
        <v>470000000</v>
      </c>
      <c r="J3266" s="56" t="s">
        <v>229</v>
      </c>
      <c r="K3266" s="57" t="s">
        <v>9041</v>
      </c>
      <c r="L3266" s="17" t="s">
        <v>11411</v>
      </c>
      <c r="M3266" s="3" t="s">
        <v>230</v>
      </c>
      <c r="N3266" s="52" t="s">
        <v>7693</v>
      </c>
      <c r="O3266" s="6" t="s">
        <v>365</v>
      </c>
      <c r="P3266" s="58" t="s">
        <v>241</v>
      </c>
      <c r="Q3266" s="48" t="s">
        <v>234</v>
      </c>
      <c r="R3266" s="22">
        <v>5</v>
      </c>
      <c r="S3266" s="59">
        <v>52932.88</v>
      </c>
      <c r="T3266" s="4">
        <v>0</v>
      </c>
      <c r="U3266" s="4">
        <f>T3266*1.12</f>
        <v>0</v>
      </c>
      <c r="V3266" s="1"/>
      <c r="W3266" s="3">
        <v>2014</v>
      </c>
      <c r="X3266" s="3" t="s">
        <v>18206</v>
      </c>
    </row>
    <row r="3267" spans="1:24" ht="114.75">
      <c r="A3267" s="3" t="s">
        <v>16513</v>
      </c>
      <c r="B3267" s="6" t="s">
        <v>361</v>
      </c>
      <c r="C3267" s="6" t="s">
        <v>2982</v>
      </c>
      <c r="D3267" s="48" t="s">
        <v>600</v>
      </c>
      <c r="E3267" s="6" t="s">
        <v>2983</v>
      </c>
      <c r="F3267" s="48" t="s">
        <v>11775</v>
      </c>
      <c r="G3267" s="3" t="s">
        <v>11450</v>
      </c>
      <c r="H3267" s="54">
        <v>0</v>
      </c>
      <c r="I3267" s="55">
        <v>470000000</v>
      </c>
      <c r="J3267" s="56" t="s">
        <v>229</v>
      </c>
      <c r="K3267" s="57" t="s">
        <v>9041</v>
      </c>
      <c r="L3267" s="17" t="s">
        <v>11411</v>
      </c>
      <c r="M3267" s="3" t="s">
        <v>230</v>
      </c>
      <c r="N3267" s="52" t="s">
        <v>16511</v>
      </c>
      <c r="O3267" s="6" t="s">
        <v>365</v>
      </c>
      <c r="P3267" s="58" t="s">
        <v>241</v>
      </c>
      <c r="Q3267" s="48" t="s">
        <v>234</v>
      </c>
      <c r="R3267" s="22">
        <v>5</v>
      </c>
      <c r="S3267" s="59">
        <v>63519.455999999991</v>
      </c>
      <c r="T3267" s="4">
        <v>0</v>
      </c>
      <c r="U3267" s="4">
        <f>T3267*1.12</f>
        <v>0</v>
      </c>
      <c r="V3267" s="1"/>
      <c r="W3267" s="3">
        <v>2014</v>
      </c>
      <c r="X3267" s="3">
        <v>11</v>
      </c>
    </row>
    <row r="3268" spans="1:24" ht="114.75">
      <c r="A3268" s="3" t="s">
        <v>18989</v>
      </c>
      <c r="B3268" s="6" t="s">
        <v>361</v>
      </c>
      <c r="C3268" s="6" t="s">
        <v>2982</v>
      </c>
      <c r="D3268" s="48" t="s">
        <v>600</v>
      </c>
      <c r="E3268" s="6" t="s">
        <v>2983</v>
      </c>
      <c r="F3268" s="48" t="s">
        <v>11775</v>
      </c>
      <c r="G3268" s="3" t="s">
        <v>11450</v>
      </c>
      <c r="H3268" s="54">
        <v>0</v>
      </c>
      <c r="I3268" s="55">
        <v>470000000</v>
      </c>
      <c r="J3268" s="56" t="s">
        <v>229</v>
      </c>
      <c r="K3268" s="57" t="s">
        <v>18437</v>
      </c>
      <c r="L3268" s="17" t="s">
        <v>11411</v>
      </c>
      <c r="M3268" s="3" t="s">
        <v>230</v>
      </c>
      <c r="N3268" s="52" t="s">
        <v>16511</v>
      </c>
      <c r="O3268" s="6" t="s">
        <v>365</v>
      </c>
      <c r="P3268" s="58" t="s">
        <v>241</v>
      </c>
      <c r="Q3268" s="48" t="s">
        <v>234</v>
      </c>
      <c r="R3268" s="22">
        <v>5</v>
      </c>
      <c r="S3268" s="59">
        <v>63519.455999999991</v>
      </c>
      <c r="T3268" s="4">
        <v>0</v>
      </c>
      <c r="U3268" s="4">
        <f>T3268*1.12</f>
        <v>0</v>
      </c>
      <c r="V3268" s="1"/>
      <c r="W3268" s="3">
        <v>2014</v>
      </c>
      <c r="X3268" s="3" t="s">
        <v>19432</v>
      </c>
    </row>
    <row r="3269" spans="1:24" ht="76.5">
      <c r="A3269" s="3" t="s">
        <v>19431</v>
      </c>
      <c r="B3269" s="6" t="s">
        <v>361</v>
      </c>
      <c r="C3269" s="6" t="s">
        <v>2982</v>
      </c>
      <c r="D3269" s="48" t="s">
        <v>600</v>
      </c>
      <c r="E3269" s="6" t="s">
        <v>2983</v>
      </c>
      <c r="F3269" s="48" t="s">
        <v>11775</v>
      </c>
      <c r="G3269" s="3" t="s">
        <v>11450</v>
      </c>
      <c r="H3269" s="54">
        <v>0</v>
      </c>
      <c r="I3269" s="55">
        <v>470000000</v>
      </c>
      <c r="J3269" s="56" t="s">
        <v>229</v>
      </c>
      <c r="K3269" s="57" t="s">
        <v>19379</v>
      </c>
      <c r="L3269" s="17" t="s">
        <v>19433</v>
      </c>
      <c r="M3269" s="3" t="s">
        <v>230</v>
      </c>
      <c r="N3269" s="52" t="s">
        <v>16511</v>
      </c>
      <c r="O3269" s="6" t="s">
        <v>19407</v>
      </c>
      <c r="P3269" s="58" t="s">
        <v>241</v>
      </c>
      <c r="Q3269" s="48" t="s">
        <v>234</v>
      </c>
      <c r="R3269" s="22">
        <v>5</v>
      </c>
      <c r="S3269" s="59">
        <v>63519.455999999991</v>
      </c>
      <c r="T3269" s="4">
        <f>R3269*S3269</f>
        <v>317597.27999999997</v>
      </c>
      <c r="U3269" s="4">
        <f>T3269*1.12</f>
        <v>355708.95360000001</v>
      </c>
      <c r="V3269" s="1"/>
      <c r="W3269" s="3">
        <v>2014</v>
      </c>
      <c r="X3269" s="3"/>
    </row>
    <row r="3270" spans="1:24" ht="114.75">
      <c r="A3270" s="3" t="s">
        <v>10345</v>
      </c>
      <c r="B3270" s="6" t="s">
        <v>361</v>
      </c>
      <c r="C3270" s="6" t="s">
        <v>7440</v>
      </c>
      <c r="D3270" s="48" t="s">
        <v>7441</v>
      </c>
      <c r="E3270" s="6" t="s">
        <v>7442</v>
      </c>
      <c r="F3270" s="48" t="s">
        <v>11776</v>
      </c>
      <c r="G3270" s="3" t="s">
        <v>11450</v>
      </c>
      <c r="H3270" s="54">
        <v>0</v>
      </c>
      <c r="I3270" s="55">
        <v>470000000</v>
      </c>
      <c r="J3270" s="56" t="s">
        <v>229</v>
      </c>
      <c r="K3270" s="57" t="s">
        <v>9041</v>
      </c>
      <c r="L3270" s="57" t="s">
        <v>364</v>
      </c>
      <c r="M3270" s="3" t="s">
        <v>230</v>
      </c>
      <c r="N3270" s="52" t="s">
        <v>7693</v>
      </c>
      <c r="O3270" s="6" t="s">
        <v>365</v>
      </c>
      <c r="P3270" s="58" t="s">
        <v>241</v>
      </c>
      <c r="Q3270" s="48" t="s">
        <v>234</v>
      </c>
      <c r="R3270" s="22">
        <v>3</v>
      </c>
      <c r="S3270" s="59">
        <v>31000</v>
      </c>
      <c r="T3270" s="4">
        <v>0</v>
      </c>
      <c r="U3270" s="4">
        <f t="shared" si="86"/>
        <v>0</v>
      </c>
      <c r="V3270" s="1"/>
      <c r="W3270" s="3">
        <v>2014</v>
      </c>
      <c r="X3270" s="3">
        <v>12</v>
      </c>
    </row>
    <row r="3271" spans="1:24" ht="114.75">
      <c r="A3271" s="3" t="s">
        <v>13421</v>
      </c>
      <c r="B3271" s="6" t="s">
        <v>361</v>
      </c>
      <c r="C3271" s="6" t="s">
        <v>7440</v>
      </c>
      <c r="D3271" s="48" t="s">
        <v>7441</v>
      </c>
      <c r="E3271" s="6" t="s">
        <v>7442</v>
      </c>
      <c r="F3271" s="48" t="s">
        <v>11776</v>
      </c>
      <c r="G3271" s="3" t="s">
        <v>11450</v>
      </c>
      <c r="H3271" s="54">
        <v>0</v>
      </c>
      <c r="I3271" s="55">
        <v>470000000</v>
      </c>
      <c r="J3271" s="56" t="s">
        <v>229</v>
      </c>
      <c r="K3271" s="57" t="s">
        <v>9041</v>
      </c>
      <c r="L3271" s="17" t="s">
        <v>11411</v>
      </c>
      <c r="M3271" s="3" t="s">
        <v>230</v>
      </c>
      <c r="N3271" s="52" t="s">
        <v>7693</v>
      </c>
      <c r="O3271" s="6" t="s">
        <v>365</v>
      </c>
      <c r="P3271" s="58" t="s">
        <v>241</v>
      </c>
      <c r="Q3271" s="48" t="s">
        <v>234</v>
      </c>
      <c r="R3271" s="22">
        <v>3</v>
      </c>
      <c r="S3271" s="59">
        <v>31000</v>
      </c>
      <c r="T3271" s="4">
        <v>0</v>
      </c>
      <c r="U3271" s="4">
        <f>T3271*1.12</f>
        <v>0</v>
      </c>
      <c r="V3271" s="1"/>
      <c r="W3271" s="3">
        <v>2014</v>
      </c>
      <c r="X3271" s="3" t="s">
        <v>18206</v>
      </c>
    </row>
    <row r="3272" spans="1:24" ht="114.75">
      <c r="A3272" s="3" t="s">
        <v>16514</v>
      </c>
      <c r="B3272" s="6" t="s">
        <v>361</v>
      </c>
      <c r="C3272" s="6" t="s">
        <v>7440</v>
      </c>
      <c r="D3272" s="48" t="s">
        <v>7441</v>
      </c>
      <c r="E3272" s="6" t="s">
        <v>7442</v>
      </c>
      <c r="F3272" s="48" t="s">
        <v>11776</v>
      </c>
      <c r="G3272" s="3" t="s">
        <v>11450</v>
      </c>
      <c r="H3272" s="54">
        <v>0</v>
      </c>
      <c r="I3272" s="55">
        <v>470000000</v>
      </c>
      <c r="J3272" s="56" t="s">
        <v>229</v>
      </c>
      <c r="K3272" s="57" t="s">
        <v>9041</v>
      </c>
      <c r="L3272" s="17" t="s">
        <v>11411</v>
      </c>
      <c r="M3272" s="3" t="s">
        <v>230</v>
      </c>
      <c r="N3272" s="52" t="s">
        <v>16511</v>
      </c>
      <c r="O3272" s="6" t="s">
        <v>365</v>
      </c>
      <c r="P3272" s="58" t="s">
        <v>241</v>
      </c>
      <c r="Q3272" s="48" t="s">
        <v>234</v>
      </c>
      <c r="R3272" s="22">
        <v>3</v>
      </c>
      <c r="S3272" s="59">
        <v>37200</v>
      </c>
      <c r="T3272" s="4">
        <f>R3272*S3272</f>
        <v>111600</v>
      </c>
      <c r="U3272" s="4">
        <f>T3272*1.12</f>
        <v>124992.00000000001</v>
      </c>
      <c r="V3272" s="1"/>
      <c r="W3272" s="3">
        <v>2014</v>
      </c>
      <c r="X3272" s="3"/>
    </row>
    <row r="3273" spans="1:24" ht="127.5">
      <c r="A3273" s="3" t="s">
        <v>10346</v>
      </c>
      <c r="B3273" s="6" t="s">
        <v>361</v>
      </c>
      <c r="C3273" s="6" t="s">
        <v>7443</v>
      </c>
      <c r="D3273" s="3" t="s">
        <v>320</v>
      </c>
      <c r="E3273" s="6" t="s">
        <v>7444</v>
      </c>
      <c r="F3273" s="48" t="s">
        <v>7445</v>
      </c>
      <c r="G3273" s="3" t="s">
        <v>11450</v>
      </c>
      <c r="H3273" s="54">
        <v>0</v>
      </c>
      <c r="I3273" s="55">
        <v>470000000</v>
      </c>
      <c r="J3273" s="56" t="s">
        <v>229</v>
      </c>
      <c r="K3273" s="57" t="s">
        <v>9041</v>
      </c>
      <c r="L3273" s="57" t="s">
        <v>364</v>
      </c>
      <c r="M3273" s="3" t="s">
        <v>230</v>
      </c>
      <c r="N3273" s="52" t="s">
        <v>7693</v>
      </c>
      <c r="O3273" s="6" t="s">
        <v>365</v>
      </c>
      <c r="P3273" s="58" t="s">
        <v>241</v>
      </c>
      <c r="Q3273" s="48" t="s">
        <v>234</v>
      </c>
      <c r="R3273" s="22">
        <v>10</v>
      </c>
      <c r="S3273" s="59">
        <v>3447.2020000000007</v>
      </c>
      <c r="T3273" s="4">
        <v>0</v>
      </c>
      <c r="U3273" s="4">
        <f t="shared" si="86"/>
        <v>0</v>
      </c>
      <c r="V3273" s="1"/>
      <c r="W3273" s="3">
        <v>2014</v>
      </c>
      <c r="X3273" s="3">
        <v>12</v>
      </c>
    </row>
    <row r="3274" spans="1:24" ht="127.5">
      <c r="A3274" s="3" t="s">
        <v>13422</v>
      </c>
      <c r="B3274" s="6" t="s">
        <v>361</v>
      </c>
      <c r="C3274" s="6" t="s">
        <v>7443</v>
      </c>
      <c r="D3274" s="3" t="s">
        <v>320</v>
      </c>
      <c r="E3274" s="6" t="s">
        <v>7444</v>
      </c>
      <c r="F3274" s="48" t="s">
        <v>7445</v>
      </c>
      <c r="G3274" s="3" t="s">
        <v>11450</v>
      </c>
      <c r="H3274" s="54">
        <v>0</v>
      </c>
      <c r="I3274" s="55">
        <v>470000000</v>
      </c>
      <c r="J3274" s="56" t="s">
        <v>229</v>
      </c>
      <c r="K3274" s="57" t="s">
        <v>9041</v>
      </c>
      <c r="L3274" s="17" t="s">
        <v>11411</v>
      </c>
      <c r="M3274" s="3" t="s">
        <v>230</v>
      </c>
      <c r="N3274" s="52" t="s">
        <v>7693</v>
      </c>
      <c r="O3274" s="6" t="s">
        <v>365</v>
      </c>
      <c r="P3274" s="58" t="s">
        <v>241</v>
      </c>
      <c r="Q3274" s="48" t="s">
        <v>234</v>
      </c>
      <c r="R3274" s="22">
        <v>10</v>
      </c>
      <c r="S3274" s="59">
        <v>3447.2020000000007</v>
      </c>
      <c r="T3274" s="4">
        <v>0</v>
      </c>
      <c r="U3274" s="4">
        <f>T3274*1.12</f>
        <v>0</v>
      </c>
      <c r="V3274" s="1"/>
      <c r="W3274" s="3">
        <v>2014</v>
      </c>
      <c r="X3274" s="3" t="s">
        <v>18206</v>
      </c>
    </row>
    <row r="3275" spans="1:24" ht="127.5">
      <c r="A3275" s="3" t="s">
        <v>16515</v>
      </c>
      <c r="B3275" s="6" t="s">
        <v>361</v>
      </c>
      <c r="C3275" s="6" t="s">
        <v>7443</v>
      </c>
      <c r="D3275" s="3" t="s">
        <v>320</v>
      </c>
      <c r="E3275" s="6" t="s">
        <v>7444</v>
      </c>
      <c r="F3275" s="48" t="s">
        <v>7445</v>
      </c>
      <c r="G3275" s="3" t="s">
        <v>11450</v>
      </c>
      <c r="H3275" s="54">
        <v>0</v>
      </c>
      <c r="I3275" s="55">
        <v>470000000</v>
      </c>
      <c r="J3275" s="56" t="s">
        <v>229</v>
      </c>
      <c r="K3275" s="57" t="s">
        <v>9041</v>
      </c>
      <c r="L3275" s="17" t="s">
        <v>11411</v>
      </c>
      <c r="M3275" s="3" t="s">
        <v>230</v>
      </c>
      <c r="N3275" s="52" t="s">
        <v>16511</v>
      </c>
      <c r="O3275" s="6" t="s">
        <v>365</v>
      </c>
      <c r="P3275" s="58" t="s">
        <v>241</v>
      </c>
      <c r="Q3275" s="48" t="s">
        <v>234</v>
      </c>
      <c r="R3275" s="22">
        <v>10</v>
      </c>
      <c r="S3275" s="59">
        <v>4136.6424000000006</v>
      </c>
      <c r="T3275" s="4">
        <f>R3275*S3275</f>
        <v>41366.424000000006</v>
      </c>
      <c r="U3275" s="4">
        <f>T3275*1.12</f>
        <v>46330.394880000014</v>
      </c>
      <c r="V3275" s="1"/>
      <c r="W3275" s="3">
        <v>2014</v>
      </c>
      <c r="X3275" s="3"/>
    </row>
    <row r="3276" spans="1:24" ht="114.75">
      <c r="A3276" s="3" t="s">
        <v>10347</v>
      </c>
      <c r="B3276" s="6" t="s">
        <v>361</v>
      </c>
      <c r="C3276" s="6" t="s">
        <v>7446</v>
      </c>
      <c r="D3276" s="3" t="s">
        <v>312</v>
      </c>
      <c r="E3276" s="3" t="s">
        <v>7447</v>
      </c>
      <c r="F3276" s="48" t="s">
        <v>7448</v>
      </c>
      <c r="G3276" s="3" t="s">
        <v>11450</v>
      </c>
      <c r="H3276" s="54">
        <v>0</v>
      </c>
      <c r="I3276" s="55">
        <v>470000000</v>
      </c>
      <c r="J3276" s="56" t="s">
        <v>229</v>
      </c>
      <c r="K3276" s="57" t="s">
        <v>9041</v>
      </c>
      <c r="L3276" s="57" t="s">
        <v>364</v>
      </c>
      <c r="M3276" s="3" t="s">
        <v>230</v>
      </c>
      <c r="N3276" s="52" t="s">
        <v>7693</v>
      </c>
      <c r="O3276" s="6" t="s">
        <v>365</v>
      </c>
      <c r="P3276" s="58" t="s">
        <v>241</v>
      </c>
      <c r="Q3276" s="48" t="s">
        <v>234</v>
      </c>
      <c r="R3276" s="22">
        <v>15</v>
      </c>
      <c r="S3276" s="59">
        <v>872.77300000000002</v>
      </c>
      <c r="T3276" s="4">
        <v>0</v>
      </c>
      <c r="U3276" s="4">
        <f t="shared" si="86"/>
        <v>0</v>
      </c>
      <c r="V3276" s="1"/>
      <c r="W3276" s="3">
        <v>2014</v>
      </c>
      <c r="X3276" s="3">
        <v>12</v>
      </c>
    </row>
    <row r="3277" spans="1:24" ht="114.75">
      <c r="A3277" s="3" t="s">
        <v>13423</v>
      </c>
      <c r="B3277" s="6" t="s">
        <v>361</v>
      </c>
      <c r="C3277" s="6" t="s">
        <v>7446</v>
      </c>
      <c r="D3277" s="3" t="s">
        <v>312</v>
      </c>
      <c r="E3277" s="3" t="s">
        <v>7447</v>
      </c>
      <c r="F3277" s="48" t="s">
        <v>7448</v>
      </c>
      <c r="G3277" s="3" t="s">
        <v>11450</v>
      </c>
      <c r="H3277" s="54">
        <v>0</v>
      </c>
      <c r="I3277" s="55">
        <v>470000000</v>
      </c>
      <c r="J3277" s="56" t="s">
        <v>229</v>
      </c>
      <c r="K3277" s="57" t="s">
        <v>9041</v>
      </c>
      <c r="L3277" s="17" t="s">
        <v>11411</v>
      </c>
      <c r="M3277" s="3" t="s">
        <v>230</v>
      </c>
      <c r="N3277" s="52" t="s">
        <v>7693</v>
      </c>
      <c r="O3277" s="6" t="s">
        <v>365</v>
      </c>
      <c r="P3277" s="58" t="s">
        <v>241</v>
      </c>
      <c r="Q3277" s="48" t="s">
        <v>234</v>
      </c>
      <c r="R3277" s="22">
        <v>15</v>
      </c>
      <c r="S3277" s="59">
        <v>872.77300000000002</v>
      </c>
      <c r="T3277" s="4">
        <v>0</v>
      </c>
      <c r="U3277" s="4">
        <f>T3277*1.12</f>
        <v>0</v>
      </c>
      <c r="V3277" s="1"/>
      <c r="W3277" s="3">
        <v>2014</v>
      </c>
      <c r="X3277" s="3" t="s">
        <v>18206</v>
      </c>
    </row>
    <row r="3278" spans="1:24" ht="114.75">
      <c r="A3278" s="3" t="s">
        <v>16516</v>
      </c>
      <c r="B3278" s="6" t="s">
        <v>361</v>
      </c>
      <c r="C3278" s="6" t="s">
        <v>7446</v>
      </c>
      <c r="D3278" s="3" t="s">
        <v>312</v>
      </c>
      <c r="E3278" s="3" t="s">
        <v>7447</v>
      </c>
      <c r="F3278" s="48" t="s">
        <v>7448</v>
      </c>
      <c r="G3278" s="3" t="s">
        <v>11450</v>
      </c>
      <c r="H3278" s="54">
        <v>0</v>
      </c>
      <c r="I3278" s="55">
        <v>470000000</v>
      </c>
      <c r="J3278" s="56" t="s">
        <v>229</v>
      </c>
      <c r="K3278" s="57" t="s">
        <v>9041</v>
      </c>
      <c r="L3278" s="17" t="s">
        <v>11411</v>
      </c>
      <c r="M3278" s="3" t="s">
        <v>230</v>
      </c>
      <c r="N3278" s="52" t="s">
        <v>16511</v>
      </c>
      <c r="O3278" s="6" t="s">
        <v>365</v>
      </c>
      <c r="P3278" s="58" t="s">
        <v>241</v>
      </c>
      <c r="Q3278" s="48" t="s">
        <v>234</v>
      </c>
      <c r="R3278" s="22">
        <v>15</v>
      </c>
      <c r="S3278" s="59">
        <v>1047.3276000000001</v>
      </c>
      <c r="T3278" s="4">
        <f>R3278*S3278</f>
        <v>15709.914000000001</v>
      </c>
      <c r="U3278" s="4">
        <f>T3278*1.12</f>
        <v>17595.103680000004</v>
      </c>
      <c r="V3278" s="1"/>
      <c r="W3278" s="3">
        <v>2014</v>
      </c>
      <c r="X3278" s="3"/>
    </row>
    <row r="3279" spans="1:24" ht="114.75">
      <c r="A3279" s="3" t="s">
        <v>10348</v>
      </c>
      <c r="B3279" s="6" t="s">
        <v>361</v>
      </c>
      <c r="C3279" s="6" t="s">
        <v>7529</v>
      </c>
      <c r="D3279" s="3" t="s">
        <v>7530</v>
      </c>
      <c r="E3279" s="3" t="s">
        <v>7531</v>
      </c>
      <c r="F3279" s="48" t="s">
        <v>7449</v>
      </c>
      <c r="G3279" s="3" t="s">
        <v>11450</v>
      </c>
      <c r="H3279" s="54">
        <v>0</v>
      </c>
      <c r="I3279" s="55">
        <v>470000000</v>
      </c>
      <c r="J3279" s="56" t="s">
        <v>229</v>
      </c>
      <c r="K3279" s="57" t="s">
        <v>641</v>
      </c>
      <c r="L3279" s="57" t="s">
        <v>364</v>
      </c>
      <c r="M3279" s="3" t="s">
        <v>230</v>
      </c>
      <c r="N3279" s="52" t="s">
        <v>7693</v>
      </c>
      <c r="O3279" s="6" t="s">
        <v>365</v>
      </c>
      <c r="P3279" s="58" t="s">
        <v>241</v>
      </c>
      <c r="Q3279" s="48" t="s">
        <v>234</v>
      </c>
      <c r="R3279" s="22">
        <v>6</v>
      </c>
      <c r="S3279" s="59">
        <v>1430</v>
      </c>
      <c r="T3279" s="4">
        <v>0</v>
      </c>
      <c r="U3279" s="4">
        <f t="shared" si="86"/>
        <v>0</v>
      </c>
      <c r="V3279" s="1"/>
      <c r="W3279" s="3">
        <v>2014</v>
      </c>
      <c r="X3279" s="3">
        <v>11</v>
      </c>
    </row>
    <row r="3280" spans="1:24" ht="114.75">
      <c r="A3280" s="3" t="s">
        <v>13949</v>
      </c>
      <c r="B3280" s="6" t="s">
        <v>361</v>
      </c>
      <c r="C3280" s="6" t="s">
        <v>7529</v>
      </c>
      <c r="D3280" s="3" t="s">
        <v>7530</v>
      </c>
      <c r="E3280" s="6" t="s">
        <v>7531</v>
      </c>
      <c r="F3280" s="48" t="s">
        <v>7449</v>
      </c>
      <c r="G3280" s="3" t="s">
        <v>11450</v>
      </c>
      <c r="H3280" s="54">
        <v>0</v>
      </c>
      <c r="I3280" s="55">
        <v>470000000</v>
      </c>
      <c r="J3280" s="56" t="s">
        <v>229</v>
      </c>
      <c r="K3280" s="57" t="s">
        <v>633</v>
      </c>
      <c r="L3280" s="57" t="s">
        <v>364</v>
      </c>
      <c r="M3280" s="3" t="s">
        <v>230</v>
      </c>
      <c r="N3280" s="52" t="s">
        <v>7693</v>
      </c>
      <c r="O3280" s="6" t="s">
        <v>365</v>
      </c>
      <c r="P3280" s="58" t="s">
        <v>241</v>
      </c>
      <c r="Q3280" s="48" t="s">
        <v>234</v>
      </c>
      <c r="R3280" s="22">
        <v>6</v>
      </c>
      <c r="S3280" s="59">
        <v>1430</v>
      </c>
      <c r="T3280" s="4">
        <v>0</v>
      </c>
      <c r="U3280" s="4">
        <f>T3280*1.12</f>
        <v>0</v>
      </c>
      <c r="V3280" s="1"/>
      <c r="W3280" s="3">
        <v>2014</v>
      </c>
      <c r="X3280" s="3" t="s">
        <v>16521</v>
      </c>
    </row>
    <row r="3281" spans="1:24" ht="114.75">
      <c r="A3281" s="3" t="s">
        <v>16517</v>
      </c>
      <c r="B3281" s="6" t="s">
        <v>361</v>
      </c>
      <c r="C3281" s="6" t="s">
        <v>7529</v>
      </c>
      <c r="D3281" s="3" t="s">
        <v>7530</v>
      </c>
      <c r="E3281" s="6" t="s">
        <v>7531</v>
      </c>
      <c r="F3281" s="48" t="s">
        <v>7449</v>
      </c>
      <c r="G3281" s="3" t="s">
        <v>11450</v>
      </c>
      <c r="H3281" s="54">
        <v>0</v>
      </c>
      <c r="I3281" s="55">
        <v>470000000</v>
      </c>
      <c r="J3281" s="56" t="s">
        <v>229</v>
      </c>
      <c r="K3281" s="57" t="s">
        <v>8950</v>
      </c>
      <c r="L3281" s="57" t="s">
        <v>364</v>
      </c>
      <c r="M3281" s="3" t="s">
        <v>230</v>
      </c>
      <c r="N3281" s="52" t="s">
        <v>16511</v>
      </c>
      <c r="O3281" s="6" t="s">
        <v>365</v>
      </c>
      <c r="P3281" s="58" t="s">
        <v>241</v>
      </c>
      <c r="Q3281" s="48" t="s">
        <v>234</v>
      </c>
      <c r="R3281" s="22">
        <v>6</v>
      </c>
      <c r="S3281" s="59">
        <v>1716</v>
      </c>
      <c r="T3281" s="4">
        <v>0</v>
      </c>
      <c r="U3281" s="4">
        <f>T3281*1.12</f>
        <v>0</v>
      </c>
      <c r="V3281" s="1"/>
      <c r="W3281" s="3">
        <v>2014</v>
      </c>
      <c r="X3281" s="3">
        <v>11</v>
      </c>
    </row>
    <row r="3282" spans="1:24" ht="114.75">
      <c r="A3282" s="3" t="s">
        <v>18990</v>
      </c>
      <c r="B3282" s="6" t="s">
        <v>361</v>
      </c>
      <c r="C3282" s="6" t="s">
        <v>7529</v>
      </c>
      <c r="D3282" s="3" t="s">
        <v>7530</v>
      </c>
      <c r="E3282" s="6" t="s">
        <v>7531</v>
      </c>
      <c r="F3282" s="48" t="s">
        <v>7449</v>
      </c>
      <c r="G3282" s="3" t="s">
        <v>11450</v>
      </c>
      <c r="H3282" s="54">
        <v>0</v>
      </c>
      <c r="I3282" s="55">
        <v>470000000</v>
      </c>
      <c r="J3282" s="56" t="s">
        <v>229</v>
      </c>
      <c r="K3282" s="57" t="s">
        <v>18437</v>
      </c>
      <c r="L3282" s="57" t="s">
        <v>364</v>
      </c>
      <c r="M3282" s="3" t="s">
        <v>230</v>
      </c>
      <c r="N3282" s="52" t="s">
        <v>16511</v>
      </c>
      <c r="O3282" s="6" t="s">
        <v>365</v>
      </c>
      <c r="P3282" s="58" t="s">
        <v>241</v>
      </c>
      <c r="Q3282" s="48" t="s">
        <v>234</v>
      </c>
      <c r="R3282" s="22">
        <v>6</v>
      </c>
      <c r="S3282" s="59">
        <v>1716</v>
      </c>
      <c r="T3282" s="4">
        <v>0</v>
      </c>
      <c r="U3282" s="4">
        <f>T3282*1.12</f>
        <v>0</v>
      </c>
      <c r="V3282" s="1"/>
      <c r="W3282" s="3">
        <v>2014</v>
      </c>
      <c r="X3282" s="3" t="s">
        <v>19432</v>
      </c>
    </row>
    <row r="3283" spans="1:24" ht="114.75">
      <c r="A3283" s="3" t="s">
        <v>19430</v>
      </c>
      <c r="B3283" s="6" t="s">
        <v>361</v>
      </c>
      <c r="C3283" s="6" t="s">
        <v>7529</v>
      </c>
      <c r="D3283" s="3" t="s">
        <v>7530</v>
      </c>
      <c r="E3283" s="6" t="s">
        <v>7531</v>
      </c>
      <c r="F3283" s="48" t="s">
        <v>7449</v>
      </c>
      <c r="G3283" s="3" t="s">
        <v>11450</v>
      </c>
      <c r="H3283" s="54">
        <v>0</v>
      </c>
      <c r="I3283" s="55">
        <v>470000000</v>
      </c>
      <c r="J3283" s="56" t="s">
        <v>229</v>
      </c>
      <c r="K3283" s="57" t="s">
        <v>19379</v>
      </c>
      <c r="L3283" s="57" t="s">
        <v>19343</v>
      </c>
      <c r="M3283" s="3" t="s">
        <v>230</v>
      </c>
      <c r="N3283" s="52" t="s">
        <v>16511</v>
      </c>
      <c r="O3283" s="6" t="s">
        <v>19407</v>
      </c>
      <c r="P3283" s="58" t="s">
        <v>241</v>
      </c>
      <c r="Q3283" s="48" t="s">
        <v>234</v>
      </c>
      <c r="R3283" s="22">
        <v>6</v>
      </c>
      <c r="S3283" s="59">
        <v>1716</v>
      </c>
      <c r="T3283" s="4">
        <f>R3283*S3283</f>
        <v>10296</v>
      </c>
      <c r="U3283" s="4">
        <f>T3283*1.12</f>
        <v>11531.52</v>
      </c>
      <c r="V3283" s="1"/>
      <c r="W3283" s="3">
        <v>2014</v>
      </c>
      <c r="X3283" s="3"/>
    </row>
    <row r="3284" spans="1:24" ht="114.75">
      <c r="A3284" s="3" t="s">
        <v>10349</v>
      </c>
      <c r="B3284" s="6" t="s">
        <v>361</v>
      </c>
      <c r="C3284" s="6" t="s">
        <v>7532</v>
      </c>
      <c r="D3284" s="3" t="s">
        <v>381</v>
      </c>
      <c r="E3284" s="3" t="s">
        <v>7533</v>
      </c>
      <c r="F3284" s="6" t="s">
        <v>7450</v>
      </c>
      <c r="G3284" s="3" t="s">
        <v>11450</v>
      </c>
      <c r="H3284" s="54">
        <v>0</v>
      </c>
      <c r="I3284" s="55">
        <v>470000000</v>
      </c>
      <c r="J3284" s="56" t="s">
        <v>229</v>
      </c>
      <c r="K3284" s="57" t="s">
        <v>641</v>
      </c>
      <c r="L3284" s="57" t="s">
        <v>364</v>
      </c>
      <c r="M3284" s="3" t="s">
        <v>230</v>
      </c>
      <c r="N3284" s="52" t="s">
        <v>7693</v>
      </c>
      <c r="O3284" s="6" t="s">
        <v>365</v>
      </c>
      <c r="P3284" s="58" t="s">
        <v>241</v>
      </c>
      <c r="Q3284" s="48" t="s">
        <v>234</v>
      </c>
      <c r="R3284" s="22">
        <v>6</v>
      </c>
      <c r="S3284" s="59">
        <v>6539.6540000000005</v>
      </c>
      <c r="T3284" s="4">
        <v>0</v>
      </c>
      <c r="U3284" s="4">
        <f t="shared" si="86"/>
        <v>0</v>
      </c>
      <c r="V3284" s="1"/>
      <c r="W3284" s="3">
        <v>2014</v>
      </c>
      <c r="X3284" s="3">
        <v>11</v>
      </c>
    </row>
    <row r="3285" spans="1:24" ht="114.75">
      <c r="A3285" s="3" t="s">
        <v>13950</v>
      </c>
      <c r="B3285" s="6" t="s">
        <v>361</v>
      </c>
      <c r="C3285" s="6" t="s">
        <v>7532</v>
      </c>
      <c r="D3285" s="3" t="s">
        <v>381</v>
      </c>
      <c r="E3285" s="3" t="s">
        <v>7533</v>
      </c>
      <c r="F3285" s="6" t="s">
        <v>7450</v>
      </c>
      <c r="G3285" s="3" t="s">
        <v>11450</v>
      </c>
      <c r="H3285" s="54">
        <v>0</v>
      </c>
      <c r="I3285" s="55">
        <v>470000000</v>
      </c>
      <c r="J3285" s="56" t="s">
        <v>229</v>
      </c>
      <c r="K3285" s="57" t="s">
        <v>633</v>
      </c>
      <c r="L3285" s="57" t="s">
        <v>364</v>
      </c>
      <c r="M3285" s="3" t="s">
        <v>230</v>
      </c>
      <c r="N3285" s="52" t="s">
        <v>7693</v>
      </c>
      <c r="O3285" s="6" t="s">
        <v>365</v>
      </c>
      <c r="P3285" s="58" t="s">
        <v>241</v>
      </c>
      <c r="Q3285" s="48" t="s">
        <v>234</v>
      </c>
      <c r="R3285" s="22">
        <v>6</v>
      </c>
      <c r="S3285" s="59">
        <v>6539.6540000000005</v>
      </c>
      <c r="T3285" s="4">
        <v>0</v>
      </c>
      <c r="U3285" s="4">
        <f>T3285*1.12</f>
        <v>0</v>
      </c>
      <c r="V3285" s="1"/>
      <c r="W3285" s="3">
        <v>2014</v>
      </c>
      <c r="X3285" s="3" t="s">
        <v>16521</v>
      </c>
    </row>
    <row r="3286" spans="1:24" ht="114.75">
      <c r="A3286" s="3" t="s">
        <v>16518</v>
      </c>
      <c r="B3286" s="6" t="s">
        <v>361</v>
      </c>
      <c r="C3286" s="6" t="s">
        <v>7532</v>
      </c>
      <c r="D3286" s="3" t="s">
        <v>381</v>
      </c>
      <c r="E3286" s="3" t="s">
        <v>7533</v>
      </c>
      <c r="F3286" s="6" t="s">
        <v>7450</v>
      </c>
      <c r="G3286" s="3" t="s">
        <v>11450</v>
      </c>
      <c r="H3286" s="54">
        <v>0</v>
      </c>
      <c r="I3286" s="55">
        <v>470000000</v>
      </c>
      <c r="J3286" s="56" t="s">
        <v>229</v>
      </c>
      <c r="K3286" s="57" t="s">
        <v>8950</v>
      </c>
      <c r="L3286" s="57" t="s">
        <v>364</v>
      </c>
      <c r="M3286" s="3" t="s">
        <v>230</v>
      </c>
      <c r="N3286" s="52" t="s">
        <v>16511</v>
      </c>
      <c r="O3286" s="6" t="s">
        <v>365</v>
      </c>
      <c r="P3286" s="58" t="s">
        <v>241</v>
      </c>
      <c r="Q3286" s="48" t="s">
        <v>234</v>
      </c>
      <c r="R3286" s="22">
        <v>6</v>
      </c>
      <c r="S3286" s="59">
        <v>7847.5848000000005</v>
      </c>
      <c r="T3286" s="4">
        <f>R3286*S3286</f>
        <v>47085.508800000003</v>
      </c>
      <c r="U3286" s="4">
        <f>T3286*1.12</f>
        <v>52735.769856000006</v>
      </c>
      <c r="V3286" s="1"/>
      <c r="W3286" s="3">
        <v>2014</v>
      </c>
      <c r="X3286" s="3"/>
    </row>
    <row r="3287" spans="1:24" ht="114.75">
      <c r="A3287" s="3" t="s">
        <v>10350</v>
      </c>
      <c r="B3287" s="6" t="s">
        <v>361</v>
      </c>
      <c r="C3287" s="6" t="s">
        <v>7451</v>
      </c>
      <c r="D3287" s="3" t="s">
        <v>7452</v>
      </c>
      <c r="E3287" s="3" t="s">
        <v>7453</v>
      </c>
      <c r="F3287" s="116" t="s">
        <v>7454</v>
      </c>
      <c r="G3287" s="3" t="s">
        <v>11450</v>
      </c>
      <c r="H3287" s="54">
        <v>0</v>
      </c>
      <c r="I3287" s="55">
        <v>470000000</v>
      </c>
      <c r="J3287" s="56" t="s">
        <v>229</v>
      </c>
      <c r="K3287" s="57" t="s">
        <v>7698</v>
      </c>
      <c r="L3287" s="57" t="s">
        <v>364</v>
      </c>
      <c r="M3287" s="3" t="s">
        <v>230</v>
      </c>
      <c r="N3287" s="52" t="s">
        <v>7693</v>
      </c>
      <c r="O3287" s="6" t="s">
        <v>365</v>
      </c>
      <c r="P3287" s="58" t="s">
        <v>241</v>
      </c>
      <c r="Q3287" s="48" t="s">
        <v>234</v>
      </c>
      <c r="R3287" s="22">
        <v>400</v>
      </c>
      <c r="S3287" s="59">
        <v>550</v>
      </c>
      <c r="T3287" s="4">
        <v>0</v>
      </c>
      <c r="U3287" s="4">
        <f t="shared" si="86"/>
        <v>0</v>
      </c>
      <c r="V3287" s="1"/>
      <c r="W3287" s="3">
        <v>2014</v>
      </c>
      <c r="X3287" s="3">
        <v>12</v>
      </c>
    </row>
    <row r="3288" spans="1:24" ht="114.75">
      <c r="A3288" s="3" t="s">
        <v>13424</v>
      </c>
      <c r="B3288" s="6" t="s">
        <v>361</v>
      </c>
      <c r="C3288" s="6" t="s">
        <v>7451</v>
      </c>
      <c r="D3288" s="3" t="s">
        <v>7452</v>
      </c>
      <c r="E3288" s="3" t="s">
        <v>7453</v>
      </c>
      <c r="F3288" s="116" t="s">
        <v>7454</v>
      </c>
      <c r="G3288" s="3" t="s">
        <v>11450</v>
      </c>
      <c r="H3288" s="54">
        <v>0</v>
      </c>
      <c r="I3288" s="55">
        <v>470000000</v>
      </c>
      <c r="J3288" s="56" t="s">
        <v>229</v>
      </c>
      <c r="K3288" s="57" t="s">
        <v>7698</v>
      </c>
      <c r="L3288" s="17" t="s">
        <v>11411</v>
      </c>
      <c r="M3288" s="3" t="s">
        <v>230</v>
      </c>
      <c r="N3288" s="52" t="s">
        <v>7693</v>
      </c>
      <c r="O3288" s="6" t="s">
        <v>365</v>
      </c>
      <c r="P3288" s="58" t="s">
        <v>241</v>
      </c>
      <c r="Q3288" s="48" t="s">
        <v>234</v>
      </c>
      <c r="R3288" s="22">
        <v>400</v>
      </c>
      <c r="S3288" s="59">
        <v>550</v>
      </c>
      <c r="T3288" s="4">
        <v>0</v>
      </c>
      <c r="U3288" s="4">
        <f>T3288*1.12</f>
        <v>0</v>
      </c>
      <c r="V3288" s="1"/>
      <c r="W3288" s="3">
        <v>2014</v>
      </c>
      <c r="X3288" s="3" t="s">
        <v>14785</v>
      </c>
    </row>
    <row r="3289" spans="1:24" ht="114.75">
      <c r="A3289" s="3" t="s">
        <v>18340</v>
      </c>
      <c r="B3289" s="6" t="s">
        <v>361</v>
      </c>
      <c r="C3289" s="6" t="s">
        <v>7451</v>
      </c>
      <c r="D3289" s="3" t="s">
        <v>7452</v>
      </c>
      <c r="E3289" s="3" t="s">
        <v>7453</v>
      </c>
      <c r="F3289" s="116" t="s">
        <v>7454</v>
      </c>
      <c r="G3289" s="3" t="s">
        <v>11450</v>
      </c>
      <c r="H3289" s="54">
        <v>0</v>
      </c>
      <c r="I3289" s="55">
        <v>470000000</v>
      </c>
      <c r="J3289" s="56" t="s">
        <v>229</v>
      </c>
      <c r="K3289" s="57" t="s">
        <v>8950</v>
      </c>
      <c r="L3289" s="17" t="s">
        <v>11411</v>
      </c>
      <c r="M3289" s="3" t="s">
        <v>230</v>
      </c>
      <c r="N3289" s="52" t="s">
        <v>7693</v>
      </c>
      <c r="O3289" s="6" t="s">
        <v>365</v>
      </c>
      <c r="P3289" s="58" t="s">
        <v>241</v>
      </c>
      <c r="Q3289" s="48" t="s">
        <v>234</v>
      </c>
      <c r="R3289" s="22">
        <v>400</v>
      </c>
      <c r="S3289" s="59">
        <v>660</v>
      </c>
      <c r="T3289" s="4">
        <f>R3289*S3289</f>
        <v>264000</v>
      </c>
      <c r="U3289" s="4">
        <f>T3289*1.12</f>
        <v>295680</v>
      </c>
      <c r="V3289" s="1"/>
      <c r="W3289" s="3">
        <v>2014</v>
      </c>
      <c r="X3289" s="3"/>
    </row>
    <row r="3290" spans="1:24" ht="114.75">
      <c r="A3290" s="3" t="s">
        <v>10351</v>
      </c>
      <c r="B3290" s="6" t="s">
        <v>361</v>
      </c>
      <c r="C3290" s="6" t="s">
        <v>7451</v>
      </c>
      <c r="D3290" s="3" t="s">
        <v>7452</v>
      </c>
      <c r="E3290" s="3" t="s">
        <v>7453</v>
      </c>
      <c r="F3290" s="48" t="s">
        <v>7455</v>
      </c>
      <c r="G3290" s="3" t="s">
        <v>11450</v>
      </c>
      <c r="H3290" s="54">
        <v>0</v>
      </c>
      <c r="I3290" s="55">
        <v>470000000</v>
      </c>
      <c r="J3290" s="56" t="s">
        <v>229</v>
      </c>
      <c r="K3290" s="57" t="s">
        <v>7698</v>
      </c>
      <c r="L3290" s="57" t="s">
        <v>364</v>
      </c>
      <c r="M3290" s="3" t="s">
        <v>230</v>
      </c>
      <c r="N3290" s="52" t="s">
        <v>7693</v>
      </c>
      <c r="O3290" s="6" t="s">
        <v>365</v>
      </c>
      <c r="P3290" s="58" t="s">
        <v>241</v>
      </c>
      <c r="Q3290" s="48" t="s">
        <v>234</v>
      </c>
      <c r="R3290" s="22">
        <v>10</v>
      </c>
      <c r="S3290" s="59">
        <v>5551.9420000000009</v>
      </c>
      <c r="T3290" s="4">
        <v>0</v>
      </c>
      <c r="U3290" s="4">
        <f t="shared" si="86"/>
        <v>0</v>
      </c>
      <c r="V3290" s="1"/>
      <c r="W3290" s="3">
        <v>2014</v>
      </c>
      <c r="X3290" s="3">
        <v>12</v>
      </c>
    </row>
    <row r="3291" spans="1:24" ht="114.75">
      <c r="A3291" s="3" t="s">
        <v>13425</v>
      </c>
      <c r="B3291" s="6" t="s">
        <v>361</v>
      </c>
      <c r="C3291" s="6" t="s">
        <v>7451</v>
      </c>
      <c r="D3291" s="3" t="s">
        <v>7452</v>
      </c>
      <c r="E3291" s="3" t="s">
        <v>7453</v>
      </c>
      <c r="F3291" s="48" t="s">
        <v>7455</v>
      </c>
      <c r="G3291" s="3" t="s">
        <v>11450</v>
      </c>
      <c r="H3291" s="54">
        <v>0</v>
      </c>
      <c r="I3291" s="55">
        <v>470000000</v>
      </c>
      <c r="J3291" s="56" t="s">
        <v>229</v>
      </c>
      <c r="K3291" s="57" t="s">
        <v>7698</v>
      </c>
      <c r="L3291" s="17" t="s">
        <v>11411</v>
      </c>
      <c r="M3291" s="3" t="s">
        <v>230</v>
      </c>
      <c r="N3291" s="52" t="s">
        <v>7693</v>
      </c>
      <c r="O3291" s="6" t="s">
        <v>365</v>
      </c>
      <c r="P3291" s="58" t="s">
        <v>241</v>
      </c>
      <c r="Q3291" s="48" t="s">
        <v>234</v>
      </c>
      <c r="R3291" s="22">
        <v>10</v>
      </c>
      <c r="S3291" s="59">
        <v>5551.9420000000009</v>
      </c>
      <c r="T3291" s="4">
        <v>0</v>
      </c>
      <c r="U3291" s="4">
        <f>T3291*1.12</f>
        <v>0</v>
      </c>
      <c r="V3291" s="1"/>
      <c r="W3291" s="3">
        <v>2014</v>
      </c>
      <c r="X3291" s="3">
        <v>6.11</v>
      </c>
    </row>
    <row r="3292" spans="1:24" ht="114.75">
      <c r="A3292" s="3" t="s">
        <v>16654</v>
      </c>
      <c r="B3292" s="6" t="s">
        <v>361</v>
      </c>
      <c r="C3292" s="6" t="s">
        <v>7451</v>
      </c>
      <c r="D3292" s="3" t="s">
        <v>7452</v>
      </c>
      <c r="E3292" s="3" t="s">
        <v>7453</v>
      </c>
      <c r="F3292" s="48" t="s">
        <v>16655</v>
      </c>
      <c r="G3292" s="3" t="s">
        <v>11450</v>
      </c>
      <c r="H3292" s="54">
        <v>0</v>
      </c>
      <c r="I3292" s="55">
        <v>470000000</v>
      </c>
      <c r="J3292" s="56" t="s">
        <v>229</v>
      </c>
      <c r="K3292" s="57" t="s">
        <v>7699</v>
      </c>
      <c r="L3292" s="17" t="s">
        <v>11411</v>
      </c>
      <c r="M3292" s="3" t="s">
        <v>230</v>
      </c>
      <c r="N3292" s="52" t="s">
        <v>7693</v>
      </c>
      <c r="O3292" s="6" t="s">
        <v>365</v>
      </c>
      <c r="P3292" s="58" t="s">
        <v>241</v>
      </c>
      <c r="Q3292" s="48" t="s">
        <v>234</v>
      </c>
      <c r="R3292" s="22">
        <v>10</v>
      </c>
      <c r="S3292" s="59">
        <v>5551.9420000000009</v>
      </c>
      <c r="T3292" s="4">
        <v>0</v>
      </c>
      <c r="U3292" s="4">
        <f>T3292*1.12</f>
        <v>0</v>
      </c>
      <c r="V3292" s="1"/>
      <c r="W3292" s="3">
        <v>2014</v>
      </c>
      <c r="X3292" s="3" t="s">
        <v>14785</v>
      </c>
    </row>
    <row r="3293" spans="1:24" ht="114.75">
      <c r="A3293" s="3" t="s">
        <v>18341</v>
      </c>
      <c r="B3293" s="6" t="s">
        <v>361</v>
      </c>
      <c r="C3293" s="6" t="s">
        <v>7451</v>
      </c>
      <c r="D3293" s="3" t="s">
        <v>7452</v>
      </c>
      <c r="E3293" s="3" t="s">
        <v>7453</v>
      </c>
      <c r="F3293" s="48" t="s">
        <v>16655</v>
      </c>
      <c r="G3293" s="3" t="s">
        <v>11450</v>
      </c>
      <c r="H3293" s="54">
        <v>0</v>
      </c>
      <c r="I3293" s="55">
        <v>470000000</v>
      </c>
      <c r="J3293" s="56" t="s">
        <v>229</v>
      </c>
      <c r="K3293" s="57" t="s">
        <v>8950</v>
      </c>
      <c r="L3293" s="17" t="s">
        <v>11411</v>
      </c>
      <c r="M3293" s="3" t="s">
        <v>230</v>
      </c>
      <c r="N3293" s="52" t="s">
        <v>7693</v>
      </c>
      <c r="O3293" s="6" t="s">
        <v>365</v>
      </c>
      <c r="P3293" s="58" t="s">
        <v>241</v>
      </c>
      <c r="Q3293" s="48" t="s">
        <v>234</v>
      </c>
      <c r="R3293" s="22">
        <v>10</v>
      </c>
      <c r="S3293" s="59">
        <v>6662.3304000000007</v>
      </c>
      <c r="T3293" s="4">
        <f>R3293*S3293</f>
        <v>66623.304000000004</v>
      </c>
      <c r="U3293" s="4">
        <f>T3293*1.12</f>
        <v>74618.100480000008</v>
      </c>
      <c r="V3293" s="1"/>
      <c r="W3293" s="3">
        <v>2014</v>
      </c>
      <c r="X3293" s="3"/>
    </row>
    <row r="3294" spans="1:24" ht="114.75">
      <c r="A3294" s="3" t="s">
        <v>10352</v>
      </c>
      <c r="B3294" s="6" t="s">
        <v>361</v>
      </c>
      <c r="C3294" s="6" t="s">
        <v>7451</v>
      </c>
      <c r="D3294" s="3" t="s">
        <v>7452</v>
      </c>
      <c r="E3294" s="3" t="s">
        <v>7453</v>
      </c>
      <c r="F3294" s="116" t="s">
        <v>7456</v>
      </c>
      <c r="G3294" s="3" t="s">
        <v>11450</v>
      </c>
      <c r="H3294" s="54">
        <v>0</v>
      </c>
      <c r="I3294" s="55">
        <v>470000000</v>
      </c>
      <c r="J3294" s="56" t="s">
        <v>229</v>
      </c>
      <c r="K3294" s="57" t="s">
        <v>7698</v>
      </c>
      <c r="L3294" s="57" t="s">
        <v>364</v>
      </c>
      <c r="M3294" s="3" t="s">
        <v>230</v>
      </c>
      <c r="N3294" s="52" t="s">
        <v>7693</v>
      </c>
      <c r="O3294" s="6" t="s">
        <v>365</v>
      </c>
      <c r="P3294" s="58" t="s">
        <v>241</v>
      </c>
      <c r="Q3294" s="48" t="s">
        <v>234</v>
      </c>
      <c r="R3294" s="22">
        <v>10</v>
      </c>
      <c r="S3294" s="59">
        <v>7150</v>
      </c>
      <c r="T3294" s="4">
        <v>0</v>
      </c>
      <c r="U3294" s="4">
        <f t="shared" si="86"/>
        <v>0</v>
      </c>
      <c r="V3294" s="1"/>
      <c r="W3294" s="3">
        <v>2014</v>
      </c>
      <c r="X3294" s="3">
        <v>12</v>
      </c>
    </row>
    <row r="3295" spans="1:24" ht="114.75">
      <c r="A3295" s="3" t="s">
        <v>13426</v>
      </c>
      <c r="B3295" s="6" t="s">
        <v>361</v>
      </c>
      <c r="C3295" s="6" t="s">
        <v>7451</v>
      </c>
      <c r="D3295" s="3" t="s">
        <v>7452</v>
      </c>
      <c r="E3295" s="3" t="s">
        <v>7453</v>
      </c>
      <c r="F3295" s="116" t="s">
        <v>7456</v>
      </c>
      <c r="G3295" s="3" t="s">
        <v>11450</v>
      </c>
      <c r="H3295" s="54">
        <v>0</v>
      </c>
      <c r="I3295" s="55">
        <v>470000000</v>
      </c>
      <c r="J3295" s="56" t="s">
        <v>229</v>
      </c>
      <c r="K3295" s="57" t="s">
        <v>7698</v>
      </c>
      <c r="L3295" s="17" t="s">
        <v>11411</v>
      </c>
      <c r="M3295" s="3" t="s">
        <v>230</v>
      </c>
      <c r="N3295" s="52" t="s">
        <v>7693</v>
      </c>
      <c r="O3295" s="6" t="s">
        <v>365</v>
      </c>
      <c r="P3295" s="58" t="s">
        <v>241</v>
      </c>
      <c r="Q3295" s="48" t="s">
        <v>234</v>
      </c>
      <c r="R3295" s="22">
        <v>10</v>
      </c>
      <c r="S3295" s="59">
        <v>7150</v>
      </c>
      <c r="T3295" s="4">
        <v>0</v>
      </c>
      <c r="U3295" s="4">
        <f>T3295*1.12</f>
        <v>0</v>
      </c>
      <c r="V3295" s="1"/>
      <c r="W3295" s="3">
        <v>2014</v>
      </c>
      <c r="X3295" s="3">
        <v>6.11</v>
      </c>
    </row>
    <row r="3296" spans="1:24" ht="114.75">
      <c r="A3296" s="3" t="s">
        <v>16656</v>
      </c>
      <c r="B3296" s="6" t="s">
        <v>361</v>
      </c>
      <c r="C3296" s="6" t="s">
        <v>7451</v>
      </c>
      <c r="D3296" s="3" t="s">
        <v>7452</v>
      </c>
      <c r="E3296" s="3" t="s">
        <v>7453</v>
      </c>
      <c r="F3296" s="116" t="s">
        <v>16657</v>
      </c>
      <c r="G3296" s="3" t="s">
        <v>11450</v>
      </c>
      <c r="H3296" s="54">
        <v>0</v>
      </c>
      <c r="I3296" s="55">
        <v>470000000</v>
      </c>
      <c r="J3296" s="56" t="s">
        <v>229</v>
      </c>
      <c r="K3296" s="57" t="s">
        <v>7699</v>
      </c>
      <c r="L3296" s="17" t="s">
        <v>11411</v>
      </c>
      <c r="M3296" s="3" t="s">
        <v>230</v>
      </c>
      <c r="N3296" s="52" t="s">
        <v>7693</v>
      </c>
      <c r="O3296" s="6" t="s">
        <v>365</v>
      </c>
      <c r="P3296" s="58" t="s">
        <v>241</v>
      </c>
      <c r="Q3296" s="48" t="s">
        <v>234</v>
      </c>
      <c r="R3296" s="22">
        <v>10</v>
      </c>
      <c r="S3296" s="59">
        <v>7150</v>
      </c>
      <c r="T3296" s="4">
        <v>0</v>
      </c>
      <c r="U3296" s="4">
        <f>T3296*1.12</f>
        <v>0</v>
      </c>
      <c r="V3296" s="1"/>
      <c r="W3296" s="3">
        <v>2014</v>
      </c>
      <c r="X3296" s="3" t="s">
        <v>14785</v>
      </c>
    </row>
    <row r="3297" spans="1:24" ht="114.75">
      <c r="A3297" s="3" t="s">
        <v>18342</v>
      </c>
      <c r="B3297" s="6" t="s">
        <v>361</v>
      </c>
      <c r="C3297" s="6" t="s">
        <v>7451</v>
      </c>
      <c r="D3297" s="3" t="s">
        <v>7452</v>
      </c>
      <c r="E3297" s="3" t="s">
        <v>7453</v>
      </c>
      <c r="F3297" s="116" t="s">
        <v>16657</v>
      </c>
      <c r="G3297" s="3" t="s">
        <v>11450</v>
      </c>
      <c r="H3297" s="54">
        <v>0</v>
      </c>
      <c r="I3297" s="55">
        <v>470000000</v>
      </c>
      <c r="J3297" s="56" t="s">
        <v>229</v>
      </c>
      <c r="K3297" s="57" t="s">
        <v>8950</v>
      </c>
      <c r="L3297" s="17" t="s">
        <v>11411</v>
      </c>
      <c r="M3297" s="3" t="s">
        <v>230</v>
      </c>
      <c r="N3297" s="52" t="s">
        <v>7693</v>
      </c>
      <c r="O3297" s="6" t="s">
        <v>365</v>
      </c>
      <c r="P3297" s="58" t="s">
        <v>241</v>
      </c>
      <c r="Q3297" s="48" t="s">
        <v>234</v>
      </c>
      <c r="R3297" s="22">
        <v>10</v>
      </c>
      <c r="S3297" s="59">
        <v>8580</v>
      </c>
      <c r="T3297" s="4">
        <f>R3297*S3297</f>
        <v>85800</v>
      </c>
      <c r="U3297" s="4">
        <f>T3297*1.12</f>
        <v>96096.000000000015</v>
      </c>
      <c r="V3297" s="1"/>
      <c r="W3297" s="3">
        <v>2014</v>
      </c>
      <c r="X3297" s="3"/>
    </row>
    <row r="3298" spans="1:24" ht="114.75">
      <c r="A3298" s="3" t="s">
        <v>10353</v>
      </c>
      <c r="B3298" s="6" t="s">
        <v>361</v>
      </c>
      <c r="C3298" s="6" t="s">
        <v>7457</v>
      </c>
      <c r="D3298" s="3" t="s">
        <v>7452</v>
      </c>
      <c r="E3298" s="6" t="s">
        <v>7458</v>
      </c>
      <c r="F3298" s="48" t="s">
        <v>7459</v>
      </c>
      <c r="G3298" s="3" t="s">
        <v>11450</v>
      </c>
      <c r="H3298" s="54">
        <v>0</v>
      </c>
      <c r="I3298" s="55">
        <v>470000000</v>
      </c>
      <c r="J3298" s="56" t="s">
        <v>229</v>
      </c>
      <c r="K3298" s="57" t="s">
        <v>7698</v>
      </c>
      <c r="L3298" s="57" t="s">
        <v>364</v>
      </c>
      <c r="M3298" s="3" t="s">
        <v>230</v>
      </c>
      <c r="N3298" s="52" t="s">
        <v>7693</v>
      </c>
      <c r="O3298" s="6" t="s">
        <v>365</v>
      </c>
      <c r="P3298" s="58" t="s">
        <v>241</v>
      </c>
      <c r="Q3298" s="48" t="s">
        <v>234</v>
      </c>
      <c r="R3298" s="22">
        <v>300</v>
      </c>
      <c r="S3298" s="59">
        <v>459.6</v>
      </c>
      <c r="T3298" s="4">
        <v>0</v>
      </c>
      <c r="U3298" s="4">
        <f t="shared" si="86"/>
        <v>0</v>
      </c>
      <c r="V3298" s="1"/>
      <c r="W3298" s="3">
        <v>2014</v>
      </c>
      <c r="X3298" s="3">
        <v>12</v>
      </c>
    </row>
    <row r="3299" spans="1:24" ht="114.75">
      <c r="A3299" s="3" t="s">
        <v>13427</v>
      </c>
      <c r="B3299" s="6" t="s">
        <v>361</v>
      </c>
      <c r="C3299" s="6" t="s">
        <v>7457</v>
      </c>
      <c r="D3299" s="3" t="s">
        <v>7452</v>
      </c>
      <c r="E3299" s="6" t="s">
        <v>7458</v>
      </c>
      <c r="F3299" s="48" t="s">
        <v>7459</v>
      </c>
      <c r="G3299" s="3" t="s">
        <v>11450</v>
      </c>
      <c r="H3299" s="54">
        <v>0</v>
      </c>
      <c r="I3299" s="55">
        <v>470000000</v>
      </c>
      <c r="J3299" s="56" t="s">
        <v>229</v>
      </c>
      <c r="K3299" s="57" t="s">
        <v>7698</v>
      </c>
      <c r="L3299" s="17" t="s">
        <v>11411</v>
      </c>
      <c r="M3299" s="3" t="s">
        <v>230</v>
      </c>
      <c r="N3299" s="52" t="s">
        <v>7693</v>
      </c>
      <c r="O3299" s="6" t="s">
        <v>365</v>
      </c>
      <c r="P3299" s="58" t="s">
        <v>241</v>
      </c>
      <c r="Q3299" s="48" t="s">
        <v>234</v>
      </c>
      <c r="R3299" s="22">
        <v>300</v>
      </c>
      <c r="S3299" s="59">
        <v>459.6</v>
      </c>
      <c r="T3299" s="4">
        <v>0</v>
      </c>
      <c r="U3299" s="4">
        <f>T3299*1.12</f>
        <v>0</v>
      </c>
      <c r="V3299" s="1"/>
      <c r="W3299" s="3">
        <v>2014</v>
      </c>
      <c r="X3299" s="3">
        <v>11</v>
      </c>
    </row>
    <row r="3300" spans="1:24" ht="114.75">
      <c r="A3300" s="3" t="s">
        <v>16658</v>
      </c>
      <c r="B3300" s="6" t="s">
        <v>361</v>
      </c>
      <c r="C3300" s="6" t="s">
        <v>7457</v>
      </c>
      <c r="D3300" s="3" t="s">
        <v>7452</v>
      </c>
      <c r="E3300" s="6" t="s">
        <v>7458</v>
      </c>
      <c r="F3300" s="48" t="s">
        <v>7459</v>
      </c>
      <c r="G3300" s="3" t="s">
        <v>11450</v>
      </c>
      <c r="H3300" s="54">
        <v>0</v>
      </c>
      <c r="I3300" s="55">
        <v>470000000</v>
      </c>
      <c r="J3300" s="56" t="s">
        <v>229</v>
      </c>
      <c r="K3300" s="57" t="s">
        <v>7699</v>
      </c>
      <c r="L3300" s="17" t="s">
        <v>11411</v>
      </c>
      <c r="M3300" s="3" t="s">
        <v>230</v>
      </c>
      <c r="N3300" s="52" t="s">
        <v>7693</v>
      </c>
      <c r="O3300" s="6" t="s">
        <v>365</v>
      </c>
      <c r="P3300" s="58" t="s">
        <v>241</v>
      </c>
      <c r="Q3300" s="48" t="s">
        <v>234</v>
      </c>
      <c r="R3300" s="22">
        <v>300</v>
      </c>
      <c r="S3300" s="59">
        <v>459.6</v>
      </c>
      <c r="T3300" s="4">
        <v>0</v>
      </c>
      <c r="U3300" s="4">
        <f>T3300*1.12</f>
        <v>0</v>
      </c>
      <c r="V3300" s="1"/>
      <c r="W3300" s="3">
        <v>2014</v>
      </c>
      <c r="X3300" s="3" t="s">
        <v>14785</v>
      </c>
    </row>
    <row r="3301" spans="1:24" ht="114.75">
      <c r="A3301" s="3" t="s">
        <v>18343</v>
      </c>
      <c r="B3301" s="6" t="s">
        <v>361</v>
      </c>
      <c r="C3301" s="6" t="s">
        <v>7457</v>
      </c>
      <c r="D3301" s="3" t="s">
        <v>7452</v>
      </c>
      <c r="E3301" s="6" t="s">
        <v>7458</v>
      </c>
      <c r="F3301" s="48" t="s">
        <v>7459</v>
      </c>
      <c r="G3301" s="3" t="s">
        <v>11450</v>
      </c>
      <c r="H3301" s="54">
        <v>0</v>
      </c>
      <c r="I3301" s="55">
        <v>470000000</v>
      </c>
      <c r="J3301" s="56" t="s">
        <v>229</v>
      </c>
      <c r="K3301" s="57" t="s">
        <v>8950</v>
      </c>
      <c r="L3301" s="17" t="s">
        <v>11411</v>
      </c>
      <c r="M3301" s="3" t="s">
        <v>230</v>
      </c>
      <c r="N3301" s="52" t="s">
        <v>7693</v>
      </c>
      <c r="O3301" s="6" t="s">
        <v>365</v>
      </c>
      <c r="P3301" s="58" t="s">
        <v>241</v>
      </c>
      <c r="Q3301" s="48" t="s">
        <v>234</v>
      </c>
      <c r="R3301" s="22">
        <v>300</v>
      </c>
      <c r="S3301" s="59">
        <v>594.46199999999999</v>
      </c>
      <c r="T3301" s="4">
        <f>R3301*S3301</f>
        <v>178338.6</v>
      </c>
      <c r="U3301" s="4">
        <f>T3301*1.12</f>
        <v>199739.23200000002</v>
      </c>
      <c r="V3301" s="1"/>
      <c r="W3301" s="3">
        <v>2014</v>
      </c>
      <c r="X3301" s="3"/>
    </row>
    <row r="3302" spans="1:24" ht="114.75">
      <c r="A3302" s="3" t="s">
        <v>10354</v>
      </c>
      <c r="B3302" s="6" t="s">
        <v>361</v>
      </c>
      <c r="C3302" s="6" t="s">
        <v>7457</v>
      </c>
      <c r="D3302" s="3" t="s">
        <v>7452</v>
      </c>
      <c r="E3302" s="6" t="s">
        <v>7458</v>
      </c>
      <c r="F3302" s="116" t="s">
        <v>7460</v>
      </c>
      <c r="G3302" s="3" t="s">
        <v>11450</v>
      </c>
      <c r="H3302" s="54">
        <v>0</v>
      </c>
      <c r="I3302" s="55">
        <v>470000000</v>
      </c>
      <c r="J3302" s="56" t="s">
        <v>229</v>
      </c>
      <c r="K3302" s="57" t="s">
        <v>7698</v>
      </c>
      <c r="L3302" s="57" t="s">
        <v>364</v>
      </c>
      <c r="M3302" s="3" t="s">
        <v>230</v>
      </c>
      <c r="N3302" s="52" t="s">
        <v>7693</v>
      </c>
      <c r="O3302" s="6" t="s">
        <v>365</v>
      </c>
      <c r="P3302" s="58" t="s">
        <v>241</v>
      </c>
      <c r="Q3302" s="48" t="s">
        <v>234</v>
      </c>
      <c r="R3302" s="22">
        <v>300</v>
      </c>
      <c r="S3302" s="59">
        <v>495.38499999999999</v>
      </c>
      <c r="T3302" s="4">
        <v>0</v>
      </c>
      <c r="U3302" s="4">
        <f t="shared" si="86"/>
        <v>0</v>
      </c>
      <c r="V3302" s="1"/>
      <c r="W3302" s="3">
        <v>2014</v>
      </c>
      <c r="X3302" s="3">
        <v>12</v>
      </c>
    </row>
    <row r="3303" spans="1:24" ht="114.75">
      <c r="A3303" s="3" t="s">
        <v>13428</v>
      </c>
      <c r="B3303" s="6" t="s">
        <v>361</v>
      </c>
      <c r="C3303" s="6" t="s">
        <v>7457</v>
      </c>
      <c r="D3303" s="3" t="s">
        <v>7452</v>
      </c>
      <c r="E3303" s="6" t="s">
        <v>7458</v>
      </c>
      <c r="F3303" s="116" t="s">
        <v>7460</v>
      </c>
      <c r="G3303" s="3" t="s">
        <v>11450</v>
      </c>
      <c r="H3303" s="54">
        <v>0</v>
      </c>
      <c r="I3303" s="55">
        <v>470000000</v>
      </c>
      <c r="J3303" s="56" t="s">
        <v>229</v>
      </c>
      <c r="K3303" s="57" t="s">
        <v>7698</v>
      </c>
      <c r="L3303" s="17" t="s">
        <v>11411</v>
      </c>
      <c r="M3303" s="3" t="s">
        <v>230</v>
      </c>
      <c r="N3303" s="52" t="s">
        <v>7693</v>
      </c>
      <c r="O3303" s="6" t="s">
        <v>365</v>
      </c>
      <c r="P3303" s="58" t="s">
        <v>241</v>
      </c>
      <c r="Q3303" s="48" t="s">
        <v>234</v>
      </c>
      <c r="R3303" s="22">
        <v>300</v>
      </c>
      <c r="S3303" s="59">
        <v>495.38499999999999</v>
      </c>
      <c r="T3303" s="4">
        <v>0</v>
      </c>
      <c r="U3303" s="4">
        <f>T3303*1.12</f>
        <v>0</v>
      </c>
      <c r="V3303" s="1"/>
      <c r="W3303" s="3">
        <v>2014</v>
      </c>
      <c r="X3303" s="3" t="s">
        <v>14785</v>
      </c>
    </row>
    <row r="3304" spans="1:24" ht="114.75">
      <c r="A3304" s="3" t="s">
        <v>18344</v>
      </c>
      <c r="B3304" s="6" t="s">
        <v>361</v>
      </c>
      <c r="C3304" s="6" t="s">
        <v>7457</v>
      </c>
      <c r="D3304" s="3" t="s">
        <v>7452</v>
      </c>
      <c r="E3304" s="6" t="s">
        <v>7458</v>
      </c>
      <c r="F3304" s="116" t="s">
        <v>7460</v>
      </c>
      <c r="G3304" s="3" t="s">
        <v>11450</v>
      </c>
      <c r="H3304" s="54">
        <v>0</v>
      </c>
      <c r="I3304" s="55">
        <v>470000000</v>
      </c>
      <c r="J3304" s="56" t="s">
        <v>229</v>
      </c>
      <c r="K3304" s="57" t="s">
        <v>8950</v>
      </c>
      <c r="L3304" s="17" t="s">
        <v>11411</v>
      </c>
      <c r="M3304" s="3" t="s">
        <v>230</v>
      </c>
      <c r="N3304" s="52" t="s">
        <v>7693</v>
      </c>
      <c r="O3304" s="6" t="s">
        <v>365</v>
      </c>
      <c r="P3304" s="58" t="s">
        <v>241</v>
      </c>
      <c r="Q3304" s="48" t="s">
        <v>234</v>
      </c>
      <c r="R3304" s="22">
        <v>300</v>
      </c>
      <c r="S3304" s="59">
        <v>594.46199999999999</v>
      </c>
      <c r="T3304" s="4">
        <v>0</v>
      </c>
      <c r="U3304" s="4">
        <f>T3304*1.12</f>
        <v>0</v>
      </c>
      <c r="V3304" s="1"/>
      <c r="W3304" s="3">
        <v>2014</v>
      </c>
      <c r="X3304" s="3">
        <v>11.14</v>
      </c>
    </row>
    <row r="3305" spans="1:24" ht="114.75">
      <c r="A3305" s="3" t="s">
        <v>18991</v>
      </c>
      <c r="B3305" s="6" t="s">
        <v>361</v>
      </c>
      <c r="C3305" s="6" t="s">
        <v>7457</v>
      </c>
      <c r="D3305" s="3" t="s">
        <v>7452</v>
      </c>
      <c r="E3305" s="6" t="s">
        <v>7458</v>
      </c>
      <c r="F3305" s="116" t="s">
        <v>7460</v>
      </c>
      <c r="G3305" s="3" t="s">
        <v>11450</v>
      </c>
      <c r="H3305" s="54">
        <v>0</v>
      </c>
      <c r="I3305" s="55">
        <v>470000000</v>
      </c>
      <c r="J3305" s="56" t="s">
        <v>229</v>
      </c>
      <c r="K3305" s="57" t="s">
        <v>18437</v>
      </c>
      <c r="L3305" s="17" t="s">
        <v>11411</v>
      </c>
      <c r="M3305" s="3" t="s">
        <v>230</v>
      </c>
      <c r="N3305" s="52" t="s">
        <v>16511</v>
      </c>
      <c r="O3305" s="6" t="s">
        <v>365</v>
      </c>
      <c r="P3305" s="58" t="s">
        <v>241</v>
      </c>
      <c r="Q3305" s="48" t="s">
        <v>234</v>
      </c>
      <c r="R3305" s="22">
        <v>300</v>
      </c>
      <c r="S3305" s="59">
        <v>594.46199999999999</v>
      </c>
      <c r="T3305" s="4">
        <f>R3305*S3305</f>
        <v>178338.6</v>
      </c>
      <c r="U3305" s="4">
        <f>T3305*1.12</f>
        <v>199739.23200000002</v>
      </c>
      <c r="V3305" s="1"/>
      <c r="W3305" s="3">
        <v>2014</v>
      </c>
      <c r="X3305" s="3"/>
    </row>
    <row r="3306" spans="1:24" ht="114.75">
      <c r="A3306" s="3" t="s">
        <v>10355</v>
      </c>
      <c r="B3306" s="6" t="s">
        <v>361</v>
      </c>
      <c r="C3306" s="6" t="s">
        <v>7457</v>
      </c>
      <c r="D3306" s="3" t="s">
        <v>7452</v>
      </c>
      <c r="E3306" s="6" t="s">
        <v>7458</v>
      </c>
      <c r="F3306" s="109" t="s">
        <v>11777</v>
      </c>
      <c r="G3306" s="3" t="s">
        <v>11450</v>
      </c>
      <c r="H3306" s="54">
        <v>0</v>
      </c>
      <c r="I3306" s="55">
        <v>470000000</v>
      </c>
      <c r="J3306" s="56" t="s">
        <v>229</v>
      </c>
      <c r="K3306" s="57" t="s">
        <v>7698</v>
      </c>
      <c r="L3306" s="57" t="s">
        <v>364</v>
      </c>
      <c r="M3306" s="3" t="s">
        <v>230</v>
      </c>
      <c r="N3306" s="52" t="s">
        <v>7693</v>
      </c>
      <c r="O3306" s="6" t="s">
        <v>365</v>
      </c>
      <c r="P3306" s="58" t="s">
        <v>241</v>
      </c>
      <c r="Q3306" s="48" t="s">
        <v>234</v>
      </c>
      <c r="R3306" s="22">
        <v>10</v>
      </c>
      <c r="S3306" s="59">
        <v>16700</v>
      </c>
      <c r="T3306" s="4">
        <v>0</v>
      </c>
      <c r="U3306" s="4">
        <f t="shared" si="86"/>
        <v>0</v>
      </c>
      <c r="V3306" s="1"/>
      <c r="W3306" s="3">
        <v>2014</v>
      </c>
      <c r="X3306" s="3">
        <v>12</v>
      </c>
    </row>
    <row r="3307" spans="1:24" ht="114.75">
      <c r="A3307" s="3" t="s">
        <v>13429</v>
      </c>
      <c r="B3307" s="6" t="s">
        <v>361</v>
      </c>
      <c r="C3307" s="6" t="s">
        <v>7457</v>
      </c>
      <c r="D3307" s="3" t="s">
        <v>7452</v>
      </c>
      <c r="E3307" s="6" t="s">
        <v>7458</v>
      </c>
      <c r="F3307" s="109" t="s">
        <v>11777</v>
      </c>
      <c r="G3307" s="3" t="s">
        <v>11450</v>
      </c>
      <c r="H3307" s="54">
        <v>0</v>
      </c>
      <c r="I3307" s="55">
        <v>470000000</v>
      </c>
      <c r="J3307" s="56" t="s">
        <v>229</v>
      </c>
      <c r="K3307" s="57" t="s">
        <v>7698</v>
      </c>
      <c r="L3307" s="17" t="s">
        <v>11411</v>
      </c>
      <c r="M3307" s="3" t="s">
        <v>230</v>
      </c>
      <c r="N3307" s="52" t="s">
        <v>7693</v>
      </c>
      <c r="O3307" s="6" t="s">
        <v>365</v>
      </c>
      <c r="P3307" s="58" t="s">
        <v>241</v>
      </c>
      <c r="Q3307" s="48" t="s">
        <v>234</v>
      </c>
      <c r="R3307" s="22">
        <v>10</v>
      </c>
      <c r="S3307" s="59">
        <v>16700</v>
      </c>
      <c r="T3307" s="4">
        <v>0</v>
      </c>
      <c r="U3307" s="4">
        <f t="shared" ref="U3307:U3380" si="120">T3307*1.12</f>
        <v>0</v>
      </c>
      <c r="V3307" s="1"/>
      <c r="W3307" s="3">
        <v>2014</v>
      </c>
      <c r="X3307" s="3">
        <v>11</v>
      </c>
    </row>
    <row r="3308" spans="1:24" ht="114.75">
      <c r="A3308" s="3" t="s">
        <v>16659</v>
      </c>
      <c r="B3308" s="6" t="s">
        <v>361</v>
      </c>
      <c r="C3308" s="6" t="s">
        <v>7457</v>
      </c>
      <c r="D3308" s="3" t="s">
        <v>7452</v>
      </c>
      <c r="E3308" s="6" t="s">
        <v>7458</v>
      </c>
      <c r="F3308" s="109" t="s">
        <v>11777</v>
      </c>
      <c r="G3308" s="3" t="s">
        <v>11450</v>
      </c>
      <c r="H3308" s="54">
        <v>0</v>
      </c>
      <c r="I3308" s="55">
        <v>470000000</v>
      </c>
      <c r="J3308" s="56" t="s">
        <v>229</v>
      </c>
      <c r="K3308" s="57" t="s">
        <v>7699</v>
      </c>
      <c r="L3308" s="17" t="s">
        <v>11411</v>
      </c>
      <c r="M3308" s="3" t="s">
        <v>230</v>
      </c>
      <c r="N3308" s="52" t="s">
        <v>7693</v>
      </c>
      <c r="O3308" s="6" t="s">
        <v>365</v>
      </c>
      <c r="P3308" s="58" t="s">
        <v>241</v>
      </c>
      <c r="Q3308" s="48" t="s">
        <v>234</v>
      </c>
      <c r="R3308" s="22">
        <v>10</v>
      </c>
      <c r="S3308" s="59">
        <v>16700</v>
      </c>
      <c r="T3308" s="4">
        <v>0</v>
      </c>
      <c r="U3308" s="4">
        <f t="shared" si="120"/>
        <v>0</v>
      </c>
      <c r="V3308" s="1"/>
      <c r="W3308" s="3">
        <v>2014</v>
      </c>
      <c r="X3308" s="3" t="s">
        <v>14785</v>
      </c>
    </row>
    <row r="3309" spans="1:24" ht="114.75">
      <c r="A3309" s="3" t="s">
        <v>18345</v>
      </c>
      <c r="B3309" s="6" t="s">
        <v>361</v>
      </c>
      <c r="C3309" s="6" t="s">
        <v>7457</v>
      </c>
      <c r="D3309" s="3" t="s">
        <v>7452</v>
      </c>
      <c r="E3309" s="6" t="s">
        <v>7458</v>
      </c>
      <c r="F3309" s="109" t="s">
        <v>11777</v>
      </c>
      <c r="G3309" s="3" t="s">
        <v>11450</v>
      </c>
      <c r="H3309" s="54">
        <v>0</v>
      </c>
      <c r="I3309" s="55">
        <v>470000000</v>
      </c>
      <c r="J3309" s="56" t="s">
        <v>229</v>
      </c>
      <c r="K3309" s="57" t="s">
        <v>8950</v>
      </c>
      <c r="L3309" s="17" t="s">
        <v>11411</v>
      </c>
      <c r="M3309" s="3" t="s">
        <v>230</v>
      </c>
      <c r="N3309" s="52" t="s">
        <v>7693</v>
      </c>
      <c r="O3309" s="6" t="s">
        <v>365</v>
      </c>
      <c r="P3309" s="58" t="s">
        <v>241</v>
      </c>
      <c r="Q3309" s="48" t="s">
        <v>234</v>
      </c>
      <c r="R3309" s="22">
        <v>10</v>
      </c>
      <c r="S3309" s="59">
        <v>20040</v>
      </c>
      <c r="T3309" s="4">
        <f>R3309*S3309</f>
        <v>200400</v>
      </c>
      <c r="U3309" s="4">
        <f t="shared" si="120"/>
        <v>224448.00000000003</v>
      </c>
      <c r="V3309" s="1"/>
      <c r="W3309" s="3">
        <v>2014</v>
      </c>
      <c r="X3309" s="3"/>
    </row>
    <row r="3310" spans="1:24" ht="114.75">
      <c r="A3310" s="3" t="s">
        <v>10356</v>
      </c>
      <c r="B3310" s="6" t="s">
        <v>361</v>
      </c>
      <c r="C3310" s="6" t="s">
        <v>7461</v>
      </c>
      <c r="D3310" s="3" t="s">
        <v>7462</v>
      </c>
      <c r="E3310" s="3" t="s">
        <v>7463</v>
      </c>
      <c r="F3310" s="109" t="s">
        <v>7464</v>
      </c>
      <c r="G3310" s="3" t="s">
        <v>11450</v>
      </c>
      <c r="H3310" s="54">
        <v>0</v>
      </c>
      <c r="I3310" s="55">
        <v>470000000</v>
      </c>
      <c r="J3310" s="56" t="s">
        <v>229</v>
      </c>
      <c r="K3310" s="57" t="s">
        <v>7698</v>
      </c>
      <c r="L3310" s="57" t="s">
        <v>364</v>
      </c>
      <c r="M3310" s="3" t="s">
        <v>230</v>
      </c>
      <c r="N3310" s="52" t="s">
        <v>7693</v>
      </c>
      <c r="O3310" s="6" t="s">
        <v>365</v>
      </c>
      <c r="P3310" s="58" t="s">
        <v>241</v>
      </c>
      <c r="Q3310" s="48" t="s">
        <v>234</v>
      </c>
      <c r="R3310" s="22">
        <v>10</v>
      </c>
      <c r="S3310" s="59">
        <v>12000</v>
      </c>
      <c r="T3310" s="4">
        <v>0</v>
      </c>
      <c r="U3310" s="4">
        <f t="shared" si="120"/>
        <v>0</v>
      </c>
      <c r="V3310" s="1"/>
      <c r="W3310" s="3">
        <v>2014</v>
      </c>
      <c r="X3310" s="3">
        <v>12</v>
      </c>
    </row>
    <row r="3311" spans="1:24" ht="114.75">
      <c r="A3311" s="3" t="s">
        <v>13430</v>
      </c>
      <c r="B3311" s="6" t="s">
        <v>361</v>
      </c>
      <c r="C3311" s="6" t="s">
        <v>7461</v>
      </c>
      <c r="D3311" s="3" t="s">
        <v>7462</v>
      </c>
      <c r="E3311" s="3" t="s">
        <v>7463</v>
      </c>
      <c r="F3311" s="109" t="s">
        <v>7464</v>
      </c>
      <c r="G3311" s="3" t="s">
        <v>11450</v>
      </c>
      <c r="H3311" s="54">
        <v>0</v>
      </c>
      <c r="I3311" s="55">
        <v>470000000</v>
      </c>
      <c r="J3311" s="56" t="s">
        <v>229</v>
      </c>
      <c r="K3311" s="57" t="s">
        <v>7698</v>
      </c>
      <c r="L3311" s="17" t="s">
        <v>11411</v>
      </c>
      <c r="M3311" s="3" t="s">
        <v>230</v>
      </c>
      <c r="N3311" s="52" t="s">
        <v>7693</v>
      </c>
      <c r="O3311" s="6" t="s">
        <v>365</v>
      </c>
      <c r="P3311" s="58" t="s">
        <v>241</v>
      </c>
      <c r="Q3311" s="48" t="s">
        <v>234</v>
      </c>
      <c r="R3311" s="22">
        <v>10</v>
      </c>
      <c r="S3311" s="59">
        <v>12000</v>
      </c>
      <c r="T3311" s="4">
        <v>0</v>
      </c>
      <c r="U3311" s="4">
        <f t="shared" si="120"/>
        <v>0</v>
      </c>
      <c r="V3311" s="1"/>
      <c r="W3311" s="3">
        <v>2014</v>
      </c>
      <c r="X3311" s="3">
        <v>11</v>
      </c>
    </row>
    <row r="3312" spans="1:24" ht="114.75">
      <c r="A3312" s="3" t="s">
        <v>16660</v>
      </c>
      <c r="B3312" s="6" t="s">
        <v>361</v>
      </c>
      <c r="C3312" s="6" t="s">
        <v>7461</v>
      </c>
      <c r="D3312" s="3" t="s">
        <v>7462</v>
      </c>
      <c r="E3312" s="3" t="s">
        <v>7463</v>
      </c>
      <c r="F3312" s="109" t="s">
        <v>7464</v>
      </c>
      <c r="G3312" s="3" t="s">
        <v>11450</v>
      </c>
      <c r="H3312" s="54">
        <v>0</v>
      </c>
      <c r="I3312" s="55">
        <v>470000000</v>
      </c>
      <c r="J3312" s="56" t="s">
        <v>229</v>
      </c>
      <c r="K3312" s="57" t="s">
        <v>7699</v>
      </c>
      <c r="L3312" s="17" t="s">
        <v>11411</v>
      </c>
      <c r="M3312" s="3" t="s">
        <v>230</v>
      </c>
      <c r="N3312" s="52" t="s">
        <v>7693</v>
      </c>
      <c r="O3312" s="6" t="s">
        <v>365</v>
      </c>
      <c r="P3312" s="58" t="s">
        <v>241</v>
      </c>
      <c r="Q3312" s="48" t="s">
        <v>234</v>
      </c>
      <c r="R3312" s="22">
        <v>10</v>
      </c>
      <c r="S3312" s="59">
        <v>12000</v>
      </c>
      <c r="T3312" s="4">
        <v>0</v>
      </c>
      <c r="U3312" s="4">
        <f t="shared" si="120"/>
        <v>0</v>
      </c>
      <c r="V3312" s="1"/>
      <c r="W3312" s="3">
        <v>2014</v>
      </c>
      <c r="X3312" s="3" t="s">
        <v>14785</v>
      </c>
    </row>
    <row r="3313" spans="1:24" ht="114.75">
      <c r="A3313" s="3" t="s">
        <v>18346</v>
      </c>
      <c r="B3313" s="6" t="s">
        <v>361</v>
      </c>
      <c r="C3313" s="6" t="s">
        <v>7461</v>
      </c>
      <c r="D3313" s="3" t="s">
        <v>7462</v>
      </c>
      <c r="E3313" s="3" t="s">
        <v>7463</v>
      </c>
      <c r="F3313" s="109" t="s">
        <v>7464</v>
      </c>
      <c r="G3313" s="3" t="s">
        <v>11450</v>
      </c>
      <c r="H3313" s="54">
        <v>0</v>
      </c>
      <c r="I3313" s="55">
        <v>470000000</v>
      </c>
      <c r="J3313" s="56" t="s">
        <v>229</v>
      </c>
      <c r="K3313" s="57" t="s">
        <v>8950</v>
      </c>
      <c r="L3313" s="17" t="s">
        <v>11411</v>
      </c>
      <c r="M3313" s="3" t="s">
        <v>230</v>
      </c>
      <c r="N3313" s="52" t="s">
        <v>7693</v>
      </c>
      <c r="O3313" s="6" t="s">
        <v>365</v>
      </c>
      <c r="P3313" s="58" t="s">
        <v>241</v>
      </c>
      <c r="Q3313" s="48" t="s">
        <v>234</v>
      </c>
      <c r="R3313" s="22">
        <v>10</v>
      </c>
      <c r="S3313" s="59">
        <v>14400</v>
      </c>
      <c r="T3313" s="4">
        <v>0</v>
      </c>
      <c r="U3313" s="4">
        <f t="shared" si="120"/>
        <v>0</v>
      </c>
      <c r="V3313" s="1"/>
      <c r="W3313" s="3">
        <v>2014</v>
      </c>
      <c r="X3313" s="3">
        <v>11.14</v>
      </c>
    </row>
    <row r="3314" spans="1:24" ht="114.75">
      <c r="A3314" s="3" t="s">
        <v>18992</v>
      </c>
      <c r="B3314" s="6" t="s">
        <v>361</v>
      </c>
      <c r="C3314" s="6" t="s">
        <v>7461</v>
      </c>
      <c r="D3314" s="3" t="s">
        <v>7462</v>
      </c>
      <c r="E3314" s="3" t="s">
        <v>7463</v>
      </c>
      <c r="F3314" s="109" t="s">
        <v>7464</v>
      </c>
      <c r="G3314" s="3" t="s">
        <v>11450</v>
      </c>
      <c r="H3314" s="54">
        <v>0</v>
      </c>
      <c r="I3314" s="55">
        <v>470000000</v>
      </c>
      <c r="J3314" s="56" t="s">
        <v>229</v>
      </c>
      <c r="K3314" s="57" t="s">
        <v>18437</v>
      </c>
      <c r="L3314" s="17" t="s">
        <v>11411</v>
      </c>
      <c r="M3314" s="3" t="s">
        <v>230</v>
      </c>
      <c r="N3314" s="52" t="s">
        <v>16511</v>
      </c>
      <c r="O3314" s="6" t="s">
        <v>365</v>
      </c>
      <c r="P3314" s="58" t="s">
        <v>241</v>
      </c>
      <c r="Q3314" s="48" t="s">
        <v>234</v>
      </c>
      <c r="R3314" s="22">
        <v>10</v>
      </c>
      <c r="S3314" s="59">
        <v>14400</v>
      </c>
      <c r="T3314" s="4">
        <v>0</v>
      </c>
      <c r="U3314" s="4">
        <f t="shared" si="120"/>
        <v>0</v>
      </c>
      <c r="V3314" s="1"/>
      <c r="W3314" s="3">
        <v>2014</v>
      </c>
      <c r="X3314" s="3" t="s">
        <v>19432</v>
      </c>
    </row>
    <row r="3315" spans="1:24" ht="76.5">
      <c r="A3315" s="3" t="s">
        <v>19434</v>
      </c>
      <c r="B3315" s="6" t="s">
        <v>361</v>
      </c>
      <c r="C3315" s="6" t="s">
        <v>7461</v>
      </c>
      <c r="D3315" s="3" t="s">
        <v>7462</v>
      </c>
      <c r="E3315" s="3" t="s">
        <v>7463</v>
      </c>
      <c r="F3315" s="109" t="s">
        <v>7464</v>
      </c>
      <c r="G3315" s="3" t="s">
        <v>11450</v>
      </c>
      <c r="H3315" s="54">
        <v>0</v>
      </c>
      <c r="I3315" s="55">
        <v>470000000</v>
      </c>
      <c r="J3315" s="56" t="s">
        <v>229</v>
      </c>
      <c r="K3315" s="57" t="s">
        <v>19379</v>
      </c>
      <c r="L3315" s="17" t="s">
        <v>19433</v>
      </c>
      <c r="M3315" s="3" t="s">
        <v>230</v>
      </c>
      <c r="N3315" s="52" t="s">
        <v>16511</v>
      </c>
      <c r="O3315" s="6" t="s">
        <v>19407</v>
      </c>
      <c r="P3315" s="58" t="s">
        <v>241</v>
      </c>
      <c r="Q3315" s="48" t="s">
        <v>234</v>
      </c>
      <c r="R3315" s="22">
        <v>10</v>
      </c>
      <c r="S3315" s="59">
        <v>14400</v>
      </c>
      <c r="T3315" s="4">
        <f>R3315*S3315</f>
        <v>144000</v>
      </c>
      <c r="U3315" s="4">
        <f t="shared" ref="U3315" si="121">T3315*1.12</f>
        <v>161280.00000000003</v>
      </c>
      <c r="V3315" s="1"/>
      <c r="W3315" s="3">
        <v>2014</v>
      </c>
      <c r="X3315" s="3"/>
    </row>
    <row r="3316" spans="1:24" ht="114.75">
      <c r="A3316" s="3" t="s">
        <v>1654</v>
      </c>
      <c r="B3316" s="6" t="s">
        <v>361</v>
      </c>
      <c r="C3316" s="6" t="s">
        <v>7524</v>
      </c>
      <c r="D3316" s="3" t="s">
        <v>538</v>
      </c>
      <c r="E3316" s="3" t="s">
        <v>7525</v>
      </c>
      <c r="F3316" s="109" t="s">
        <v>7465</v>
      </c>
      <c r="G3316" s="3" t="s">
        <v>11450</v>
      </c>
      <c r="H3316" s="54">
        <v>0</v>
      </c>
      <c r="I3316" s="55">
        <v>470000000</v>
      </c>
      <c r="J3316" s="56" t="s">
        <v>229</v>
      </c>
      <c r="K3316" s="57" t="s">
        <v>7698</v>
      </c>
      <c r="L3316" s="57" t="s">
        <v>364</v>
      </c>
      <c r="M3316" s="3" t="s">
        <v>230</v>
      </c>
      <c r="N3316" s="52" t="s">
        <v>7693</v>
      </c>
      <c r="O3316" s="6" t="s">
        <v>365</v>
      </c>
      <c r="P3316" s="58" t="s">
        <v>241</v>
      </c>
      <c r="Q3316" s="48" t="s">
        <v>234</v>
      </c>
      <c r="R3316" s="22">
        <v>10</v>
      </c>
      <c r="S3316" s="59">
        <v>4530</v>
      </c>
      <c r="T3316" s="4">
        <v>0</v>
      </c>
      <c r="U3316" s="4">
        <f t="shared" si="120"/>
        <v>0</v>
      </c>
      <c r="V3316" s="1"/>
      <c r="W3316" s="3">
        <v>2014</v>
      </c>
      <c r="X3316" s="3">
        <v>12</v>
      </c>
    </row>
    <row r="3317" spans="1:24" ht="114.75">
      <c r="A3317" s="3" t="s">
        <v>13431</v>
      </c>
      <c r="B3317" s="6" t="s">
        <v>361</v>
      </c>
      <c r="C3317" s="6" t="s">
        <v>7524</v>
      </c>
      <c r="D3317" s="3" t="s">
        <v>538</v>
      </c>
      <c r="E3317" s="3" t="s">
        <v>7525</v>
      </c>
      <c r="F3317" s="109" t="s">
        <v>7465</v>
      </c>
      <c r="G3317" s="3" t="s">
        <v>11450</v>
      </c>
      <c r="H3317" s="54">
        <v>0</v>
      </c>
      <c r="I3317" s="55">
        <v>470000000</v>
      </c>
      <c r="J3317" s="56" t="s">
        <v>229</v>
      </c>
      <c r="K3317" s="57" t="s">
        <v>7698</v>
      </c>
      <c r="L3317" s="17" t="s">
        <v>11411</v>
      </c>
      <c r="M3317" s="3" t="s">
        <v>230</v>
      </c>
      <c r="N3317" s="52" t="s">
        <v>7693</v>
      </c>
      <c r="O3317" s="6" t="s">
        <v>365</v>
      </c>
      <c r="P3317" s="58" t="s">
        <v>241</v>
      </c>
      <c r="Q3317" s="48" t="s">
        <v>234</v>
      </c>
      <c r="R3317" s="22">
        <v>10</v>
      </c>
      <c r="S3317" s="59">
        <v>4530</v>
      </c>
      <c r="T3317" s="4">
        <v>0</v>
      </c>
      <c r="U3317" s="4">
        <f t="shared" si="120"/>
        <v>0</v>
      </c>
      <c r="V3317" s="1"/>
      <c r="W3317" s="3">
        <v>2014</v>
      </c>
      <c r="X3317" s="3">
        <v>11</v>
      </c>
    </row>
    <row r="3318" spans="1:24" ht="114.75">
      <c r="A3318" s="3" t="s">
        <v>16661</v>
      </c>
      <c r="B3318" s="6" t="s">
        <v>361</v>
      </c>
      <c r="C3318" s="6" t="s">
        <v>7524</v>
      </c>
      <c r="D3318" s="3" t="s">
        <v>538</v>
      </c>
      <c r="E3318" s="3" t="s">
        <v>7525</v>
      </c>
      <c r="F3318" s="109" t="s">
        <v>7465</v>
      </c>
      <c r="G3318" s="3" t="s">
        <v>11450</v>
      </c>
      <c r="H3318" s="54">
        <v>0</v>
      </c>
      <c r="I3318" s="55">
        <v>470000000</v>
      </c>
      <c r="J3318" s="56" t="s">
        <v>229</v>
      </c>
      <c r="K3318" s="57" t="s">
        <v>7699</v>
      </c>
      <c r="L3318" s="17" t="s">
        <v>11411</v>
      </c>
      <c r="M3318" s="3" t="s">
        <v>230</v>
      </c>
      <c r="N3318" s="52" t="s">
        <v>7693</v>
      </c>
      <c r="O3318" s="6" t="s">
        <v>365</v>
      </c>
      <c r="P3318" s="58" t="s">
        <v>241</v>
      </c>
      <c r="Q3318" s="48" t="s">
        <v>234</v>
      </c>
      <c r="R3318" s="22">
        <v>10</v>
      </c>
      <c r="S3318" s="59">
        <v>4530</v>
      </c>
      <c r="T3318" s="4">
        <v>0</v>
      </c>
      <c r="U3318" s="4">
        <f t="shared" si="120"/>
        <v>0</v>
      </c>
      <c r="V3318" s="1"/>
      <c r="W3318" s="3">
        <v>2014</v>
      </c>
      <c r="X3318" s="3" t="s">
        <v>14785</v>
      </c>
    </row>
    <row r="3319" spans="1:24" ht="114.75">
      <c r="A3319" s="3" t="s">
        <v>18347</v>
      </c>
      <c r="B3319" s="6" t="s">
        <v>361</v>
      </c>
      <c r="C3319" s="6" t="s">
        <v>7524</v>
      </c>
      <c r="D3319" s="3" t="s">
        <v>538</v>
      </c>
      <c r="E3319" s="3" t="s">
        <v>7525</v>
      </c>
      <c r="F3319" s="109" t="s">
        <v>7465</v>
      </c>
      <c r="G3319" s="3" t="s">
        <v>11450</v>
      </c>
      <c r="H3319" s="54">
        <v>0</v>
      </c>
      <c r="I3319" s="55">
        <v>470000000</v>
      </c>
      <c r="J3319" s="56" t="s">
        <v>229</v>
      </c>
      <c r="K3319" s="57" t="s">
        <v>8950</v>
      </c>
      <c r="L3319" s="17" t="s">
        <v>11411</v>
      </c>
      <c r="M3319" s="3" t="s">
        <v>230</v>
      </c>
      <c r="N3319" s="52" t="s">
        <v>7693</v>
      </c>
      <c r="O3319" s="6" t="s">
        <v>365</v>
      </c>
      <c r="P3319" s="58" t="s">
        <v>241</v>
      </c>
      <c r="Q3319" s="48" t="s">
        <v>234</v>
      </c>
      <c r="R3319" s="22">
        <v>10</v>
      </c>
      <c r="S3319" s="59">
        <v>5436</v>
      </c>
      <c r="T3319" s="4">
        <f>R3319*S3319</f>
        <v>54360</v>
      </c>
      <c r="U3319" s="4">
        <f t="shared" si="120"/>
        <v>60883.200000000004</v>
      </c>
      <c r="V3319" s="1"/>
      <c r="W3319" s="3">
        <v>2014</v>
      </c>
      <c r="X3319" s="3"/>
    </row>
    <row r="3320" spans="1:24" ht="114.75">
      <c r="A3320" s="3" t="s">
        <v>1655</v>
      </c>
      <c r="B3320" s="6" t="s">
        <v>361</v>
      </c>
      <c r="C3320" s="6" t="s">
        <v>7526</v>
      </c>
      <c r="D3320" s="3" t="s">
        <v>7527</v>
      </c>
      <c r="E3320" s="3" t="s">
        <v>7528</v>
      </c>
      <c r="F3320" s="109" t="s">
        <v>7466</v>
      </c>
      <c r="G3320" s="3" t="s">
        <v>11450</v>
      </c>
      <c r="H3320" s="54">
        <v>0</v>
      </c>
      <c r="I3320" s="55">
        <v>470000000</v>
      </c>
      <c r="J3320" s="56" t="s">
        <v>229</v>
      </c>
      <c r="K3320" s="57" t="s">
        <v>7698</v>
      </c>
      <c r="L3320" s="57" t="s">
        <v>364</v>
      </c>
      <c r="M3320" s="3" t="s">
        <v>230</v>
      </c>
      <c r="N3320" s="52" t="s">
        <v>7693</v>
      </c>
      <c r="O3320" s="6" t="s">
        <v>365</v>
      </c>
      <c r="P3320" s="58" t="s">
        <v>241</v>
      </c>
      <c r="Q3320" s="48" t="s">
        <v>234</v>
      </c>
      <c r="R3320" s="22">
        <v>8</v>
      </c>
      <c r="S3320" s="59">
        <v>11070</v>
      </c>
      <c r="T3320" s="4">
        <v>0</v>
      </c>
      <c r="U3320" s="4">
        <f t="shared" si="120"/>
        <v>0</v>
      </c>
      <c r="V3320" s="1"/>
      <c r="W3320" s="3">
        <v>2014</v>
      </c>
      <c r="X3320" s="3">
        <v>12</v>
      </c>
    </row>
    <row r="3321" spans="1:24" ht="114.75">
      <c r="A3321" s="3" t="s">
        <v>13432</v>
      </c>
      <c r="B3321" s="6" t="s">
        <v>361</v>
      </c>
      <c r="C3321" s="6" t="s">
        <v>7526</v>
      </c>
      <c r="D3321" s="3" t="s">
        <v>7527</v>
      </c>
      <c r="E3321" s="3" t="s">
        <v>7528</v>
      </c>
      <c r="F3321" s="109" t="s">
        <v>7466</v>
      </c>
      <c r="G3321" s="3" t="s">
        <v>11450</v>
      </c>
      <c r="H3321" s="54">
        <v>0</v>
      </c>
      <c r="I3321" s="55">
        <v>470000000</v>
      </c>
      <c r="J3321" s="56" t="s">
        <v>229</v>
      </c>
      <c r="K3321" s="57" t="s">
        <v>7698</v>
      </c>
      <c r="L3321" s="17" t="s">
        <v>11411</v>
      </c>
      <c r="M3321" s="3" t="s">
        <v>230</v>
      </c>
      <c r="N3321" s="52" t="s">
        <v>7693</v>
      </c>
      <c r="O3321" s="6" t="s">
        <v>365</v>
      </c>
      <c r="P3321" s="58" t="s">
        <v>241</v>
      </c>
      <c r="Q3321" s="48" t="s">
        <v>234</v>
      </c>
      <c r="R3321" s="22">
        <v>8</v>
      </c>
      <c r="S3321" s="59">
        <v>11070</v>
      </c>
      <c r="T3321" s="4">
        <v>0</v>
      </c>
      <c r="U3321" s="4">
        <f t="shared" si="120"/>
        <v>0</v>
      </c>
      <c r="V3321" s="1"/>
      <c r="W3321" s="3">
        <v>2014</v>
      </c>
      <c r="X3321" s="3">
        <v>11</v>
      </c>
    </row>
    <row r="3322" spans="1:24" ht="114.75">
      <c r="A3322" s="3" t="s">
        <v>16662</v>
      </c>
      <c r="B3322" s="6" t="s">
        <v>361</v>
      </c>
      <c r="C3322" s="6" t="s">
        <v>7526</v>
      </c>
      <c r="D3322" s="3" t="s">
        <v>7527</v>
      </c>
      <c r="E3322" s="3" t="s">
        <v>7528</v>
      </c>
      <c r="F3322" s="109" t="s">
        <v>7466</v>
      </c>
      <c r="G3322" s="3" t="s">
        <v>11450</v>
      </c>
      <c r="H3322" s="54">
        <v>0</v>
      </c>
      <c r="I3322" s="55">
        <v>470000000</v>
      </c>
      <c r="J3322" s="56" t="s">
        <v>229</v>
      </c>
      <c r="K3322" s="57" t="s">
        <v>7699</v>
      </c>
      <c r="L3322" s="17" t="s">
        <v>11411</v>
      </c>
      <c r="M3322" s="3" t="s">
        <v>230</v>
      </c>
      <c r="N3322" s="52" t="s">
        <v>7693</v>
      </c>
      <c r="O3322" s="6" t="s">
        <v>365</v>
      </c>
      <c r="P3322" s="58" t="s">
        <v>241</v>
      </c>
      <c r="Q3322" s="48" t="s">
        <v>234</v>
      </c>
      <c r="R3322" s="22">
        <v>8</v>
      </c>
      <c r="S3322" s="59">
        <v>11070</v>
      </c>
      <c r="T3322" s="4">
        <v>0</v>
      </c>
      <c r="U3322" s="4">
        <f t="shared" si="120"/>
        <v>0</v>
      </c>
      <c r="V3322" s="1"/>
      <c r="W3322" s="3">
        <v>2014</v>
      </c>
      <c r="X3322" s="3" t="s">
        <v>14785</v>
      </c>
    </row>
    <row r="3323" spans="1:24" ht="114.75">
      <c r="A3323" s="3" t="s">
        <v>18348</v>
      </c>
      <c r="B3323" s="6" t="s">
        <v>361</v>
      </c>
      <c r="C3323" s="6" t="s">
        <v>7526</v>
      </c>
      <c r="D3323" s="3" t="s">
        <v>7527</v>
      </c>
      <c r="E3323" s="3" t="s">
        <v>7528</v>
      </c>
      <c r="F3323" s="109" t="s">
        <v>7466</v>
      </c>
      <c r="G3323" s="3" t="s">
        <v>11450</v>
      </c>
      <c r="H3323" s="54">
        <v>0</v>
      </c>
      <c r="I3323" s="55">
        <v>470000000</v>
      </c>
      <c r="J3323" s="56" t="s">
        <v>229</v>
      </c>
      <c r="K3323" s="57" t="s">
        <v>8950</v>
      </c>
      <c r="L3323" s="17" t="s">
        <v>11411</v>
      </c>
      <c r="M3323" s="3" t="s">
        <v>230</v>
      </c>
      <c r="N3323" s="52" t="s">
        <v>7693</v>
      </c>
      <c r="O3323" s="6" t="s">
        <v>365</v>
      </c>
      <c r="P3323" s="58" t="s">
        <v>241</v>
      </c>
      <c r="Q3323" s="48" t="s">
        <v>234</v>
      </c>
      <c r="R3323" s="22">
        <v>8</v>
      </c>
      <c r="S3323" s="59">
        <v>13284</v>
      </c>
      <c r="T3323" s="4">
        <f>R3323*S3323</f>
        <v>106272</v>
      </c>
      <c r="U3323" s="4">
        <f t="shared" si="120"/>
        <v>119024.64000000001</v>
      </c>
      <c r="V3323" s="1"/>
      <c r="W3323" s="3">
        <v>2014</v>
      </c>
      <c r="X3323" s="3"/>
    </row>
    <row r="3324" spans="1:24" ht="114.75">
      <c r="A3324" s="3" t="s">
        <v>1656</v>
      </c>
      <c r="B3324" s="6" t="s">
        <v>361</v>
      </c>
      <c r="C3324" s="6" t="s">
        <v>7467</v>
      </c>
      <c r="D3324" s="48" t="s">
        <v>382</v>
      </c>
      <c r="E3324" s="6" t="s">
        <v>7468</v>
      </c>
      <c r="F3324" s="48" t="s">
        <v>7469</v>
      </c>
      <c r="G3324" s="3" t="s">
        <v>11450</v>
      </c>
      <c r="H3324" s="54">
        <v>0</v>
      </c>
      <c r="I3324" s="55">
        <v>470000000</v>
      </c>
      <c r="J3324" s="56" t="s">
        <v>229</v>
      </c>
      <c r="K3324" s="57" t="s">
        <v>7698</v>
      </c>
      <c r="L3324" s="57" t="s">
        <v>364</v>
      </c>
      <c r="M3324" s="3" t="s">
        <v>230</v>
      </c>
      <c r="N3324" s="52" t="s">
        <v>7693</v>
      </c>
      <c r="O3324" s="6" t="s">
        <v>365</v>
      </c>
      <c r="P3324" s="58" t="s">
        <v>252</v>
      </c>
      <c r="Q3324" s="48" t="s">
        <v>253</v>
      </c>
      <c r="R3324" s="22">
        <v>100</v>
      </c>
      <c r="S3324" s="59">
        <v>1344.6290000000001</v>
      </c>
      <c r="T3324" s="4">
        <v>0</v>
      </c>
      <c r="U3324" s="4">
        <f t="shared" si="120"/>
        <v>0</v>
      </c>
      <c r="V3324" s="1"/>
      <c r="W3324" s="3">
        <v>2014</v>
      </c>
      <c r="X3324" s="3">
        <v>12</v>
      </c>
    </row>
    <row r="3325" spans="1:24" ht="114.75">
      <c r="A3325" s="3" t="s">
        <v>13433</v>
      </c>
      <c r="B3325" s="6" t="s">
        <v>361</v>
      </c>
      <c r="C3325" s="6" t="s">
        <v>7467</v>
      </c>
      <c r="D3325" s="48" t="s">
        <v>382</v>
      </c>
      <c r="E3325" s="6" t="s">
        <v>7468</v>
      </c>
      <c r="F3325" s="48" t="s">
        <v>7469</v>
      </c>
      <c r="G3325" s="3" t="s">
        <v>11450</v>
      </c>
      <c r="H3325" s="54">
        <v>0</v>
      </c>
      <c r="I3325" s="55">
        <v>470000000</v>
      </c>
      <c r="J3325" s="56" t="s">
        <v>229</v>
      </c>
      <c r="K3325" s="57" t="s">
        <v>7698</v>
      </c>
      <c r="L3325" s="17" t="s">
        <v>11411</v>
      </c>
      <c r="M3325" s="3" t="s">
        <v>230</v>
      </c>
      <c r="N3325" s="52" t="s">
        <v>7693</v>
      </c>
      <c r="O3325" s="6" t="s">
        <v>365</v>
      </c>
      <c r="P3325" s="58" t="s">
        <v>252</v>
      </c>
      <c r="Q3325" s="48" t="s">
        <v>253</v>
      </c>
      <c r="R3325" s="22">
        <v>100</v>
      </c>
      <c r="S3325" s="59">
        <v>1344.6290000000001</v>
      </c>
      <c r="T3325" s="4">
        <v>0</v>
      </c>
      <c r="U3325" s="4">
        <f t="shared" si="120"/>
        <v>0</v>
      </c>
      <c r="V3325" s="1"/>
      <c r="W3325" s="3">
        <v>2014</v>
      </c>
      <c r="X3325" s="3" t="s">
        <v>14785</v>
      </c>
    </row>
    <row r="3326" spans="1:24" ht="114.75">
      <c r="A3326" s="3" t="s">
        <v>18349</v>
      </c>
      <c r="B3326" s="6" t="s">
        <v>361</v>
      </c>
      <c r="C3326" s="6" t="s">
        <v>7467</v>
      </c>
      <c r="D3326" s="48" t="s">
        <v>382</v>
      </c>
      <c r="E3326" s="6" t="s">
        <v>7468</v>
      </c>
      <c r="F3326" s="48" t="s">
        <v>7469</v>
      </c>
      <c r="G3326" s="3" t="s">
        <v>11450</v>
      </c>
      <c r="H3326" s="54">
        <v>0</v>
      </c>
      <c r="I3326" s="55">
        <v>470000000</v>
      </c>
      <c r="J3326" s="56" t="s">
        <v>229</v>
      </c>
      <c r="K3326" s="57" t="s">
        <v>8950</v>
      </c>
      <c r="L3326" s="17" t="s">
        <v>11411</v>
      </c>
      <c r="M3326" s="3" t="s">
        <v>230</v>
      </c>
      <c r="N3326" s="52" t="s">
        <v>7693</v>
      </c>
      <c r="O3326" s="6" t="s">
        <v>365</v>
      </c>
      <c r="P3326" s="58" t="s">
        <v>252</v>
      </c>
      <c r="Q3326" s="48" t="s">
        <v>253</v>
      </c>
      <c r="R3326" s="22">
        <v>100</v>
      </c>
      <c r="S3326" s="59">
        <v>1613.5548000000001</v>
      </c>
      <c r="T3326" s="4">
        <f>R3326*S3326</f>
        <v>161355.48000000001</v>
      </c>
      <c r="U3326" s="4">
        <f t="shared" si="120"/>
        <v>180718.13760000002</v>
      </c>
      <c r="V3326" s="1"/>
      <c r="W3326" s="3">
        <v>2014</v>
      </c>
      <c r="X3326" s="3"/>
    </row>
    <row r="3327" spans="1:24" ht="114.75">
      <c r="A3327" s="3" t="s">
        <v>1657</v>
      </c>
      <c r="B3327" s="6" t="s">
        <v>361</v>
      </c>
      <c r="C3327" s="6" t="s">
        <v>7467</v>
      </c>
      <c r="D3327" s="48" t="s">
        <v>382</v>
      </c>
      <c r="E3327" s="6" t="s">
        <v>7468</v>
      </c>
      <c r="F3327" s="48" t="s">
        <v>7470</v>
      </c>
      <c r="G3327" s="3" t="s">
        <v>11450</v>
      </c>
      <c r="H3327" s="54">
        <v>0</v>
      </c>
      <c r="I3327" s="55">
        <v>470000000</v>
      </c>
      <c r="J3327" s="56" t="s">
        <v>229</v>
      </c>
      <c r="K3327" s="57" t="s">
        <v>7698</v>
      </c>
      <c r="L3327" s="57" t="s">
        <v>364</v>
      </c>
      <c r="M3327" s="3" t="s">
        <v>230</v>
      </c>
      <c r="N3327" s="52" t="s">
        <v>7693</v>
      </c>
      <c r="O3327" s="6" t="s">
        <v>365</v>
      </c>
      <c r="P3327" s="58" t="s">
        <v>252</v>
      </c>
      <c r="Q3327" s="48" t="s">
        <v>253</v>
      </c>
      <c r="R3327" s="22">
        <v>200</v>
      </c>
      <c r="S3327" s="59">
        <v>1453.65</v>
      </c>
      <c r="T3327" s="4">
        <v>0</v>
      </c>
      <c r="U3327" s="4">
        <f t="shared" si="120"/>
        <v>0</v>
      </c>
      <c r="V3327" s="1"/>
      <c r="W3327" s="3">
        <v>2014</v>
      </c>
      <c r="X3327" s="3">
        <v>12</v>
      </c>
    </row>
    <row r="3328" spans="1:24" ht="114.75">
      <c r="A3328" s="3" t="s">
        <v>13434</v>
      </c>
      <c r="B3328" s="6" t="s">
        <v>361</v>
      </c>
      <c r="C3328" s="6" t="s">
        <v>7467</v>
      </c>
      <c r="D3328" s="48" t="s">
        <v>382</v>
      </c>
      <c r="E3328" s="6" t="s">
        <v>7468</v>
      </c>
      <c r="F3328" s="48" t="s">
        <v>7470</v>
      </c>
      <c r="G3328" s="3" t="s">
        <v>11450</v>
      </c>
      <c r="H3328" s="54">
        <v>0</v>
      </c>
      <c r="I3328" s="55">
        <v>470000000</v>
      </c>
      <c r="J3328" s="56" t="s">
        <v>229</v>
      </c>
      <c r="K3328" s="57" t="s">
        <v>7698</v>
      </c>
      <c r="L3328" s="17" t="s">
        <v>11411</v>
      </c>
      <c r="M3328" s="3" t="s">
        <v>230</v>
      </c>
      <c r="N3328" s="52" t="s">
        <v>7693</v>
      </c>
      <c r="O3328" s="6" t="s">
        <v>365</v>
      </c>
      <c r="P3328" s="58" t="s">
        <v>252</v>
      </c>
      <c r="Q3328" s="48" t="s">
        <v>253</v>
      </c>
      <c r="R3328" s="22">
        <v>200</v>
      </c>
      <c r="S3328" s="59">
        <v>1453.65</v>
      </c>
      <c r="T3328" s="4">
        <v>0</v>
      </c>
      <c r="U3328" s="4">
        <f t="shared" si="120"/>
        <v>0</v>
      </c>
      <c r="V3328" s="1"/>
      <c r="W3328" s="3">
        <v>2014</v>
      </c>
      <c r="X3328" s="3" t="s">
        <v>14785</v>
      </c>
    </row>
    <row r="3329" spans="1:24" ht="114.75">
      <c r="A3329" s="3" t="s">
        <v>18350</v>
      </c>
      <c r="B3329" s="6" t="s">
        <v>361</v>
      </c>
      <c r="C3329" s="6" t="s">
        <v>7467</v>
      </c>
      <c r="D3329" s="48" t="s">
        <v>382</v>
      </c>
      <c r="E3329" s="6" t="s">
        <v>7468</v>
      </c>
      <c r="F3329" s="48" t="s">
        <v>7470</v>
      </c>
      <c r="G3329" s="3" t="s">
        <v>11450</v>
      </c>
      <c r="H3329" s="54">
        <v>0</v>
      </c>
      <c r="I3329" s="55">
        <v>470000000</v>
      </c>
      <c r="J3329" s="56" t="s">
        <v>229</v>
      </c>
      <c r="K3329" s="57" t="s">
        <v>8950</v>
      </c>
      <c r="L3329" s="17" t="s">
        <v>11411</v>
      </c>
      <c r="M3329" s="3" t="s">
        <v>230</v>
      </c>
      <c r="N3329" s="52" t="s">
        <v>7693</v>
      </c>
      <c r="O3329" s="6" t="s">
        <v>365</v>
      </c>
      <c r="P3329" s="58" t="s">
        <v>252</v>
      </c>
      <c r="Q3329" s="48" t="s">
        <v>253</v>
      </c>
      <c r="R3329" s="22">
        <v>200</v>
      </c>
      <c r="S3329" s="59">
        <v>1744.38</v>
      </c>
      <c r="T3329" s="4">
        <f>R3329*S3329</f>
        <v>348876</v>
      </c>
      <c r="U3329" s="4">
        <f t="shared" si="120"/>
        <v>390741.12000000005</v>
      </c>
      <c r="V3329" s="1"/>
      <c r="W3329" s="3">
        <v>2014</v>
      </c>
      <c r="X3329" s="3"/>
    </row>
    <row r="3330" spans="1:24" ht="114.75">
      <c r="A3330" s="3" t="s">
        <v>1658</v>
      </c>
      <c r="B3330" s="6" t="s">
        <v>361</v>
      </c>
      <c r="C3330" s="6" t="s">
        <v>7471</v>
      </c>
      <c r="D3330" s="3" t="s">
        <v>7472</v>
      </c>
      <c r="E3330" s="3" t="s">
        <v>7473</v>
      </c>
      <c r="F3330" s="48" t="s">
        <v>7474</v>
      </c>
      <c r="G3330" s="3" t="s">
        <v>11450</v>
      </c>
      <c r="H3330" s="54">
        <v>0</v>
      </c>
      <c r="I3330" s="55">
        <v>470000000</v>
      </c>
      <c r="J3330" s="56" t="s">
        <v>229</v>
      </c>
      <c r="K3330" s="57" t="s">
        <v>7698</v>
      </c>
      <c r="L3330" s="57" t="s">
        <v>364</v>
      </c>
      <c r="M3330" s="3" t="s">
        <v>230</v>
      </c>
      <c r="N3330" s="52" t="s">
        <v>7693</v>
      </c>
      <c r="O3330" s="6" t="s">
        <v>365</v>
      </c>
      <c r="P3330" s="58" t="s">
        <v>241</v>
      </c>
      <c r="Q3330" s="116" t="s">
        <v>234</v>
      </c>
      <c r="R3330" s="108">
        <v>10</v>
      </c>
      <c r="S3330" s="59">
        <v>3980</v>
      </c>
      <c r="T3330" s="4">
        <v>0</v>
      </c>
      <c r="U3330" s="4">
        <f t="shared" si="120"/>
        <v>0</v>
      </c>
      <c r="V3330" s="1"/>
      <c r="W3330" s="3">
        <v>2014</v>
      </c>
      <c r="X3330" s="3">
        <v>12</v>
      </c>
    </row>
    <row r="3331" spans="1:24" ht="114.75">
      <c r="A3331" s="3" t="s">
        <v>13504</v>
      </c>
      <c r="B3331" s="6" t="s">
        <v>361</v>
      </c>
      <c r="C3331" s="6" t="s">
        <v>7471</v>
      </c>
      <c r="D3331" s="3" t="s">
        <v>7472</v>
      </c>
      <c r="E3331" s="3" t="s">
        <v>7473</v>
      </c>
      <c r="F3331" s="48" t="s">
        <v>7474</v>
      </c>
      <c r="G3331" s="3" t="s">
        <v>11450</v>
      </c>
      <c r="H3331" s="54">
        <v>0</v>
      </c>
      <c r="I3331" s="55">
        <v>470000000</v>
      </c>
      <c r="J3331" s="56" t="s">
        <v>229</v>
      </c>
      <c r="K3331" s="57" t="s">
        <v>7698</v>
      </c>
      <c r="L3331" s="12" t="s">
        <v>404</v>
      </c>
      <c r="M3331" s="3" t="s">
        <v>230</v>
      </c>
      <c r="N3331" s="52" t="s">
        <v>7693</v>
      </c>
      <c r="O3331" s="6" t="s">
        <v>365</v>
      </c>
      <c r="P3331" s="58" t="s">
        <v>241</v>
      </c>
      <c r="Q3331" s="116" t="s">
        <v>234</v>
      </c>
      <c r="R3331" s="108">
        <v>10</v>
      </c>
      <c r="S3331" s="59">
        <v>3980</v>
      </c>
      <c r="T3331" s="4">
        <v>0</v>
      </c>
      <c r="U3331" s="4">
        <f t="shared" si="120"/>
        <v>0</v>
      </c>
      <c r="V3331" s="1"/>
      <c r="W3331" s="3">
        <v>2014</v>
      </c>
      <c r="X3331" s="3" t="s">
        <v>16521</v>
      </c>
    </row>
    <row r="3332" spans="1:24" ht="114.75">
      <c r="A3332" s="3" t="s">
        <v>16519</v>
      </c>
      <c r="B3332" s="6" t="s">
        <v>361</v>
      </c>
      <c r="C3332" s="6" t="s">
        <v>7471</v>
      </c>
      <c r="D3332" s="3" t="s">
        <v>7472</v>
      </c>
      <c r="E3332" s="3" t="s">
        <v>7473</v>
      </c>
      <c r="F3332" s="48" t="s">
        <v>7474</v>
      </c>
      <c r="G3332" s="3" t="s">
        <v>11450</v>
      </c>
      <c r="H3332" s="54">
        <v>0</v>
      </c>
      <c r="I3332" s="55">
        <v>470000000</v>
      </c>
      <c r="J3332" s="56" t="s">
        <v>229</v>
      </c>
      <c r="K3332" s="57" t="s">
        <v>9041</v>
      </c>
      <c r="L3332" s="12" t="s">
        <v>404</v>
      </c>
      <c r="M3332" s="3" t="s">
        <v>230</v>
      </c>
      <c r="N3332" s="52" t="s">
        <v>16511</v>
      </c>
      <c r="O3332" s="6" t="s">
        <v>365</v>
      </c>
      <c r="P3332" s="58" t="s">
        <v>241</v>
      </c>
      <c r="Q3332" s="116" t="s">
        <v>234</v>
      </c>
      <c r="R3332" s="108">
        <v>10</v>
      </c>
      <c r="S3332" s="59">
        <v>6600</v>
      </c>
      <c r="T3332" s="4">
        <v>0</v>
      </c>
      <c r="U3332" s="4">
        <f t="shared" si="120"/>
        <v>0</v>
      </c>
      <c r="V3332" s="1"/>
      <c r="W3332" s="3">
        <v>2014</v>
      </c>
      <c r="X3332" s="3">
        <v>11</v>
      </c>
    </row>
    <row r="3333" spans="1:24" ht="114.75">
      <c r="A3333" s="3" t="s">
        <v>18993</v>
      </c>
      <c r="B3333" s="6" t="s">
        <v>361</v>
      </c>
      <c r="C3333" s="6" t="s">
        <v>7471</v>
      </c>
      <c r="D3333" s="3" t="s">
        <v>7472</v>
      </c>
      <c r="E3333" s="3" t="s">
        <v>7473</v>
      </c>
      <c r="F3333" s="48" t="s">
        <v>7474</v>
      </c>
      <c r="G3333" s="3" t="s">
        <v>11450</v>
      </c>
      <c r="H3333" s="54">
        <v>0</v>
      </c>
      <c r="I3333" s="55">
        <v>470000000</v>
      </c>
      <c r="J3333" s="56" t="s">
        <v>229</v>
      </c>
      <c r="K3333" s="57" t="s">
        <v>18437</v>
      </c>
      <c r="L3333" s="12" t="s">
        <v>404</v>
      </c>
      <c r="M3333" s="3" t="s">
        <v>230</v>
      </c>
      <c r="N3333" s="52" t="s">
        <v>16511</v>
      </c>
      <c r="O3333" s="6" t="s">
        <v>365</v>
      </c>
      <c r="P3333" s="58" t="s">
        <v>241</v>
      </c>
      <c r="Q3333" s="116" t="s">
        <v>234</v>
      </c>
      <c r="R3333" s="108">
        <v>10</v>
      </c>
      <c r="S3333" s="59">
        <v>6600</v>
      </c>
      <c r="T3333" s="4">
        <v>0</v>
      </c>
      <c r="U3333" s="4">
        <f t="shared" si="120"/>
        <v>0</v>
      </c>
      <c r="V3333" s="1"/>
      <c r="W3333" s="3">
        <v>2014</v>
      </c>
      <c r="X3333" s="3">
        <v>11.15</v>
      </c>
    </row>
    <row r="3334" spans="1:24" ht="76.5">
      <c r="A3334" s="3" t="s">
        <v>19428</v>
      </c>
      <c r="B3334" s="6" t="s">
        <v>361</v>
      </c>
      <c r="C3334" s="6" t="s">
        <v>7471</v>
      </c>
      <c r="D3334" s="3" t="s">
        <v>7472</v>
      </c>
      <c r="E3334" s="3" t="s">
        <v>7473</v>
      </c>
      <c r="F3334" s="48" t="s">
        <v>7474</v>
      </c>
      <c r="G3334" s="3" t="s">
        <v>11450</v>
      </c>
      <c r="H3334" s="54">
        <v>0</v>
      </c>
      <c r="I3334" s="55">
        <v>470000000</v>
      </c>
      <c r="J3334" s="56" t="s">
        <v>229</v>
      </c>
      <c r="K3334" s="57" t="s">
        <v>19379</v>
      </c>
      <c r="L3334" s="12" t="s">
        <v>404</v>
      </c>
      <c r="M3334" s="3" t="s">
        <v>230</v>
      </c>
      <c r="N3334" s="52" t="s">
        <v>16511</v>
      </c>
      <c r="O3334" s="6" t="s">
        <v>19407</v>
      </c>
      <c r="P3334" s="58" t="s">
        <v>241</v>
      </c>
      <c r="Q3334" s="116" t="s">
        <v>234</v>
      </c>
      <c r="R3334" s="108">
        <v>10</v>
      </c>
      <c r="S3334" s="59">
        <v>6600</v>
      </c>
      <c r="T3334" s="4">
        <f>R3334*S3334</f>
        <v>66000</v>
      </c>
      <c r="U3334" s="4">
        <f t="shared" ref="U3334" si="122">T3334*1.12</f>
        <v>73920</v>
      </c>
      <c r="V3334" s="1"/>
      <c r="W3334" s="3">
        <v>2014</v>
      </c>
      <c r="X3334" s="3"/>
    </row>
    <row r="3335" spans="1:24" ht="114.75">
      <c r="A3335" s="3" t="s">
        <v>1659</v>
      </c>
      <c r="B3335" s="6" t="s">
        <v>361</v>
      </c>
      <c r="C3335" s="6" t="s">
        <v>7475</v>
      </c>
      <c r="D3335" s="3" t="s">
        <v>7476</v>
      </c>
      <c r="E3335" s="3" t="s">
        <v>7477</v>
      </c>
      <c r="F3335" s="109" t="s">
        <v>7478</v>
      </c>
      <c r="G3335" s="3" t="s">
        <v>11450</v>
      </c>
      <c r="H3335" s="54">
        <v>0</v>
      </c>
      <c r="I3335" s="55">
        <v>470000000</v>
      </c>
      <c r="J3335" s="56" t="s">
        <v>229</v>
      </c>
      <c r="K3335" s="57" t="s">
        <v>7698</v>
      </c>
      <c r="L3335" s="57" t="s">
        <v>364</v>
      </c>
      <c r="M3335" s="3" t="s">
        <v>230</v>
      </c>
      <c r="N3335" s="52" t="s">
        <v>7693</v>
      </c>
      <c r="O3335" s="6" t="s">
        <v>365</v>
      </c>
      <c r="P3335" s="58" t="s">
        <v>241</v>
      </c>
      <c r="Q3335" s="116" t="s">
        <v>234</v>
      </c>
      <c r="R3335" s="108">
        <v>20</v>
      </c>
      <c r="S3335" s="59">
        <v>220</v>
      </c>
      <c r="T3335" s="4">
        <v>0</v>
      </c>
      <c r="U3335" s="4">
        <f t="shared" si="120"/>
        <v>0</v>
      </c>
      <c r="V3335" s="1"/>
      <c r="W3335" s="3">
        <v>2014</v>
      </c>
      <c r="X3335" s="3">
        <v>12</v>
      </c>
    </row>
    <row r="3336" spans="1:24" ht="114.75">
      <c r="A3336" s="3" t="s">
        <v>13505</v>
      </c>
      <c r="B3336" s="6" t="s">
        <v>361</v>
      </c>
      <c r="C3336" s="6" t="s">
        <v>7475</v>
      </c>
      <c r="D3336" s="3" t="s">
        <v>7476</v>
      </c>
      <c r="E3336" s="3" t="s">
        <v>7477</v>
      </c>
      <c r="F3336" s="109" t="s">
        <v>7478</v>
      </c>
      <c r="G3336" s="3" t="s">
        <v>11450</v>
      </c>
      <c r="H3336" s="54">
        <v>0</v>
      </c>
      <c r="I3336" s="55">
        <v>470000000</v>
      </c>
      <c r="J3336" s="56" t="s">
        <v>229</v>
      </c>
      <c r="K3336" s="57" t="s">
        <v>7698</v>
      </c>
      <c r="L3336" s="12" t="s">
        <v>404</v>
      </c>
      <c r="M3336" s="3" t="s">
        <v>230</v>
      </c>
      <c r="N3336" s="52" t="s">
        <v>7693</v>
      </c>
      <c r="O3336" s="6" t="s">
        <v>365</v>
      </c>
      <c r="P3336" s="58" t="s">
        <v>241</v>
      </c>
      <c r="Q3336" s="116" t="s">
        <v>234</v>
      </c>
      <c r="R3336" s="108">
        <v>20</v>
      </c>
      <c r="S3336" s="59">
        <v>220</v>
      </c>
      <c r="T3336" s="4">
        <v>0</v>
      </c>
      <c r="U3336" s="4">
        <f t="shared" si="120"/>
        <v>0</v>
      </c>
      <c r="V3336" s="1"/>
      <c r="W3336" s="3">
        <v>2014</v>
      </c>
      <c r="X3336" s="3" t="s">
        <v>16521</v>
      </c>
    </row>
    <row r="3337" spans="1:24" ht="114.75">
      <c r="A3337" s="3" t="s">
        <v>16522</v>
      </c>
      <c r="B3337" s="6" t="s">
        <v>361</v>
      </c>
      <c r="C3337" s="6" t="s">
        <v>7475</v>
      </c>
      <c r="D3337" s="3" t="s">
        <v>7476</v>
      </c>
      <c r="E3337" s="3" t="s">
        <v>7477</v>
      </c>
      <c r="F3337" s="109" t="s">
        <v>7478</v>
      </c>
      <c r="G3337" s="3" t="s">
        <v>11450</v>
      </c>
      <c r="H3337" s="54">
        <v>0</v>
      </c>
      <c r="I3337" s="55">
        <v>470000000</v>
      </c>
      <c r="J3337" s="56" t="s">
        <v>229</v>
      </c>
      <c r="K3337" s="57" t="s">
        <v>9041</v>
      </c>
      <c r="L3337" s="12" t="s">
        <v>404</v>
      </c>
      <c r="M3337" s="3" t="s">
        <v>230</v>
      </c>
      <c r="N3337" s="52" t="s">
        <v>16511</v>
      </c>
      <c r="O3337" s="6" t="s">
        <v>365</v>
      </c>
      <c r="P3337" s="58" t="s">
        <v>241</v>
      </c>
      <c r="Q3337" s="116" t="s">
        <v>234</v>
      </c>
      <c r="R3337" s="108">
        <v>20</v>
      </c>
      <c r="S3337" s="59">
        <v>264</v>
      </c>
      <c r="T3337" s="4">
        <v>0</v>
      </c>
      <c r="U3337" s="4">
        <f t="shared" si="120"/>
        <v>0</v>
      </c>
      <c r="V3337" s="1"/>
      <c r="W3337" s="3">
        <v>2014</v>
      </c>
      <c r="X3337" s="3">
        <v>11</v>
      </c>
    </row>
    <row r="3338" spans="1:24" ht="114.75">
      <c r="A3338" s="3" t="s">
        <v>18994</v>
      </c>
      <c r="B3338" s="6" t="s">
        <v>361</v>
      </c>
      <c r="C3338" s="6" t="s">
        <v>7475</v>
      </c>
      <c r="D3338" s="3" t="s">
        <v>7476</v>
      </c>
      <c r="E3338" s="3" t="s">
        <v>7477</v>
      </c>
      <c r="F3338" s="109" t="s">
        <v>7478</v>
      </c>
      <c r="G3338" s="3" t="s">
        <v>11450</v>
      </c>
      <c r="H3338" s="54">
        <v>0</v>
      </c>
      <c r="I3338" s="55">
        <v>470000000</v>
      </c>
      <c r="J3338" s="56" t="s">
        <v>229</v>
      </c>
      <c r="K3338" s="57" t="s">
        <v>18437</v>
      </c>
      <c r="L3338" s="12" t="s">
        <v>404</v>
      </c>
      <c r="M3338" s="3" t="s">
        <v>230</v>
      </c>
      <c r="N3338" s="52" t="s">
        <v>16511</v>
      </c>
      <c r="O3338" s="6" t="s">
        <v>365</v>
      </c>
      <c r="P3338" s="58" t="s">
        <v>241</v>
      </c>
      <c r="Q3338" s="116" t="s">
        <v>234</v>
      </c>
      <c r="R3338" s="108">
        <v>20</v>
      </c>
      <c r="S3338" s="59">
        <v>264</v>
      </c>
      <c r="T3338" s="4">
        <v>0</v>
      </c>
      <c r="U3338" s="4">
        <f t="shared" si="120"/>
        <v>0</v>
      </c>
      <c r="V3338" s="1"/>
      <c r="W3338" s="3">
        <v>2014</v>
      </c>
      <c r="X3338" s="3">
        <v>11.15</v>
      </c>
    </row>
    <row r="3339" spans="1:24" ht="76.5">
      <c r="A3339" s="3" t="s">
        <v>19429</v>
      </c>
      <c r="B3339" s="6" t="s">
        <v>361</v>
      </c>
      <c r="C3339" s="6" t="s">
        <v>7475</v>
      </c>
      <c r="D3339" s="3" t="s">
        <v>7476</v>
      </c>
      <c r="E3339" s="3" t="s">
        <v>7477</v>
      </c>
      <c r="F3339" s="109" t="s">
        <v>7478</v>
      </c>
      <c r="G3339" s="3" t="s">
        <v>11450</v>
      </c>
      <c r="H3339" s="54">
        <v>0</v>
      </c>
      <c r="I3339" s="55">
        <v>470000000</v>
      </c>
      <c r="J3339" s="56" t="s">
        <v>229</v>
      </c>
      <c r="K3339" s="57" t="s">
        <v>19379</v>
      </c>
      <c r="L3339" s="12" t="s">
        <v>404</v>
      </c>
      <c r="M3339" s="3" t="s">
        <v>230</v>
      </c>
      <c r="N3339" s="52" t="s">
        <v>16511</v>
      </c>
      <c r="O3339" s="6" t="s">
        <v>19407</v>
      </c>
      <c r="P3339" s="58" t="s">
        <v>241</v>
      </c>
      <c r="Q3339" s="116" t="s">
        <v>234</v>
      </c>
      <c r="R3339" s="108">
        <v>20</v>
      </c>
      <c r="S3339" s="59">
        <v>264</v>
      </c>
      <c r="T3339" s="4">
        <f>R3339*S3339</f>
        <v>5280</v>
      </c>
      <c r="U3339" s="4">
        <f t="shared" ref="U3339" si="123">T3339*1.12</f>
        <v>5913.6</v>
      </c>
      <c r="V3339" s="1"/>
      <c r="W3339" s="3">
        <v>2014</v>
      </c>
      <c r="X3339" s="3"/>
    </row>
    <row r="3340" spans="1:24" ht="114.75">
      <c r="A3340" s="3" t="s">
        <v>1660</v>
      </c>
      <c r="B3340" s="6" t="s">
        <v>361</v>
      </c>
      <c r="C3340" s="6" t="s">
        <v>7479</v>
      </c>
      <c r="D3340" s="3" t="s">
        <v>646</v>
      </c>
      <c r="E3340" s="6" t="s">
        <v>7480</v>
      </c>
      <c r="F3340" s="48" t="s">
        <v>383</v>
      </c>
      <c r="G3340" s="3" t="s">
        <v>11450</v>
      </c>
      <c r="H3340" s="54">
        <v>0</v>
      </c>
      <c r="I3340" s="55">
        <v>470000000</v>
      </c>
      <c r="J3340" s="56" t="s">
        <v>229</v>
      </c>
      <c r="K3340" s="57" t="s">
        <v>7698</v>
      </c>
      <c r="L3340" s="57" t="s">
        <v>364</v>
      </c>
      <c r="M3340" s="3" t="s">
        <v>230</v>
      </c>
      <c r="N3340" s="52" t="s">
        <v>7693</v>
      </c>
      <c r="O3340" s="6" t="s">
        <v>365</v>
      </c>
      <c r="P3340" s="58" t="s">
        <v>241</v>
      </c>
      <c r="Q3340" s="116" t="s">
        <v>234</v>
      </c>
      <c r="R3340" s="108">
        <v>10</v>
      </c>
      <c r="S3340" s="59">
        <v>16500</v>
      </c>
      <c r="T3340" s="4">
        <v>0</v>
      </c>
      <c r="U3340" s="4">
        <f t="shared" si="120"/>
        <v>0</v>
      </c>
      <c r="V3340" s="1"/>
      <c r="W3340" s="3">
        <v>2014</v>
      </c>
      <c r="X3340" s="3">
        <v>12</v>
      </c>
    </row>
    <row r="3341" spans="1:24" ht="114.75">
      <c r="A3341" s="3" t="s">
        <v>13506</v>
      </c>
      <c r="B3341" s="6" t="s">
        <v>361</v>
      </c>
      <c r="C3341" s="6" t="s">
        <v>7479</v>
      </c>
      <c r="D3341" s="3" t="s">
        <v>646</v>
      </c>
      <c r="E3341" s="6" t="s">
        <v>7480</v>
      </c>
      <c r="F3341" s="48" t="s">
        <v>383</v>
      </c>
      <c r="G3341" s="3" t="s">
        <v>11450</v>
      </c>
      <c r="H3341" s="54">
        <v>0</v>
      </c>
      <c r="I3341" s="55">
        <v>470000000</v>
      </c>
      <c r="J3341" s="56" t="s">
        <v>229</v>
      </c>
      <c r="K3341" s="57" t="s">
        <v>7698</v>
      </c>
      <c r="L3341" s="12" t="s">
        <v>404</v>
      </c>
      <c r="M3341" s="3" t="s">
        <v>230</v>
      </c>
      <c r="N3341" s="52" t="s">
        <v>7693</v>
      </c>
      <c r="O3341" s="6" t="s">
        <v>365</v>
      </c>
      <c r="P3341" s="58" t="s">
        <v>241</v>
      </c>
      <c r="Q3341" s="116" t="s">
        <v>234</v>
      </c>
      <c r="R3341" s="108">
        <v>10</v>
      </c>
      <c r="S3341" s="59">
        <v>16500</v>
      </c>
      <c r="T3341" s="4">
        <v>0</v>
      </c>
      <c r="U3341" s="4">
        <f t="shared" si="120"/>
        <v>0</v>
      </c>
      <c r="V3341" s="1"/>
      <c r="W3341" s="3">
        <v>2014</v>
      </c>
      <c r="X3341" s="3" t="s">
        <v>16521</v>
      </c>
    </row>
    <row r="3342" spans="1:24" ht="114.75">
      <c r="A3342" s="3" t="s">
        <v>16523</v>
      </c>
      <c r="B3342" s="6" t="s">
        <v>361</v>
      </c>
      <c r="C3342" s="6" t="s">
        <v>7479</v>
      </c>
      <c r="D3342" s="3" t="s">
        <v>646</v>
      </c>
      <c r="E3342" s="6" t="s">
        <v>7480</v>
      </c>
      <c r="F3342" s="48" t="s">
        <v>383</v>
      </c>
      <c r="G3342" s="3" t="s">
        <v>11450</v>
      </c>
      <c r="H3342" s="54">
        <v>0</v>
      </c>
      <c r="I3342" s="55">
        <v>470000000</v>
      </c>
      <c r="J3342" s="56" t="s">
        <v>229</v>
      </c>
      <c r="K3342" s="57" t="s">
        <v>9041</v>
      </c>
      <c r="L3342" s="12" t="s">
        <v>404</v>
      </c>
      <c r="M3342" s="3" t="s">
        <v>230</v>
      </c>
      <c r="N3342" s="52" t="s">
        <v>16511</v>
      </c>
      <c r="O3342" s="6" t="s">
        <v>365</v>
      </c>
      <c r="P3342" s="58" t="s">
        <v>241</v>
      </c>
      <c r="Q3342" s="116" t="s">
        <v>234</v>
      </c>
      <c r="R3342" s="108">
        <v>10</v>
      </c>
      <c r="S3342" s="59">
        <v>19800</v>
      </c>
      <c r="T3342" s="4">
        <f>R3342*S3342</f>
        <v>198000</v>
      </c>
      <c r="U3342" s="4">
        <f t="shared" si="120"/>
        <v>221760.00000000003</v>
      </c>
      <c r="V3342" s="1"/>
      <c r="W3342" s="3">
        <v>2014</v>
      </c>
      <c r="X3342" s="3"/>
    </row>
    <row r="3343" spans="1:24" ht="114.75">
      <c r="A3343" s="3" t="s">
        <v>1661</v>
      </c>
      <c r="B3343" s="6" t="s">
        <v>361</v>
      </c>
      <c r="C3343" s="174" t="s">
        <v>7535</v>
      </c>
      <c r="D3343" s="45" t="s">
        <v>7536</v>
      </c>
      <c r="E3343" s="6" t="s">
        <v>3115</v>
      </c>
      <c r="F3343" s="109" t="s">
        <v>7720</v>
      </c>
      <c r="G3343" s="3" t="s">
        <v>11449</v>
      </c>
      <c r="H3343" s="54">
        <v>0</v>
      </c>
      <c r="I3343" s="55">
        <v>470000000</v>
      </c>
      <c r="J3343" s="56" t="s">
        <v>229</v>
      </c>
      <c r="K3343" s="57" t="s">
        <v>7698</v>
      </c>
      <c r="L3343" s="57" t="s">
        <v>364</v>
      </c>
      <c r="M3343" s="3" t="s">
        <v>230</v>
      </c>
      <c r="N3343" s="52" t="s">
        <v>7693</v>
      </c>
      <c r="O3343" s="6" t="s">
        <v>365</v>
      </c>
      <c r="P3343" s="58" t="s">
        <v>241</v>
      </c>
      <c r="Q3343" s="116" t="s">
        <v>234</v>
      </c>
      <c r="R3343" s="22">
        <v>50</v>
      </c>
      <c r="S3343" s="59">
        <v>61.62530000000001</v>
      </c>
      <c r="T3343" s="4">
        <v>0</v>
      </c>
      <c r="U3343" s="4">
        <f t="shared" si="120"/>
        <v>0</v>
      </c>
      <c r="V3343" s="1"/>
      <c r="W3343" s="3">
        <v>2014</v>
      </c>
      <c r="X3343" s="3">
        <v>11.12</v>
      </c>
    </row>
    <row r="3344" spans="1:24" ht="114.75">
      <c r="A3344" s="3" t="s">
        <v>13451</v>
      </c>
      <c r="B3344" s="6" t="s">
        <v>361</v>
      </c>
      <c r="C3344" s="174" t="s">
        <v>7535</v>
      </c>
      <c r="D3344" s="45" t="s">
        <v>7536</v>
      </c>
      <c r="E3344" s="6" t="s">
        <v>3115</v>
      </c>
      <c r="F3344" s="109" t="s">
        <v>7720</v>
      </c>
      <c r="G3344" s="3" t="s">
        <v>11449</v>
      </c>
      <c r="H3344" s="54">
        <v>0</v>
      </c>
      <c r="I3344" s="55">
        <v>470000000</v>
      </c>
      <c r="J3344" s="56" t="s">
        <v>229</v>
      </c>
      <c r="K3344" s="57" t="s">
        <v>642</v>
      </c>
      <c r="L3344" s="12" t="s">
        <v>404</v>
      </c>
      <c r="M3344" s="3" t="s">
        <v>230</v>
      </c>
      <c r="N3344" s="52" t="s">
        <v>7693</v>
      </c>
      <c r="O3344" s="6" t="s">
        <v>365</v>
      </c>
      <c r="P3344" s="58" t="s">
        <v>241</v>
      </c>
      <c r="Q3344" s="116" t="s">
        <v>234</v>
      </c>
      <c r="R3344" s="22">
        <v>50</v>
      </c>
      <c r="S3344" s="59">
        <v>61.62530000000001</v>
      </c>
      <c r="T3344" s="4">
        <v>0</v>
      </c>
      <c r="U3344" s="4">
        <f t="shared" si="120"/>
        <v>0</v>
      </c>
      <c r="V3344" s="1"/>
      <c r="W3344" s="3">
        <v>2014</v>
      </c>
      <c r="X3344" s="3" t="s">
        <v>14785</v>
      </c>
    </row>
    <row r="3345" spans="1:24" ht="114.75">
      <c r="A3345" s="3" t="s">
        <v>16694</v>
      </c>
      <c r="B3345" s="6" t="s">
        <v>361</v>
      </c>
      <c r="C3345" s="174" t="s">
        <v>7535</v>
      </c>
      <c r="D3345" s="45" t="s">
        <v>7536</v>
      </c>
      <c r="E3345" s="6" t="s">
        <v>3115</v>
      </c>
      <c r="F3345" s="109" t="s">
        <v>7720</v>
      </c>
      <c r="G3345" s="3" t="s">
        <v>11449</v>
      </c>
      <c r="H3345" s="54">
        <v>0</v>
      </c>
      <c r="I3345" s="55">
        <v>470000000</v>
      </c>
      <c r="J3345" s="56" t="s">
        <v>229</v>
      </c>
      <c r="K3345" s="57" t="s">
        <v>8950</v>
      </c>
      <c r="L3345" s="12" t="s">
        <v>404</v>
      </c>
      <c r="M3345" s="3" t="s">
        <v>230</v>
      </c>
      <c r="N3345" s="52" t="s">
        <v>7693</v>
      </c>
      <c r="O3345" s="6" t="s">
        <v>365</v>
      </c>
      <c r="P3345" s="58" t="s">
        <v>241</v>
      </c>
      <c r="Q3345" s="116" t="s">
        <v>234</v>
      </c>
      <c r="R3345" s="22">
        <v>50</v>
      </c>
      <c r="S3345" s="59">
        <v>73.950360000000003</v>
      </c>
      <c r="T3345" s="4">
        <v>0</v>
      </c>
      <c r="U3345" s="4">
        <f t="shared" si="120"/>
        <v>0</v>
      </c>
      <c r="V3345" s="1"/>
      <c r="W3345" s="3">
        <v>2014</v>
      </c>
      <c r="X3345" s="3">
        <v>11.14</v>
      </c>
    </row>
    <row r="3346" spans="1:24" ht="114.75">
      <c r="A3346" s="3" t="s">
        <v>18995</v>
      </c>
      <c r="B3346" s="6" t="s">
        <v>361</v>
      </c>
      <c r="C3346" s="174" t="s">
        <v>7535</v>
      </c>
      <c r="D3346" s="45" t="s">
        <v>7536</v>
      </c>
      <c r="E3346" s="6" t="s">
        <v>3115</v>
      </c>
      <c r="F3346" s="109" t="s">
        <v>7720</v>
      </c>
      <c r="G3346" s="3" t="s">
        <v>11449</v>
      </c>
      <c r="H3346" s="54">
        <v>0</v>
      </c>
      <c r="I3346" s="55">
        <v>470000000</v>
      </c>
      <c r="J3346" s="56" t="s">
        <v>229</v>
      </c>
      <c r="K3346" s="57" t="s">
        <v>18437</v>
      </c>
      <c r="L3346" s="12" t="s">
        <v>404</v>
      </c>
      <c r="M3346" s="3" t="s">
        <v>230</v>
      </c>
      <c r="N3346" s="52" t="s">
        <v>16511</v>
      </c>
      <c r="O3346" s="6" t="s">
        <v>365</v>
      </c>
      <c r="P3346" s="58" t="s">
        <v>241</v>
      </c>
      <c r="Q3346" s="116" t="s">
        <v>234</v>
      </c>
      <c r="R3346" s="22">
        <v>50</v>
      </c>
      <c r="S3346" s="59">
        <v>73.950360000000003</v>
      </c>
      <c r="T3346" s="4">
        <v>0</v>
      </c>
      <c r="U3346" s="4">
        <f t="shared" si="120"/>
        <v>0</v>
      </c>
      <c r="V3346" s="1"/>
      <c r="W3346" s="3">
        <v>2014</v>
      </c>
      <c r="X3346" s="3">
        <v>11.15</v>
      </c>
    </row>
    <row r="3347" spans="1:24" ht="76.5">
      <c r="A3347" s="3" t="s">
        <v>19457</v>
      </c>
      <c r="B3347" s="6" t="s">
        <v>361</v>
      </c>
      <c r="C3347" s="174" t="s">
        <v>7535</v>
      </c>
      <c r="D3347" s="45" t="s">
        <v>7536</v>
      </c>
      <c r="E3347" s="6" t="s">
        <v>3115</v>
      </c>
      <c r="F3347" s="109" t="s">
        <v>7720</v>
      </c>
      <c r="G3347" s="3" t="s">
        <v>11449</v>
      </c>
      <c r="H3347" s="54">
        <v>0</v>
      </c>
      <c r="I3347" s="55">
        <v>470000000</v>
      </c>
      <c r="J3347" s="56" t="s">
        <v>229</v>
      </c>
      <c r="K3347" s="57" t="s">
        <v>19379</v>
      </c>
      <c r="L3347" s="12" t="s">
        <v>404</v>
      </c>
      <c r="M3347" s="3" t="s">
        <v>230</v>
      </c>
      <c r="N3347" s="52" t="s">
        <v>16511</v>
      </c>
      <c r="O3347" s="6" t="s">
        <v>19407</v>
      </c>
      <c r="P3347" s="58" t="s">
        <v>241</v>
      </c>
      <c r="Q3347" s="116" t="s">
        <v>234</v>
      </c>
      <c r="R3347" s="22">
        <v>50</v>
      </c>
      <c r="S3347" s="59">
        <v>73.950360000000003</v>
      </c>
      <c r="T3347" s="4">
        <f>R3347*S3347</f>
        <v>3697.518</v>
      </c>
      <c r="U3347" s="4">
        <f t="shared" ref="U3347" si="124">T3347*1.12</f>
        <v>4141.2201600000008</v>
      </c>
      <c r="V3347" s="1"/>
      <c r="W3347" s="3">
        <v>2014</v>
      </c>
      <c r="X3347" s="3"/>
    </row>
    <row r="3348" spans="1:24" ht="114.75">
      <c r="A3348" s="3" t="s">
        <v>1662</v>
      </c>
      <c r="B3348" s="6" t="s">
        <v>361</v>
      </c>
      <c r="C3348" s="174" t="s">
        <v>7534</v>
      </c>
      <c r="D3348" s="45" t="s">
        <v>398</v>
      </c>
      <c r="E3348" s="6" t="s">
        <v>5445</v>
      </c>
      <c r="F3348" s="109" t="s">
        <v>7721</v>
      </c>
      <c r="G3348" s="3" t="s">
        <v>11449</v>
      </c>
      <c r="H3348" s="54">
        <v>0</v>
      </c>
      <c r="I3348" s="55">
        <v>470000000</v>
      </c>
      <c r="J3348" s="56" t="s">
        <v>229</v>
      </c>
      <c r="K3348" s="57" t="s">
        <v>7698</v>
      </c>
      <c r="L3348" s="57" t="s">
        <v>364</v>
      </c>
      <c r="M3348" s="3" t="s">
        <v>230</v>
      </c>
      <c r="N3348" s="52" t="s">
        <v>7693</v>
      </c>
      <c r="O3348" s="6" t="s">
        <v>365</v>
      </c>
      <c r="P3348" s="58" t="s">
        <v>241</v>
      </c>
      <c r="Q3348" s="116" t="s">
        <v>234</v>
      </c>
      <c r="R3348" s="22">
        <v>20</v>
      </c>
      <c r="S3348" s="59">
        <v>423.5508200000001</v>
      </c>
      <c r="T3348" s="4">
        <v>0</v>
      </c>
      <c r="U3348" s="4">
        <f t="shared" si="120"/>
        <v>0</v>
      </c>
      <c r="V3348" s="1"/>
      <c r="W3348" s="3">
        <v>2014</v>
      </c>
      <c r="X3348" s="3">
        <v>11.12</v>
      </c>
    </row>
    <row r="3349" spans="1:24" ht="114.75">
      <c r="A3349" s="3" t="s">
        <v>13455</v>
      </c>
      <c r="B3349" s="6" t="s">
        <v>361</v>
      </c>
      <c r="C3349" s="174" t="s">
        <v>7534</v>
      </c>
      <c r="D3349" s="45" t="s">
        <v>398</v>
      </c>
      <c r="E3349" s="6" t="s">
        <v>5445</v>
      </c>
      <c r="F3349" s="109" t="s">
        <v>7721</v>
      </c>
      <c r="G3349" s="3" t="s">
        <v>11449</v>
      </c>
      <c r="H3349" s="54">
        <v>0</v>
      </c>
      <c r="I3349" s="55">
        <v>470000000</v>
      </c>
      <c r="J3349" s="56" t="s">
        <v>229</v>
      </c>
      <c r="K3349" s="57" t="s">
        <v>642</v>
      </c>
      <c r="L3349" s="12" t="s">
        <v>404</v>
      </c>
      <c r="M3349" s="3" t="s">
        <v>230</v>
      </c>
      <c r="N3349" s="52" t="s">
        <v>7693</v>
      </c>
      <c r="O3349" s="6" t="s">
        <v>365</v>
      </c>
      <c r="P3349" s="58" t="s">
        <v>241</v>
      </c>
      <c r="Q3349" s="116" t="s">
        <v>234</v>
      </c>
      <c r="R3349" s="22">
        <v>20</v>
      </c>
      <c r="S3349" s="59">
        <v>423.5508200000001</v>
      </c>
      <c r="T3349" s="4">
        <v>0</v>
      </c>
      <c r="U3349" s="4">
        <f t="shared" si="120"/>
        <v>0</v>
      </c>
      <c r="V3349" s="1"/>
      <c r="W3349" s="3">
        <v>2014</v>
      </c>
      <c r="X3349" s="3" t="s">
        <v>14785</v>
      </c>
    </row>
    <row r="3350" spans="1:24" ht="114.75">
      <c r="A3350" s="3" t="s">
        <v>16695</v>
      </c>
      <c r="B3350" s="6" t="s">
        <v>361</v>
      </c>
      <c r="C3350" s="174" t="s">
        <v>7534</v>
      </c>
      <c r="D3350" s="45" t="s">
        <v>398</v>
      </c>
      <c r="E3350" s="6" t="s">
        <v>5445</v>
      </c>
      <c r="F3350" s="109" t="s">
        <v>7721</v>
      </c>
      <c r="G3350" s="3" t="s">
        <v>11449</v>
      </c>
      <c r="H3350" s="54">
        <v>0</v>
      </c>
      <c r="I3350" s="55">
        <v>470000000</v>
      </c>
      <c r="J3350" s="56" t="s">
        <v>229</v>
      </c>
      <c r="K3350" s="57" t="s">
        <v>8950</v>
      </c>
      <c r="L3350" s="12" t="s">
        <v>404</v>
      </c>
      <c r="M3350" s="3" t="s">
        <v>230</v>
      </c>
      <c r="N3350" s="52" t="s">
        <v>7693</v>
      </c>
      <c r="O3350" s="6" t="s">
        <v>365</v>
      </c>
      <c r="P3350" s="58" t="s">
        <v>241</v>
      </c>
      <c r="Q3350" s="116" t="s">
        <v>234</v>
      </c>
      <c r="R3350" s="22">
        <v>20</v>
      </c>
      <c r="S3350" s="59">
        <v>508.26098400000012</v>
      </c>
      <c r="T3350" s="4">
        <v>0</v>
      </c>
      <c r="U3350" s="4">
        <f t="shared" si="120"/>
        <v>0</v>
      </c>
      <c r="V3350" s="1"/>
      <c r="W3350" s="3">
        <v>2014</v>
      </c>
      <c r="X3350" s="3">
        <v>11.14</v>
      </c>
    </row>
    <row r="3351" spans="1:24" ht="114.75">
      <c r="A3351" s="3" t="s">
        <v>18996</v>
      </c>
      <c r="B3351" s="6" t="s">
        <v>361</v>
      </c>
      <c r="C3351" s="174" t="s">
        <v>7534</v>
      </c>
      <c r="D3351" s="45" t="s">
        <v>398</v>
      </c>
      <c r="E3351" s="6" t="s">
        <v>5445</v>
      </c>
      <c r="F3351" s="109" t="s">
        <v>7721</v>
      </c>
      <c r="G3351" s="3" t="s">
        <v>11449</v>
      </c>
      <c r="H3351" s="54">
        <v>0</v>
      </c>
      <c r="I3351" s="55">
        <v>470000000</v>
      </c>
      <c r="J3351" s="56" t="s">
        <v>229</v>
      </c>
      <c r="K3351" s="57" t="s">
        <v>18437</v>
      </c>
      <c r="L3351" s="12" t="s">
        <v>404</v>
      </c>
      <c r="M3351" s="3" t="s">
        <v>230</v>
      </c>
      <c r="N3351" s="52" t="s">
        <v>16511</v>
      </c>
      <c r="O3351" s="6" t="s">
        <v>365</v>
      </c>
      <c r="P3351" s="58" t="s">
        <v>241</v>
      </c>
      <c r="Q3351" s="116" t="s">
        <v>234</v>
      </c>
      <c r="R3351" s="22">
        <v>20</v>
      </c>
      <c r="S3351" s="59">
        <v>508.26098400000012</v>
      </c>
      <c r="T3351" s="4">
        <v>0</v>
      </c>
      <c r="U3351" s="4">
        <f t="shared" si="120"/>
        <v>0</v>
      </c>
      <c r="V3351" s="1"/>
      <c r="W3351" s="3">
        <v>2014</v>
      </c>
      <c r="X3351" s="3">
        <v>11.15</v>
      </c>
    </row>
    <row r="3352" spans="1:24" ht="76.5">
      <c r="A3352" s="3" t="s">
        <v>19458</v>
      </c>
      <c r="B3352" s="6" t="s">
        <v>361</v>
      </c>
      <c r="C3352" s="174" t="s">
        <v>7534</v>
      </c>
      <c r="D3352" s="45" t="s">
        <v>398</v>
      </c>
      <c r="E3352" s="6" t="s">
        <v>5445</v>
      </c>
      <c r="F3352" s="109" t="s">
        <v>7721</v>
      </c>
      <c r="G3352" s="3" t="s">
        <v>11449</v>
      </c>
      <c r="H3352" s="54">
        <v>0</v>
      </c>
      <c r="I3352" s="55">
        <v>470000000</v>
      </c>
      <c r="J3352" s="56" t="s">
        <v>229</v>
      </c>
      <c r="K3352" s="57" t="s">
        <v>19379</v>
      </c>
      <c r="L3352" s="12" t="s">
        <v>404</v>
      </c>
      <c r="M3352" s="3" t="s">
        <v>230</v>
      </c>
      <c r="N3352" s="52" t="s">
        <v>16511</v>
      </c>
      <c r="O3352" s="6" t="s">
        <v>19407</v>
      </c>
      <c r="P3352" s="58" t="s">
        <v>241</v>
      </c>
      <c r="Q3352" s="116" t="s">
        <v>234</v>
      </c>
      <c r="R3352" s="22">
        <v>20</v>
      </c>
      <c r="S3352" s="59">
        <v>508.26098400000012</v>
      </c>
      <c r="T3352" s="4">
        <f>R3352*S3352</f>
        <v>10165.219680000002</v>
      </c>
      <c r="U3352" s="4">
        <f t="shared" ref="U3352" si="125">T3352*1.12</f>
        <v>11385.046041600004</v>
      </c>
      <c r="V3352" s="1"/>
      <c r="W3352" s="3">
        <v>2014</v>
      </c>
      <c r="X3352" s="3"/>
    </row>
    <row r="3353" spans="1:24" ht="114.75">
      <c r="A3353" s="3" t="s">
        <v>1663</v>
      </c>
      <c r="B3353" s="6" t="s">
        <v>361</v>
      </c>
      <c r="C3353" s="174" t="s">
        <v>7534</v>
      </c>
      <c r="D3353" s="45" t="s">
        <v>398</v>
      </c>
      <c r="E3353" s="6" t="s">
        <v>5445</v>
      </c>
      <c r="F3353" s="109" t="s">
        <v>7722</v>
      </c>
      <c r="G3353" s="3" t="s">
        <v>11449</v>
      </c>
      <c r="H3353" s="54">
        <v>0</v>
      </c>
      <c r="I3353" s="55">
        <v>470000000</v>
      </c>
      <c r="J3353" s="56" t="s">
        <v>229</v>
      </c>
      <c r="K3353" s="57" t="s">
        <v>7698</v>
      </c>
      <c r="L3353" s="57" t="s">
        <v>364</v>
      </c>
      <c r="M3353" s="3" t="s">
        <v>230</v>
      </c>
      <c r="N3353" s="52" t="s">
        <v>7693</v>
      </c>
      <c r="O3353" s="6" t="s">
        <v>365</v>
      </c>
      <c r="P3353" s="58" t="s">
        <v>241</v>
      </c>
      <c r="Q3353" s="116" t="s">
        <v>234</v>
      </c>
      <c r="R3353" s="22">
        <v>20</v>
      </c>
      <c r="S3353" s="59">
        <v>380.66600000000005</v>
      </c>
      <c r="T3353" s="4">
        <v>0</v>
      </c>
      <c r="U3353" s="4">
        <f t="shared" si="120"/>
        <v>0</v>
      </c>
      <c r="V3353" s="1"/>
      <c r="W3353" s="3">
        <v>2014</v>
      </c>
      <c r="X3353" s="3">
        <v>11.12</v>
      </c>
    </row>
    <row r="3354" spans="1:24" ht="114.75">
      <c r="A3354" s="3" t="s">
        <v>13456</v>
      </c>
      <c r="B3354" s="6" t="s">
        <v>361</v>
      </c>
      <c r="C3354" s="174" t="s">
        <v>7534</v>
      </c>
      <c r="D3354" s="45" t="s">
        <v>398</v>
      </c>
      <c r="E3354" s="6" t="s">
        <v>5445</v>
      </c>
      <c r="F3354" s="109" t="s">
        <v>7722</v>
      </c>
      <c r="G3354" s="3" t="s">
        <v>11449</v>
      </c>
      <c r="H3354" s="54">
        <v>0</v>
      </c>
      <c r="I3354" s="55">
        <v>470000000</v>
      </c>
      <c r="J3354" s="56" t="s">
        <v>229</v>
      </c>
      <c r="K3354" s="57" t="s">
        <v>642</v>
      </c>
      <c r="L3354" s="12" t="s">
        <v>404</v>
      </c>
      <c r="M3354" s="3" t="s">
        <v>230</v>
      </c>
      <c r="N3354" s="52" t="s">
        <v>7693</v>
      </c>
      <c r="O3354" s="6" t="s">
        <v>365</v>
      </c>
      <c r="P3354" s="58" t="s">
        <v>241</v>
      </c>
      <c r="Q3354" s="116" t="s">
        <v>234</v>
      </c>
      <c r="R3354" s="22">
        <v>20</v>
      </c>
      <c r="S3354" s="59">
        <v>380.66600000000005</v>
      </c>
      <c r="T3354" s="4">
        <v>0</v>
      </c>
      <c r="U3354" s="4">
        <f t="shared" si="120"/>
        <v>0</v>
      </c>
      <c r="V3354" s="1"/>
      <c r="W3354" s="3">
        <v>2014</v>
      </c>
      <c r="X3354" s="3" t="s">
        <v>14785</v>
      </c>
    </row>
    <row r="3355" spans="1:24" ht="114.75">
      <c r="A3355" s="3" t="s">
        <v>16696</v>
      </c>
      <c r="B3355" s="6" t="s">
        <v>361</v>
      </c>
      <c r="C3355" s="174" t="s">
        <v>7534</v>
      </c>
      <c r="D3355" s="45" t="s">
        <v>398</v>
      </c>
      <c r="E3355" s="6" t="s">
        <v>5445</v>
      </c>
      <c r="F3355" s="109" t="s">
        <v>7722</v>
      </c>
      <c r="G3355" s="3" t="s">
        <v>11449</v>
      </c>
      <c r="H3355" s="54">
        <v>0</v>
      </c>
      <c r="I3355" s="55">
        <v>470000000</v>
      </c>
      <c r="J3355" s="56" t="s">
        <v>229</v>
      </c>
      <c r="K3355" s="57" t="s">
        <v>8950</v>
      </c>
      <c r="L3355" s="12" t="s">
        <v>404</v>
      </c>
      <c r="M3355" s="3" t="s">
        <v>230</v>
      </c>
      <c r="N3355" s="52" t="s">
        <v>7693</v>
      </c>
      <c r="O3355" s="6" t="s">
        <v>365</v>
      </c>
      <c r="P3355" s="58" t="s">
        <v>241</v>
      </c>
      <c r="Q3355" s="46" t="s">
        <v>234</v>
      </c>
      <c r="R3355" s="22">
        <v>20</v>
      </c>
      <c r="S3355" s="59">
        <v>456.79920000000004</v>
      </c>
      <c r="T3355" s="4">
        <v>0</v>
      </c>
      <c r="U3355" s="4">
        <f t="shared" si="120"/>
        <v>0</v>
      </c>
      <c r="V3355" s="1"/>
      <c r="W3355" s="3">
        <v>2014</v>
      </c>
      <c r="X3355" s="3" t="s">
        <v>14265</v>
      </c>
    </row>
    <row r="3356" spans="1:24" ht="76.5">
      <c r="A3356" s="3" t="s">
        <v>19344</v>
      </c>
      <c r="B3356" s="6" t="s">
        <v>361</v>
      </c>
      <c r="C3356" s="174" t="s">
        <v>7534</v>
      </c>
      <c r="D3356" s="45" t="s">
        <v>398</v>
      </c>
      <c r="E3356" s="6" t="s">
        <v>5445</v>
      </c>
      <c r="F3356" s="109" t="s">
        <v>7722</v>
      </c>
      <c r="G3356" s="3" t="s">
        <v>11449</v>
      </c>
      <c r="H3356" s="54">
        <v>0</v>
      </c>
      <c r="I3356" s="55">
        <v>470000000</v>
      </c>
      <c r="J3356" s="56" t="s">
        <v>229</v>
      </c>
      <c r="K3356" s="57" t="s">
        <v>18437</v>
      </c>
      <c r="L3356" s="12" t="s">
        <v>404</v>
      </c>
      <c r="M3356" s="3" t="s">
        <v>230</v>
      </c>
      <c r="N3356" s="52" t="s">
        <v>16511</v>
      </c>
      <c r="O3356" s="6" t="s">
        <v>19407</v>
      </c>
      <c r="P3356" s="58" t="s">
        <v>241</v>
      </c>
      <c r="Q3356" s="46" t="s">
        <v>234</v>
      </c>
      <c r="R3356" s="22">
        <v>20</v>
      </c>
      <c r="S3356" s="59">
        <v>456.79920000000004</v>
      </c>
      <c r="T3356" s="4">
        <f>R3356*S3356</f>
        <v>9135.9840000000004</v>
      </c>
      <c r="U3356" s="4">
        <f t="shared" si="120"/>
        <v>10232.302080000001</v>
      </c>
      <c r="V3356" s="1"/>
      <c r="W3356" s="3">
        <v>2014</v>
      </c>
      <c r="X3356" s="3"/>
    </row>
    <row r="3357" spans="1:24" ht="114.75">
      <c r="A3357" s="3" t="s">
        <v>1664</v>
      </c>
      <c r="B3357" s="6" t="s">
        <v>361</v>
      </c>
      <c r="C3357" s="174" t="s">
        <v>5333</v>
      </c>
      <c r="D3357" s="45" t="s">
        <v>5334</v>
      </c>
      <c r="E3357" s="6" t="s">
        <v>5335</v>
      </c>
      <c r="F3357" s="109" t="s">
        <v>7723</v>
      </c>
      <c r="G3357" s="3" t="s">
        <v>11449</v>
      </c>
      <c r="H3357" s="54">
        <v>0</v>
      </c>
      <c r="I3357" s="55">
        <v>470000000</v>
      </c>
      <c r="J3357" s="56" t="s">
        <v>229</v>
      </c>
      <c r="K3357" s="57" t="s">
        <v>7698</v>
      </c>
      <c r="L3357" s="57" t="s">
        <v>364</v>
      </c>
      <c r="M3357" s="3" t="s">
        <v>230</v>
      </c>
      <c r="N3357" s="52" t="s">
        <v>7693</v>
      </c>
      <c r="O3357" s="6" t="s">
        <v>365</v>
      </c>
      <c r="P3357" s="58" t="s">
        <v>241</v>
      </c>
      <c r="Q3357" s="116" t="s">
        <v>234</v>
      </c>
      <c r="R3357" s="22">
        <v>20</v>
      </c>
      <c r="S3357" s="59">
        <v>181.5</v>
      </c>
      <c r="T3357" s="4">
        <v>0</v>
      </c>
      <c r="U3357" s="4">
        <f t="shared" si="120"/>
        <v>0</v>
      </c>
      <c r="V3357" s="1"/>
      <c r="W3357" s="3">
        <v>2014</v>
      </c>
      <c r="X3357" s="3">
        <v>11.12</v>
      </c>
    </row>
    <row r="3358" spans="1:24" ht="114.75">
      <c r="A3358" s="3" t="s">
        <v>13457</v>
      </c>
      <c r="B3358" s="6" t="s">
        <v>361</v>
      </c>
      <c r="C3358" s="174" t="s">
        <v>5333</v>
      </c>
      <c r="D3358" s="45" t="s">
        <v>5334</v>
      </c>
      <c r="E3358" s="6" t="s">
        <v>5335</v>
      </c>
      <c r="F3358" s="109" t="s">
        <v>7723</v>
      </c>
      <c r="G3358" s="3" t="s">
        <v>11449</v>
      </c>
      <c r="H3358" s="54">
        <v>0</v>
      </c>
      <c r="I3358" s="55">
        <v>470000000</v>
      </c>
      <c r="J3358" s="56" t="s">
        <v>229</v>
      </c>
      <c r="K3358" s="57" t="s">
        <v>642</v>
      </c>
      <c r="L3358" s="12" t="s">
        <v>404</v>
      </c>
      <c r="M3358" s="3" t="s">
        <v>230</v>
      </c>
      <c r="N3358" s="52" t="s">
        <v>7693</v>
      </c>
      <c r="O3358" s="6" t="s">
        <v>365</v>
      </c>
      <c r="P3358" s="58" t="s">
        <v>241</v>
      </c>
      <c r="Q3358" s="116" t="s">
        <v>234</v>
      </c>
      <c r="R3358" s="22">
        <v>20</v>
      </c>
      <c r="S3358" s="59">
        <v>181.5</v>
      </c>
      <c r="T3358" s="4">
        <v>0</v>
      </c>
      <c r="U3358" s="4">
        <f t="shared" si="120"/>
        <v>0</v>
      </c>
      <c r="V3358" s="1"/>
      <c r="W3358" s="3">
        <v>2014</v>
      </c>
      <c r="X3358" s="3" t="s">
        <v>14785</v>
      </c>
    </row>
    <row r="3359" spans="1:24" ht="114.75">
      <c r="A3359" s="3" t="s">
        <v>16697</v>
      </c>
      <c r="B3359" s="6" t="s">
        <v>361</v>
      </c>
      <c r="C3359" s="174" t="s">
        <v>5333</v>
      </c>
      <c r="D3359" s="45" t="s">
        <v>5334</v>
      </c>
      <c r="E3359" s="6" t="s">
        <v>5335</v>
      </c>
      <c r="F3359" s="109" t="s">
        <v>7723</v>
      </c>
      <c r="G3359" s="3" t="s">
        <v>11449</v>
      </c>
      <c r="H3359" s="54">
        <v>0</v>
      </c>
      <c r="I3359" s="55">
        <v>470000000</v>
      </c>
      <c r="J3359" s="56" t="s">
        <v>229</v>
      </c>
      <c r="K3359" s="57" t="s">
        <v>8950</v>
      </c>
      <c r="L3359" s="12" t="s">
        <v>404</v>
      </c>
      <c r="M3359" s="3" t="s">
        <v>230</v>
      </c>
      <c r="N3359" s="52" t="s">
        <v>7693</v>
      </c>
      <c r="O3359" s="6" t="s">
        <v>365</v>
      </c>
      <c r="P3359" s="58" t="s">
        <v>241</v>
      </c>
      <c r="Q3359" s="116" t="s">
        <v>234</v>
      </c>
      <c r="R3359" s="22">
        <v>20</v>
      </c>
      <c r="S3359" s="59">
        <v>217.79999999999998</v>
      </c>
      <c r="T3359" s="4">
        <v>0</v>
      </c>
      <c r="U3359" s="4">
        <f t="shared" si="120"/>
        <v>0</v>
      </c>
      <c r="V3359" s="1"/>
      <c r="W3359" s="3">
        <v>2014</v>
      </c>
      <c r="X3359" s="3">
        <v>11.14</v>
      </c>
    </row>
    <row r="3360" spans="1:24" ht="114.75">
      <c r="A3360" s="3" t="s">
        <v>18997</v>
      </c>
      <c r="B3360" s="6" t="s">
        <v>361</v>
      </c>
      <c r="C3360" s="174" t="s">
        <v>5333</v>
      </c>
      <c r="D3360" s="45" t="s">
        <v>5334</v>
      </c>
      <c r="E3360" s="6" t="s">
        <v>5335</v>
      </c>
      <c r="F3360" s="109" t="s">
        <v>7723</v>
      </c>
      <c r="G3360" s="3" t="s">
        <v>11449</v>
      </c>
      <c r="H3360" s="54">
        <v>0</v>
      </c>
      <c r="I3360" s="55">
        <v>470000000</v>
      </c>
      <c r="J3360" s="56" t="s">
        <v>229</v>
      </c>
      <c r="K3360" s="57" t="s">
        <v>18437</v>
      </c>
      <c r="L3360" s="12" t="s">
        <v>404</v>
      </c>
      <c r="M3360" s="3" t="s">
        <v>230</v>
      </c>
      <c r="N3360" s="52" t="s">
        <v>16511</v>
      </c>
      <c r="O3360" s="6" t="s">
        <v>365</v>
      </c>
      <c r="P3360" s="58" t="s">
        <v>241</v>
      </c>
      <c r="Q3360" s="116" t="s">
        <v>234</v>
      </c>
      <c r="R3360" s="22">
        <v>20</v>
      </c>
      <c r="S3360" s="59">
        <v>217.79999999999998</v>
      </c>
      <c r="T3360" s="4">
        <v>0</v>
      </c>
      <c r="U3360" s="4">
        <f>T3360*1.12</f>
        <v>0</v>
      </c>
      <c r="V3360" s="1"/>
      <c r="W3360" s="3">
        <v>2014</v>
      </c>
      <c r="X3360" s="3" t="s">
        <v>19461</v>
      </c>
    </row>
    <row r="3361" spans="1:24" ht="76.5">
      <c r="A3361" s="3" t="s">
        <v>19460</v>
      </c>
      <c r="B3361" s="6" t="s">
        <v>361</v>
      </c>
      <c r="C3361" s="174" t="s">
        <v>5333</v>
      </c>
      <c r="D3361" s="45" t="s">
        <v>5334</v>
      </c>
      <c r="E3361" s="6" t="s">
        <v>5335</v>
      </c>
      <c r="F3361" s="109" t="s">
        <v>19462</v>
      </c>
      <c r="G3361" s="3" t="s">
        <v>11449</v>
      </c>
      <c r="H3361" s="54">
        <v>0</v>
      </c>
      <c r="I3361" s="55">
        <v>470000000</v>
      </c>
      <c r="J3361" s="56" t="s">
        <v>229</v>
      </c>
      <c r="K3361" s="57" t="s">
        <v>19379</v>
      </c>
      <c r="L3361" s="12" t="s">
        <v>404</v>
      </c>
      <c r="M3361" s="3" t="s">
        <v>230</v>
      </c>
      <c r="N3361" s="52" t="s">
        <v>16511</v>
      </c>
      <c r="O3361" s="6" t="s">
        <v>19407</v>
      </c>
      <c r="P3361" s="58" t="s">
        <v>241</v>
      </c>
      <c r="Q3361" s="116" t="s">
        <v>234</v>
      </c>
      <c r="R3361" s="22">
        <v>20</v>
      </c>
      <c r="S3361" s="59">
        <v>217.79999999999998</v>
      </c>
      <c r="T3361" s="4">
        <f>R3361*S3361</f>
        <v>4356</v>
      </c>
      <c r="U3361" s="4">
        <f>T3361*1.12</f>
        <v>4878.72</v>
      </c>
      <c r="V3361" s="1"/>
      <c r="W3361" s="3">
        <v>2014</v>
      </c>
      <c r="X3361" s="3"/>
    </row>
    <row r="3362" spans="1:24" ht="114.75">
      <c r="A3362" s="3" t="s">
        <v>1665</v>
      </c>
      <c r="B3362" s="6" t="s">
        <v>361</v>
      </c>
      <c r="C3362" s="174" t="s">
        <v>7537</v>
      </c>
      <c r="D3362" s="45" t="s">
        <v>5334</v>
      </c>
      <c r="E3362" s="6" t="s">
        <v>11488</v>
      </c>
      <c r="F3362" s="109" t="s">
        <v>7724</v>
      </c>
      <c r="G3362" s="3" t="s">
        <v>11449</v>
      </c>
      <c r="H3362" s="54">
        <v>0</v>
      </c>
      <c r="I3362" s="55">
        <v>470000000</v>
      </c>
      <c r="J3362" s="56" t="s">
        <v>229</v>
      </c>
      <c r="K3362" s="57" t="s">
        <v>7698</v>
      </c>
      <c r="L3362" s="57" t="s">
        <v>364</v>
      </c>
      <c r="M3362" s="3" t="s">
        <v>230</v>
      </c>
      <c r="N3362" s="52" t="s">
        <v>7693</v>
      </c>
      <c r="O3362" s="6" t="s">
        <v>365</v>
      </c>
      <c r="P3362" s="58" t="s">
        <v>241</v>
      </c>
      <c r="Q3362" s="116" t="s">
        <v>234</v>
      </c>
      <c r="R3362" s="22">
        <v>20</v>
      </c>
      <c r="S3362" s="59">
        <v>181.5</v>
      </c>
      <c r="T3362" s="4">
        <v>0</v>
      </c>
      <c r="U3362" s="4">
        <f t="shared" si="120"/>
        <v>0</v>
      </c>
      <c r="V3362" s="1"/>
      <c r="W3362" s="3">
        <v>2014</v>
      </c>
      <c r="X3362" s="3">
        <v>11.12</v>
      </c>
    </row>
    <row r="3363" spans="1:24" ht="114.75">
      <c r="A3363" s="3" t="s">
        <v>13458</v>
      </c>
      <c r="B3363" s="6" t="s">
        <v>361</v>
      </c>
      <c r="C3363" s="174" t="s">
        <v>7537</v>
      </c>
      <c r="D3363" s="45" t="s">
        <v>5334</v>
      </c>
      <c r="E3363" s="6" t="s">
        <v>11488</v>
      </c>
      <c r="F3363" s="109" t="s">
        <v>7724</v>
      </c>
      <c r="G3363" s="3" t="s">
        <v>11449</v>
      </c>
      <c r="H3363" s="54">
        <v>0</v>
      </c>
      <c r="I3363" s="55">
        <v>470000000</v>
      </c>
      <c r="J3363" s="56" t="s">
        <v>229</v>
      </c>
      <c r="K3363" s="57" t="s">
        <v>642</v>
      </c>
      <c r="L3363" s="12" t="s">
        <v>404</v>
      </c>
      <c r="M3363" s="3" t="s">
        <v>230</v>
      </c>
      <c r="N3363" s="52" t="s">
        <v>7693</v>
      </c>
      <c r="O3363" s="6" t="s">
        <v>365</v>
      </c>
      <c r="P3363" s="58" t="s">
        <v>241</v>
      </c>
      <c r="Q3363" s="116" t="s">
        <v>234</v>
      </c>
      <c r="R3363" s="22">
        <v>20</v>
      </c>
      <c r="S3363" s="59">
        <v>181.5</v>
      </c>
      <c r="T3363" s="4">
        <v>0</v>
      </c>
      <c r="U3363" s="4">
        <f t="shared" si="120"/>
        <v>0</v>
      </c>
      <c r="V3363" s="1"/>
      <c r="W3363" s="3">
        <v>2014</v>
      </c>
      <c r="X3363" s="3" t="s">
        <v>14785</v>
      </c>
    </row>
    <row r="3364" spans="1:24" ht="114.75">
      <c r="A3364" s="3" t="s">
        <v>16698</v>
      </c>
      <c r="B3364" s="6" t="s">
        <v>361</v>
      </c>
      <c r="C3364" s="174" t="s">
        <v>7537</v>
      </c>
      <c r="D3364" s="45" t="s">
        <v>5334</v>
      </c>
      <c r="E3364" s="6" t="s">
        <v>11488</v>
      </c>
      <c r="F3364" s="109" t="s">
        <v>7724</v>
      </c>
      <c r="G3364" s="3" t="s">
        <v>11449</v>
      </c>
      <c r="H3364" s="54">
        <v>0</v>
      </c>
      <c r="I3364" s="55">
        <v>470000000</v>
      </c>
      <c r="J3364" s="56" t="s">
        <v>229</v>
      </c>
      <c r="K3364" s="57" t="s">
        <v>8950</v>
      </c>
      <c r="L3364" s="12" t="s">
        <v>404</v>
      </c>
      <c r="M3364" s="3" t="s">
        <v>230</v>
      </c>
      <c r="N3364" s="52" t="s">
        <v>7693</v>
      </c>
      <c r="O3364" s="6" t="s">
        <v>365</v>
      </c>
      <c r="P3364" s="58" t="s">
        <v>241</v>
      </c>
      <c r="Q3364" s="116" t="s">
        <v>234</v>
      </c>
      <c r="R3364" s="22">
        <v>20</v>
      </c>
      <c r="S3364" s="59">
        <v>217.79999999999998</v>
      </c>
      <c r="T3364" s="4">
        <v>0</v>
      </c>
      <c r="U3364" s="4">
        <f t="shared" si="120"/>
        <v>0</v>
      </c>
      <c r="V3364" s="1"/>
      <c r="W3364" s="3">
        <v>2014</v>
      </c>
      <c r="X3364" s="3">
        <v>11.14</v>
      </c>
    </row>
    <row r="3365" spans="1:24" ht="114.75">
      <c r="A3365" s="3" t="s">
        <v>18998</v>
      </c>
      <c r="B3365" s="6" t="s">
        <v>361</v>
      </c>
      <c r="C3365" s="174" t="s">
        <v>7537</v>
      </c>
      <c r="D3365" s="45" t="s">
        <v>5334</v>
      </c>
      <c r="E3365" s="6" t="s">
        <v>11488</v>
      </c>
      <c r="F3365" s="109" t="s">
        <v>7724</v>
      </c>
      <c r="G3365" s="3" t="s">
        <v>11449</v>
      </c>
      <c r="H3365" s="54">
        <v>0</v>
      </c>
      <c r="I3365" s="55">
        <v>470000000</v>
      </c>
      <c r="J3365" s="56" t="s">
        <v>229</v>
      </c>
      <c r="K3365" s="57" t="s">
        <v>18437</v>
      </c>
      <c r="L3365" s="12" t="s">
        <v>404</v>
      </c>
      <c r="M3365" s="3" t="s">
        <v>230</v>
      </c>
      <c r="N3365" s="52" t="s">
        <v>16511</v>
      </c>
      <c r="O3365" s="6" t="s">
        <v>365</v>
      </c>
      <c r="P3365" s="58" t="s">
        <v>241</v>
      </c>
      <c r="Q3365" s="116" t="s">
        <v>234</v>
      </c>
      <c r="R3365" s="22">
        <v>20</v>
      </c>
      <c r="S3365" s="59">
        <v>217.79999999999998</v>
      </c>
      <c r="T3365" s="4">
        <v>0</v>
      </c>
      <c r="U3365" s="4">
        <f t="shared" si="120"/>
        <v>0</v>
      </c>
      <c r="V3365" s="1"/>
      <c r="W3365" s="3">
        <v>2014</v>
      </c>
      <c r="X3365" s="3" t="s">
        <v>19461</v>
      </c>
    </row>
    <row r="3366" spans="1:24" ht="76.5">
      <c r="A3366" s="3" t="s">
        <v>19459</v>
      </c>
      <c r="B3366" s="6" t="s">
        <v>361</v>
      </c>
      <c r="C3366" s="174" t="s">
        <v>7537</v>
      </c>
      <c r="D3366" s="45" t="s">
        <v>5334</v>
      </c>
      <c r="E3366" s="6" t="s">
        <v>11488</v>
      </c>
      <c r="F3366" s="109" t="s">
        <v>19463</v>
      </c>
      <c r="G3366" s="3" t="s">
        <v>11449</v>
      </c>
      <c r="H3366" s="54">
        <v>0</v>
      </c>
      <c r="I3366" s="55">
        <v>470000000</v>
      </c>
      <c r="J3366" s="56" t="s">
        <v>229</v>
      </c>
      <c r="K3366" s="57" t="s">
        <v>19379</v>
      </c>
      <c r="L3366" s="12" t="s">
        <v>404</v>
      </c>
      <c r="M3366" s="3" t="s">
        <v>230</v>
      </c>
      <c r="N3366" s="52" t="s">
        <v>16511</v>
      </c>
      <c r="O3366" s="6" t="s">
        <v>19407</v>
      </c>
      <c r="P3366" s="58" t="s">
        <v>241</v>
      </c>
      <c r="Q3366" s="116" t="s">
        <v>234</v>
      </c>
      <c r="R3366" s="22">
        <v>20</v>
      </c>
      <c r="S3366" s="59">
        <v>217.79999999999998</v>
      </c>
      <c r="T3366" s="4">
        <f>R3366*S3366</f>
        <v>4356</v>
      </c>
      <c r="U3366" s="4">
        <f t="shared" ref="U3366" si="126">T3366*1.12</f>
        <v>4878.72</v>
      </c>
      <c r="V3366" s="1"/>
      <c r="W3366" s="3">
        <v>2014</v>
      </c>
      <c r="X3366" s="3"/>
    </row>
    <row r="3367" spans="1:24" ht="114.75">
      <c r="A3367" s="3" t="s">
        <v>1666</v>
      </c>
      <c r="B3367" s="6" t="s">
        <v>361</v>
      </c>
      <c r="C3367" s="174" t="s">
        <v>7538</v>
      </c>
      <c r="D3367" s="45" t="s">
        <v>440</v>
      </c>
      <c r="E3367" s="6" t="s">
        <v>11489</v>
      </c>
      <c r="F3367" s="116" t="s">
        <v>7725</v>
      </c>
      <c r="G3367" s="3" t="s">
        <v>11449</v>
      </c>
      <c r="H3367" s="54">
        <v>0</v>
      </c>
      <c r="I3367" s="55">
        <v>470000000</v>
      </c>
      <c r="J3367" s="56" t="s">
        <v>229</v>
      </c>
      <c r="K3367" s="57" t="s">
        <v>7698</v>
      </c>
      <c r="L3367" s="57" t="s">
        <v>364</v>
      </c>
      <c r="M3367" s="3" t="s">
        <v>230</v>
      </c>
      <c r="N3367" s="52" t="s">
        <v>7693</v>
      </c>
      <c r="O3367" s="6" t="s">
        <v>365</v>
      </c>
      <c r="P3367" s="58" t="s">
        <v>242</v>
      </c>
      <c r="Q3367" s="116" t="s">
        <v>239</v>
      </c>
      <c r="R3367" s="22">
        <v>16</v>
      </c>
      <c r="S3367" s="59">
        <v>64474.716900000007</v>
      </c>
      <c r="T3367" s="4">
        <v>0</v>
      </c>
      <c r="U3367" s="4">
        <f t="shared" si="120"/>
        <v>0</v>
      </c>
      <c r="V3367" s="1"/>
      <c r="W3367" s="3">
        <v>2014</v>
      </c>
      <c r="X3367" s="3">
        <v>11.12</v>
      </c>
    </row>
    <row r="3368" spans="1:24" ht="114.75">
      <c r="A3368" s="3" t="s">
        <v>13459</v>
      </c>
      <c r="B3368" s="6" t="s">
        <v>361</v>
      </c>
      <c r="C3368" s="174" t="s">
        <v>7538</v>
      </c>
      <c r="D3368" s="45" t="s">
        <v>440</v>
      </c>
      <c r="E3368" s="6" t="s">
        <v>11489</v>
      </c>
      <c r="F3368" s="116" t="s">
        <v>7725</v>
      </c>
      <c r="G3368" s="3" t="s">
        <v>11449</v>
      </c>
      <c r="H3368" s="54">
        <v>0</v>
      </c>
      <c r="I3368" s="55">
        <v>470000000</v>
      </c>
      <c r="J3368" s="56" t="s">
        <v>229</v>
      </c>
      <c r="K3368" s="57" t="s">
        <v>642</v>
      </c>
      <c r="L3368" s="12" t="s">
        <v>404</v>
      </c>
      <c r="M3368" s="3" t="s">
        <v>230</v>
      </c>
      <c r="N3368" s="52" t="s">
        <v>7693</v>
      </c>
      <c r="O3368" s="6" t="s">
        <v>365</v>
      </c>
      <c r="P3368" s="58" t="s">
        <v>242</v>
      </c>
      <c r="Q3368" s="116" t="s">
        <v>239</v>
      </c>
      <c r="R3368" s="22">
        <v>16</v>
      </c>
      <c r="S3368" s="59">
        <v>64474.716900000007</v>
      </c>
      <c r="T3368" s="4">
        <v>0</v>
      </c>
      <c r="U3368" s="4">
        <f t="shared" si="120"/>
        <v>0</v>
      </c>
      <c r="V3368" s="1"/>
      <c r="W3368" s="3">
        <v>2014</v>
      </c>
      <c r="X3368" s="3" t="s">
        <v>14785</v>
      </c>
    </row>
    <row r="3369" spans="1:24" ht="114.75">
      <c r="A3369" s="3" t="s">
        <v>16699</v>
      </c>
      <c r="B3369" s="6" t="s">
        <v>361</v>
      </c>
      <c r="C3369" s="174" t="s">
        <v>7538</v>
      </c>
      <c r="D3369" s="45" t="s">
        <v>440</v>
      </c>
      <c r="E3369" s="6" t="s">
        <v>11489</v>
      </c>
      <c r="F3369" s="116" t="s">
        <v>7725</v>
      </c>
      <c r="G3369" s="3" t="s">
        <v>11449</v>
      </c>
      <c r="H3369" s="54">
        <v>0</v>
      </c>
      <c r="I3369" s="55">
        <v>470000000</v>
      </c>
      <c r="J3369" s="56" t="s">
        <v>229</v>
      </c>
      <c r="K3369" s="57" t="s">
        <v>8950</v>
      </c>
      <c r="L3369" s="12" t="s">
        <v>404</v>
      </c>
      <c r="M3369" s="3" t="s">
        <v>230</v>
      </c>
      <c r="N3369" s="52" t="s">
        <v>7693</v>
      </c>
      <c r="O3369" s="6" t="s">
        <v>365</v>
      </c>
      <c r="P3369" s="58" t="s">
        <v>242</v>
      </c>
      <c r="Q3369" s="116" t="s">
        <v>239</v>
      </c>
      <c r="R3369" s="22">
        <v>16</v>
      </c>
      <c r="S3369" s="59">
        <v>77369.660280000011</v>
      </c>
      <c r="T3369" s="4">
        <f>R3369*S3369</f>
        <v>1237914.5644800002</v>
      </c>
      <c r="U3369" s="4">
        <f t="shared" si="120"/>
        <v>1386464.3122176004</v>
      </c>
      <c r="V3369" s="1"/>
      <c r="W3369" s="3">
        <v>2014</v>
      </c>
      <c r="X3369" s="3"/>
    </row>
    <row r="3370" spans="1:24" ht="114.75">
      <c r="A3370" s="3" t="s">
        <v>1667</v>
      </c>
      <c r="B3370" s="6" t="s">
        <v>361</v>
      </c>
      <c r="C3370" s="174" t="s">
        <v>7539</v>
      </c>
      <c r="D3370" s="45" t="s">
        <v>11490</v>
      </c>
      <c r="E3370" s="6" t="s">
        <v>11491</v>
      </c>
      <c r="F3370" s="116" t="s">
        <v>7726</v>
      </c>
      <c r="G3370" s="3" t="s">
        <v>11449</v>
      </c>
      <c r="H3370" s="54">
        <v>0</v>
      </c>
      <c r="I3370" s="55">
        <v>470000000</v>
      </c>
      <c r="J3370" s="56" t="s">
        <v>229</v>
      </c>
      <c r="K3370" s="57" t="s">
        <v>7698</v>
      </c>
      <c r="L3370" s="57" t="s">
        <v>364</v>
      </c>
      <c r="M3370" s="3" t="s">
        <v>230</v>
      </c>
      <c r="N3370" s="52" t="s">
        <v>7693</v>
      </c>
      <c r="O3370" s="6" t="s">
        <v>365</v>
      </c>
      <c r="P3370" s="58" t="s">
        <v>242</v>
      </c>
      <c r="Q3370" s="116" t="s">
        <v>239</v>
      </c>
      <c r="R3370" s="22">
        <v>16</v>
      </c>
      <c r="S3370" s="59">
        <v>25876.164600000004</v>
      </c>
      <c r="T3370" s="4">
        <v>0</v>
      </c>
      <c r="U3370" s="4">
        <f t="shared" si="120"/>
        <v>0</v>
      </c>
      <c r="V3370" s="1"/>
      <c r="W3370" s="3">
        <v>2014</v>
      </c>
      <c r="X3370" s="3"/>
    </row>
    <row r="3371" spans="1:24" ht="114.75">
      <c r="A3371" s="3" t="s">
        <v>13460</v>
      </c>
      <c r="B3371" s="6" t="s">
        <v>361</v>
      </c>
      <c r="C3371" s="174" t="s">
        <v>7539</v>
      </c>
      <c r="D3371" s="45" t="s">
        <v>11490</v>
      </c>
      <c r="E3371" s="6" t="s">
        <v>11491</v>
      </c>
      <c r="F3371" s="116" t="s">
        <v>7726</v>
      </c>
      <c r="G3371" s="3" t="s">
        <v>11449</v>
      </c>
      <c r="H3371" s="54">
        <v>0</v>
      </c>
      <c r="I3371" s="55">
        <v>470000000</v>
      </c>
      <c r="J3371" s="56" t="s">
        <v>229</v>
      </c>
      <c r="K3371" s="57" t="s">
        <v>642</v>
      </c>
      <c r="L3371" s="12" t="s">
        <v>404</v>
      </c>
      <c r="M3371" s="3" t="s">
        <v>230</v>
      </c>
      <c r="N3371" s="52" t="s">
        <v>7693</v>
      </c>
      <c r="O3371" s="6" t="s">
        <v>365</v>
      </c>
      <c r="P3371" s="58" t="s">
        <v>242</v>
      </c>
      <c r="Q3371" s="116" t="s">
        <v>239</v>
      </c>
      <c r="R3371" s="22">
        <v>16</v>
      </c>
      <c r="S3371" s="59">
        <v>25876.164600000004</v>
      </c>
      <c r="T3371" s="4">
        <v>0</v>
      </c>
      <c r="U3371" s="4">
        <f t="shared" si="120"/>
        <v>0</v>
      </c>
      <c r="V3371" s="1"/>
      <c r="W3371" s="3">
        <v>2014</v>
      </c>
      <c r="X3371" s="3" t="s">
        <v>14785</v>
      </c>
    </row>
    <row r="3372" spans="1:24" ht="114.75">
      <c r="A3372" s="3" t="s">
        <v>16700</v>
      </c>
      <c r="B3372" s="6" t="s">
        <v>361</v>
      </c>
      <c r="C3372" s="174" t="s">
        <v>7539</v>
      </c>
      <c r="D3372" s="45" t="s">
        <v>11490</v>
      </c>
      <c r="E3372" s="6" t="s">
        <v>11491</v>
      </c>
      <c r="F3372" s="46" t="s">
        <v>7726</v>
      </c>
      <c r="G3372" s="3" t="s">
        <v>11449</v>
      </c>
      <c r="H3372" s="54">
        <v>0</v>
      </c>
      <c r="I3372" s="55">
        <v>470000000</v>
      </c>
      <c r="J3372" s="56" t="s">
        <v>229</v>
      </c>
      <c r="K3372" s="57" t="s">
        <v>8950</v>
      </c>
      <c r="L3372" s="12" t="s">
        <v>404</v>
      </c>
      <c r="M3372" s="3" t="s">
        <v>230</v>
      </c>
      <c r="N3372" s="52" t="s">
        <v>7693</v>
      </c>
      <c r="O3372" s="6" t="s">
        <v>365</v>
      </c>
      <c r="P3372" s="58" t="s">
        <v>242</v>
      </c>
      <c r="Q3372" s="46" t="s">
        <v>239</v>
      </c>
      <c r="R3372" s="22">
        <v>16</v>
      </c>
      <c r="S3372" s="59">
        <v>31051.397520000002</v>
      </c>
      <c r="T3372" s="4">
        <v>0</v>
      </c>
      <c r="U3372" s="4">
        <f t="shared" si="120"/>
        <v>0</v>
      </c>
      <c r="V3372" s="1"/>
      <c r="W3372" s="3">
        <v>2014</v>
      </c>
      <c r="X3372" s="3" t="s">
        <v>14265</v>
      </c>
    </row>
    <row r="3373" spans="1:24" ht="76.5">
      <c r="A3373" s="3" t="s">
        <v>19345</v>
      </c>
      <c r="B3373" s="6" t="s">
        <v>361</v>
      </c>
      <c r="C3373" s="174" t="s">
        <v>7539</v>
      </c>
      <c r="D3373" s="45" t="s">
        <v>11490</v>
      </c>
      <c r="E3373" s="6" t="s">
        <v>11491</v>
      </c>
      <c r="F3373" s="46" t="s">
        <v>7726</v>
      </c>
      <c r="G3373" s="3" t="s">
        <v>11449</v>
      </c>
      <c r="H3373" s="54">
        <v>0</v>
      </c>
      <c r="I3373" s="55">
        <v>470000000</v>
      </c>
      <c r="J3373" s="56" t="s">
        <v>229</v>
      </c>
      <c r="K3373" s="57" t="s">
        <v>18437</v>
      </c>
      <c r="L3373" s="12" t="s">
        <v>404</v>
      </c>
      <c r="M3373" s="3" t="s">
        <v>230</v>
      </c>
      <c r="N3373" s="52" t="s">
        <v>16511</v>
      </c>
      <c r="O3373" s="6" t="s">
        <v>19407</v>
      </c>
      <c r="P3373" s="58" t="s">
        <v>242</v>
      </c>
      <c r="Q3373" s="46" t="s">
        <v>239</v>
      </c>
      <c r="R3373" s="22">
        <v>16</v>
      </c>
      <c r="S3373" s="59">
        <v>31051.397520000002</v>
      </c>
      <c r="T3373" s="4">
        <f>R3373*S3373</f>
        <v>496822.36032000004</v>
      </c>
      <c r="U3373" s="4">
        <f t="shared" si="120"/>
        <v>556441.04355840012</v>
      </c>
      <c r="V3373" s="1"/>
      <c r="W3373" s="3">
        <v>2014</v>
      </c>
      <c r="X3373" s="3"/>
    </row>
    <row r="3374" spans="1:24" ht="114.75">
      <c r="A3374" s="3" t="s">
        <v>1668</v>
      </c>
      <c r="B3374" s="6" t="s">
        <v>361</v>
      </c>
      <c r="C3374" s="174" t="s">
        <v>7540</v>
      </c>
      <c r="D3374" s="45" t="s">
        <v>5601</v>
      </c>
      <c r="E3374" s="6" t="s">
        <v>11492</v>
      </c>
      <c r="F3374" s="116" t="s">
        <v>7727</v>
      </c>
      <c r="G3374" s="3" t="s">
        <v>11449</v>
      </c>
      <c r="H3374" s="54">
        <v>0</v>
      </c>
      <c r="I3374" s="55">
        <v>470000000</v>
      </c>
      <c r="J3374" s="56" t="s">
        <v>229</v>
      </c>
      <c r="K3374" s="57" t="s">
        <v>7698</v>
      </c>
      <c r="L3374" s="57" t="s">
        <v>364</v>
      </c>
      <c r="M3374" s="3" t="s">
        <v>230</v>
      </c>
      <c r="N3374" s="52" t="s">
        <v>7693</v>
      </c>
      <c r="O3374" s="6" t="s">
        <v>365</v>
      </c>
      <c r="P3374" s="58" t="s">
        <v>241</v>
      </c>
      <c r="Q3374" s="116" t="s">
        <v>234</v>
      </c>
      <c r="R3374" s="22">
        <v>2</v>
      </c>
      <c r="S3374" s="59">
        <v>70081.227700000018</v>
      </c>
      <c r="T3374" s="4">
        <v>0</v>
      </c>
      <c r="U3374" s="4">
        <f t="shared" si="120"/>
        <v>0</v>
      </c>
      <c r="V3374" s="1"/>
      <c r="W3374" s="3">
        <v>2014</v>
      </c>
      <c r="X3374" s="3">
        <v>11.12</v>
      </c>
    </row>
    <row r="3375" spans="1:24" ht="114.75">
      <c r="A3375" s="3" t="s">
        <v>13461</v>
      </c>
      <c r="B3375" s="6" t="s">
        <v>361</v>
      </c>
      <c r="C3375" s="174" t="s">
        <v>7540</v>
      </c>
      <c r="D3375" s="45" t="s">
        <v>5601</v>
      </c>
      <c r="E3375" s="6" t="s">
        <v>11492</v>
      </c>
      <c r="F3375" s="116" t="s">
        <v>7727</v>
      </c>
      <c r="G3375" s="3" t="s">
        <v>11449</v>
      </c>
      <c r="H3375" s="54">
        <v>0</v>
      </c>
      <c r="I3375" s="55">
        <v>470000000</v>
      </c>
      <c r="J3375" s="56" t="s">
        <v>229</v>
      </c>
      <c r="K3375" s="57" t="s">
        <v>642</v>
      </c>
      <c r="L3375" s="12" t="s">
        <v>404</v>
      </c>
      <c r="M3375" s="3" t="s">
        <v>230</v>
      </c>
      <c r="N3375" s="52" t="s">
        <v>7693</v>
      </c>
      <c r="O3375" s="6" t="s">
        <v>365</v>
      </c>
      <c r="P3375" s="58" t="s">
        <v>241</v>
      </c>
      <c r="Q3375" s="116" t="s">
        <v>234</v>
      </c>
      <c r="R3375" s="22">
        <v>2</v>
      </c>
      <c r="S3375" s="59">
        <v>70081.227700000018</v>
      </c>
      <c r="T3375" s="4">
        <v>0</v>
      </c>
      <c r="U3375" s="4">
        <f t="shared" si="120"/>
        <v>0</v>
      </c>
      <c r="V3375" s="1"/>
      <c r="W3375" s="3">
        <v>2014</v>
      </c>
      <c r="X3375" s="3" t="s">
        <v>14785</v>
      </c>
    </row>
    <row r="3376" spans="1:24" ht="114.75">
      <c r="A3376" s="3" t="s">
        <v>16701</v>
      </c>
      <c r="B3376" s="6" t="s">
        <v>361</v>
      </c>
      <c r="C3376" s="174" t="s">
        <v>7540</v>
      </c>
      <c r="D3376" s="45" t="s">
        <v>5601</v>
      </c>
      <c r="E3376" s="6" t="s">
        <v>11492</v>
      </c>
      <c r="F3376" s="46" t="s">
        <v>7727</v>
      </c>
      <c r="G3376" s="3" t="s">
        <v>11449</v>
      </c>
      <c r="H3376" s="54">
        <v>0</v>
      </c>
      <c r="I3376" s="55">
        <v>470000000</v>
      </c>
      <c r="J3376" s="56" t="s">
        <v>229</v>
      </c>
      <c r="K3376" s="57" t="s">
        <v>8950</v>
      </c>
      <c r="L3376" s="12" t="s">
        <v>404</v>
      </c>
      <c r="M3376" s="3" t="s">
        <v>230</v>
      </c>
      <c r="N3376" s="52" t="s">
        <v>7693</v>
      </c>
      <c r="O3376" s="6" t="s">
        <v>365</v>
      </c>
      <c r="P3376" s="58" t="s">
        <v>241</v>
      </c>
      <c r="Q3376" s="46" t="s">
        <v>234</v>
      </c>
      <c r="R3376" s="22">
        <v>2</v>
      </c>
      <c r="S3376" s="59">
        <v>84097.473240000021</v>
      </c>
      <c r="T3376" s="4">
        <v>0</v>
      </c>
      <c r="U3376" s="4">
        <f t="shared" si="120"/>
        <v>0</v>
      </c>
      <c r="V3376" s="1"/>
      <c r="W3376" s="3">
        <v>2014</v>
      </c>
      <c r="X3376" s="3" t="s">
        <v>14265</v>
      </c>
    </row>
    <row r="3377" spans="1:24" ht="76.5">
      <c r="A3377" s="3" t="s">
        <v>19346</v>
      </c>
      <c r="B3377" s="6" t="s">
        <v>361</v>
      </c>
      <c r="C3377" s="174" t="s">
        <v>7540</v>
      </c>
      <c r="D3377" s="45" t="s">
        <v>5601</v>
      </c>
      <c r="E3377" s="6" t="s">
        <v>11492</v>
      </c>
      <c r="F3377" s="46" t="s">
        <v>7727</v>
      </c>
      <c r="G3377" s="3" t="s">
        <v>11449</v>
      </c>
      <c r="H3377" s="54">
        <v>0</v>
      </c>
      <c r="I3377" s="55">
        <v>470000000</v>
      </c>
      <c r="J3377" s="56" t="s">
        <v>229</v>
      </c>
      <c r="K3377" s="57" t="s">
        <v>18437</v>
      </c>
      <c r="L3377" s="12" t="s">
        <v>404</v>
      </c>
      <c r="M3377" s="3" t="s">
        <v>230</v>
      </c>
      <c r="N3377" s="52" t="s">
        <v>16511</v>
      </c>
      <c r="O3377" s="6" t="s">
        <v>19407</v>
      </c>
      <c r="P3377" s="58" t="s">
        <v>241</v>
      </c>
      <c r="Q3377" s="46" t="s">
        <v>234</v>
      </c>
      <c r="R3377" s="22">
        <v>2</v>
      </c>
      <c r="S3377" s="59">
        <v>84097.473240000021</v>
      </c>
      <c r="T3377" s="4">
        <f>R3377*S3377</f>
        <v>168194.94648000004</v>
      </c>
      <c r="U3377" s="4">
        <f t="shared" si="120"/>
        <v>188378.34005760006</v>
      </c>
      <c r="V3377" s="1"/>
      <c r="W3377" s="3">
        <v>2014</v>
      </c>
      <c r="X3377" s="3"/>
    </row>
    <row r="3378" spans="1:24" ht="114.75">
      <c r="A3378" s="3" t="s">
        <v>1669</v>
      </c>
      <c r="B3378" s="6" t="s">
        <v>361</v>
      </c>
      <c r="C3378" s="174" t="s">
        <v>6399</v>
      </c>
      <c r="D3378" s="45" t="s">
        <v>5342</v>
      </c>
      <c r="E3378" s="6" t="s">
        <v>5343</v>
      </c>
      <c r="F3378" s="116" t="s">
        <v>7728</v>
      </c>
      <c r="G3378" s="3" t="s">
        <v>11449</v>
      </c>
      <c r="H3378" s="54">
        <v>0</v>
      </c>
      <c r="I3378" s="55">
        <v>470000000</v>
      </c>
      <c r="J3378" s="56" t="s">
        <v>229</v>
      </c>
      <c r="K3378" s="57" t="s">
        <v>7698</v>
      </c>
      <c r="L3378" s="57" t="s">
        <v>364</v>
      </c>
      <c r="M3378" s="3" t="s">
        <v>230</v>
      </c>
      <c r="N3378" s="52" t="s">
        <v>7693</v>
      </c>
      <c r="O3378" s="6" t="s">
        <v>365</v>
      </c>
      <c r="P3378" s="58" t="s">
        <v>241</v>
      </c>
      <c r="Q3378" s="116" t="s">
        <v>234</v>
      </c>
      <c r="R3378" s="22">
        <v>6</v>
      </c>
      <c r="S3378" s="59">
        <v>9420.1658100000022</v>
      </c>
      <c r="T3378" s="4">
        <v>0</v>
      </c>
      <c r="U3378" s="4">
        <f t="shared" si="120"/>
        <v>0</v>
      </c>
      <c r="V3378" s="1"/>
      <c r="W3378" s="3">
        <v>2014</v>
      </c>
      <c r="X3378" s="3">
        <v>11.12</v>
      </c>
    </row>
    <row r="3379" spans="1:24" ht="114.75">
      <c r="A3379" s="3" t="s">
        <v>13462</v>
      </c>
      <c r="B3379" s="6" t="s">
        <v>361</v>
      </c>
      <c r="C3379" s="174" t="s">
        <v>6399</v>
      </c>
      <c r="D3379" s="45" t="s">
        <v>5342</v>
      </c>
      <c r="E3379" s="6" t="s">
        <v>5343</v>
      </c>
      <c r="F3379" s="116" t="s">
        <v>7728</v>
      </c>
      <c r="G3379" s="3" t="s">
        <v>11449</v>
      </c>
      <c r="H3379" s="54">
        <v>0</v>
      </c>
      <c r="I3379" s="55">
        <v>470000000</v>
      </c>
      <c r="J3379" s="56" t="s">
        <v>229</v>
      </c>
      <c r="K3379" s="57" t="s">
        <v>642</v>
      </c>
      <c r="L3379" s="12" t="s">
        <v>404</v>
      </c>
      <c r="M3379" s="3" t="s">
        <v>230</v>
      </c>
      <c r="N3379" s="52" t="s">
        <v>7693</v>
      </c>
      <c r="O3379" s="6" t="s">
        <v>365</v>
      </c>
      <c r="P3379" s="58" t="s">
        <v>241</v>
      </c>
      <c r="Q3379" s="116" t="s">
        <v>234</v>
      </c>
      <c r="R3379" s="22">
        <v>6</v>
      </c>
      <c r="S3379" s="59">
        <v>9420.1658100000022</v>
      </c>
      <c r="T3379" s="4">
        <v>0</v>
      </c>
      <c r="U3379" s="4">
        <f t="shared" si="120"/>
        <v>0</v>
      </c>
      <c r="V3379" s="1"/>
      <c r="W3379" s="3">
        <v>2014</v>
      </c>
      <c r="X3379" s="3" t="s">
        <v>14785</v>
      </c>
    </row>
    <row r="3380" spans="1:24" ht="114.75">
      <c r="A3380" s="3" t="s">
        <v>16702</v>
      </c>
      <c r="B3380" s="6" t="s">
        <v>361</v>
      </c>
      <c r="C3380" s="174" t="s">
        <v>6399</v>
      </c>
      <c r="D3380" s="45" t="s">
        <v>5342</v>
      </c>
      <c r="E3380" s="6" t="s">
        <v>5343</v>
      </c>
      <c r="F3380" s="116" t="s">
        <v>7728</v>
      </c>
      <c r="G3380" s="3" t="s">
        <v>11449</v>
      </c>
      <c r="H3380" s="54">
        <v>0</v>
      </c>
      <c r="I3380" s="55">
        <v>470000000</v>
      </c>
      <c r="J3380" s="56" t="s">
        <v>229</v>
      </c>
      <c r="K3380" s="57" t="s">
        <v>8950</v>
      </c>
      <c r="L3380" s="12" t="s">
        <v>404</v>
      </c>
      <c r="M3380" s="3" t="s">
        <v>230</v>
      </c>
      <c r="N3380" s="52" t="s">
        <v>7693</v>
      </c>
      <c r="O3380" s="6" t="s">
        <v>365</v>
      </c>
      <c r="P3380" s="58" t="s">
        <v>241</v>
      </c>
      <c r="Q3380" s="116" t="s">
        <v>234</v>
      </c>
      <c r="R3380" s="22">
        <v>6</v>
      </c>
      <c r="S3380" s="59">
        <v>11304.198972000002</v>
      </c>
      <c r="T3380" s="4">
        <f>R3380*S3380</f>
        <v>67825.193832000019</v>
      </c>
      <c r="U3380" s="4">
        <f t="shared" si="120"/>
        <v>75964.217091840022</v>
      </c>
      <c r="V3380" s="1"/>
      <c r="W3380" s="3">
        <v>2014</v>
      </c>
      <c r="X3380" s="3"/>
    </row>
    <row r="3381" spans="1:24" ht="114.75">
      <c r="A3381" s="3" t="s">
        <v>1670</v>
      </c>
      <c r="B3381" s="6" t="s">
        <v>361</v>
      </c>
      <c r="C3381" s="174" t="s">
        <v>7481</v>
      </c>
      <c r="D3381" s="45" t="s">
        <v>7482</v>
      </c>
      <c r="E3381" s="6" t="s">
        <v>7483</v>
      </c>
      <c r="F3381" s="116" t="s">
        <v>7729</v>
      </c>
      <c r="G3381" s="3" t="s">
        <v>11449</v>
      </c>
      <c r="H3381" s="54">
        <v>0</v>
      </c>
      <c r="I3381" s="55">
        <v>470000000</v>
      </c>
      <c r="J3381" s="56" t="s">
        <v>229</v>
      </c>
      <c r="K3381" s="57" t="s">
        <v>7698</v>
      </c>
      <c r="L3381" s="57" t="s">
        <v>364</v>
      </c>
      <c r="M3381" s="3" t="s">
        <v>230</v>
      </c>
      <c r="N3381" s="52" t="s">
        <v>7693</v>
      </c>
      <c r="O3381" s="6" t="s">
        <v>365</v>
      </c>
      <c r="P3381" s="58" t="s">
        <v>241</v>
      </c>
      <c r="Q3381" s="116" t="s">
        <v>234</v>
      </c>
      <c r="R3381" s="22">
        <v>10</v>
      </c>
      <c r="S3381" s="59">
        <v>128301.61190000002</v>
      </c>
      <c r="T3381" s="4">
        <v>0</v>
      </c>
      <c r="U3381" s="4">
        <f t="shared" ref="U3381:U3451" si="127">T3381*1.12</f>
        <v>0</v>
      </c>
      <c r="V3381" s="1"/>
      <c r="W3381" s="3">
        <v>2014</v>
      </c>
      <c r="X3381" s="3">
        <v>11.12</v>
      </c>
    </row>
    <row r="3382" spans="1:24" ht="114.75">
      <c r="A3382" s="3" t="s">
        <v>13463</v>
      </c>
      <c r="B3382" s="6" t="s">
        <v>361</v>
      </c>
      <c r="C3382" s="174" t="s">
        <v>7481</v>
      </c>
      <c r="D3382" s="45" t="s">
        <v>7482</v>
      </c>
      <c r="E3382" s="6" t="s">
        <v>7483</v>
      </c>
      <c r="F3382" s="116" t="s">
        <v>7729</v>
      </c>
      <c r="G3382" s="3" t="s">
        <v>11449</v>
      </c>
      <c r="H3382" s="54">
        <v>0</v>
      </c>
      <c r="I3382" s="55">
        <v>470000000</v>
      </c>
      <c r="J3382" s="56" t="s">
        <v>229</v>
      </c>
      <c r="K3382" s="57" t="s">
        <v>642</v>
      </c>
      <c r="L3382" s="12" t="s">
        <v>404</v>
      </c>
      <c r="M3382" s="3" t="s">
        <v>230</v>
      </c>
      <c r="N3382" s="52" t="s">
        <v>7693</v>
      </c>
      <c r="O3382" s="6" t="s">
        <v>365</v>
      </c>
      <c r="P3382" s="58" t="s">
        <v>241</v>
      </c>
      <c r="Q3382" s="116" t="s">
        <v>234</v>
      </c>
      <c r="R3382" s="22">
        <v>10</v>
      </c>
      <c r="S3382" s="59">
        <v>128301.61190000002</v>
      </c>
      <c r="T3382" s="4">
        <v>0</v>
      </c>
      <c r="U3382" s="4">
        <f t="shared" si="127"/>
        <v>0</v>
      </c>
      <c r="V3382" s="1"/>
      <c r="W3382" s="3">
        <v>2014</v>
      </c>
      <c r="X3382" s="3" t="s">
        <v>14785</v>
      </c>
    </row>
    <row r="3383" spans="1:24" ht="114.75">
      <c r="A3383" s="3" t="s">
        <v>16703</v>
      </c>
      <c r="B3383" s="6" t="s">
        <v>361</v>
      </c>
      <c r="C3383" s="174" t="s">
        <v>7481</v>
      </c>
      <c r="D3383" s="45" t="s">
        <v>7482</v>
      </c>
      <c r="E3383" s="6" t="s">
        <v>7483</v>
      </c>
      <c r="F3383" s="116" t="s">
        <v>7729</v>
      </c>
      <c r="G3383" s="3" t="s">
        <v>11449</v>
      </c>
      <c r="H3383" s="54">
        <v>0</v>
      </c>
      <c r="I3383" s="55">
        <v>470000000</v>
      </c>
      <c r="J3383" s="56" t="s">
        <v>229</v>
      </c>
      <c r="K3383" s="57" t="s">
        <v>8950</v>
      </c>
      <c r="L3383" s="12" t="s">
        <v>404</v>
      </c>
      <c r="M3383" s="3" t="s">
        <v>230</v>
      </c>
      <c r="N3383" s="52" t="s">
        <v>7693</v>
      </c>
      <c r="O3383" s="6" t="s">
        <v>365</v>
      </c>
      <c r="P3383" s="58" t="s">
        <v>241</v>
      </c>
      <c r="Q3383" s="116" t="s">
        <v>234</v>
      </c>
      <c r="R3383" s="22">
        <v>10</v>
      </c>
      <c r="S3383" s="59">
        <v>153961.93428000002</v>
      </c>
      <c r="T3383" s="4">
        <f>R3383*S3383</f>
        <v>1539619.3428000002</v>
      </c>
      <c r="U3383" s="4">
        <f t="shared" si="127"/>
        <v>1724373.6639360003</v>
      </c>
      <c r="V3383" s="1"/>
      <c r="W3383" s="3">
        <v>2014</v>
      </c>
      <c r="X3383" s="3"/>
    </row>
    <row r="3384" spans="1:24" ht="114.75">
      <c r="A3384" s="3" t="s">
        <v>1671</v>
      </c>
      <c r="B3384" s="6" t="s">
        <v>361</v>
      </c>
      <c r="C3384" s="174" t="s">
        <v>6263</v>
      </c>
      <c r="D3384" s="45" t="s">
        <v>441</v>
      </c>
      <c r="E3384" s="6" t="s">
        <v>6264</v>
      </c>
      <c r="F3384" s="116" t="s">
        <v>7730</v>
      </c>
      <c r="G3384" s="3" t="s">
        <v>11449</v>
      </c>
      <c r="H3384" s="54">
        <v>0</v>
      </c>
      <c r="I3384" s="55">
        <v>470000000</v>
      </c>
      <c r="J3384" s="56" t="s">
        <v>229</v>
      </c>
      <c r="K3384" s="57" t="s">
        <v>7698</v>
      </c>
      <c r="L3384" s="57" t="s">
        <v>364</v>
      </c>
      <c r="M3384" s="3" t="s">
        <v>230</v>
      </c>
      <c r="N3384" s="52" t="s">
        <v>7693</v>
      </c>
      <c r="O3384" s="6" t="s">
        <v>365</v>
      </c>
      <c r="P3384" s="58" t="s">
        <v>241</v>
      </c>
      <c r="Q3384" s="116" t="s">
        <v>234</v>
      </c>
      <c r="R3384" s="22">
        <v>30</v>
      </c>
      <c r="S3384" s="59">
        <v>41527.199999999997</v>
      </c>
      <c r="T3384" s="4">
        <v>0</v>
      </c>
      <c r="U3384" s="4">
        <f t="shared" si="127"/>
        <v>0</v>
      </c>
      <c r="V3384" s="1"/>
      <c r="W3384" s="3">
        <v>2014</v>
      </c>
      <c r="X3384" s="3">
        <v>11.12</v>
      </c>
    </row>
    <row r="3385" spans="1:24" ht="114.75">
      <c r="A3385" s="3" t="s">
        <v>13464</v>
      </c>
      <c r="B3385" s="6" t="s">
        <v>361</v>
      </c>
      <c r="C3385" s="174" t="s">
        <v>6263</v>
      </c>
      <c r="D3385" s="45" t="s">
        <v>441</v>
      </c>
      <c r="E3385" s="6" t="s">
        <v>6264</v>
      </c>
      <c r="F3385" s="116" t="s">
        <v>7730</v>
      </c>
      <c r="G3385" s="3" t="s">
        <v>11449</v>
      </c>
      <c r="H3385" s="54">
        <v>0</v>
      </c>
      <c r="I3385" s="55">
        <v>470000000</v>
      </c>
      <c r="J3385" s="56" t="s">
        <v>229</v>
      </c>
      <c r="K3385" s="57" t="s">
        <v>642</v>
      </c>
      <c r="L3385" s="12" t="s">
        <v>404</v>
      </c>
      <c r="M3385" s="3" t="s">
        <v>230</v>
      </c>
      <c r="N3385" s="52" t="s">
        <v>7693</v>
      </c>
      <c r="O3385" s="6" t="s">
        <v>365</v>
      </c>
      <c r="P3385" s="58" t="s">
        <v>241</v>
      </c>
      <c r="Q3385" s="116" t="s">
        <v>234</v>
      </c>
      <c r="R3385" s="22">
        <v>30</v>
      </c>
      <c r="S3385" s="59">
        <v>41527.199999999997</v>
      </c>
      <c r="T3385" s="4">
        <v>0</v>
      </c>
      <c r="U3385" s="4">
        <f t="shared" si="127"/>
        <v>0</v>
      </c>
      <c r="V3385" s="1"/>
      <c r="W3385" s="3">
        <v>2014</v>
      </c>
      <c r="X3385" s="3" t="s">
        <v>14785</v>
      </c>
    </row>
    <row r="3386" spans="1:24" ht="114.75">
      <c r="A3386" s="3" t="s">
        <v>16704</v>
      </c>
      <c r="B3386" s="6" t="s">
        <v>361</v>
      </c>
      <c r="C3386" s="174" t="s">
        <v>6263</v>
      </c>
      <c r="D3386" s="45" t="s">
        <v>441</v>
      </c>
      <c r="E3386" s="6" t="s">
        <v>6264</v>
      </c>
      <c r="F3386" s="116" t="s">
        <v>7730</v>
      </c>
      <c r="G3386" s="3" t="s">
        <v>11449</v>
      </c>
      <c r="H3386" s="54">
        <v>0</v>
      </c>
      <c r="I3386" s="55">
        <v>470000000</v>
      </c>
      <c r="J3386" s="56" t="s">
        <v>229</v>
      </c>
      <c r="K3386" s="57" t="s">
        <v>8950</v>
      </c>
      <c r="L3386" s="12" t="s">
        <v>404</v>
      </c>
      <c r="M3386" s="3" t="s">
        <v>230</v>
      </c>
      <c r="N3386" s="52" t="s">
        <v>7693</v>
      </c>
      <c r="O3386" s="6" t="s">
        <v>365</v>
      </c>
      <c r="P3386" s="58" t="s">
        <v>241</v>
      </c>
      <c r="Q3386" s="116" t="s">
        <v>234</v>
      </c>
      <c r="R3386" s="22">
        <v>30</v>
      </c>
      <c r="S3386" s="59">
        <v>49832.639999999992</v>
      </c>
      <c r="T3386" s="4">
        <f>R3386*S3386</f>
        <v>1494979.1999999997</v>
      </c>
      <c r="U3386" s="4">
        <f t="shared" si="127"/>
        <v>1674376.7039999999</v>
      </c>
      <c r="V3386" s="1"/>
      <c r="W3386" s="3">
        <v>2014</v>
      </c>
      <c r="X3386" s="3"/>
    </row>
    <row r="3387" spans="1:24" ht="114.75">
      <c r="A3387" s="3" t="s">
        <v>1672</v>
      </c>
      <c r="B3387" s="6" t="s">
        <v>361</v>
      </c>
      <c r="C3387" s="174" t="s">
        <v>7541</v>
      </c>
      <c r="D3387" s="45" t="s">
        <v>11493</v>
      </c>
      <c r="E3387" s="6" t="s">
        <v>11494</v>
      </c>
      <c r="F3387" s="116" t="s">
        <v>7731</v>
      </c>
      <c r="G3387" s="3" t="s">
        <v>11449</v>
      </c>
      <c r="H3387" s="54">
        <v>0</v>
      </c>
      <c r="I3387" s="55">
        <v>470000000</v>
      </c>
      <c r="J3387" s="56" t="s">
        <v>229</v>
      </c>
      <c r="K3387" s="57" t="s">
        <v>7698</v>
      </c>
      <c r="L3387" s="57" t="s">
        <v>364</v>
      </c>
      <c r="M3387" s="3" t="s">
        <v>230</v>
      </c>
      <c r="N3387" s="52" t="s">
        <v>7693</v>
      </c>
      <c r="O3387" s="6" t="s">
        <v>365</v>
      </c>
      <c r="P3387" s="58" t="s">
        <v>241</v>
      </c>
      <c r="Q3387" s="116" t="s">
        <v>234</v>
      </c>
      <c r="R3387" s="22">
        <v>15</v>
      </c>
      <c r="S3387" s="59">
        <v>18209.437620000004</v>
      </c>
      <c r="T3387" s="4">
        <v>0</v>
      </c>
      <c r="U3387" s="4">
        <f t="shared" si="127"/>
        <v>0</v>
      </c>
      <c r="V3387" s="1"/>
      <c r="W3387" s="3">
        <v>2014</v>
      </c>
      <c r="X3387" s="3">
        <v>11.12</v>
      </c>
    </row>
    <row r="3388" spans="1:24" ht="114.75">
      <c r="A3388" s="3" t="s">
        <v>13465</v>
      </c>
      <c r="B3388" s="6" t="s">
        <v>361</v>
      </c>
      <c r="C3388" s="174" t="s">
        <v>7541</v>
      </c>
      <c r="D3388" s="45" t="s">
        <v>11493</v>
      </c>
      <c r="E3388" s="6" t="s">
        <v>11494</v>
      </c>
      <c r="F3388" s="116" t="s">
        <v>7731</v>
      </c>
      <c r="G3388" s="3" t="s">
        <v>11449</v>
      </c>
      <c r="H3388" s="54">
        <v>0</v>
      </c>
      <c r="I3388" s="55">
        <v>470000000</v>
      </c>
      <c r="J3388" s="56" t="s">
        <v>229</v>
      </c>
      <c r="K3388" s="57" t="s">
        <v>642</v>
      </c>
      <c r="L3388" s="12" t="s">
        <v>404</v>
      </c>
      <c r="M3388" s="3" t="s">
        <v>230</v>
      </c>
      <c r="N3388" s="52" t="s">
        <v>7693</v>
      </c>
      <c r="O3388" s="6" t="s">
        <v>365</v>
      </c>
      <c r="P3388" s="58" t="s">
        <v>241</v>
      </c>
      <c r="Q3388" s="116" t="s">
        <v>234</v>
      </c>
      <c r="R3388" s="22">
        <v>15</v>
      </c>
      <c r="S3388" s="59">
        <v>18209.437620000004</v>
      </c>
      <c r="T3388" s="4">
        <v>0</v>
      </c>
      <c r="U3388" s="4">
        <f t="shared" si="127"/>
        <v>0</v>
      </c>
      <c r="V3388" s="1"/>
      <c r="W3388" s="3">
        <v>2014</v>
      </c>
      <c r="X3388" s="3" t="s">
        <v>14785</v>
      </c>
    </row>
    <row r="3389" spans="1:24" ht="114.75">
      <c r="A3389" s="3" t="s">
        <v>16705</v>
      </c>
      <c r="B3389" s="6" t="s">
        <v>361</v>
      </c>
      <c r="C3389" s="174" t="s">
        <v>7541</v>
      </c>
      <c r="D3389" s="45" t="s">
        <v>11493</v>
      </c>
      <c r="E3389" s="6" t="s">
        <v>11494</v>
      </c>
      <c r="F3389" s="116" t="s">
        <v>7731</v>
      </c>
      <c r="G3389" s="3" t="s">
        <v>11449</v>
      </c>
      <c r="H3389" s="54">
        <v>0</v>
      </c>
      <c r="I3389" s="55">
        <v>470000000</v>
      </c>
      <c r="J3389" s="56" t="s">
        <v>229</v>
      </c>
      <c r="K3389" s="57" t="s">
        <v>8950</v>
      </c>
      <c r="L3389" s="12" t="s">
        <v>404</v>
      </c>
      <c r="M3389" s="3" t="s">
        <v>230</v>
      </c>
      <c r="N3389" s="52" t="s">
        <v>7693</v>
      </c>
      <c r="O3389" s="6" t="s">
        <v>365</v>
      </c>
      <c r="P3389" s="58" t="s">
        <v>241</v>
      </c>
      <c r="Q3389" s="116" t="s">
        <v>234</v>
      </c>
      <c r="R3389" s="22">
        <v>15</v>
      </c>
      <c r="S3389" s="59">
        <v>21851.325144000006</v>
      </c>
      <c r="T3389" s="4">
        <f>R3389*S3389</f>
        <v>327769.87716000009</v>
      </c>
      <c r="U3389" s="4">
        <f t="shared" si="127"/>
        <v>367102.26241920015</v>
      </c>
      <c r="V3389" s="1"/>
      <c r="W3389" s="3">
        <v>2014</v>
      </c>
      <c r="X3389" s="3"/>
    </row>
    <row r="3390" spans="1:24" ht="114.75">
      <c r="A3390" s="3" t="s">
        <v>1673</v>
      </c>
      <c r="B3390" s="6" t="s">
        <v>361</v>
      </c>
      <c r="C3390" s="174" t="s">
        <v>11495</v>
      </c>
      <c r="D3390" s="45" t="s">
        <v>5485</v>
      </c>
      <c r="E3390" s="6" t="s">
        <v>5664</v>
      </c>
      <c r="F3390" s="116" t="s">
        <v>7732</v>
      </c>
      <c r="G3390" s="3" t="s">
        <v>11449</v>
      </c>
      <c r="H3390" s="54">
        <v>0</v>
      </c>
      <c r="I3390" s="55">
        <v>470000000</v>
      </c>
      <c r="J3390" s="56" t="s">
        <v>229</v>
      </c>
      <c r="K3390" s="57" t="s">
        <v>7698</v>
      </c>
      <c r="L3390" s="57" t="s">
        <v>364</v>
      </c>
      <c r="M3390" s="3" t="s">
        <v>230</v>
      </c>
      <c r="N3390" s="52" t="s">
        <v>7693</v>
      </c>
      <c r="O3390" s="6" t="s">
        <v>365</v>
      </c>
      <c r="P3390" s="58" t="s">
        <v>241</v>
      </c>
      <c r="Q3390" s="116" t="s">
        <v>234</v>
      </c>
      <c r="R3390" s="22">
        <v>20</v>
      </c>
      <c r="S3390" s="59">
        <v>7786.6827500000027</v>
      </c>
      <c r="T3390" s="4">
        <v>0</v>
      </c>
      <c r="U3390" s="4">
        <f t="shared" si="127"/>
        <v>0</v>
      </c>
      <c r="V3390" s="1"/>
      <c r="W3390" s="3">
        <v>2014</v>
      </c>
      <c r="X3390" s="3">
        <v>11.12</v>
      </c>
    </row>
    <row r="3391" spans="1:24" ht="114.75">
      <c r="A3391" s="3" t="s">
        <v>13466</v>
      </c>
      <c r="B3391" s="6" t="s">
        <v>361</v>
      </c>
      <c r="C3391" s="174" t="s">
        <v>11495</v>
      </c>
      <c r="D3391" s="45" t="s">
        <v>5485</v>
      </c>
      <c r="E3391" s="6" t="s">
        <v>5664</v>
      </c>
      <c r="F3391" s="116" t="s">
        <v>7732</v>
      </c>
      <c r="G3391" s="3" t="s">
        <v>11449</v>
      </c>
      <c r="H3391" s="54">
        <v>0</v>
      </c>
      <c r="I3391" s="55">
        <v>470000000</v>
      </c>
      <c r="J3391" s="56" t="s">
        <v>229</v>
      </c>
      <c r="K3391" s="57" t="s">
        <v>642</v>
      </c>
      <c r="L3391" s="12" t="s">
        <v>404</v>
      </c>
      <c r="M3391" s="3" t="s">
        <v>230</v>
      </c>
      <c r="N3391" s="52" t="s">
        <v>7693</v>
      </c>
      <c r="O3391" s="6" t="s">
        <v>365</v>
      </c>
      <c r="P3391" s="58" t="s">
        <v>241</v>
      </c>
      <c r="Q3391" s="116" t="s">
        <v>234</v>
      </c>
      <c r="R3391" s="22">
        <v>20</v>
      </c>
      <c r="S3391" s="59">
        <v>7786.6827500000027</v>
      </c>
      <c r="T3391" s="4">
        <v>0</v>
      </c>
      <c r="U3391" s="4">
        <f t="shared" si="127"/>
        <v>0</v>
      </c>
      <c r="V3391" s="1"/>
      <c r="W3391" s="3">
        <v>2014</v>
      </c>
      <c r="X3391" s="3" t="s">
        <v>14785</v>
      </c>
    </row>
    <row r="3392" spans="1:24" ht="114.75">
      <c r="A3392" s="3" t="s">
        <v>16706</v>
      </c>
      <c r="B3392" s="6" t="s">
        <v>361</v>
      </c>
      <c r="C3392" s="174" t="s">
        <v>11495</v>
      </c>
      <c r="D3392" s="45" t="s">
        <v>5485</v>
      </c>
      <c r="E3392" s="6" t="s">
        <v>5664</v>
      </c>
      <c r="F3392" s="116" t="s">
        <v>7732</v>
      </c>
      <c r="G3392" s="3" t="s">
        <v>11449</v>
      </c>
      <c r="H3392" s="54">
        <v>0</v>
      </c>
      <c r="I3392" s="55">
        <v>470000000</v>
      </c>
      <c r="J3392" s="56" t="s">
        <v>229</v>
      </c>
      <c r="K3392" s="57" t="s">
        <v>8950</v>
      </c>
      <c r="L3392" s="12" t="s">
        <v>404</v>
      </c>
      <c r="M3392" s="3" t="s">
        <v>230</v>
      </c>
      <c r="N3392" s="52" t="s">
        <v>7693</v>
      </c>
      <c r="O3392" s="6" t="s">
        <v>365</v>
      </c>
      <c r="P3392" s="58" t="s">
        <v>241</v>
      </c>
      <c r="Q3392" s="116" t="s">
        <v>234</v>
      </c>
      <c r="R3392" s="22">
        <v>20</v>
      </c>
      <c r="S3392" s="59">
        <v>9344.0193000000036</v>
      </c>
      <c r="T3392" s="4">
        <f>R3392*S3392</f>
        <v>186880.38600000006</v>
      </c>
      <c r="U3392" s="4">
        <f t="shared" si="127"/>
        <v>209306.03232000009</v>
      </c>
      <c r="V3392" s="1"/>
      <c r="W3392" s="3">
        <v>2014</v>
      </c>
      <c r="X3392" s="3"/>
    </row>
    <row r="3393" spans="1:24" ht="114.75">
      <c r="A3393" s="3" t="s">
        <v>1674</v>
      </c>
      <c r="B3393" s="6" t="s">
        <v>361</v>
      </c>
      <c r="C3393" s="174" t="s">
        <v>7542</v>
      </c>
      <c r="D3393" s="45" t="s">
        <v>5480</v>
      </c>
      <c r="E3393" s="6" t="s">
        <v>11496</v>
      </c>
      <c r="F3393" s="117" t="s">
        <v>7733</v>
      </c>
      <c r="G3393" s="3" t="s">
        <v>11449</v>
      </c>
      <c r="H3393" s="54">
        <v>0</v>
      </c>
      <c r="I3393" s="55">
        <v>470000000</v>
      </c>
      <c r="J3393" s="56" t="s">
        <v>229</v>
      </c>
      <c r="K3393" s="57" t="s">
        <v>7698</v>
      </c>
      <c r="L3393" s="57" t="s">
        <v>364</v>
      </c>
      <c r="M3393" s="3" t="s">
        <v>230</v>
      </c>
      <c r="N3393" s="52" t="s">
        <v>7693</v>
      </c>
      <c r="O3393" s="6" t="s">
        <v>365</v>
      </c>
      <c r="P3393" s="58" t="s">
        <v>241</v>
      </c>
      <c r="Q3393" s="116" t="s">
        <v>234</v>
      </c>
      <c r="R3393" s="22">
        <v>30</v>
      </c>
      <c r="S3393" s="59">
        <v>401.98862000000008</v>
      </c>
      <c r="T3393" s="4">
        <v>0</v>
      </c>
      <c r="U3393" s="4">
        <f t="shared" si="127"/>
        <v>0</v>
      </c>
      <c r="V3393" s="1"/>
      <c r="W3393" s="3">
        <v>2014</v>
      </c>
      <c r="X3393" s="3">
        <v>11.12</v>
      </c>
    </row>
    <row r="3394" spans="1:24" ht="114.75">
      <c r="A3394" s="3" t="s">
        <v>13467</v>
      </c>
      <c r="B3394" s="6" t="s">
        <v>361</v>
      </c>
      <c r="C3394" s="174" t="s">
        <v>7542</v>
      </c>
      <c r="D3394" s="45" t="s">
        <v>5480</v>
      </c>
      <c r="E3394" s="6" t="s">
        <v>11496</v>
      </c>
      <c r="F3394" s="117" t="s">
        <v>7733</v>
      </c>
      <c r="G3394" s="3" t="s">
        <v>11449</v>
      </c>
      <c r="H3394" s="54">
        <v>0</v>
      </c>
      <c r="I3394" s="55">
        <v>470000000</v>
      </c>
      <c r="J3394" s="56" t="s">
        <v>229</v>
      </c>
      <c r="K3394" s="57" t="s">
        <v>642</v>
      </c>
      <c r="L3394" s="12" t="s">
        <v>404</v>
      </c>
      <c r="M3394" s="3" t="s">
        <v>230</v>
      </c>
      <c r="N3394" s="52" t="s">
        <v>7693</v>
      </c>
      <c r="O3394" s="6" t="s">
        <v>365</v>
      </c>
      <c r="P3394" s="58" t="s">
        <v>241</v>
      </c>
      <c r="Q3394" s="116" t="s">
        <v>234</v>
      </c>
      <c r="R3394" s="22">
        <v>30</v>
      </c>
      <c r="S3394" s="59">
        <v>401.98862000000008</v>
      </c>
      <c r="T3394" s="4">
        <v>0</v>
      </c>
      <c r="U3394" s="4">
        <f t="shared" si="127"/>
        <v>0</v>
      </c>
      <c r="V3394" s="1"/>
      <c r="W3394" s="3">
        <v>2014</v>
      </c>
      <c r="X3394" s="3" t="s">
        <v>14785</v>
      </c>
    </row>
    <row r="3395" spans="1:24" ht="114.75">
      <c r="A3395" s="3" t="s">
        <v>16707</v>
      </c>
      <c r="B3395" s="6" t="s">
        <v>361</v>
      </c>
      <c r="C3395" s="174" t="s">
        <v>7542</v>
      </c>
      <c r="D3395" s="45" t="s">
        <v>5480</v>
      </c>
      <c r="E3395" s="6" t="s">
        <v>11496</v>
      </c>
      <c r="F3395" s="117" t="s">
        <v>7733</v>
      </c>
      <c r="G3395" s="3" t="s">
        <v>11449</v>
      </c>
      <c r="H3395" s="54">
        <v>0</v>
      </c>
      <c r="I3395" s="55">
        <v>470000000</v>
      </c>
      <c r="J3395" s="56" t="s">
        <v>229</v>
      </c>
      <c r="K3395" s="57" t="s">
        <v>8950</v>
      </c>
      <c r="L3395" s="12" t="s">
        <v>404</v>
      </c>
      <c r="M3395" s="3" t="s">
        <v>230</v>
      </c>
      <c r="N3395" s="52" t="s">
        <v>7693</v>
      </c>
      <c r="O3395" s="6" t="s">
        <v>365</v>
      </c>
      <c r="P3395" s="58" t="s">
        <v>241</v>
      </c>
      <c r="Q3395" s="116" t="s">
        <v>234</v>
      </c>
      <c r="R3395" s="22">
        <v>30</v>
      </c>
      <c r="S3395" s="59">
        <v>482.38634400000007</v>
      </c>
      <c r="T3395" s="4">
        <f>R3395*S3395</f>
        <v>14471.590320000001</v>
      </c>
      <c r="U3395" s="4">
        <f t="shared" si="127"/>
        <v>16208.181158400002</v>
      </c>
      <c r="V3395" s="1"/>
      <c r="W3395" s="3">
        <v>2014</v>
      </c>
      <c r="X3395" s="3"/>
    </row>
    <row r="3396" spans="1:24" ht="114.75">
      <c r="A3396" s="3" t="s">
        <v>1675</v>
      </c>
      <c r="B3396" s="6" t="s">
        <v>361</v>
      </c>
      <c r="C3396" s="174" t="s">
        <v>7535</v>
      </c>
      <c r="D3396" s="45" t="s">
        <v>7536</v>
      </c>
      <c r="E3396" s="6" t="s">
        <v>3115</v>
      </c>
      <c r="F3396" s="117" t="s">
        <v>7734</v>
      </c>
      <c r="G3396" s="3" t="s">
        <v>11449</v>
      </c>
      <c r="H3396" s="54">
        <v>0</v>
      </c>
      <c r="I3396" s="55">
        <v>470000000</v>
      </c>
      <c r="J3396" s="56" t="s">
        <v>229</v>
      </c>
      <c r="K3396" s="57" t="s">
        <v>7698</v>
      </c>
      <c r="L3396" s="57" t="s">
        <v>364</v>
      </c>
      <c r="M3396" s="3" t="s">
        <v>230</v>
      </c>
      <c r="N3396" s="52" t="s">
        <v>7693</v>
      </c>
      <c r="O3396" s="6" t="s">
        <v>365</v>
      </c>
      <c r="P3396" s="58" t="s">
        <v>242</v>
      </c>
      <c r="Q3396" s="116" t="s">
        <v>239</v>
      </c>
      <c r="R3396" s="22">
        <v>10</v>
      </c>
      <c r="S3396" s="59">
        <v>12830.161190000003</v>
      </c>
      <c r="T3396" s="4">
        <v>0</v>
      </c>
      <c r="U3396" s="4">
        <f t="shared" si="127"/>
        <v>0</v>
      </c>
      <c r="V3396" s="1"/>
      <c r="W3396" s="3">
        <v>2014</v>
      </c>
      <c r="X3396" s="3">
        <v>11.12</v>
      </c>
    </row>
    <row r="3397" spans="1:24" ht="114.75">
      <c r="A3397" s="3" t="s">
        <v>13468</v>
      </c>
      <c r="B3397" s="6" t="s">
        <v>361</v>
      </c>
      <c r="C3397" s="174" t="s">
        <v>7535</v>
      </c>
      <c r="D3397" s="45" t="s">
        <v>7536</v>
      </c>
      <c r="E3397" s="6" t="s">
        <v>3115</v>
      </c>
      <c r="F3397" s="117" t="s">
        <v>7734</v>
      </c>
      <c r="G3397" s="3" t="s">
        <v>11449</v>
      </c>
      <c r="H3397" s="54">
        <v>0</v>
      </c>
      <c r="I3397" s="55">
        <v>470000000</v>
      </c>
      <c r="J3397" s="56" t="s">
        <v>229</v>
      </c>
      <c r="K3397" s="57" t="s">
        <v>642</v>
      </c>
      <c r="L3397" s="12" t="s">
        <v>404</v>
      </c>
      <c r="M3397" s="3" t="s">
        <v>230</v>
      </c>
      <c r="N3397" s="52" t="s">
        <v>7693</v>
      </c>
      <c r="O3397" s="6" t="s">
        <v>365</v>
      </c>
      <c r="P3397" s="58" t="s">
        <v>242</v>
      </c>
      <c r="Q3397" s="116" t="s">
        <v>239</v>
      </c>
      <c r="R3397" s="22">
        <v>10</v>
      </c>
      <c r="S3397" s="59">
        <v>12830.161190000003</v>
      </c>
      <c r="T3397" s="4">
        <v>0</v>
      </c>
      <c r="U3397" s="4">
        <f t="shared" si="127"/>
        <v>0</v>
      </c>
      <c r="V3397" s="1"/>
      <c r="W3397" s="3">
        <v>2014</v>
      </c>
      <c r="X3397" s="3" t="s">
        <v>14785</v>
      </c>
    </row>
    <row r="3398" spans="1:24" ht="114.75">
      <c r="A3398" s="3" t="s">
        <v>16708</v>
      </c>
      <c r="B3398" s="6" t="s">
        <v>361</v>
      </c>
      <c r="C3398" s="174" t="s">
        <v>7535</v>
      </c>
      <c r="D3398" s="45" t="s">
        <v>7536</v>
      </c>
      <c r="E3398" s="6" t="s">
        <v>3115</v>
      </c>
      <c r="F3398" s="117" t="s">
        <v>7734</v>
      </c>
      <c r="G3398" s="3" t="s">
        <v>11449</v>
      </c>
      <c r="H3398" s="54">
        <v>0</v>
      </c>
      <c r="I3398" s="55">
        <v>470000000</v>
      </c>
      <c r="J3398" s="56" t="s">
        <v>229</v>
      </c>
      <c r="K3398" s="57" t="s">
        <v>8950</v>
      </c>
      <c r="L3398" s="12" t="s">
        <v>404</v>
      </c>
      <c r="M3398" s="3" t="s">
        <v>230</v>
      </c>
      <c r="N3398" s="52" t="s">
        <v>7693</v>
      </c>
      <c r="O3398" s="6" t="s">
        <v>365</v>
      </c>
      <c r="P3398" s="58" t="s">
        <v>242</v>
      </c>
      <c r="Q3398" s="116" t="s">
        <v>239</v>
      </c>
      <c r="R3398" s="22">
        <v>10</v>
      </c>
      <c r="S3398" s="59">
        <v>15396.193428000002</v>
      </c>
      <c r="T3398" s="4">
        <f>R3398*S3398</f>
        <v>153961.93428000002</v>
      </c>
      <c r="U3398" s="4">
        <f t="shared" si="127"/>
        <v>172437.36639360004</v>
      </c>
      <c r="V3398" s="1"/>
      <c r="W3398" s="3">
        <v>2014</v>
      </c>
      <c r="X3398" s="3"/>
    </row>
    <row r="3399" spans="1:24" ht="114.75">
      <c r="A3399" s="3" t="s">
        <v>1676</v>
      </c>
      <c r="B3399" s="6" t="s">
        <v>361</v>
      </c>
      <c r="C3399" s="174" t="s">
        <v>11497</v>
      </c>
      <c r="D3399" s="45" t="s">
        <v>11498</v>
      </c>
      <c r="E3399" s="6" t="s">
        <v>5332</v>
      </c>
      <c r="F3399" s="117" t="s">
        <v>7735</v>
      </c>
      <c r="G3399" s="3" t="s">
        <v>11449</v>
      </c>
      <c r="H3399" s="54">
        <v>0</v>
      </c>
      <c r="I3399" s="55">
        <v>470000000</v>
      </c>
      <c r="J3399" s="56" t="s">
        <v>229</v>
      </c>
      <c r="K3399" s="57" t="s">
        <v>7698</v>
      </c>
      <c r="L3399" s="57" t="s">
        <v>364</v>
      </c>
      <c r="M3399" s="3" t="s">
        <v>230</v>
      </c>
      <c r="N3399" s="52" t="s">
        <v>7693</v>
      </c>
      <c r="O3399" s="6" t="s">
        <v>365</v>
      </c>
      <c r="P3399" s="58" t="s">
        <v>241</v>
      </c>
      <c r="Q3399" s="117" t="s">
        <v>234</v>
      </c>
      <c r="R3399" s="22">
        <v>16</v>
      </c>
      <c r="S3399" s="59">
        <v>720.20410000000015</v>
      </c>
      <c r="T3399" s="4">
        <v>0</v>
      </c>
      <c r="U3399" s="4">
        <f t="shared" si="127"/>
        <v>0</v>
      </c>
      <c r="V3399" s="1"/>
      <c r="W3399" s="3">
        <v>2014</v>
      </c>
      <c r="X3399" s="3">
        <v>11.12</v>
      </c>
    </row>
    <row r="3400" spans="1:24" ht="114.75">
      <c r="A3400" s="3" t="s">
        <v>13469</v>
      </c>
      <c r="B3400" s="6" t="s">
        <v>361</v>
      </c>
      <c r="C3400" s="174" t="s">
        <v>11497</v>
      </c>
      <c r="D3400" s="45" t="s">
        <v>11498</v>
      </c>
      <c r="E3400" s="6" t="s">
        <v>5332</v>
      </c>
      <c r="F3400" s="117" t="s">
        <v>7735</v>
      </c>
      <c r="G3400" s="3" t="s">
        <v>11449</v>
      </c>
      <c r="H3400" s="54">
        <v>0</v>
      </c>
      <c r="I3400" s="55">
        <v>470000000</v>
      </c>
      <c r="J3400" s="56" t="s">
        <v>229</v>
      </c>
      <c r="K3400" s="57" t="s">
        <v>642</v>
      </c>
      <c r="L3400" s="12" t="s">
        <v>404</v>
      </c>
      <c r="M3400" s="3" t="s">
        <v>230</v>
      </c>
      <c r="N3400" s="52" t="s">
        <v>7693</v>
      </c>
      <c r="O3400" s="6" t="s">
        <v>365</v>
      </c>
      <c r="P3400" s="58" t="s">
        <v>241</v>
      </c>
      <c r="Q3400" s="117" t="s">
        <v>234</v>
      </c>
      <c r="R3400" s="22">
        <v>16</v>
      </c>
      <c r="S3400" s="59">
        <v>720.20410000000015</v>
      </c>
      <c r="T3400" s="4">
        <v>0</v>
      </c>
      <c r="U3400" s="4">
        <f t="shared" si="127"/>
        <v>0</v>
      </c>
      <c r="V3400" s="1"/>
      <c r="W3400" s="3">
        <v>2014</v>
      </c>
      <c r="X3400" s="3" t="s">
        <v>14785</v>
      </c>
    </row>
    <row r="3401" spans="1:24" ht="114.75">
      <c r="A3401" s="3" t="s">
        <v>16709</v>
      </c>
      <c r="B3401" s="6" t="s">
        <v>361</v>
      </c>
      <c r="C3401" s="174" t="s">
        <v>11497</v>
      </c>
      <c r="D3401" s="45" t="s">
        <v>11498</v>
      </c>
      <c r="E3401" s="6" t="s">
        <v>5332</v>
      </c>
      <c r="F3401" s="117" t="s">
        <v>7735</v>
      </c>
      <c r="G3401" s="3" t="s">
        <v>11449</v>
      </c>
      <c r="H3401" s="54">
        <v>0</v>
      </c>
      <c r="I3401" s="55">
        <v>470000000</v>
      </c>
      <c r="J3401" s="56" t="s">
        <v>229</v>
      </c>
      <c r="K3401" s="57" t="s">
        <v>8950</v>
      </c>
      <c r="L3401" s="12" t="s">
        <v>404</v>
      </c>
      <c r="M3401" s="3" t="s">
        <v>230</v>
      </c>
      <c r="N3401" s="52" t="s">
        <v>7693</v>
      </c>
      <c r="O3401" s="6" t="s">
        <v>365</v>
      </c>
      <c r="P3401" s="58" t="s">
        <v>241</v>
      </c>
      <c r="Q3401" s="117" t="s">
        <v>234</v>
      </c>
      <c r="R3401" s="22">
        <v>16</v>
      </c>
      <c r="S3401" s="59">
        <v>864.24492000000021</v>
      </c>
      <c r="T3401" s="4">
        <f>R3401*S3401</f>
        <v>13827.918720000003</v>
      </c>
      <c r="U3401" s="4">
        <f t="shared" si="127"/>
        <v>15487.268966400005</v>
      </c>
      <c r="V3401" s="1"/>
      <c r="W3401" s="3">
        <v>2014</v>
      </c>
      <c r="X3401" s="3"/>
    </row>
    <row r="3402" spans="1:24" ht="114.75">
      <c r="A3402" s="3" t="s">
        <v>1677</v>
      </c>
      <c r="B3402" s="6" t="s">
        <v>361</v>
      </c>
      <c r="C3402" s="174" t="s">
        <v>11499</v>
      </c>
      <c r="D3402" s="45" t="s">
        <v>5809</v>
      </c>
      <c r="E3402" s="6" t="s">
        <v>11500</v>
      </c>
      <c r="F3402" s="117" t="s">
        <v>7736</v>
      </c>
      <c r="G3402" s="3" t="s">
        <v>11449</v>
      </c>
      <c r="H3402" s="54">
        <v>0</v>
      </c>
      <c r="I3402" s="55">
        <v>470000000</v>
      </c>
      <c r="J3402" s="56" t="s">
        <v>229</v>
      </c>
      <c r="K3402" s="57" t="s">
        <v>7698</v>
      </c>
      <c r="L3402" s="57" t="s">
        <v>364</v>
      </c>
      <c r="M3402" s="3" t="s">
        <v>230</v>
      </c>
      <c r="N3402" s="52" t="s">
        <v>7693</v>
      </c>
      <c r="O3402" s="6" t="s">
        <v>365</v>
      </c>
      <c r="P3402" s="58" t="s">
        <v>241</v>
      </c>
      <c r="Q3402" s="117" t="s">
        <v>234</v>
      </c>
      <c r="R3402" s="22">
        <v>20</v>
      </c>
      <c r="S3402" s="59">
        <v>29937.03834000001</v>
      </c>
      <c r="T3402" s="4">
        <v>0</v>
      </c>
      <c r="U3402" s="4">
        <f t="shared" si="127"/>
        <v>0</v>
      </c>
      <c r="V3402" s="1"/>
      <c r="W3402" s="3">
        <v>2014</v>
      </c>
      <c r="X3402" s="3">
        <v>11.12</v>
      </c>
    </row>
    <row r="3403" spans="1:24" ht="114.75">
      <c r="A3403" s="3" t="s">
        <v>13470</v>
      </c>
      <c r="B3403" s="6" t="s">
        <v>361</v>
      </c>
      <c r="C3403" s="174" t="s">
        <v>11499</v>
      </c>
      <c r="D3403" s="45" t="s">
        <v>5809</v>
      </c>
      <c r="E3403" s="6" t="s">
        <v>11500</v>
      </c>
      <c r="F3403" s="117" t="s">
        <v>7736</v>
      </c>
      <c r="G3403" s="3" t="s">
        <v>11449</v>
      </c>
      <c r="H3403" s="54">
        <v>0</v>
      </c>
      <c r="I3403" s="55">
        <v>470000000</v>
      </c>
      <c r="J3403" s="56" t="s">
        <v>229</v>
      </c>
      <c r="K3403" s="57" t="s">
        <v>642</v>
      </c>
      <c r="L3403" s="12" t="s">
        <v>404</v>
      </c>
      <c r="M3403" s="3" t="s">
        <v>230</v>
      </c>
      <c r="N3403" s="52" t="s">
        <v>7693</v>
      </c>
      <c r="O3403" s="6" t="s">
        <v>365</v>
      </c>
      <c r="P3403" s="58" t="s">
        <v>241</v>
      </c>
      <c r="Q3403" s="117" t="s">
        <v>234</v>
      </c>
      <c r="R3403" s="22">
        <v>20</v>
      </c>
      <c r="S3403" s="59">
        <v>29937.03834000001</v>
      </c>
      <c r="T3403" s="4">
        <v>0</v>
      </c>
      <c r="U3403" s="4">
        <f t="shared" si="127"/>
        <v>0</v>
      </c>
      <c r="V3403" s="1"/>
      <c r="W3403" s="3">
        <v>2014</v>
      </c>
      <c r="X3403" s="3" t="s">
        <v>14785</v>
      </c>
    </row>
    <row r="3404" spans="1:24" ht="114.75">
      <c r="A3404" s="3" t="s">
        <v>16710</v>
      </c>
      <c r="B3404" s="6" t="s">
        <v>361</v>
      </c>
      <c r="C3404" s="174" t="s">
        <v>11499</v>
      </c>
      <c r="D3404" s="45" t="s">
        <v>5809</v>
      </c>
      <c r="E3404" s="6" t="s">
        <v>11500</v>
      </c>
      <c r="F3404" s="117" t="s">
        <v>7736</v>
      </c>
      <c r="G3404" s="3" t="s">
        <v>11449</v>
      </c>
      <c r="H3404" s="54">
        <v>0</v>
      </c>
      <c r="I3404" s="55">
        <v>470000000</v>
      </c>
      <c r="J3404" s="56" t="s">
        <v>229</v>
      </c>
      <c r="K3404" s="57" t="s">
        <v>8950</v>
      </c>
      <c r="L3404" s="12" t="s">
        <v>404</v>
      </c>
      <c r="M3404" s="3" t="s">
        <v>230</v>
      </c>
      <c r="N3404" s="52" t="s">
        <v>7693</v>
      </c>
      <c r="O3404" s="6" t="s">
        <v>365</v>
      </c>
      <c r="P3404" s="58" t="s">
        <v>241</v>
      </c>
      <c r="Q3404" s="117" t="s">
        <v>234</v>
      </c>
      <c r="R3404" s="22">
        <v>20</v>
      </c>
      <c r="S3404" s="59">
        <v>35924.446008000014</v>
      </c>
      <c r="T3404" s="4">
        <v>0</v>
      </c>
      <c r="U3404" s="4">
        <f t="shared" si="127"/>
        <v>0</v>
      </c>
      <c r="V3404" s="1"/>
      <c r="W3404" s="3">
        <v>2014</v>
      </c>
      <c r="X3404" s="3">
        <v>11.14</v>
      </c>
    </row>
    <row r="3405" spans="1:24" ht="114.75">
      <c r="A3405" s="3" t="s">
        <v>18999</v>
      </c>
      <c r="B3405" s="6" t="s">
        <v>361</v>
      </c>
      <c r="C3405" s="174" t="s">
        <v>11499</v>
      </c>
      <c r="D3405" s="45" t="s">
        <v>5809</v>
      </c>
      <c r="E3405" s="6" t="s">
        <v>11500</v>
      </c>
      <c r="F3405" s="117" t="s">
        <v>7736</v>
      </c>
      <c r="G3405" s="3" t="s">
        <v>11449</v>
      </c>
      <c r="H3405" s="54">
        <v>0</v>
      </c>
      <c r="I3405" s="55">
        <v>470000000</v>
      </c>
      <c r="J3405" s="56" t="s">
        <v>229</v>
      </c>
      <c r="K3405" s="57" t="s">
        <v>18437</v>
      </c>
      <c r="L3405" s="12" t="s">
        <v>404</v>
      </c>
      <c r="M3405" s="3" t="s">
        <v>230</v>
      </c>
      <c r="N3405" s="52" t="s">
        <v>16511</v>
      </c>
      <c r="O3405" s="6" t="s">
        <v>365</v>
      </c>
      <c r="P3405" s="58" t="s">
        <v>241</v>
      </c>
      <c r="Q3405" s="117" t="s">
        <v>234</v>
      </c>
      <c r="R3405" s="22">
        <v>20</v>
      </c>
      <c r="S3405" s="59">
        <v>35924.446008000014</v>
      </c>
      <c r="T3405" s="4">
        <v>0</v>
      </c>
      <c r="U3405" s="4">
        <f t="shared" si="127"/>
        <v>0</v>
      </c>
      <c r="V3405" s="1"/>
      <c r="W3405" s="3">
        <v>2014</v>
      </c>
      <c r="X3405" s="3">
        <v>11.15</v>
      </c>
    </row>
    <row r="3406" spans="1:24" ht="76.5">
      <c r="A3406" s="3" t="s">
        <v>19464</v>
      </c>
      <c r="B3406" s="6" t="s">
        <v>361</v>
      </c>
      <c r="C3406" s="174" t="s">
        <v>11499</v>
      </c>
      <c r="D3406" s="45" t="s">
        <v>5809</v>
      </c>
      <c r="E3406" s="6" t="s">
        <v>11500</v>
      </c>
      <c r="F3406" s="117" t="s">
        <v>7736</v>
      </c>
      <c r="G3406" s="3" t="s">
        <v>11449</v>
      </c>
      <c r="H3406" s="54">
        <v>0</v>
      </c>
      <c r="I3406" s="55">
        <v>470000000</v>
      </c>
      <c r="J3406" s="56" t="s">
        <v>229</v>
      </c>
      <c r="K3406" s="57" t="s">
        <v>19379</v>
      </c>
      <c r="L3406" s="12" t="s">
        <v>404</v>
      </c>
      <c r="M3406" s="3" t="s">
        <v>230</v>
      </c>
      <c r="N3406" s="52" t="s">
        <v>16511</v>
      </c>
      <c r="O3406" s="6" t="s">
        <v>19407</v>
      </c>
      <c r="P3406" s="58" t="s">
        <v>241</v>
      </c>
      <c r="Q3406" s="117" t="s">
        <v>234</v>
      </c>
      <c r="R3406" s="22">
        <v>20</v>
      </c>
      <c r="S3406" s="59">
        <v>35924.446008000014</v>
      </c>
      <c r="T3406" s="4">
        <f>R3406*S3406</f>
        <v>718488.92016000021</v>
      </c>
      <c r="U3406" s="4">
        <f t="shared" ref="U3406" si="128">T3406*1.12</f>
        <v>804707.5905792003</v>
      </c>
      <c r="V3406" s="1"/>
      <c r="W3406" s="3">
        <v>2014</v>
      </c>
      <c r="X3406" s="3"/>
    </row>
    <row r="3407" spans="1:24" ht="114.75">
      <c r="A3407" s="3" t="s">
        <v>1678</v>
      </c>
      <c r="B3407" s="6" t="s">
        <v>361</v>
      </c>
      <c r="C3407" s="174" t="s">
        <v>7560</v>
      </c>
      <c r="D3407" s="46" t="s">
        <v>7561</v>
      </c>
      <c r="E3407" s="6" t="s">
        <v>7562</v>
      </c>
      <c r="F3407" s="117" t="s">
        <v>7737</v>
      </c>
      <c r="G3407" s="3" t="s">
        <v>11449</v>
      </c>
      <c r="H3407" s="54">
        <v>0</v>
      </c>
      <c r="I3407" s="55">
        <v>470000000</v>
      </c>
      <c r="J3407" s="56" t="s">
        <v>229</v>
      </c>
      <c r="K3407" s="57" t="s">
        <v>7698</v>
      </c>
      <c r="L3407" s="57" t="s">
        <v>364</v>
      </c>
      <c r="M3407" s="3" t="s">
        <v>230</v>
      </c>
      <c r="N3407" s="52" t="s">
        <v>7693</v>
      </c>
      <c r="O3407" s="6" t="s">
        <v>365</v>
      </c>
      <c r="P3407" s="58" t="s">
        <v>241</v>
      </c>
      <c r="Q3407" s="117" t="s">
        <v>234</v>
      </c>
      <c r="R3407" s="22">
        <v>20</v>
      </c>
      <c r="S3407" s="59">
        <v>11290.566870000004</v>
      </c>
      <c r="T3407" s="4">
        <v>0</v>
      </c>
      <c r="U3407" s="4">
        <f t="shared" si="127"/>
        <v>0</v>
      </c>
      <c r="V3407" s="1"/>
      <c r="W3407" s="3">
        <v>2014</v>
      </c>
      <c r="X3407" s="3">
        <v>11.12</v>
      </c>
    </row>
    <row r="3408" spans="1:24" ht="114.75">
      <c r="A3408" s="3" t="s">
        <v>13471</v>
      </c>
      <c r="B3408" s="6" t="s">
        <v>361</v>
      </c>
      <c r="C3408" s="174" t="s">
        <v>7560</v>
      </c>
      <c r="D3408" s="46" t="s">
        <v>7561</v>
      </c>
      <c r="E3408" s="6" t="s">
        <v>7562</v>
      </c>
      <c r="F3408" s="117" t="s">
        <v>7737</v>
      </c>
      <c r="G3408" s="3" t="s">
        <v>11449</v>
      </c>
      <c r="H3408" s="54">
        <v>0</v>
      </c>
      <c r="I3408" s="55">
        <v>470000000</v>
      </c>
      <c r="J3408" s="56" t="s">
        <v>229</v>
      </c>
      <c r="K3408" s="57" t="s">
        <v>642</v>
      </c>
      <c r="L3408" s="12" t="s">
        <v>404</v>
      </c>
      <c r="M3408" s="3" t="s">
        <v>230</v>
      </c>
      <c r="N3408" s="52" t="s">
        <v>7693</v>
      </c>
      <c r="O3408" s="6" t="s">
        <v>365</v>
      </c>
      <c r="P3408" s="58" t="s">
        <v>241</v>
      </c>
      <c r="Q3408" s="117" t="s">
        <v>234</v>
      </c>
      <c r="R3408" s="22">
        <v>20</v>
      </c>
      <c r="S3408" s="59">
        <v>11290.566870000004</v>
      </c>
      <c r="T3408" s="4">
        <v>0</v>
      </c>
      <c r="U3408" s="4">
        <f t="shared" si="127"/>
        <v>0</v>
      </c>
      <c r="V3408" s="1"/>
      <c r="W3408" s="3">
        <v>2014</v>
      </c>
      <c r="X3408" s="3" t="s">
        <v>14785</v>
      </c>
    </row>
    <row r="3409" spans="1:24" ht="114.75">
      <c r="A3409" s="3" t="s">
        <v>16711</v>
      </c>
      <c r="B3409" s="6" t="s">
        <v>361</v>
      </c>
      <c r="C3409" s="174" t="s">
        <v>7560</v>
      </c>
      <c r="D3409" s="46" t="s">
        <v>7561</v>
      </c>
      <c r="E3409" s="6" t="s">
        <v>7562</v>
      </c>
      <c r="F3409" s="117" t="s">
        <v>7737</v>
      </c>
      <c r="G3409" s="3" t="s">
        <v>11449</v>
      </c>
      <c r="H3409" s="54">
        <v>0</v>
      </c>
      <c r="I3409" s="55">
        <v>470000000</v>
      </c>
      <c r="J3409" s="56" t="s">
        <v>229</v>
      </c>
      <c r="K3409" s="57" t="s">
        <v>8950</v>
      </c>
      <c r="L3409" s="12" t="s">
        <v>404</v>
      </c>
      <c r="M3409" s="3" t="s">
        <v>230</v>
      </c>
      <c r="N3409" s="52" t="s">
        <v>7693</v>
      </c>
      <c r="O3409" s="6" t="s">
        <v>365</v>
      </c>
      <c r="P3409" s="58" t="s">
        <v>241</v>
      </c>
      <c r="Q3409" s="117" t="s">
        <v>234</v>
      </c>
      <c r="R3409" s="22">
        <v>20</v>
      </c>
      <c r="S3409" s="59">
        <v>13548.680244000005</v>
      </c>
      <c r="T3409" s="4">
        <v>0</v>
      </c>
      <c r="U3409" s="4">
        <f t="shared" si="127"/>
        <v>0</v>
      </c>
      <c r="V3409" s="1"/>
      <c r="W3409" s="3">
        <v>2014</v>
      </c>
      <c r="X3409" s="3">
        <v>11.14</v>
      </c>
    </row>
    <row r="3410" spans="1:24" ht="114.75">
      <c r="A3410" s="3" t="s">
        <v>19000</v>
      </c>
      <c r="B3410" s="6" t="s">
        <v>361</v>
      </c>
      <c r="C3410" s="174" t="s">
        <v>7560</v>
      </c>
      <c r="D3410" s="46" t="s">
        <v>7561</v>
      </c>
      <c r="E3410" s="6" t="s">
        <v>7562</v>
      </c>
      <c r="F3410" s="117" t="s">
        <v>7737</v>
      </c>
      <c r="G3410" s="3" t="s">
        <v>11449</v>
      </c>
      <c r="H3410" s="54">
        <v>0</v>
      </c>
      <c r="I3410" s="55">
        <v>470000000</v>
      </c>
      <c r="J3410" s="56" t="s">
        <v>229</v>
      </c>
      <c r="K3410" s="57" t="s">
        <v>18437</v>
      </c>
      <c r="L3410" s="12" t="s">
        <v>404</v>
      </c>
      <c r="M3410" s="3" t="s">
        <v>230</v>
      </c>
      <c r="N3410" s="52" t="s">
        <v>16511</v>
      </c>
      <c r="O3410" s="6" t="s">
        <v>365</v>
      </c>
      <c r="P3410" s="58" t="s">
        <v>241</v>
      </c>
      <c r="Q3410" s="117" t="s">
        <v>234</v>
      </c>
      <c r="R3410" s="22">
        <v>20</v>
      </c>
      <c r="S3410" s="59">
        <v>13548.680244000005</v>
      </c>
      <c r="T3410" s="4">
        <v>0</v>
      </c>
      <c r="U3410" s="4">
        <f t="shared" si="127"/>
        <v>0</v>
      </c>
      <c r="V3410" s="1"/>
      <c r="W3410" s="3">
        <v>2014</v>
      </c>
      <c r="X3410" s="3">
        <v>11.15</v>
      </c>
    </row>
    <row r="3411" spans="1:24" ht="76.5">
      <c r="A3411" s="3" t="s">
        <v>19465</v>
      </c>
      <c r="B3411" s="6" t="s">
        <v>361</v>
      </c>
      <c r="C3411" s="174" t="s">
        <v>7560</v>
      </c>
      <c r="D3411" s="46" t="s">
        <v>7561</v>
      </c>
      <c r="E3411" s="6" t="s">
        <v>7562</v>
      </c>
      <c r="F3411" s="117" t="s">
        <v>7737</v>
      </c>
      <c r="G3411" s="3" t="s">
        <v>11449</v>
      </c>
      <c r="H3411" s="54">
        <v>0</v>
      </c>
      <c r="I3411" s="55">
        <v>470000000</v>
      </c>
      <c r="J3411" s="56" t="s">
        <v>229</v>
      </c>
      <c r="K3411" s="57" t="s">
        <v>19379</v>
      </c>
      <c r="L3411" s="12" t="s">
        <v>404</v>
      </c>
      <c r="M3411" s="3" t="s">
        <v>230</v>
      </c>
      <c r="N3411" s="52" t="s">
        <v>16511</v>
      </c>
      <c r="O3411" s="6" t="s">
        <v>19407</v>
      </c>
      <c r="P3411" s="58" t="s">
        <v>241</v>
      </c>
      <c r="Q3411" s="117" t="s">
        <v>234</v>
      </c>
      <c r="R3411" s="22">
        <v>20</v>
      </c>
      <c r="S3411" s="59">
        <v>13548.680244000005</v>
      </c>
      <c r="T3411" s="4">
        <f>R3411*S3411</f>
        <v>270973.60488000012</v>
      </c>
      <c r="U3411" s="4">
        <f t="shared" ref="U3411" si="129">T3411*1.12</f>
        <v>303490.43746560015</v>
      </c>
      <c r="V3411" s="1"/>
      <c r="W3411" s="3">
        <v>2014</v>
      </c>
      <c r="X3411" s="3"/>
    </row>
    <row r="3412" spans="1:24" ht="114.75">
      <c r="A3412" s="3" t="s">
        <v>1679</v>
      </c>
      <c r="B3412" s="6" t="s">
        <v>361</v>
      </c>
      <c r="C3412" s="174" t="s">
        <v>7535</v>
      </c>
      <c r="D3412" s="45" t="s">
        <v>7536</v>
      </c>
      <c r="E3412" s="6" t="s">
        <v>3115</v>
      </c>
      <c r="F3412" s="116" t="s">
        <v>7738</v>
      </c>
      <c r="G3412" s="3" t="s">
        <v>11449</v>
      </c>
      <c r="H3412" s="54">
        <v>0</v>
      </c>
      <c r="I3412" s="55">
        <v>470000000</v>
      </c>
      <c r="J3412" s="56" t="s">
        <v>229</v>
      </c>
      <c r="K3412" s="57" t="s">
        <v>7698</v>
      </c>
      <c r="L3412" s="57" t="s">
        <v>364</v>
      </c>
      <c r="M3412" s="3" t="s">
        <v>230</v>
      </c>
      <c r="N3412" s="52" t="s">
        <v>7693</v>
      </c>
      <c r="O3412" s="6" t="s">
        <v>365</v>
      </c>
      <c r="P3412" s="58" t="s">
        <v>241</v>
      </c>
      <c r="Q3412" s="117" t="s">
        <v>234</v>
      </c>
      <c r="R3412" s="22">
        <v>20</v>
      </c>
      <c r="S3412" s="59">
        <v>675.38933000000009</v>
      </c>
      <c r="T3412" s="4">
        <v>0</v>
      </c>
      <c r="U3412" s="4">
        <f t="shared" si="127"/>
        <v>0</v>
      </c>
      <c r="V3412" s="1"/>
      <c r="W3412" s="3">
        <v>2014</v>
      </c>
      <c r="X3412" s="3">
        <v>11.12</v>
      </c>
    </row>
    <row r="3413" spans="1:24" ht="114.75">
      <c r="A3413" s="3" t="s">
        <v>13472</v>
      </c>
      <c r="B3413" s="6" t="s">
        <v>361</v>
      </c>
      <c r="C3413" s="174" t="s">
        <v>7535</v>
      </c>
      <c r="D3413" s="45" t="s">
        <v>7536</v>
      </c>
      <c r="E3413" s="6" t="s">
        <v>3115</v>
      </c>
      <c r="F3413" s="116" t="s">
        <v>7738</v>
      </c>
      <c r="G3413" s="3" t="s">
        <v>11449</v>
      </c>
      <c r="H3413" s="54">
        <v>0</v>
      </c>
      <c r="I3413" s="55">
        <v>470000000</v>
      </c>
      <c r="J3413" s="56" t="s">
        <v>229</v>
      </c>
      <c r="K3413" s="57" t="s">
        <v>642</v>
      </c>
      <c r="L3413" s="12" t="s">
        <v>404</v>
      </c>
      <c r="M3413" s="3" t="s">
        <v>230</v>
      </c>
      <c r="N3413" s="52" t="s">
        <v>7693</v>
      </c>
      <c r="O3413" s="6" t="s">
        <v>365</v>
      </c>
      <c r="P3413" s="58" t="s">
        <v>241</v>
      </c>
      <c r="Q3413" s="117" t="s">
        <v>234</v>
      </c>
      <c r="R3413" s="22">
        <v>20</v>
      </c>
      <c r="S3413" s="59">
        <v>675.38933000000009</v>
      </c>
      <c r="T3413" s="4">
        <v>0</v>
      </c>
      <c r="U3413" s="4">
        <f t="shared" si="127"/>
        <v>0</v>
      </c>
      <c r="V3413" s="1"/>
      <c r="W3413" s="3">
        <v>2014</v>
      </c>
      <c r="X3413" s="3" t="s">
        <v>14785</v>
      </c>
    </row>
    <row r="3414" spans="1:24" ht="114.75">
      <c r="A3414" s="3" t="s">
        <v>16712</v>
      </c>
      <c r="B3414" s="6" t="s">
        <v>361</v>
      </c>
      <c r="C3414" s="174" t="s">
        <v>7535</v>
      </c>
      <c r="D3414" s="45" t="s">
        <v>7536</v>
      </c>
      <c r="E3414" s="6" t="s">
        <v>3115</v>
      </c>
      <c r="F3414" s="116" t="s">
        <v>7738</v>
      </c>
      <c r="G3414" s="3" t="s">
        <v>11449</v>
      </c>
      <c r="H3414" s="54">
        <v>0</v>
      </c>
      <c r="I3414" s="55">
        <v>470000000</v>
      </c>
      <c r="J3414" s="56" t="s">
        <v>229</v>
      </c>
      <c r="K3414" s="57" t="s">
        <v>8950</v>
      </c>
      <c r="L3414" s="12" t="s">
        <v>404</v>
      </c>
      <c r="M3414" s="3" t="s">
        <v>230</v>
      </c>
      <c r="N3414" s="52" t="s">
        <v>7693</v>
      </c>
      <c r="O3414" s="6" t="s">
        <v>365</v>
      </c>
      <c r="P3414" s="58" t="s">
        <v>241</v>
      </c>
      <c r="Q3414" s="117" t="s">
        <v>234</v>
      </c>
      <c r="R3414" s="22">
        <v>20</v>
      </c>
      <c r="S3414" s="59">
        <v>810.46719600000006</v>
      </c>
      <c r="T3414" s="4">
        <v>0</v>
      </c>
      <c r="U3414" s="4">
        <f t="shared" si="127"/>
        <v>0</v>
      </c>
      <c r="V3414" s="1"/>
      <c r="W3414" s="3">
        <v>2014</v>
      </c>
      <c r="X3414" s="3">
        <v>11.14</v>
      </c>
    </row>
    <row r="3415" spans="1:24" ht="114.75">
      <c r="A3415" s="3" t="s">
        <v>19001</v>
      </c>
      <c r="B3415" s="6" t="s">
        <v>361</v>
      </c>
      <c r="C3415" s="174" t="s">
        <v>7535</v>
      </c>
      <c r="D3415" s="45" t="s">
        <v>7536</v>
      </c>
      <c r="E3415" s="6" t="s">
        <v>3115</v>
      </c>
      <c r="F3415" s="116" t="s">
        <v>7738</v>
      </c>
      <c r="G3415" s="3" t="s">
        <v>11449</v>
      </c>
      <c r="H3415" s="54">
        <v>0</v>
      </c>
      <c r="I3415" s="55">
        <v>470000000</v>
      </c>
      <c r="J3415" s="56" t="s">
        <v>229</v>
      </c>
      <c r="K3415" s="57" t="s">
        <v>18437</v>
      </c>
      <c r="L3415" s="12" t="s">
        <v>404</v>
      </c>
      <c r="M3415" s="3" t="s">
        <v>230</v>
      </c>
      <c r="N3415" s="52" t="s">
        <v>16511</v>
      </c>
      <c r="O3415" s="6" t="s">
        <v>365</v>
      </c>
      <c r="P3415" s="58" t="s">
        <v>241</v>
      </c>
      <c r="Q3415" s="117" t="s">
        <v>234</v>
      </c>
      <c r="R3415" s="22">
        <v>20</v>
      </c>
      <c r="S3415" s="59">
        <v>810.46719600000006</v>
      </c>
      <c r="T3415" s="4">
        <v>0</v>
      </c>
      <c r="U3415" s="4">
        <f t="shared" si="127"/>
        <v>0</v>
      </c>
      <c r="V3415" s="1"/>
      <c r="W3415" s="3">
        <v>2014</v>
      </c>
      <c r="X3415" s="3">
        <v>11.15</v>
      </c>
    </row>
    <row r="3416" spans="1:24" ht="76.5">
      <c r="A3416" s="3" t="s">
        <v>19466</v>
      </c>
      <c r="B3416" s="6" t="s">
        <v>361</v>
      </c>
      <c r="C3416" s="174" t="s">
        <v>7535</v>
      </c>
      <c r="D3416" s="45" t="s">
        <v>7536</v>
      </c>
      <c r="E3416" s="6" t="s">
        <v>3115</v>
      </c>
      <c r="F3416" s="116" t="s">
        <v>7738</v>
      </c>
      <c r="G3416" s="3" t="s">
        <v>11449</v>
      </c>
      <c r="H3416" s="54">
        <v>0</v>
      </c>
      <c r="I3416" s="55">
        <v>470000000</v>
      </c>
      <c r="J3416" s="56" t="s">
        <v>229</v>
      </c>
      <c r="K3416" s="57" t="s">
        <v>19379</v>
      </c>
      <c r="L3416" s="12" t="s">
        <v>404</v>
      </c>
      <c r="M3416" s="3" t="s">
        <v>230</v>
      </c>
      <c r="N3416" s="52" t="s">
        <v>16511</v>
      </c>
      <c r="O3416" s="6" t="s">
        <v>19407</v>
      </c>
      <c r="P3416" s="58" t="s">
        <v>241</v>
      </c>
      <c r="Q3416" s="117" t="s">
        <v>234</v>
      </c>
      <c r="R3416" s="22">
        <v>20</v>
      </c>
      <c r="S3416" s="59">
        <v>810.46719600000006</v>
      </c>
      <c r="T3416" s="4">
        <f>R3416*S3416</f>
        <v>16209.343920000001</v>
      </c>
      <c r="U3416" s="4">
        <f t="shared" ref="U3416" si="130">T3416*1.12</f>
        <v>18154.465190400002</v>
      </c>
      <c r="V3416" s="1"/>
      <c r="W3416" s="3">
        <v>2014</v>
      </c>
      <c r="X3416" s="3"/>
    </row>
    <row r="3417" spans="1:24" ht="114.75">
      <c r="A3417" s="3" t="s">
        <v>1680</v>
      </c>
      <c r="B3417" s="6" t="s">
        <v>361</v>
      </c>
      <c r="C3417" s="47" t="s">
        <v>7543</v>
      </c>
      <c r="D3417" s="44" t="s">
        <v>472</v>
      </c>
      <c r="E3417" s="6" t="s">
        <v>3115</v>
      </c>
      <c r="F3417" s="116" t="s">
        <v>7739</v>
      </c>
      <c r="G3417" s="3" t="s">
        <v>11449</v>
      </c>
      <c r="H3417" s="54">
        <v>0</v>
      </c>
      <c r="I3417" s="55">
        <v>470000000</v>
      </c>
      <c r="J3417" s="56" t="s">
        <v>229</v>
      </c>
      <c r="K3417" s="57" t="s">
        <v>7698</v>
      </c>
      <c r="L3417" s="57" t="s">
        <v>364</v>
      </c>
      <c r="M3417" s="3" t="s">
        <v>230</v>
      </c>
      <c r="N3417" s="52" t="s">
        <v>7693</v>
      </c>
      <c r="O3417" s="6" t="s">
        <v>365</v>
      </c>
      <c r="P3417" s="58" t="s">
        <v>241</v>
      </c>
      <c r="Q3417" s="117" t="s">
        <v>234</v>
      </c>
      <c r="R3417" s="22">
        <v>50</v>
      </c>
      <c r="S3417" s="59">
        <v>461.9102400000001</v>
      </c>
      <c r="T3417" s="4">
        <v>0</v>
      </c>
      <c r="U3417" s="4">
        <f t="shared" si="127"/>
        <v>0</v>
      </c>
      <c r="V3417" s="1"/>
      <c r="W3417" s="3">
        <v>2014</v>
      </c>
      <c r="X3417" s="3">
        <v>11.12</v>
      </c>
    </row>
    <row r="3418" spans="1:24" ht="114.75">
      <c r="A3418" s="3" t="s">
        <v>13473</v>
      </c>
      <c r="B3418" s="6" t="s">
        <v>361</v>
      </c>
      <c r="C3418" s="47" t="s">
        <v>7543</v>
      </c>
      <c r="D3418" s="44" t="s">
        <v>472</v>
      </c>
      <c r="E3418" s="6" t="s">
        <v>3115</v>
      </c>
      <c r="F3418" s="116" t="s">
        <v>7739</v>
      </c>
      <c r="G3418" s="3" t="s">
        <v>11449</v>
      </c>
      <c r="H3418" s="54">
        <v>0</v>
      </c>
      <c r="I3418" s="55">
        <v>470000000</v>
      </c>
      <c r="J3418" s="56" t="s">
        <v>229</v>
      </c>
      <c r="K3418" s="57" t="s">
        <v>642</v>
      </c>
      <c r="L3418" s="12" t="s">
        <v>404</v>
      </c>
      <c r="M3418" s="3" t="s">
        <v>230</v>
      </c>
      <c r="N3418" s="52" t="s">
        <v>7693</v>
      </c>
      <c r="O3418" s="6" t="s">
        <v>365</v>
      </c>
      <c r="P3418" s="58" t="s">
        <v>241</v>
      </c>
      <c r="Q3418" s="117" t="s">
        <v>234</v>
      </c>
      <c r="R3418" s="22">
        <v>50</v>
      </c>
      <c r="S3418" s="59">
        <v>461.9102400000001</v>
      </c>
      <c r="T3418" s="4">
        <v>0</v>
      </c>
      <c r="U3418" s="4">
        <f t="shared" si="127"/>
        <v>0</v>
      </c>
      <c r="V3418" s="1"/>
      <c r="W3418" s="3">
        <v>2014</v>
      </c>
      <c r="X3418" s="3" t="s">
        <v>14785</v>
      </c>
    </row>
    <row r="3419" spans="1:24" ht="114.75">
      <c r="A3419" s="3" t="s">
        <v>16713</v>
      </c>
      <c r="B3419" s="6" t="s">
        <v>361</v>
      </c>
      <c r="C3419" s="47" t="s">
        <v>7543</v>
      </c>
      <c r="D3419" s="44" t="s">
        <v>472</v>
      </c>
      <c r="E3419" s="6" t="s">
        <v>3115</v>
      </c>
      <c r="F3419" s="46" t="s">
        <v>7739</v>
      </c>
      <c r="G3419" s="3" t="s">
        <v>11449</v>
      </c>
      <c r="H3419" s="54">
        <v>0</v>
      </c>
      <c r="I3419" s="55">
        <v>470000000</v>
      </c>
      <c r="J3419" s="56" t="s">
        <v>229</v>
      </c>
      <c r="K3419" s="57" t="s">
        <v>8950</v>
      </c>
      <c r="L3419" s="12" t="s">
        <v>404</v>
      </c>
      <c r="M3419" s="3" t="s">
        <v>230</v>
      </c>
      <c r="N3419" s="52" t="s">
        <v>7693</v>
      </c>
      <c r="O3419" s="6" t="s">
        <v>365</v>
      </c>
      <c r="P3419" s="58" t="s">
        <v>241</v>
      </c>
      <c r="Q3419" s="117" t="s">
        <v>234</v>
      </c>
      <c r="R3419" s="22">
        <v>50</v>
      </c>
      <c r="S3419" s="59">
        <v>554.2922880000001</v>
      </c>
      <c r="T3419" s="4">
        <v>0</v>
      </c>
      <c r="U3419" s="4">
        <f t="shared" si="127"/>
        <v>0</v>
      </c>
      <c r="V3419" s="1"/>
      <c r="W3419" s="3">
        <v>2014</v>
      </c>
      <c r="X3419" s="3" t="s">
        <v>14265</v>
      </c>
    </row>
    <row r="3420" spans="1:24" ht="76.5">
      <c r="A3420" s="3" t="s">
        <v>19347</v>
      </c>
      <c r="B3420" s="6" t="s">
        <v>361</v>
      </c>
      <c r="C3420" s="47" t="s">
        <v>7543</v>
      </c>
      <c r="D3420" s="44" t="s">
        <v>472</v>
      </c>
      <c r="E3420" s="6" t="s">
        <v>3115</v>
      </c>
      <c r="F3420" s="46" t="s">
        <v>7739</v>
      </c>
      <c r="G3420" s="3" t="s">
        <v>11449</v>
      </c>
      <c r="H3420" s="54">
        <v>0</v>
      </c>
      <c r="I3420" s="55">
        <v>470000000</v>
      </c>
      <c r="J3420" s="56" t="s">
        <v>229</v>
      </c>
      <c r="K3420" s="57" t="s">
        <v>18437</v>
      </c>
      <c r="L3420" s="12" t="s">
        <v>404</v>
      </c>
      <c r="M3420" s="3" t="s">
        <v>230</v>
      </c>
      <c r="N3420" s="52" t="s">
        <v>16511</v>
      </c>
      <c r="O3420" s="6" t="s">
        <v>19407</v>
      </c>
      <c r="P3420" s="58" t="s">
        <v>241</v>
      </c>
      <c r="Q3420" s="117" t="s">
        <v>234</v>
      </c>
      <c r="R3420" s="22">
        <v>50</v>
      </c>
      <c r="S3420" s="59">
        <v>554.2922880000001</v>
      </c>
      <c r="T3420" s="4">
        <f>R3420*S3420</f>
        <v>27714.614400000006</v>
      </c>
      <c r="U3420" s="4">
        <f t="shared" si="127"/>
        <v>31040.368128000009</v>
      </c>
      <c r="V3420" s="1"/>
      <c r="W3420" s="3">
        <v>2014</v>
      </c>
      <c r="X3420" s="3"/>
    </row>
    <row r="3421" spans="1:24" ht="114.75">
      <c r="A3421" s="3" t="s">
        <v>1681</v>
      </c>
      <c r="B3421" s="6" t="s">
        <v>361</v>
      </c>
      <c r="C3421" s="47" t="s">
        <v>7544</v>
      </c>
      <c r="D3421" s="44" t="s">
        <v>387</v>
      </c>
      <c r="E3421" s="6" t="s">
        <v>7545</v>
      </c>
      <c r="F3421" s="116" t="s">
        <v>7740</v>
      </c>
      <c r="G3421" s="3" t="s">
        <v>11449</v>
      </c>
      <c r="H3421" s="54">
        <v>0</v>
      </c>
      <c r="I3421" s="55">
        <v>470000000</v>
      </c>
      <c r="J3421" s="56" t="s">
        <v>229</v>
      </c>
      <c r="K3421" s="57" t="s">
        <v>7698</v>
      </c>
      <c r="L3421" s="57" t="s">
        <v>364</v>
      </c>
      <c r="M3421" s="3" t="s">
        <v>230</v>
      </c>
      <c r="N3421" s="52" t="s">
        <v>7693</v>
      </c>
      <c r="O3421" s="6" t="s">
        <v>365</v>
      </c>
      <c r="P3421" s="58" t="s">
        <v>241</v>
      </c>
      <c r="Q3421" s="117" t="s">
        <v>234</v>
      </c>
      <c r="R3421" s="22">
        <v>50</v>
      </c>
      <c r="S3421" s="59">
        <v>179.60514000000001</v>
      </c>
      <c r="T3421" s="4">
        <v>0</v>
      </c>
      <c r="U3421" s="4">
        <f t="shared" si="127"/>
        <v>0</v>
      </c>
      <c r="V3421" s="1"/>
      <c r="W3421" s="3">
        <v>2014</v>
      </c>
      <c r="X3421" s="3">
        <v>11.12</v>
      </c>
    </row>
    <row r="3422" spans="1:24" ht="114.75">
      <c r="A3422" s="3" t="s">
        <v>13474</v>
      </c>
      <c r="B3422" s="6" t="s">
        <v>361</v>
      </c>
      <c r="C3422" s="47" t="s">
        <v>7544</v>
      </c>
      <c r="D3422" s="44" t="s">
        <v>387</v>
      </c>
      <c r="E3422" s="6" t="s">
        <v>7545</v>
      </c>
      <c r="F3422" s="116" t="s">
        <v>7740</v>
      </c>
      <c r="G3422" s="3" t="s">
        <v>11449</v>
      </c>
      <c r="H3422" s="54">
        <v>0</v>
      </c>
      <c r="I3422" s="55">
        <v>470000000</v>
      </c>
      <c r="J3422" s="56" t="s">
        <v>229</v>
      </c>
      <c r="K3422" s="57" t="s">
        <v>642</v>
      </c>
      <c r="L3422" s="12" t="s">
        <v>404</v>
      </c>
      <c r="M3422" s="3" t="s">
        <v>230</v>
      </c>
      <c r="N3422" s="52" t="s">
        <v>7693</v>
      </c>
      <c r="O3422" s="6" t="s">
        <v>365</v>
      </c>
      <c r="P3422" s="58" t="s">
        <v>241</v>
      </c>
      <c r="Q3422" s="117" t="s">
        <v>234</v>
      </c>
      <c r="R3422" s="22">
        <v>50</v>
      </c>
      <c r="S3422" s="59">
        <v>179.60514000000001</v>
      </c>
      <c r="T3422" s="4">
        <v>0</v>
      </c>
      <c r="U3422" s="4">
        <f t="shared" si="127"/>
        <v>0</v>
      </c>
      <c r="V3422" s="1"/>
      <c r="W3422" s="3">
        <v>2014</v>
      </c>
      <c r="X3422" s="3" t="s">
        <v>14785</v>
      </c>
    </row>
    <row r="3423" spans="1:24" ht="114.75">
      <c r="A3423" s="3" t="s">
        <v>16714</v>
      </c>
      <c r="B3423" s="6" t="s">
        <v>361</v>
      </c>
      <c r="C3423" s="47" t="s">
        <v>7544</v>
      </c>
      <c r="D3423" s="44" t="s">
        <v>387</v>
      </c>
      <c r="E3423" s="6" t="s">
        <v>7545</v>
      </c>
      <c r="F3423" s="116" t="s">
        <v>7740</v>
      </c>
      <c r="G3423" s="3" t="s">
        <v>11449</v>
      </c>
      <c r="H3423" s="54">
        <v>0</v>
      </c>
      <c r="I3423" s="55">
        <v>470000000</v>
      </c>
      <c r="J3423" s="56" t="s">
        <v>229</v>
      </c>
      <c r="K3423" s="57" t="s">
        <v>8950</v>
      </c>
      <c r="L3423" s="12" t="s">
        <v>404</v>
      </c>
      <c r="M3423" s="3" t="s">
        <v>230</v>
      </c>
      <c r="N3423" s="52" t="s">
        <v>7693</v>
      </c>
      <c r="O3423" s="6" t="s">
        <v>365</v>
      </c>
      <c r="P3423" s="58" t="s">
        <v>241</v>
      </c>
      <c r="Q3423" s="117" t="s">
        <v>234</v>
      </c>
      <c r="R3423" s="22">
        <v>50</v>
      </c>
      <c r="S3423" s="59">
        <v>215.52616800000001</v>
      </c>
      <c r="T3423" s="4">
        <v>0</v>
      </c>
      <c r="U3423" s="4">
        <f t="shared" si="127"/>
        <v>0</v>
      </c>
      <c r="V3423" s="1"/>
      <c r="W3423" s="3">
        <v>2014</v>
      </c>
      <c r="X3423" s="3">
        <v>11.14</v>
      </c>
    </row>
    <row r="3424" spans="1:24" ht="114.75">
      <c r="A3424" s="3" t="s">
        <v>19002</v>
      </c>
      <c r="B3424" s="6" t="s">
        <v>361</v>
      </c>
      <c r="C3424" s="47" t="s">
        <v>7544</v>
      </c>
      <c r="D3424" s="44" t="s">
        <v>387</v>
      </c>
      <c r="E3424" s="6" t="s">
        <v>7545</v>
      </c>
      <c r="F3424" s="116" t="s">
        <v>7740</v>
      </c>
      <c r="G3424" s="3" t="s">
        <v>11449</v>
      </c>
      <c r="H3424" s="54">
        <v>0</v>
      </c>
      <c r="I3424" s="55">
        <v>470000000</v>
      </c>
      <c r="J3424" s="56" t="s">
        <v>229</v>
      </c>
      <c r="K3424" s="57" t="s">
        <v>18437</v>
      </c>
      <c r="L3424" s="12" t="s">
        <v>404</v>
      </c>
      <c r="M3424" s="3" t="s">
        <v>230</v>
      </c>
      <c r="N3424" s="52" t="s">
        <v>16511</v>
      </c>
      <c r="O3424" s="6" t="s">
        <v>365</v>
      </c>
      <c r="P3424" s="58" t="s">
        <v>241</v>
      </c>
      <c r="Q3424" s="117" t="s">
        <v>234</v>
      </c>
      <c r="R3424" s="22">
        <v>50</v>
      </c>
      <c r="S3424" s="59">
        <v>215.52616800000001</v>
      </c>
      <c r="T3424" s="4">
        <v>0</v>
      </c>
      <c r="U3424" s="4">
        <f t="shared" si="127"/>
        <v>0</v>
      </c>
      <c r="V3424" s="1"/>
      <c r="W3424" s="3">
        <v>2014</v>
      </c>
      <c r="X3424" s="3">
        <v>11.15</v>
      </c>
    </row>
    <row r="3425" spans="1:24" ht="76.5">
      <c r="A3425" s="3" t="s">
        <v>19467</v>
      </c>
      <c r="B3425" s="6" t="s">
        <v>361</v>
      </c>
      <c r="C3425" s="47" t="s">
        <v>7544</v>
      </c>
      <c r="D3425" s="44" t="s">
        <v>387</v>
      </c>
      <c r="E3425" s="6" t="s">
        <v>7545</v>
      </c>
      <c r="F3425" s="116" t="s">
        <v>7740</v>
      </c>
      <c r="G3425" s="3" t="s">
        <v>11449</v>
      </c>
      <c r="H3425" s="54">
        <v>0</v>
      </c>
      <c r="I3425" s="55">
        <v>470000000</v>
      </c>
      <c r="J3425" s="56" t="s">
        <v>229</v>
      </c>
      <c r="K3425" s="57" t="s">
        <v>19379</v>
      </c>
      <c r="L3425" s="12" t="s">
        <v>404</v>
      </c>
      <c r="M3425" s="3" t="s">
        <v>230</v>
      </c>
      <c r="N3425" s="52" t="s">
        <v>16511</v>
      </c>
      <c r="O3425" s="6" t="s">
        <v>19407</v>
      </c>
      <c r="P3425" s="58" t="s">
        <v>241</v>
      </c>
      <c r="Q3425" s="117" t="s">
        <v>234</v>
      </c>
      <c r="R3425" s="22">
        <v>50</v>
      </c>
      <c r="S3425" s="59">
        <v>215.52616800000001</v>
      </c>
      <c r="T3425" s="4">
        <f>R3425*S3425</f>
        <v>10776.3084</v>
      </c>
      <c r="U3425" s="4">
        <f t="shared" ref="U3425" si="131">T3425*1.12</f>
        <v>12069.465408000002</v>
      </c>
      <c r="V3425" s="1"/>
      <c r="W3425" s="3">
        <v>2014</v>
      </c>
      <c r="X3425" s="3"/>
    </row>
    <row r="3426" spans="1:24" ht="114.75">
      <c r="A3426" s="3" t="s">
        <v>1682</v>
      </c>
      <c r="B3426" s="6" t="s">
        <v>361</v>
      </c>
      <c r="C3426" s="174" t="s">
        <v>7546</v>
      </c>
      <c r="D3426" s="45" t="s">
        <v>6564</v>
      </c>
      <c r="E3426" s="6" t="s">
        <v>6565</v>
      </c>
      <c r="F3426" s="116" t="s">
        <v>7741</v>
      </c>
      <c r="G3426" s="3" t="s">
        <v>11449</v>
      </c>
      <c r="H3426" s="54">
        <v>0</v>
      </c>
      <c r="I3426" s="55">
        <v>470000000</v>
      </c>
      <c r="J3426" s="56" t="s">
        <v>229</v>
      </c>
      <c r="K3426" s="57" t="s">
        <v>7698</v>
      </c>
      <c r="L3426" s="57" t="s">
        <v>364</v>
      </c>
      <c r="M3426" s="3" t="s">
        <v>230</v>
      </c>
      <c r="N3426" s="52" t="s">
        <v>7693</v>
      </c>
      <c r="O3426" s="6" t="s">
        <v>365</v>
      </c>
      <c r="P3426" s="58" t="s">
        <v>241</v>
      </c>
      <c r="Q3426" s="117" t="s">
        <v>234</v>
      </c>
      <c r="R3426" s="22">
        <v>10</v>
      </c>
      <c r="S3426" s="59">
        <v>5675.8232300000009</v>
      </c>
      <c r="T3426" s="4">
        <v>0</v>
      </c>
      <c r="U3426" s="4">
        <f t="shared" si="127"/>
        <v>0</v>
      </c>
      <c r="V3426" s="1"/>
      <c r="W3426" s="3">
        <v>2014</v>
      </c>
      <c r="X3426" s="3">
        <v>11.12</v>
      </c>
    </row>
    <row r="3427" spans="1:24" ht="114.75">
      <c r="A3427" s="3" t="s">
        <v>13475</v>
      </c>
      <c r="B3427" s="6" t="s">
        <v>361</v>
      </c>
      <c r="C3427" s="174" t="s">
        <v>7546</v>
      </c>
      <c r="D3427" s="45" t="s">
        <v>6564</v>
      </c>
      <c r="E3427" s="6" t="s">
        <v>6565</v>
      </c>
      <c r="F3427" s="116" t="s">
        <v>7741</v>
      </c>
      <c r="G3427" s="3" t="s">
        <v>11449</v>
      </c>
      <c r="H3427" s="54">
        <v>0</v>
      </c>
      <c r="I3427" s="55">
        <v>470000000</v>
      </c>
      <c r="J3427" s="56" t="s">
        <v>229</v>
      </c>
      <c r="K3427" s="57" t="s">
        <v>642</v>
      </c>
      <c r="L3427" s="12" t="s">
        <v>404</v>
      </c>
      <c r="M3427" s="3" t="s">
        <v>230</v>
      </c>
      <c r="N3427" s="52" t="s">
        <v>7693</v>
      </c>
      <c r="O3427" s="6" t="s">
        <v>365</v>
      </c>
      <c r="P3427" s="58" t="s">
        <v>241</v>
      </c>
      <c r="Q3427" s="117" t="s">
        <v>234</v>
      </c>
      <c r="R3427" s="22">
        <v>10</v>
      </c>
      <c r="S3427" s="59">
        <v>5675.8232300000009</v>
      </c>
      <c r="T3427" s="4">
        <v>0</v>
      </c>
      <c r="U3427" s="4">
        <f t="shared" si="127"/>
        <v>0</v>
      </c>
      <c r="V3427" s="1"/>
      <c r="W3427" s="3">
        <v>2014</v>
      </c>
      <c r="X3427" s="3" t="s">
        <v>14785</v>
      </c>
    </row>
    <row r="3428" spans="1:24" ht="114.75">
      <c r="A3428" s="3" t="s">
        <v>16715</v>
      </c>
      <c r="B3428" s="6" t="s">
        <v>361</v>
      </c>
      <c r="C3428" s="174" t="s">
        <v>7546</v>
      </c>
      <c r="D3428" s="45" t="s">
        <v>6564</v>
      </c>
      <c r="E3428" s="6" t="s">
        <v>6565</v>
      </c>
      <c r="F3428" s="46" t="s">
        <v>7741</v>
      </c>
      <c r="G3428" s="3" t="s">
        <v>11449</v>
      </c>
      <c r="H3428" s="54">
        <v>0</v>
      </c>
      <c r="I3428" s="55">
        <v>470000000</v>
      </c>
      <c r="J3428" s="56" t="s">
        <v>229</v>
      </c>
      <c r="K3428" s="57" t="s">
        <v>8950</v>
      </c>
      <c r="L3428" s="12" t="s">
        <v>404</v>
      </c>
      <c r="M3428" s="3" t="s">
        <v>230</v>
      </c>
      <c r="N3428" s="52" t="s">
        <v>7693</v>
      </c>
      <c r="O3428" s="6" t="s">
        <v>365</v>
      </c>
      <c r="P3428" s="58" t="s">
        <v>241</v>
      </c>
      <c r="Q3428" s="117" t="s">
        <v>234</v>
      </c>
      <c r="R3428" s="22">
        <v>10</v>
      </c>
      <c r="S3428" s="59">
        <v>6810.9878760000011</v>
      </c>
      <c r="T3428" s="4">
        <v>0</v>
      </c>
      <c r="U3428" s="4">
        <f t="shared" si="127"/>
        <v>0</v>
      </c>
      <c r="V3428" s="1"/>
      <c r="W3428" s="3">
        <v>2014</v>
      </c>
      <c r="X3428" s="3" t="s">
        <v>14265</v>
      </c>
    </row>
    <row r="3429" spans="1:24" ht="76.5">
      <c r="A3429" s="3" t="s">
        <v>19348</v>
      </c>
      <c r="B3429" s="6" t="s">
        <v>361</v>
      </c>
      <c r="C3429" s="174" t="s">
        <v>7546</v>
      </c>
      <c r="D3429" s="45" t="s">
        <v>6564</v>
      </c>
      <c r="E3429" s="6" t="s">
        <v>6565</v>
      </c>
      <c r="F3429" s="46" t="s">
        <v>7741</v>
      </c>
      <c r="G3429" s="3" t="s">
        <v>11449</v>
      </c>
      <c r="H3429" s="54">
        <v>0</v>
      </c>
      <c r="I3429" s="55">
        <v>470000000</v>
      </c>
      <c r="J3429" s="56" t="s">
        <v>229</v>
      </c>
      <c r="K3429" s="57" t="s">
        <v>18437</v>
      </c>
      <c r="L3429" s="12" t="s">
        <v>404</v>
      </c>
      <c r="M3429" s="3" t="s">
        <v>230</v>
      </c>
      <c r="N3429" s="52" t="s">
        <v>16511</v>
      </c>
      <c r="O3429" s="6" t="s">
        <v>19407</v>
      </c>
      <c r="P3429" s="58" t="s">
        <v>241</v>
      </c>
      <c r="Q3429" s="117" t="s">
        <v>234</v>
      </c>
      <c r="R3429" s="22">
        <v>10</v>
      </c>
      <c r="S3429" s="59">
        <v>6810.9878760000011</v>
      </c>
      <c r="T3429" s="4">
        <f>R3429*S3429</f>
        <v>68109.878760000007</v>
      </c>
      <c r="U3429" s="4">
        <f t="shared" si="127"/>
        <v>76283.064211200021</v>
      </c>
      <c r="V3429" s="1"/>
      <c r="W3429" s="3">
        <v>2014</v>
      </c>
      <c r="X3429" s="3"/>
    </row>
    <row r="3430" spans="1:24" ht="114.75">
      <c r="A3430" s="3" t="s">
        <v>1683</v>
      </c>
      <c r="B3430" s="6" t="s">
        <v>361</v>
      </c>
      <c r="C3430" s="174" t="s">
        <v>7547</v>
      </c>
      <c r="D3430" s="45" t="s">
        <v>7548</v>
      </c>
      <c r="E3430" s="6" t="s">
        <v>3115</v>
      </c>
      <c r="F3430" s="116" t="s">
        <v>7742</v>
      </c>
      <c r="G3430" s="3" t="s">
        <v>11449</v>
      </c>
      <c r="H3430" s="54">
        <v>0</v>
      </c>
      <c r="I3430" s="55">
        <v>470000000</v>
      </c>
      <c r="J3430" s="56" t="s">
        <v>229</v>
      </c>
      <c r="K3430" s="57" t="s">
        <v>7698</v>
      </c>
      <c r="L3430" s="57" t="s">
        <v>364</v>
      </c>
      <c r="M3430" s="3" t="s">
        <v>230</v>
      </c>
      <c r="N3430" s="52" t="s">
        <v>7693</v>
      </c>
      <c r="O3430" s="6" t="s">
        <v>365</v>
      </c>
      <c r="P3430" s="58" t="s">
        <v>241</v>
      </c>
      <c r="Q3430" s="117" t="s">
        <v>234</v>
      </c>
      <c r="R3430" s="22">
        <v>10</v>
      </c>
      <c r="S3430" s="59">
        <v>1069.1656800000003</v>
      </c>
      <c r="T3430" s="4">
        <v>0</v>
      </c>
      <c r="U3430" s="4">
        <f t="shared" si="127"/>
        <v>0</v>
      </c>
      <c r="V3430" s="1"/>
      <c r="W3430" s="3">
        <v>2014</v>
      </c>
      <c r="X3430" s="3">
        <v>11.12</v>
      </c>
    </row>
    <row r="3431" spans="1:24" ht="114.75">
      <c r="A3431" s="3" t="s">
        <v>13476</v>
      </c>
      <c r="B3431" s="6" t="s">
        <v>361</v>
      </c>
      <c r="C3431" s="174" t="s">
        <v>7547</v>
      </c>
      <c r="D3431" s="45" t="s">
        <v>7548</v>
      </c>
      <c r="E3431" s="6" t="s">
        <v>3115</v>
      </c>
      <c r="F3431" s="116" t="s">
        <v>7742</v>
      </c>
      <c r="G3431" s="3" t="s">
        <v>11449</v>
      </c>
      <c r="H3431" s="54">
        <v>0</v>
      </c>
      <c r="I3431" s="55">
        <v>470000000</v>
      </c>
      <c r="J3431" s="56" t="s">
        <v>229</v>
      </c>
      <c r="K3431" s="57" t="s">
        <v>642</v>
      </c>
      <c r="L3431" s="12" t="s">
        <v>404</v>
      </c>
      <c r="M3431" s="3" t="s">
        <v>230</v>
      </c>
      <c r="N3431" s="52" t="s">
        <v>7693</v>
      </c>
      <c r="O3431" s="6" t="s">
        <v>365</v>
      </c>
      <c r="P3431" s="58" t="s">
        <v>241</v>
      </c>
      <c r="Q3431" s="117" t="s">
        <v>234</v>
      </c>
      <c r="R3431" s="22">
        <v>10</v>
      </c>
      <c r="S3431" s="59">
        <v>1069.1656800000003</v>
      </c>
      <c r="T3431" s="4">
        <v>0</v>
      </c>
      <c r="U3431" s="4">
        <f t="shared" si="127"/>
        <v>0</v>
      </c>
      <c r="V3431" s="1"/>
      <c r="W3431" s="3">
        <v>2014</v>
      </c>
      <c r="X3431" s="3" t="s">
        <v>14785</v>
      </c>
    </row>
    <row r="3432" spans="1:24" ht="114.75">
      <c r="A3432" s="3" t="s">
        <v>16716</v>
      </c>
      <c r="B3432" s="6" t="s">
        <v>361</v>
      </c>
      <c r="C3432" s="174" t="s">
        <v>7547</v>
      </c>
      <c r="D3432" s="45" t="s">
        <v>7548</v>
      </c>
      <c r="E3432" s="6" t="s">
        <v>3115</v>
      </c>
      <c r="F3432" s="116" t="s">
        <v>7742</v>
      </c>
      <c r="G3432" s="3" t="s">
        <v>11449</v>
      </c>
      <c r="H3432" s="54">
        <v>0</v>
      </c>
      <c r="I3432" s="55">
        <v>470000000</v>
      </c>
      <c r="J3432" s="56" t="s">
        <v>229</v>
      </c>
      <c r="K3432" s="57" t="s">
        <v>8950</v>
      </c>
      <c r="L3432" s="12" t="s">
        <v>404</v>
      </c>
      <c r="M3432" s="3" t="s">
        <v>230</v>
      </c>
      <c r="N3432" s="52" t="s">
        <v>7693</v>
      </c>
      <c r="O3432" s="6" t="s">
        <v>365</v>
      </c>
      <c r="P3432" s="58" t="s">
        <v>241</v>
      </c>
      <c r="Q3432" s="117" t="s">
        <v>234</v>
      </c>
      <c r="R3432" s="22">
        <v>10</v>
      </c>
      <c r="S3432" s="59">
        <v>1282.9988160000003</v>
      </c>
      <c r="T3432" s="4">
        <v>0</v>
      </c>
      <c r="U3432" s="4">
        <f t="shared" si="127"/>
        <v>0</v>
      </c>
      <c r="V3432" s="1"/>
      <c r="W3432" s="3">
        <v>2014</v>
      </c>
      <c r="X3432" s="3">
        <v>11.14</v>
      </c>
    </row>
    <row r="3433" spans="1:24" ht="114.75">
      <c r="A3433" s="3" t="s">
        <v>19003</v>
      </c>
      <c r="B3433" s="6" t="s">
        <v>361</v>
      </c>
      <c r="C3433" s="174" t="s">
        <v>7547</v>
      </c>
      <c r="D3433" s="45" t="s">
        <v>7548</v>
      </c>
      <c r="E3433" s="6" t="s">
        <v>3115</v>
      </c>
      <c r="F3433" s="116" t="s">
        <v>7742</v>
      </c>
      <c r="G3433" s="3" t="s">
        <v>11449</v>
      </c>
      <c r="H3433" s="54">
        <v>0</v>
      </c>
      <c r="I3433" s="55">
        <v>470000000</v>
      </c>
      <c r="J3433" s="56" t="s">
        <v>229</v>
      </c>
      <c r="K3433" s="57" t="s">
        <v>18437</v>
      </c>
      <c r="L3433" s="12" t="s">
        <v>404</v>
      </c>
      <c r="M3433" s="3" t="s">
        <v>230</v>
      </c>
      <c r="N3433" s="52" t="s">
        <v>16511</v>
      </c>
      <c r="O3433" s="6" t="s">
        <v>365</v>
      </c>
      <c r="P3433" s="58" t="s">
        <v>241</v>
      </c>
      <c r="Q3433" s="117" t="s">
        <v>234</v>
      </c>
      <c r="R3433" s="22">
        <v>10</v>
      </c>
      <c r="S3433" s="59">
        <v>1282.9988160000003</v>
      </c>
      <c r="T3433" s="4">
        <v>0</v>
      </c>
      <c r="U3433" s="4">
        <f t="shared" si="127"/>
        <v>0</v>
      </c>
      <c r="V3433" s="1"/>
      <c r="W3433" s="3">
        <v>2014</v>
      </c>
      <c r="X3433" s="3">
        <v>11.15</v>
      </c>
    </row>
    <row r="3434" spans="1:24" ht="76.5">
      <c r="A3434" s="3" t="s">
        <v>19468</v>
      </c>
      <c r="B3434" s="6" t="s">
        <v>361</v>
      </c>
      <c r="C3434" s="174" t="s">
        <v>7547</v>
      </c>
      <c r="D3434" s="45" t="s">
        <v>7548</v>
      </c>
      <c r="E3434" s="6" t="s">
        <v>3115</v>
      </c>
      <c r="F3434" s="116" t="s">
        <v>7742</v>
      </c>
      <c r="G3434" s="3" t="s">
        <v>11449</v>
      </c>
      <c r="H3434" s="54">
        <v>0</v>
      </c>
      <c r="I3434" s="55">
        <v>470000000</v>
      </c>
      <c r="J3434" s="56" t="s">
        <v>229</v>
      </c>
      <c r="K3434" s="57" t="s">
        <v>19379</v>
      </c>
      <c r="L3434" s="12" t="s">
        <v>404</v>
      </c>
      <c r="M3434" s="3" t="s">
        <v>230</v>
      </c>
      <c r="N3434" s="52" t="s">
        <v>16511</v>
      </c>
      <c r="O3434" s="6" t="s">
        <v>19407</v>
      </c>
      <c r="P3434" s="58" t="s">
        <v>241</v>
      </c>
      <c r="Q3434" s="117" t="s">
        <v>234</v>
      </c>
      <c r="R3434" s="22">
        <v>10</v>
      </c>
      <c r="S3434" s="59">
        <v>1282.9988160000003</v>
      </c>
      <c r="T3434" s="4">
        <f>R3434*S3434</f>
        <v>12829.988160000003</v>
      </c>
      <c r="U3434" s="4">
        <f t="shared" ref="U3434" si="132">T3434*1.12</f>
        <v>14369.586739200004</v>
      </c>
      <c r="V3434" s="1"/>
      <c r="W3434" s="3">
        <v>2014</v>
      </c>
      <c r="X3434" s="3"/>
    </row>
    <row r="3435" spans="1:24" ht="114.75">
      <c r="A3435" s="3" t="s">
        <v>1684</v>
      </c>
      <c r="B3435" s="6" t="s">
        <v>361</v>
      </c>
      <c r="C3435" s="174" t="s">
        <v>7549</v>
      </c>
      <c r="D3435" s="45" t="s">
        <v>11501</v>
      </c>
      <c r="E3435" s="6" t="s">
        <v>11502</v>
      </c>
      <c r="F3435" s="116" t="s">
        <v>7743</v>
      </c>
      <c r="G3435" s="3" t="s">
        <v>11449</v>
      </c>
      <c r="H3435" s="54">
        <v>0</v>
      </c>
      <c r="I3435" s="55">
        <v>470000000</v>
      </c>
      <c r="J3435" s="56" t="s">
        <v>229</v>
      </c>
      <c r="K3435" s="57" t="s">
        <v>7698</v>
      </c>
      <c r="L3435" s="57" t="s">
        <v>364</v>
      </c>
      <c r="M3435" s="3" t="s">
        <v>230</v>
      </c>
      <c r="N3435" s="52" t="s">
        <v>7693</v>
      </c>
      <c r="O3435" s="6" t="s">
        <v>365</v>
      </c>
      <c r="P3435" s="58" t="s">
        <v>241</v>
      </c>
      <c r="Q3435" s="117" t="s">
        <v>234</v>
      </c>
      <c r="R3435" s="22">
        <v>20</v>
      </c>
      <c r="S3435" s="59">
        <v>6842.7641700000013</v>
      </c>
      <c r="T3435" s="4">
        <v>0</v>
      </c>
      <c r="U3435" s="4">
        <f t="shared" si="127"/>
        <v>0</v>
      </c>
      <c r="V3435" s="1"/>
      <c r="W3435" s="3">
        <v>2014</v>
      </c>
      <c r="X3435" s="3">
        <v>11.12</v>
      </c>
    </row>
    <row r="3436" spans="1:24" ht="114.75">
      <c r="A3436" s="3" t="s">
        <v>13477</v>
      </c>
      <c r="B3436" s="6" t="s">
        <v>361</v>
      </c>
      <c r="C3436" s="174" t="s">
        <v>7549</v>
      </c>
      <c r="D3436" s="45" t="s">
        <v>11501</v>
      </c>
      <c r="E3436" s="6" t="s">
        <v>11502</v>
      </c>
      <c r="F3436" s="116" t="s">
        <v>7743</v>
      </c>
      <c r="G3436" s="3" t="s">
        <v>11449</v>
      </c>
      <c r="H3436" s="54">
        <v>0</v>
      </c>
      <c r="I3436" s="55">
        <v>470000000</v>
      </c>
      <c r="J3436" s="56" t="s">
        <v>229</v>
      </c>
      <c r="K3436" s="57" t="s">
        <v>642</v>
      </c>
      <c r="L3436" s="12" t="s">
        <v>404</v>
      </c>
      <c r="M3436" s="3" t="s">
        <v>230</v>
      </c>
      <c r="N3436" s="52" t="s">
        <v>7693</v>
      </c>
      <c r="O3436" s="6" t="s">
        <v>365</v>
      </c>
      <c r="P3436" s="58" t="s">
        <v>241</v>
      </c>
      <c r="Q3436" s="117" t="s">
        <v>234</v>
      </c>
      <c r="R3436" s="22">
        <v>20</v>
      </c>
      <c r="S3436" s="59">
        <v>6842.7641700000013</v>
      </c>
      <c r="T3436" s="4">
        <v>0</v>
      </c>
      <c r="U3436" s="4">
        <f t="shared" si="127"/>
        <v>0</v>
      </c>
      <c r="V3436" s="1"/>
      <c r="W3436" s="3">
        <v>2014</v>
      </c>
      <c r="X3436" s="3" t="s">
        <v>14785</v>
      </c>
    </row>
    <row r="3437" spans="1:24" ht="114.75">
      <c r="A3437" s="3" t="s">
        <v>16717</v>
      </c>
      <c r="B3437" s="6" t="s">
        <v>361</v>
      </c>
      <c r="C3437" s="174" t="s">
        <v>7549</v>
      </c>
      <c r="D3437" s="45" t="s">
        <v>11501</v>
      </c>
      <c r="E3437" s="6" t="s">
        <v>11502</v>
      </c>
      <c r="F3437" s="116" t="s">
        <v>7743</v>
      </c>
      <c r="G3437" s="3" t="s">
        <v>11449</v>
      </c>
      <c r="H3437" s="54">
        <v>0</v>
      </c>
      <c r="I3437" s="55">
        <v>470000000</v>
      </c>
      <c r="J3437" s="56" t="s">
        <v>229</v>
      </c>
      <c r="K3437" s="57" t="s">
        <v>8950</v>
      </c>
      <c r="L3437" s="12" t="s">
        <v>404</v>
      </c>
      <c r="M3437" s="3" t="s">
        <v>230</v>
      </c>
      <c r="N3437" s="52" t="s">
        <v>7693</v>
      </c>
      <c r="O3437" s="6" t="s">
        <v>365</v>
      </c>
      <c r="P3437" s="58" t="s">
        <v>241</v>
      </c>
      <c r="Q3437" s="117" t="s">
        <v>234</v>
      </c>
      <c r="R3437" s="22">
        <v>20</v>
      </c>
      <c r="S3437" s="59">
        <v>8211.3170040000005</v>
      </c>
      <c r="T3437" s="4">
        <f>R3437*S3437</f>
        <v>164226.34007999999</v>
      </c>
      <c r="U3437" s="4">
        <f t="shared" si="127"/>
        <v>183933.50088960002</v>
      </c>
      <c r="V3437" s="1"/>
      <c r="W3437" s="3">
        <v>2014</v>
      </c>
      <c r="X3437" s="3"/>
    </row>
    <row r="3438" spans="1:24" ht="114.75">
      <c r="A3438" s="3" t="s">
        <v>1685</v>
      </c>
      <c r="B3438" s="6" t="s">
        <v>361</v>
      </c>
      <c r="C3438" s="174" t="s">
        <v>5476</v>
      </c>
      <c r="D3438" s="45" t="s">
        <v>5477</v>
      </c>
      <c r="E3438" s="6" t="s">
        <v>5478</v>
      </c>
      <c r="F3438" s="116" t="s">
        <v>7744</v>
      </c>
      <c r="G3438" s="3" t="s">
        <v>11449</v>
      </c>
      <c r="H3438" s="54">
        <v>0</v>
      </c>
      <c r="I3438" s="55">
        <v>470000000</v>
      </c>
      <c r="J3438" s="56" t="s">
        <v>229</v>
      </c>
      <c r="K3438" s="57" t="s">
        <v>7698</v>
      </c>
      <c r="L3438" s="57" t="s">
        <v>364</v>
      </c>
      <c r="M3438" s="3" t="s">
        <v>230</v>
      </c>
      <c r="N3438" s="52" t="s">
        <v>7693</v>
      </c>
      <c r="O3438" s="6" t="s">
        <v>365</v>
      </c>
      <c r="P3438" s="58" t="s">
        <v>241</v>
      </c>
      <c r="Q3438" s="117" t="s">
        <v>234</v>
      </c>
      <c r="R3438" s="22">
        <v>30</v>
      </c>
      <c r="S3438" s="59">
        <v>2822.6250800000003</v>
      </c>
      <c r="T3438" s="4">
        <v>0</v>
      </c>
      <c r="U3438" s="4">
        <f t="shared" si="127"/>
        <v>0</v>
      </c>
      <c r="V3438" s="1"/>
      <c r="W3438" s="3">
        <v>2014</v>
      </c>
      <c r="X3438" s="3">
        <v>11.12</v>
      </c>
    </row>
    <row r="3439" spans="1:24" ht="114.75">
      <c r="A3439" s="3" t="s">
        <v>13478</v>
      </c>
      <c r="B3439" s="6" t="s">
        <v>361</v>
      </c>
      <c r="C3439" s="174" t="s">
        <v>5476</v>
      </c>
      <c r="D3439" s="45" t="s">
        <v>5477</v>
      </c>
      <c r="E3439" s="6" t="s">
        <v>5478</v>
      </c>
      <c r="F3439" s="116" t="s">
        <v>7744</v>
      </c>
      <c r="G3439" s="3" t="s">
        <v>11449</v>
      </c>
      <c r="H3439" s="54">
        <v>0</v>
      </c>
      <c r="I3439" s="55">
        <v>470000000</v>
      </c>
      <c r="J3439" s="56" t="s">
        <v>229</v>
      </c>
      <c r="K3439" s="57" t="s">
        <v>642</v>
      </c>
      <c r="L3439" s="12" t="s">
        <v>404</v>
      </c>
      <c r="M3439" s="3" t="s">
        <v>230</v>
      </c>
      <c r="N3439" s="52" t="s">
        <v>7693</v>
      </c>
      <c r="O3439" s="6" t="s">
        <v>365</v>
      </c>
      <c r="P3439" s="58" t="s">
        <v>241</v>
      </c>
      <c r="Q3439" s="117" t="s">
        <v>234</v>
      </c>
      <c r="R3439" s="22">
        <v>30</v>
      </c>
      <c r="S3439" s="59">
        <v>2822.6250800000003</v>
      </c>
      <c r="T3439" s="4">
        <v>0</v>
      </c>
      <c r="U3439" s="4">
        <f t="shared" si="127"/>
        <v>0</v>
      </c>
      <c r="V3439" s="1"/>
      <c r="W3439" s="3">
        <v>2014</v>
      </c>
      <c r="X3439" s="3" t="s">
        <v>14785</v>
      </c>
    </row>
    <row r="3440" spans="1:24" ht="114.75">
      <c r="A3440" s="3" t="s">
        <v>16718</v>
      </c>
      <c r="B3440" s="6" t="s">
        <v>361</v>
      </c>
      <c r="C3440" s="174" t="s">
        <v>5476</v>
      </c>
      <c r="D3440" s="45" t="s">
        <v>5477</v>
      </c>
      <c r="E3440" s="6" t="s">
        <v>5478</v>
      </c>
      <c r="F3440" s="116" t="s">
        <v>7744</v>
      </c>
      <c r="G3440" s="3" t="s">
        <v>11449</v>
      </c>
      <c r="H3440" s="54">
        <v>0</v>
      </c>
      <c r="I3440" s="55">
        <v>470000000</v>
      </c>
      <c r="J3440" s="56" t="s">
        <v>229</v>
      </c>
      <c r="K3440" s="57" t="s">
        <v>8950</v>
      </c>
      <c r="L3440" s="12" t="s">
        <v>404</v>
      </c>
      <c r="M3440" s="3" t="s">
        <v>230</v>
      </c>
      <c r="N3440" s="52" t="s">
        <v>7693</v>
      </c>
      <c r="O3440" s="6" t="s">
        <v>365</v>
      </c>
      <c r="P3440" s="58" t="s">
        <v>241</v>
      </c>
      <c r="Q3440" s="117" t="s">
        <v>234</v>
      </c>
      <c r="R3440" s="22">
        <v>30</v>
      </c>
      <c r="S3440" s="59">
        <v>3387.1500960000003</v>
      </c>
      <c r="T3440" s="4">
        <f>R3440*S3440</f>
        <v>101614.50288000001</v>
      </c>
      <c r="U3440" s="4">
        <f t="shared" si="127"/>
        <v>113808.24322560003</v>
      </c>
      <c r="V3440" s="1"/>
      <c r="W3440" s="3">
        <v>2014</v>
      </c>
      <c r="X3440" s="3"/>
    </row>
    <row r="3441" spans="1:24" ht="114.75">
      <c r="A3441" s="3" t="s">
        <v>1686</v>
      </c>
      <c r="B3441" s="6" t="s">
        <v>361</v>
      </c>
      <c r="C3441" s="174" t="s">
        <v>11503</v>
      </c>
      <c r="D3441" s="45" t="s">
        <v>5490</v>
      </c>
      <c r="E3441" s="6" t="s">
        <v>11504</v>
      </c>
      <c r="F3441" s="117" t="s">
        <v>7745</v>
      </c>
      <c r="G3441" s="3" t="s">
        <v>11449</v>
      </c>
      <c r="H3441" s="54">
        <v>0</v>
      </c>
      <c r="I3441" s="55">
        <v>470000000</v>
      </c>
      <c r="J3441" s="56" t="s">
        <v>229</v>
      </c>
      <c r="K3441" s="57" t="s">
        <v>7698</v>
      </c>
      <c r="L3441" s="57" t="s">
        <v>364</v>
      </c>
      <c r="M3441" s="3" t="s">
        <v>230</v>
      </c>
      <c r="N3441" s="52" t="s">
        <v>7693</v>
      </c>
      <c r="O3441" s="6" t="s">
        <v>365</v>
      </c>
      <c r="P3441" s="58" t="s">
        <v>241</v>
      </c>
      <c r="Q3441" s="117" t="s">
        <v>234</v>
      </c>
      <c r="R3441" s="22">
        <v>30</v>
      </c>
      <c r="S3441" s="59">
        <v>2822.6250800000003</v>
      </c>
      <c r="T3441" s="4">
        <v>0</v>
      </c>
      <c r="U3441" s="4">
        <f t="shared" si="127"/>
        <v>0</v>
      </c>
      <c r="V3441" s="1"/>
      <c r="W3441" s="3">
        <v>2014</v>
      </c>
      <c r="X3441" s="3">
        <v>11.12</v>
      </c>
    </row>
    <row r="3442" spans="1:24" ht="114.75">
      <c r="A3442" s="3" t="s">
        <v>13479</v>
      </c>
      <c r="B3442" s="6" t="s">
        <v>361</v>
      </c>
      <c r="C3442" s="174" t="s">
        <v>11503</v>
      </c>
      <c r="D3442" s="45" t="s">
        <v>5490</v>
      </c>
      <c r="E3442" s="6" t="s">
        <v>11504</v>
      </c>
      <c r="F3442" s="117" t="s">
        <v>7745</v>
      </c>
      <c r="G3442" s="3" t="s">
        <v>11449</v>
      </c>
      <c r="H3442" s="54">
        <v>0</v>
      </c>
      <c r="I3442" s="55">
        <v>470000000</v>
      </c>
      <c r="J3442" s="56" t="s">
        <v>229</v>
      </c>
      <c r="K3442" s="57" t="s">
        <v>642</v>
      </c>
      <c r="L3442" s="12" t="s">
        <v>404</v>
      </c>
      <c r="M3442" s="3" t="s">
        <v>230</v>
      </c>
      <c r="N3442" s="52" t="s">
        <v>7693</v>
      </c>
      <c r="O3442" s="6" t="s">
        <v>365</v>
      </c>
      <c r="P3442" s="58" t="s">
        <v>241</v>
      </c>
      <c r="Q3442" s="117" t="s">
        <v>234</v>
      </c>
      <c r="R3442" s="22">
        <v>30</v>
      </c>
      <c r="S3442" s="59">
        <v>2822.6250800000003</v>
      </c>
      <c r="T3442" s="4">
        <v>0</v>
      </c>
      <c r="U3442" s="4">
        <f t="shared" si="127"/>
        <v>0</v>
      </c>
      <c r="V3442" s="1"/>
      <c r="W3442" s="3">
        <v>2014</v>
      </c>
      <c r="X3442" s="3" t="s">
        <v>14785</v>
      </c>
    </row>
    <row r="3443" spans="1:24" ht="114.75">
      <c r="A3443" s="3" t="s">
        <v>16719</v>
      </c>
      <c r="B3443" s="6" t="s">
        <v>361</v>
      </c>
      <c r="C3443" s="174" t="s">
        <v>11503</v>
      </c>
      <c r="D3443" s="45" t="s">
        <v>5490</v>
      </c>
      <c r="E3443" s="6" t="s">
        <v>11504</v>
      </c>
      <c r="F3443" s="117" t="s">
        <v>7745</v>
      </c>
      <c r="G3443" s="3" t="s">
        <v>11449</v>
      </c>
      <c r="H3443" s="54">
        <v>0</v>
      </c>
      <c r="I3443" s="55">
        <v>470000000</v>
      </c>
      <c r="J3443" s="56" t="s">
        <v>229</v>
      </c>
      <c r="K3443" s="57" t="s">
        <v>8950</v>
      </c>
      <c r="L3443" s="12" t="s">
        <v>404</v>
      </c>
      <c r="M3443" s="3" t="s">
        <v>230</v>
      </c>
      <c r="N3443" s="52" t="s">
        <v>7693</v>
      </c>
      <c r="O3443" s="6" t="s">
        <v>365</v>
      </c>
      <c r="P3443" s="58" t="s">
        <v>241</v>
      </c>
      <c r="Q3443" s="117" t="s">
        <v>234</v>
      </c>
      <c r="R3443" s="22">
        <v>30</v>
      </c>
      <c r="S3443" s="59">
        <v>3387.1500960000003</v>
      </c>
      <c r="T3443" s="4">
        <f>R3443*S3443</f>
        <v>101614.50288000001</v>
      </c>
      <c r="U3443" s="4">
        <f t="shared" si="127"/>
        <v>113808.24322560003</v>
      </c>
      <c r="V3443" s="1"/>
      <c r="W3443" s="3">
        <v>2014</v>
      </c>
      <c r="X3443" s="3"/>
    </row>
    <row r="3444" spans="1:24" ht="114.75">
      <c r="A3444" s="3" t="s">
        <v>1687</v>
      </c>
      <c r="B3444" s="6" t="s">
        <v>361</v>
      </c>
      <c r="C3444" s="174" t="s">
        <v>11505</v>
      </c>
      <c r="D3444" s="45" t="s">
        <v>11506</v>
      </c>
      <c r="E3444" s="6" t="s">
        <v>11694</v>
      </c>
      <c r="F3444" s="116" t="s">
        <v>7746</v>
      </c>
      <c r="G3444" s="3" t="s">
        <v>11449</v>
      </c>
      <c r="H3444" s="54">
        <v>0</v>
      </c>
      <c r="I3444" s="55">
        <v>470000000</v>
      </c>
      <c r="J3444" s="56" t="s">
        <v>229</v>
      </c>
      <c r="K3444" s="57" t="s">
        <v>7698</v>
      </c>
      <c r="L3444" s="57" t="s">
        <v>364</v>
      </c>
      <c r="M3444" s="3" t="s">
        <v>230</v>
      </c>
      <c r="N3444" s="52" t="s">
        <v>7693</v>
      </c>
      <c r="O3444" s="6" t="s">
        <v>365</v>
      </c>
      <c r="P3444" s="58" t="s">
        <v>241</v>
      </c>
      <c r="Q3444" s="117" t="s">
        <v>234</v>
      </c>
      <c r="R3444" s="22">
        <v>16</v>
      </c>
      <c r="S3444" s="59">
        <v>2955.8049400000004</v>
      </c>
      <c r="T3444" s="4">
        <v>0</v>
      </c>
      <c r="U3444" s="4">
        <f t="shared" si="127"/>
        <v>0</v>
      </c>
      <c r="V3444" s="1"/>
      <c r="W3444" s="3">
        <v>2014</v>
      </c>
      <c r="X3444" s="3">
        <v>11.12</v>
      </c>
    </row>
    <row r="3445" spans="1:24" ht="114.75">
      <c r="A3445" s="3" t="s">
        <v>13480</v>
      </c>
      <c r="B3445" s="6" t="s">
        <v>361</v>
      </c>
      <c r="C3445" s="174" t="s">
        <v>11505</v>
      </c>
      <c r="D3445" s="45" t="s">
        <v>11506</v>
      </c>
      <c r="E3445" s="6" t="s">
        <v>11694</v>
      </c>
      <c r="F3445" s="116" t="s">
        <v>7746</v>
      </c>
      <c r="G3445" s="3" t="s">
        <v>11449</v>
      </c>
      <c r="H3445" s="54">
        <v>0</v>
      </c>
      <c r="I3445" s="55">
        <v>470000000</v>
      </c>
      <c r="J3445" s="56" t="s">
        <v>229</v>
      </c>
      <c r="K3445" s="57" t="s">
        <v>642</v>
      </c>
      <c r="L3445" s="12" t="s">
        <v>404</v>
      </c>
      <c r="M3445" s="3" t="s">
        <v>230</v>
      </c>
      <c r="N3445" s="52" t="s">
        <v>7693</v>
      </c>
      <c r="O3445" s="6" t="s">
        <v>365</v>
      </c>
      <c r="P3445" s="58" t="s">
        <v>241</v>
      </c>
      <c r="Q3445" s="117" t="s">
        <v>234</v>
      </c>
      <c r="R3445" s="22">
        <v>16</v>
      </c>
      <c r="S3445" s="59">
        <v>2955.8049400000004</v>
      </c>
      <c r="T3445" s="4">
        <v>0</v>
      </c>
      <c r="U3445" s="4">
        <f t="shared" si="127"/>
        <v>0</v>
      </c>
      <c r="V3445" s="1"/>
      <c r="W3445" s="3">
        <v>2014</v>
      </c>
      <c r="X3445" s="3" t="s">
        <v>14785</v>
      </c>
    </row>
    <row r="3446" spans="1:24" ht="114.75">
      <c r="A3446" s="3" t="s">
        <v>16720</v>
      </c>
      <c r="B3446" s="6" t="s">
        <v>361</v>
      </c>
      <c r="C3446" s="174" t="s">
        <v>11505</v>
      </c>
      <c r="D3446" s="45" t="s">
        <v>11506</v>
      </c>
      <c r="E3446" s="6" t="s">
        <v>11694</v>
      </c>
      <c r="F3446" s="116" t="s">
        <v>7746</v>
      </c>
      <c r="G3446" s="3" t="s">
        <v>11449</v>
      </c>
      <c r="H3446" s="54">
        <v>0</v>
      </c>
      <c r="I3446" s="55">
        <v>470000000</v>
      </c>
      <c r="J3446" s="56" t="s">
        <v>229</v>
      </c>
      <c r="K3446" s="57" t="s">
        <v>8950</v>
      </c>
      <c r="L3446" s="12" t="s">
        <v>404</v>
      </c>
      <c r="M3446" s="3" t="s">
        <v>230</v>
      </c>
      <c r="N3446" s="52" t="s">
        <v>7693</v>
      </c>
      <c r="O3446" s="6" t="s">
        <v>365</v>
      </c>
      <c r="P3446" s="58" t="s">
        <v>241</v>
      </c>
      <c r="Q3446" s="117" t="s">
        <v>234</v>
      </c>
      <c r="R3446" s="22">
        <v>16</v>
      </c>
      <c r="S3446" s="59">
        <v>3546.9659280000005</v>
      </c>
      <c r="T3446" s="4">
        <f>R3446*S3446</f>
        <v>56751.454848000008</v>
      </c>
      <c r="U3446" s="4">
        <f t="shared" si="127"/>
        <v>63561.629429760018</v>
      </c>
      <c r="V3446" s="1"/>
      <c r="W3446" s="3">
        <v>2014</v>
      </c>
      <c r="X3446" s="3"/>
    </row>
    <row r="3447" spans="1:24" ht="114.75">
      <c r="A3447" s="3" t="s">
        <v>1688</v>
      </c>
      <c r="B3447" s="6" t="s">
        <v>361</v>
      </c>
      <c r="C3447" s="174" t="s">
        <v>11507</v>
      </c>
      <c r="D3447" s="45" t="s">
        <v>11508</v>
      </c>
      <c r="E3447" s="6" t="s">
        <v>11509</v>
      </c>
      <c r="F3447" s="116" t="s">
        <v>7747</v>
      </c>
      <c r="G3447" s="3" t="s">
        <v>11449</v>
      </c>
      <c r="H3447" s="54">
        <v>0</v>
      </c>
      <c r="I3447" s="55">
        <v>470000000</v>
      </c>
      <c r="J3447" s="56" t="s">
        <v>229</v>
      </c>
      <c r="K3447" s="57" t="s">
        <v>7698</v>
      </c>
      <c r="L3447" s="57" t="s">
        <v>364</v>
      </c>
      <c r="M3447" s="3" t="s">
        <v>230</v>
      </c>
      <c r="N3447" s="52" t="s">
        <v>7693</v>
      </c>
      <c r="O3447" s="6" t="s">
        <v>365</v>
      </c>
      <c r="P3447" s="58" t="s">
        <v>241</v>
      </c>
      <c r="Q3447" s="117" t="s">
        <v>234</v>
      </c>
      <c r="R3447" s="22">
        <v>4</v>
      </c>
      <c r="S3447" s="59">
        <v>22490.053410000008</v>
      </c>
      <c r="T3447" s="4">
        <v>0</v>
      </c>
      <c r="U3447" s="4">
        <f t="shared" si="127"/>
        <v>0</v>
      </c>
      <c r="V3447" s="1"/>
      <c r="W3447" s="3">
        <v>2014</v>
      </c>
      <c r="X3447" s="3">
        <v>11.12</v>
      </c>
    </row>
    <row r="3448" spans="1:24" ht="114.75">
      <c r="A3448" s="3" t="s">
        <v>13481</v>
      </c>
      <c r="B3448" s="6" t="s">
        <v>361</v>
      </c>
      <c r="C3448" s="174" t="s">
        <v>11507</v>
      </c>
      <c r="D3448" s="45" t="s">
        <v>11508</v>
      </c>
      <c r="E3448" s="6" t="s">
        <v>11509</v>
      </c>
      <c r="F3448" s="116" t="s">
        <v>7747</v>
      </c>
      <c r="G3448" s="3" t="s">
        <v>11449</v>
      </c>
      <c r="H3448" s="54">
        <v>0</v>
      </c>
      <c r="I3448" s="55">
        <v>470000000</v>
      </c>
      <c r="J3448" s="56" t="s">
        <v>229</v>
      </c>
      <c r="K3448" s="57" t="s">
        <v>642</v>
      </c>
      <c r="L3448" s="12" t="s">
        <v>404</v>
      </c>
      <c r="M3448" s="3" t="s">
        <v>230</v>
      </c>
      <c r="N3448" s="52" t="s">
        <v>7693</v>
      </c>
      <c r="O3448" s="6" t="s">
        <v>365</v>
      </c>
      <c r="P3448" s="58" t="s">
        <v>241</v>
      </c>
      <c r="Q3448" s="117" t="s">
        <v>234</v>
      </c>
      <c r="R3448" s="22">
        <v>4</v>
      </c>
      <c r="S3448" s="59">
        <v>22490.053410000008</v>
      </c>
      <c r="T3448" s="4">
        <v>0</v>
      </c>
      <c r="U3448" s="4">
        <f t="shared" si="127"/>
        <v>0</v>
      </c>
      <c r="V3448" s="1"/>
      <c r="W3448" s="3">
        <v>2014</v>
      </c>
      <c r="X3448" s="3" t="s">
        <v>14785</v>
      </c>
    </row>
    <row r="3449" spans="1:24" ht="114.75">
      <c r="A3449" s="3" t="s">
        <v>16721</v>
      </c>
      <c r="B3449" s="6" t="s">
        <v>361</v>
      </c>
      <c r="C3449" s="174" t="s">
        <v>11507</v>
      </c>
      <c r="D3449" s="45" t="s">
        <v>11508</v>
      </c>
      <c r="E3449" s="6" t="s">
        <v>11509</v>
      </c>
      <c r="F3449" s="116" t="s">
        <v>7747</v>
      </c>
      <c r="G3449" s="3" t="s">
        <v>11449</v>
      </c>
      <c r="H3449" s="54">
        <v>0</v>
      </c>
      <c r="I3449" s="55">
        <v>470000000</v>
      </c>
      <c r="J3449" s="56" t="s">
        <v>229</v>
      </c>
      <c r="K3449" s="57" t="s">
        <v>8950</v>
      </c>
      <c r="L3449" s="12" t="s">
        <v>404</v>
      </c>
      <c r="M3449" s="3" t="s">
        <v>230</v>
      </c>
      <c r="N3449" s="52" t="s">
        <v>7693</v>
      </c>
      <c r="O3449" s="6" t="s">
        <v>365</v>
      </c>
      <c r="P3449" s="58" t="s">
        <v>241</v>
      </c>
      <c r="Q3449" s="117" t="s">
        <v>234</v>
      </c>
      <c r="R3449" s="22">
        <v>4</v>
      </c>
      <c r="S3449" s="59">
        <v>26988.064092000008</v>
      </c>
      <c r="T3449" s="4">
        <f>R3449*S3449</f>
        <v>107952.25636800003</v>
      </c>
      <c r="U3449" s="4">
        <f t="shared" si="127"/>
        <v>120906.52713216004</v>
      </c>
      <c r="V3449" s="1"/>
      <c r="W3449" s="3">
        <v>2014</v>
      </c>
      <c r="X3449" s="3"/>
    </row>
    <row r="3450" spans="1:24" ht="127.5">
      <c r="A3450" s="3" t="s">
        <v>1689</v>
      </c>
      <c r="B3450" s="6" t="s">
        <v>361</v>
      </c>
      <c r="C3450" s="174" t="s">
        <v>7550</v>
      </c>
      <c r="D3450" s="45" t="s">
        <v>4843</v>
      </c>
      <c r="E3450" s="6" t="s">
        <v>11510</v>
      </c>
      <c r="F3450" s="6" t="s">
        <v>7748</v>
      </c>
      <c r="G3450" s="3" t="s">
        <v>11449</v>
      </c>
      <c r="H3450" s="54">
        <v>0</v>
      </c>
      <c r="I3450" s="55">
        <v>470000000</v>
      </c>
      <c r="J3450" s="56" t="s">
        <v>229</v>
      </c>
      <c r="K3450" s="57" t="s">
        <v>7698</v>
      </c>
      <c r="L3450" s="57" t="s">
        <v>364</v>
      </c>
      <c r="M3450" s="3" t="s">
        <v>230</v>
      </c>
      <c r="N3450" s="52" t="s">
        <v>7693</v>
      </c>
      <c r="O3450" s="6" t="s">
        <v>365</v>
      </c>
      <c r="P3450" s="58" t="s">
        <v>241</v>
      </c>
      <c r="Q3450" s="117" t="s">
        <v>234</v>
      </c>
      <c r="R3450" s="22">
        <v>20</v>
      </c>
      <c r="S3450" s="106">
        <v>34329.635999999999</v>
      </c>
      <c r="T3450" s="4">
        <v>0</v>
      </c>
      <c r="U3450" s="4">
        <f t="shared" si="127"/>
        <v>0</v>
      </c>
      <c r="V3450" s="1"/>
      <c r="W3450" s="3">
        <v>2014</v>
      </c>
      <c r="X3450" s="3">
        <v>11.12</v>
      </c>
    </row>
    <row r="3451" spans="1:24" ht="127.5">
      <c r="A3451" s="3" t="s">
        <v>13482</v>
      </c>
      <c r="B3451" s="6" t="s">
        <v>361</v>
      </c>
      <c r="C3451" s="174" t="s">
        <v>7550</v>
      </c>
      <c r="D3451" s="45" t="s">
        <v>4843</v>
      </c>
      <c r="E3451" s="6" t="s">
        <v>11510</v>
      </c>
      <c r="F3451" s="6" t="s">
        <v>7748</v>
      </c>
      <c r="G3451" s="3" t="s">
        <v>11449</v>
      </c>
      <c r="H3451" s="54">
        <v>0</v>
      </c>
      <c r="I3451" s="55">
        <v>470000000</v>
      </c>
      <c r="J3451" s="56" t="s">
        <v>229</v>
      </c>
      <c r="K3451" s="57" t="s">
        <v>642</v>
      </c>
      <c r="L3451" s="12" t="s">
        <v>404</v>
      </c>
      <c r="M3451" s="3" t="s">
        <v>230</v>
      </c>
      <c r="N3451" s="52" t="s">
        <v>7693</v>
      </c>
      <c r="O3451" s="6" t="s">
        <v>365</v>
      </c>
      <c r="P3451" s="58" t="s">
        <v>241</v>
      </c>
      <c r="Q3451" s="117" t="s">
        <v>234</v>
      </c>
      <c r="R3451" s="22">
        <v>20</v>
      </c>
      <c r="S3451" s="106">
        <v>34329.635999999999</v>
      </c>
      <c r="T3451" s="4">
        <v>0</v>
      </c>
      <c r="U3451" s="4">
        <f t="shared" si="127"/>
        <v>0</v>
      </c>
      <c r="V3451" s="1"/>
      <c r="W3451" s="3">
        <v>2014</v>
      </c>
      <c r="X3451" s="3" t="s">
        <v>14785</v>
      </c>
    </row>
    <row r="3452" spans="1:24" ht="127.5">
      <c r="A3452" s="3" t="s">
        <v>16722</v>
      </c>
      <c r="B3452" s="6" t="s">
        <v>361</v>
      </c>
      <c r="C3452" s="174" t="s">
        <v>7550</v>
      </c>
      <c r="D3452" s="45" t="s">
        <v>4843</v>
      </c>
      <c r="E3452" s="6" t="s">
        <v>11510</v>
      </c>
      <c r="F3452" s="6" t="s">
        <v>7748</v>
      </c>
      <c r="G3452" s="3" t="s">
        <v>11449</v>
      </c>
      <c r="H3452" s="54">
        <v>0</v>
      </c>
      <c r="I3452" s="55">
        <v>470000000</v>
      </c>
      <c r="J3452" s="56" t="s">
        <v>229</v>
      </c>
      <c r="K3452" s="57" t="s">
        <v>8950</v>
      </c>
      <c r="L3452" s="12" t="s">
        <v>404</v>
      </c>
      <c r="M3452" s="3" t="s">
        <v>230</v>
      </c>
      <c r="N3452" s="52" t="s">
        <v>7693</v>
      </c>
      <c r="O3452" s="6" t="s">
        <v>365</v>
      </c>
      <c r="P3452" s="58" t="s">
        <v>241</v>
      </c>
      <c r="Q3452" s="117" t="s">
        <v>234</v>
      </c>
      <c r="R3452" s="22">
        <v>20</v>
      </c>
      <c r="S3452" s="106">
        <v>41195.563199999997</v>
      </c>
      <c r="T3452" s="4">
        <f>R3452*S3452</f>
        <v>823911.26399999997</v>
      </c>
      <c r="U3452" s="4">
        <f t="shared" ref="U3452:U3528" si="133">T3452*1.12</f>
        <v>922780.61568000005</v>
      </c>
      <c r="V3452" s="1"/>
      <c r="W3452" s="3">
        <v>2014</v>
      </c>
      <c r="X3452" s="3"/>
    </row>
    <row r="3453" spans="1:24" ht="114.75">
      <c r="A3453" s="3" t="s">
        <v>1690</v>
      </c>
      <c r="B3453" s="6" t="s">
        <v>361</v>
      </c>
      <c r="C3453" s="174" t="s">
        <v>7551</v>
      </c>
      <c r="D3453" s="45" t="s">
        <v>385</v>
      </c>
      <c r="E3453" s="6" t="s">
        <v>11511</v>
      </c>
      <c r="F3453" s="6" t="s">
        <v>11778</v>
      </c>
      <c r="G3453" s="3" t="s">
        <v>11450</v>
      </c>
      <c r="H3453" s="54">
        <v>0</v>
      </c>
      <c r="I3453" s="55">
        <v>470000000</v>
      </c>
      <c r="J3453" s="56" t="s">
        <v>229</v>
      </c>
      <c r="K3453" s="57" t="s">
        <v>7698</v>
      </c>
      <c r="L3453" s="57" t="s">
        <v>364</v>
      </c>
      <c r="M3453" s="3" t="s">
        <v>230</v>
      </c>
      <c r="N3453" s="52" t="s">
        <v>7693</v>
      </c>
      <c r="O3453" s="6" t="s">
        <v>365</v>
      </c>
      <c r="P3453" s="58" t="s">
        <v>241</v>
      </c>
      <c r="Q3453" s="117" t="s">
        <v>234</v>
      </c>
      <c r="R3453" s="22">
        <v>40</v>
      </c>
      <c r="S3453" s="106">
        <v>39135.756000000001</v>
      </c>
      <c r="T3453" s="4">
        <v>0</v>
      </c>
      <c r="U3453" s="4">
        <f t="shared" si="133"/>
        <v>0</v>
      </c>
      <c r="V3453" s="1"/>
      <c r="W3453" s="3">
        <v>2014</v>
      </c>
      <c r="X3453" s="3">
        <v>11.12</v>
      </c>
    </row>
    <row r="3454" spans="1:24" ht="114.75">
      <c r="A3454" s="3" t="s">
        <v>13483</v>
      </c>
      <c r="B3454" s="6" t="s">
        <v>361</v>
      </c>
      <c r="C3454" s="174" t="s">
        <v>7551</v>
      </c>
      <c r="D3454" s="45" t="s">
        <v>385</v>
      </c>
      <c r="E3454" s="6" t="s">
        <v>11511</v>
      </c>
      <c r="F3454" s="6" t="s">
        <v>11778</v>
      </c>
      <c r="G3454" s="3" t="s">
        <v>11450</v>
      </c>
      <c r="H3454" s="54">
        <v>0</v>
      </c>
      <c r="I3454" s="55">
        <v>470000000</v>
      </c>
      <c r="J3454" s="56" t="s">
        <v>229</v>
      </c>
      <c r="K3454" s="57" t="s">
        <v>642</v>
      </c>
      <c r="L3454" s="12" t="s">
        <v>404</v>
      </c>
      <c r="M3454" s="3" t="s">
        <v>230</v>
      </c>
      <c r="N3454" s="52" t="s">
        <v>7693</v>
      </c>
      <c r="O3454" s="6" t="s">
        <v>365</v>
      </c>
      <c r="P3454" s="58" t="s">
        <v>241</v>
      </c>
      <c r="Q3454" s="117" t="s">
        <v>234</v>
      </c>
      <c r="R3454" s="22">
        <v>40</v>
      </c>
      <c r="S3454" s="106">
        <v>39135.756000000001</v>
      </c>
      <c r="T3454" s="4">
        <v>0</v>
      </c>
      <c r="U3454" s="4">
        <f t="shared" si="133"/>
        <v>0</v>
      </c>
      <c r="V3454" s="1"/>
      <c r="W3454" s="3">
        <v>2014</v>
      </c>
      <c r="X3454" s="3" t="s">
        <v>16431</v>
      </c>
    </row>
    <row r="3455" spans="1:24" ht="114.75">
      <c r="A3455" s="3" t="s">
        <v>16723</v>
      </c>
      <c r="B3455" s="6" t="s">
        <v>361</v>
      </c>
      <c r="C3455" s="174" t="s">
        <v>7551</v>
      </c>
      <c r="D3455" s="45" t="s">
        <v>385</v>
      </c>
      <c r="E3455" s="6" t="s">
        <v>11511</v>
      </c>
      <c r="F3455" s="6" t="s">
        <v>11778</v>
      </c>
      <c r="G3455" s="3" t="s">
        <v>11449</v>
      </c>
      <c r="H3455" s="54">
        <v>0</v>
      </c>
      <c r="I3455" s="55">
        <v>470000000</v>
      </c>
      <c r="J3455" s="56" t="s">
        <v>229</v>
      </c>
      <c r="K3455" s="57" t="s">
        <v>8950</v>
      </c>
      <c r="L3455" s="12" t="s">
        <v>404</v>
      </c>
      <c r="M3455" s="3" t="s">
        <v>230</v>
      </c>
      <c r="N3455" s="52" t="s">
        <v>7693</v>
      </c>
      <c r="O3455" s="6" t="s">
        <v>365</v>
      </c>
      <c r="P3455" s="58" t="s">
        <v>241</v>
      </c>
      <c r="Q3455" s="117" t="s">
        <v>234</v>
      </c>
      <c r="R3455" s="22">
        <v>40</v>
      </c>
      <c r="S3455" s="106">
        <v>46962.907200000001</v>
      </c>
      <c r="T3455" s="4">
        <f>R3455*S3455</f>
        <v>1878516.2880000002</v>
      </c>
      <c r="U3455" s="4">
        <f t="shared" si="133"/>
        <v>2103938.2425600006</v>
      </c>
      <c r="V3455" s="1"/>
      <c r="W3455" s="3">
        <v>2014</v>
      </c>
      <c r="X3455" s="3"/>
    </row>
    <row r="3456" spans="1:24" ht="114.75">
      <c r="A3456" s="3" t="s">
        <v>1691</v>
      </c>
      <c r="B3456" s="6" t="s">
        <v>361</v>
      </c>
      <c r="C3456" s="160" t="s">
        <v>7552</v>
      </c>
      <c r="D3456" s="175" t="s">
        <v>7553</v>
      </c>
      <c r="E3456" s="46" t="s">
        <v>7554</v>
      </c>
      <c r="F3456" s="6" t="s">
        <v>7749</v>
      </c>
      <c r="G3456" s="3" t="s">
        <v>11449</v>
      </c>
      <c r="H3456" s="54">
        <v>0</v>
      </c>
      <c r="I3456" s="55">
        <v>470000000</v>
      </c>
      <c r="J3456" s="56" t="s">
        <v>229</v>
      </c>
      <c r="K3456" s="57" t="s">
        <v>7698</v>
      </c>
      <c r="L3456" s="57" t="s">
        <v>364</v>
      </c>
      <c r="M3456" s="3" t="s">
        <v>230</v>
      </c>
      <c r="N3456" s="52" t="s">
        <v>7693</v>
      </c>
      <c r="O3456" s="6" t="s">
        <v>365</v>
      </c>
      <c r="P3456" s="58" t="s">
        <v>241</v>
      </c>
      <c r="Q3456" s="117" t="s">
        <v>234</v>
      </c>
      <c r="R3456" s="22">
        <v>3</v>
      </c>
      <c r="S3456" s="59">
        <v>10589.223040000003</v>
      </c>
      <c r="T3456" s="4">
        <v>0</v>
      </c>
      <c r="U3456" s="4">
        <f t="shared" si="133"/>
        <v>0</v>
      </c>
      <c r="V3456" s="1"/>
      <c r="W3456" s="3">
        <v>2014</v>
      </c>
      <c r="X3456" s="3">
        <v>11.12</v>
      </c>
    </row>
    <row r="3457" spans="1:24" ht="114.75">
      <c r="A3457" s="3" t="s">
        <v>13484</v>
      </c>
      <c r="B3457" s="6" t="s">
        <v>361</v>
      </c>
      <c r="C3457" s="160" t="s">
        <v>7552</v>
      </c>
      <c r="D3457" s="175" t="s">
        <v>7553</v>
      </c>
      <c r="E3457" s="46" t="s">
        <v>7554</v>
      </c>
      <c r="F3457" s="6" t="s">
        <v>7749</v>
      </c>
      <c r="G3457" s="3" t="s">
        <v>11449</v>
      </c>
      <c r="H3457" s="54">
        <v>0</v>
      </c>
      <c r="I3457" s="55">
        <v>470000000</v>
      </c>
      <c r="J3457" s="56" t="s">
        <v>229</v>
      </c>
      <c r="K3457" s="57" t="s">
        <v>642</v>
      </c>
      <c r="L3457" s="12" t="s">
        <v>404</v>
      </c>
      <c r="M3457" s="3" t="s">
        <v>230</v>
      </c>
      <c r="N3457" s="52" t="s">
        <v>7693</v>
      </c>
      <c r="O3457" s="6" t="s">
        <v>365</v>
      </c>
      <c r="P3457" s="58" t="s">
        <v>241</v>
      </c>
      <c r="Q3457" s="117" t="s">
        <v>234</v>
      </c>
      <c r="R3457" s="22">
        <v>3</v>
      </c>
      <c r="S3457" s="59">
        <v>10589.223040000003</v>
      </c>
      <c r="T3457" s="4">
        <v>0</v>
      </c>
      <c r="U3457" s="4">
        <f t="shared" si="133"/>
        <v>0</v>
      </c>
      <c r="V3457" s="1"/>
      <c r="W3457" s="3">
        <v>2014</v>
      </c>
      <c r="X3457" s="3" t="s">
        <v>14785</v>
      </c>
    </row>
    <row r="3458" spans="1:24" ht="114.75">
      <c r="A3458" s="3" t="s">
        <v>16724</v>
      </c>
      <c r="B3458" s="6" t="s">
        <v>361</v>
      </c>
      <c r="C3458" s="160" t="s">
        <v>7552</v>
      </c>
      <c r="D3458" s="175" t="s">
        <v>7553</v>
      </c>
      <c r="E3458" s="46" t="s">
        <v>7554</v>
      </c>
      <c r="F3458" s="6" t="s">
        <v>7749</v>
      </c>
      <c r="G3458" s="3" t="s">
        <v>11449</v>
      </c>
      <c r="H3458" s="54">
        <v>0</v>
      </c>
      <c r="I3458" s="55">
        <v>470000000</v>
      </c>
      <c r="J3458" s="56" t="s">
        <v>229</v>
      </c>
      <c r="K3458" s="57" t="s">
        <v>8950</v>
      </c>
      <c r="L3458" s="12" t="s">
        <v>404</v>
      </c>
      <c r="M3458" s="3" t="s">
        <v>230</v>
      </c>
      <c r="N3458" s="52" t="s">
        <v>7693</v>
      </c>
      <c r="O3458" s="6" t="s">
        <v>365</v>
      </c>
      <c r="P3458" s="58" t="s">
        <v>241</v>
      </c>
      <c r="Q3458" s="117" t="s">
        <v>234</v>
      </c>
      <c r="R3458" s="22">
        <v>3</v>
      </c>
      <c r="S3458" s="59">
        <v>12707.067648000002</v>
      </c>
      <c r="T3458" s="4">
        <v>0</v>
      </c>
      <c r="U3458" s="4">
        <f t="shared" si="133"/>
        <v>0</v>
      </c>
      <c r="V3458" s="1"/>
      <c r="W3458" s="3">
        <v>2014</v>
      </c>
      <c r="X3458" s="3">
        <v>11.14</v>
      </c>
    </row>
    <row r="3459" spans="1:24" ht="114.75">
      <c r="A3459" s="3" t="s">
        <v>19004</v>
      </c>
      <c r="B3459" s="6" t="s">
        <v>361</v>
      </c>
      <c r="C3459" s="160" t="s">
        <v>7552</v>
      </c>
      <c r="D3459" s="175" t="s">
        <v>7553</v>
      </c>
      <c r="E3459" s="46" t="s">
        <v>7554</v>
      </c>
      <c r="F3459" s="6" t="s">
        <v>7749</v>
      </c>
      <c r="G3459" s="3" t="s">
        <v>11449</v>
      </c>
      <c r="H3459" s="54">
        <v>0</v>
      </c>
      <c r="I3459" s="55">
        <v>470000000</v>
      </c>
      <c r="J3459" s="56" t="s">
        <v>229</v>
      </c>
      <c r="K3459" s="57" t="s">
        <v>18437</v>
      </c>
      <c r="L3459" s="12" t="s">
        <v>404</v>
      </c>
      <c r="M3459" s="3" t="s">
        <v>230</v>
      </c>
      <c r="N3459" s="52" t="s">
        <v>16511</v>
      </c>
      <c r="O3459" s="6" t="s">
        <v>365</v>
      </c>
      <c r="P3459" s="58" t="s">
        <v>241</v>
      </c>
      <c r="Q3459" s="117" t="s">
        <v>234</v>
      </c>
      <c r="R3459" s="22">
        <v>3</v>
      </c>
      <c r="S3459" s="59">
        <v>12707.067648000002</v>
      </c>
      <c r="T3459" s="4">
        <v>0</v>
      </c>
      <c r="U3459" s="4">
        <f t="shared" si="133"/>
        <v>0</v>
      </c>
      <c r="V3459" s="1"/>
      <c r="W3459" s="3">
        <v>2014</v>
      </c>
      <c r="X3459" s="3">
        <v>11.15</v>
      </c>
    </row>
    <row r="3460" spans="1:24" ht="76.5">
      <c r="A3460" s="3" t="s">
        <v>19469</v>
      </c>
      <c r="B3460" s="6" t="s">
        <v>361</v>
      </c>
      <c r="C3460" s="160" t="s">
        <v>7552</v>
      </c>
      <c r="D3460" s="175" t="s">
        <v>7553</v>
      </c>
      <c r="E3460" s="46" t="s">
        <v>7554</v>
      </c>
      <c r="F3460" s="6" t="s">
        <v>7749</v>
      </c>
      <c r="G3460" s="3" t="s">
        <v>11449</v>
      </c>
      <c r="H3460" s="54">
        <v>0</v>
      </c>
      <c r="I3460" s="55">
        <v>470000000</v>
      </c>
      <c r="J3460" s="56" t="s">
        <v>229</v>
      </c>
      <c r="K3460" s="57" t="s">
        <v>19379</v>
      </c>
      <c r="L3460" s="12" t="s">
        <v>404</v>
      </c>
      <c r="M3460" s="3" t="s">
        <v>230</v>
      </c>
      <c r="N3460" s="52" t="s">
        <v>16511</v>
      </c>
      <c r="O3460" s="6" t="s">
        <v>19407</v>
      </c>
      <c r="P3460" s="58" t="s">
        <v>241</v>
      </c>
      <c r="Q3460" s="117" t="s">
        <v>234</v>
      </c>
      <c r="R3460" s="22">
        <v>3</v>
      </c>
      <c r="S3460" s="59">
        <v>12707.067648000002</v>
      </c>
      <c r="T3460" s="4">
        <f>R3460*S3460</f>
        <v>38121.202944000004</v>
      </c>
      <c r="U3460" s="4">
        <f t="shared" ref="U3460" si="134">T3460*1.12</f>
        <v>42695.74729728001</v>
      </c>
      <c r="V3460" s="1"/>
      <c r="W3460" s="3">
        <v>2014</v>
      </c>
      <c r="X3460" s="3"/>
    </row>
    <row r="3461" spans="1:24" ht="114.75">
      <c r="A3461" s="3" t="s">
        <v>1692</v>
      </c>
      <c r="B3461" s="6" t="s">
        <v>361</v>
      </c>
      <c r="C3461" s="160" t="s">
        <v>7555</v>
      </c>
      <c r="D3461" s="175" t="s">
        <v>7556</v>
      </c>
      <c r="E3461" s="46" t="s">
        <v>7557</v>
      </c>
      <c r="F3461" s="116" t="s">
        <v>7750</v>
      </c>
      <c r="G3461" s="3" t="s">
        <v>11449</v>
      </c>
      <c r="H3461" s="54">
        <v>0</v>
      </c>
      <c r="I3461" s="55">
        <v>470000000</v>
      </c>
      <c r="J3461" s="56" t="s">
        <v>229</v>
      </c>
      <c r="K3461" s="57" t="s">
        <v>7698</v>
      </c>
      <c r="L3461" s="57" t="s">
        <v>364</v>
      </c>
      <c r="M3461" s="3" t="s">
        <v>230</v>
      </c>
      <c r="N3461" s="52" t="s">
        <v>7693</v>
      </c>
      <c r="O3461" s="6" t="s">
        <v>365</v>
      </c>
      <c r="P3461" s="58" t="s">
        <v>241</v>
      </c>
      <c r="Q3461" s="117" t="s">
        <v>234</v>
      </c>
      <c r="R3461" s="22">
        <v>3</v>
      </c>
      <c r="S3461" s="59">
        <v>15068.996360000003</v>
      </c>
      <c r="T3461" s="4">
        <v>0</v>
      </c>
      <c r="U3461" s="4">
        <f t="shared" si="133"/>
        <v>0</v>
      </c>
      <c r="V3461" s="1"/>
      <c r="W3461" s="3">
        <v>2014</v>
      </c>
      <c r="X3461" s="3">
        <v>11.12</v>
      </c>
    </row>
    <row r="3462" spans="1:24" ht="114.75">
      <c r="A3462" s="3" t="s">
        <v>13485</v>
      </c>
      <c r="B3462" s="6" t="s">
        <v>361</v>
      </c>
      <c r="C3462" s="160" t="s">
        <v>7555</v>
      </c>
      <c r="D3462" s="175" t="s">
        <v>7556</v>
      </c>
      <c r="E3462" s="46" t="s">
        <v>7557</v>
      </c>
      <c r="F3462" s="116" t="s">
        <v>7750</v>
      </c>
      <c r="G3462" s="3" t="s">
        <v>11449</v>
      </c>
      <c r="H3462" s="54">
        <v>0</v>
      </c>
      <c r="I3462" s="55">
        <v>470000000</v>
      </c>
      <c r="J3462" s="56" t="s">
        <v>229</v>
      </c>
      <c r="K3462" s="57" t="s">
        <v>642</v>
      </c>
      <c r="L3462" s="12" t="s">
        <v>404</v>
      </c>
      <c r="M3462" s="3" t="s">
        <v>230</v>
      </c>
      <c r="N3462" s="52" t="s">
        <v>7693</v>
      </c>
      <c r="O3462" s="6" t="s">
        <v>365</v>
      </c>
      <c r="P3462" s="58" t="s">
        <v>241</v>
      </c>
      <c r="Q3462" s="117" t="s">
        <v>234</v>
      </c>
      <c r="R3462" s="22">
        <v>3</v>
      </c>
      <c r="S3462" s="59">
        <v>15068.996360000003</v>
      </c>
      <c r="T3462" s="4">
        <v>0</v>
      </c>
      <c r="U3462" s="4">
        <f t="shared" si="133"/>
        <v>0</v>
      </c>
      <c r="V3462" s="1"/>
      <c r="W3462" s="3">
        <v>2014</v>
      </c>
      <c r="X3462" s="3" t="s">
        <v>14785</v>
      </c>
    </row>
    <row r="3463" spans="1:24" ht="114.75">
      <c r="A3463" s="3" t="s">
        <v>16725</v>
      </c>
      <c r="B3463" s="6" t="s">
        <v>361</v>
      </c>
      <c r="C3463" s="160" t="s">
        <v>7555</v>
      </c>
      <c r="D3463" s="175" t="s">
        <v>7556</v>
      </c>
      <c r="E3463" s="46" t="s">
        <v>7557</v>
      </c>
      <c r="F3463" s="116" t="s">
        <v>7750</v>
      </c>
      <c r="G3463" s="3" t="s">
        <v>11449</v>
      </c>
      <c r="H3463" s="54">
        <v>0</v>
      </c>
      <c r="I3463" s="55">
        <v>470000000</v>
      </c>
      <c r="J3463" s="56" t="s">
        <v>229</v>
      </c>
      <c r="K3463" s="57" t="s">
        <v>8950</v>
      </c>
      <c r="L3463" s="12" t="s">
        <v>404</v>
      </c>
      <c r="M3463" s="3" t="s">
        <v>230</v>
      </c>
      <c r="N3463" s="52" t="s">
        <v>7693</v>
      </c>
      <c r="O3463" s="6" t="s">
        <v>365</v>
      </c>
      <c r="P3463" s="58" t="s">
        <v>241</v>
      </c>
      <c r="Q3463" s="117" t="s">
        <v>234</v>
      </c>
      <c r="R3463" s="22">
        <v>3</v>
      </c>
      <c r="S3463" s="59">
        <v>18082.795632000001</v>
      </c>
      <c r="T3463" s="4">
        <v>0</v>
      </c>
      <c r="U3463" s="4">
        <f t="shared" si="133"/>
        <v>0</v>
      </c>
      <c r="V3463" s="1"/>
      <c r="W3463" s="3">
        <v>2014</v>
      </c>
      <c r="X3463" s="3">
        <v>11.14</v>
      </c>
    </row>
    <row r="3464" spans="1:24" ht="114.75">
      <c r="A3464" s="3" t="s">
        <v>19005</v>
      </c>
      <c r="B3464" s="6" t="s">
        <v>361</v>
      </c>
      <c r="C3464" s="160" t="s">
        <v>7555</v>
      </c>
      <c r="D3464" s="175" t="s">
        <v>7556</v>
      </c>
      <c r="E3464" s="46" t="s">
        <v>7557</v>
      </c>
      <c r="F3464" s="116" t="s">
        <v>7750</v>
      </c>
      <c r="G3464" s="3" t="s">
        <v>11449</v>
      </c>
      <c r="H3464" s="54">
        <v>0</v>
      </c>
      <c r="I3464" s="55">
        <v>470000000</v>
      </c>
      <c r="J3464" s="56" t="s">
        <v>229</v>
      </c>
      <c r="K3464" s="57" t="s">
        <v>18437</v>
      </c>
      <c r="L3464" s="12" t="s">
        <v>404</v>
      </c>
      <c r="M3464" s="3" t="s">
        <v>230</v>
      </c>
      <c r="N3464" s="52" t="s">
        <v>16511</v>
      </c>
      <c r="O3464" s="6" t="s">
        <v>365</v>
      </c>
      <c r="P3464" s="58" t="s">
        <v>241</v>
      </c>
      <c r="Q3464" s="117" t="s">
        <v>234</v>
      </c>
      <c r="R3464" s="22">
        <v>3</v>
      </c>
      <c r="S3464" s="59">
        <v>18082.795632000001</v>
      </c>
      <c r="T3464" s="4">
        <v>0</v>
      </c>
      <c r="U3464" s="4">
        <f t="shared" si="133"/>
        <v>0</v>
      </c>
      <c r="V3464" s="1"/>
      <c r="W3464" s="3">
        <v>2014</v>
      </c>
      <c r="X3464" s="3">
        <v>11.15</v>
      </c>
    </row>
    <row r="3465" spans="1:24" ht="76.5">
      <c r="A3465" s="3" t="s">
        <v>19470</v>
      </c>
      <c r="B3465" s="6" t="s">
        <v>361</v>
      </c>
      <c r="C3465" s="160" t="s">
        <v>7555</v>
      </c>
      <c r="D3465" s="175" t="s">
        <v>7556</v>
      </c>
      <c r="E3465" s="46" t="s">
        <v>7557</v>
      </c>
      <c r="F3465" s="116" t="s">
        <v>7750</v>
      </c>
      <c r="G3465" s="3" t="s">
        <v>11449</v>
      </c>
      <c r="H3465" s="54">
        <v>0</v>
      </c>
      <c r="I3465" s="55">
        <v>470000000</v>
      </c>
      <c r="J3465" s="56" t="s">
        <v>229</v>
      </c>
      <c r="K3465" s="57" t="s">
        <v>19379</v>
      </c>
      <c r="L3465" s="12" t="s">
        <v>404</v>
      </c>
      <c r="M3465" s="3" t="s">
        <v>230</v>
      </c>
      <c r="N3465" s="52" t="s">
        <v>16511</v>
      </c>
      <c r="O3465" s="6" t="s">
        <v>19407</v>
      </c>
      <c r="P3465" s="58" t="s">
        <v>241</v>
      </c>
      <c r="Q3465" s="117" t="s">
        <v>234</v>
      </c>
      <c r="R3465" s="22">
        <v>3</v>
      </c>
      <c r="S3465" s="59">
        <v>18082.795632000001</v>
      </c>
      <c r="T3465" s="4">
        <f>R3465*S3465</f>
        <v>54248.386896000004</v>
      </c>
      <c r="U3465" s="4">
        <f t="shared" ref="U3465" si="135">T3465*1.12</f>
        <v>60758.193323520012</v>
      </c>
      <c r="V3465" s="1"/>
      <c r="W3465" s="3">
        <v>2014</v>
      </c>
      <c r="X3465" s="3"/>
    </row>
    <row r="3466" spans="1:24" ht="114.75">
      <c r="A3466" s="3" t="s">
        <v>1693</v>
      </c>
      <c r="B3466" s="6" t="s">
        <v>361</v>
      </c>
      <c r="C3466" s="160" t="s">
        <v>7558</v>
      </c>
      <c r="D3466" s="175" t="s">
        <v>441</v>
      </c>
      <c r="E3466" s="46" t="s">
        <v>7559</v>
      </c>
      <c r="F3466" s="6" t="s">
        <v>7751</v>
      </c>
      <c r="G3466" s="3" t="s">
        <v>11449</v>
      </c>
      <c r="H3466" s="54">
        <v>0</v>
      </c>
      <c r="I3466" s="55">
        <v>470000000</v>
      </c>
      <c r="J3466" s="56" t="s">
        <v>229</v>
      </c>
      <c r="K3466" s="57" t="s">
        <v>7698</v>
      </c>
      <c r="L3466" s="57" t="s">
        <v>364</v>
      </c>
      <c r="M3466" s="3" t="s">
        <v>230</v>
      </c>
      <c r="N3466" s="52" t="s">
        <v>7693</v>
      </c>
      <c r="O3466" s="6" t="s">
        <v>365</v>
      </c>
      <c r="P3466" s="58" t="s">
        <v>241</v>
      </c>
      <c r="Q3466" s="117" t="s">
        <v>234</v>
      </c>
      <c r="R3466" s="22">
        <v>4</v>
      </c>
      <c r="S3466" s="106">
        <v>40700</v>
      </c>
      <c r="T3466" s="4">
        <v>0</v>
      </c>
      <c r="U3466" s="4">
        <f t="shared" si="133"/>
        <v>0</v>
      </c>
      <c r="V3466" s="1"/>
      <c r="W3466" s="3">
        <v>2014</v>
      </c>
      <c r="X3466" s="3">
        <v>11.12</v>
      </c>
    </row>
    <row r="3467" spans="1:24" ht="114.75">
      <c r="A3467" s="3" t="s">
        <v>13486</v>
      </c>
      <c r="B3467" s="6" t="s">
        <v>361</v>
      </c>
      <c r="C3467" s="160" t="s">
        <v>7558</v>
      </c>
      <c r="D3467" s="175" t="s">
        <v>441</v>
      </c>
      <c r="E3467" s="46" t="s">
        <v>7559</v>
      </c>
      <c r="F3467" s="6" t="s">
        <v>7751</v>
      </c>
      <c r="G3467" s="3" t="s">
        <v>11449</v>
      </c>
      <c r="H3467" s="54">
        <v>0</v>
      </c>
      <c r="I3467" s="55">
        <v>470000000</v>
      </c>
      <c r="J3467" s="56" t="s">
        <v>229</v>
      </c>
      <c r="K3467" s="57" t="s">
        <v>642</v>
      </c>
      <c r="L3467" s="12" t="s">
        <v>404</v>
      </c>
      <c r="M3467" s="3" t="s">
        <v>230</v>
      </c>
      <c r="N3467" s="52" t="s">
        <v>7693</v>
      </c>
      <c r="O3467" s="6" t="s">
        <v>365</v>
      </c>
      <c r="P3467" s="58" t="s">
        <v>241</v>
      </c>
      <c r="Q3467" s="117" t="s">
        <v>234</v>
      </c>
      <c r="R3467" s="22">
        <v>4</v>
      </c>
      <c r="S3467" s="106">
        <v>40700</v>
      </c>
      <c r="T3467" s="4">
        <v>0</v>
      </c>
      <c r="U3467" s="4">
        <f t="shared" si="133"/>
        <v>0</v>
      </c>
      <c r="V3467" s="1"/>
      <c r="W3467" s="3">
        <v>2014</v>
      </c>
      <c r="X3467" s="3" t="s">
        <v>14785</v>
      </c>
    </row>
    <row r="3468" spans="1:24" ht="114.75">
      <c r="A3468" s="3" t="s">
        <v>16726</v>
      </c>
      <c r="B3468" s="6" t="s">
        <v>361</v>
      </c>
      <c r="C3468" s="160" t="s">
        <v>7558</v>
      </c>
      <c r="D3468" s="175" t="s">
        <v>441</v>
      </c>
      <c r="E3468" s="46" t="s">
        <v>7559</v>
      </c>
      <c r="F3468" s="6" t="s">
        <v>7751</v>
      </c>
      <c r="G3468" s="3" t="s">
        <v>11449</v>
      </c>
      <c r="H3468" s="54">
        <v>0</v>
      </c>
      <c r="I3468" s="55">
        <v>470000000</v>
      </c>
      <c r="J3468" s="56" t="s">
        <v>229</v>
      </c>
      <c r="K3468" s="57" t="s">
        <v>8950</v>
      </c>
      <c r="L3468" s="12" t="s">
        <v>404</v>
      </c>
      <c r="M3468" s="3" t="s">
        <v>230</v>
      </c>
      <c r="N3468" s="52" t="s">
        <v>7693</v>
      </c>
      <c r="O3468" s="6" t="s">
        <v>365</v>
      </c>
      <c r="P3468" s="58" t="s">
        <v>241</v>
      </c>
      <c r="Q3468" s="117" t="s">
        <v>234</v>
      </c>
      <c r="R3468" s="22">
        <v>4</v>
      </c>
      <c r="S3468" s="106">
        <v>48840</v>
      </c>
      <c r="T3468" s="4">
        <v>0</v>
      </c>
      <c r="U3468" s="4">
        <f t="shared" si="133"/>
        <v>0</v>
      </c>
      <c r="V3468" s="1"/>
      <c r="W3468" s="3">
        <v>2014</v>
      </c>
      <c r="X3468" s="3">
        <v>11.14</v>
      </c>
    </row>
    <row r="3469" spans="1:24" ht="114.75">
      <c r="A3469" s="3" t="s">
        <v>19006</v>
      </c>
      <c r="B3469" s="6" t="s">
        <v>361</v>
      </c>
      <c r="C3469" s="160" t="s">
        <v>7558</v>
      </c>
      <c r="D3469" s="175" t="s">
        <v>441</v>
      </c>
      <c r="E3469" s="46" t="s">
        <v>7559</v>
      </c>
      <c r="F3469" s="6" t="s">
        <v>7751</v>
      </c>
      <c r="G3469" s="3" t="s">
        <v>11449</v>
      </c>
      <c r="H3469" s="54">
        <v>0</v>
      </c>
      <c r="I3469" s="55">
        <v>470000000</v>
      </c>
      <c r="J3469" s="56" t="s">
        <v>229</v>
      </c>
      <c r="K3469" s="57" t="s">
        <v>18437</v>
      </c>
      <c r="L3469" s="12" t="s">
        <v>404</v>
      </c>
      <c r="M3469" s="3" t="s">
        <v>230</v>
      </c>
      <c r="N3469" s="52" t="s">
        <v>16511</v>
      </c>
      <c r="O3469" s="6" t="s">
        <v>365</v>
      </c>
      <c r="P3469" s="58" t="s">
        <v>241</v>
      </c>
      <c r="Q3469" s="117" t="s">
        <v>234</v>
      </c>
      <c r="R3469" s="22">
        <v>4</v>
      </c>
      <c r="S3469" s="106">
        <v>48840</v>
      </c>
      <c r="T3469" s="4">
        <v>0</v>
      </c>
      <c r="U3469" s="4">
        <f t="shared" si="133"/>
        <v>0</v>
      </c>
      <c r="V3469" s="1"/>
      <c r="W3469" s="3">
        <v>2014</v>
      </c>
      <c r="X3469" s="3">
        <v>11.15</v>
      </c>
    </row>
    <row r="3470" spans="1:24" ht="76.5">
      <c r="A3470" s="3" t="s">
        <v>19471</v>
      </c>
      <c r="B3470" s="6" t="s">
        <v>361</v>
      </c>
      <c r="C3470" s="160" t="s">
        <v>7558</v>
      </c>
      <c r="D3470" s="175" t="s">
        <v>441</v>
      </c>
      <c r="E3470" s="46" t="s">
        <v>7559</v>
      </c>
      <c r="F3470" s="6" t="s">
        <v>7751</v>
      </c>
      <c r="G3470" s="3" t="s">
        <v>11449</v>
      </c>
      <c r="H3470" s="54">
        <v>0</v>
      </c>
      <c r="I3470" s="55">
        <v>470000000</v>
      </c>
      <c r="J3470" s="56" t="s">
        <v>229</v>
      </c>
      <c r="K3470" s="57" t="s">
        <v>19379</v>
      </c>
      <c r="L3470" s="12" t="s">
        <v>404</v>
      </c>
      <c r="M3470" s="3" t="s">
        <v>230</v>
      </c>
      <c r="N3470" s="52" t="s">
        <v>16511</v>
      </c>
      <c r="O3470" s="6" t="s">
        <v>19407</v>
      </c>
      <c r="P3470" s="58" t="s">
        <v>241</v>
      </c>
      <c r="Q3470" s="117" t="s">
        <v>234</v>
      </c>
      <c r="R3470" s="22">
        <v>4</v>
      </c>
      <c r="S3470" s="106">
        <v>48840</v>
      </c>
      <c r="T3470" s="4">
        <f>R3470*S3470</f>
        <v>195360</v>
      </c>
      <c r="U3470" s="4">
        <f t="shared" ref="U3470" si="136">T3470*1.12</f>
        <v>218803.20000000001</v>
      </c>
      <c r="V3470" s="1"/>
      <c r="W3470" s="3">
        <v>2014</v>
      </c>
      <c r="X3470" s="3"/>
    </row>
    <row r="3471" spans="1:24" ht="114.75">
      <c r="A3471" s="3" t="s">
        <v>1694</v>
      </c>
      <c r="B3471" s="6" t="s">
        <v>361</v>
      </c>
      <c r="C3471" s="160" t="s">
        <v>7563</v>
      </c>
      <c r="D3471" s="175" t="s">
        <v>5545</v>
      </c>
      <c r="E3471" s="46" t="s">
        <v>5546</v>
      </c>
      <c r="F3471" s="6" t="s">
        <v>7752</v>
      </c>
      <c r="G3471" s="3" t="s">
        <v>11449</v>
      </c>
      <c r="H3471" s="54">
        <v>0</v>
      </c>
      <c r="I3471" s="55">
        <v>470000000</v>
      </c>
      <c r="J3471" s="56" t="s">
        <v>229</v>
      </c>
      <c r="K3471" s="57" t="s">
        <v>7698</v>
      </c>
      <c r="L3471" s="57" t="s">
        <v>364</v>
      </c>
      <c r="M3471" s="3" t="s">
        <v>230</v>
      </c>
      <c r="N3471" s="52" t="s">
        <v>7693</v>
      </c>
      <c r="O3471" s="6" t="s">
        <v>365</v>
      </c>
      <c r="P3471" s="58" t="s">
        <v>241</v>
      </c>
      <c r="Q3471" s="117" t="s">
        <v>234</v>
      </c>
      <c r="R3471" s="22">
        <v>10</v>
      </c>
      <c r="S3471" s="106">
        <v>2530</v>
      </c>
      <c r="T3471" s="4">
        <v>0</v>
      </c>
      <c r="U3471" s="4">
        <f t="shared" si="133"/>
        <v>0</v>
      </c>
      <c r="V3471" s="1"/>
      <c r="W3471" s="3">
        <v>2014</v>
      </c>
      <c r="X3471" s="3">
        <v>11.12</v>
      </c>
    </row>
    <row r="3472" spans="1:24" ht="114.75">
      <c r="A3472" s="3" t="s">
        <v>13487</v>
      </c>
      <c r="B3472" s="6" t="s">
        <v>361</v>
      </c>
      <c r="C3472" s="160" t="s">
        <v>7563</v>
      </c>
      <c r="D3472" s="175" t="s">
        <v>5545</v>
      </c>
      <c r="E3472" s="46" t="s">
        <v>5546</v>
      </c>
      <c r="F3472" s="6" t="s">
        <v>7752</v>
      </c>
      <c r="G3472" s="3" t="s">
        <v>11449</v>
      </c>
      <c r="H3472" s="54">
        <v>0</v>
      </c>
      <c r="I3472" s="55">
        <v>470000000</v>
      </c>
      <c r="J3472" s="56" t="s">
        <v>229</v>
      </c>
      <c r="K3472" s="57" t="s">
        <v>642</v>
      </c>
      <c r="L3472" s="12" t="s">
        <v>404</v>
      </c>
      <c r="M3472" s="3" t="s">
        <v>230</v>
      </c>
      <c r="N3472" s="52" t="s">
        <v>7693</v>
      </c>
      <c r="O3472" s="6" t="s">
        <v>365</v>
      </c>
      <c r="P3472" s="58" t="s">
        <v>241</v>
      </c>
      <c r="Q3472" s="117" t="s">
        <v>234</v>
      </c>
      <c r="R3472" s="22">
        <v>10</v>
      </c>
      <c r="S3472" s="106">
        <v>2530</v>
      </c>
      <c r="T3472" s="4">
        <v>0</v>
      </c>
      <c r="U3472" s="4">
        <f t="shared" si="133"/>
        <v>0</v>
      </c>
      <c r="V3472" s="1"/>
      <c r="W3472" s="3">
        <v>2014</v>
      </c>
      <c r="X3472" s="3" t="s">
        <v>14785</v>
      </c>
    </row>
    <row r="3473" spans="1:24" ht="114.75">
      <c r="A3473" s="3" t="s">
        <v>16727</v>
      </c>
      <c r="B3473" s="6" t="s">
        <v>361</v>
      </c>
      <c r="C3473" s="160" t="s">
        <v>7563</v>
      </c>
      <c r="D3473" s="175" t="s">
        <v>5545</v>
      </c>
      <c r="E3473" s="46" t="s">
        <v>5546</v>
      </c>
      <c r="F3473" s="6" t="s">
        <v>7752</v>
      </c>
      <c r="G3473" s="3" t="s">
        <v>11449</v>
      </c>
      <c r="H3473" s="54">
        <v>0</v>
      </c>
      <c r="I3473" s="55">
        <v>470000000</v>
      </c>
      <c r="J3473" s="56" t="s">
        <v>229</v>
      </c>
      <c r="K3473" s="57" t="s">
        <v>8950</v>
      </c>
      <c r="L3473" s="12" t="s">
        <v>404</v>
      </c>
      <c r="M3473" s="3" t="s">
        <v>230</v>
      </c>
      <c r="N3473" s="52" t="s">
        <v>7693</v>
      </c>
      <c r="O3473" s="6" t="s">
        <v>365</v>
      </c>
      <c r="P3473" s="58" t="s">
        <v>241</v>
      </c>
      <c r="Q3473" s="117" t="s">
        <v>234</v>
      </c>
      <c r="R3473" s="22">
        <v>10</v>
      </c>
      <c r="S3473" s="106">
        <v>3036</v>
      </c>
      <c r="T3473" s="4">
        <v>0</v>
      </c>
      <c r="U3473" s="4">
        <f t="shared" si="133"/>
        <v>0</v>
      </c>
      <c r="V3473" s="1"/>
      <c r="W3473" s="3">
        <v>2014</v>
      </c>
      <c r="X3473" s="3">
        <v>11.14</v>
      </c>
    </row>
    <row r="3474" spans="1:24" ht="114.75">
      <c r="A3474" s="3" t="s">
        <v>19007</v>
      </c>
      <c r="B3474" s="6" t="s">
        <v>361</v>
      </c>
      <c r="C3474" s="160" t="s">
        <v>7563</v>
      </c>
      <c r="D3474" s="175" t="s">
        <v>5545</v>
      </c>
      <c r="E3474" s="46" t="s">
        <v>5546</v>
      </c>
      <c r="F3474" s="6" t="s">
        <v>7752</v>
      </c>
      <c r="G3474" s="3" t="s">
        <v>11449</v>
      </c>
      <c r="H3474" s="54">
        <v>0</v>
      </c>
      <c r="I3474" s="55">
        <v>470000000</v>
      </c>
      <c r="J3474" s="56" t="s">
        <v>229</v>
      </c>
      <c r="K3474" s="57" t="s">
        <v>18437</v>
      </c>
      <c r="L3474" s="12" t="s">
        <v>404</v>
      </c>
      <c r="M3474" s="3" t="s">
        <v>230</v>
      </c>
      <c r="N3474" s="52" t="s">
        <v>16511</v>
      </c>
      <c r="O3474" s="6" t="s">
        <v>365</v>
      </c>
      <c r="P3474" s="58" t="s">
        <v>241</v>
      </c>
      <c r="Q3474" s="117" t="s">
        <v>234</v>
      </c>
      <c r="R3474" s="22">
        <v>10</v>
      </c>
      <c r="S3474" s="106">
        <v>3036</v>
      </c>
      <c r="T3474" s="4">
        <v>0</v>
      </c>
      <c r="U3474" s="4">
        <f t="shared" si="133"/>
        <v>0</v>
      </c>
      <c r="V3474" s="1"/>
      <c r="W3474" s="3">
        <v>2014</v>
      </c>
      <c r="X3474" s="3">
        <v>11.15</v>
      </c>
    </row>
    <row r="3475" spans="1:24" ht="76.5">
      <c r="A3475" s="3" t="s">
        <v>19472</v>
      </c>
      <c r="B3475" s="6" t="s">
        <v>361</v>
      </c>
      <c r="C3475" s="160" t="s">
        <v>7563</v>
      </c>
      <c r="D3475" s="175" t="s">
        <v>5545</v>
      </c>
      <c r="E3475" s="46" t="s">
        <v>5546</v>
      </c>
      <c r="F3475" s="6" t="s">
        <v>7752</v>
      </c>
      <c r="G3475" s="3" t="s">
        <v>11449</v>
      </c>
      <c r="H3475" s="54">
        <v>0</v>
      </c>
      <c r="I3475" s="55">
        <v>470000000</v>
      </c>
      <c r="J3475" s="56" t="s">
        <v>229</v>
      </c>
      <c r="K3475" s="57" t="s">
        <v>19379</v>
      </c>
      <c r="L3475" s="12" t="s">
        <v>404</v>
      </c>
      <c r="M3475" s="3" t="s">
        <v>230</v>
      </c>
      <c r="N3475" s="52" t="s">
        <v>16511</v>
      </c>
      <c r="O3475" s="6" t="s">
        <v>19407</v>
      </c>
      <c r="P3475" s="58" t="s">
        <v>241</v>
      </c>
      <c r="Q3475" s="117" t="s">
        <v>234</v>
      </c>
      <c r="R3475" s="22">
        <v>10</v>
      </c>
      <c r="S3475" s="106">
        <v>3036</v>
      </c>
      <c r="T3475" s="4">
        <f>R3475*S3475</f>
        <v>30360</v>
      </c>
      <c r="U3475" s="4">
        <f t="shared" ref="U3475" si="137">T3475*1.12</f>
        <v>34003.200000000004</v>
      </c>
      <c r="V3475" s="1"/>
      <c r="W3475" s="3">
        <v>2014</v>
      </c>
      <c r="X3475" s="3"/>
    </row>
    <row r="3476" spans="1:24" ht="114.75">
      <c r="A3476" s="3" t="s">
        <v>1695</v>
      </c>
      <c r="B3476" s="6" t="s">
        <v>361</v>
      </c>
      <c r="C3476" s="160" t="s">
        <v>7564</v>
      </c>
      <c r="D3476" s="175" t="s">
        <v>7565</v>
      </c>
      <c r="E3476" s="46" t="s">
        <v>7566</v>
      </c>
      <c r="F3476" s="6" t="s">
        <v>7753</v>
      </c>
      <c r="G3476" s="3" t="s">
        <v>11449</v>
      </c>
      <c r="H3476" s="54">
        <v>0</v>
      </c>
      <c r="I3476" s="55">
        <v>470000000</v>
      </c>
      <c r="J3476" s="56" t="s">
        <v>229</v>
      </c>
      <c r="K3476" s="57" t="s">
        <v>7698</v>
      </c>
      <c r="L3476" s="57" t="s">
        <v>364</v>
      </c>
      <c r="M3476" s="3" t="s">
        <v>230</v>
      </c>
      <c r="N3476" s="52" t="s">
        <v>7693</v>
      </c>
      <c r="O3476" s="6" t="s">
        <v>365</v>
      </c>
      <c r="P3476" s="58" t="s">
        <v>241</v>
      </c>
      <c r="Q3476" s="117" t="s">
        <v>234</v>
      </c>
      <c r="R3476" s="22">
        <v>10</v>
      </c>
      <c r="S3476" s="106">
        <v>880</v>
      </c>
      <c r="T3476" s="4">
        <v>0</v>
      </c>
      <c r="U3476" s="4">
        <f t="shared" si="133"/>
        <v>0</v>
      </c>
      <c r="V3476" s="1"/>
      <c r="W3476" s="3">
        <v>2014</v>
      </c>
      <c r="X3476" s="3">
        <v>11.12</v>
      </c>
    </row>
    <row r="3477" spans="1:24" ht="114.75">
      <c r="A3477" s="3" t="s">
        <v>13488</v>
      </c>
      <c r="B3477" s="6" t="s">
        <v>361</v>
      </c>
      <c r="C3477" s="160" t="s">
        <v>7564</v>
      </c>
      <c r="D3477" s="175" t="s">
        <v>7565</v>
      </c>
      <c r="E3477" s="46" t="s">
        <v>7566</v>
      </c>
      <c r="F3477" s="6" t="s">
        <v>7753</v>
      </c>
      <c r="G3477" s="3" t="s">
        <v>11449</v>
      </c>
      <c r="H3477" s="54">
        <v>0</v>
      </c>
      <c r="I3477" s="55">
        <v>470000000</v>
      </c>
      <c r="J3477" s="56" t="s">
        <v>229</v>
      </c>
      <c r="K3477" s="57" t="s">
        <v>642</v>
      </c>
      <c r="L3477" s="12" t="s">
        <v>404</v>
      </c>
      <c r="M3477" s="3" t="s">
        <v>230</v>
      </c>
      <c r="N3477" s="52" t="s">
        <v>7693</v>
      </c>
      <c r="O3477" s="6" t="s">
        <v>365</v>
      </c>
      <c r="P3477" s="58" t="s">
        <v>241</v>
      </c>
      <c r="Q3477" s="117" t="s">
        <v>234</v>
      </c>
      <c r="R3477" s="22">
        <v>10</v>
      </c>
      <c r="S3477" s="106">
        <v>880</v>
      </c>
      <c r="T3477" s="4">
        <v>0</v>
      </c>
      <c r="U3477" s="4">
        <f t="shared" si="133"/>
        <v>0</v>
      </c>
      <c r="V3477" s="1"/>
      <c r="W3477" s="3">
        <v>2014</v>
      </c>
      <c r="X3477" s="3" t="s">
        <v>14785</v>
      </c>
    </row>
    <row r="3478" spans="1:24" ht="114.75">
      <c r="A3478" s="3" t="s">
        <v>16728</v>
      </c>
      <c r="B3478" s="6" t="s">
        <v>361</v>
      </c>
      <c r="C3478" s="160" t="s">
        <v>7564</v>
      </c>
      <c r="D3478" s="175" t="s">
        <v>7565</v>
      </c>
      <c r="E3478" s="46" t="s">
        <v>7566</v>
      </c>
      <c r="F3478" s="6" t="s">
        <v>7753</v>
      </c>
      <c r="G3478" s="3" t="s">
        <v>11449</v>
      </c>
      <c r="H3478" s="54">
        <v>0</v>
      </c>
      <c r="I3478" s="55">
        <v>470000000</v>
      </c>
      <c r="J3478" s="56" t="s">
        <v>229</v>
      </c>
      <c r="K3478" s="57" t="s">
        <v>8950</v>
      </c>
      <c r="L3478" s="12" t="s">
        <v>404</v>
      </c>
      <c r="M3478" s="3" t="s">
        <v>230</v>
      </c>
      <c r="N3478" s="52" t="s">
        <v>7693</v>
      </c>
      <c r="O3478" s="6" t="s">
        <v>365</v>
      </c>
      <c r="P3478" s="58" t="s">
        <v>241</v>
      </c>
      <c r="Q3478" s="117" t="s">
        <v>234</v>
      </c>
      <c r="R3478" s="22">
        <v>10</v>
      </c>
      <c r="S3478" s="106">
        <v>1056</v>
      </c>
      <c r="T3478" s="4">
        <v>0</v>
      </c>
      <c r="U3478" s="4">
        <f t="shared" si="133"/>
        <v>0</v>
      </c>
      <c r="V3478" s="1"/>
      <c r="W3478" s="3">
        <v>2014</v>
      </c>
      <c r="X3478" s="3" t="s">
        <v>14265</v>
      </c>
    </row>
    <row r="3479" spans="1:24" ht="76.5">
      <c r="A3479" s="3" t="s">
        <v>19349</v>
      </c>
      <c r="B3479" s="6" t="s">
        <v>361</v>
      </c>
      <c r="C3479" s="160" t="s">
        <v>7564</v>
      </c>
      <c r="D3479" s="175" t="s">
        <v>7565</v>
      </c>
      <c r="E3479" s="46" t="s">
        <v>7566</v>
      </c>
      <c r="F3479" s="6" t="s">
        <v>7753</v>
      </c>
      <c r="G3479" s="3" t="s">
        <v>11449</v>
      </c>
      <c r="H3479" s="54">
        <v>0</v>
      </c>
      <c r="I3479" s="55">
        <v>470000000</v>
      </c>
      <c r="J3479" s="56" t="s">
        <v>229</v>
      </c>
      <c r="K3479" s="57" t="s">
        <v>18437</v>
      </c>
      <c r="L3479" s="12" t="s">
        <v>404</v>
      </c>
      <c r="M3479" s="3" t="s">
        <v>230</v>
      </c>
      <c r="N3479" s="52" t="s">
        <v>16511</v>
      </c>
      <c r="O3479" s="6" t="s">
        <v>19407</v>
      </c>
      <c r="P3479" s="58" t="s">
        <v>241</v>
      </c>
      <c r="Q3479" s="117" t="s">
        <v>234</v>
      </c>
      <c r="R3479" s="22">
        <v>10</v>
      </c>
      <c r="S3479" s="106">
        <v>1056</v>
      </c>
      <c r="T3479" s="4">
        <f>R3479*S3479</f>
        <v>10560</v>
      </c>
      <c r="U3479" s="4">
        <f t="shared" si="133"/>
        <v>11827.2</v>
      </c>
      <c r="V3479" s="1"/>
      <c r="W3479" s="3">
        <v>2014</v>
      </c>
      <c r="X3479" s="3"/>
    </row>
    <row r="3480" spans="1:24" ht="114.75">
      <c r="A3480" s="3" t="s">
        <v>1696</v>
      </c>
      <c r="B3480" s="6" t="s">
        <v>361</v>
      </c>
      <c r="C3480" s="44" t="s">
        <v>7541</v>
      </c>
      <c r="D3480" s="175" t="s">
        <v>11493</v>
      </c>
      <c r="E3480" s="46" t="s">
        <v>11494</v>
      </c>
      <c r="F3480" s="6" t="s">
        <v>7754</v>
      </c>
      <c r="G3480" s="3" t="s">
        <v>11449</v>
      </c>
      <c r="H3480" s="54">
        <v>0</v>
      </c>
      <c r="I3480" s="55">
        <v>470000000</v>
      </c>
      <c r="J3480" s="56" t="s">
        <v>229</v>
      </c>
      <c r="K3480" s="57" t="s">
        <v>7698</v>
      </c>
      <c r="L3480" s="57" t="s">
        <v>364</v>
      </c>
      <c r="M3480" s="3" t="s">
        <v>230</v>
      </c>
      <c r="N3480" s="52" t="s">
        <v>7693</v>
      </c>
      <c r="O3480" s="6" t="s">
        <v>365</v>
      </c>
      <c r="P3480" s="58" t="s">
        <v>241</v>
      </c>
      <c r="Q3480" s="117" t="s">
        <v>234</v>
      </c>
      <c r="R3480" s="22">
        <v>4</v>
      </c>
      <c r="S3480" s="106">
        <v>19800</v>
      </c>
      <c r="T3480" s="4">
        <v>0</v>
      </c>
      <c r="U3480" s="4">
        <f t="shared" si="133"/>
        <v>0</v>
      </c>
      <c r="V3480" s="1"/>
      <c r="W3480" s="3">
        <v>2014</v>
      </c>
      <c r="X3480" s="3">
        <v>11.12</v>
      </c>
    </row>
    <row r="3481" spans="1:24" ht="114.75">
      <c r="A3481" s="3" t="s">
        <v>13489</v>
      </c>
      <c r="B3481" s="6" t="s">
        <v>361</v>
      </c>
      <c r="C3481" s="44" t="s">
        <v>7541</v>
      </c>
      <c r="D3481" s="175" t="s">
        <v>11493</v>
      </c>
      <c r="E3481" s="46" t="s">
        <v>11494</v>
      </c>
      <c r="F3481" s="6" t="s">
        <v>7754</v>
      </c>
      <c r="G3481" s="3" t="s">
        <v>11449</v>
      </c>
      <c r="H3481" s="54">
        <v>0</v>
      </c>
      <c r="I3481" s="55">
        <v>470000000</v>
      </c>
      <c r="J3481" s="56" t="s">
        <v>229</v>
      </c>
      <c r="K3481" s="57" t="s">
        <v>642</v>
      </c>
      <c r="L3481" s="12" t="s">
        <v>404</v>
      </c>
      <c r="M3481" s="3" t="s">
        <v>230</v>
      </c>
      <c r="N3481" s="52" t="s">
        <v>7693</v>
      </c>
      <c r="O3481" s="6" t="s">
        <v>365</v>
      </c>
      <c r="P3481" s="58" t="s">
        <v>241</v>
      </c>
      <c r="Q3481" s="117" t="s">
        <v>234</v>
      </c>
      <c r="R3481" s="22">
        <v>4</v>
      </c>
      <c r="S3481" s="106">
        <v>19800</v>
      </c>
      <c r="T3481" s="4">
        <v>0</v>
      </c>
      <c r="U3481" s="4">
        <f t="shared" si="133"/>
        <v>0</v>
      </c>
      <c r="V3481" s="1"/>
      <c r="W3481" s="3">
        <v>2014</v>
      </c>
      <c r="X3481" s="3" t="s">
        <v>14785</v>
      </c>
    </row>
    <row r="3482" spans="1:24" ht="114.75">
      <c r="A3482" s="3" t="s">
        <v>16729</v>
      </c>
      <c r="B3482" s="6" t="s">
        <v>361</v>
      </c>
      <c r="C3482" s="44" t="s">
        <v>7541</v>
      </c>
      <c r="D3482" s="175" t="s">
        <v>11493</v>
      </c>
      <c r="E3482" s="46" t="s">
        <v>11494</v>
      </c>
      <c r="F3482" s="6" t="s">
        <v>7754</v>
      </c>
      <c r="G3482" s="3" t="s">
        <v>11449</v>
      </c>
      <c r="H3482" s="54">
        <v>0</v>
      </c>
      <c r="I3482" s="55">
        <v>470000000</v>
      </c>
      <c r="J3482" s="56" t="s">
        <v>229</v>
      </c>
      <c r="K3482" s="57" t="s">
        <v>8950</v>
      </c>
      <c r="L3482" s="12" t="s">
        <v>404</v>
      </c>
      <c r="M3482" s="3" t="s">
        <v>230</v>
      </c>
      <c r="N3482" s="52" t="s">
        <v>7693</v>
      </c>
      <c r="O3482" s="6" t="s">
        <v>365</v>
      </c>
      <c r="P3482" s="58" t="s">
        <v>241</v>
      </c>
      <c r="Q3482" s="117" t="s">
        <v>234</v>
      </c>
      <c r="R3482" s="22">
        <v>4</v>
      </c>
      <c r="S3482" s="106">
        <v>23760</v>
      </c>
      <c r="T3482" s="4">
        <v>0</v>
      </c>
      <c r="U3482" s="4">
        <f t="shared" si="133"/>
        <v>0</v>
      </c>
      <c r="V3482" s="1"/>
      <c r="W3482" s="3">
        <v>2014</v>
      </c>
      <c r="X3482" s="3">
        <v>11.14</v>
      </c>
    </row>
    <row r="3483" spans="1:24" ht="114.75">
      <c r="A3483" s="3" t="s">
        <v>19008</v>
      </c>
      <c r="B3483" s="6" t="s">
        <v>361</v>
      </c>
      <c r="C3483" s="44" t="s">
        <v>7541</v>
      </c>
      <c r="D3483" s="175" t="s">
        <v>11493</v>
      </c>
      <c r="E3483" s="46" t="s">
        <v>11494</v>
      </c>
      <c r="F3483" s="6" t="s">
        <v>7754</v>
      </c>
      <c r="G3483" s="3" t="s">
        <v>11449</v>
      </c>
      <c r="H3483" s="54">
        <v>0</v>
      </c>
      <c r="I3483" s="55">
        <v>470000000</v>
      </c>
      <c r="J3483" s="56" t="s">
        <v>229</v>
      </c>
      <c r="K3483" s="57" t="s">
        <v>18437</v>
      </c>
      <c r="L3483" s="12" t="s">
        <v>404</v>
      </c>
      <c r="M3483" s="3" t="s">
        <v>230</v>
      </c>
      <c r="N3483" s="52" t="s">
        <v>16511</v>
      </c>
      <c r="O3483" s="6" t="s">
        <v>365</v>
      </c>
      <c r="P3483" s="58" t="s">
        <v>241</v>
      </c>
      <c r="Q3483" s="117" t="s">
        <v>234</v>
      </c>
      <c r="R3483" s="22">
        <v>4</v>
      </c>
      <c r="S3483" s="106">
        <v>23760</v>
      </c>
      <c r="T3483" s="4">
        <v>0</v>
      </c>
      <c r="U3483" s="4">
        <f t="shared" si="133"/>
        <v>0</v>
      </c>
      <c r="V3483" s="1"/>
      <c r="W3483" s="3">
        <v>2014</v>
      </c>
      <c r="X3483" s="3">
        <v>11.15</v>
      </c>
    </row>
    <row r="3484" spans="1:24" ht="76.5">
      <c r="A3484" s="3" t="s">
        <v>19473</v>
      </c>
      <c r="B3484" s="6" t="s">
        <v>361</v>
      </c>
      <c r="C3484" s="44" t="s">
        <v>7541</v>
      </c>
      <c r="D3484" s="175" t="s">
        <v>11493</v>
      </c>
      <c r="E3484" s="46" t="s">
        <v>11494</v>
      </c>
      <c r="F3484" s="6" t="s">
        <v>7754</v>
      </c>
      <c r="G3484" s="3" t="s">
        <v>11449</v>
      </c>
      <c r="H3484" s="54">
        <v>0</v>
      </c>
      <c r="I3484" s="55">
        <v>470000000</v>
      </c>
      <c r="J3484" s="56" t="s">
        <v>229</v>
      </c>
      <c r="K3484" s="57" t="s">
        <v>19379</v>
      </c>
      <c r="L3484" s="12" t="s">
        <v>404</v>
      </c>
      <c r="M3484" s="3" t="s">
        <v>230</v>
      </c>
      <c r="N3484" s="52" t="s">
        <v>16511</v>
      </c>
      <c r="O3484" s="6" t="s">
        <v>19407</v>
      </c>
      <c r="P3484" s="58" t="s">
        <v>241</v>
      </c>
      <c r="Q3484" s="117" t="s">
        <v>234</v>
      </c>
      <c r="R3484" s="22">
        <v>4</v>
      </c>
      <c r="S3484" s="106">
        <v>23760</v>
      </c>
      <c r="T3484" s="4">
        <f>R3484*S3484</f>
        <v>95040</v>
      </c>
      <c r="U3484" s="4">
        <f t="shared" ref="U3484" si="138">T3484*1.12</f>
        <v>106444.8</v>
      </c>
      <c r="V3484" s="1"/>
      <c r="W3484" s="3">
        <v>2014</v>
      </c>
      <c r="X3484" s="3"/>
    </row>
    <row r="3485" spans="1:24" ht="114.75">
      <c r="A3485" s="3" t="s">
        <v>1697</v>
      </c>
      <c r="B3485" s="6" t="s">
        <v>361</v>
      </c>
      <c r="C3485" s="44" t="s">
        <v>5932</v>
      </c>
      <c r="D3485" s="175" t="s">
        <v>387</v>
      </c>
      <c r="E3485" s="46" t="s">
        <v>5933</v>
      </c>
      <c r="F3485" s="6" t="s">
        <v>7755</v>
      </c>
      <c r="G3485" s="3" t="s">
        <v>11449</v>
      </c>
      <c r="H3485" s="54">
        <v>0</v>
      </c>
      <c r="I3485" s="55">
        <v>470000000</v>
      </c>
      <c r="J3485" s="56" t="s">
        <v>229</v>
      </c>
      <c r="K3485" s="57" t="s">
        <v>7698</v>
      </c>
      <c r="L3485" s="57" t="s">
        <v>364</v>
      </c>
      <c r="M3485" s="3" t="s">
        <v>230</v>
      </c>
      <c r="N3485" s="52" t="s">
        <v>7693</v>
      </c>
      <c r="O3485" s="6" t="s">
        <v>365</v>
      </c>
      <c r="P3485" s="58" t="s">
        <v>241</v>
      </c>
      <c r="Q3485" s="117" t="s">
        <v>234</v>
      </c>
      <c r="R3485" s="22">
        <v>20</v>
      </c>
      <c r="S3485" s="97">
        <v>217.8</v>
      </c>
      <c r="T3485" s="4">
        <v>0</v>
      </c>
      <c r="U3485" s="4">
        <f t="shared" si="133"/>
        <v>0</v>
      </c>
      <c r="V3485" s="1"/>
      <c r="W3485" s="3">
        <v>2014</v>
      </c>
      <c r="X3485" s="3">
        <v>11.12</v>
      </c>
    </row>
    <row r="3486" spans="1:24" ht="114.75">
      <c r="A3486" s="3" t="s">
        <v>13490</v>
      </c>
      <c r="B3486" s="6" t="s">
        <v>361</v>
      </c>
      <c r="C3486" s="44" t="s">
        <v>5932</v>
      </c>
      <c r="D3486" s="175" t="s">
        <v>387</v>
      </c>
      <c r="E3486" s="46" t="s">
        <v>5933</v>
      </c>
      <c r="F3486" s="6" t="s">
        <v>7755</v>
      </c>
      <c r="G3486" s="3" t="s">
        <v>11449</v>
      </c>
      <c r="H3486" s="54">
        <v>0</v>
      </c>
      <c r="I3486" s="55">
        <v>470000000</v>
      </c>
      <c r="J3486" s="56" t="s">
        <v>229</v>
      </c>
      <c r="K3486" s="57" t="s">
        <v>642</v>
      </c>
      <c r="L3486" s="12" t="s">
        <v>404</v>
      </c>
      <c r="M3486" s="3" t="s">
        <v>230</v>
      </c>
      <c r="N3486" s="52" t="s">
        <v>7693</v>
      </c>
      <c r="O3486" s="6" t="s">
        <v>365</v>
      </c>
      <c r="P3486" s="58" t="s">
        <v>241</v>
      </c>
      <c r="Q3486" s="117" t="s">
        <v>234</v>
      </c>
      <c r="R3486" s="22">
        <v>20</v>
      </c>
      <c r="S3486" s="97">
        <v>217.8</v>
      </c>
      <c r="T3486" s="4">
        <v>0</v>
      </c>
      <c r="U3486" s="4">
        <f t="shared" si="133"/>
        <v>0</v>
      </c>
      <c r="V3486" s="1"/>
      <c r="W3486" s="3">
        <v>2014</v>
      </c>
      <c r="X3486" s="3" t="s">
        <v>14785</v>
      </c>
    </row>
    <row r="3487" spans="1:24" ht="114.75">
      <c r="A3487" s="3" t="s">
        <v>16730</v>
      </c>
      <c r="B3487" s="6" t="s">
        <v>361</v>
      </c>
      <c r="C3487" s="44" t="s">
        <v>5932</v>
      </c>
      <c r="D3487" s="175" t="s">
        <v>387</v>
      </c>
      <c r="E3487" s="46" t="s">
        <v>5933</v>
      </c>
      <c r="F3487" s="6" t="s">
        <v>7755</v>
      </c>
      <c r="G3487" s="3" t="s">
        <v>11449</v>
      </c>
      <c r="H3487" s="54">
        <v>0</v>
      </c>
      <c r="I3487" s="55">
        <v>470000000</v>
      </c>
      <c r="J3487" s="56" t="s">
        <v>229</v>
      </c>
      <c r="K3487" s="57" t="s">
        <v>8950</v>
      </c>
      <c r="L3487" s="12" t="s">
        <v>404</v>
      </c>
      <c r="M3487" s="3" t="s">
        <v>230</v>
      </c>
      <c r="N3487" s="52" t="s">
        <v>7693</v>
      </c>
      <c r="O3487" s="6" t="s">
        <v>365</v>
      </c>
      <c r="P3487" s="58" t="s">
        <v>241</v>
      </c>
      <c r="Q3487" s="117" t="s">
        <v>234</v>
      </c>
      <c r="R3487" s="22">
        <v>20</v>
      </c>
      <c r="S3487" s="97">
        <v>261.36</v>
      </c>
      <c r="T3487" s="4">
        <v>0</v>
      </c>
      <c r="U3487" s="4">
        <f t="shared" si="133"/>
        <v>0</v>
      </c>
      <c r="V3487" s="1"/>
      <c r="W3487" s="3">
        <v>2014</v>
      </c>
      <c r="X3487" s="3">
        <v>11.14</v>
      </c>
    </row>
    <row r="3488" spans="1:24" ht="114.75">
      <c r="A3488" s="3" t="s">
        <v>19009</v>
      </c>
      <c r="B3488" s="6" t="s">
        <v>361</v>
      </c>
      <c r="C3488" s="44" t="s">
        <v>5932</v>
      </c>
      <c r="D3488" s="175" t="s">
        <v>387</v>
      </c>
      <c r="E3488" s="46" t="s">
        <v>5933</v>
      </c>
      <c r="F3488" s="6" t="s">
        <v>7755</v>
      </c>
      <c r="G3488" s="3" t="s">
        <v>11449</v>
      </c>
      <c r="H3488" s="54">
        <v>0</v>
      </c>
      <c r="I3488" s="55">
        <v>470000000</v>
      </c>
      <c r="J3488" s="56" t="s">
        <v>229</v>
      </c>
      <c r="K3488" s="57" t="s">
        <v>18437</v>
      </c>
      <c r="L3488" s="12" t="s">
        <v>404</v>
      </c>
      <c r="M3488" s="3" t="s">
        <v>230</v>
      </c>
      <c r="N3488" s="52" t="s">
        <v>16511</v>
      </c>
      <c r="O3488" s="6" t="s">
        <v>365</v>
      </c>
      <c r="P3488" s="58" t="s">
        <v>241</v>
      </c>
      <c r="Q3488" s="117" t="s">
        <v>234</v>
      </c>
      <c r="R3488" s="22">
        <v>20</v>
      </c>
      <c r="S3488" s="97">
        <v>261.36</v>
      </c>
      <c r="T3488" s="4">
        <v>0</v>
      </c>
      <c r="U3488" s="4">
        <f t="shared" si="133"/>
        <v>0</v>
      </c>
      <c r="V3488" s="1"/>
      <c r="W3488" s="3">
        <v>2014</v>
      </c>
      <c r="X3488" s="3">
        <v>11.15</v>
      </c>
    </row>
    <row r="3489" spans="1:24" ht="76.5">
      <c r="A3489" s="3" t="s">
        <v>19474</v>
      </c>
      <c r="B3489" s="6" t="s">
        <v>361</v>
      </c>
      <c r="C3489" s="44" t="s">
        <v>5932</v>
      </c>
      <c r="D3489" s="175" t="s">
        <v>387</v>
      </c>
      <c r="E3489" s="46" t="s">
        <v>5933</v>
      </c>
      <c r="F3489" s="6" t="s">
        <v>7755</v>
      </c>
      <c r="G3489" s="3" t="s">
        <v>11449</v>
      </c>
      <c r="H3489" s="54">
        <v>0</v>
      </c>
      <c r="I3489" s="55">
        <v>470000000</v>
      </c>
      <c r="J3489" s="56" t="s">
        <v>229</v>
      </c>
      <c r="K3489" s="57" t="s">
        <v>19379</v>
      </c>
      <c r="L3489" s="12" t="s">
        <v>404</v>
      </c>
      <c r="M3489" s="3" t="s">
        <v>230</v>
      </c>
      <c r="N3489" s="52" t="s">
        <v>16511</v>
      </c>
      <c r="O3489" s="6" t="s">
        <v>19407</v>
      </c>
      <c r="P3489" s="58" t="s">
        <v>241</v>
      </c>
      <c r="Q3489" s="117" t="s">
        <v>234</v>
      </c>
      <c r="R3489" s="22">
        <v>20</v>
      </c>
      <c r="S3489" s="97">
        <v>261.36</v>
      </c>
      <c r="T3489" s="4">
        <f>R3489*S3489</f>
        <v>5227.2000000000007</v>
      </c>
      <c r="U3489" s="4">
        <f t="shared" ref="U3489" si="139">T3489*1.12</f>
        <v>5854.4640000000018</v>
      </c>
      <c r="V3489" s="1"/>
      <c r="W3489" s="3">
        <v>2014</v>
      </c>
      <c r="X3489" s="3"/>
    </row>
    <row r="3490" spans="1:24" ht="114.75">
      <c r="A3490" s="3" t="s">
        <v>1698</v>
      </c>
      <c r="B3490" s="6" t="s">
        <v>361</v>
      </c>
      <c r="C3490" s="47" t="s">
        <v>7607</v>
      </c>
      <c r="D3490" s="44" t="s">
        <v>7608</v>
      </c>
      <c r="E3490" s="6" t="s">
        <v>7609</v>
      </c>
      <c r="F3490" s="6" t="s">
        <v>7756</v>
      </c>
      <c r="G3490" s="3" t="s">
        <v>11449</v>
      </c>
      <c r="H3490" s="54">
        <v>0</v>
      </c>
      <c r="I3490" s="55">
        <v>470000000</v>
      </c>
      <c r="J3490" s="56" t="s">
        <v>229</v>
      </c>
      <c r="K3490" s="57" t="s">
        <v>7698</v>
      </c>
      <c r="L3490" s="57" t="s">
        <v>364</v>
      </c>
      <c r="M3490" s="3" t="s">
        <v>230</v>
      </c>
      <c r="N3490" s="52" t="s">
        <v>7693</v>
      </c>
      <c r="O3490" s="6" t="s">
        <v>365</v>
      </c>
      <c r="P3490" s="58" t="s">
        <v>241</v>
      </c>
      <c r="Q3490" s="117" t="s">
        <v>234</v>
      </c>
      <c r="R3490" s="22">
        <v>20</v>
      </c>
      <c r="S3490" s="97">
        <v>1100</v>
      </c>
      <c r="T3490" s="4">
        <v>0</v>
      </c>
      <c r="U3490" s="4">
        <f t="shared" si="133"/>
        <v>0</v>
      </c>
      <c r="V3490" s="1"/>
      <c r="W3490" s="3">
        <v>2014</v>
      </c>
      <c r="X3490" s="3">
        <v>11.12</v>
      </c>
    </row>
    <row r="3491" spans="1:24" ht="114.75">
      <c r="A3491" s="3" t="s">
        <v>13491</v>
      </c>
      <c r="B3491" s="6" t="s">
        <v>361</v>
      </c>
      <c r="C3491" s="47" t="s">
        <v>7607</v>
      </c>
      <c r="D3491" s="44" t="s">
        <v>7608</v>
      </c>
      <c r="E3491" s="6" t="s">
        <v>7609</v>
      </c>
      <c r="F3491" s="6" t="s">
        <v>7756</v>
      </c>
      <c r="G3491" s="3" t="s">
        <v>11449</v>
      </c>
      <c r="H3491" s="54">
        <v>0</v>
      </c>
      <c r="I3491" s="55">
        <v>470000000</v>
      </c>
      <c r="J3491" s="56" t="s">
        <v>229</v>
      </c>
      <c r="K3491" s="57" t="s">
        <v>642</v>
      </c>
      <c r="L3491" s="12" t="s">
        <v>404</v>
      </c>
      <c r="M3491" s="3" t="s">
        <v>230</v>
      </c>
      <c r="N3491" s="52" t="s">
        <v>7693</v>
      </c>
      <c r="O3491" s="6" t="s">
        <v>365</v>
      </c>
      <c r="P3491" s="58" t="s">
        <v>241</v>
      </c>
      <c r="Q3491" s="117" t="s">
        <v>234</v>
      </c>
      <c r="R3491" s="22">
        <v>20</v>
      </c>
      <c r="S3491" s="97">
        <v>1100</v>
      </c>
      <c r="T3491" s="4">
        <v>0</v>
      </c>
      <c r="U3491" s="4">
        <f t="shared" si="133"/>
        <v>0</v>
      </c>
      <c r="V3491" s="1"/>
      <c r="W3491" s="3">
        <v>2014</v>
      </c>
      <c r="X3491" s="3" t="s">
        <v>14785</v>
      </c>
    </row>
    <row r="3492" spans="1:24" ht="114.75">
      <c r="A3492" s="3" t="s">
        <v>16731</v>
      </c>
      <c r="B3492" s="6" t="s">
        <v>361</v>
      </c>
      <c r="C3492" s="47" t="s">
        <v>7607</v>
      </c>
      <c r="D3492" s="44" t="s">
        <v>7608</v>
      </c>
      <c r="E3492" s="6" t="s">
        <v>7609</v>
      </c>
      <c r="F3492" s="6" t="s">
        <v>7756</v>
      </c>
      <c r="G3492" s="3" t="s">
        <v>11449</v>
      </c>
      <c r="H3492" s="54">
        <v>0</v>
      </c>
      <c r="I3492" s="55">
        <v>470000000</v>
      </c>
      <c r="J3492" s="56" t="s">
        <v>229</v>
      </c>
      <c r="K3492" s="57" t="s">
        <v>8950</v>
      </c>
      <c r="L3492" s="12" t="s">
        <v>404</v>
      </c>
      <c r="M3492" s="3" t="s">
        <v>230</v>
      </c>
      <c r="N3492" s="52" t="s">
        <v>7693</v>
      </c>
      <c r="O3492" s="6" t="s">
        <v>365</v>
      </c>
      <c r="P3492" s="58" t="s">
        <v>241</v>
      </c>
      <c r="Q3492" s="117" t="s">
        <v>234</v>
      </c>
      <c r="R3492" s="22">
        <v>20</v>
      </c>
      <c r="S3492" s="97">
        <v>1320</v>
      </c>
      <c r="T3492" s="4">
        <v>0</v>
      </c>
      <c r="U3492" s="4">
        <f t="shared" si="133"/>
        <v>0</v>
      </c>
      <c r="V3492" s="1"/>
      <c r="W3492" s="3">
        <v>2014</v>
      </c>
      <c r="X3492" s="3">
        <v>11.14</v>
      </c>
    </row>
    <row r="3493" spans="1:24" ht="114.75">
      <c r="A3493" s="3" t="s">
        <v>19010</v>
      </c>
      <c r="B3493" s="6" t="s">
        <v>361</v>
      </c>
      <c r="C3493" s="47" t="s">
        <v>7607</v>
      </c>
      <c r="D3493" s="44" t="s">
        <v>7608</v>
      </c>
      <c r="E3493" s="6" t="s">
        <v>7609</v>
      </c>
      <c r="F3493" s="6" t="s">
        <v>7756</v>
      </c>
      <c r="G3493" s="3" t="s">
        <v>11449</v>
      </c>
      <c r="H3493" s="54">
        <v>0</v>
      </c>
      <c r="I3493" s="55">
        <v>470000000</v>
      </c>
      <c r="J3493" s="56" t="s">
        <v>229</v>
      </c>
      <c r="K3493" s="57" t="s">
        <v>18437</v>
      </c>
      <c r="L3493" s="12" t="s">
        <v>404</v>
      </c>
      <c r="M3493" s="3" t="s">
        <v>230</v>
      </c>
      <c r="N3493" s="52" t="s">
        <v>16511</v>
      </c>
      <c r="O3493" s="6" t="s">
        <v>365</v>
      </c>
      <c r="P3493" s="58" t="s">
        <v>241</v>
      </c>
      <c r="Q3493" s="117" t="s">
        <v>234</v>
      </c>
      <c r="R3493" s="22">
        <v>20</v>
      </c>
      <c r="S3493" s="97">
        <v>1320</v>
      </c>
      <c r="T3493" s="4">
        <v>0</v>
      </c>
      <c r="U3493" s="4">
        <f t="shared" si="133"/>
        <v>0</v>
      </c>
      <c r="V3493" s="1"/>
      <c r="W3493" s="3">
        <v>2014</v>
      </c>
      <c r="X3493" s="3">
        <v>11.15</v>
      </c>
    </row>
    <row r="3494" spans="1:24" ht="76.5">
      <c r="A3494" s="3" t="s">
        <v>19475</v>
      </c>
      <c r="B3494" s="6" t="s">
        <v>361</v>
      </c>
      <c r="C3494" s="47" t="s">
        <v>7607</v>
      </c>
      <c r="D3494" s="44" t="s">
        <v>7608</v>
      </c>
      <c r="E3494" s="6" t="s">
        <v>7609</v>
      </c>
      <c r="F3494" s="6" t="s">
        <v>7756</v>
      </c>
      <c r="G3494" s="3" t="s">
        <v>11449</v>
      </c>
      <c r="H3494" s="54">
        <v>0</v>
      </c>
      <c r="I3494" s="55">
        <v>470000000</v>
      </c>
      <c r="J3494" s="56" t="s">
        <v>229</v>
      </c>
      <c r="K3494" s="57" t="s">
        <v>19379</v>
      </c>
      <c r="L3494" s="12" t="s">
        <v>404</v>
      </c>
      <c r="M3494" s="3" t="s">
        <v>230</v>
      </c>
      <c r="N3494" s="52" t="s">
        <v>16511</v>
      </c>
      <c r="O3494" s="6" t="s">
        <v>19407</v>
      </c>
      <c r="P3494" s="58" t="s">
        <v>241</v>
      </c>
      <c r="Q3494" s="117" t="s">
        <v>234</v>
      </c>
      <c r="R3494" s="22">
        <v>20</v>
      </c>
      <c r="S3494" s="97">
        <v>1320</v>
      </c>
      <c r="T3494" s="4">
        <f>R3494*S3494</f>
        <v>26400</v>
      </c>
      <c r="U3494" s="4">
        <f t="shared" ref="U3494" si="140">T3494*1.12</f>
        <v>29568.000000000004</v>
      </c>
      <c r="V3494" s="1"/>
      <c r="W3494" s="3">
        <v>2014</v>
      </c>
      <c r="X3494" s="3"/>
    </row>
    <row r="3495" spans="1:24" ht="114.75">
      <c r="A3495" s="3" t="s">
        <v>1699</v>
      </c>
      <c r="B3495" s="6" t="s">
        <v>361</v>
      </c>
      <c r="C3495" s="6" t="s">
        <v>7605</v>
      </c>
      <c r="D3495" s="46" t="s">
        <v>5371</v>
      </c>
      <c r="E3495" s="6" t="s">
        <v>7606</v>
      </c>
      <c r="F3495" s="6" t="s">
        <v>7757</v>
      </c>
      <c r="G3495" s="3" t="s">
        <v>11449</v>
      </c>
      <c r="H3495" s="54">
        <v>0</v>
      </c>
      <c r="I3495" s="55">
        <v>470000000</v>
      </c>
      <c r="J3495" s="56" t="s">
        <v>229</v>
      </c>
      <c r="K3495" s="57" t="s">
        <v>7698</v>
      </c>
      <c r="L3495" s="57" t="s">
        <v>364</v>
      </c>
      <c r="M3495" s="3" t="s">
        <v>230</v>
      </c>
      <c r="N3495" s="52" t="s">
        <v>7693</v>
      </c>
      <c r="O3495" s="6" t="s">
        <v>365</v>
      </c>
      <c r="P3495" s="58" t="s">
        <v>241</v>
      </c>
      <c r="Q3495" s="117" t="s">
        <v>234</v>
      </c>
      <c r="R3495" s="22">
        <v>4</v>
      </c>
      <c r="S3495" s="97">
        <v>1650.8580000000002</v>
      </c>
      <c r="T3495" s="4">
        <v>0</v>
      </c>
      <c r="U3495" s="4">
        <f t="shared" si="133"/>
        <v>0</v>
      </c>
      <c r="V3495" s="1"/>
      <c r="W3495" s="3">
        <v>2014</v>
      </c>
      <c r="X3495" s="3">
        <v>11.12</v>
      </c>
    </row>
    <row r="3496" spans="1:24" ht="114.75">
      <c r="A3496" s="3" t="s">
        <v>13492</v>
      </c>
      <c r="B3496" s="6" t="s">
        <v>361</v>
      </c>
      <c r="C3496" s="6" t="s">
        <v>7605</v>
      </c>
      <c r="D3496" s="46" t="s">
        <v>5371</v>
      </c>
      <c r="E3496" s="6" t="s">
        <v>7606</v>
      </c>
      <c r="F3496" s="6" t="s">
        <v>7757</v>
      </c>
      <c r="G3496" s="3" t="s">
        <v>11449</v>
      </c>
      <c r="H3496" s="54">
        <v>0</v>
      </c>
      <c r="I3496" s="55">
        <v>470000000</v>
      </c>
      <c r="J3496" s="56" t="s">
        <v>229</v>
      </c>
      <c r="K3496" s="57" t="s">
        <v>642</v>
      </c>
      <c r="L3496" s="12" t="s">
        <v>404</v>
      </c>
      <c r="M3496" s="3" t="s">
        <v>230</v>
      </c>
      <c r="N3496" s="52" t="s">
        <v>7693</v>
      </c>
      <c r="O3496" s="6" t="s">
        <v>365</v>
      </c>
      <c r="P3496" s="58" t="s">
        <v>241</v>
      </c>
      <c r="Q3496" s="117" t="s">
        <v>234</v>
      </c>
      <c r="R3496" s="22">
        <v>4</v>
      </c>
      <c r="S3496" s="97">
        <v>1650.8580000000002</v>
      </c>
      <c r="T3496" s="4">
        <v>0</v>
      </c>
      <c r="U3496" s="4">
        <f t="shared" si="133"/>
        <v>0</v>
      </c>
      <c r="V3496" s="1"/>
      <c r="W3496" s="3">
        <v>2014</v>
      </c>
      <c r="X3496" s="3" t="s">
        <v>14785</v>
      </c>
    </row>
    <row r="3497" spans="1:24" ht="114.75">
      <c r="A3497" s="3" t="s">
        <v>16732</v>
      </c>
      <c r="B3497" s="6" t="s">
        <v>361</v>
      </c>
      <c r="C3497" s="6" t="s">
        <v>7605</v>
      </c>
      <c r="D3497" s="46" t="s">
        <v>5371</v>
      </c>
      <c r="E3497" s="6" t="s">
        <v>7606</v>
      </c>
      <c r="F3497" s="6" t="s">
        <v>7757</v>
      </c>
      <c r="G3497" s="3" t="s">
        <v>11449</v>
      </c>
      <c r="H3497" s="54">
        <v>0</v>
      </c>
      <c r="I3497" s="55">
        <v>470000000</v>
      </c>
      <c r="J3497" s="56" t="s">
        <v>229</v>
      </c>
      <c r="K3497" s="57" t="s">
        <v>8950</v>
      </c>
      <c r="L3497" s="12" t="s">
        <v>404</v>
      </c>
      <c r="M3497" s="3" t="s">
        <v>230</v>
      </c>
      <c r="N3497" s="52" t="s">
        <v>7693</v>
      </c>
      <c r="O3497" s="6" t="s">
        <v>365</v>
      </c>
      <c r="P3497" s="58" t="s">
        <v>241</v>
      </c>
      <c r="Q3497" s="117" t="s">
        <v>234</v>
      </c>
      <c r="R3497" s="22">
        <v>4</v>
      </c>
      <c r="S3497" s="97">
        <v>1981.0296000000001</v>
      </c>
      <c r="T3497" s="4">
        <v>0</v>
      </c>
      <c r="U3497" s="4">
        <f t="shared" si="133"/>
        <v>0</v>
      </c>
      <c r="V3497" s="1"/>
      <c r="W3497" s="3">
        <v>2014</v>
      </c>
      <c r="X3497" s="3">
        <v>11.14</v>
      </c>
    </row>
    <row r="3498" spans="1:24" ht="114.75">
      <c r="A3498" s="3" t="s">
        <v>19011</v>
      </c>
      <c r="B3498" s="6" t="s">
        <v>361</v>
      </c>
      <c r="C3498" s="6" t="s">
        <v>7605</v>
      </c>
      <c r="D3498" s="46" t="s">
        <v>5371</v>
      </c>
      <c r="E3498" s="6" t="s">
        <v>7606</v>
      </c>
      <c r="F3498" s="6" t="s">
        <v>7757</v>
      </c>
      <c r="G3498" s="3" t="s">
        <v>11449</v>
      </c>
      <c r="H3498" s="54">
        <v>0</v>
      </c>
      <c r="I3498" s="55">
        <v>470000000</v>
      </c>
      <c r="J3498" s="56" t="s">
        <v>229</v>
      </c>
      <c r="K3498" s="57" t="s">
        <v>18437</v>
      </c>
      <c r="L3498" s="12" t="s">
        <v>404</v>
      </c>
      <c r="M3498" s="3" t="s">
        <v>230</v>
      </c>
      <c r="N3498" s="52" t="s">
        <v>16511</v>
      </c>
      <c r="O3498" s="6" t="s">
        <v>365</v>
      </c>
      <c r="P3498" s="58" t="s">
        <v>241</v>
      </c>
      <c r="Q3498" s="117" t="s">
        <v>234</v>
      </c>
      <c r="R3498" s="22">
        <v>4</v>
      </c>
      <c r="S3498" s="97">
        <v>1981.0296000000001</v>
      </c>
      <c r="T3498" s="4">
        <v>0</v>
      </c>
      <c r="U3498" s="4">
        <f t="shared" si="133"/>
        <v>0</v>
      </c>
      <c r="V3498" s="1"/>
      <c r="W3498" s="3">
        <v>2014</v>
      </c>
      <c r="X3498" s="3">
        <v>11.15</v>
      </c>
    </row>
    <row r="3499" spans="1:24" ht="76.5">
      <c r="A3499" s="3" t="s">
        <v>19476</v>
      </c>
      <c r="B3499" s="6" t="s">
        <v>361</v>
      </c>
      <c r="C3499" s="6" t="s">
        <v>7605</v>
      </c>
      <c r="D3499" s="46" t="s">
        <v>5371</v>
      </c>
      <c r="E3499" s="6" t="s">
        <v>7606</v>
      </c>
      <c r="F3499" s="6" t="s">
        <v>7757</v>
      </c>
      <c r="G3499" s="3" t="s">
        <v>11449</v>
      </c>
      <c r="H3499" s="54">
        <v>0</v>
      </c>
      <c r="I3499" s="55">
        <v>470000000</v>
      </c>
      <c r="J3499" s="56" t="s">
        <v>229</v>
      </c>
      <c r="K3499" s="57" t="s">
        <v>19379</v>
      </c>
      <c r="L3499" s="12" t="s">
        <v>404</v>
      </c>
      <c r="M3499" s="3" t="s">
        <v>230</v>
      </c>
      <c r="N3499" s="52" t="s">
        <v>16511</v>
      </c>
      <c r="O3499" s="6" t="s">
        <v>19407</v>
      </c>
      <c r="P3499" s="58" t="s">
        <v>241</v>
      </c>
      <c r="Q3499" s="117" t="s">
        <v>234</v>
      </c>
      <c r="R3499" s="22">
        <v>4</v>
      </c>
      <c r="S3499" s="97">
        <v>1981.0296000000001</v>
      </c>
      <c r="T3499" s="4">
        <f>R3499*S3499</f>
        <v>7924.1184000000003</v>
      </c>
      <c r="U3499" s="4">
        <f t="shared" ref="U3499" si="141">T3499*1.12</f>
        <v>8875.0126080000009</v>
      </c>
      <c r="V3499" s="1"/>
      <c r="W3499" s="3">
        <v>2014</v>
      </c>
      <c r="X3499" s="3"/>
    </row>
    <row r="3500" spans="1:24" ht="114.75">
      <c r="A3500" s="3" t="s">
        <v>1700</v>
      </c>
      <c r="B3500" s="6" t="s">
        <v>361</v>
      </c>
      <c r="C3500" s="6" t="s">
        <v>7558</v>
      </c>
      <c r="D3500" s="46" t="s">
        <v>441</v>
      </c>
      <c r="E3500" s="6" t="s">
        <v>7559</v>
      </c>
      <c r="F3500" s="6" t="s">
        <v>7758</v>
      </c>
      <c r="G3500" s="3" t="s">
        <v>11449</v>
      </c>
      <c r="H3500" s="54">
        <v>0</v>
      </c>
      <c r="I3500" s="55">
        <v>470000000</v>
      </c>
      <c r="J3500" s="56" t="s">
        <v>229</v>
      </c>
      <c r="K3500" s="57" t="s">
        <v>7698</v>
      </c>
      <c r="L3500" s="57" t="s">
        <v>364</v>
      </c>
      <c r="M3500" s="3" t="s">
        <v>230</v>
      </c>
      <c r="N3500" s="52" t="s">
        <v>7693</v>
      </c>
      <c r="O3500" s="6" t="s">
        <v>365</v>
      </c>
      <c r="P3500" s="58" t="s">
        <v>241</v>
      </c>
      <c r="Q3500" s="117" t="s">
        <v>234</v>
      </c>
      <c r="R3500" s="22">
        <v>2</v>
      </c>
      <c r="S3500" s="97">
        <v>110000</v>
      </c>
      <c r="T3500" s="4">
        <v>0</v>
      </c>
      <c r="U3500" s="4">
        <f t="shared" si="133"/>
        <v>0</v>
      </c>
      <c r="V3500" s="1"/>
      <c r="W3500" s="3">
        <v>2014</v>
      </c>
      <c r="X3500" s="3">
        <v>11.12</v>
      </c>
    </row>
    <row r="3501" spans="1:24" ht="114.75">
      <c r="A3501" s="3" t="s">
        <v>13493</v>
      </c>
      <c r="B3501" s="6" t="s">
        <v>361</v>
      </c>
      <c r="C3501" s="6" t="s">
        <v>7558</v>
      </c>
      <c r="D3501" s="46" t="s">
        <v>441</v>
      </c>
      <c r="E3501" s="6" t="s">
        <v>7559</v>
      </c>
      <c r="F3501" s="6" t="s">
        <v>7758</v>
      </c>
      <c r="G3501" s="3" t="s">
        <v>11449</v>
      </c>
      <c r="H3501" s="54">
        <v>0</v>
      </c>
      <c r="I3501" s="55">
        <v>470000000</v>
      </c>
      <c r="J3501" s="56" t="s">
        <v>229</v>
      </c>
      <c r="K3501" s="57" t="s">
        <v>642</v>
      </c>
      <c r="L3501" s="12" t="s">
        <v>404</v>
      </c>
      <c r="M3501" s="3" t="s">
        <v>230</v>
      </c>
      <c r="N3501" s="52" t="s">
        <v>7693</v>
      </c>
      <c r="O3501" s="6" t="s">
        <v>365</v>
      </c>
      <c r="P3501" s="58" t="s">
        <v>241</v>
      </c>
      <c r="Q3501" s="117" t="s">
        <v>234</v>
      </c>
      <c r="R3501" s="22">
        <v>2</v>
      </c>
      <c r="S3501" s="97">
        <v>110000</v>
      </c>
      <c r="T3501" s="4">
        <v>0</v>
      </c>
      <c r="U3501" s="4">
        <f t="shared" si="133"/>
        <v>0</v>
      </c>
      <c r="V3501" s="1"/>
      <c r="W3501" s="3">
        <v>2014</v>
      </c>
      <c r="X3501" s="3">
        <v>7.11</v>
      </c>
    </row>
    <row r="3502" spans="1:24" ht="114.75">
      <c r="A3502" s="3" t="s">
        <v>16396</v>
      </c>
      <c r="B3502" s="6" t="s">
        <v>361</v>
      </c>
      <c r="C3502" s="6" t="s">
        <v>7558</v>
      </c>
      <c r="D3502" s="46" t="s">
        <v>441</v>
      </c>
      <c r="E3502" s="6" t="s">
        <v>7559</v>
      </c>
      <c r="F3502" s="6" t="s">
        <v>7758</v>
      </c>
      <c r="G3502" s="3" t="s">
        <v>11450</v>
      </c>
      <c r="H3502" s="54">
        <v>0</v>
      </c>
      <c r="I3502" s="55">
        <v>470000000</v>
      </c>
      <c r="J3502" s="56" t="s">
        <v>229</v>
      </c>
      <c r="K3502" s="57" t="s">
        <v>7699</v>
      </c>
      <c r="L3502" s="12" t="s">
        <v>404</v>
      </c>
      <c r="M3502" s="3" t="s">
        <v>230</v>
      </c>
      <c r="N3502" s="52" t="s">
        <v>7693</v>
      </c>
      <c r="O3502" s="6" t="s">
        <v>365</v>
      </c>
      <c r="P3502" s="58" t="s">
        <v>241</v>
      </c>
      <c r="Q3502" s="117" t="s">
        <v>234</v>
      </c>
      <c r="R3502" s="22">
        <v>2</v>
      </c>
      <c r="S3502" s="97">
        <v>110000</v>
      </c>
      <c r="T3502" s="4">
        <v>0</v>
      </c>
      <c r="U3502" s="4">
        <f t="shared" si="133"/>
        <v>0</v>
      </c>
      <c r="V3502" s="1"/>
      <c r="W3502" s="3">
        <v>2014</v>
      </c>
      <c r="X3502" s="3" t="s">
        <v>14785</v>
      </c>
    </row>
    <row r="3503" spans="1:24" ht="114.75">
      <c r="A3503" s="3" t="s">
        <v>18385</v>
      </c>
      <c r="B3503" s="6" t="s">
        <v>361</v>
      </c>
      <c r="C3503" s="6" t="s">
        <v>7558</v>
      </c>
      <c r="D3503" s="46" t="s">
        <v>441</v>
      </c>
      <c r="E3503" s="6" t="s">
        <v>7559</v>
      </c>
      <c r="F3503" s="6" t="s">
        <v>7758</v>
      </c>
      <c r="G3503" s="3" t="s">
        <v>11450</v>
      </c>
      <c r="H3503" s="54">
        <v>0</v>
      </c>
      <c r="I3503" s="55">
        <v>470000000</v>
      </c>
      <c r="J3503" s="56" t="s">
        <v>229</v>
      </c>
      <c r="K3503" s="57" t="s">
        <v>8950</v>
      </c>
      <c r="L3503" s="57" t="s">
        <v>364</v>
      </c>
      <c r="M3503" s="3" t="s">
        <v>230</v>
      </c>
      <c r="N3503" s="52" t="s">
        <v>7693</v>
      </c>
      <c r="O3503" s="6" t="s">
        <v>365</v>
      </c>
      <c r="P3503" s="58" t="s">
        <v>241</v>
      </c>
      <c r="Q3503" s="117" t="s">
        <v>234</v>
      </c>
      <c r="R3503" s="22">
        <v>2</v>
      </c>
      <c r="S3503" s="97">
        <v>132000</v>
      </c>
      <c r="T3503" s="4">
        <v>0</v>
      </c>
      <c r="U3503" s="4">
        <f t="shared" si="133"/>
        <v>0</v>
      </c>
      <c r="V3503" s="1"/>
      <c r="W3503" s="3">
        <v>2014</v>
      </c>
      <c r="X3503" s="3">
        <v>11.14</v>
      </c>
    </row>
    <row r="3504" spans="1:24" ht="114.75">
      <c r="A3504" s="3" t="s">
        <v>19012</v>
      </c>
      <c r="B3504" s="6" t="s">
        <v>361</v>
      </c>
      <c r="C3504" s="6" t="s">
        <v>7558</v>
      </c>
      <c r="D3504" s="46" t="s">
        <v>441</v>
      </c>
      <c r="E3504" s="6" t="s">
        <v>7559</v>
      </c>
      <c r="F3504" s="6" t="s">
        <v>7758</v>
      </c>
      <c r="G3504" s="3" t="s">
        <v>11450</v>
      </c>
      <c r="H3504" s="54">
        <v>0</v>
      </c>
      <c r="I3504" s="55">
        <v>470000000</v>
      </c>
      <c r="J3504" s="56" t="s">
        <v>229</v>
      </c>
      <c r="K3504" s="57" t="s">
        <v>18437</v>
      </c>
      <c r="L3504" s="57" t="s">
        <v>364</v>
      </c>
      <c r="M3504" s="3" t="s">
        <v>230</v>
      </c>
      <c r="N3504" s="52" t="s">
        <v>16511</v>
      </c>
      <c r="O3504" s="6" t="s">
        <v>365</v>
      </c>
      <c r="P3504" s="58" t="s">
        <v>241</v>
      </c>
      <c r="Q3504" s="117" t="s">
        <v>234</v>
      </c>
      <c r="R3504" s="22">
        <v>2</v>
      </c>
      <c r="S3504" s="97">
        <v>132000</v>
      </c>
      <c r="T3504" s="4">
        <v>0</v>
      </c>
      <c r="U3504" s="4">
        <f t="shared" si="133"/>
        <v>0</v>
      </c>
      <c r="V3504" s="1"/>
      <c r="W3504" s="3">
        <v>2014</v>
      </c>
      <c r="X3504" s="3">
        <v>11.15</v>
      </c>
    </row>
    <row r="3505" spans="1:24" ht="76.5">
      <c r="A3505" s="3" t="s">
        <v>19435</v>
      </c>
      <c r="B3505" s="6" t="s">
        <v>361</v>
      </c>
      <c r="C3505" s="6" t="s">
        <v>7558</v>
      </c>
      <c r="D3505" s="46" t="s">
        <v>441</v>
      </c>
      <c r="E3505" s="6" t="s">
        <v>7559</v>
      </c>
      <c r="F3505" s="6" t="s">
        <v>7758</v>
      </c>
      <c r="G3505" s="3" t="s">
        <v>11450</v>
      </c>
      <c r="H3505" s="54">
        <v>0</v>
      </c>
      <c r="I3505" s="55">
        <v>470000000</v>
      </c>
      <c r="J3505" s="56" t="s">
        <v>229</v>
      </c>
      <c r="K3505" s="57" t="s">
        <v>19379</v>
      </c>
      <c r="L3505" s="57" t="s">
        <v>364</v>
      </c>
      <c r="M3505" s="3" t="s">
        <v>230</v>
      </c>
      <c r="N3505" s="52" t="s">
        <v>16511</v>
      </c>
      <c r="O3505" s="6" t="s">
        <v>19407</v>
      </c>
      <c r="P3505" s="58" t="s">
        <v>241</v>
      </c>
      <c r="Q3505" s="117" t="s">
        <v>234</v>
      </c>
      <c r="R3505" s="22">
        <v>2</v>
      </c>
      <c r="S3505" s="97">
        <v>132000</v>
      </c>
      <c r="T3505" s="4">
        <f>R3505*S3505</f>
        <v>264000</v>
      </c>
      <c r="U3505" s="4">
        <f t="shared" ref="U3505" si="142">T3505*1.12</f>
        <v>295680</v>
      </c>
      <c r="V3505" s="1"/>
      <c r="W3505" s="3">
        <v>2014</v>
      </c>
      <c r="X3505" s="3"/>
    </row>
    <row r="3506" spans="1:24" ht="114.75">
      <c r="A3506" s="3" t="s">
        <v>1701</v>
      </c>
      <c r="B3506" s="6" t="s">
        <v>361</v>
      </c>
      <c r="C3506" s="6" t="s">
        <v>5616</v>
      </c>
      <c r="D3506" s="46" t="s">
        <v>5376</v>
      </c>
      <c r="E3506" s="6" t="s">
        <v>3115</v>
      </c>
      <c r="F3506" s="260" t="s">
        <v>7759</v>
      </c>
      <c r="G3506" s="3" t="s">
        <v>11449</v>
      </c>
      <c r="H3506" s="54">
        <v>0</v>
      </c>
      <c r="I3506" s="55">
        <v>470000000</v>
      </c>
      <c r="J3506" s="56" t="s">
        <v>229</v>
      </c>
      <c r="K3506" s="57" t="s">
        <v>7698</v>
      </c>
      <c r="L3506" s="57" t="s">
        <v>364</v>
      </c>
      <c r="M3506" s="3" t="s">
        <v>230</v>
      </c>
      <c r="N3506" s="52" t="s">
        <v>7693</v>
      </c>
      <c r="O3506" s="6" t="s">
        <v>365</v>
      </c>
      <c r="P3506" s="58" t="s">
        <v>241</v>
      </c>
      <c r="Q3506" s="117" t="s">
        <v>234</v>
      </c>
      <c r="R3506" s="22">
        <v>2</v>
      </c>
      <c r="S3506" s="97">
        <v>45000</v>
      </c>
      <c r="T3506" s="4">
        <v>0</v>
      </c>
      <c r="U3506" s="4">
        <f t="shared" si="133"/>
        <v>0</v>
      </c>
      <c r="V3506" s="1"/>
      <c r="W3506" s="3">
        <v>2014</v>
      </c>
      <c r="X3506" s="3">
        <v>11.12</v>
      </c>
    </row>
    <row r="3507" spans="1:24" ht="114.75">
      <c r="A3507" s="3" t="s">
        <v>13494</v>
      </c>
      <c r="B3507" s="6" t="s">
        <v>361</v>
      </c>
      <c r="C3507" s="6" t="s">
        <v>5616</v>
      </c>
      <c r="D3507" s="46" t="s">
        <v>5376</v>
      </c>
      <c r="E3507" s="6" t="s">
        <v>3115</v>
      </c>
      <c r="F3507" s="260" t="s">
        <v>7759</v>
      </c>
      <c r="G3507" s="3" t="s">
        <v>11449</v>
      </c>
      <c r="H3507" s="54">
        <v>0</v>
      </c>
      <c r="I3507" s="55">
        <v>470000000</v>
      </c>
      <c r="J3507" s="56" t="s">
        <v>229</v>
      </c>
      <c r="K3507" s="57" t="s">
        <v>642</v>
      </c>
      <c r="L3507" s="12" t="s">
        <v>404</v>
      </c>
      <c r="M3507" s="3" t="s">
        <v>230</v>
      </c>
      <c r="N3507" s="52" t="s">
        <v>7693</v>
      </c>
      <c r="O3507" s="6" t="s">
        <v>365</v>
      </c>
      <c r="P3507" s="58" t="s">
        <v>241</v>
      </c>
      <c r="Q3507" s="117" t="s">
        <v>234</v>
      </c>
      <c r="R3507" s="22">
        <v>2</v>
      </c>
      <c r="S3507" s="97">
        <v>45000</v>
      </c>
      <c r="T3507" s="4">
        <v>0</v>
      </c>
      <c r="U3507" s="4">
        <f t="shared" si="133"/>
        <v>0</v>
      </c>
      <c r="V3507" s="1"/>
      <c r="W3507" s="3">
        <v>2014</v>
      </c>
      <c r="X3507" s="3">
        <v>7.11</v>
      </c>
    </row>
    <row r="3508" spans="1:24" ht="114.75">
      <c r="A3508" s="3" t="s">
        <v>16397</v>
      </c>
      <c r="B3508" s="6" t="s">
        <v>361</v>
      </c>
      <c r="C3508" s="6" t="s">
        <v>5616</v>
      </c>
      <c r="D3508" s="46" t="s">
        <v>5376</v>
      </c>
      <c r="E3508" s="6" t="s">
        <v>3115</v>
      </c>
      <c r="F3508" s="260" t="s">
        <v>7759</v>
      </c>
      <c r="G3508" s="3" t="s">
        <v>11450</v>
      </c>
      <c r="H3508" s="54">
        <v>0</v>
      </c>
      <c r="I3508" s="55">
        <v>470000000</v>
      </c>
      <c r="J3508" s="56" t="s">
        <v>229</v>
      </c>
      <c r="K3508" s="57" t="s">
        <v>7699</v>
      </c>
      <c r="L3508" s="12" t="s">
        <v>404</v>
      </c>
      <c r="M3508" s="3" t="s">
        <v>230</v>
      </c>
      <c r="N3508" s="52" t="s">
        <v>7693</v>
      </c>
      <c r="O3508" s="6" t="s">
        <v>365</v>
      </c>
      <c r="P3508" s="58" t="s">
        <v>241</v>
      </c>
      <c r="Q3508" s="117" t="s">
        <v>234</v>
      </c>
      <c r="R3508" s="22">
        <v>2</v>
      </c>
      <c r="S3508" s="97">
        <v>45000</v>
      </c>
      <c r="T3508" s="4">
        <v>0</v>
      </c>
      <c r="U3508" s="4">
        <f t="shared" si="133"/>
        <v>0</v>
      </c>
      <c r="V3508" s="1"/>
      <c r="W3508" s="3">
        <v>2014</v>
      </c>
      <c r="X3508" s="3" t="s">
        <v>14785</v>
      </c>
    </row>
    <row r="3509" spans="1:24" ht="114.75">
      <c r="A3509" s="3" t="s">
        <v>18386</v>
      </c>
      <c r="B3509" s="6" t="s">
        <v>361</v>
      </c>
      <c r="C3509" s="6" t="s">
        <v>5616</v>
      </c>
      <c r="D3509" s="46" t="s">
        <v>5376</v>
      </c>
      <c r="E3509" s="6" t="s">
        <v>3115</v>
      </c>
      <c r="F3509" s="260" t="s">
        <v>7759</v>
      </c>
      <c r="G3509" s="3" t="s">
        <v>11450</v>
      </c>
      <c r="H3509" s="54">
        <v>0</v>
      </c>
      <c r="I3509" s="55">
        <v>470000000</v>
      </c>
      <c r="J3509" s="56" t="s">
        <v>229</v>
      </c>
      <c r="K3509" s="57" t="s">
        <v>8950</v>
      </c>
      <c r="L3509" s="57" t="s">
        <v>364</v>
      </c>
      <c r="M3509" s="3" t="s">
        <v>230</v>
      </c>
      <c r="N3509" s="52" t="s">
        <v>7693</v>
      </c>
      <c r="O3509" s="6" t="s">
        <v>365</v>
      </c>
      <c r="P3509" s="58" t="s">
        <v>241</v>
      </c>
      <c r="Q3509" s="117" t="s">
        <v>234</v>
      </c>
      <c r="R3509" s="22">
        <v>2</v>
      </c>
      <c r="S3509" s="97">
        <v>54000</v>
      </c>
      <c r="T3509" s="4">
        <v>0</v>
      </c>
      <c r="U3509" s="4">
        <f t="shared" si="133"/>
        <v>0</v>
      </c>
      <c r="V3509" s="1"/>
      <c r="W3509" s="3">
        <v>2014</v>
      </c>
      <c r="X3509" s="3">
        <v>11.14</v>
      </c>
    </row>
    <row r="3510" spans="1:24" ht="114.75">
      <c r="A3510" s="3" t="s">
        <v>19013</v>
      </c>
      <c r="B3510" s="6" t="s">
        <v>361</v>
      </c>
      <c r="C3510" s="6" t="s">
        <v>5616</v>
      </c>
      <c r="D3510" s="46" t="s">
        <v>5376</v>
      </c>
      <c r="E3510" s="6" t="s">
        <v>3115</v>
      </c>
      <c r="F3510" s="260" t="s">
        <v>7759</v>
      </c>
      <c r="G3510" s="3" t="s">
        <v>11450</v>
      </c>
      <c r="H3510" s="54">
        <v>0</v>
      </c>
      <c r="I3510" s="55">
        <v>470000000</v>
      </c>
      <c r="J3510" s="56" t="s">
        <v>229</v>
      </c>
      <c r="K3510" s="57" t="s">
        <v>18437</v>
      </c>
      <c r="L3510" s="57" t="s">
        <v>364</v>
      </c>
      <c r="M3510" s="3" t="s">
        <v>230</v>
      </c>
      <c r="N3510" s="52" t="s">
        <v>16511</v>
      </c>
      <c r="O3510" s="6" t="s">
        <v>365</v>
      </c>
      <c r="P3510" s="58" t="s">
        <v>241</v>
      </c>
      <c r="Q3510" s="117" t="s">
        <v>234</v>
      </c>
      <c r="R3510" s="22">
        <v>2</v>
      </c>
      <c r="S3510" s="97">
        <v>54000</v>
      </c>
      <c r="T3510" s="4">
        <v>0</v>
      </c>
      <c r="U3510" s="4">
        <f t="shared" si="133"/>
        <v>0</v>
      </c>
      <c r="V3510" s="1"/>
      <c r="W3510" s="3">
        <v>2014</v>
      </c>
      <c r="X3510" s="3">
        <v>11.15</v>
      </c>
    </row>
    <row r="3511" spans="1:24" ht="76.5">
      <c r="A3511" s="3" t="s">
        <v>19436</v>
      </c>
      <c r="B3511" s="6" t="s">
        <v>361</v>
      </c>
      <c r="C3511" s="6" t="s">
        <v>5616</v>
      </c>
      <c r="D3511" s="46" t="s">
        <v>5376</v>
      </c>
      <c r="E3511" s="6" t="s">
        <v>3115</v>
      </c>
      <c r="F3511" s="260" t="s">
        <v>7759</v>
      </c>
      <c r="G3511" s="3" t="s">
        <v>11450</v>
      </c>
      <c r="H3511" s="54">
        <v>0</v>
      </c>
      <c r="I3511" s="55">
        <v>470000000</v>
      </c>
      <c r="J3511" s="56" t="s">
        <v>229</v>
      </c>
      <c r="K3511" s="57" t="s">
        <v>19379</v>
      </c>
      <c r="L3511" s="57" t="s">
        <v>364</v>
      </c>
      <c r="M3511" s="3" t="s">
        <v>230</v>
      </c>
      <c r="N3511" s="52" t="s">
        <v>16511</v>
      </c>
      <c r="O3511" s="6" t="s">
        <v>19407</v>
      </c>
      <c r="P3511" s="58" t="s">
        <v>241</v>
      </c>
      <c r="Q3511" s="117" t="s">
        <v>234</v>
      </c>
      <c r="R3511" s="22">
        <v>2</v>
      </c>
      <c r="S3511" s="97">
        <v>54000</v>
      </c>
      <c r="T3511" s="4">
        <f>R3511*S3511</f>
        <v>108000</v>
      </c>
      <c r="U3511" s="4">
        <f t="shared" ref="U3511" si="143">T3511*1.12</f>
        <v>120960.00000000001</v>
      </c>
      <c r="V3511" s="1"/>
      <c r="W3511" s="3">
        <v>2014</v>
      </c>
      <c r="X3511" s="3"/>
    </row>
    <row r="3512" spans="1:24" ht="114.75">
      <c r="A3512" s="3" t="s">
        <v>1702</v>
      </c>
      <c r="B3512" s="6" t="s">
        <v>361</v>
      </c>
      <c r="C3512" s="6" t="s">
        <v>5608</v>
      </c>
      <c r="D3512" s="46" t="s">
        <v>5609</v>
      </c>
      <c r="E3512" s="6" t="s">
        <v>3115</v>
      </c>
      <c r="F3512" s="260" t="s">
        <v>7760</v>
      </c>
      <c r="G3512" s="3" t="s">
        <v>11449</v>
      </c>
      <c r="H3512" s="54">
        <v>0</v>
      </c>
      <c r="I3512" s="55">
        <v>470000000</v>
      </c>
      <c r="J3512" s="56" t="s">
        <v>229</v>
      </c>
      <c r="K3512" s="57" t="s">
        <v>7698</v>
      </c>
      <c r="L3512" s="57" t="s">
        <v>364</v>
      </c>
      <c r="M3512" s="3" t="s">
        <v>230</v>
      </c>
      <c r="N3512" s="52" t="s">
        <v>7693</v>
      </c>
      <c r="O3512" s="6" t="s">
        <v>365</v>
      </c>
      <c r="P3512" s="58" t="s">
        <v>241</v>
      </c>
      <c r="Q3512" s="117" t="s">
        <v>234</v>
      </c>
      <c r="R3512" s="22">
        <v>2</v>
      </c>
      <c r="S3512" s="97">
        <v>16000</v>
      </c>
      <c r="T3512" s="4">
        <v>0</v>
      </c>
      <c r="U3512" s="4">
        <f t="shared" si="133"/>
        <v>0</v>
      </c>
      <c r="V3512" s="1"/>
      <c r="W3512" s="3">
        <v>2014</v>
      </c>
      <c r="X3512" s="3">
        <v>11.12</v>
      </c>
    </row>
    <row r="3513" spans="1:24" ht="114.75">
      <c r="A3513" s="3" t="s">
        <v>13495</v>
      </c>
      <c r="B3513" s="6" t="s">
        <v>361</v>
      </c>
      <c r="C3513" s="6" t="s">
        <v>5608</v>
      </c>
      <c r="D3513" s="46" t="s">
        <v>5609</v>
      </c>
      <c r="E3513" s="6" t="s">
        <v>3115</v>
      </c>
      <c r="F3513" s="260" t="s">
        <v>7760</v>
      </c>
      <c r="G3513" s="3" t="s">
        <v>11449</v>
      </c>
      <c r="H3513" s="54">
        <v>0</v>
      </c>
      <c r="I3513" s="55">
        <v>470000000</v>
      </c>
      <c r="J3513" s="56" t="s">
        <v>229</v>
      </c>
      <c r="K3513" s="57" t="s">
        <v>642</v>
      </c>
      <c r="L3513" s="12" t="s">
        <v>404</v>
      </c>
      <c r="M3513" s="3" t="s">
        <v>230</v>
      </c>
      <c r="N3513" s="52" t="s">
        <v>7693</v>
      </c>
      <c r="O3513" s="6" t="s">
        <v>365</v>
      </c>
      <c r="P3513" s="58" t="s">
        <v>241</v>
      </c>
      <c r="Q3513" s="117" t="s">
        <v>234</v>
      </c>
      <c r="R3513" s="22">
        <v>2</v>
      </c>
      <c r="S3513" s="97">
        <v>16000</v>
      </c>
      <c r="T3513" s="4">
        <v>0</v>
      </c>
      <c r="U3513" s="4">
        <f t="shared" si="133"/>
        <v>0</v>
      </c>
      <c r="V3513" s="1"/>
      <c r="W3513" s="3">
        <v>2014</v>
      </c>
      <c r="X3513" s="3">
        <v>7.11</v>
      </c>
    </row>
    <row r="3514" spans="1:24" ht="114.75">
      <c r="A3514" s="3" t="s">
        <v>16398</v>
      </c>
      <c r="B3514" s="6" t="s">
        <v>361</v>
      </c>
      <c r="C3514" s="6" t="s">
        <v>5608</v>
      </c>
      <c r="D3514" s="46" t="s">
        <v>5609</v>
      </c>
      <c r="E3514" s="6" t="s">
        <v>3115</v>
      </c>
      <c r="F3514" s="260" t="s">
        <v>7760</v>
      </c>
      <c r="G3514" s="3" t="s">
        <v>11450</v>
      </c>
      <c r="H3514" s="54">
        <v>0</v>
      </c>
      <c r="I3514" s="55">
        <v>470000000</v>
      </c>
      <c r="J3514" s="56" t="s">
        <v>229</v>
      </c>
      <c r="K3514" s="57" t="s">
        <v>7699</v>
      </c>
      <c r="L3514" s="12" t="s">
        <v>404</v>
      </c>
      <c r="M3514" s="3" t="s">
        <v>230</v>
      </c>
      <c r="N3514" s="52" t="s">
        <v>7693</v>
      </c>
      <c r="O3514" s="6" t="s">
        <v>365</v>
      </c>
      <c r="P3514" s="58" t="s">
        <v>241</v>
      </c>
      <c r="Q3514" s="117" t="s">
        <v>234</v>
      </c>
      <c r="R3514" s="22">
        <v>2</v>
      </c>
      <c r="S3514" s="97">
        <v>16000</v>
      </c>
      <c r="T3514" s="4">
        <v>0</v>
      </c>
      <c r="U3514" s="4">
        <f t="shared" si="133"/>
        <v>0</v>
      </c>
      <c r="V3514" s="1"/>
      <c r="W3514" s="3">
        <v>2014</v>
      </c>
      <c r="X3514" s="3" t="s">
        <v>14785</v>
      </c>
    </row>
    <row r="3515" spans="1:24" ht="114.75">
      <c r="A3515" s="3" t="s">
        <v>18387</v>
      </c>
      <c r="B3515" s="6" t="s">
        <v>361</v>
      </c>
      <c r="C3515" s="6" t="s">
        <v>5608</v>
      </c>
      <c r="D3515" s="46" t="s">
        <v>5609</v>
      </c>
      <c r="E3515" s="6" t="s">
        <v>3115</v>
      </c>
      <c r="F3515" s="260" t="s">
        <v>7760</v>
      </c>
      <c r="G3515" s="3" t="s">
        <v>11450</v>
      </c>
      <c r="H3515" s="54">
        <v>0</v>
      </c>
      <c r="I3515" s="55">
        <v>470000000</v>
      </c>
      <c r="J3515" s="56" t="s">
        <v>229</v>
      </c>
      <c r="K3515" s="57" t="s">
        <v>8950</v>
      </c>
      <c r="L3515" s="57" t="s">
        <v>364</v>
      </c>
      <c r="M3515" s="3" t="s">
        <v>230</v>
      </c>
      <c r="N3515" s="52" t="s">
        <v>7693</v>
      </c>
      <c r="O3515" s="6" t="s">
        <v>365</v>
      </c>
      <c r="P3515" s="58" t="s">
        <v>241</v>
      </c>
      <c r="Q3515" s="117" t="s">
        <v>234</v>
      </c>
      <c r="R3515" s="22">
        <v>2</v>
      </c>
      <c r="S3515" s="97">
        <v>19200</v>
      </c>
      <c r="T3515" s="4">
        <v>0</v>
      </c>
      <c r="U3515" s="4">
        <f t="shared" si="133"/>
        <v>0</v>
      </c>
      <c r="V3515" s="1"/>
      <c r="W3515" s="3">
        <v>2014</v>
      </c>
      <c r="X3515" s="3">
        <v>11.14</v>
      </c>
    </row>
    <row r="3516" spans="1:24" ht="114.75">
      <c r="A3516" s="3" t="s">
        <v>19014</v>
      </c>
      <c r="B3516" s="6" t="s">
        <v>361</v>
      </c>
      <c r="C3516" s="6" t="s">
        <v>5608</v>
      </c>
      <c r="D3516" s="46" t="s">
        <v>5609</v>
      </c>
      <c r="E3516" s="6" t="s">
        <v>3115</v>
      </c>
      <c r="F3516" s="260" t="s">
        <v>7760</v>
      </c>
      <c r="G3516" s="3" t="s">
        <v>11450</v>
      </c>
      <c r="H3516" s="54">
        <v>0</v>
      </c>
      <c r="I3516" s="55">
        <v>470000000</v>
      </c>
      <c r="J3516" s="56" t="s">
        <v>229</v>
      </c>
      <c r="K3516" s="57" t="s">
        <v>18437</v>
      </c>
      <c r="L3516" s="57" t="s">
        <v>364</v>
      </c>
      <c r="M3516" s="3" t="s">
        <v>230</v>
      </c>
      <c r="N3516" s="52" t="s">
        <v>16511</v>
      </c>
      <c r="O3516" s="6" t="s">
        <v>365</v>
      </c>
      <c r="P3516" s="58" t="s">
        <v>241</v>
      </c>
      <c r="Q3516" s="117" t="s">
        <v>234</v>
      </c>
      <c r="R3516" s="22">
        <v>2</v>
      </c>
      <c r="S3516" s="97">
        <v>19200</v>
      </c>
      <c r="T3516" s="4">
        <v>0</v>
      </c>
      <c r="U3516" s="4">
        <f t="shared" si="133"/>
        <v>0</v>
      </c>
      <c r="V3516" s="1"/>
      <c r="W3516" s="3">
        <v>2014</v>
      </c>
      <c r="X3516" s="3">
        <v>11.15</v>
      </c>
    </row>
    <row r="3517" spans="1:24" ht="76.5">
      <c r="A3517" s="3" t="s">
        <v>19437</v>
      </c>
      <c r="B3517" s="6" t="s">
        <v>361</v>
      </c>
      <c r="C3517" s="6" t="s">
        <v>5608</v>
      </c>
      <c r="D3517" s="46" t="s">
        <v>5609</v>
      </c>
      <c r="E3517" s="6" t="s">
        <v>3115</v>
      </c>
      <c r="F3517" s="260" t="s">
        <v>7760</v>
      </c>
      <c r="G3517" s="3" t="s">
        <v>11450</v>
      </c>
      <c r="H3517" s="54">
        <v>0</v>
      </c>
      <c r="I3517" s="55">
        <v>470000000</v>
      </c>
      <c r="J3517" s="56" t="s">
        <v>229</v>
      </c>
      <c r="K3517" s="57" t="s">
        <v>19379</v>
      </c>
      <c r="L3517" s="57" t="s">
        <v>364</v>
      </c>
      <c r="M3517" s="3" t="s">
        <v>230</v>
      </c>
      <c r="N3517" s="52" t="s">
        <v>16511</v>
      </c>
      <c r="O3517" s="6" t="s">
        <v>19407</v>
      </c>
      <c r="P3517" s="58" t="s">
        <v>241</v>
      </c>
      <c r="Q3517" s="117" t="s">
        <v>234</v>
      </c>
      <c r="R3517" s="22">
        <v>2</v>
      </c>
      <c r="S3517" s="97">
        <v>19200</v>
      </c>
      <c r="T3517" s="4">
        <f>R3517*S3517</f>
        <v>38400</v>
      </c>
      <c r="U3517" s="4">
        <f t="shared" ref="U3517" si="144">T3517*1.12</f>
        <v>43008.000000000007</v>
      </c>
      <c r="V3517" s="1"/>
      <c r="W3517" s="3">
        <v>2014</v>
      </c>
      <c r="X3517" s="3"/>
    </row>
    <row r="3518" spans="1:24" ht="114.75">
      <c r="A3518" s="3" t="s">
        <v>1703</v>
      </c>
      <c r="B3518" s="6" t="s">
        <v>361</v>
      </c>
      <c r="C3518" s="6" t="s">
        <v>7567</v>
      </c>
      <c r="D3518" s="46" t="s">
        <v>7568</v>
      </c>
      <c r="E3518" s="6" t="s">
        <v>7569</v>
      </c>
      <c r="F3518" s="260" t="s">
        <v>7761</v>
      </c>
      <c r="G3518" s="3" t="s">
        <v>11449</v>
      </c>
      <c r="H3518" s="54">
        <v>0</v>
      </c>
      <c r="I3518" s="55">
        <v>470000000</v>
      </c>
      <c r="J3518" s="56" t="s">
        <v>229</v>
      </c>
      <c r="K3518" s="57" t="s">
        <v>7698</v>
      </c>
      <c r="L3518" s="57" t="s">
        <v>364</v>
      </c>
      <c r="M3518" s="3" t="s">
        <v>230</v>
      </c>
      <c r="N3518" s="52" t="s">
        <v>7693</v>
      </c>
      <c r="O3518" s="6" t="s">
        <v>365</v>
      </c>
      <c r="P3518" s="58" t="s">
        <v>241</v>
      </c>
      <c r="Q3518" s="117" t="s">
        <v>234</v>
      </c>
      <c r="R3518" s="22">
        <v>3</v>
      </c>
      <c r="S3518" s="97">
        <v>25000</v>
      </c>
      <c r="T3518" s="4">
        <v>0</v>
      </c>
      <c r="U3518" s="4">
        <f t="shared" si="133"/>
        <v>0</v>
      </c>
      <c r="V3518" s="1"/>
      <c r="W3518" s="3">
        <v>2014</v>
      </c>
      <c r="X3518" s="3">
        <v>11.12</v>
      </c>
    </row>
    <row r="3519" spans="1:24" ht="114.75">
      <c r="A3519" s="3" t="s">
        <v>13496</v>
      </c>
      <c r="B3519" s="6" t="s">
        <v>361</v>
      </c>
      <c r="C3519" s="6" t="s">
        <v>7567</v>
      </c>
      <c r="D3519" s="46" t="s">
        <v>7568</v>
      </c>
      <c r="E3519" s="6" t="s">
        <v>7569</v>
      </c>
      <c r="F3519" s="260" t="s">
        <v>7761</v>
      </c>
      <c r="G3519" s="3" t="s">
        <v>11449</v>
      </c>
      <c r="H3519" s="54">
        <v>0</v>
      </c>
      <c r="I3519" s="55">
        <v>470000000</v>
      </c>
      <c r="J3519" s="56" t="s">
        <v>229</v>
      </c>
      <c r="K3519" s="57" t="s">
        <v>642</v>
      </c>
      <c r="L3519" s="12" t="s">
        <v>404</v>
      </c>
      <c r="M3519" s="3" t="s">
        <v>230</v>
      </c>
      <c r="N3519" s="52" t="s">
        <v>7693</v>
      </c>
      <c r="O3519" s="6" t="s">
        <v>365</v>
      </c>
      <c r="P3519" s="58" t="s">
        <v>241</v>
      </c>
      <c r="Q3519" s="117" t="s">
        <v>234</v>
      </c>
      <c r="R3519" s="22">
        <v>3</v>
      </c>
      <c r="S3519" s="97">
        <v>25000</v>
      </c>
      <c r="T3519" s="4">
        <v>0</v>
      </c>
      <c r="U3519" s="4">
        <f t="shared" si="133"/>
        <v>0</v>
      </c>
      <c r="V3519" s="1"/>
      <c r="W3519" s="3">
        <v>2014</v>
      </c>
      <c r="X3519" s="3">
        <v>7.11</v>
      </c>
    </row>
    <row r="3520" spans="1:24" ht="114.75">
      <c r="A3520" s="3" t="s">
        <v>16399</v>
      </c>
      <c r="B3520" s="6" t="s">
        <v>361</v>
      </c>
      <c r="C3520" s="6" t="s">
        <v>7567</v>
      </c>
      <c r="D3520" s="46" t="s">
        <v>7568</v>
      </c>
      <c r="E3520" s="6" t="s">
        <v>7569</v>
      </c>
      <c r="F3520" s="260" t="s">
        <v>7761</v>
      </c>
      <c r="G3520" s="3" t="s">
        <v>11450</v>
      </c>
      <c r="H3520" s="54">
        <v>0</v>
      </c>
      <c r="I3520" s="55">
        <v>470000000</v>
      </c>
      <c r="J3520" s="56" t="s">
        <v>229</v>
      </c>
      <c r="K3520" s="57" t="s">
        <v>7699</v>
      </c>
      <c r="L3520" s="12" t="s">
        <v>404</v>
      </c>
      <c r="M3520" s="3" t="s">
        <v>230</v>
      </c>
      <c r="N3520" s="52" t="s">
        <v>7693</v>
      </c>
      <c r="O3520" s="6" t="s">
        <v>365</v>
      </c>
      <c r="P3520" s="58" t="s">
        <v>241</v>
      </c>
      <c r="Q3520" s="117" t="s">
        <v>234</v>
      </c>
      <c r="R3520" s="22">
        <v>3</v>
      </c>
      <c r="S3520" s="97">
        <v>25000</v>
      </c>
      <c r="T3520" s="4">
        <v>0</v>
      </c>
      <c r="U3520" s="4">
        <f t="shared" si="133"/>
        <v>0</v>
      </c>
      <c r="V3520" s="1"/>
      <c r="W3520" s="3">
        <v>2014</v>
      </c>
      <c r="X3520" s="3" t="s">
        <v>14785</v>
      </c>
    </row>
    <row r="3521" spans="1:24" ht="114.75">
      <c r="A3521" s="3" t="s">
        <v>18388</v>
      </c>
      <c r="B3521" s="6" t="s">
        <v>361</v>
      </c>
      <c r="C3521" s="6" t="s">
        <v>7567</v>
      </c>
      <c r="D3521" s="46" t="s">
        <v>7568</v>
      </c>
      <c r="E3521" s="6" t="s">
        <v>7569</v>
      </c>
      <c r="F3521" s="260" t="s">
        <v>7761</v>
      </c>
      <c r="G3521" s="3" t="s">
        <v>11450</v>
      </c>
      <c r="H3521" s="54">
        <v>0</v>
      </c>
      <c r="I3521" s="55">
        <v>470000000</v>
      </c>
      <c r="J3521" s="56" t="s">
        <v>229</v>
      </c>
      <c r="K3521" s="57" t="s">
        <v>8950</v>
      </c>
      <c r="L3521" s="57" t="s">
        <v>364</v>
      </c>
      <c r="M3521" s="3" t="s">
        <v>230</v>
      </c>
      <c r="N3521" s="52" t="s">
        <v>7693</v>
      </c>
      <c r="O3521" s="6" t="s">
        <v>365</v>
      </c>
      <c r="P3521" s="58" t="s">
        <v>241</v>
      </c>
      <c r="Q3521" s="117" t="s">
        <v>234</v>
      </c>
      <c r="R3521" s="22">
        <v>3</v>
      </c>
      <c r="S3521" s="97">
        <v>30000</v>
      </c>
      <c r="T3521" s="4">
        <v>0</v>
      </c>
      <c r="U3521" s="4">
        <f t="shared" si="133"/>
        <v>0</v>
      </c>
      <c r="V3521" s="1"/>
      <c r="W3521" s="3">
        <v>2014</v>
      </c>
      <c r="X3521" s="3">
        <v>11.14</v>
      </c>
    </row>
    <row r="3522" spans="1:24" ht="114.75">
      <c r="A3522" s="3" t="s">
        <v>19015</v>
      </c>
      <c r="B3522" s="6" t="s">
        <v>361</v>
      </c>
      <c r="C3522" s="6" t="s">
        <v>7567</v>
      </c>
      <c r="D3522" s="46" t="s">
        <v>7568</v>
      </c>
      <c r="E3522" s="6" t="s">
        <v>7569</v>
      </c>
      <c r="F3522" s="260" t="s">
        <v>7761</v>
      </c>
      <c r="G3522" s="3" t="s">
        <v>11450</v>
      </c>
      <c r="H3522" s="54">
        <v>0</v>
      </c>
      <c r="I3522" s="55">
        <v>470000000</v>
      </c>
      <c r="J3522" s="56" t="s">
        <v>229</v>
      </c>
      <c r="K3522" s="57" t="s">
        <v>18437</v>
      </c>
      <c r="L3522" s="57" t="s">
        <v>364</v>
      </c>
      <c r="M3522" s="3" t="s">
        <v>230</v>
      </c>
      <c r="N3522" s="52" t="s">
        <v>16511</v>
      </c>
      <c r="O3522" s="6" t="s">
        <v>365</v>
      </c>
      <c r="P3522" s="58" t="s">
        <v>241</v>
      </c>
      <c r="Q3522" s="117" t="s">
        <v>234</v>
      </c>
      <c r="R3522" s="22">
        <v>3</v>
      </c>
      <c r="S3522" s="97">
        <v>30000</v>
      </c>
      <c r="T3522" s="4">
        <v>0</v>
      </c>
      <c r="U3522" s="4">
        <f t="shared" si="133"/>
        <v>0</v>
      </c>
      <c r="V3522" s="1"/>
      <c r="W3522" s="3">
        <v>2014</v>
      </c>
      <c r="X3522" s="3">
        <v>11.15</v>
      </c>
    </row>
    <row r="3523" spans="1:24" ht="76.5">
      <c r="A3523" s="3" t="s">
        <v>19438</v>
      </c>
      <c r="B3523" s="6" t="s">
        <v>361</v>
      </c>
      <c r="C3523" s="6" t="s">
        <v>7567</v>
      </c>
      <c r="D3523" s="46" t="s">
        <v>7568</v>
      </c>
      <c r="E3523" s="6" t="s">
        <v>7569</v>
      </c>
      <c r="F3523" s="260" t="s">
        <v>7761</v>
      </c>
      <c r="G3523" s="3" t="s">
        <v>11450</v>
      </c>
      <c r="H3523" s="54">
        <v>0</v>
      </c>
      <c r="I3523" s="55">
        <v>470000000</v>
      </c>
      <c r="J3523" s="56" t="s">
        <v>229</v>
      </c>
      <c r="K3523" s="57" t="s">
        <v>19379</v>
      </c>
      <c r="L3523" s="57" t="s">
        <v>364</v>
      </c>
      <c r="M3523" s="3" t="s">
        <v>230</v>
      </c>
      <c r="N3523" s="52" t="s">
        <v>16511</v>
      </c>
      <c r="O3523" s="6" t="s">
        <v>19407</v>
      </c>
      <c r="P3523" s="58" t="s">
        <v>241</v>
      </c>
      <c r="Q3523" s="117" t="s">
        <v>234</v>
      </c>
      <c r="R3523" s="22">
        <v>3</v>
      </c>
      <c r="S3523" s="97">
        <v>30000</v>
      </c>
      <c r="T3523" s="4">
        <f>R3523*S3523</f>
        <v>90000</v>
      </c>
      <c r="U3523" s="4">
        <f t="shared" ref="U3523" si="145">T3523*1.12</f>
        <v>100800.00000000001</v>
      </c>
      <c r="V3523" s="1"/>
      <c r="W3523" s="3">
        <v>2014</v>
      </c>
      <c r="X3523" s="3"/>
    </row>
    <row r="3524" spans="1:24" ht="114.75">
      <c r="A3524" s="3" t="s">
        <v>1704</v>
      </c>
      <c r="B3524" s="6" t="s">
        <v>361</v>
      </c>
      <c r="C3524" s="6" t="s">
        <v>7570</v>
      </c>
      <c r="D3524" s="46" t="s">
        <v>7571</v>
      </c>
      <c r="E3524" s="6" t="s">
        <v>7572</v>
      </c>
      <c r="F3524" s="260" t="s">
        <v>7762</v>
      </c>
      <c r="G3524" s="3" t="s">
        <v>11449</v>
      </c>
      <c r="H3524" s="54">
        <v>0</v>
      </c>
      <c r="I3524" s="55">
        <v>470000000</v>
      </c>
      <c r="J3524" s="56" t="s">
        <v>229</v>
      </c>
      <c r="K3524" s="57" t="s">
        <v>7698</v>
      </c>
      <c r="L3524" s="57" t="s">
        <v>364</v>
      </c>
      <c r="M3524" s="3" t="s">
        <v>230</v>
      </c>
      <c r="N3524" s="52" t="s">
        <v>7693</v>
      </c>
      <c r="O3524" s="6" t="s">
        <v>365</v>
      </c>
      <c r="P3524" s="58" t="s">
        <v>241</v>
      </c>
      <c r="Q3524" s="117" t="s">
        <v>234</v>
      </c>
      <c r="R3524" s="22">
        <v>2</v>
      </c>
      <c r="S3524" s="97">
        <v>21000</v>
      </c>
      <c r="T3524" s="4">
        <v>0</v>
      </c>
      <c r="U3524" s="4">
        <f t="shared" si="133"/>
        <v>0</v>
      </c>
      <c r="V3524" s="1"/>
      <c r="W3524" s="3">
        <v>2014</v>
      </c>
      <c r="X3524" s="3">
        <v>11.12</v>
      </c>
    </row>
    <row r="3525" spans="1:24" ht="114.75">
      <c r="A3525" s="3" t="s">
        <v>13497</v>
      </c>
      <c r="B3525" s="6" t="s">
        <v>361</v>
      </c>
      <c r="C3525" s="6" t="s">
        <v>7570</v>
      </c>
      <c r="D3525" s="46" t="s">
        <v>7571</v>
      </c>
      <c r="E3525" s="6" t="s">
        <v>7572</v>
      </c>
      <c r="F3525" s="260" t="s">
        <v>7762</v>
      </c>
      <c r="G3525" s="3" t="s">
        <v>11449</v>
      </c>
      <c r="H3525" s="54">
        <v>0</v>
      </c>
      <c r="I3525" s="55">
        <v>470000000</v>
      </c>
      <c r="J3525" s="56" t="s">
        <v>229</v>
      </c>
      <c r="K3525" s="57" t="s">
        <v>642</v>
      </c>
      <c r="L3525" s="12" t="s">
        <v>404</v>
      </c>
      <c r="M3525" s="3" t="s">
        <v>230</v>
      </c>
      <c r="N3525" s="52" t="s">
        <v>7693</v>
      </c>
      <c r="O3525" s="6" t="s">
        <v>365</v>
      </c>
      <c r="P3525" s="58" t="s">
        <v>241</v>
      </c>
      <c r="Q3525" s="117" t="s">
        <v>234</v>
      </c>
      <c r="R3525" s="22">
        <v>2</v>
      </c>
      <c r="S3525" s="97">
        <v>21000</v>
      </c>
      <c r="T3525" s="4">
        <v>0</v>
      </c>
      <c r="U3525" s="4">
        <f t="shared" si="133"/>
        <v>0</v>
      </c>
      <c r="V3525" s="1"/>
      <c r="W3525" s="3">
        <v>2014</v>
      </c>
      <c r="X3525" s="3">
        <v>7.11</v>
      </c>
    </row>
    <row r="3526" spans="1:24" ht="114.75">
      <c r="A3526" s="3" t="s">
        <v>16400</v>
      </c>
      <c r="B3526" s="6" t="s">
        <v>361</v>
      </c>
      <c r="C3526" s="6" t="s">
        <v>7570</v>
      </c>
      <c r="D3526" s="46" t="s">
        <v>7571</v>
      </c>
      <c r="E3526" s="6" t="s">
        <v>7572</v>
      </c>
      <c r="F3526" s="260" t="s">
        <v>7762</v>
      </c>
      <c r="G3526" s="3" t="s">
        <v>11450</v>
      </c>
      <c r="H3526" s="54">
        <v>0</v>
      </c>
      <c r="I3526" s="55">
        <v>470000000</v>
      </c>
      <c r="J3526" s="56" t="s">
        <v>229</v>
      </c>
      <c r="K3526" s="57" t="s">
        <v>7699</v>
      </c>
      <c r="L3526" s="12" t="s">
        <v>404</v>
      </c>
      <c r="M3526" s="3" t="s">
        <v>230</v>
      </c>
      <c r="N3526" s="52" t="s">
        <v>7693</v>
      </c>
      <c r="O3526" s="6" t="s">
        <v>365</v>
      </c>
      <c r="P3526" s="58" t="s">
        <v>241</v>
      </c>
      <c r="Q3526" s="117" t="s">
        <v>234</v>
      </c>
      <c r="R3526" s="22">
        <v>2</v>
      </c>
      <c r="S3526" s="97">
        <v>21000</v>
      </c>
      <c r="T3526" s="4">
        <v>0</v>
      </c>
      <c r="U3526" s="4">
        <f t="shared" si="133"/>
        <v>0</v>
      </c>
      <c r="V3526" s="1"/>
      <c r="W3526" s="3">
        <v>2014</v>
      </c>
      <c r="X3526" s="3" t="s">
        <v>14785</v>
      </c>
    </row>
    <row r="3527" spans="1:24" ht="114.75">
      <c r="A3527" s="3" t="s">
        <v>18389</v>
      </c>
      <c r="B3527" s="6" t="s">
        <v>361</v>
      </c>
      <c r="C3527" s="6" t="s">
        <v>7570</v>
      </c>
      <c r="D3527" s="46" t="s">
        <v>7571</v>
      </c>
      <c r="E3527" s="6" t="s">
        <v>7572</v>
      </c>
      <c r="F3527" s="260" t="s">
        <v>7762</v>
      </c>
      <c r="G3527" s="3" t="s">
        <v>11450</v>
      </c>
      <c r="H3527" s="54">
        <v>0</v>
      </c>
      <c r="I3527" s="55">
        <v>470000000</v>
      </c>
      <c r="J3527" s="56" t="s">
        <v>229</v>
      </c>
      <c r="K3527" s="57" t="s">
        <v>8950</v>
      </c>
      <c r="L3527" s="57" t="s">
        <v>364</v>
      </c>
      <c r="M3527" s="3" t="s">
        <v>230</v>
      </c>
      <c r="N3527" s="52" t="s">
        <v>7693</v>
      </c>
      <c r="O3527" s="6" t="s">
        <v>365</v>
      </c>
      <c r="P3527" s="58" t="s">
        <v>241</v>
      </c>
      <c r="Q3527" s="117" t="s">
        <v>234</v>
      </c>
      <c r="R3527" s="22">
        <v>2</v>
      </c>
      <c r="S3527" s="97">
        <v>25200</v>
      </c>
      <c r="T3527" s="4">
        <v>0</v>
      </c>
      <c r="U3527" s="4">
        <f t="shared" si="133"/>
        <v>0</v>
      </c>
      <c r="V3527" s="1"/>
      <c r="W3527" s="3">
        <v>2014</v>
      </c>
      <c r="X3527" s="3">
        <v>11.14</v>
      </c>
    </row>
    <row r="3528" spans="1:24" ht="114.75">
      <c r="A3528" s="3" t="s">
        <v>19016</v>
      </c>
      <c r="B3528" s="6" t="s">
        <v>361</v>
      </c>
      <c r="C3528" s="6" t="s">
        <v>7570</v>
      </c>
      <c r="D3528" s="46" t="s">
        <v>7571</v>
      </c>
      <c r="E3528" s="6" t="s">
        <v>7572</v>
      </c>
      <c r="F3528" s="260" t="s">
        <v>7762</v>
      </c>
      <c r="G3528" s="3" t="s">
        <v>11450</v>
      </c>
      <c r="H3528" s="54">
        <v>0</v>
      </c>
      <c r="I3528" s="55">
        <v>470000000</v>
      </c>
      <c r="J3528" s="56" t="s">
        <v>229</v>
      </c>
      <c r="K3528" s="57" t="s">
        <v>18437</v>
      </c>
      <c r="L3528" s="57" t="s">
        <v>364</v>
      </c>
      <c r="M3528" s="3" t="s">
        <v>230</v>
      </c>
      <c r="N3528" s="52" t="s">
        <v>16511</v>
      </c>
      <c r="O3528" s="6" t="s">
        <v>365</v>
      </c>
      <c r="P3528" s="58" t="s">
        <v>241</v>
      </c>
      <c r="Q3528" s="117" t="s">
        <v>234</v>
      </c>
      <c r="R3528" s="22">
        <v>2</v>
      </c>
      <c r="S3528" s="97">
        <v>25200</v>
      </c>
      <c r="T3528" s="4">
        <v>0</v>
      </c>
      <c r="U3528" s="4">
        <f t="shared" si="133"/>
        <v>0</v>
      </c>
      <c r="V3528" s="1"/>
      <c r="W3528" s="3">
        <v>2014</v>
      </c>
      <c r="X3528" s="3">
        <v>11.15</v>
      </c>
    </row>
    <row r="3529" spans="1:24" ht="76.5">
      <c r="A3529" s="3" t="s">
        <v>19439</v>
      </c>
      <c r="B3529" s="6" t="s">
        <v>361</v>
      </c>
      <c r="C3529" s="6" t="s">
        <v>7570</v>
      </c>
      <c r="D3529" s="46" t="s">
        <v>7571</v>
      </c>
      <c r="E3529" s="6" t="s">
        <v>7572</v>
      </c>
      <c r="F3529" s="260" t="s">
        <v>7762</v>
      </c>
      <c r="G3529" s="3" t="s">
        <v>11450</v>
      </c>
      <c r="H3529" s="54">
        <v>0</v>
      </c>
      <c r="I3529" s="55">
        <v>470000000</v>
      </c>
      <c r="J3529" s="56" t="s">
        <v>229</v>
      </c>
      <c r="K3529" s="57" t="s">
        <v>19379</v>
      </c>
      <c r="L3529" s="57" t="s">
        <v>364</v>
      </c>
      <c r="M3529" s="3" t="s">
        <v>230</v>
      </c>
      <c r="N3529" s="52" t="s">
        <v>16511</v>
      </c>
      <c r="O3529" s="6" t="s">
        <v>19407</v>
      </c>
      <c r="P3529" s="58" t="s">
        <v>241</v>
      </c>
      <c r="Q3529" s="117" t="s">
        <v>234</v>
      </c>
      <c r="R3529" s="22">
        <v>2</v>
      </c>
      <c r="S3529" s="97">
        <v>25200</v>
      </c>
      <c r="T3529" s="4">
        <f>R3529*S3529</f>
        <v>50400</v>
      </c>
      <c r="U3529" s="4">
        <f t="shared" ref="U3529" si="146">T3529*1.12</f>
        <v>56448.000000000007</v>
      </c>
      <c r="V3529" s="1"/>
      <c r="W3529" s="3">
        <v>2014</v>
      </c>
      <c r="X3529" s="3"/>
    </row>
    <row r="3530" spans="1:24" ht="114.75">
      <c r="A3530" s="3" t="s">
        <v>1705</v>
      </c>
      <c r="B3530" s="6" t="s">
        <v>361</v>
      </c>
      <c r="C3530" s="6" t="s">
        <v>7573</v>
      </c>
      <c r="D3530" s="46" t="s">
        <v>7574</v>
      </c>
      <c r="E3530" s="6" t="s">
        <v>3115</v>
      </c>
      <c r="F3530" s="260" t="s">
        <v>7763</v>
      </c>
      <c r="G3530" s="3" t="s">
        <v>11449</v>
      </c>
      <c r="H3530" s="54">
        <v>0</v>
      </c>
      <c r="I3530" s="55">
        <v>470000000</v>
      </c>
      <c r="J3530" s="56" t="s">
        <v>229</v>
      </c>
      <c r="K3530" s="57" t="s">
        <v>7698</v>
      </c>
      <c r="L3530" s="57" t="s">
        <v>364</v>
      </c>
      <c r="M3530" s="3" t="s">
        <v>230</v>
      </c>
      <c r="N3530" s="52" t="s">
        <v>7693</v>
      </c>
      <c r="O3530" s="6" t="s">
        <v>365</v>
      </c>
      <c r="P3530" s="58" t="s">
        <v>241</v>
      </c>
      <c r="Q3530" s="117" t="s">
        <v>234</v>
      </c>
      <c r="R3530" s="22">
        <v>4</v>
      </c>
      <c r="S3530" s="97">
        <v>85000</v>
      </c>
      <c r="T3530" s="4">
        <v>0</v>
      </c>
      <c r="U3530" s="4">
        <f t="shared" ref="U3530:U3599" si="147">T3530*1.12</f>
        <v>0</v>
      </c>
      <c r="V3530" s="1"/>
      <c r="W3530" s="3">
        <v>2014</v>
      </c>
      <c r="X3530" s="3">
        <v>11.12</v>
      </c>
    </row>
    <row r="3531" spans="1:24" ht="114.75">
      <c r="A3531" s="3" t="s">
        <v>13498</v>
      </c>
      <c r="B3531" s="6" t="s">
        <v>361</v>
      </c>
      <c r="C3531" s="6" t="s">
        <v>7573</v>
      </c>
      <c r="D3531" s="46" t="s">
        <v>7574</v>
      </c>
      <c r="E3531" s="6" t="s">
        <v>3115</v>
      </c>
      <c r="F3531" s="260" t="s">
        <v>7763</v>
      </c>
      <c r="G3531" s="3" t="s">
        <v>11449</v>
      </c>
      <c r="H3531" s="54">
        <v>0</v>
      </c>
      <c r="I3531" s="55">
        <v>470000000</v>
      </c>
      <c r="J3531" s="56" t="s">
        <v>229</v>
      </c>
      <c r="K3531" s="57" t="s">
        <v>642</v>
      </c>
      <c r="L3531" s="12" t="s">
        <v>404</v>
      </c>
      <c r="M3531" s="3" t="s">
        <v>230</v>
      </c>
      <c r="N3531" s="52" t="s">
        <v>7693</v>
      </c>
      <c r="O3531" s="6" t="s">
        <v>365</v>
      </c>
      <c r="P3531" s="58" t="s">
        <v>241</v>
      </c>
      <c r="Q3531" s="117" t="s">
        <v>234</v>
      </c>
      <c r="R3531" s="22">
        <v>4</v>
      </c>
      <c r="S3531" s="97">
        <v>85000</v>
      </c>
      <c r="T3531" s="4">
        <v>0</v>
      </c>
      <c r="U3531" s="4">
        <f t="shared" si="147"/>
        <v>0</v>
      </c>
      <c r="V3531" s="1"/>
      <c r="W3531" s="3">
        <v>2014</v>
      </c>
      <c r="X3531" s="3">
        <v>7.11</v>
      </c>
    </row>
    <row r="3532" spans="1:24" ht="114.75">
      <c r="A3532" s="3" t="s">
        <v>16401</v>
      </c>
      <c r="B3532" s="6" t="s">
        <v>361</v>
      </c>
      <c r="C3532" s="6" t="s">
        <v>7573</v>
      </c>
      <c r="D3532" s="46" t="s">
        <v>7574</v>
      </c>
      <c r="E3532" s="6" t="s">
        <v>3115</v>
      </c>
      <c r="F3532" s="260" t="s">
        <v>7763</v>
      </c>
      <c r="G3532" s="3" t="s">
        <v>11450</v>
      </c>
      <c r="H3532" s="54">
        <v>0</v>
      </c>
      <c r="I3532" s="55">
        <v>470000000</v>
      </c>
      <c r="J3532" s="56" t="s">
        <v>229</v>
      </c>
      <c r="K3532" s="57" t="s">
        <v>7699</v>
      </c>
      <c r="L3532" s="12" t="s">
        <v>404</v>
      </c>
      <c r="M3532" s="3" t="s">
        <v>230</v>
      </c>
      <c r="N3532" s="52" t="s">
        <v>7693</v>
      </c>
      <c r="O3532" s="6" t="s">
        <v>365</v>
      </c>
      <c r="P3532" s="58" t="s">
        <v>241</v>
      </c>
      <c r="Q3532" s="117" t="s">
        <v>234</v>
      </c>
      <c r="R3532" s="22">
        <v>4</v>
      </c>
      <c r="S3532" s="97">
        <v>85000</v>
      </c>
      <c r="T3532" s="4">
        <v>0</v>
      </c>
      <c r="U3532" s="4">
        <f t="shared" si="147"/>
        <v>0</v>
      </c>
      <c r="V3532" s="1"/>
      <c r="W3532" s="3">
        <v>2014</v>
      </c>
      <c r="X3532" s="3" t="s">
        <v>14785</v>
      </c>
    </row>
    <row r="3533" spans="1:24" ht="114.75">
      <c r="A3533" s="3" t="s">
        <v>18390</v>
      </c>
      <c r="B3533" s="6" t="s">
        <v>361</v>
      </c>
      <c r="C3533" s="6" t="s">
        <v>7573</v>
      </c>
      <c r="D3533" s="46" t="s">
        <v>7574</v>
      </c>
      <c r="E3533" s="6" t="s">
        <v>3115</v>
      </c>
      <c r="F3533" s="260" t="s">
        <v>7763</v>
      </c>
      <c r="G3533" s="3" t="s">
        <v>11450</v>
      </c>
      <c r="H3533" s="54">
        <v>0</v>
      </c>
      <c r="I3533" s="55">
        <v>470000000</v>
      </c>
      <c r="J3533" s="56" t="s">
        <v>229</v>
      </c>
      <c r="K3533" s="57" t="s">
        <v>8950</v>
      </c>
      <c r="L3533" s="57" t="s">
        <v>364</v>
      </c>
      <c r="M3533" s="3" t="s">
        <v>230</v>
      </c>
      <c r="N3533" s="52" t="s">
        <v>7693</v>
      </c>
      <c r="O3533" s="6" t="s">
        <v>365</v>
      </c>
      <c r="P3533" s="58" t="s">
        <v>241</v>
      </c>
      <c r="Q3533" s="117" t="s">
        <v>234</v>
      </c>
      <c r="R3533" s="22">
        <v>4</v>
      </c>
      <c r="S3533" s="97">
        <v>102000</v>
      </c>
      <c r="T3533" s="4">
        <v>0</v>
      </c>
      <c r="U3533" s="4">
        <f t="shared" si="147"/>
        <v>0</v>
      </c>
      <c r="V3533" s="1"/>
      <c r="W3533" s="3">
        <v>2014</v>
      </c>
      <c r="X3533" s="3">
        <v>11.14</v>
      </c>
    </row>
    <row r="3534" spans="1:24" ht="114.75">
      <c r="A3534" s="3" t="s">
        <v>19017</v>
      </c>
      <c r="B3534" s="6" t="s">
        <v>361</v>
      </c>
      <c r="C3534" s="6" t="s">
        <v>7573</v>
      </c>
      <c r="D3534" s="46" t="s">
        <v>7574</v>
      </c>
      <c r="E3534" s="6" t="s">
        <v>3115</v>
      </c>
      <c r="F3534" s="260" t="s">
        <v>7763</v>
      </c>
      <c r="G3534" s="3" t="s">
        <v>11450</v>
      </c>
      <c r="H3534" s="54">
        <v>0</v>
      </c>
      <c r="I3534" s="55">
        <v>470000000</v>
      </c>
      <c r="J3534" s="56" t="s">
        <v>229</v>
      </c>
      <c r="K3534" s="57" t="s">
        <v>18437</v>
      </c>
      <c r="L3534" s="57" t="s">
        <v>364</v>
      </c>
      <c r="M3534" s="3" t="s">
        <v>230</v>
      </c>
      <c r="N3534" s="52" t="s">
        <v>16511</v>
      </c>
      <c r="O3534" s="6" t="s">
        <v>365</v>
      </c>
      <c r="P3534" s="58" t="s">
        <v>241</v>
      </c>
      <c r="Q3534" s="117" t="s">
        <v>234</v>
      </c>
      <c r="R3534" s="22">
        <v>4</v>
      </c>
      <c r="S3534" s="97">
        <v>102000</v>
      </c>
      <c r="T3534" s="4">
        <v>0</v>
      </c>
      <c r="U3534" s="4">
        <f t="shared" si="147"/>
        <v>0</v>
      </c>
      <c r="V3534" s="1"/>
      <c r="W3534" s="3">
        <v>2014</v>
      </c>
      <c r="X3534" s="3">
        <v>11.15</v>
      </c>
    </row>
    <row r="3535" spans="1:24" ht="76.5">
      <c r="A3535" s="3" t="s">
        <v>19440</v>
      </c>
      <c r="B3535" s="6" t="s">
        <v>361</v>
      </c>
      <c r="C3535" s="6" t="s">
        <v>7573</v>
      </c>
      <c r="D3535" s="46" t="s">
        <v>7574</v>
      </c>
      <c r="E3535" s="6" t="s">
        <v>3115</v>
      </c>
      <c r="F3535" s="260" t="s">
        <v>7763</v>
      </c>
      <c r="G3535" s="3" t="s">
        <v>11450</v>
      </c>
      <c r="H3535" s="54">
        <v>0</v>
      </c>
      <c r="I3535" s="55">
        <v>470000000</v>
      </c>
      <c r="J3535" s="56" t="s">
        <v>229</v>
      </c>
      <c r="K3535" s="57" t="s">
        <v>19379</v>
      </c>
      <c r="L3535" s="57" t="s">
        <v>364</v>
      </c>
      <c r="M3535" s="3" t="s">
        <v>230</v>
      </c>
      <c r="N3535" s="52" t="s">
        <v>16511</v>
      </c>
      <c r="O3535" s="6" t="s">
        <v>19407</v>
      </c>
      <c r="P3535" s="58" t="s">
        <v>241</v>
      </c>
      <c r="Q3535" s="117" t="s">
        <v>234</v>
      </c>
      <c r="R3535" s="22">
        <v>4</v>
      </c>
      <c r="S3535" s="97">
        <v>102000</v>
      </c>
      <c r="T3535" s="4">
        <f>R3535*S3535</f>
        <v>408000</v>
      </c>
      <c r="U3535" s="4">
        <f t="shared" ref="U3535" si="148">T3535*1.12</f>
        <v>456960.00000000006</v>
      </c>
      <c r="V3535" s="1"/>
      <c r="W3535" s="3">
        <v>2014</v>
      </c>
      <c r="X3535" s="3"/>
    </row>
    <row r="3536" spans="1:24" ht="114.75">
      <c r="A3536" s="3" t="s">
        <v>1706</v>
      </c>
      <c r="B3536" s="6" t="s">
        <v>361</v>
      </c>
      <c r="C3536" s="6" t="s">
        <v>7576</v>
      </c>
      <c r="D3536" s="46" t="s">
        <v>368</v>
      </c>
      <c r="E3536" s="6" t="s">
        <v>5572</v>
      </c>
      <c r="F3536" s="260" t="s">
        <v>7764</v>
      </c>
      <c r="G3536" s="3" t="s">
        <v>11449</v>
      </c>
      <c r="H3536" s="54">
        <v>0</v>
      </c>
      <c r="I3536" s="55">
        <v>470000000</v>
      </c>
      <c r="J3536" s="56" t="s">
        <v>229</v>
      </c>
      <c r="K3536" s="57" t="s">
        <v>7698</v>
      </c>
      <c r="L3536" s="57" t="s">
        <v>364</v>
      </c>
      <c r="M3536" s="3" t="s">
        <v>230</v>
      </c>
      <c r="N3536" s="52" t="s">
        <v>7693</v>
      </c>
      <c r="O3536" s="6" t="s">
        <v>365</v>
      </c>
      <c r="P3536" s="58" t="s">
        <v>241</v>
      </c>
      <c r="Q3536" s="117" t="s">
        <v>234</v>
      </c>
      <c r="R3536" s="22">
        <v>4</v>
      </c>
      <c r="S3536" s="97">
        <v>16000</v>
      </c>
      <c r="T3536" s="4">
        <v>0</v>
      </c>
      <c r="U3536" s="4">
        <f t="shared" si="147"/>
        <v>0</v>
      </c>
      <c r="V3536" s="1"/>
      <c r="W3536" s="3">
        <v>2014</v>
      </c>
      <c r="X3536" s="3">
        <v>11.12</v>
      </c>
    </row>
    <row r="3537" spans="1:24" ht="114.75">
      <c r="A3537" s="3" t="s">
        <v>13499</v>
      </c>
      <c r="B3537" s="6" t="s">
        <v>361</v>
      </c>
      <c r="C3537" s="6" t="s">
        <v>7576</v>
      </c>
      <c r="D3537" s="46" t="s">
        <v>368</v>
      </c>
      <c r="E3537" s="6" t="s">
        <v>5572</v>
      </c>
      <c r="F3537" s="260" t="s">
        <v>7764</v>
      </c>
      <c r="G3537" s="3" t="s">
        <v>11449</v>
      </c>
      <c r="H3537" s="54">
        <v>0</v>
      </c>
      <c r="I3537" s="55">
        <v>470000000</v>
      </c>
      <c r="J3537" s="56" t="s">
        <v>229</v>
      </c>
      <c r="K3537" s="57" t="s">
        <v>642</v>
      </c>
      <c r="L3537" s="12" t="s">
        <v>404</v>
      </c>
      <c r="M3537" s="3" t="s">
        <v>230</v>
      </c>
      <c r="N3537" s="52" t="s">
        <v>7693</v>
      </c>
      <c r="O3537" s="6" t="s">
        <v>365</v>
      </c>
      <c r="P3537" s="58" t="s">
        <v>241</v>
      </c>
      <c r="Q3537" s="117" t="s">
        <v>234</v>
      </c>
      <c r="R3537" s="22">
        <v>4</v>
      </c>
      <c r="S3537" s="97">
        <v>16000</v>
      </c>
      <c r="T3537" s="4">
        <v>0</v>
      </c>
      <c r="U3537" s="4">
        <f t="shared" si="147"/>
        <v>0</v>
      </c>
      <c r="V3537" s="1"/>
      <c r="W3537" s="3">
        <v>2014</v>
      </c>
      <c r="X3537" s="3">
        <v>7.11</v>
      </c>
    </row>
    <row r="3538" spans="1:24" ht="114.75">
      <c r="A3538" s="3" t="s">
        <v>16402</v>
      </c>
      <c r="B3538" s="6" t="s">
        <v>361</v>
      </c>
      <c r="C3538" s="6" t="s">
        <v>7576</v>
      </c>
      <c r="D3538" s="46" t="s">
        <v>368</v>
      </c>
      <c r="E3538" s="6" t="s">
        <v>5572</v>
      </c>
      <c r="F3538" s="260" t="s">
        <v>7764</v>
      </c>
      <c r="G3538" s="3" t="s">
        <v>11450</v>
      </c>
      <c r="H3538" s="54">
        <v>0</v>
      </c>
      <c r="I3538" s="55">
        <v>470000000</v>
      </c>
      <c r="J3538" s="56" t="s">
        <v>229</v>
      </c>
      <c r="K3538" s="57" t="s">
        <v>7699</v>
      </c>
      <c r="L3538" s="12" t="s">
        <v>404</v>
      </c>
      <c r="M3538" s="3" t="s">
        <v>230</v>
      </c>
      <c r="N3538" s="52" t="s">
        <v>7693</v>
      </c>
      <c r="O3538" s="6" t="s">
        <v>365</v>
      </c>
      <c r="P3538" s="58" t="s">
        <v>241</v>
      </c>
      <c r="Q3538" s="117" t="s">
        <v>234</v>
      </c>
      <c r="R3538" s="22">
        <v>4</v>
      </c>
      <c r="S3538" s="97">
        <v>16000</v>
      </c>
      <c r="T3538" s="4">
        <v>0</v>
      </c>
      <c r="U3538" s="4">
        <f t="shared" si="147"/>
        <v>0</v>
      </c>
      <c r="V3538" s="1"/>
      <c r="W3538" s="3">
        <v>2014</v>
      </c>
      <c r="X3538" s="3" t="s">
        <v>14785</v>
      </c>
    </row>
    <row r="3539" spans="1:24" ht="114.75">
      <c r="A3539" s="3" t="s">
        <v>18391</v>
      </c>
      <c r="B3539" s="6" t="s">
        <v>361</v>
      </c>
      <c r="C3539" s="6" t="s">
        <v>7576</v>
      </c>
      <c r="D3539" s="46" t="s">
        <v>368</v>
      </c>
      <c r="E3539" s="6" t="s">
        <v>5572</v>
      </c>
      <c r="F3539" s="260" t="s">
        <v>7764</v>
      </c>
      <c r="G3539" s="3" t="s">
        <v>11450</v>
      </c>
      <c r="H3539" s="54">
        <v>0</v>
      </c>
      <c r="I3539" s="55">
        <v>470000000</v>
      </c>
      <c r="J3539" s="56" t="s">
        <v>229</v>
      </c>
      <c r="K3539" s="57" t="s">
        <v>8950</v>
      </c>
      <c r="L3539" s="57" t="s">
        <v>364</v>
      </c>
      <c r="M3539" s="3" t="s">
        <v>230</v>
      </c>
      <c r="N3539" s="52" t="s">
        <v>7693</v>
      </c>
      <c r="O3539" s="6" t="s">
        <v>365</v>
      </c>
      <c r="P3539" s="58" t="s">
        <v>241</v>
      </c>
      <c r="Q3539" s="117" t="s">
        <v>234</v>
      </c>
      <c r="R3539" s="22">
        <v>4</v>
      </c>
      <c r="S3539" s="97">
        <v>19200</v>
      </c>
      <c r="T3539" s="4">
        <v>0</v>
      </c>
      <c r="U3539" s="4">
        <f t="shared" si="147"/>
        <v>0</v>
      </c>
      <c r="V3539" s="1"/>
      <c r="W3539" s="3">
        <v>2014</v>
      </c>
      <c r="X3539" s="3">
        <v>11.14</v>
      </c>
    </row>
    <row r="3540" spans="1:24" ht="114.75">
      <c r="A3540" s="3" t="s">
        <v>19018</v>
      </c>
      <c r="B3540" s="6" t="s">
        <v>361</v>
      </c>
      <c r="C3540" s="6" t="s">
        <v>7576</v>
      </c>
      <c r="D3540" s="46" t="s">
        <v>368</v>
      </c>
      <c r="E3540" s="6" t="s">
        <v>5572</v>
      </c>
      <c r="F3540" s="260" t="s">
        <v>7764</v>
      </c>
      <c r="G3540" s="3" t="s">
        <v>11450</v>
      </c>
      <c r="H3540" s="54">
        <v>0</v>
      </c>
      <c r="I3540" s="55">
        <v>470000000</v>
      </c>
      <c r="J3540" s="56" t="s">
        <v>229</v>
      </c>
      <c r="K3540" s="57" t="s">
        <v>18437</v>
      </c>
      <c r="L3540" s="57" t="s">
        <v>364</v>
      </c>
      <c r="M3540" s="3" t="s">
        <v>230</v>
      </c>
      <c r="N3540" s="52" t="s">
        <v>16511</v>
      </c>
      <c r="O3540" s="6" t="s">
        <v>365</v>
      </c>
      <c r="P3540" s="58" t="s">
        <v>241</v>
      </c>
      <c r="Q3540" s="117" t="s">
        <v>234</v>
      </c>
      <c r="R3540" s="22">
        <v>4</v>
      </c>
      <c r="S3540" s="97">
        <v>19200</v>
      </c>
      <c r="T3540" s="4">
        <v>0</v>
      </c>
      <c r="U3540" s="4">
        <f t="shared" si="147"/>
        <v>0</v>
      </c>
      <c r="V3540" s="1"/>
      <c r="W3540" s="3">
        <v>2014</v>
      </c>
      <c r="X3540" s="3">
        <v>11.15</v>
      </c>
    </row>
    <row r="3541" spans="1:24" ht="76.5">
      <c r="A3541" s="3" t="s">
        <v>19441</v>
      </c>
      <c r="B3541" s="6" t="s">
        <v>361</v>
      </c>
      <c r="C3541" s="6" t="s">
        <v>7576</v>
      </c>
      <c r="D3541" s="46" t="s">
        <v>368</v>
      </c>
      <c r="E3541" s="6" t="s">
        <v>5572</v>
      </c>
      <c r="F3541" s="260" t="s">
        <v>7764</v>
      </c>
      <c r="G3541" s="3" t="s">
        <v>11450</v>
      </c>
      <c r="H3541" s="54">
        <v>0</v>
      </c>
      <c r="I3541" s="55">
        <v>470000000</v>
      </c>
      <c r="J3541" s="56" t="s">
        <v>229</v>
      </c>
      <c r="K3541" s="57" t="s">
        <v>19379</v>
      </c>
      <c r="L3541" s="57" t="s">
        <v>364</v>
      </c>
      <c r="M3541" s="3" t="s">
        <v>230</v>
      </c>
      <c r="N3541" s="52" t="s">
        <v>16511</v>
      </c>
      <c r="O3541" s="6" t="s">
        <v>19407</v>
      </c>
      <c r="P3541" s="58" t="s">
        <v>241</v>
      </c>
      <c r="Q3541" s="117" t="s">
        <v>234</v>
      </c>
      <c r="R3541" s="22">
        <v>4</v>
      </c>
      <c r="S3541" s="97">
        <v>19200</v>
      </c>
      <c r="T3541" s="4">
        <f>R3541*S3541</f>
        <v>76800</v>
      </c>
      <c r="U3541" s="4">
        <f t="shared" ref="U3541" si="149">T3541*1.12</f>
        <v>86016.000000000015</v>
      </c>
      <c r="V3541" s="1"/>
      <c r="W3541" s="3">
        <v>2014</v>
      </c>
      <c r="X3541" s="3"/>
    </row>
    <row r="3542" spans="1:24" ht="114.75">
      <c r="A3542" s="3" t="s">
        <v>1707</v>
      </c>
      <c r="B3542" s="6" t="s">
        <v>361</v>
      </c>
      <c r="C3542" s="174" t="s">
        <v>7575</v>
      </c>
      <c r="D3542" s="45" t="s">
        <v>11512</v>
      </c>
      <c r="E3542" s="6" t="s">
        <v>11513</v>
      </c>
      <c r="F3542" s="260" t="s">
        <v>7765</v>
      </c>
      <c r="G3542" s="3" t="s">
        <v>11449</v>
      </c>
      <c r="H3542" s="54">
        <v>0</v>
      </c>
      <c r="I3542" s="55">
        <v>470000000</v>
      </c>
      <c r="J3542" s="56" t="s">
        <v>229</v>
      </c>
      <c r="K3542" s="57" t="s">
        <v>7698</v>
      </c>
      <c r="L3542" s="57" t="s">
        <v>364</v>
      </c>
      <c r="M3542" s="3" t="s">
        <v>230</v>
      </c>
      <c r="N3542" s="52" t="s">
        <v>7693</v>
      </c>
      <c r="O3542" s="6" t="s">
        <v>365</v>
      </c>
      <c r="P3542" s="58" t="s">
        <v>241</v>
      </c>
      <c r="Q3542" s="117" t="s">
        <v>234</v>
      </c>
      <c r="R3542" s="22">
        <v>4</v>
      </c>
      <c r="S3542" s="97">
        <v>5000</v>
      </c>
      <c r="T3542" s="4">
        <v>0</v>
      </c>
      <c r="U3542" s="4">
        <f t="shared" si="147"/>
        <v>0</v>
      </c>
      <c r="V3542" s="1"/>
      <c r="W3542" s="3">
        <v>2014</v>
      </c>
      <c r="X3542" s="3">
        <v>11.12</v>
      </c>
    </row>
    <row r="3543" spans="1:24" ht="114.75">
      <c r="A3543" s="3" t="s">
        <v>13500</v>
      </c>
      <c r="B3543" s="6" t="s">
        <v>361</v>
      </c>
      <c r="C3543" s="174" t="s">
        <v>7575</v>
      </c>
      <c r="D3543" s="45" t="s">
        <v>11512</v>
      </c>
      <c r="E3543" s="6" t="s">
        <v>11513</v>
      </c>
      <c r="F3543" s="260" t="s">
        <v>7765</v>
      </c>
      <c r="G3543" s="3" t="s">
        <v>11449</v>
      </c>
      <c r="H3543" s="54">
        <v>0</v>
      </c>
      <c r="I3543" s="55">
        <v>470000000</v>
      </c>
      <c r="J3543" s="56" t="s">
        <v>229</v>
      </c>
      <c r="K3543" s="57" t="s">
        <v>642</v>
      </c>
      <c r="L3543" s="12" t="s">
        <v>404</v>
      </c>
      <c r="M3543" s="3" t="s">
        <v>230</v>
      </c>
      <c r="N3543" s="52" t="s">
        <v>7693</v>
      </c>
      <c r="O3543" s="6" t="s">
        <v>365</v>
      </c>
      <c r="P3543" s="58" t="s">
        <v>241</v>
      </c>
      <c r="Q3543" s="117" t="s">
        <v>234</v>
      </c>
      <c r="R3543" s="22">
        <v>4</v>
      </c>
      <c r="S3543" s="97">
        <v>5000</v>
      </c>
      <c r="T3543" s="4">
        <v>0</v>
      </c>
      <c r="U3543" s="4">
        <f t="shared" si="147"/>
        <v>0</v>
      </c>
      <c r="V3543" s="1"/>
      <c r="W3543" s="3">
        <v>2014</v>
      </c>
      <c r="X3543" s="3">
        <v>7.11</v>
      </c>
    </row>
    <row r="3544" spans="1:24" ht="114.75">
      <c r="A3544" s="3" t="s">
        <v>16403</v>
      </c>
      <c r="B3544" s="6" t="s">
        <v>361</v>
      </c>
      <c r="C3544" s="174" t="s">
        <v>7575</v>
      </c>
      <c r="D3544" s="45" t="s">
        <v>11512</v>
      </c>
      <c r="E3544" s="6" t="s">
        <v>11513</v>
      </c>
      <c r="F3544" s="260" t="s">
        <v>7765</v>
      </c>
      <c r="G3544" s="3" t="s">
        <v>11450</v>
      </c>
      <c r="H3544" s="54">
        <v>0</v>
      </c>
      <c r="I3544" s="55">
        <v>470000000</v>
      </c>
      <c r="J3544" s="56" t="s">
        <v>229</v>
      </c>
      <c r="K3544" s="57" t="s">
        <v>7699</v>
      </c>
      <c r="L3544" s="12" t="s">
        <v>404</v>
      </c>
      <c r="M3544" s="3" t="s">
        <v>230</v>
      </c>
      <c r="N3544" s="52" t="s">
        <v>7693</v>
      </c>
      <c r="O3544" s="6" t="s">
        <v>365</v>
      </c>
      <c r="P3544" s="58" t="s">
        <v>241</v>
      </c>
      <c r="Q3544" s="117" t="s">
        <v>234</v>
      </c>
      <c r="R3544" s="22">
        <v>4</v>
      </c>
      <c r="S3544" s="97">
        <v>5000</v>
      </c>
      <c r="T3544" s="4">
        <v>0</v>
      </c>
      <c r="U3544" s="4">
        <f t="shared" si="147"/>
        <v>0</v>
      </c>
      <c r="V3544" s="1"/>
      <c r="W3544" s="3">
        <v>2014</v>
      </c>
      <c r="X3544" s="3" t="s">
        <v>14785</v>
      </c>
    </row>
    <row r="3545" spans="1:24" ht="114.75">
      <c r="A3545" s="3" t="s">
        <v>18392</v>
      </c>
      <c r="B3545" s="6" t="s">
        <v>361</v>
      </c>
      <c r="C3545" s="174" t="s">
        <v>7575</v>
      </c>
      <c r="D3545" s="45" t="s">
        <v>11512</v>
      </c>
      <c r="E3545" s="6" t="s">
        <v>11513</v>
      </c>
      <c r="F3545" s="260" t="s">
        <v>7765</v>
      </c>
      <c r="G3545" s="3" t="s">
        <v>11450</v>
      </c>
      <c r="H3545" s="54">
        <v>0</v>
      </c>
      <c r="I3545" s="55">
        <v>470000000</v>
      </c>
      <c r="J3545" s="56" t="s">
        <v>229</v>
      </c>
      <c r="K3545" s="57" t="s">
        <v>8950</v>
      </c>
      <c r="L3545" s="57" t="s">
        <v>364</v>
      </c>
      <c r="M3545" s="3" t="s">
        <v>230</v>
      </c>
      <c r="N3545" s="52" t="s">
        <v>7693</v>
      </c>
      <c r="O3545" s="6" t="s">
        <v>365</v>
      </c>
      <c r="P3545" s="58" t="s">
        <v>241</v>
      </c>
      <c r="Q3545" s="117" t="s">
        <v>234</v>
      </c>
      <c r="R3545" s="22">
        <v>4</v>
      </c>
      <c r="S3545" s="97">
        <v>6000</v>
      </c>
      <c r="T3545" s="4">
        <v>0</v>
      </c>
      <c r="U3545" s="4">
        <f t="shared" si="147"/>
        <v>0</v>
      </c>
      <c r="V3545" s="1"/>
      <c r="W3545" s="3">
        <v>2014</v>
      </c>
      <c r="X3545" s="3">
        <v>11.14</v>
      </c>
    </row>
    <row r="3546" spans="1:24" ht="114.75">
      <c r="A3546" s="3" t="s">
        <v>19019</v>
      </c>
      <c r="B3546" s="6" t="s">
        <v>361</v>
      </c>
      <c r="C3546" s="174" t="s">
        <v>7575</v>
      </c>
      <c r="D3546" s="45" t="s">
        <v>11512</v>
      </c>
      <c r="E3546" s="6" t="s">
        <v>11513</v>
      </c>
      <c r="F3546" s="260" t="s">
        <v>7765</v>
      </c>
      <c r="G3546" s="3" t="s">
        <v>11450</v>
      </c>
      <c r="H3546" s="54">
        <v>0</v>
      </c>
      <c r="I3546" s="55">
        <v>470000000</v>
      </c>
      <c r="J3546" s="56" t="s">
        <v>229</v>
      </c>
      <c r="K3546" s="57" t="s">
        <v>18437</v>
      </c>
      <c r="L3546" s="57" t="s">
        <v>364</v>
      </c>
      <c r="M3546" s="3" t="s">
        <v>230</v>
      </c>
      <c r="N3546" s="52" t="s">
        <v>16511</v>
      </c>
      <c r="O3546" s="6" t="s">
        <v>365</v>
      </c>
      <c r="P3546" s="58" t="s">
        <v>241</v>
      </c>
      <c r="Q3546" s="117" t="s">
        <v>234</v>
      </c>
      <c r="R3546" s="22">
        <v>4</v>
      </c>
      <c r="S3546" s="97">
        <v>6000</v>
      </c>
      <c r="T3546" s="4">
        <v>0</v>
      </c>
      <c r="U3546" s="4">
        <f t="shared" si="147"/>
        <v>0</v>
      </c>
      <c r="V3546" s="1"/>
      <c r="W3546" s="3">
        <v>2014</v>
      </c>
      <c r="X3546" s="3">
        <v>11.15</v>
      </c>
    </row>
    <row r="3547" spans="1:24" ht="76.5">
      <c r="A3547" s="3" t="s">
        <v>19442</v>
      </c>
      <c r="B3547" s="6" t="s">
        <v>361</v>
      </c>
      <c r="C3547" s="174" t="s">
        <v>7575</v>
      </c>
      <c r="D3547" s="45" t="s">
        <v>11512</v>
      </c>
      <c r="E3547" s="6" t="s">
        <v>11513</v>
      </c>
      <c r="F3547" s="260" t="s">
        <v>7765</v>
      </c>
      <c r="G3547" s="3" t="s">
        <v>11450</v>
      </c>
      <c r="H3547" s="54">
        <v>0</v>
      </c>
      <c r="I3547" s="55">
        <v>470000000</v>
      </c>
      <c r="J3547" s="56" t="s">
        <v>229</v>
      </c>
      <c r="K3547" s="57" t="s">
        <v>19379</v>
      </c>
      <c r="L3547" s="57" t="s">
        <v>364</v>
      </c>
      <c r="M3547" s="3" t="s">
        <v>230</v>
      </c>
      <c r="N3547" s="52" t="s">
        <v>16511</v>
      </c>
      <c r="O3547" s="6" t="s">
        <v>19407</v>
      </c>
      <c r="P3547" s="58" t="s">
        <v>241</v>
      </c>
      <c r="Q3547" s="117" t="s">
        <v>234</v>
      </c>
      <c r="R3547" s="22">
        <v>4</v>
      </c>
      <c r="S3547" s="97">
        <v>6000</v>
      </c>
      <c r="T3547" s="4">
        <f>R3547*S3547</f>
        <v>24000</v>
      </c>
      <c r="U3547" s="4">
        <f t="shared" ref="U3547" si="150">T3547*1.12</f>
        <v>26880.000000000004</v>
      </c>
      <c r="V3547" s="1"/>
      <c r="W3547" s="3">
        <v>2014</v>
      </c>
      <c r="X3547" s="3"/>
    </row>
    <row r="3548" spans="1:24" ht="114.75">
      <c r="A3548" s="3" t="s">
        <v>1708</v>
      </c>
      <c r="B3548" s="6" t="s">
        <v>361</v>
      </c>
      <c r="C3548" s="47" t="s">
        <v>7577</v>
      </c>
      <c r="D3548" s="30" t="s">
        <v>7578</v>
      </c>
      <c r="E3548" s="49" t="s">
        <v>7579</v>
      </c>
      <c r="F3548" s="260" t="s">
        <v>7766</v>
      </c>
      <c r="G3548" s="3" t="s">
        <v>11449</v>
      </c>
      <c r="H3548" s="54">
        <v>0</v>
      </c>
      <c r="I3548" s="55">
        <v>470000000</v>
      </c>
      <c r="J3548" s="56" t="s">
        <v>229</v>
      </c>
      <c r="K3548" s="57" t="s">
        <v>7698</v>
      </c>
      <c r="L3548" s="57" t="s">
        <v>364</v>
      </c>
      <c r="M3548" s="3" t="s">
        <v>230</v>
      </c>
      <c r="N3548" s="52" t="s">
        <v>7693</v>
      </c>
      <c r="O3548" s="6" t="s">
        <v>365</v>
      </c>
      <c r="P3548" s="58" t="s">
        <v>241</v>
      </c>
      <c r="Q3548" s="117" t="s">
        <v>234</v>
      </c>
      <c r="R3548" s="22">
        <v>4</v>
      </c>
      <c r="S3548" s="97">
        <v>20400</v>
      </c>
      <c r="T3548" s="4">
        <v>0</v>
      </c>
      <c r="U3548" s="4">
        <f t="shared" si="147"/>
        <v>0</v>
      </c>
      <c r="V3548" s="1"/>
      <c r="W3548" s="3">
        <v>2014</v>
      </c>
      <c r="X3548" s="3">
        <v>11.12</v>
      </c>
    </row>
    <row r="3549" spans="1:24" ht="114.75">
      <c r="A3549" s="3" t="s">
        <v>13501</v>
      </c>
      <c r="B3549" s="6" t="s">
        <v>361</v>
      </c>
      <c r="C3549" s="47" t="s">
        <v>7577</v>
      </c>
      <c r="D3549" s="30" t="s">
        <v>7578</v>
      </c>
      <c r="E3549" s="49" t="s">
        <v>7579</v>
      </c>
      <c r="F3549" s="260" t="s">
        <v>7766</v>
      </c>
      <c r="G3549" s="3" t="s">
        <v>11449</v>
      </c>
      <c r="H3549" s="54">
        <v>0</v>
      </c>
      <c r="I3549" s="55">
        <v>470000000</v>
      </c>
      <c r="J3549" s="56" t="s">
        <v>229</v>
      </c>
      <c r="K3549" s="57" t="s">
        <v>642</v>
      </c>
      <c r="L3549" s="12" t="s">
        <v>404</v>
      </c>
      <c r="M3549" s="3" t="s">
        <v>230</v>
      </c>
      <c r="N3549" s="52" t="s">
        <v>7693</v>
      </c>
      <c r="O3549" s="6" t="s">
        <v>365</v>
      </c>
      <c r="P3549" s="58" t="s">
        <v>241</v>
      </c>
      <c r="Q3549" s="117" t="s">
        <v>234</v>
      </c>
      <c r="R3549" s="22">
        <v>4</v>
      </c>
      <c r="S3549" s="97">
        <v>20400</v>
      </c>
      <c r="T3549" s="4">
        <v>0</v>
      </c>
      <c r="U3549" s="4">
        <f t="shared" si="147"/>
        <v>0</v>
      </c>
      <c r="V3549" s="1"/>
      <c r="W3549" s="3">
        <v>2014</v>
      </c>
      <c r="X3549" s="3">
        <v>7.11</v>
      </c>
    </row>
    <row r="3550" spans="1:24" ht="114.75">
      <c r="A3550" s="3" t="s">
        <v>16404</v>
      </c>
      <c r="B3550" s="6" t="s">
        <v>361</v>
      </c>
      <c r="C3550" s="47" t="s">
        <v>7577</v>
      </c>
      <c r="D3550" s="30" t="s">
        <v>7578</v>
      </c>
      <c r="E3550" s="49" t="s">
        <v>7579</v>
      </c>
      <c r="F3550" s="260" t="s">
        <v>7766</v>
      </c>
      <c r="G3550" s="3" t="s">
        <v>11450</v>
      </c>
      <c r="H3550" s="54">
        <v>0</v>
      </c>
      <c r="I3550" s="55">
        <v>470000000</v>
      </c>
      <c r="J3550" s="56" t="s">
        <v>229</v>
      </c>
      <c r="K3550" s="57" t="s">
        <v>7699</v>
      </c>
      <c r="L3550" s="12" t="s">
        <v>404</v>
      </c>
      <c r="M3550" s="3" t="s">
        <v>230</v>
      </c>
      <c r="N3550" s="52" t="s">
        <v>7693</v>
      </c>
      <c r="O3550" s="6" t="s">
        <v>365</v>
      </c>
      <c r="P3550" s="58" t="s">
        <v>241</v>
      </c>
      <c r="Q3550" s="117" t="s">
        <v>234</v>
      </c>
      <c r="R3550" s="22">
        <v>4</v>
      </c>
      <c r="S3550" s="97">
        <v>20400</v>
      </c>
      <c r="T3550" s="4">
        <v>0</v>
      </c>
      <c r="U3550" s="4">
        <f t="shared" si="147"/>
        <v>0</v>
      </c>
      <c r="V3550" s="1"/>
      <c r="W3550" s="3">
        <v>2014</v>
      </c>
      <c r="X3550" s="3" t="s">
        <v>14785</v>
      </c>
    </row>
    <row r="3551" spans="1:24" ht="114.75">
      <c r="A3551" s="3" t="s">
        <v>18393</v>
      </c>
      <c r="B3551" s="6" t="s">
        <v>361</v>
      </c>
      <c r="C3551" s="47" t="s">
        <v>7577</v>
      </c>
      <c r="D3551" s="30" t="s">
        <v>7578</v>
      </c>
      <c r="E3551" s="49" t="s">
        <v>7579</v>
      </c>
      <c r="F3551" s="260" t="s">
        <v>7766</v>
      </c>
      <c r="G3551" s="3" t="s">
        <v>11450</v>
      </c>
      <c r="H3551" s="54">
        <v>0</v>
      </c>
      <c r="I3551" s="55">
        <v>470000000</v>
      </c>
      <c r="J3551" s="56" t="s">
        <v>229</v>
      </c>
      <c r="K3551" s="57" t="s">
        <v>8950</v>
      </c>
      <c r="L3551" s="57" t="s">
        <v>364</v>
      </c>
      <c r="M3551" s="3" t="s">
        <v>230</v>
      </c>
      <c r="N3551" s="52" t="s">
        <v>7693</v>
      </c>
      <c r="O3551" s="6" t="s">
        <v>365</v>
      </c>
      <c r="P3551" s="58" t="s">
        <v>241</v>
      </c>
      <c r="Q3551" s="117" t="s">
        <v>234</v>
      </c>
      <c r="R3551" s="22">
        <v>4</v>
      </c>
      <c r="S3551" s="97">
        <v>24480</v>
      </c>
      <c r="T3551" s="4">
        <v>0</v>
      </c>
      <c r="U3551" s="4">
        <f t="shared" si="147"/>
        <v>0</v>
      </c>
      <c r="V3551" s="1"/>
      <c r="W3551" s="3">
        <v>2014</v>
      </c>
      <c r="X3551" s="3">
        <v>11.14</v>
      </c>
    </row>
    <row r="3552" spans="1:24" ht="114.75">
      <c r="A3552" s="3" t="s">
        <v>19020</v>
      </c>
      <c r="B3552" s="6" t="s">
        <v>361</v>
      </c>
      <c r="C3552" s="47" t="s">
        <v>7577</v>
      </c>
      <c r="D3552" s="30" t="s">
        <v>7578</v>
      </c>
      <c r="E3552" s="49" t="s">
        <v>7579</v>
      </c>
      <c r="F3552" s="260" t="s">
        <v>7766</v>
      </c>
      <c r="G3552" s="3" t="s">
        <v>11450</v>
      </c>
      <c r="H3552" s="54">
        <v>0</v>
      </c>
      <c r="I3552" s="55">
        <v>470000000</v>
      </c>
      <c r="J3552" s="56" t="s">
        <v>229</v>
      </c>
      <c r="K3552" s="57" t="s">
        <v>18437</v>
      </c>
      <c r="L3552" s="57" t="s">
        <v>364</v>
      </c>
      <c r="M3552" s="3" t="s">
        <v>230</v>
      </c>
      <c r="N3552" s="52" t="s">
        <v>16511</v>
      </c>
      <c r="O3552" s="6" t="s">
        <v>365</v>
      </c>
      <c r="P3552" s="58" t="s">
        <v>241</v>
      </c>
      <c r="Q3552" s="117" t="s">
        <v>234</v>
      </c>
      <c r="R3552" s="22">
        <v>4</v>
      </c>
      <c r="S3552" s="97">
        <v>24480</v>
      </c>
      <c r="T3552" s="4">
        <v>0</v>
      </c>
      <c r="U3552" s="4">
        <f t="shared" si="147"/>
        <v>0</v>
      </c>
      <c r="V3552" s="1"/>
      <c r="W3552" s="3">
        <v>2014</v>
      </c>
      <c r="X3552" s="3">
        <v>11.15</v>
      </c>
    </row>
    <row r="3553" spans="1:24" ht="76.5">
      <c r="A3553" s="3" t="s">
        <v>19443</v>
      </c>
      <c r="B3553" s="6" t="s">
        <v>361</v>
      </c>
      <c r="C3553" s="47" t="s">
        <v>7577</v>
      </c>
      <c r="D3553" s="30" t="s">
        <v>7578</v>
      </c>
      <c r="E3553" s="49" t="s">
        <v>7579</v>
      </c>
      <c r="F3553" s="260" t="s">
        <v>7766</v>
      </c>
      <c r="G3553" s="3" t="s">
        <v>11450</v>
      </c>
      <c r="H3553" s="54">
        <v>0</v>
      </c>
      <c r="I3553" s="55">
        <v>470000000</v>
      </c>
      <c r="J3553" s="56" t="s">
        <v>229</v>
      </c>
      <c r="K3553" s="57" t="s">
        <v>19379</v>
      </c>
      <c r="L3553" s="57" t="s">
        <v>364</v>
      </c>
      <c r="M3553" s="3" t="s">
        <v>230</v>
      </c>
      <c r="N3553" s="52" t="s">
        <v>16511</v>
      </c>
      <c r="O3553" s="6" t="s">
        <v>19407</v>
      </c>
      <c r="P3553" s="58" t="s">
        <v>241</v>
      </c>
      <c r="Q3553" s="117" t="s">
        <v>234</v>
      </c>
      <c r="R3553" s="22">
        <v>4</v>
      </c>
      <c r="S3553" s="97">
        <v>24480</v>
      </c>
      <c r="T3553" s="4">
        <f>R3553*S3553</f>
        <v>97920</v>
      </c>
      <c r="U3553" s="4">
        <f t="shared" ref="U3553" si="151">T3553*1.12</f>
        <v>109670.40000000001</v>
      </c>
      <c r="V3553" s="1"/>
      <c r="W3553" s="3">
        <v>2014</v>
      </c>
      <c r="X3553" s="3"/>
    </row>
    <row r="3554" spans="1:24" ht="114.75">
      <c r="A3554" s="3" t="s">
        <v>1709</v>
      </c>
      <c r="B3554" s="6" t="s">
        <v>361</v>
      </c>
      <c r="C3554" s="47" t="s">
        <v>7580</v>
      </c>
      <c r="D3554" s="30" t="s">
        <v>7581</v>
      </c>
      <c r="E3554" s="49" t="s">
        <v>7582</v>
      </c>
      <c r="F3554" s="260" t="s">
        <v>7767</v>
      </c>
      <c r="G3554" s="3" t="s">
        <v>11449</v>
      </c>
      <c r="H3554" s="54">
        <v>0</v>
      </c>
      <c r="I3554" s="55">
        <v>470000000</v>
      </c>
      <c r="J3554" s="56" t="s">
        <v>229</v>
      </c>
      <c r="K3554" s="57" t="s">
        <v>7698</v>
      </c>
      <c r="L3554" s="57" t="s">
        <v>364</v>
      </c>
      <c r="M3554" s="3" t="s">
        <v>230</v>
      </c>
      <c r="N3554" s="52" t="s">
        <v>7693</v>
      </c>
      <c r="O3554" s="6" t="s">
        <v>365</v>
      </c>
      <c r="P3554" s="58" t="s">
        <v>242</v>
      </c>
      <c r="Q3554" s="117" t="s">
        <v>239</v>
      </c>
      <c r="R3554" s="22">
        <v>1</v>
      </c>
      <c r="S3554" s="97">
        <v>27000</v>
      </c>
      <c r="T3554" s="4">
        <v>0</v>
      </c>
      <c r="U3554" s="4">
        <f t="shared" si="147"/>
        <v>0</v>
      </c>
      <c r="V3554" s="1"/>
      <c r="W3554" s="3">
        <v>2014</v>
      </c>
      <c r="X3554" s="3">
        <v>11.12</v>
      </c>
    </row>
    <row r="3555" spans="1:24" ht="114.75">
      <c r="A3555" s="3" t="s">
        <v>13502</v>
      </c>
      <c r="B3555" s="6" t="s">
        <v>361</v>
      </c>
      <c r="C3555" s="47" t="s">
        <v>7580</v>
      </c>
      <c r="D3555" s="30" t="s">
        <v>7581</v>
      </c>
      <c r="E3555" s="49" t="s">
        <v>7582</v>
      </c>
      <c r="F3555" s="260" t="s">
        <v>7767</v>
      </c>
      <c r="G3555" s="3" t="s">
        <v>11449</v>
      </c>
      <c r="H3555" s="54">
        <v>0</v>
      </c>
      <c r="I3555" s="55">
        <v>470000000</v>
      </c>
      <c r="J3555" s="56" t="s">
        <v>229</v>
      </c>
      <c r="K3555" s="57" t="s">
        <v>642</v>
      </c>
      <c r="L3555" s="12" t="s">
        <v>404</v>
      </c>
      <c r="M3555" s="3" t="s">
        <v>230</v>
      </c>
      <c r="N3555" s="52" t="s">
        <v>7693</v>
      </c>
      <c r="O3555" s="6" t="s">
        <v>365</v>
      </c>
      <c r="P3555" s="58" t="s">
        <v>242</v>
      </c>
      <c r="Q3555" s="117" t="s">
        <v>239</v>
      </c>
      <c r="R3555" s="22">
        <v>1</v>
      </c>
      <c r="S3555" s="97">
        <v>27000</v>
      </c>
      <c r="T3555" s="4">
        <v>0</v>
      </c>
      <c r="U3555" s="4">
        <f>T3555*1.12</f>
        <v>0</v>
      </c>
      <c r="V3555" s="1"/>
      <c r="W3555" s="3">
        <v>2014</v>
      </c>
      <c r="X3555" s="3">
        <v>7.11</v>
      </c>
    </row>
    <row r="3556" spans="1:24" ht="114.75">
      <c r="A3556" s="3" t="s">
        <v>16405</v>
      </c>
      <c r="B3556" s="6" t="s">
        <v>361</v>
      </c>
      <c r="C3556" s="47" t="s">
        <v>7580</v>
      </c>
      <c r="D3556" s="30" t="s">
        <v>7581</v>
      </c>
      <c r="E3556" s="49" t="s">
        <v>7582</v>
      </c>
      <c r="F3556" s="260" t="s">
        <v>7767</v>
      </c>
      <c r="G3556" s="3" t="s">
        <v>11450</v>
      </c>
      <c r="H3556" s="54">
        <v>0</v>
      </c>
      <c r="I3556" s="55">
        <v>470000000</v>
      </c>
      <c r="J3556" s="56" t="s">
        <v>229</v>
      </c>
      <c r="K3556" s="57" t="s">
        <v>7699</v>
      </c>
      <c r="L3556" s="12" t="s">
        <v>404</v>
      </c>
      <c r="M3556" s="3" t="s">
        <v>230</v>
      </c>
      <c r="N3556" s="52" t="s">
        <v>7693</v>
      </c>
      <c r="O3556" s="6" t="s">
        <v>365</v>
      </c>
      <c r="P3556" s="58" t="s">
        <v>242</v>
      </c>
      <c r="Q3556" s="117" t="s">
        <v>239</v>
      </c>
      <c r="R3556" s="22">
        <v>1</v>
      </c>
      <c r="S3556" s="97">
        <v>27000</v>
      </c>
      <c r="T3556" s="4">
        <v>0</v>
      </c>
      <c r="U3556" s="4">
        <f>T3556*1.12</f>
        <v>0</v>
      </c>
      <c r="V3556" s="1"/>
      <c r="W3556" s="3">
        <v>2014</v>
      </c>
      <c r="X3556" s="3" t="s">
        <v>14785</v>
      </c>
    </row>
    <row r="3557" spans="1:24" ht="114.75">
      <c r="A3557" s="3" t="s">
        <v>18394</v>
      </c>
      <c r="B3557" s="6" t="s">
        <v>361</v>
      </c>
      <c r="C3557" s="47" t="s">
        <v>7580</v>
      </c>
      <c r="D3557" s="30" t="s">
        <v>7581</v>
      </c>
      <c r="E3557" s="49" t="s">
        <v>7582</v>
      </c>
      <c r="F3557" s="260" t="s">
        <v>7767</v>
      </c>
      <c r="G3557" s="3" t="s">
        <v>11450</v>
      </c>
      <c r="H3557" s="54">
        <v>0</v>
      </c>
      <c r="I3557" s="55">
        <v>470000000</v>
      </c>
      <c r="J3557" s="56" t="s">
        <v>229</v>
      </c>
      <c r="K3557" s="57" t="s">
        <v>8950</v>
      </c>
      <c r="L3557" s="57" t="s">
        <v>364</v>
      </c>
      <c r="M3557" s="3" t="s">
        <v>230</v>
      </c>
      <c r="N3557" s="52" t="s">
        <v>7693</v>
      </c>
      <c r="O3557" s="6" t="s">
        <v>365</v>
      </c>
      <c r="P3557" s="58" t="s">
        <v>242</v>
      </c>
      <c r="Q3557" s="117" t="s">
        <v>239</v>
      </c>
      <c r="R3557" s="22">
        <v>1</v>
      </c>
      <c r="S3557" s="97">
        <v>32400</v>
      </c>
      <c r="T3557" s="4">
        <v>0</v>
      </c>
      <c r="U3557" s="4">
        <f>T3557*1.12</f>
        <v>0</v>
      </c>
      <c r="V3557" s="1"/>
      <c r="W3557" s="3">
        <v>2014</v>
      </c>
      <c r="X3557" s="3">
        <v>11.14</v>
      </c>
    </row>
    <row r="3558" spans="1:24" ht="114.75">
      <c r="A3558" s="3" t="s">
        <v>19021</v>
      </c>
      <c r="B3558" s="6" t="s">
        <v>361</v>
      </c>
      <c r="C3558" s="47" t="s">
        <v>7580</v>
      </c>
      <c r="D3558" s="30" t="s">
        <v>7581</v>
      </c>
      <c r="E3558" s="49" t="s">
        <v>7582</v>
      </c>
      <c r="F3558" s="260" t="s">
        <v>7767</v>
      </c>
      <c r="G3558" s="3" t="s">
        <v>11450</v>
      </c>
      <c r="H3558" s="54">
        <v>0</v>
      </c>
      <c r="I3558" s="55">
        <v>470000000</v>
      </c>
      <c r="J3558" s="56" t="s">
        <v>229</v>
      </c>
      <c r="K3558" s="57" t="s">
        <v>18437</v>
      </c>
      <c r="L3558" s="57" t="s">
        <v>364</v>
      </c>
      <c r="M3558" s="3" t="s">
        <v>230</v>
      </c>
      <c r="N3558" s="52" t="s">
        <v>16511</v>
      </c>
      <c r="O3558" s="6" t="s">
        <v>365</v>
      </c>
      <c r="P3558" s="58" t="s">
        <v>242</v>
      </c>
      <c r="Q3558" s="117" t="s">
        <v>239</v>
      </c>
      <c r="R3558" s="22">
        <v>1</v>
      </c>
      <c r="S3558" s="97">
        <v>32400</v>
      </c>
      <c r="T3558" s="4">
        <v>0</v>
      </c>
      <c r="U3558" s="4">
        <f>T3558*1.12</f>
        <v>0</v>
      </c>
      <c r="V3558" s="1"/>
      <c r="W3558" s="3">
        <v>2014</v>
      </c>
      <c r="X3558" s="3">
        <v>11.15</v>
      </c>
    </row>
    <row r="3559" spans="1:24" ht="76.5">
      <c r="A3559" s="3" t="s">
        <v>19444</v>
      </c>
      <c r="B3559" s="6" t="s">
        <v>361</v>
      </c>
      <c r="C3559" s="47" t="s">
        <v>7580</v>
      </c>
      <c r="D3559" s="30" t="s">
        <v>7581</v>
      </c>
      <c r="E3559" s="49" t="s">
        <v>7582</v>
      </c>
      <c r="F3559" s="260" t="s">
        <v>7767</v>
      </c>
      <c r="G3559" s="3" t="s">
        <v>11450</v>
      </c>
      <c r="H3559" s="54">
        <v>0</v>
      </c>
      <c r="I3559" s="55">
        <v>470000000</v>
      </c>
      <c r="J3559" s="56" t="s">
        <v>229</v>
      </c>
      <c r="K3559" s="57" t="s">
        <v>19379</v>
      </c>
      <c r="L3559" s="57" t="s">
        <v>364</v>
      </c>
      <c r="M3559" s="3" t="s">
        <v>230</v>
      </c>
      <c r="N3559" s="52" t="s">
        <v>16511</v>
      </c>
      <c r="O3559" s="6" t="s">
        <v>19407</v>
      </c>
      <c r="P3559" s="58" t="s">
        <v>242</v>
      </c>
      <c r="Q3559" s="117" t="s">
        <v>239</v>
      </c>
      <c r="R3559" s="22">
        <v>1</v>
      </c>
      <c r="S3559" s="97">
        <v>32400</v>
      </c>
      <c r="T3559" s="4">
        <f>R3559*S3559</f>
        <v>32400</v>
      </c>
      <c r="U3559" s="4">
        <f>T3559*1.12</f>
        <v>36288</v>
      </c>
      <c r="V3559" s="1"/>
      <c r="W3559" s="3">
        <v>2014</v>
      </c>
      <c r="X3559" s="3"/>
    </row>
    <row r="3560" spans="1:24" ht="114.75">
      <c r="A3560" s="3" t="s">
        <v>1710</v>
      </c>
      <c r="B3560" s="6" t="s">
        <v>361</v>
      </c>
      <c r="C3560" s="47" t="s">
        <v>7541</v>
      </c>
      <c r="D3560" s="30" t="s">
        <v>11493</v>
      </c>
      <c r="E3560" s="49" t="s">
        <v>11494</v>
      </c>
      <c r="F3560" s="260" t="s">
        <v>7768</v>
      </c>
      <c r="G3560" s="3" t="s">
        <v>11449</v>
      </c>
      <c r="H3560" s="54">
        <v>0</v>
      </c>
      <c r="I3560" s="55">
        <v>470000000</v>
      </c>
      <c r="J3560" s="56" t="s">
        <v>229</v>
      </c>
      <c r="K3560" s="57" t="s">
        <v>7698</v>
      </c>
      <c r="L3560" s="57" t="s">
        <v>364</v>
      </c>
      <c r="M3560" s="3" t="s">
        <v>230</v>
      </c>
      <c r="N3560" s="52" t="s">
        <v>7693</v>
      </c>
      <c r="O3560" s="6" t="s">
        <v>365</v>
      </c>
      <c r="P3560" s="58" t="s">
        <v>241</v>
      </c>
      <c r="Q3560" s="117" t="s">
        <v>234</v>
      </c>
      <c r="R3560" s="22">
        <v>1</v>
      </c>
      <c r="S3560" s="97">
        <v>72000</v>
      </c>
      <c r="T3560" s="4">
        <v>0</v>
      </c>
      <c r="U3560" s="4">
        <f t="shared" si="147"/>
        <v>0</v>
      </c>
      <c r="V3560" s="1"/>
      <c r="W3560" s="3">
        <v>2014</v>
      </c>
      <c r="X3560" s="3">
        <v>11.12</v>
      </c>
    </row>
    <row r="3561" spans="1:24" ht="114.75">
      <c r="A3561" s="3" t="s">
        <v>13503</v>
      </c>
      <c r="B3561" s="6" t="s">
        <v>361</v>
      </c>
      <c r="C3561" s="47" t="s">
        <v>7541</v>
      </c>
      <c r="D3561" s="30" t="s">
        <v>11493</v>
      </c>
      <c r="E3561" s="49" t="s">
        <v>11494</v>
      </c>
      <c r="F3561" s="260" t="s">
        <v>7768</v>
      </c>
      <c r="G3561" s="3" t="s">
        <v>11449</v>
      </c>
      <c r="H3561" s="54">
        <v>0</v>
      </c>
      <c r="I3561" s="55">
        <v>470000000</v>
      </c>
      <c r="J3561" s="56" t="s">
        <v>229</v>
      </c>
      <c r="K3561" s="57" t="s">
        <v>642</v>
      </c>
      <c r="L3561" s="12" t="s">
        <v>404</v>
      </c>
      <c r="M3561" s="3" t="s">
        <v>230</v>
      </c>
      <c r="N3561" s="52" t="s">
        <v>7693</v>
      </c>
      <c r="O3561" s="6" t="s">
        <v>365</v>
      </c>
      <c r="P3561" s="58" t="s">
        <v>241</v>
      </c>
      <c r="Q3561" s="117" t="s">
        <v>234</v>
      </c>
      <c r="R3561" s="22">
        <v>1</v>
      </c>
      <c r="S3561" s="97">
        <v>72000</v>
      </c>
      <c r="T3561" s="4">
        <v>0</v>
      </c>
      <c r="U3561" s="4">
        <f t="shared" si="147"/>
        <v>0</v>
      </c>
      <c r="V3561" s="1"/>
      <c r="W3561" s="3">
        <v>2014</v>
      </c>
      <c r="X3561" s="3">
        <v>7.11</v>
      </c>
    </row>
    <row r="3562" spans="1:24" ht="114.75">
      <c r="A3562" s="3" t="s">
        <v>16406</v>
      </c>
      <c r="B3562" s="6" t="s">
        <v>361</v>
      </c>
      <c r="C3562" s="47" t="s">
        <v>7541</v>
      </c>
      <c r="D3562" s="30" t="s">
        <v>11493</v>
      </c>
      <c r="E3562" s="49" t="s">
        <v>11494</v>
      </c>
      <c r="F3562" s="260" t="s">
        <v>7768</v>
      </c>
      <c r="G3562" s="3" t="s">
        <v>11450</v>
      </c>
      <c r="H3562" s="54">
        <v>0</v>
      </c>
      <c r="I3562" s="55">
        <v>470000000</v>
      </c>
      <c r="J3562" s="56" t="s">
        <v>229</v>
      </c>
      <c r="K3562" s="57" t="s">
        <v>7699</v>
      </c>
      <c r="L3562" s="12" t="s">
        <v>404</v>
      </c>
      <c r="M3562" s="3" t="s">
        <v>230</v>
      </c>
      <c r="N3562" s="52" t="s">
        <v>7693</v>
      </c>
      <c r="O3562" s="6" t="s">
        <v>365</v>
      </c>
      <c r="P3562" s="58" t="s">
        <v>241</v>
      </c>
      <c r="Q3562" s="117" t="s">
        <v>234</v>
      </c>
      <c r="R3562" s="22">
        <v>1</v>
      </c>
      <c r="S3562" s="97">
        <v>72000</v>
      </c>
      <c r="T3562" s="4">
        <v>0</v>
      </c>
      <c r="U3562" s="4">
        <f t="shared" si="147"/>
        <v>0</v>
      </c>
      <c r="V3562" s="1"/>
      <c r="W3562" s="3">
        <v>2014</v>
      </c>
      <c r="X3562" s="3" t="s">
        <v>14785</v>
      </c>
    </row>
    <row r="3563" spans="1:24" ht="114.75">
      <c r="A3563" s="3" t="s">
        <v>18395</v>
      </c>
      <c r="B3563" s="6" t="s">
        <v>361</v>
      </c>
      <c r="C3563" s="47" t="s">
        <v>7541</v>
      </c>
      <c r="D3563" s="30" t="s">
        <v>11493</v>
      </c>
      <c r="E3563" s="49" t="s">
        <v>11494</v>
      </c>
      <c r="F3563" s="260" t="s">
        <v>7768</v>
      </c>
      <c r="G3563" s="3" t="s">
        <v>11450</v>
      </c>
      <c r="H3563" s="54">
        <v>0</v>
      </c>
      <c r="I3563" s="55">
        <v>470000000</v>
      </c>
      <c r="J3563" s="56" t="s">
        <v>229</v>
      </c>
      <c r="K3563" s="57" t="s">
        <v>8950</v>
      </c>
      <c r="L3563" s="57" t="s">
        <v>364</v>
      </c>
      <c r="M3563" s="3" t="s">
        <v>230</v>
      </c>
      <c r="N3563" s="52" t="s">
        <v>7693</v>
      </c>
      <c r="O3563" s="6" t="s">
        <v>365</v>
      </c>
      <c r="P3563" s="58" t="s">
        <v>241</v>
      </c>
      <c r="Q3563" s="117" t="s">
        <v>234</v>
      </c>
      <c r="R3563" s="22">
        <v>1</v>
      </c>
      <c r="S3563" s="97">
        <v>86400</v>
      </c>
      <c r="T3563" s="4">
        <v>0</v>
      </c>
      <c r="U3563" s="4">
        <f>T3563*1.12</f>
        <v>0</v>
      </c>
      <c r="V3563" s="1"/>
      <c r="W3563" s="3">
        <v>2014</v>
      </c>
      <c r="X3563" s="3">
        <v>11.14</v>
      </c>
    </row>
    <row r="3564" spans="1:24" ht="114.75">
      <c r="A3564" s="3" t="s">
        <v>19022</v>
      </c>
      <c r="B3564" s="6" t="s">
        <v>361</v>
      </c>
      <c r="C3564" s="47" t="s">
        <v>7541</v>
      </c>
      <c r="D3564" s="30" t="s">
        <v>11493</v>
      </c>
      <c r="E3564" s="49" t="s">
        <v>11494</v>
      </c>
      <c r="F3564" s="260" t="s">
        <v>7768</v>
      </c>
      <c r="G3564" s="3" t="s">
        <v>11450</v>
      </c>
      <c r="H3564" s="54">
        <v>0</v>
      </c>
      <c r="I3564" s="55">
        <v>470000000</v>
      </c>
      <c r="J3564" s="56" t="s">
        <v>229</v>
      </c>
      <c r="K3564" s="57" t="s">
        <v>18437</v>
      </c>
      <c r="L3564" s="57" t="s">
        <v>364</v>
      </c>
      <c r="M3564" s="3" t="s">
        <v>230</v>
      </c>
      <c r="N3564" s="52" t="s">
        <v>16511</v>
      </c>
      <c r="O3564" s="6" t="s">
        <v>365</v>
      </c>
      <c r="P3564" s="58" t="s">
        <v>241</v>
      </c>
      <c r="Q3564" s="117" t="s">
        <v>234</v>
      </c>
      <c r="R3564" s="22">
        <v>1</v>
      </c>
      <c r="S3564" s="97">
        <v>86400</v>
      </c>
      <c r="T3564" s="4">
        <v>0</v>
      </c>
      <c r="U3564" s="4">
        <f>T3564*1.12</f>
        <v>0</v>
      </c>
      <c r="V3564" s="1"/>
      <c r="W3564" s="3">
        <v>2014</v>
      </c>
      <c r="X3564" s="3">
        <v>11.15</v>
      </c>
    </row>
    <row r="3565" spans="1:24" ht="76.5">
      <c r="A3565" s="3" t="s">
        <v>19445</v>
      </c>
      <c r="B3565" s="6" t="s">
        <v>361</v>
      </c>
      <c r="C3565" s="47" t="s">
        <v>7541</v>
      </c>
      <c r="D3565" s="30" t="s">
        <v>11493</v>
      </c>
      <c r="E3565" s="49" t="s">
        <v>11494</v>
      </c>
      <c r="F3565" s="260" t="s">
        <v>7768</v>
      </c>
      <c r="G3565" s="3" t="s">
        <v>11450</v>
      </c>
      <c r="H3565" s="54">
        <v>0</v>
      </c>
      <c r="I3565" s="55">
        <v>470000000</v>
      </c>
      <c r="J3565" s="56" t="s">
        <v>229</v>
      </c>
      <c r="K3565" s="57" t="s">
        <v>19379</v>
      </c>
      <c r="L3565" s="57" t="s">
        <v>364</v>
      </c>
      <c r="M3565" s="3" t="s">
        <v>230</v>
      </c>
      <c r="N3565" s="52" t="s">
        <v>16511</v>
      </c>
      <c r="O3565" s="6" t="s">
        <v>19407</v>
      </c>
      <c r="P3565" s="58" t="s">
        <v>241</v>
      </c>
      <c r="Q3565" s="117" t="s">
        <v>234</v>
      </c>
      <c r="R3565" s="22">
        <v>1</v>
      </c>
      <c r="S3565" s="97">
        <v>86400</v>
      </c>
      <c r="T3565" s="4">
        <f>R3565*S3565</f>
        <v>86400</v>
      </c>
      <c r="U3565" s="4">
        <f>T3565*1.12</f>
        <v>96768.000000000015</v>
      </c>
      <c r="V3565" s="1"/>
      <c r="W3565" s="3">
        <v>2014</v>
      </c>
      <c r="X3565" s="3"/>
    </row>
    <row r="3566" spans="1:24" ht="114.75">
      <c r="A3566" s="3" t="s">
        <v>1711</v>
      </c>
      <c r="B3566" s="6" t="s">
        <v>361</v>
      </c>
      <c r="C3566" s="47" t="s">
        <v>6717</v>
      </c>
      <c r="D3566" s="30" t="s">
        <v>441</v>
      </c>
      <c r="E3566" s="49" t="s">
        <v>6718</v>
      </c>
      <c r="F3566" s="6" t="s">
        <v>11779</v>
      </c>
      <c r="G3566" s="3" t="s">
        <v>11450</v>
      </c>
      <c r="H3566" s="54">
        <v>0</v>
      </c>
      <c r="I3566" s="55">
        <v>470000000</v>
      </c>
      <c r="J3566" s="56" t="s">
        <v>229</v>
      </c>
      <c r="K3566" s="57" t="s">
        <v>641</v>
      </c>
      <c r="L3566" s="57" t="s">
        <v>364</v>
      </c>
      <c r="M3566" s="3" t="s">
        <v>230</v>
      </c>
      <c r="N3566" s="52" t="s">
        <v>7693</v>
      </c>
      <c r="O3566" s="6" t="s">
        <v>365</v>
      </c>
      <c r="P3566" s="58" t="s">
        <v>241</v>
      </c>
      <c r="Q3566" s="117" t="s">
        <v>234</v>
      </c>
      <c r="R3566" s="22">
        <v>5</v>
      </c>
      <c r="S3566" s="97">
        <v>28800</v>
      </c>
      <c r="T3566" s="4">
        <v>0</v>
      </c>
      <c r="U3566" s="4">
        <f t="shared" si="147"/>
        <v>0</v>
      </c>
      <c r="V3566" s="1"/>
      <c r="W3566" s="3">
        <v>2014</v>
      </c>
      <c r="X3566" s="3">
        <v>11</v>
      </c>
    </row>
    <row r="3567" spans="1:24" ht="114.75">
      <c r="A3567" s="3" t="s">
        <v>13951</v>
      </c>
      <c r="B3567" s="6" t="s">
        <v>361</v>
      </c>
      <c r="C3567" s="47" t="s">
        <v>6717</v>
      </c>
      <c r="D3567" s="30" t="s">
        <v>441</v>
      </c>
      <c r="E3567" s="49" t="s">
        <v>6718</v>
      </c>
      <c r="F3567" s="6" t="s">
        <v>11779</v>
      </c>
      <c r="G3567" s="3" t="s">
        <v>11450</v>
      </c>
      <c r="H3567" s="54">
        <v>0</v>
      </c>
      <c r="I3567" s="55">
        <v>470000000</v>
      </c>
      <c r="J3567" s="56" t="s">
        <v>229</v>
      </c>
      <c r="K3567" s="57" t="s">
        <v>633</v>
      </c>
      <c r="L3567" s="57" t="s">
        <v>364</v>
      </c>
      <c r="M3567" s="3" t="s">
        <v>230</v>
      </c>
      <c r="N3567" s="52" t="s">
        <v>7693</v>
      </c>
      <c r="O3567" s="6" t="s">
        <v>365</v>
      </c>
      <c r="P3567" s="58" t="s">
        <v>241</v>
      </c>
      <c r="Q3567" s="117" t="s">
        <v>234</v>
      </c>
      <c r="R3567" s="22">
        <v>5</v>
      </c>
      <c r="S3567" s="97">
        <v>28800</v>
      </c>
      <c r="T3567" s="4">
        <v>0</v>
      </c>
      <c r="U3567" s="4">
        <f t="shared" si="147"/>
        <v>0</v>
      </c>
      <c r="V3567" s="1"/>
      <c r="W3567" s="3">
        <v>2014</v>
      </c>
      <c r="X3567" s="3" t="s">
        <v>14751</v>
      </c>
    </row>
    <row r="3568" spans="1:24" ht="114.75">
      <c r="A3568" s="3" t="s">
        <v>14323</v>
      </c>
      <c r="B3568" s="6" t="s">
        <v>361</v>
      </c>
      <c r="C3568" s="47" t="s">
        <v>6717</v>
      </c>
      <c r="D3568" s="30" t="s">
        <v>441</v>
      </c>
      <c r="E3568" s="49" t="s">
        <v>6718</v>
      </c>
      <c r="F3568" s="6" t="s">
        <v>11779</v>
      </c>
      <c r="G3568" s="3" t="s">
        <v>11450</v>
      </c>
      <c r="H3568" s="54">
        <v>0</v>
      </c>
      <c r="I3568" s="55">
        <v>470000000</v>
      </c>
      <c r="J3568" s="56" t="s">
        <v>229</v>
      </c>
      <c r="K3568" s="57" t="s">
        <v>7699</v>
      </c>
      <c r="L3568" s="12" t="s">
        <v>404</v>
      </c>
      <c r="M3568" s="3" t="s">
        <v>230</v>
      </c>
      <c r="N3568" s="52" t="s">
        <v>7693</v>
      </c>
      <c r="O3568" s="6" t="s">
        <v>365</v>
      </c>
      <c r="P3568" s="58" t="s">
        <v>241</v>
      </c>
      <c r="Q3568" s="117" t="s">
        <v>234</v>
      </c>
      <c r="R3568" s="22">
        <v>3</v>
      </c>
      <c r="S3568" s="97">
        <v>48000</v>
      </c>
      <c r="T3568" s="4">
        <f>R3568*S3568</f>
        <v>144000</v>
      </c>
      <c r="U3568" s="4">
        <f t="shared" si="147"/>
        <v>161280.00000000003</v>
      </c>
      <c r="V3568" s="1"/>
      <c r="W3568" s="3">
        <v>2014</v>
      </c>
      <c r="X3568" s="3"/>
    </row>
    <row r="3569" spans="1:24" ht="114.75">
      <c r="A3569" s="3" t="s">
        <v>1712</v>
      </c>
      <c r="B3569" s="6" t="s">
        <v>361</v>
      </c>
      <c r="C3569" s="174" t="s">
        <v>7586</v>
      </c>
      <c r="D3569" s="45" t="s">
        <v>463</v>
      </c>
      <c r="E3569" s="49" t="s">
        <v>3115</v>
      </c>
      <c r="F3569" s="6" t="s">
        <v>11780</v>
      </c>
      <c r="G3569" s="3" t="s">
        <v>11450</v>
      </c>
      <c r="H3569" s="54">
        <v>0</v>
      </c>
      <c r="I3569" s="55">
        <v>470000000</v>
      </c>
      <c r="J3569" s="56" t="s">
        <v>229</v>
      </c>
      <c r="K3569" s="57" t="s">
        <v>641</v>
      </c>
      <c r="L3569" s="57" t="s">
        <v>364</v>
      </c>
      <c r="M3569" s="3" t="s">
        <v>230</v>
      </c>
      <c r="N3569" s="52" t="s">
        <v>7693</v>
      </c>
      <c r="O3569" s="6" t="s">
        <v>365</v>
      </c>
      <c r="P3569" s="58" t="s">
        <v>241</v>
      </c>
      <c r="Q3569" s="117" t="s">
        <v>234</v>
      </c>
      <c r="R3569" s="22">
        <v>5</v>
      </c>
      <c r="S3569" s="97">
        <v>23400</v>
      </c>
      <c r="T3569" s="4">
        <v>0</v>
      </c>
      <c r="U3569" s="4">
        <f t="shared" si="147"/>
        <v>0</v>
      </c>
      <c r="V3569" s="1"/>
      <c r="W3569" s="3">
        <v>2014</v>
      </c>
      <c r="X3569" s="3">
        <v>11</v>
      </c>
    </row>
    <row r="3570" spans="1:24" ht="114.75">
      <c r="A3570" s="3" t="s">
        <v>13952</v>
      </c>
      <c r="B3570" s="6" t="s">
        <v>361</v>
      </c>
      <c r="C3570" s="174" t="s">
        <v>7586</v>
      </c>
      <c r="D3570" s="45" t="s">
        <v>463</v>
      </c>
      <c r="E3570" s="49" t="s">
        <v>3115</v>
      </c>
      <c r="F3570" s="6" t="s">
        <v>11780</v>
      </c>
      <c r="G3570" s="3" t="s">
        <v>11450</v>
      </c>
      <c r="H3570" s="54">
        <v>0</v>
      </c>
      <c r="I3570" s="55">
        <v>470000000</v>
      </c>
      <c r="J3570" s="56" t="s">
        <v>229</v>
      </c>
      <c r="K3570" s="57" t="s">
        <v>633</v>
      </c>
      <c r="L3570" s="57" t="s">
        <v>364</v>
      </c>
      <c r="M3570" s="3" t="s">
        <v>230</v>
      </c>
      <c r="N3570" s="52" t="s">
        <v>7693</v>
      </c>
      <c r="O3570" s="6" t="s">
        <v>365</v>
      </c>
      <c r="P3570" s="58" t="s">
        <v>241</v>
      </c>
      <c r="Q3570" s="117" t="s">
        <v>234</v>
      </c>
      <c r="R3570" s="22">
        <v>5</v>
      </c>
      <c r="S3570" s="97">
        <v>23400</v>
      </c>
      <c r="T3570" s="4">
        <v>0</v>
      </c>
      <c r="U3570" s="4">
        <f t="shared" si="147"/>
        <v>0</v>
      </c>
      <c r="V3570" s="1"/>
      <c r="W3570" s="3">
        <v>2014</v>
      </c>
      <c r="X3570" s="3" t="s">
        <v>14751</v>
      </c>
    </row>
    <row r="3571" spans="1:24" ht="114.75">
      <c r="A3571" s="3" t="s">
        <v>14325</v>
      </c>
      <c r="B3571" s="6" t="s">
        <v>361</v>
      </c>
      <c r="C3571" s="174" t="s">
        <v>7586</v>
      </c>
      <c r="D3571" s="45" t="s">
        <v>463</v>
      </c>
      <c r="E3571" s="49" t="s">
        <v>3115</v>
      </c>
      <c r="F3571" s="6" t="s">
        <v>11780</v>
      </c>
      <c r="G3571" s="3" t="s">
        <v>11450</v>
      </c>
      <c r="H3571" s="54">
        <v>0</v>
      </c>
      <c r="I3571" s="55">
        <v>470000000</v>
      </c>
      <c r="J3571" s="56" t="s">
        <v>229</v>
      </c>
      <c r="K3571" s="57" t="s">
        <v>7699</v>
      </c>
      <c r="L3571" s="12" t="s">
        <v>404</v>
      </c>
      <c r="M3571" s="3" t="s">
        <v>230</v>
      </c>
      <c r="N3571" s="52" t="s">
        <v>7693</v>
      </c>
      <c r="O3571" s="6" t="s">
        <v>365</v>
      </c>
      <c r="P3571" s="58" t="s">
        <v>241</v>
      </c>
      <c r="Q3571" s="117" t="s">
        <v>234</v>
      </c>
      <c r="R3571" s="22">
        <v>3</v>
      </c>
      <c r="S3571" s="97">
        <v>39000</v>
      </c>
      <c r="T3571" s="4">
        <f>R3571*S3571</f>
        <v>117000</v>
      </c>
      <c r="U3571" s="4">
        <f t="shared" si="147"/>
        <v>131040.00000000001</v>
      </c>
      <c r="V3571" s="1"/>
      <c r="W3571" s="3">
        <v>2014</v>
      </c>
      <c r="X3571" s="3"/>
    </row>
    <row r="3572" spans="1:24" ht="114.75">
      <c r="A3572" s="3" t="s">
        <v>1713</v>
      </c>
      <c r="B3572" s="6" t="s">
        <v>361</v>
      </c>
      <c r="C3572" s="174" t="s">
        <v>7583</v>
      </c>
      <c r="D3572" s="45" t="s">
        <v>389</v>
      </c>
      <c r="E3572" s="49" t="s">
        <v>6274</v>
      </c>
      <c r="F3572" s="6" t="s">
        <v>11781</v>
      </c>
      <c r="G3572" s="3" t="s">
        <v>11450</v>
      </c>
      <c r="H3572" s="54">
        <v>0</v>
      </c>
      <c r="I3572" s="55">
        <v>470000000</v>
      </c>
      <c r="J3572" s="56" t="s">
        <v>229</v>
      </c>
      <c r="K3572" s="57" t="s">
        <v>641</v>
      </c>
      <c r="L3572" s="57" t="s">
        <v>364</v>
      </c>
      <c r="M3572" s="3" t="s">
        <v>230</v>
      </c>
      <c r="N3572" s="52" t="s">
        <v>7693</v>
      </c>
      <c r="O3572" s="6" t="s">
        <v>365</v>
      </c>
      <c r="P3572" s="58" t="s">
        <v>241</v>
      </c>
      <c r="Q3572" s="117" t="s">
        <v>234</v>
      </c>
      <c r="R3572" s="22">
        <v>10</v>
      </c>
      <c r="S3572" s="97">
        <v>3300</v>
      </c>
      <c r="T3572" s="4">
        <v>0</v>
      </c>
      <c r="U3572" s="4">
        <f t="shared" si="147"/>
        <v>0</v>
      </c>
      <c r="V3572" s="1"/>
      <c r="W3572" s="3">
        <v>2014</v>
      </c>
      <c r="X3572" s="3">
        <v>11</v>
      </c>
    </row>
    <row r="3573" spans="1:24" ht="114.75">
      <c r="A3573" s="3" t="s">
        <v>13953</v>
      </c>
      <c r="B3573" s="6" t="s">
        <v>361</v>
      </c>
      <c r="C3573" s="174" t="s">
        <v>7583</v>
      </c>
      <c r="D3573" s="45" t="s">
        <v>389</v>
      </c>
      <c r="E3573" s="49" t="s">
        <v>6274</v>
      </c>
      <c r="F3573" s="6" t="s">
        <v>11781</v>
      </c>
      <c r="G3573" s="3" t="s">
        <v>11450</v>
      </c>
      <c r="H3573" s="54">
        <v>0</v>
      </c>
      <c r="I3573" s="55">
        <v>470000000</v>
      </c>
      <c r="J3573" s="56" t="s">
        <v>229</v>
      </c>
      <c r="K3573" s="57" t="s">
        <v>633</v>
      </c>
      <c r="L3573" s="57" t="s">
        <v>364</v>
      </c>
      <c r="M3573" s="3" t="s">
        <v>230</v>
      </c>
      <c r="N3573" s="52" t="s">
        <v>7693</v>
      </c>
      <c r="O3573" s="6" t="s">
        <v>365</v>
      </c>
      <c r="P3573" s="58" t="s">
        <v>241</v>
      </c>
      <c r="Q3573" s="117" t="s">
        <v>234</v>
      </c>
      <c r="R3573" s="22">
        <v>10</v>
      </c>
      <c r="S3573" s="97">
        <v>3300</v>
      </c>
      <c r="T3573" s="4">
        <v>0</v>
      </c>
      <c r="U3573" s="4">
        <f t="shared" si="147"/>
        <v>0</v>
      </c>
      <c r="V3573" s="1"/>
      <c r="W3573" s="3">
        <v>2014</v>
      </c>
      <c r="X3573" s="3" t="s">
        <v>14751</v>
      </c>
    </row>
    <row r="3574" spans="1:24" ht="114.75">
      <c r="A3574" s="3" t="s">
        <v>14326</v>
      </c>
      <c r="B3574" s="6" t="s">
        <v>361</v>
      </c>
      <c r="C3574" s="174" t="s">
        <v>7583</v>
      </c>
      <c r="D3574" s="45" t="s">
        <v>389</v>
      </c>
      <c r="E3574" s="49" t="s">
        <v>6274</v>
      </c>
      <c r="F3574" s="6" t="s">
        <v>11781</v>
      </c>
      <c r="G3574" s="3" t="s">
        <v>11450</v>
      </c>
      <c r="H3574" s="54">
        <v>0</v>
      </c>
      <c r="I3574" s="55">
        <v>470000000</v>
      </c>
      <c r="J3574" s="56" t="s">
        <v>229</v>
      </c>
      <c r="K3574" s="57" t="s">
        <v>7699</v>
      </c>
      <c r="L3574" s="12" t="s">
        <v>404</v>
      </c>
      <c r="M3574" s="3" t="s">
        <v>230</v>
      </c>
      <c r="N3574" s="52" t="s">
        <v>7693</v>
      </c>
      <c r="O3574" s="6" t="s">
        <v>365</v>
      </c>
      <c r="P3574" s="58" t="s">
        <v>241</v>
      </c>
      <c r="Q3574" s="117" t="s">
        <v>234</v>
      </c>
      <c r="R3574" s="22">
        <v>6</v>
      </c>
      <c r="S3574" s="97">
        <v>5500</v>
      </c>
      <c r="T3574" s="4">
        <f>R3574*S3574</f>
        <v>33000</v>
      </c>
      <c r="U3574" s="4">
        <f t="shared" si="147"/>
        <v>36960</v>
      </c>
      <c r="V3574" s="1"/>
      <c r="W3574" s="3">
        <v>2014</v>
      </c>
      <c r="X3574" s="3"/>
    </row>
    <row r="3575" spans="1:24" ht="114.75">
      <c r="A3575" s="3" t="s">
        <v>1714</v>
      </c>
      <c r="B3575" s="6" t="s">
        <v>361</v>
      </c>
      <c r="C3575" s="174" t="s">
        <v>7584</v>
      </c>
      <c r="D3575" s="45" t="s">
        <v>390</v>
      </c>
      <c r="E3575" s="49" t="s">
        <v>7599</v>
      </c>
      <c r="F3575" s="6" t="s">
        <v>11782</v>
      </c>
      <c r="G3575" s="3" t="s">
        <v>11450</v>
      </c>
      <c r="H3575" s="54">
        <v>0</v>
      </c>
      <c r="I3575" s="55">
        <v>470000000</v>
      </c>
      <c r="J3575" s="56" t="s">
        <v>229</v>
      </c>
      <c r="K3575" s="57" t="s">
        <v>641</v>
      </c>
      <c r="L3575" s="57" t="s">
        <v>364</v>
      </c>
      <c r="M3575" s="3" t="s">
        <v>230</v>
      </c>
      <c r="N3575" s="52" t="s">
        <v>7693</v>
      </c>
      <c r="O3575" s="6" t="s">
        <v>365</v>
      </c>
      <c r="P3575" s="58" t="s">
        <v>241</v>
      </c>
      <c r="Q3575" s="117" t="s">
        <v>234</v>
      </c>
      <c r="R3575" s="22">
        <v>10</v>
      </c>
      <c r="S3575" s="97">
        <v>1600</v>
      </c>
      <c r="T3575" s="4">
        <v>0</v>
      </c>
      <c r="U3575" s="4">
        <f t="shared" si="147"/>
        <v>0</v>
      </c>
      <c r="V3575" s="1"/>
      <c r="W3575" s="3">
        <v>2014</v>
      </c>
      <c r="X3575" s="3">
        <v>11</v>
      </c>
    </row>
    <row r="3576" spans="1:24" ht="114.75">
      <c r="A3576" s="3" t="s">
        <v>13954</v>
      </c>
      <c r="B3576" s="6" t="s">
        <v>361</v>
      </c>
      <c r="C3576" s="174" t="s">
        <v>7584</v>
      </c>
      <c r="D3576" s="45" t="s">
        <v>390</v>
      </c>
      <c r="E3576" s="49" t="s">
        <v>7599</v>
      </c>
      <c r="F3576" s="6" t="s">
        <v>11782</v>
      </c>
      <c r="G3576" s="3" t="s">
        <v>11450</v>
      </c>
      <c r="H3576" s="54">
        <v>0</v>
      </c>
      <c r="I3576" s="55">
        <v>470000000</v>
      </c>
      <c r="J3576" s="56" t="s">
        <v>229</v>
      </c>
      <c r="K3576" s="57" t="s">
        <v>633</v>
      </c>
      <c r="L3576" s="57" t="s">
        <v>364</v>
      </c>
      <c r="M3576" s="3" t="s">
        <v>230</v>
      </c>
      <c r="N3576" s="52" t="s">
        <v>7693</v>
      </c>
      <c r="O3576" s="6" t="s">
        <v>365</v>
      </c>
      <c r="P3576" s="58" t="s">
        <v>241</v>
      </c>
      <c r="Q3576" s="117" t="s">
        <v>234</v>
      </c>
      <c r="R3576" s="22">
        <v>10</v>
      </c>
      <c r="S3576" s="97">
        <v>1600</v>
      </c>
      <c r="T3576" s="4">
        <v>0</v>
      </c>
      <c r="U3576" s="4">
        <f t="shared" si="147"/>
        <v>0</v>
      </c>
      <c r="V3576" s="1"/>
      <c r="W3576" s="3">
        <v>2014</v>
      </c>
      <c r="X3576" s="3" t="s">
        <v>14751</v>
      </c>
    </row>
    <row r="3577" spans="1:24" ht="114.75">
      <c r="A3577" s="3" t="s">
        <v>14327</v>
      </c>
      <c r="B3577" s="6" t="s">
        <v>361</v>
      </c>
      <c r="C3577" s="174" t="s">
        <v>7584</v>
      </c>
      <c r="D3577" s="45" t="s">
        <v>390</v>
      </c>
      <c r="E3577" s="49" t="s">
        <v>7599</v>
      </c>
      <c r="F3577" s="6" t="s">
        <v>11782</v>
      </c>
      <c r="G3577" s="3" t="s">
        <v>11450</v>
      </c>
      <c r="H3577" s="54">
        <v>0</v>
      </c>
      <c r="I3577" s="55">
        <v>470000000</v>
      </c>
      <c r="J3577" s="56" t="s">
        <v>229</v>
      </c>
      <c r="K3577" s="57" t="s">
        <v>7699</v>
      </c>
      <c r="L3577" s="12" t="s">
        <v>404</v>
      </c>
      <c r="M3577" s="3" t="s">
        <v>230</v>
      </c>
      <c r="N3577" s="52" t="s">
        <v>7693</v>
      </c>
      <c r="O3577" s="6" t="s">
        <v>365</v>
      </c>
      <c r="P3577" s="58" t="s">
        <v>241</v>
      </c>
      <c r="Q3577" s="117" t="s">
        <v>234</v>
      </c>
      <c r="R3577" s="22">
        <v>6</v>
      </c>
      <c r="S3577" s="97">
        <v>2666.6666</v>
      </c>
      <c r="T3577" s="4">
        <f>R3577*S3577</f>
        <v>15999.999599999999</v>
      </c>
      <c r="U3577" s="4">
        <f t="shared" si="147"/>
        <v>17919.999552000001</v>
      </c>
      <c r="V3577" s="1"/>
      <c r="W3577" s="3">
        <v>2014</v>
      </c>
      <c r="X3577" s="3"/>
    </row>
    <row r="3578" spans="1:24" ht="114.75">
      <c r="A3578" s="3" t="s">
        <v>1715</v>
      </c>
      <c r="B3578" s="6" t="s">
        <v>361</v>
      </c>
      <c r="C3578" s="44" t="s">
        <v>5891</v>
      </c>
      <c r="D3578" s="45" t="s">
        <v>5892</v>
      </c>
      <c r="E3578" s="49" t="s">
        <v>5893</v>
      </c>
      <c r="F3578" s="6" t="s">
        <v>11783</v>
      </c>
      <c r="G3578" s="3" t="s">
        <v>11450</v>
      </c>
      <c r="H3578" s="54">
        <v>0</v>
      </c>
      <c r="I3578" s="55">
        <v>470000000</v>
      </c>
      <c r="J3578" s="56" t="s">
        <v>229</v>
      </c>
      <c r="K3578" s="57" t="s">
        <v>641</v>
      </c>
      <c r="L3578" s="57" t="s">
        <v>364</v>
      </c>
      <c r="M3578" s="3" t="s">
        <v>230</v>
      </c>
      <c r="N3578" s="52" t="s">
        <v>7693</v>
      </c>
      <c r="O3578" s="6" t="s">
        <v>365</v>
      </c>
      <c r="P3578" s="58" t="s">
        <v>241</v>
      </c>
      <c r="Q3578" s="117" t="s">
        <v>234</v>
      </c>
      <c r="R3578" s="22">
        <v>10</v>
      </c>
      <c r="S3578" s="97">
        <v>1200</v>
      </c>
      <c r="T3578" s="4">
        <v>0</v>
      </c>
      <c r="U3578" s="4">
        <f t="shared" si="147"/>
        <v>0</v>
      </c>
      <c r="V3578" s="1"/>
      <c r="W3578" s="3">
        <v>2014</v>
      </c>
      <c r="X3578" s="3">
        <v>11</v>
      </c>
    </row>
    <row r="3579" spans="1:24" ht="114.75">
      <c r="A3579" s="3" t="s">
        <v>13955</v>
      </c>
      <c r="B3579" s="6" t="s">
        <v>361</v>
      </c>
      <c r="C3579" s="44" t="s">
        <v>5891</v>
      </c>
      <c r="D3579" s="45" t="s">
        <v>5892</v>
      </c>
      <c r="E3579" s="49" t="s">
        <v>5893</v>
      </c>
      <c r="F3579" s="6" t="s">
        <v>11783</v>
      </c>
      <c r="G3579" s="3" t="s">
        <v>11450</v>
      </c>
      <c r="H3579" s="54">
        <v>0</v>
      </c>
      <c r="I3579" s="55">
        <v>470000000</v>
      </c>
      <c r="J3579" s="56" t="s">
        <v>229</v>
      </c>
      <c r="K3579" s="57" t="s">
        <v>633</v>
      </c>
      <c r="L3579" s="57" t="s">
        <v>364</v>
      </c>
      <c r="M3579" s="3" t="s">
        <v>230</v>
      </c>
      <c r="N3579" s="52" t="s">
        <v>7693</v>
      </c>
      <c r="O3579" s="6" t="s">
        <v>365</v>
      </c>
      <c r="P3579" s="58" t="s">
        <v>241</v>
      </c>
      <c r="Q3579" s="117" t="s">
        <v>234</v>
      </c>
      <c r="R3579" s="22">
        <v>10</v>
      </c>
      <c r="S3579" s="97">
        <v>1200</v>
      </c>
      <c r="T3579" s="4">
        <v>0</v>
      </c>
      <c r="U3579" s="4">
        <f t="shared" si="147"/>
        <v>0</v>
      </c>
      <c r="V3579" s="1"/>
      <c r="W3579" s="3">
        <v>2014</v>
      </c>
      <c r="X3579" s="3" t="s">
        <v>14751</v>
      </c>
    </row>
    <row r="3580" spans="1:24" ht="114.75">
      <c r="A3580" s="3" t="s">
        <v>14328</v>
      </c>
      <c r="B3580" s="6" t="s">
        <v>361</v>
      </c>
      <c r="C3580" s="44" t="s">
        <v>5891</v>
      </c>
      <c r="D3580" s="45" t="s">
        <v>5892</v>
      </c>
      <c r="E3580" s="49" t="s">
        <v>5893</v>
      </c>
      <c r="F3580" s="6" t="s">
        <v>11783</v>
      </c>
      <c r="G3580" s="3" t="s">
        <v>11450</v>
      </c>
      <c r="H3580" s="54">
        <v>0</v>
      </c>
      <c r="I3580" s="55">
        <v>470000000</v>
      </c>
      <c r="J3580" s="56" t="s">
        <v>229</v>
      </c>
      <c r="K3580" s="57" t="s">
        <v>7699</v>
      </c>
      <c r="L3580" s="12" t="s">
        <v>404</v>
      </c>
      <c r="M3580" s="3" t="s">
        <v>230</v>
      </c>
      <c r="N3580" s="52" t="s">
        <v>7693</v>
      </c>
      <c r="O3580" s="6" t="s">
        <v>365</v>
      </c>
      <c r="P3580" s="58" t="s">
        <v>241</v>
      </c>
      <c r="Q3580" s="117" t="s">
        <v>234</v>
      </c>
      <c r="R3580" s="22">
        <v>6</v>
      </c>
      <c r="S3580" s="97">
        <v>2000</v>
      </c>
      <c r="T3580" s="4">
        <f>R3580*S3580</f>
        <v>12000</v>
      </c>
      <c r="U3580" s="4">
        <f t="shared" si="147"/>
        <v>13440.000000000002</v>
      </c>
      <c r="V3580" s="1"/>
      <c r="W3580" s="3">
        <v>2014</v>
      </c>
      <c r="X3580" s="3"/>
    </row>
    <row r="3581" spans="1:24" ht="114.75">
      <c r="A3581" s="3" t="s">
        <v>1716</v>
      </c>
      <c r="B3581" s="6" t="s">
        <v>361</v>
      </c>
      <c r="C3581" s="44" t="s">
        <v>7585</v>
      </c>
      <c r="D3581" s="45" t="s">
        <v>5353</v>
      </c>
      <c r="E3581" s="49" t="s">
        <v>7331</v>
      </c>
      <c r="F3581" s="6" t="s">
        <v>11784</v>
      </c>
      <c r="G3581" s="3" t="s">
        <v>11450</v>
      </c>
      <c r="H3581" s="54">
        <v>0</v>
      </c>
      <c r="I3581" s="55">
        <v>470000000</v>
      </c>
      <c r="J3581" s="56" t="s">
        <v>229</v>
      </c>
      <c r="K3581" s="57" t="s">
        <v>641</v>
      </c>
      <c r="L3581" s="57" t="s">
        <v>364</v>
      </c>
      <c r="M3581" s="3" t="s">
        <v>230</v>
      </c>
      <c r="N3581" s="52" t="s">
        <v>7693</v>
      </c>
      <c r="O3581" s="6" t="s">
        <v>365</v>
      </c>
      <c r="P3581" s="58" t="s">
        <v>241</v>
      </c>
      <c r="Q3581" s="117" t="s">
        <v>234</v>
      </c>
      <c r="R3581" s="22">
        <v>3</v>
      </c>
      <c r="S3581" s="97">
        <v>33600</v>
      </c>
      <c r="T3581" s="4">
        <v>0</v>
      </c>
      <c r="U3581" s="4">
        <f t="shared" si="147"/>
        <v>0</v>
      </c>
      <c r="V3581" s="1"/>
      <c r="W3581" s="3">
        <v>2014</v>
      </c>
      <c r="X3581" s="3">
        <v>11</v>
      </c>
    </row>
    <row r="3582" spans="1:24" ht="114.75">
      <c r="A3582" s="3" t="s">
        <v>13956</v>
      </c>
      <c r="B3582" s="6" t="s">
        <v>361</v>
      </c>
      <c r="C3582" s="44" t="s">
        <v>7585</v>
      </c>
      <c r="D3582" s="45" t="s">
        <v>5353</v>
      </c>
      <c r="E3582" s="49" t="s">
        <v>7331</v>
      </c>
      <c r="F3582" s="6" t="s">
        <v>11784</v>
      </c>
      <c r="G3582" s="3" t="s">
        <v>11450</v>
      </c>
      <c r="H3582" s="54">
        <v>0</v>
      </c>
      <c r="I3582" s="55">
        <v>470000000</v>
      </c>
      <c r="J3582" s="56" t="s">
        <v>229</v>
      </c>
      <c r="K3582" s="57" t="s">
        <v>633</v>
      </c>
      <c r="L3582" s="57" t="s">
        <v>364</v>
      </c>
      <c r="M3582" s="3" t="s">
        <v>230</v>
      </c>
      <c r="N3582" s="52" t="s">
        <v>7693</v>
      </c>
      <c r="O3582" s="6" t="s">
        <v>365</v>
      </c>
      <c r="P3582" s="58" t="s">
        <v>241</v>
      </c>
      <c r="Q3582" s="117" t="s">
        <v>234</v>
      </c>
      <c r="R3582" s="22">
        <v>3</v>
      </c>
      <c r="S3582" s="97">
        <v>33600</v>
      </c>
      <c r="T3582" s="4">
        <v>0</v>
      </c>
      <c r="U3582" s="4">
        <f t="shared" si="147"/>
        <v>0</v>
      </c>
      <c r="V3582" s="1"/>
      <c r="W3582" s="3">
        <v>2014</v>
      </c>
      <c r="X3582" s="3">
        <v>11.12</v>
      </c>
    </row>
    <row r="3583" spans="1:24" ht="114.75">
      <c r="A3583" s="3" t="s">
        <v>14329</v>
      </c>
      <c r="B3583" s="6" t="s">
        <v>361</v>
      </c>
      <c r="C3583" s="44" t="s">
        <v>7585</v>
      </c>
      <c r="D3583" s="45" t="s">
        <v>5353</v>
      </c>
      <c r="E3583" s="49" t="s">
        <v>7331</v>
      </c>
      <c r="F3583" s="6" t="s">
        <v>11784</v>
      </c>
      <c r="G3583" s="3" t="s">
        <v>11450</v>
      </c>
      <c r="H3583" s="54">
        <v>0</v>
      </c>
      <c r="I3583" s="55">
        <v>470000000</v>
      </c>
      <c r="J3583" s="56" t="s">
        <v>229</v>
      </c>
      <c r="K3583" s="57" t="s">
        <v>7699</v>
      </c>
      <c r="L3583" s="12" t="s">
        <v>404</v>
      </c>
      <c r="M3583" s="3" t="s">
        <v>230</v>
      </c>
      <c r="N3583" s="52" t="s">
        <v>7693</v>
      </c>
      <c r="O3583" s="6" t="s">
        <v>365</v>
      </c>
      <c r="P3583" s="58" t="s">
        <v>241</v>
      </c>
      <c r="Q3583" s="117" t="s">
        <v>234</v>
      </c>
      <c r="R3583" s="22">
        <v>3</v>
      </c>
      <c r="S3583" s="97">
        <v>33600</v>
      </c>
      <c r="T3583" s="4">
        <f>R3583*S3583</f>
        <v>100800</v>
      </c>
      <c r="U3583" s="4">
        <f t="shared" si="147"/>
        <v>112896.00000000001</v>
      </c>
      <c r="V3583" s="1"/>
      <c r="W3583" s="3">
        <v>2014</v>
      </c>
      <c r="X3583" s="3"/>
    </row>
    <row r="3584" spans="1:24" ht="114.75">
      <c r="A3584" s="3" t="s">
        <v>1717</v>
      </c>
      <c r="B3584" s="6" t="s">
        <v>361</v>
      </c>
      <c r="C3584" s="6" t="s">
        <v>7484</v>
      </c>
      <c r="D3584" s="48" t="s">
        <v>391</v>
      </c>
      <c r="E3584" s="3" t="s">
        <v>7485</v>
      </c>
      <c r="F3584" s="48" t="s">
        <v>7769</v>
      </c>
      <c r="G3584" s="3" t="s">
        <v>11450</v>
      </c>
      <c r="H3584" s="54">
        <v>0</v>
      </c>
      <c r="I3584" s="55">
        <v>470000000</v>
      </c>
      <c r="J3584" s="56" t="s">
        <v>229</v>
      </c>
      <c r="K3584" s="57" t="s">
        <v>633</v>
      </c>
      <c r="L3584" s="57" t="s">
        <v>364</v>
      </c>
      <c r="M3584" s="3" t="s">
        <v>230</v>
      </c>
      <c r="N3584" s="52" t="s">
        <v>7693</v>
      </c>
      <c r="O3584" s="6" t="s">
        <v>365</v>
      </c>
      <c r="P3584" s="58" t="s">
        <v>241</v>
      </c>
      <c r="Q3584" s="117" t="s">
        <v>234</v>
      </c>
      <c r="R3584" s="108">
        <v>15</v>
      </c>
      <c r="S3584" s="106">
        <v>12700</v>
      </c>
      <c r="T3584" s="4">
        <f>R3584*S3584</f>
        <v>190500</v>
      </c>
      <c r="U3584" s="4">
        <f t="shared" si="147"/>
        <v>213360.00000000003</v>
      </c>
      <c r="V3584" s="1"/>
      <c r="W3584" s="3">
        <v>2014</v>
      </c>
      <c r="X3584" s="3"/>
    </row>
    <row r="3585" spans="1:24" ht="114.75">
      <c r="A3585" s="3" t="s">
        <v>1718</v>
      </c>
      <c r="B3585" s="6" t="s">
        <v>361</v>
      </c>
      <c r="C3585" s="6" t="s">
        <v>7484</v>
      </c>
      <c r="D3585" s="48" t="s">
        <v>391</v>
      </c>
      <c r="E3585" s="3" t="s">
        <v>7485</v>
      </c>
      <c r="F3585" s="48" t="s">
        <v>7770</v>
      </c>
      <c r="G3585" s="3" t="s">
        <v>11450</v>
      </c>
      <c r="H3585" s="54">
        <v>0</v>
      </c>
      <c r="I3585" s="55">
        <v>470000000</v>
      </c>
      <c r="J3585" s="56" t="s">
        <v>229</v>
      </c>
      <c r="K3585" s="57" t="s">
        <v>633</v>
      </c>
      <c r="L3585" s="57" t="s">
        <v>364</v>
      </c>
      <c r="M3585" s="3" t="s">
        <v>230</v>
      </c>
      <c r="N3585" s="52" t="s">
        <v>7693</v>
      </c>
      <c r="O3585" s="6" t="s">
        <v>365</v>
      </c>
      <c r="P3585" s="58" t="s">
        <v>241</v>
      </c>
      <c r="Q3585" s="117" t="s">
        <v>234</v>
      </c>
      <c r="R3585" s="22">
        <v>15</v>
      </c>
      <c r="S3585" s="97">
        <v>33275</v>
      </c>
      <c r="T3585" s="4">
        <f>R3585*S3585</f>
        <v>499125</v>
      </c>
      <c r="U3585" s="4">
        <f t="shared" si="147"/>
        <v>559020</v>
      </c>
      <c r="V3585" s="1"/>
      <c r="W3585" s="3">
        <v>2014</v>
      </c>
      <c r="X3585" s="3"/>
    </row>
    <row r="3586" spans="1:24" ht="114.75">
      <c r="A3586" s="3" t="s">
        <v>1719</v>
      </c>
      <c r="B3586" s="6" t="s">
        <v>361</v>
      </c>
      <c r="C3586" s="6" t="s">
        <v>11806</v>
      </c>
      <c r="D3586" s="48" t="s">
        <v>11807</v>
      </c>
      <c r="E3586" s="3" t="s">
        <v>11808</v>
      </c>
      <c r="F3586" s="3" t="s">
        <v>11809</v>
      </c>
      <c r="G3586" s="3" t="s">
        <v>11450</v>
      </c>
      <c r="H3586" s="54">
        <v>0</v>
      </c>
      <c r="I3586" s="55">
        <v>470000000</v>
      </c>
      <c r="J3586" s="56" t="s">
        <v>229</v>
      </c>
      <c r="K3586" s="57" t="s">
        <v>633</v>
      </c>
      <c r="L3586" s="57" t="s">
        <v>364</v>
      </c>
      <c r="M3586" s="3" t="s">
        <v>230</v>
      </c>
      <c r="N3586" s="52" t="s">
        <v>7693</v>
      </c>
      <c r="O3586" s="6" t="s">
        <v>365</v>
      </c>
      <c r="P3586" s="58" t="s">
        <v>241</v>
      </c>
      <c r="Q3586" s="117" t="s">
        <v>234</v>
      </c>
      <c r="R3586" s="22">
        <v>6</v>
      </c>
      <c r="S3586" s="106">
        <v>10824</v>
      </c>
      <c r="T3586" s="4">
        <v>0</v>
      </c>
      <c r="U3586" s="4">
        <f t="shared" si="147"/>
        <v>0</v>
      </c>
      <c r="V3586" s="1"/>
      <c r="W3586" s="3">
        <v>2014</v>
      </c>
      <c r="X3586" s="3" t="s">
        <v>11811</v>
      </c>
    </row>
    <row r="3587" spans="1:24" ht="153">
      <c r="A3587" s="3" t="s">
        <v>11810</v>
      </c>
      <c r="B3587" s="6" t="s">
        <v>361</v>
      </c>
      <c r="C3587" s="6" t="s">
        <v>11786</v>
      </c>
      <c r="D3587" s="48" t="s">
        <v>11787</v>
      </c>
      <c r="E3587" s="3" t="s">
        <v>11788</v>
      </c>
      <c r="F3587" s="48" t="s">
        <v>11785</v>
      </c>
      <c r="G3587" s="3" t="s">
        <v>11450</v>
      </c>
      <c r="H3587" s="54">
        <v>0</v>
      </c>
      <c r="I3587" s="55">
        <v>470000000</v>
      </c>
      <c r="J3587" s="56" t="s">
        <v>229</v>
      </c>
      <c r="K3587" s="57" t="s">
        <v>633</v>
      </c>
      <c r="L3587" s="57" t="s">
        <v>364</v>
      </c>
      <c r="M3587" s="3" t="s">
        <v>230</v>
      </c>
      <c r="N3587" s="52" t="s">
        <v>7693</v>
      </c>
      <c r="O3587" s="6" t="s">
        <v>365</v>
      </c>
      <c r="P3587" s="58" t="s">
        <v>241</v>
      </c>
      <c r="Q3587" s="117" t="s">
        <v>234</v>
      </c>
      <c r="R3587" s="22">
        <v>6</v>
      </c>
      <c r="S3587" s="106">
        <v>10824</v>
      </c>
      <c r="T3587" s="4">
        <f t="shared" ref="T3587:T3685" si="152">R3587*S3587</f>
        <v>64944</v>
      </c>
      <c r="U3587" s="4">
        <f>T3587*1.12</f>
        <v>72737.280000000013</v>
      </c>
      <c r="V3587" s="1"/>
      <c r="W3587" s="3">
        <v>2014</v>
      </c>
      <c r="X3587" s="3"/>
    </row>
    <row r="3588" spans="1:24" ht="114.75">
      <c r="A3588" s="3" t="s">
        <v>1720</v>
      </c>
      <c r="B3588" s="6" t="s">
        <v>361</v>
      </c>
      <c r="C3588" s="6" t="s">
        <v>7486</v>
      </c>
      <c r="D3588" s="48" t="s">
        <v>392</v>
      </c>
      <c r="E3588" s="3" t="s">
        <v>7487</v>
      </c>
      <c r="F3588" s="48" t="s">
        <v>7771</v>
      </c>
      <c r="G3588" s="3" t="s">
        <v>11450</v>
      </c>
      <c r="H3588" s="54">
        <v>0</v>
      </c>
      <c r="I3588" s="55">
        <v>470000000</v>
      </c>
      <c r="J3588" s="56" t="s">
        <v>229</v>
      </c>
      <c r="K3588" s="57" t="s">
        <v>633</v>
      </c>
      <c r="L3588" s="57" t="s">
        <v>364</v>
      </c>
      <c r="M3588" s="3" t="s">
        <v>230</v>
      </c>
      <c r="N3588" s="52" t="s">
        <v>7693</v>
      </c>
      <c r="O3588" s="6" t="s">
        <v>365</v>
      </c>
      <c r="P3588" s="58" t="s">
        <v>241</v>
      </c>
      <c r="Q3588" s="117" t="s">
        <v>234</v>
      </c>
      <c r="R3588" s="22">
        <v>10</v>
      </c>
      <c r="S3588" s="106">
        <v>28799.759999999998</v>
      </c>
      <c r="T3588" s="4">
        <v>0</v>
      </c>
      <c r="U3588" s="4">
        <f t="shared" si="147"/>
        <v>0</v>
      </c>
      <c r="V3588" s="1"/>
      <c r="W3588" s="3">
        <v>2014</v>
      </c>
      <c r="X3588" s="3" t="s">
        <v>16521</v>
      </c>
    </row>
    <row r="3589" spans="1:24" ht="114.75">
      <c r="A3589" s="3" t="s">
        <v>16524</v>
      </c>
      <c r="B3589" s="6" t="s">
        <v>361</v>
      </c>
      <c r="C3589" s="6" t="s">
        <v>7486</v>
      </c>
      <c r="D3589" s="48" t="s">
        <v>392</v>
      </c>
      <c r="E3589" s="3" t="s">
        <v>7487</v>
      </c>
      <c r="F3589" s="48" t="s">
        <v>7771</v>
      </c>
      <c r="G3589" s="3" t="s">
        <v>11450</v>
      </c>
      <c r="H3589" s="54">
        <v>0</v>
      </c>
      <c r="I3589" s="55">
        <v>470000000</v>
      </c>
      <c r="J3589" s="56" t="s">
        <v>229</v>
      </c>
      <c r="K3589" s="57" t="s">
        <v>9041</v>
      </c>
      <c r="L3589" s="57" t="s">
        <v>364</v>
      </c>
      <c r="M3589" s="3" t="s">
        <v>230</v>
      </c>
      <c r="N3589" s="52" t="s">
        <v>16525</v>
      </c>
      <c r="O3589" s="6" t="s">
        <v>365</v>
      </c>
      <c r="P3589" s="58" t="s">
        <v>241</v>
      </c>
      <c r="Q3589" s="117" t="s">
        <v>234</v>
      </c>
      <c r="R3589" s="22">
        <v>10</v>
      </c>
      <c r="S3589" s="106">
        <v>34559.712</v>
      </c>
      <c r="T3589" s="4">
        <f t="shared" ref="T3589" si="153">R3589*S3589</f>
        <v>345597.12</v>
      </c>
      <c r="U3589" s="4">
        <f t="shared" si="147"/>
        <v>387068.77440000005</v>
      </c>
      <c r="V3589" s="1"/>
      <c r="W3589" s="3">
        <v>2014</v>
      </c>
      <c r="X3589" s="3"/>
    </row>
    <row r="3590" spans="1:24" ht="114.75">
      <c r="A3590" s="3" t="s">
        <v>1721</v>
      </c>
      <c r="B3590" s="6" t="s">
        <v>361</v>
      </c>
      <c r="C3590" s="6" t="s">
        <v>7488</v>
      </c>
      <c r="D3590" s="3" t="s">
        <v>368</v>
      </c>
      <c r="E3590" s="6" t="s">
        <v>7489</v>
      </c>
      <c r="F3590" s="48" t="s">
        <v>7772</v>
      </c>
      <c r="G3590" s="3" t="s">
        <v>11450</v>
      </c>
      <c r="H3590" s="54">
        <v>0</v>
      </c>
      <c r="I3590" s="55">
        <v>470000000</v>
      </c>
      <c r="J3590" s="56" t="s">
        <v>229</v>
      </c>
      <c r="K3590" s="57" t="s">
        <v>633</v>
      </c>
      <c r="L3590" s="57" t="s">
        <v>364</v>
      </c>
      <c r="M3590" s="3" t="s">
        <v>230</v>
      </c>
      <c r="N3590" s="52" t="s">
        <v>7693</v>
      </c>
      <c r="O3590" s="6" t="s">
        <v>365</v>
      </c>
      <c r="P3590" s="58" t="s">
        <v>241</v>
      </c>
      <c r="Q3590" s="117" t="s">
        <v>234</v>
      </c>
      <c r="R3590" s="22">
        <v>10</v>
      </c>
      <c r="S3590" s="59">
        <v>16637.5</v>
      </c>
      <c r="T3590" s="4">
        <v>0</v>
      </c>
      <c r="U3590" s="4">
        <f t="shared" si="147"/>
        <v>0</v>
      </c>
      <c r="V3590" s="1"/>
      <c r="W3590" s="3">
        <v>2014</v>
      </c>
      <c r="X3590" s="3" t="s">
        <v>16521</v>
      </c>
    </row>
    <row r="3591" spans="1:24" ht="114.75">
      <c r="A3591" s="3" t="s">
        <v>19023</v>
      </c>
      <c r="B3591" s="6" t="s">
        <v>361</v>
      </c>
      <c r="C3591" s="6" t="s">
        <v>7488</v>
      </c>
      <c r="D3591" s="3" t="s">
        <v>368</v>
      </c>
      <c r="E3591" s="6" t="s">
        <v>7489</v>
      </c>
      <c r="F3591" s="48" t="s">
        <v>7772</v>
      </c>
      <c r="G3591" s="3" t="s">
        <v>11450</v>
      </c>
      <c r="H3591" s="54">
        <v>0</v>
      </c>
      <c r="I3591" s="55">
        <v>470000000</v>
      </c>
      <c r="J3591" s="56" t="s">
        <v>229</v>
      </c>
      <c r="K3591" s="57" t="s">
        <v>18437</v>
      </c>
      <c r="L3591" s="57" t="s">
        <v>364</v>
      </c>
      <c r="M3591" s="3" t="s">
        <v>230</v>
      </c>
      <c r="N3591" s="52" t="s">
        <v>16511</v>
      </c>
      <c r="O3591" s="6" t="s">
        <v>365</v>
      </c>
      <c r="P3591" s="58" t="s">
        <v>241</v>
      </c>
      <c r="Q3591" s="117" t="s">
        <v>234</v>
      </c>
      <c r="R3591" s="22">
        <v>10</v>
      </c>
      <c r="S3591" s="59">
        <v>19965</v>
      </c>
      <c r="T3591" s="4">
        <f t="shared" ref="T3591" si="154">R3591*S3591</f>
        <v>199650</v>
      </c>
      <c r="U3591" s="4">
        <f t="shared" si="147"/>
        <v>223608.00000000003</v>
      </c>
      <c r="V3591" s="1"/>
      <c r="W3591" s="3">
        <v>2014</v>
      </c>
      <c r="X3591" s="3"/>
    </row>
    <row r="3592" spans="1:24" ht="114.75">
      <c r="A3592" s="3" t="s">
        <v>1722</v>
      </c>
      <c r="B3592" s="6" t="s">
        <v>361</v>
      </c>
      <c r="C3592" s="6" t="s">
        <v>5452</v>
      </c>
      <c r="D3592" s="3" t="s">
        <v>393</v>
      </c>
      <c r="E3592" s="6" t="s">
        <v>5453</v>
      </c>
      <c r="F3592" s="109" t="s">
        <v>7773</v>
      </c>
      <c r="G3592" s="3" t="s">
        <v>11450</v>
      </c>
      <c r="H3592" s="54">
        <v>0</v>
      </c>
      <c r="I3592" s="55">
        <v>470000000</v>
      </c>
      <c r="J3592" s="56" t="s">
        <v>229</v>
      </c>
      <c r="K3592" s="57" t="s">
        <v>7698</v>
      </c>
      <c r="L3592" s="57" t="s">
        <v>364</v>
      </c>
      <c r="M3592" s="3" t="s">
        <v>230</v>
      </c>
      <c r="N3592" s="52" t="s">
        <v>7693</v>
      </c>
      <c r="O3592" s="6" t="s">
        <v>365</v>
      </c>
      <c r="P3592" s="58" t="s">
        <v>241</v>
      </c>
      <c r="Q3592" s="117" t="s">
        <v>234</v>
      </c>
      <c r="R3592" s="22">
        <v>4</v>
      </c>
      <c r="S3592" s="59">
        <v>24474.373000000003</v>
      </c>
      <c r="T3592" s="4">
        <f t="shared" si="152"/>
        <v>97897.492000000013</v>
      </c>
      <c r="U3592" s="4">
        <f t="shared" si="147"/>
        <v>109645.19104000002</v>
      </c>
      <c r="V3592" s="1"/>
      <c r="W3592" s="3">
        <v>2014</v>
      </c>
      <c r="X3592" s="3"/>
    </row>
    <row r="3593" spans="1:24" ht="114.75">
      <c r="A3593" s="3" t="s">
        <v>1723</v>
      </c>
      <c r="B3593" s="6" t="s">
        <v>361</v>
      </c>
      <c r="C3593" s="6" t="s">
        <v>5452</v>
      </c>
      <c r="D3593" s="3" t="s">
        <v>393</v>
      </c>
      <c r="E3593" s="6" t="s">
        <v>5453</v>
      </c>
      <c r="F3593" s="109" t="s">
        <v>7774</v>
      </c>
      <c r="G3593" s="3" t="s">
        <v>11450</v>
      </c>
      <c r="H3593" s="54">
        <v>0</v>
      </c>
      <c r="I3593" s="55">
        <v>470000000</v>
      </c>
      <c r="J3593" s="56" t="s">
        <v>229</v>
      </c>
      <c r="K3593" s="57" t="s">
        <v>7698</v>
      </c>
      <c r="L3593" s="57" t="s">
        <v>364</v>
      </c>
      <c r="M3593" s="3" t="s">
        <v>230</v>
      </c>
      <c r="N3593" s="52" t="s">
        <v>7693</v>
      </c>
      <c r="O3593" s="6" t="s">
        <v>365</v>
      </c>
      <c r="P3593" s="58" t="s">
        <v>241</v>
      </c>
      <c r="Q3593" s="117" t="s">
        <v>234</v>
      </c>
      <c r="R3593" s="22">
        <v>4</v>
      </c>
      <c r="S3593" s="59">
        <v>24474.373000000003</v>
      </c>
      <c r="T3593" s="4">
        <f t="shared" si="152"/>
        <v>97897.492000000013</v>
      </c>
      <c r="U3593" s="4">
        <f t="shared" si="147"/>
        <v>109645.19104000002</v>
      </c>
      <c r="V3593" s="1"/>
      <c r="W3593" s="3">
        <v>2014</v>
      </c>
      <c r="X3593" s="3"/>
    </row>
    <row r="3594" spans="1:24" ht="114.75">
      <c r="A3594" s="3" t="s">
        <v>1724</v>
      </c>
      <c r="B3594" s="6" t="s">
        <v>361</v>
      </c>
      <c r="C3594" s="6" t="s">
        <v>7584</v>
      </c>
      <c r="D3594" s="115" t="s">
        <v>390</v>
      </c>
      <c r="E3594" s="6" t="s">
        <v>7599</v>
      </c>
      <c r="F3594" s="6" t="s">
        <v>7775</v>
      </c>
      <c r="G3594" s="3" t="s">
        <v>11450</v>
      </c>
      <c r="H3594" s="54">
        <v>0</v>
      </c>
      <c r="I3594" s="55">
        <v>470000000</v>
      </c>
      <c r="J3594" s="56" t="s">
        <v>229</v>
      </c>
      <c r="K3594" s="57" t="s">
        <v>641</v>
      </c>
      <c r="L3594" s="57" t="s">
        <v>364</v>
      </c>
      <c r="M3594" s="3" t="s">
        <v>230</v>
      </c>
      <c r="N3594" s="52" t="s">
        <v>7693</v>
      </c>
      <c r="O3594" s="6" t="s">
        <v>365</v>
      </c>
      <c r="P3594" s="58" t="s">
        <v>241</v>
      </c>
      <c r="Q3594" s="117" t="s">
        <v>234</v>
      </c>
      <c r="R3594" s="20">
        <v>20</v>
      </c>
      <c r="S3594" s="118">
        <v>1000</v>
      </c>
      <c r="T3594" s="4">
        <f t="shared" si="152"/>
        <v>20000</v>
      </c>
      <c r="U3594" s="4">
        <f t="shared" si="147"/>
        <v>22400.000000000004</v>
      </c>
      <c r="V3594" s="1"/>
      <c r="W3594" s="3">
        <v>2014</v>
      </c>
      <c r="X3594" s="3"/>
    </row>
    <row r="3595" spans="1:24" ht="114.75">
      <c r="A3595" s="3" t="s">
        <v>1725</v>
      </c>
      <c r="B3595" s="6" t="s">
        <v>361</v>
      </c>
      <c r="C3595" s="6" t="s">
        <v>7600</v>
      </c>
      <c r="D3595" s="115" t="s">
        <v>494</v>
      </c>
      <c r="E3595" s="6" t="s">
        <v>7601</v>
      </c>
      <c r="F3595" s="6" t="s">
        <v>7776</v>
      </c>
      <c r="G3595" s="3" t="s">
        <v>11450</v>
      </c>
      <c r="H3595" s="54">
        <v>0</v>
      </c>
      <c r="I3595" s="55">
        <v>470000000</v>
      </c>
      <c r="J3595" s="56" t="s">
        <v>229</v>
      </c>
      <c r="K3595" s="57" t="s">
        <v>641</v>
      </c>
      <c r="L3595" s="57" t="s">
        <v>364</v>
      </c>
      <c r="M3595" s="3" t="s">
        <v>230</v>
      </c>
      <c r="N3595" s="52" t="s">
        <v>7693</v>
      </c>
      <c r="O3595" s="6" t="s">
        <v>365</v>
      </c>
      <c r="P3595" s="58" t="s">
        <v>241</v>
      </c>
      <c r="Q3595" s="117" t="s">
        <v>234</v>
      </c>
      <c r="R3595" s="20">
        <v>20</v>
      </c>
      <c r="S3595" s="118">
        <v>1000</v>
      </c>
      <c r="T3595" s="4">
        <f t="shared" si="152"/>
        <v>20000</v>
      </c>
      <c r="U3595" s="4">
        <f t="shared" si="147"/>
        <v>22400.000000000004</v>
      </c>
      <c r="V3595" s="1"/>
      <c r="W3595" s="3">
        <v>2014</v>
      </c>
      <c r="X3595" s="3"/>
    </row>
    <row r="3596" spans="1:24" ht="114.75">
      <c r="A3596" s="3" t="s">
        <v>1726</v>
      </c>
      <c r="B3596" s="6" t="s">
        <v>361</v>
      </c>
      <c r="C3596" s="6" t="s">
        <v>7602</v>
      </c>
      <c r="D3596" s="115" t="s">
        <v>7603</v>
      </c>
      <c r="E3596" s="6" t="s">
        <v>7604</v>
      </c>
      <c r="F3596" s="6" t="s">
        <v>7777</v>
      </c>
      <c r="G3596" s="3" t="s">
        <v>11450</v>
      </c>
      <c r="H3596" s="54">
        <v>0</v>
      </c>
      <c r="I3596" s="55">
        <v>470000000</v>
      </c>
      <c r="J3596" s="56" t="s">
        <v>229</v>
      </c>
      <c r="K3596" s="57" t="s">
        <v>641</v>
      </c>
      <c r="L3596" s="57" t="s">
        <v>364</v>
      </c>
      <c r="M3596" s="3" t="s">
        <v>230</v>
      </c>
      <c r="N3596" s="52" t="s">
        <v>7693</v>
      </c>
      <c r="O3596" s="6" t="s">
        <v>365</v>
      </c>
      <c r="P3596" s="58" t="s">
        <v>241</v>
      </c>
      <c r="Q3596" s="117" t="s">
        <v>234</v>
      </c>
      <c r="R3596" s="20">
        <v>5</v>
      </c>
      <c r="S3596" s="118">
        <v>13000</v>
      </c>
      <c r="T3596" s="4">
        <f t="shared" si="152"/>
        <v>65000</v>
      </c>
      <c r="U3596" s="4">
        <f t="shared" si="147"/>
        <v>72800</v>
      </c>
      <c r="V3596" s="1"/>
      <c r="W3596" s="3">
        <v>2014</v>
      </c>
      <c r="X3596" s="3"/>
    </row>
    <row r="3597" spans="1:24" ht="114.75">
      <c r="A3597" s="3" t="s">
        <v>1727</v>
      </c>
      <c r="B3597" s="6" t="s">
        <v>361</v>
      </c>
      <c r="C3597" s="6" t="s">
        <v>7610</v>
      </c>
      <c r="D3597" s="115" t="s">
        <v>7611</v>
      </c>
      <c r="E3597" s="6" t="s">
        <v>7612</v>
      </c>
      <c r="F3597" s="116" t="s">
        <v>7490</v>
      </c>
      <c r="G3597" s="3" t="s">
        <v>11450</v>
      </c>
      <c r="H3597" s="54">
        <v>0</v>
      </c>
      <c r="I3597" s="55">
        <v>470000000</v>
      </c>
      <c r="J3597" s="56" t="s">
        <v>229</v>
      </c>
      <c r="K3597" s="57" t="s">
        <v>641</v>
      </c>
      <c r="L3597" s="57" t="s">
        <v>364</v>
      </c>
      <c r="M3597" s="3" t="s">
        <v>230</v>
      </c>
      <c r="N3597" s="52" t="s">
        <v>7693</v>
      </c>
      <c r="O3597" s="6" t="s">
        <v>365</v>
      </c>
      <c r="P3597" s="58" t="s">
        <v>241</v>
      </c>
      <c r="Q3597" s="117" t="s">
        <v>234</v>
      </c>
      <c r="R3597" s="20">
        <v>5</v>
      </c>
      <c r="S3597" s="118">
        <v>103000</v>
      </c>
      <c r="T3597" s="4">
        <f t="shared" si="152"/>
        <v>515000</v>
      </c>
      <c r="U3597" s="4">
        <f t="shared" si="147"/>
        <v>576800</v>
      </c>
      <c r="V3597" s="1"/>
      <c r="W3597" s="3">
        <v>2014</v>
      </c>
      <c r="X3597" s="3"/>
    </row>
    <row r="3598" spans="1:24" ht="114.75">
      <c r="A3598" s="3" t="s">
        <v>1728</v>
      </c>
      <c r="B3598" s="6" t="s">
        <v>361</v>
      </c>
      <c r="C3598" s="6" t="s">
        <v>7613</v>
      </c>
      <c r="D3598" s="115" t="s">
        <v>394</v>
      </c>
      <c r="E3598" s="6" t="s">
        <v>7614</v>
      </c>
      <c r="F3598" s="116" t="s">
        <v>7778</v>
      </c>
      <c r="G3598" s="3" t="s">
        <v>11450</v>
      </c>
      <c r="H3598" s="54">
        <v>0</v>
      </c>
      <c r="I3598" s="55">
        <v>470000000</v>
      </c>
      <c r="J3598" s="56" t="s">
        <v>229</v>
      </c>
      <c r="K3598" s="57" t="s">
        <v>641</v>
      </c>
      <c r="L3598" s="57" t="s">
        <v>364</v>
      </c>
      <c r="M3598" s="3" t="s">
        <v>230</v>
      </c>
      <c r="N3598" s="52" t="s">
        <v>7693</v>
      </c>
      <c r="O3598" s="6" t="s">
        <v>365</v>
      </c>
      <c r="P3598" s="58" t="s">
        <v>241</v>
      </c>
      <c r="Q3598" s="117" t="s">
        <v>234</v>
      </c>
      <c r="R3598" s="20">
        <v>5</v>
      </c>
      <c r="S3598" s="118">
        <v>46000</v>
      </c>
      <c r="T3598" s="4">
        <f t="shared" si="152"/>
        <v>230000</v>
      </c>
      <c r="U3598" s="4">
        <f t="shared" si="147"/>
        <v>257600.00000000003</v>
      </c>
      <c r="V3598" s="1"/>
      <c r="W3598" s="3">
        <v>2014</v>
      </c>
      <c r="X3598" s="3"/>
    </row>
    <row r="3599" spans="1:24" ht="114.75">
      <c r="A3599" s="3" t="s">
        <v>1729</v>
      </c>
      <c r="B3599" s="6" t="s">
        <v>361</v>
      </c>
      <c r="C3599" s="6" t="s">
        <v>7615</v>
      </c>
      <c r="D3599" s="115" t="s">
        <v>7616</v>
      </c>
      <c r="E3599" s="6" t="s">
        <v>7617</v>
      </c>
      <c r="F3599" s="116" t="s">
        <v>7779</v>
      </c>
      <c r="G3599" s="3" t="s">
        <v>11450</v>
      </c>
      <c r="H3599" s="54">
        <v>0</v>
      </c>
      <c r="I3599" s="55">
        <v>470000000</v>
      </c>
      <c r="J3599" s="56" t="s">
        <v>229</v>
      </c>
      <c r="K3599" s="57" t="s">
        <v>641</v>
      </c>
      <c r="L3599" s="57" t="s">
        <v>364</v>
      </c>
      <c r="M3599" s="3" t="s">
        <v>230</v>
      </c>
      <c r="N3599" s="52" t="s">
        <v>7693</v>
      </c>
      <c r="O3599" s="6" t="s">
        <v>365</v>
      </c>
      <c r="P3599" s="58" t="s">
        <v>241</v>
      </c>
      <c r="Q3599" s="117" t="s">
        <v>234</v>
      </c>
      <c r="R3599" s="22">
        <v>8</v>
      </c>
      <c r="S3599" s="106">
        <v>18514.28</v>
      </c>
      <c r="T3599" s="4">
        <f t="shared" si="152"/>
        <v>148114.23999999999</v>
      </c>
      <c r="U3599" s="4">
        <f t="shared" si="147"/>
        <v>165887.94880000001</v>
      </c>
      <c r="V3599" s="1"/>
      <c r="W3599" s="3">
        <v>2014</v>
      </c>
      <c r="X3599" s="3"/>
    </row>
    <row r="3600" spans="1:24" ht="114.75">
      <c r="A3600" s="3" t="s">
        <v>1730</v>
      </c>
      <c r="B3600" s="6" t="s">
        <v>361</v>
      </c>
      <c r="C3600" s="6" t="s">
        <v>11819</v>
      </c>
      <c r="D3600" s="115" t="s">
        <v>4971</v>
      </c>
      <c r="E3600" s="6" t="s">
        <v>7618</v>
      </c>
      <c r="F3600" s="116" t="s">
        <v>7780</v>
      </c>
      <c r="G3600" s="3" t="s">
        <v>11450</v>
      </c>
      <c r="H3600" s="54">
        <v>0</v>
      </c>
      <c r="I3600" s="55">
        <v>470000000</v>
      </c>
      <c r="J3600" s="56" t="s">
        <v>229</v>
      </c>
      <c r="K3600" s="57" t="s">
        <v>641</v>
      </c>
      <c r="L3600" s="57" t="s">
        <v>364</v>
      </c>
      <c r="M3600" s="3" t="s">
        <v>230</v>
      </c>
      <c r="N3600" s="52" t="s">
        <v>7693</v>
      </c>
      <c r="O3600" s="6" t="s">
        <v>365</v>
      </c>
      <c r="P3600" s="58" t="s">
        <v>237</v>
      </c>
      <c r="Q3600" s="117" t="s">
        <v>238</v>
      </c>
      <c r="R3600" s="22">
        <v>70</v>
      </c>
      <c r="S3600" s="106">
        <v>2777.15</v>
      </c>
      <c r="T3600" s="4">
        <f t="shared" si="152"/>
        <v>194400.5</v>
      </c>
      <c r="U3600" s="4">
        <f t="shared" ref="U3600:U3727" si="155">T3600*1.12</f>
        <v>217728.56000000003</v>
      </c>
      <c r="V3600" s="1"/>
      <c r="W3600" s="3">
        <v>2014</v>
      </c>
      <c r="X3600" s="3"/>
    </row>
    <row r="3601" spans="1:24" ht="114.75">
      <c r="A3601" s="3" t="s">
        <v>1731</v>
      </c>
      <c r="B3601" s="6" t="s">
        <v>361</v>
      </c>
      <c r="C3601" s="6" t="s">
        <v>7619</v>
      </c>
      <c r="D3601" s="115" t="s">
        <v>7620</v>
      </c>
      <c r="E3601" s="6" t="s">
        <v>7621</v>
      </c>
      <c r="F3601" s="116" t="s">
        <v>7781</v>
      </c>
      <c r="G3601" s="3" t="s">
        <v>11450</v>
      </c>
      <c r="H3601" s="54">
        <v>0</v>
      </c>
      <c r="I3601" s="55">
        <v>470000000</v>
      </c>
      <c r="J3601" s="56" t="s">
        <v>229</v>
      </c>
      <c r="K3601" s="57" t="s">
        <v>641</v>
      </c>
      <c r="L3601" s="57" t="s">
        <v>364</v>
      </c>
      <c r="M3601" s="3" t="s">
        <v>230</v>
      </c>
      <c r="N3601" s="52" t="s">
        <v>7693</v>
      </c>
      <c r="O3601" s="6" t="s">
        <v>365</v>
      </c>
      <c r="P3601" s="58" t="s">
        <v>241</v>
      </c>
      <c r="Q3601" s="117" t="s">
        <v>234</v>
      </c>
      <c r="R3601" s="22">
        <v>5</v>
      </c>
      <c r="S3601" s="106">
        <v>19800</v>
      </c>
      <c r="T3601" s="4">
        <f t="shared" si="152"/>
        <v>99000</v>
      </c>
      <c r="U3601" s="4">
        <f t="shared" si="155"/>
        <v>110880.00000000001</v>
      </c>
      <c r="V3601" s="1"/>
      <c r="W3601" s="3">
        <v>2014</v>
      </c>
      <c r="X3601" s="3"/>
    </row>
    <row r="3602" spans="1:24" ht="127.5">
      <c r="A3602" s="3" t="s">
        <v>1732</v>
      </c>
      <c r="B3602" s="6" t="s">
        <v>361</v>
      </c>
      <c r="C3602" s="6" t="s">
        <v>7622</v>
      </c>
      <c r="D3602" s="115" t="s">
        <v>510</v>
      </c>
      <c r="E3602" s="6" t="s">
        <v>7623</v>
      </c>
      <c r="F3602" s="6" t="s">
        <v>7782</v>
      </c>
      <c r="G3602" s="3" t="s">
        <v>11450</v>
      </c>
      <c r="H3602" s="54">
        <v>0</v>
      </c>
      <c r="I3602" s="55">
        <v>470000000</v>
      </c>
      <c r="J3602" s="56" t="s">
        <v>229</v>
      </c>
      <c r="K3602" s="57" t="s">
        <v>641</v>
      </c>
      <c r="L3602" s="57" t="s">
        <v>364</v>
      </c>
      <c r="M3602" s="3" t="s">
        <v>230</v>
      </c>
      <c r="N3602" s="52" t="s">
        <v>7693</v>
      </c>
      <c r="O3602" s="6" t="s">
        <v>365</v>
      </c>
      <c r="P3602" s="58" t="s">
        <v>241</v>
      </c>
      <c r="Q3602" s="117" t="s">
        <v>234</v>
      </c>
      <c r="R3602" s="22">
        <v>4</v>
      </c>
      <c r="S3602" s="106">
        <v>73200</v>
      </c>
      <c r="T3602" s="4">
        <f t="shared" si="152"/>
        <v>292800</v>
      </c>
      <c r="U3602" s="4">
        <f t="shared" si="155"/>
        <v>327936.00000000006</v>
      </c>
      <c r="V3602" s="1"/>
      <c r="W3602" s="3">
        <v>2014</v>
      </c>
      <c r="X3602" s="3"/>
    </row>
    <row r="3603" spans="1:24" ht="114.75">
      <c r="A3603" s="3" t="s">
        <v>1733</v>
      </c>
      <c r="B3603" s="6" t="s">
        <v>361</v>
      </c>
      <c r="C3603" s="6" t="s">
        <v>6282</v>
      </c>
      <c r="D3603" s="115" t="s">
        <v>5357</v>
      </c>
      <c r="E3603" s="6" t="s">
        <v>6283</v>
      </c>
      <c r="F3603" s="6" t="s">
        <v>7783</v>
      </c>
      <c r="G3603" s="3" t="s">
        <v>11450</v>
      </c>
      <c r="H3603" s="54">
        <v>0</v>
      </c>
      <c r="I3603" s="55">
        <v>470000000</v>
      </c>
      <c r="J3603" s="56" t="s">
        <v>229</v>
      </c>
      <c r="K3603" s="57" t="s">
        <v>641</v>
      </c>
      <c r="L3603" s="57" t="s">
        <v>364</v>
      </c>
      <c r="M3603" s="3" t="s">
        <v>230</v>
      </c>
      <c r="N3603" s="52" t="s">
        <v>7693</v>
      </c>
      <c r="O3603" s="6" t="s">
        <v>365</v>
      </c>
      <c r="P3603" s="58" t="s">
        <v>242</v>
      </c>
      <c r="Q3603" s="53" t="s">
        <v>239</v>
      </c>
      <c r="R3603" s="22">
        <v>4</v>
      </c>
      <c r="S3603" s="106">
        <v>13200</v>
      </c>
      <c r="T3603" s="4">
        <f t="shared" si="152"/>
        <v>52800</v>
      </c>
      <c r="U3603" s="4">
        <f t="shared" si="155"/>
        <v>59136.000000000007</v>
      </c>
      <c r="V3603" s="1"/>
      <c r="W3603" s="3">
        <v>2014</v>
      </c>
      <c r="X3603" s="3"/>
    </row>
    <row r="3604" spans="1:24" ht="114.75">
      <c r="A3604" s="3" t="s">
        <v>1734</v>
      </c>
      <c r="B3604" s="6" t="s">
        <v>361</v>
      </c>
      <c r="C3604" s="6" t="s">
        <v>7494</v>
      </c>
      <c r="D3604" s="115" t="s">
        <v>11523</v>
      </c>
      <c r="E3604" s="6" t="s">
        <v>7495</v>
      </c>
      <c r="F3604" s="6" t="s">
        <v>7491</v>
      </c>
      <c r="G3604" s="3" t="s">
        <v>11450</v>
      </c>
      <c r="H3604" s="54">
        <v>0</v>
      </c>
      <c r="I3604" s="55">
        <v>470000000</v>
      </c>
      <c r="J3604" s="56" t="s">
        <v>229</v>
      </c>
      <c r="K3604" s="57" t="s">
        <v>641</v>
      </c>
      <c r="L3604" s="57" t="s">
        <v>364</v>
      </c>
      <c r="M3604" s="3" t="s">
        <v>230</v>
      </c>
      <c r="N3604" s="52" t="s">
        <v>7693</v>
      </c>
      <c r="O3604" s="6" t="s">
        <v>365</v>
      </c>
      <c r="P3604" s="58" t="s">
        <v>237</v>
      </c>
      <c r="Q3604" s="53" t="s">
        <v>238</v>
      </c>
      <c r="R3604" s="22">
        <v>100</v>
      </c>
      <c r="S3604" s="106">
        <v>1200</v>
      </c>
      <c r="T3604" s="4">
        <f t="shared" si="152"/>
        <v>120000</v>
      </c>
      <c r="U3604" s="4">
        <f t="shared" si="155"/>
        <v>134400</v>
      </c>
      <c r="V3604" s="1"/>
      <c r="W3604" s="3">
        <v>2014</v>
      </c>
      <c r="X3604" s="3"/>
    </row>
    <row r="3605" spans="1:24" ht="114.75">
      <c r="A3605" s="3" t="s">
        <v>1735</v>
      </c>
      <c r="B3605" s="6" t="s">
        <v>361</v>
      </c>
      <c r="C3605" s="6" t="s">
        <v>7496</v>
      </c>
      <c r="D3605" s="3" t="s">
        <v>395</v>
      </c>
      <c r="E3605" s="3" t="s">
        <v>7497</v>
      </c>
      <c r="F3605" s="6" t="s">
        <v>7492</v>
      </c>
      <c r="G3605" s="3" t="s">
        <v>11450</v>
      </c>
      <c r="H3605" s="54">
        <v>0</v>
      </c>
      <c r="I3605" s="55">
        <v>470000000</v>
      </c>
      <c r="J3605" s="56" t="s">
        <v>229</v>
      </c>
      <c r="K3605" s="57" t="s">
        <v>641</v>
      </c>
      <c r="L3605" s="57" t="s">
        <v>364</v>
      </c>
      <c r="M3605" s="3" t="s">
        <v>230</v>
      </c>
      <c r="N3605" s="52" t="s">
        <v>7693</v>
      </c>
      <c r="O3605" s="6" t="s">
        <v>365</v>
      </c>
      <c r="P3605" s="58" t="s">
        <v>237</v>
      </c>
      <c r="Q3605" s="53" t="s">
        <v>238</v>
      </c>
      <c r="R3605" s="22">
        <v>100</v>
      </c>
      <c r="S3605" s="106">
        <v>16600</v>
      </c>
      <c r="T3605" s="4">
        <f t="shared" si="152"/>
        <v>1660000</v>
      </c>
      <c r="U3605" s="4">
        <f t="shared" si="155"/>
        <v>1859200.0000000002</v>
      </c>
      <c r="V3605" s="1"/>
      <c r="W3605" s="3">
        <v>2014</v>
      </c>
      <c r="X3605" s="3"/>
    </row>
    <row r="3606" spans="1:24" ht="114.75">
      <c r="A3606" s="3" t="s">
        <v>1736</v>
      </c>
      <c r="B3606" s="6" t="s">
        <v>361</v>
      </c>
      <c r="C3606" s="6" t="s">
        <v>7596</v>
      </c>
      <c r="D3606" s="6" t="s">
        <v>7597</v>
      </c>
      <c r="E3606" s="3" t="s">
        <v>7598</v>
      </c>
      <c r="F3606" s="9" t="s">
        <v>7493</v>
      </c>
      <c r="G3606" s="3" t="s">
        <v>11450</v>
      </c>
      <c r="H3606" s="54">
        <v>0</v>
      </c>
      <c r="I3606" s="55">
        <v>470000000</v>
      </c>
      <c r="J3606" s="56" t="s">
        <v>229</v>
      </c>
      <c r="K3606" s="57" t="s">
        <v>641</v>
      </c>
      <c r="L3606" s="57" t="s">
        <v>364</v>
      </c>
      <c r="M3606" s="3" t="s">
        <v>230</v>
      </c>
      <c r="N3606" s="52" t="s">
        <v>7693</v>
      </c>
      <c r="O3606" s="6" t="s">
        <v>365</v>
      </c>
      <c r="P3606" s="58" t="s">
        <v>237</v>
      </c>
      <c r="Q3606" s="53" t="s">
        <v>238</v>
      </c>
      <c r="R3606" s="22">
        <v>100</v>
      </c>
      <c r="S3606" s="59">
        <v>3380</v>
      </c>
      <c r="T3606" s="4">
        <f t="shared" si="152"/>
        <v>338000</v>
      </c>
      <c r="U3606" s="4">
        <f t="shared" si="155"/>
        <v>378560.00000000006</v>
      </c>
      <c r="V3606" s="1"/>
      <c r="W3606" s="3">
        <v>2014</v>
      </c>
      <c r="X3606" s="3"/>
    </row>
    <row r="3607" spans="1:24" ht="140.25">
      <c r="A3607" s="3" t="s">
        <v>1737</v>
      </c>
      <c r="B3607" s="6" t="s">
        <v>361</v>
      </c>
      <c r="C3607" s="6" t="s">
        <v>7589</v>
      </c>
      <c r="D3607" s="116" t="s">
        <v>3755</v>
      </c>
      <c r="E3607" s="6" t="s">
        <v>11524</v>
      </c>
      <c r="F3607" s="109" t="s">
        <v>7784</v>
      </c>
      <c r="G3607" s="3" t="s">
        <v>11449</v>
      </c>
      <c r="H3607" s="54">
        <v>0</v>
      </c>
      <c r="I3607" s="55">
        <v>470000000</v>
      </c>
      <c r="J3607" s="56" t="s">
        <v>229</v>
      </c>
      <c r="K3607" s="57" t="s">
        <v>642</v>
      </c>
      <c r="L3607" s="57" t="s">
        <v>364</v>
      </c>
      <c r="M3607" s="3" t="s">
        <v>230</v>
      </c>
      <c r="N3607" s="52" t="s">
        <v>7693</v>
      </c>
      <c r="O3607" s="6" t="s">
        <v>365</v>
      </c>
      <c r="P3607" s="58" t="s">
        <v>237</v>
      </c>
      <c r="Q3607" s="53" t="s">
        <v>238</v>
      </c>
      <c r="R3607" s="22">
        <v>200</v>
      </c>
      <c r="S3607" s="59">
        <v>11129.676800000001</v>
      </c>
      <c r="T3607" s="4">
        <v>0</v>
      </c>
      <c r="U3607" s="4">
        <f t="shared" si="155"/>
        <v>0</v>
      </c>
      <c r="V3607" s="1"/>
      <c r="W3607" s="3">
        <v>2014</v>
      </c>
      <c r="X3607" s="3">
        <v>12</v>
      </c>
    </row>
    <row r="3608" spans="1:24" ht="140.25">
      <c r="A3608" s="3" t="s">
        <v>13435</v>
      </c>
      <c r="B3608" s="6" t="s">
        <v>361</v>
      </c>
      <c r="C3608" s="6" t="s">
        <v>7589</v>
      </c>
      <c r="D3608" s="116" t="s">
        <v>3755</v>
      </c>
      <c r="E3608" s="6" t="s">
        <v>11524</v>
      </c>
      <c r="F3608" s="109" t="s">
        <v>7784</v>
      </c>
      <c r="G3608" s="3" t="s">
        <v>11449</v>
      </c>
      <c r="H3608" s="54">
        <v>0</v>
      </c>
      <c r="I3608" s="55">
        <v>470000000</v>
      </c>
      <c r="J3608" s="56" t="s">
        <v>229</v>
      </c>
      <c r="K3608" s="57" t="s">
        <v>642</v>
      </c>
      <c r="L3608" s="17" t="s">
        <v>11411</v>
      </c>
      <c r="M3608" s="3" t="s">
        <v>230</v>
      </c>
      <c r="N3608" s="52" t="s">
        <v>7693</v>
      </c>
      <c r="O3608" s="6" t="s">
        <v>365</v>
      </c>
      <c r="P3608" s="58" t="s">
        <v>237</v>
      </c>
      <c r="Q3608" s="53" t="s">
        <v>238</v>
      </c>
      <c r="R3608" s="22">
        <v>200</v>
      </c>
      <c r="S3608" s="59">
        <v>11129.676800000001</v>
      </c>
      <c r="T3608" s="4">
        <v>0</v>
      </c>
      <c r="U3608" s="4">
        <f>T3608*1.12</f>
        <v>0</v>
      </c>
      <c r="V3608" s="1"/>
      <c r="W3608" s="3">
        <v>2014</v>
      </c>
      <c r="X3608" s="3" t="s">
        <v>14785</v>
      </c>
    </row>
    <row r="3609" spans="1:24" ht="140.25">
      <c r="A3609" s="3" t="s">
        <v>16733</v>
      </c>
      <c r="B3609" s="6" t="s">
        <v>361</v>
      </c>
      <c r="C3609" s="6" t="s">
        <v>7589</v>
      </c>
      <c r="D3609" s="116" t="s">
        <v>3755</v>
      </c>
      <c r="E3609" s="6" t="s">
        <v>11524</v>
      </c>
      <c r="F3609" s="109" t="s">
        <v>7784</v>
      </c>
      <c r="G3609" s="3" t="s">
        <v>11449</v>
      </c>
      <c r="H3609" s="54">
        <v>0</v>
      </c>
      <c r="I3609" s="55">
        <v>470000000</v>
      </c>
      <c r="J3609" s="56" t="s">
        <v>229</v>
      </c>
      <c r="K3609" s="57" t="s">
        <v>8950</v>
      </c>
      <c r="L3609" s="17" t="s">
        <v>11411</v>
      </c>
      <c r="M3609" s="3" t="s">
        <v>230</v>
      </c>
      <c r="N3609" s="52" t="s">
        <v>7693</v>
      </c>
      <c r="O3609" s="6" t="s">
        <v>365</v>
      </c>
      <c r="P3609" s="58" t="s">
        <v>237</v>
      </c>
      <c r="Q3609" s="53" t="s">
        <v>238</v>
      </c>
      <c r="R3609" s="22">
        <v>200</v>
      </c>
      <c r="S3609" s="59">
        <v>13355.612160000001</v>
      </c>
      <c r="T3609" s="4">
        <v>0</v>
      </c>
      <c r="U3609" s="4">
        <f>T3609*1.12</f>
        <v>0</v>
      </c>
      <c r="V3609" s="1"/>
      <c r="W3609" s="3">
        <v>2014</v>
      </c>
      <c r="X3609" s="3">
        <v>11.14</v>
      </c>
    </row>
    <row r="3610" spans="1:24" ht="140.25">
      <c r="A3610" s="3" t="s">
        <v>19042</v>
      </c>
      <c r="B3610" s="6" t="s">
        <v>361</v>
      </c>
      <c r="C3610" s="6" t="s">
        <v>7589</v>
      </c>
      <c r="D3610" s="116" t="s">
        <v>3755</v>
      </c>
      <c r="E3610" s="6" t="s">
        <v>11524</v>
      </c>
      <c r="F3610" s="109" t="s">
        <v>7784</v>
      </c>
      <c r="G3610" s="3" t="s">
        <v>11449</v>
      </c>
      <c r="H3610" s="54">
        <v>0</v>
      </c>
      <c r="I3610" s="55">
        <v>470000000</v>
      </c>
      <c r="J3610" s="56" t="s">
        <v>229</v>
      </c>
      <c r="K3610" s="57" t="s">
        <v>18437</v>
      </c>
      <c r="L3610" s="17" t="s">
        <v>11411</v>
      </c>
      <c r="M3610" s="3" t="s">
        <v>230</v>
      </c>
      <c r="N3610" s="52" t="s">
        <v>16511</v>
      </c>
      <c r="O3610" s="6" t="s">
        <v>365</v>
      </c>
      <c r="P3610" s="58" t="s">
        <v>237</v>
      </c>
      <c r="Q3610" s="53" t="s">
        <v>238</v>
      </c>
      <c r="R3610" s="22">
        <v>200</v>
      </c>
      <c r="S3610" s="59">
        <v>13355.612160000001</v>
      </c>
      <c r="T3610" s="4">
        <v>0</v>
      </c>
      <c r="U3610" s="4">
        <f>T3610*1.12</f>
        <v>0</v>
      </c>
      <c r="V3610" s="1"/>
      <c r="W3610" s="3">
        <v>2014</v>
      </c>
      <c r="X3610" s="3" t="s">
        <v>19492</v>
      </c>
    </row>
    <row r="3611" spans="1:24" ht="140.25">
      <c r="A3611" s="3" t="s">
        <v>19446</v>
      </c>
      <c r="B3611" s="6" t="s">
        <v>361</v>
      </c>
      <c r="C3611" s="6" t="s">
        <v>7589</v>
      </c>
      <c r="D3611" s="116" t="s">
        <v>3755</v>
      </c>
      <c r="E3611" s="6" t="s">
        <v>11524</v>
      </c>
      <c r="F3611" s="109" t="s">
        <v>7784</v>
      </c>
      <c r="G3611" s="3" t="s">
        <v>11450</v>
      </c>
      <c r="H3611" s="54">
        <v>0</v>
      </c>
      <c r="I3611" s="55">
        <v>470000000</v>
      </c>
      <c r="J3611" s="56" t="s">
        <v>229</v>
      </c>
      <c r="K3611" s="57" t="s">
        <v>19379</v>
      </c>
      <c r="L3611" s="17" t="s">
        <v>11411</v>
      </c>
      <c r="M3611" s="3" t="s">
        <v>230</v>
      </c>
      <c r="N3611" s="52" t="s">
        <v>16511</v>
      </c>
      <c r="O3611" s="6" t="s">
        <v>19407</v>
      </c>
      <c r="P3611" s="58" t="s">
        <v>237</v>
      </c>
      <c r="Q3611" s="53" t="s">
        <v>238</v>
      </c>
      <c r="R3611" s="22">
        <v>200</v>
      </c>
      <c r="S3611" s="59">
        <v>13355.612160000001</v>
      </c>
      <c r="T3611" s="4">
        <f>R3611*S3611</f>
        <v>2671122.432</v>
      </c>
      <c r="U3611" s="4">
        <f>T3611*1.12</f>
        <v>2991657.1238400005</v>
      </c>
      <c r="V3611" s="1"/>
      <c r="W3611" s="3">
        <v>2014</v>
      </c>
      <c r="X3611" s="3"/>
    </row>
    <row r="3612" spans="1:24" ht="140.25">
      <c r="A3612" s="3" t="s">
        <v>1738</v>
      </c>
      <c r="B3612" s="6" t="s">
        <v>361</v>
      </c>
      <c r="C3612" s="6" t="s">
        <v>7591</v>
      </c>
      <c r="D3612" s="115" t="s">
        <v>11525</v>
      </c>
      <c r="E3612" s="6" t="s">
        <v>11526</v>
      </c>
      <c r="F3612" s="109" t="s">
        <v>7785</v>
      </c>
      <c r="G3612" s="3" t="s">
        <v>11449</v>
      </c>
      <c r="H3612" s="54">
        <v>0</v>
      </c>
      <c r="I3612" s="55">
        <v>470000000</v>
      </c>
      <c r="J3612" s="56" t="s">
        <v>229</v>
      </c>
      <c r="K3612" s="57" t="s">
        <v>642</v>
      </c>
      <c r="L3612" s="57" t="s">
        <v>364</v>
      </c>
      <c r="M3612" s="3" t="s">
        <v>230</v>
      </c>
      <c r="N3612" s="52" t="s">
        <v>7693</v>
      </c>
      <c r="O3612" s="6" t="s">
        <v>365</v>
      </c>
      <c r="P3612" s="58" t="s">
        <v>396</v>
      </c>
      <c r="Q3612" s="53" t="s">
        <v>234</v>
      </c>
      <c r="R3612" s="22">
        <v>6</v>
      </c>
      <c r="S3612" s="106">
        <v>46612.315200000005</v>
      </c>
      <c r="T3612" s="4">
        <v>0</v>
      </c>
      <c r="U3612" s="4">
        <f t="shared" si="155"/>
        <v>0</v>
      </c>
      <c r="V3612" s="1"/>
      <c r="W3612" s="3">
        <v>2014</v>
      </c>
      <c r="X3612" s="3">
        <v>12</v>
      </c>
    </row>
    <row r="3613" spans="1:24" ht="140.25">
      <c r="A3613" s="3" t="s">
        <v>13436</v>
      </c>
      <c r="B3613" s="6" t="s">
        <v>361</v>
      </c>
      <c r="C3613" s="6" t="s">
        <v>7591</v>
      </c>
      <c r="D3613" s="115" t="s">
        <v>11525</v>
      </c>
      <c r="E3613" s="6" t="s">
        <v>11526</v>
      </c>
      <c r="F3613" s="109" t="s">
        <v>7785</v>
      </c>
      <c r="G3613" s="3" t="s">
        <v>11449</v>
      </c>
      <c r="H3613" s="54">
        <v>0</v>
      </c>
      <c r="I3613" s="55">
        <v>470000000</v>
      </c>
      <c r="J3613" s="56" t="s">
        <v>229</v>
      </c>
      <c r="K3613" s="57" t="s">
        <v>642</v>
      </c>
      <c r="L3613" s="17" t="s">
        <v>11411</v>
      </c>
      <c r="M3613" s="3" t="s">
        <v>230</v>
      </c>
      <c r="N3613" s="52" t="s">
        <v>7693</v>
      </c>
      <c r="O3613" s="6" t="s">
        <v>365</v>
      </c>
      <c r="P3613" s="58" t="s">
        <v>396</v>
      </c>
      <c r="Q3613" s="53" t="s">
        <v>234</v>
      </c>
      <c r="R3613" s="22">
        <v>6</v>
      </c>
      <c r="S3613" s="106">
        <v>46612.315200000005</v>
      </c>
      <c r="T3613" s="4">
        <v>0</v>
      </c>
      <c r="U3613" s="4">
        <f>T3613*1.12</f>
        <v>0</v>
      </c>
      <c r="V3613" s="1"/>
      <c r="W3613" s="3">
        <v>2014</v>
      </c>
      <c r="X3613" s="3" t="s">
        <v>14785</v>
      </c>
    </row>
    <row r="3614" spans="1:24" ht="140.25">
      <c r="A3614" s="3" t="s">
        <v>16734</v>
      </c>
      <c r="B3614" s="6" t="s">
        <v>361</v>
      </c>
      <c r="C3614" s="6" t="s">
        <v>7591</v>
      </c>
      <c r="D3614" s="115" t="s">
        <v>11525</v>
      </c>
      <c r="E3614" s="6" t="s">
        <v>11526</v>
      </c>
      <c r="F3614" s="109" t="s">
        <v>7785</v>
      </c>
      <c r="G3614" s="3" t="s">
        <v>11449</v>
      </c>
      <c r="H3614" s="54">
        <v>0</v>
      </c>
      <c r="I3614" s="55">
        <v>470000000</v>
      </c>
      <c r="J3614" s="56" t="s">
        <v>229</v>
      </c>
      <c r="K3614" s="57" t="s">
        <v>8950</v>
      </c>
      <c r="L3614" s="17" t="s">
        <v>11411</v>
      </c>
      <c r="M3614" s="3" t="s">
        <v>230</v>
      </c>
      <c r="N3614" s="52" t="s">
        <v>7693</v>
      </c>
      <c r="O3614" s="6" t="s">
        <v>365</v>
      </c>
      <c r="P3614" s="58" t="s">
        <v>396</v>
      </c>
      <c r="Q3614" s="53" t="s">
        <v>234</v>
      </c>
      <c r="R3614" s="22">
        <v>6</v>
      </c>
      <c r="S3614" s="106">
        <v>55934.778240000007</v>
      </c>
      <c r="T3614" s="4">
        <v>0</v>
      </c>
      <c r="U3614" s="4">
        <f>T3614*1.12</f>
        <v>0</v>
      </c>
      <c r="V3614" s="1"/>
      <c r="W3614" s="3">
        <v>2014</v>
      </c>
      <c r="X3614" s="3">
        <v>11.14</v>
      </c>
    </row>
    <row r="3615" spans="1:24" ht="140.25">
      <c r="A3615" s="3" t="s">
        <v>19024</v>
      </c>
      <c r="B3615" s="6" t="s">
        <v>361</v>
      </c>
      <c r="C3615" s="6" t="s">
        <v>7591</v>
      </c>
      <c r="D3615" s="115" t="s">
        <v>11525</v>
      </c>
      <c r="E3615" s="6" t="s">
        <v>11526</v>
      </c>
      <c r="F3615" s="109" t="s">
        <v>7785</v>
      </c>
      <c r="G3615" s="3" t="s">
        <v>11449</v>
      </c>
      <c r="H3615" s="54">
        <v>0</v>
      </c>
      <c r="I3615" s="55">
        <v>470000000</v>
      </c>
      <c r="J3615" s="56" t="s">
        <v>229</v>
      </c>
      <c r="K3615" s="57" t="s">
        <v>18437</v>
      </c>
      <c r="L3615" s="17" t="s">
        <v>11411</v>
      </c>
      <c r="M3615" s="3" t="s">
        <v>230</v>
      </c>
      <c r="N3615" s="52" t="s">
        <v>16511</v>
      </c>
      <c r="O3615" s="6" t="s">
        <v>365</v>
      </c>
      <c r="P3615" s="58" t="s">
        <v>396</v>
      </c>
      <c r="Q3615" s="53" t="s">
        <v>234</v>
      </c>
      <c r="R3615" s="22">
        <v>6</v>
      </c>
      <c r="S3615" s="106">
        <v>55934.778240000007</v>
      </c>
      <c r="T3615" s="4">
        <v>0</v>
      </c>
      <c r="U3615" s="4">
        <f>T3615*1.12</f>
        <v>0</v>
      </c>
      <c r="V3615" s="1"/>
      <c r="W3615" s="3">
        <v>2014</v>
      </c>
      <c r="X3615" s="3" t="s">
        <v>19492</v>
      </c>
    </row>
    <row r="3616" spans="1:24" ht="140.25">
      <c r="A3616" s="3" t="s">
        <v>19447</v>
      </c>
      <c r="B3616" s="6" t="s">
        <v>361</v>
      </c>
      <c r="C3616" s="6" t="s">
        <v>7591</v>
      </c>
      <c r="D3616" s="115" t="s">
        <v>11525</v>
      </c>
      <c r="E3616" s="6" t="s">
        <v>11526</v>
      </c>
      <c r="F3616" s="109" t="s">
        <v>7785</v>
      </c>
      <c r="G3616" s="3" t="s">
        <v>11450</v>
      </c>
      <c r="H3616" s="54">
        <v>0</v>
      </c>
      <c r="I3616" s="55">
        <v>470000000</v>
      </c>
      <c r="J3616" s="56" t="s">
        <v>229</v>
      </c>
      <c r="K3616" s="57" t="s">
        <v>19379</v>
      </c>
      <c r="L3616" s="17" t="s">
        <v>11411</v>
      </c>
      <c r="M3616" s="3" t="s">
        <v>230</v>
      </c>
      <c r="N3616" s="52" t="s">
        <v>16511</v>
      </c>
      <c r="O3616" s="6" t="s">
        <v>19407</v>
      </c>
      <c r="P3616" s="58" t="s">
        <v>396</v>
      </c>
      <c r="Q3616" s="53" t="s">
        <v>234</v>
      </c>
      <c r="R3616" s="22">
        <v>6</v>
      </c>
      <c r="S3616" s="106">
        <v>55934.778240000007</v>
      </c>
      <c r="T3616" s="4">
        <f>R3616*S3616</f>
        <v>335608.66944000003</v>
      </c>
      <c r="U3616" s="4">
        <f>T3616*1.12</f>
        <v>375881.70977280004</v>
      </c>
      <c r="V3616" s="1"/>
      <c r="W3616" s="3">
        <v>2014</v>
      </c>
      <c r="X3616" s="3"/>
    </row>
    <row r="3617" spans="1:24" ht="153">
      <c r="A3617" s="3" t="s">
        <v>1739</v>
      </c>
      <c r="B3617" s="6" t="s">
        <v>361</v>
      </c>
      <c r="C3617" s="6" t="s">
        <v>7591</v>
      </c>
      <c r="D3617" s="115" t="s">
        <v>11525</v>
      </c>
      <c r="E3617" s="6" t="s">
        <v>11526</v>
      </c>
      <c r="F3617" s="109" t="s">
        <v>7786</v>
      </c>
      <c r="G3617" s="3" t="s">
        <v>11449</v>
      </c>
      <c r="H3617" s="54">
        <v>0</v>
      </c>
      <c r="I3617" s="55">
        <v>470000000</v>
      </c>
      <c r="J3617" s="56" t="s">
        <v>229</v>
      </c>
      <c r="K3617" s="57" t="s">
        <v>642</v>
      </c>
      <c r="L3617" s="57" t="s">
        <v>364</v>
      </c>
      <c r="M3617" s="3" t="s">
        <v>230</v>
      </c>
      <c r="N3617" s="52" t="s">
        <v>7693</v>
      </c>
      <c r="O3617" s="6" t="s">
        <v>365</v>
      </c>
      <c r="P3617" s="58" t="s">
        <v>396</v>
      </c>
      <c r="Q3617" s="53" t="s">
        <v>234</v>
      </c>
      <c r="R3617" s="22">
        <v>10</v>
      </c>
      <c r="S3617" s="106">
        <v>59804.474399999999</v>
      </c>
      <c r="T3617" s="4">
        <v>0</v>
      </c>
      <c r="U3617" s="4">
        <f t="shared" si="155"/>
        <v>0</v>
      </c>
      <c r="V3617" s="1"/>
      <c r="W3617" s="3">
        <v>2014</v>
      </c>
      <c r="X3617" s="3">
        <v>12</v>
      </c>
    </row>
    <row r="3618" spans="1:24" ht="153">
      <c r="A3618" s="3" t="s">
        <v>13437</v>
      </c>
      <c r="B3618" s="6" t="s">
        <v>361</v>
      </c>
      <c r="C3618" s="6" t="s">
        <v>7591</v>
      </c>
      <c r="D3618" s="115" t="s">
        <v>11525</v>
      </c>
      <c r="E3618" s="6" t="s">
        <v>11526</v>
      </c>
      <c r="F3618" s="109" t="s">
        <v>7786</v>
      </c>
      <c r="G3618" s="3" t="s">
        <v>11449</v>
      </c>
      <c r="H3618" s="54">
        <v>0</v>
      </c>
      <c r="I3618" s="55">
        <v>470000000</v>
      </c>
      <c r="J3618" s="56" t="s">
        <v>229</v>
      </c>
      <c r="K3618" s="57" t="s">
        <v>642</v>
      </c>
      <c r="L3618" s="17" t="s">
        <v>11411</v>
      </c>
      <c r="M3618" s="3" t="s">
        <v>230</v>
      </c>
      <c r="N3618" s="52" t="s">
        <v>7693</v>
      </c>
      <c r="O3618" s="6" t="s">
        <v>365</v>
      </c>
      <c r="P3618" s="58" t="s">
        <v>396</v>
      </c>
      <c r="Q3618" s="53" t="s">
        <v>234</v>
      </c>
      <c r="R3618" s="22">
        <v>10</v>
      </c>
      <c r="S3618" s="106">
        <v>59804.474399999999</v>
      </c>
      <c r="T3618" s="4">
        <v>0</v>
      </c>
      <c r="U3618" s="4">
        <f>T3618*1.12</f>
        <v>0</v>
      </c>
      <c r="V3618" s="1"/>
      <c r="W3618" s="3">
        <v>2014</v>
      </c>
      <c r="X3618" s="3" t="s">
        <v>14785</v>
      </c>
    </row>
    <row r="3619" spans="1:24" ht="153">
      <c r="A3619" s="3" t="s">
        <v>16735</v>
      </c>
      <c r="B3619" s="6" t="s">
        <v>361</v>
      </c>
      <c r="C3619" s="6" t="s">
        <v>7591</v>
      </c>
      <c r="D3619" s="115" t="s">
        <v>11525</v>
      </c>
      <c r="E3619" s="6" t="s">
        <v>11526</v>
      </c>
      <c r="F3619" s="109" t="s">
        <v>7786</v>
      </c>
      <c r="G3619" s="3" t="s">
        <v>11449</v>
      </c>
      <c r="H3619" s="54">
        <v>0</v>
      </c>
      <c r="I3619" s="55">
        <v>470000000</v>
      </c>
      <c r="J3619" s="56" t="s">
        <v>229</v>
      </c>
      <c r="K3619" s="57" t="s">
        <v>8950</v>
      </c>
      <c r="L3619" s="17" t="s">
        <v>11411</v>
      </c>
      <c r="M3619" s="3" t="s">
        <v>230</v>
      </c>
      <c r="N3619" s="52" t="s">
        <v>7693</v>
      </c>
      <c r="O3619" s="6" t="s">
        <v>365</v>
      </c>
      <c r="P3619" s="58" t="s">
        <v>396</v>
      </c>
      <c r="Q3619" s="53" t="s">
        <v>234</v>
      </c>
      <c r="R3619" s="22">
        <v>10</v>
      </c>
      <c r="S3619" s="106">
        <v>71765.369279999999</v>
      </c>
      <c r="T3619" s="4">
        <v>0</v>
      </c>
      <c r="U3619" s="4">
        <f>T3619*1.12</f>
        <v>0</v>
      </c>
      <c r="V3619" s="1"/>
      <c r="W3619" s="3">
        <v>2014</v>
      </c>
      <c r="X3619" s="3">
        <v>11.14</v>
      </c>
    </row>
    <row r="3620" spans="1:24" ht="153">
      <c r="A3620" s="3" t="s">
        <v>19025</v>
      </c>
      <c r="B3620" s="6" t="s">
        <v>361</v>
      </c>
      <c r="C3620" s="6" t="s">
        <v>7591</v>
      </c>
      <c r="D3620" s="115" t="s">
        <v>11525</v>
      </c>
      <c r="E3620" s="6" t="s">
        <v>11526</v>
      </c>
      <c r="F3620" s="109" t="s">
        <v>7786</v>
      </c>
      <c r="G3620" s="3" t="s">
        <v>11449</v>
      </c>
      <c r="H3620" s="54">
        <v>0</v>
      </c>
      <c r="I3620" s="55">
        <v>470000000</v>
      </c>
      <c r="J3620" s="56" t="s">
        <v>229</v>
      </c>
      <c r="K3620" s="57" t="s">
        <v>18437</v>
      </c>
      <c r="L3620" s="17" t="s">
        <v>11411</v>
      </c>
      <c r="M3620" s="3" t="s">
        <v>230</v>
      </c>
      <c r="N3620" s="52" t="s">
        <v>16511</v>
      </c>
      <c r="O3620" s="6" t="s">
        <v>365</v>
      </c>
      <c r="P3620" s="58" t="s">
        <v>396</v>
      </c>
      <c r="Q3620" s="53" t="s">
        <v>234</v>
      </c>
      <c r="R3620" s="22">
        <v>10</v>
      </c>
      <c r="S3620" s="106">
        <v>71765.369279999999</v>
      </c>
      <c r="T3620" s="4">
        <v>0</v>
      </c>
      <c r="U3620" s="4">
        <f>T3620*1.12</f>
        <v>0</v>
      </c>
      <c r="V3620" s="1"/>
      <c r="W3620" s="3">
        <v>2014</v>
      </c>
      <c r="X3620" s="3" t="s">
        <v>19492</v>
      </c>
    </row>
    <row r="3621" spans="1:24" ht="153">
      <c r="A3621" s="3" t="s">
        <v>19448</v>
      </c>
      <c r="B3621" s="6" t="s">
        <v>361</v>
      </c>
      <c r="C3621" s="6" t="s">
        <v>7591</v>
      </c>
      <c r="D3621" s="115" t="s">
        <v>11525</v>
      </c>
      <c r="E3621" s="6" t="s">
        <v>11526</v>
      </c>
      <c r="F3621" s="109" t="s">
        <v>7786</v>
      </c>
      <c r="G3621" s="3" t="s">
        <v>11450</v>
      </c>
      <c r="H3621" s="54">
        <v>0</v>
      </c>
      <c r="I3621" s="55">
        <v>470000000</v>
      </c>
      <c r="J3621" s="56" t="s">
        <v>229</v>
      </c>
      <c r="K3621" s="57" t="s">
        <v>19379</v>
      </c>
      <c r="L3621" s="17" t="s">
        <v>11411</v>
      </c>
      <c r="M3621" s="3" t="s">
        <v>230</v>
      </c>
      <c r="N3621" s="52" t="s">
        <v>16511</v>
      </c>
      <c r="O3621" s="6" t="s">
        <v>19407</v>
      </c>
      <c r="P3621" s="58" t="s">
        <v>396</v>
      </c>
      <c r="Q3621" s="53" t="s">
        <v>234</v>
      </c>
      <c r="R3621" s="22">
        <v>10</v>
      </c>
      <c r="S3621" s="106">
        <v>71765.369279999999</v>
      </c>
      <c r="T3621" s="4">
        <f>R3621*S3621</f>
        <v>717653.69279999996</v>
      </c>
      <c r="U3621" s="4">
        <f>T3621*1.12</f>
        <v>803772.13593600004</v>
      </c>
      <c r="V3621" s="1"/>
      <c r="W3621" s="3">
        <v>2014</v>
      </c>
      <c r="X3621" s="3"/>
    </row>
    <row r="3622" spans="1:24" ht="140.25">
      <c r="A3622" s="3" t="s">
        <v>1740</v>
      </c>
      <c r="B3622" s="6" t="s">
        <v>361</v>
      </c>
      <c r="C3622" s="6" t="s">
        <v>7591</v>
      </c>
      <c r="D3622" s="115" t="s">
        <v>11525</v>
      </c>
      <c r="E3622" s="6" t="s">
        <v>11526</v>
      </c>
      <c r="F3622" s="109" t="s">
        <v>7787</v>
      </c>
      <c r="G3622" s="3" t="s">
        <v>11449</v>
      </c>
      <c r="H3622" s="54">
        <v>0</v>
      </c>
      <c r="I3622" s="55">
        <v>470000000</v>
      </c>
      <c r="J3622" s="56" t="s">
        <v>229</v>
      </c>
      <c r="K3622" s="57" t="s">
        <v>642</v>
      </c>
      <c r="L3622" s="57" t="s">
        <v>364</v>
      </c>
      <c r="M3622" s="3" t="s">
        <v>230</v>
      </c>
      <c r="N3622" s="52" t="s">
        <v>7693</v>
      </c>
      <c r="O3622" s="6" t="s">
        <v>365</v>
      </c>
      <c r="P3622" s="58" t="s">
        <v>396</v>
      </c>
      <c r="Q3622" s="53" t="s">
        <v>234</v>
      </c>
      <c r="R3622" s="22">
        <v>6</v>
      </c>
      <c r="S3622" s="106">
        <v>53648.126400000001</v>
      </c>
      <c r="T3622" s="4">
        <v>0</v>
      </c>
      <c r="U3622" s="4">
        <f t="shared" si="155"/>
        <v>0</v>
      </c>
      <c r="V3622" s="1"/>
      <c r="W3622" s="3">
        <v>2014</v>
      </c>
      <c r="X3622" s="3">
        <v>12</v>
      </c>
    </row>
    <row r="3623" spans="1:24" ht="140.25">
      <c r="A3623" s="3" t="s">
        <v>16348</v>
      </c>
      <c r="B3623" s="6" t="s">
        <v>361</v>
      </c>
      <c r="C3623" s="6" t="s">
        <v>7591</v>
      </c>
      <c r="D3623" s="115" t="s">
        <v>11525</v>
      </c>
      <c r="E3623" s="6" t="s">
        <v>11526</v>
      </c>
      <c r="F3623" s="109" t="s">
        <v>7787</v>
      </c>
      <c r="G3623" s="3" t="s">
        <v>11449</v>
      </c>
      <c r="H3623" s="54">
        <v>0</v>
      </c>
      <c r="I3623" s="55">
        <v>470000000</v>
      </c>
      <c r="J3623" s="56" t="s">
        <v>229</v>
      </c>
      <c r="K3623" s="57" t="s">
        <v>642</v>
      </c>
      <c r="L3623" s="17" t="s">
        <v>11411</v>
      </c>
      <c r="M3623" s="3" t="s">
        <v>230</v>
      </c>
      <c r="N3623" s="52" t="s">
        <v>7693</v>
      </c>
      <c r="O3623" s="6" t="s">
        <v>365</v>
      </c>
      <c r="P3623" s="58" t="s">
        <v>396</v>
      </c>
      <c r="Q3623" s="53" t="s">
        <v>234</v>
      </c>
      <c r="R3623" s="22">
        <v>6</v>
      </c>
      <c r="S3623" s="106">
        <v>53648.126400000001</v>
      </c>
      <c r="T3623" s="4">
        <v>0</v>
      </c>
      <c r="U3623" s="4">
        <f>T3623*1.12</f>
        <v>0</v>
      </c>
      <c r="V3623" s="1"/>
      <c r="W3623" s="3">
        <v>2014</v>
      </c>
      <c r="X3623" s="3" t="s">
        <v>12062</v>
      </c>
    </row>
    <row r="3624" spans="1:24" ht="140.25">
      <c r="A3624" s="3" t="s">
        <v>16349</v>
      </c>
      <c r="B3624" s="6" t="s">
        <v>361</v>
      </c>
      <c r="C3624" s="6" t="s">
        <v>7591</v>
      </c>
      <c r="D3624" s="115" t="s">
        <v>11525</v>
      </c>
      <c r="E3624" s="6" t="s">
        <v>11526</v>
      </c>
      <c r="F3624" s="109" t="s">
        <v>7787</v>
      </c>
      <c r="G3624" s="3" t="s">
        <v>11449</v>
      </c>
      <c r="H3624" s="54">
        <v>0</v>
      </c>
      <c r="I3624" s="55">
        <v>470000000</v>
      </c>
      <c r="J3624" s="56" t="s">
        <v>229</v>
      </c>
      <c r="K3624" s="57" t="s">
        <v>642</v>
      </c>
      <c r="L3624" s="17" t="s">
        <v>11411</v>
      </c>
      <c r="M3624" s="3" t="s">
        <v>230</v>
      </c>
      <c r="N3624" s="52" t="s">
        <v>7693</v>
      </c>
      <c r="O3624" s="6" t="s">
        <v>365</v>
      </c>
      <c r="P3624" s="58" t="s">
        <v>396</v>
      </c>
      <c r="Q3624" s="53" t="s">
        <v>234</v>
      </c>
      <c r="R3624" s="22">
        <v>5</v>
      </c>
      <c r="S3624" s="106">
        <v>53648.126400000001</v>
      </c>
      <c r="T3624" s="4">
        <v>0</v>
      </c>
      <c r="U3624" s="4">
        <f>T3624*1.12</f>
        <v>0</v>
      </c>
      <c r="V3624" s="1"/>
      <c r="W3624" s="3">
        <v>2014</v>
      </c>
      <c r="X3624" s="3" t="s">
        <v>14785</v>
      </c>
    </row>
    <row r="3625" spans="1:24" ht="140.25">
      <c r="A3625" s="3" t="s">
        <v>16736</v>
      </c>
      <c r="B3625" s="6" t="s">
        <v>361</v>
      </c>
      <c r="C3625" s="6" t="s">
        <v>7591</v>
      </c>
      <c r="D3625" s="115" t="s">
        <v>11525</v>
      </c>
      <c r="E3625" s="6" t="s">
        <v>11526</v>
      </c>
      <c r="F3625" s="109" t="s">
        <v>7787</v>
      </c>
      <c r="G3625" s="3" t="s">
        <v>11449</v>
      </c>
      <c r="H3625" s="54">
        <v>0</v>
      </c>
      <c r="I3625" s="55">
        <v>470000000</v>
      </c>
      <c r="J3625" s="56" t="s">
        <v>229</v>
      </c>
      <c r="K3625" s="57" t="s">
        <v>8950</v>
      </c>
      <c r="L3625" s="17" t="s">
        <v>11411</v>
      </c>
      <c r="M3625" s="3" t="s">
        <v>230</v>
      </c>
      <c r="N3625" s="52" t="s">
        <v>7693</v>
      </c>
      <c r="O3625" s="6" t="s">
        <v>365</v>
      </c>
      <c r="P3625" s="58" t="s">
        <v>396</v>
      </c>
      <c r="Q3625" s="53" t="s">
        <v>234</v>
      </c>
      <c r="R3625" s="22">
        <v>5</v>
      </c>
      <c r="S3625" s="106">
        <v>64377.751680000001</v>
      </c>
      <c r="T3625" s="4">
        <v>0</v>
      </c>
      <c r="U3625" s="4">
        <f>T3625*1.12</f>
        <v>0</v>
      </c>
      <c r="V3625" s="1"/>
      <c r="W3625" s="3">
        <v>2014</v>
      </c>
      <c r="X3625" s="3">
        <v>11.14</v>
      </c>
    </row>
    <row r="3626" spans="1:24" ht="140.25">
      <c r="A3626" s="3" t="s">
        <v>19026</v>
      </c>
      <c r="B3626" s="6" t="s">
        <v>361</v>
      </c>
      <c r="C3626" s="6" t="s">
        <v>7591</v>
      </c>
      <c r="D3626" s="115" t="s">
        <v>11525</v>
      </c>
      <c r="E3626" s="6" t="s">
        <v>11526</v>
      </c>
      <c r="F3626" s="109" t="s">
        <v>7787</v>
      </c>
      <c r="G3626" s="3" t="s">
        <v>11449</v>
      </c>
      <c r="H3626" s="54">
        <v>0</v>
      </c>
      <c r="I3626" s="55">
        <v>470000000</v>
      </c>
      <c r="J3626" s="56" t="s">
        <v>229</v>
      </c>
      <c r="K3626" s="57" t="s">
        <v>18437</v>
      </c>
      <c r="L3626" s="17" t="s">
        <v>11411</v>
      </c>
      <c r="M3626" s="3" t="s">
        <v>230</v>
      </c>
      <c r="N3626" s="52" t="s">
        <v>16511</v>
      </c>
      <c r="O3626" s="6" t="s">
        <v>365</v>
      </c>
      <c r="P3626" s="58" t="s">
        <v>396</v>
      </c>
      <c r="Q3626" s="53" t="s">
        <v>234</v>
      </c>
      <c r="R3626" s="22">
        <v>5</v>
      </c>
      <c r="S3626" s="106">
        <v>64377.751680000001</v>
      </c>
      <c r="T3626" s="4">
        <v>0</v>
      </c>
      <c r="U3626" s="4">
        <f>T3626*1.12</f>
        <v>0</v>
      </c>
      <c r="V3626" s="1"/>
      <c r="W3626" s="3">
        <v>2014</v>
      </c>
      <c r="X3626" s="3" t="s">
        <v>19492</v>
      </c>
    </row>
    <row r="3627" spans="1:24" ht="140.25">
      <c r="A3627" s="3" t="s">
        <v>19449</v>
      </c>
      <c r="B3627" s="6" t="s">
        <v>361</v>
      </c>
      <c r="C3627" s="6" t="s">
        <v>7591</v>
      </c>
      <c r="D3627" s="115" t="s">
        <v>11525</v>
      </c>
      <c r="E3627" s="6" t="s">
        <v>11526</v>
      </c>
      <c r="F3627" s="109" t="s">
        <v>7787</v>
      </c>
      <c r="G3627" s="3" t="s">
        <v>11450</v>
      </c>
      <c r="H3627" s="54">
        <v>0</v>
      </c>
      <c r="I3627" s="55">
        <v>470000000</v>
      </c>
      <c r="J3627" s="56" t="s">
        <v>229</v>
      </c>
      <c r="K3627" s="57" t="s">
        <v>19379</v>
      </c>
      <c r="L3627" s="17" t="s">
        <v>11411</v>
      </c>
      <c r="M3627" s="3" t="s">
        <v>230</v>
      </c>
      <c r="N3627" s="52" t="s">
        <v>16511</v>
      </c>
      <c r="O3627" s="6" t="s">
        <v>19407</v>
      </c>
      <c r="P3627" s="58" t="s">
        <v>396</v>
      </c>
      <c r="Q3627" s="53" t="s">
        <v>234</v>
      </c>
      <c r="R3627" s="22">
        <v>5</v>
      </c>
      <c r="S3627" s="106">
        <v>64377.751680000001</v>
      </c>
      <c r="T3627" s="4">
        <f>R3627*S3627</f>
        <v>321888.75839999999</v>
      </c>
      <c r="U3627" s="4">
        <f>T3627*1.12</f>
        <v>360515.40940800001</v>
      </c>
      <c r="V3627" s="1"/>
      <c r="W3627" s="3">
        <v>2014</v>
      </c>
      <c r="X3627" s="3"/>
    </row>
    <row r="3628" spans="1:24" ht="140.25">
      <c r="A3628" s="3" t="s">
        <v>1741</v>
      </c>
      <c r="B3628" s="6" t="s">
        <v>361</v>
      </c>
      <c r="C3628" s="6" t="s">
        <v>7591</v>
      </c>
      <c r="D3628" s="115" t="s">
        <v>11525</v>
      </c>
      <c r="E3628" s="6" t="s">
        <v>11526</v>
      </c>
      <c r="F3628" s="109" t="s">
        <v>7788</v>
      </c>
      <c r="G3628" s="3" t="s">
        <v>11449</v>
      </c>
      <c r="H3628" s="54">
        <v>0</v>
      </c>
      <c r="I3628" s="55">
        <v>470000000</v>
      </c>
      <c r="J3628" s="56" t="s">
        <v>229</v>
      </c>
      <c r="K3628" s="57" t="s">
        <v>642</v>
      </c>
      <c r="L3628" s="57" t="s">
        <v>364</v>
      </c>
      <c r="M3628" s="3" t="s">
        <v>230</v>
      </c>
      <c r="N3628" s="52" t="s">
        <v>7693</v>
      </c>
      <c r="O3628" s="6" t="s">
        <v>365</v>
      </c>
      <c r="P3628" s="58" t="s">
        <v>396</v>
      </c>
      <c r="Q3628" s="53" t="s">
        <v>234</v>
      </c>
      <c r="R3628" s="22">
        <v>10</v>
      </c>
      <c r="S3628" s="106">
        <v>43973.886000000006</v>
      </c>
      <c r="T3628" s="4">
        <v>0</v>
      </c>
      <c r="U3628" s="4">
        <f t="shared" si="155"/>
        <v>0</v>
      </c>
      <c r="V3628" s="1"/>
      <c r="W3628" s="3">
        <v>2014</v>
      </c>
      <c r="X3628" s="3">
        <v>12</v>
      </c>
    </row>
    <row r="3629" spans="1:24" ht="140.25">
      <c r="A3629" s="3" t="s">
        <v>13438</v>
      </c>
      <c r="B3629" s="6" t="s">
        <v>361</v>
      </c>
      <c r="C3629" s="6" t="s">
        <v>7591</v>
      </c>
      <c r="D3629" s="115" t="s">
        <v>11525</v>
      </c>
      <c r="E3629" s="6" t="s">
        <v>11526</v>
      </c>
      <c r="F3629" s="109" t="s">
        <v>7788</v>
      </c>
      <c r="G3629" s="3" t="s">
        <v>11449</v>
      </c>
      <c r="H3629" s="54">
        <v>0</v>
      </c>
      <c r="I3629" s="55">
        <v>470000000</v>
      </c>
      <c r="J3629" s="56" t="s">
        <v>229</v>
      </c>
      <c r="K3629" s="57" t="s">
        <v>642</v>
      </c>
      <c r="L3629" s="17" t="s">
        <v>11411</v>
      </c>
      <c r="M3629" s="3" t="s">
        <v>230</v>
      </c>
      <c r="N3629" s="52" t="s">
        <v>7693</v>
      </c>
      <c r="O3629" s="6" t="s">
        <v>365</v>
      </c>
      <c r="P3629" s="58" t="s">
        <v>396</v>
      </c>
      <c r="Q3629" s="53" t="s">
        <v>234</v>
      </c>
      <c r="R3629" s="22">
        <v>10</v>
      </c>
      <c r="S3629" s="106">
        <v>43973.886000000006</v>
      </c>
      <c r="T3629" s="4">
        <v>0</v>
      </c>
      <c r="U3629" s="4">
        <f>T3629*1.12</f>
        <v>0</v>
      </c>
      <c r="V3629" s="1"/>
      <c r="W3629" s="3">
        <v>2014</v>
      </c>
      <c r="X3629" s="3" t="s">
        <v>14785</v>
      </c>
    </row>
    <row r="3630" spans="1:24" ht="140.25">
      <c r="A3630" s="3" t="s">
        <v>16737</v>
      </c>
      <c r="B3630" s="6" t="s">
        <v>361</v>
      </c>
      <c r="C3630" s="6" t="s">
        <v>7591</v>
      </c>
      <c r="D3630" s="115" t="s">
        <v>11525</v>
      </c>
      <c r="E3630" s="6" t="s">
        <v>11526</v>
      </c>
      <c r="F3630" s="109" t="s">
        <v>7788</v>
      </c>
      <c r="G3630" s="3" t="s">
        <v>11449</v>
      </c>
      <c r="H3630" s="54">
        <v>0</v>
      </c>
      <c r="I3630" s="55">
        <v>470000000</v>
      </c>
      <c r="J3630" s="56" t="s">
        <v>229</v>
      </c>
      <c r="K3630" s="57" t="s">
        <v>8950</v>
      </c>
      <c r="L3630" s="17" t="s">
        <v>11411</v>
      </c>
      <c r="M3630" s="3" t="s">
        <v>230</v>
      </c>
      <c r="N3630" s="52" t="s">
        <v>7693</v>
      </c>
      <c r="O3630" s="6" t="s">
        <v>365</v>
      </c>
      <c r="P3630" s="58" t="s">
        <v>396</v>
      </c>
      <c r="Q3630" s="53" t="s">
        <v>234</v>
      </c>
      <c r="R3630" s="22">
        <v>10</v>
      </c>
      <c r="S3630" s="106">
        <v>52768.663200000003</v>
      </c>
      <c r="T3630" s="4">
        <v>0</v>
      </c>
      <c r="U3630" s="4">
        <f>T3630*1.12</f>
        <v>0</v>
      </c>
      <c r="V3630" s="1"/>
      <c r="W3630" s="3">
        <v>2014</v>
      </c>
      <c r="X3630" s="3">
        <v>11.14</v>
      </c>
    </row>
    <row r="3631" spans="1:24" ht="140.25">
      <c r="A3631" s="3" t="s">
        <v>19027</v>
      </c>
      <c r="B3631" s="6" t="s">
        <v>361</v>
      </c>
      <c r="C3631" s="6" t="s">
        <v>7591</v>
      </c>
      <c r="D3631" s="115" t="s">
        <v>11525</v>
      </c>
      <c r="E3631" s="6" t="s">
        <v>11526</v>
      </c>
      <c r="F3631" s="109" t="s">
        <v>7788</v>
      </c>
      <c r="G3631" s="3" t="s">
        <v>11449</v>
      </c>
      <c r="H3631" s="54">
        <v>0</v>
      </c>
      <c r="I3631" s="55">
        <v>470000000</v>
      </c>
      <c r="J3631" s="56" t="s">
        <v>229</v>
      </c>
      <c r="K3631" s="57" t="s">
        <v>18437</v>
      </c>
      <c r="L3631" s="17" t="s">
        <v>11411</v>
      </c>
      <c r="M3631" s="3" t="s">
        <v>230</v>
      </c>
      <c r="N3631" s="52" t="s">
        <v>16511</v>
      </c>
      <c r="O3631" s="6" t="s">
        <v>365</v>
      </c>
      <c r="P3631" s="58" t="s">
        <v>396</v>
      </c>
      <c r="Q3631" s="53" t="s">
        <v>234</v>
      </c>
      <c r="R3631" s="22">
        <v>10</v>
      </c>
      <c r="S3631" s="106">
        <v>52768.663200000003</v>
      </c>
      <c r="T3631" s="4">
        <v>0</v>
      </c>
      <c r="U3631" s="4">
        <f>T3631*1.12</f>
        <v>0</v>
      </c>
      <c r="V3631" s="1"/>
      <c r="W3631" s="3">
        <v>2014</v>
      </c>
      <c r="X3631" s="3" t="s">
        <v>19492</v>
      </c>
    </row>
    <row r="3632" spans="1:24" ht="140.25">
      <c r="A3632" s="3" t="s">
        <v>19450</v>
      </c>
      <c r="B3632" s="6" t="s">
        <v>361</v>
      </c>
      <c r="C3632" s="6" t="s">
        <v>7591</v>
      </c>
      <c r="D3632" s="115" t="s">
        <v>11525</v>
      </c>
      <c r="E3632" s="6" t="s">
        <v>11526</v>
      </c>
      <c r="F3632" s="109" t="s">
        <v>7788</v>
      </c>
      <c r="G3632" s="3" t="s">
        <v>11450</v>
      </c>
      <c r="H3632" s="54">
        <v>0</v>
      </c>
      <c r="I3632" s="55">
        <v>470000000</v>
      </c>
      <c r="J3632" s="56" t="s">
        <v>229</v>
      </c>
      <c r="K3632" s="57" t="s">
        <v>19379</v>
      </c>
      <c r="L3632" s="17" t="s">
        <v>11411</v>
      </c>
      <c r="M3632" s="3" t="s">
        <v>230</v>
      </c>
      <c r="N3632" s="52" t="s">
        <v>16511</v>
      </c>
      <c r="O3632" s="6" t="s">
        <v>19407</v>
      </c>
      <c r="P3632" s="58" t="s">
        <v>396</v>
      </c>
      <c r="Q3632" s="53" t="s">
        <v>234</v>
      </c>
      <c r="R3632" s="22">
        <v>10</v>
      </c>
      <c r="S3632" s="106">
        <v>52768.663200000003</v>
      </c>
      <c r="T3632" s="4">
        <f>R3632*S3632</f>
        <v>527686.63199999998</v>
      </c>
      <c r="U3632" s="4">
        <f>T3632*1.12</f>
        <v>591009.02784</v>
      </c>
      <c r="V3632" s="1"/>
      <c r="W3632" s="3">
        <v>2014</v>
      </c>
      <c r="X3632" s="3"/>
    </row>
    <row r="3633" spans="1:24" ht="114.75">
      <c r="A3633" s="3" t="s">
        <v>1742</v>
      </c>
      <c r="B3633" s="6" t="s">
        <v>361</v>
      </c>
      <c r="C3633" s="161" t="s">
        <v>7624</v>
      </c>
      <c r="D3633" s="45" t="s">
        <v>7625</v>
      </c>
      <c r="E3633" s="6" t="s">
        <v>7626</v>
      </c>
      <c r="F3633" s="109" t="s">
        <v>7789</v>
      </c>
      <c r="G3633" s="3" t="s">
        <v>11449</v>
      </c>
      <c r="H3633" s="54">
        <v>0</v>
      </c>
      <c r="I3633" s="55">
        <v>470000000</v>
      </c>
      <c r="J3633" s="56" t="s">
        <v>229</v>
      </c>
      <c r="K3633" s="57" t="s">
        <v>642</v>
      </c>
      <c r="L3633" s="57" t="s">
        <v>364</v>
      </c>
      <c r="M3633" s="3" t="s">
        <v>230</v>
      </c>
      <c r="N3633" s="52" t="s">
        <v>7693</v>
      </c>
      <c r="O3633" s="6" t="s">
        <v>365</v>
      </c>
      <c r="P3633" s="58" t="s">
        <v>396</v>
      </c>
      <c r="Q3633" s="53" t="s">
        <v>234</v>
      </c>
      <c r="R3633" s="22">
        <v>4</v>
      </c>
      <c r="S3633" s="59">
        <v>250000</v>
      </c>
      <c r="T3633" s="4">
        <v>0</v>
      </c>
      <c r="U3633" s="4">
        <f t="shared" si="155"/>
        <v>0</v>
      </c>
      <c r="V3633" s="1"/>
      <c r="W3633" s="3">
        <v>2014</v>
      </c>
      <c r="X3633" s="3">
        <v>12</v>
      </c>
    </row>
    <row r="3634" spans="1:24" ht="114.75">
      <c r="A3634" s="3" t="s">
        <v>13439</v>
      </c>
      <c r="B3634" s="6" t="s">
        <v>361</v>
      </c>
      <c r="C3634" s="161" t="s">
        <v>7624</v>
      </c>
      <c r="D3634" s="45" t="s">
        <v>7625</v>
      </c>
      <c r="E3634" s="6" t="s">
        <v>7626</v>
      </c>
      <c r="F3634" s="109" t="s">
        <v>7789</v>
      </c>
      <c r="G3634" s="3" t="s">
        <v>11449</v>
      </c>
      <c r="H3634" s="54">
        <v>0</v>
      </c>
      <c r="I3634" s="55">
        <v>470000000</v>
      </c>
      <c r="J3634" s="56" t="s">
        <v>229</v>
      </c>
      <c r="K3634" s="57" t="s">
        <v>642</v>
      </c>
      <c r="L3634" s="17" t="s">
        <v>11411</v>
      </c>
      <c r="M3634" s="3" t="s">
        <v>230</v>
      </c>
      <c r="N3634" s="52" t="s">
        <v>7693</v>
      </c>
      <c r="O3634" s="6" t="s">
        <v>365</v>
      </c>
      <c r="P3634" s="58" t="s">
        <v>396</v>
      </c>
      <c r="Q3634" s="53" t="s">
        <v>234</v>
      </c>
      <c r="R3634" s="22">
        <v>4</v>
      </c>
      <c r="S3634" s="59">
        <v>250000</v>
      </c>
      <c r="T3634" s="4">
        <f>R3634*S3634</f>
        <v>1000000</v>
      </c>
      <c r="U3634" s="4">
        <f>T3634*1.12</f>
        <v>1120000</v>
      </c>
      <c r="V3634" s="1"/>
      <c r="W3634" s="3">
        <v>2014</v>
      </c>
      <c r="X3634" s="3"/>
    </row>
    <row r="3635" spans="1:24" ht="114.75">
      <c r="A3635" s="3" t="s">
        <v>1743</v>
      </c>
      <c r="B3635" s="6" t="s">
        <v>361</v>
      </c>
      <c r="C3635" s="161" t="s">
        <v>7406</v>
      </c>
      <c r="D3635" s="45" t="s">
        <v>5297</v>
      </c>
      <c r="E3635" s="6" t="s">
        <v>11527</v>
      </c>
      <c r="F3635" s="109" t="s">
        <v>7790</v>
      </c>
      <c r="G3635" s="3" t="s">
        <v>11449</v>
      </c>
      <c r="H3635" s="54">
        <v>0</v>
      </c>
      <c r="I3635" s="55">
        <v>470000000</v>
      </c>
      <c r="J3635" s="56" t="s">
        <v>229</v>
      </c>
      <c r="K3635" s="57" t="s">
        <v>642</v>
      </c>
      <c r="L3635" s="57" t="s">
        <v>364</v>
      </c>
      <c r="M3635" s="3" t="s">
        <v>230</v>
      </c>
      <c r="N3635" s="52" t="s">
        <v>7693</v>
      </c>
      <c r="O3635" s="6" t="s">
        <v>365</v>
      </c>
      <c r="P3635" s="58" t="s">
        <v>396</v>
      </c>
      <c r="Q3635" s="53" t="s">
        <v>234</v>
      </c>
      <c r="R3635" s="22">
        <v>4</v>
      </c>
      <c r="S3635" s="59">
        <v>220873.4</v>
      </c>
      <c r="T3635" s="4">
        <v>0</v>
      </c>
      <c r="U3635" s="4">
        <f t="shared" si="155"/>
        <v>0</v>
      </c>
      <c r="V3635" s="1"/>
      <c r="W3635" s="3">
        <v>2014</v>
      </c>
      <c r="X3635" s="3">
        <v>12</v>
      </c>
    </row>
    <row r="3636" spans="1:24" ht="114.75">
      <c r="A3636" s="3" t="s">
        <v>13440</v>
      </c>
      <c r="B3636" s="6" t="s">
        <v>361</v>
      </c>
      <c r="C3636" s="161" t="s">
        <v>7406</v>
      </c>
      <c r="D3636" s="45" t="s">
        <v>5297</v>
      </c>
      <c r="E3636" s="6" t="s">
        <v>11527</v>
      </c>
      <c r="F3636" s="109" t="s">
        <v>7790</v>
      </c>
      <c r="G3636" s="3" t="s">
        <v>11449</v>
      </c>
      <c r="H3636" s="54">
        <v>0</v>
      </c>
      <c r="I3636" s="55">
        <v>470000000</v>
      </c>
      <c r="J3636" s="56" t="s">
        <v>229</v>
      </c>
      <c r="K3636" s="57" t="s">
        <v>642</v>
      </c>
      <c r="L3636" s="17" t="s">
        <v>11411</v>
      </c>
      <c r="M3636" s="3" t="s">
        <v>230</v>
      </c>
      <c r="N3636" s="52" t="s">
        <v>7693</v>
      </c>
      <c r="O3636" s="6" t="s">
        <v>365</v>
      </c>
      <c r="P3636" s="58" t="s">
        <v>396</v>
      </c>
      <c r="Q3636" s="53" t="s">
        <v>234</v>
      </c>
      <c r="R3636" s="22">
        <v>4</v>
      </c>
      <c r="S3636" s="59">
        <v>220873.4</v>
      </c>
      <c r="T3636" s="4">
        <v>0</v>
      </c>
      <c r="U3636" s="4">
        <f>T3636*1.12</f>
        <v>0</v>
      </c>
      <c r="V3636" s="1"/>
      <c r="W3636" s="3">
        <v>2014</v>
      </c>
      <c r="X3636" s="3" t="s">
        <v>14785</v>
      </c>
    </row>
    <row r="3637" spans="1:24" ht="114.75">
      <c r="A3637" s="3" t="s">
        <v>16738</v>
      </c>
      <c r="B3637" s="6" t="s">
        <v>361</v>
      </c>
      <c r="C3637" s="161" t="s">
        <v>7406</v>
      </c>
      <c r="D3637" s="45" t="s">
        <v>5297</v>
      </c>
      <c r="E3637" s="6" t="s">
        <v>11527</v>
      </c>
      <c r="F3637" s="109" t="s">
        <v>7790</v>
      </c>
      <c r="G3637" s="3" t="s">
        <v>11449</v>
      </c>
      <c r="H3637" s="54">
        <v>0</v>
      </c>
      <c r="I3637" s="55">
        <v>470000000</v>
      </c>
      <c r="J3637" s="56" t="s">
        <v>229</v>
      </c>
      <c r="K3637" s="57" t="s">
        <v>8950</v>
      </c>
      <c r="L3637" s="17" t="s">
        <v>11411</v>
      </c>
      <c r="M3637" s="3" t="s">
        <v>230</v>
      </c>
      <c r="N3637" s="52" t="s">
        <v>7693</v>
      </c>
      <c r="O3637" s="6" t="s">
        <v>365</v>
      </c>
      <c r="P3637" s="58" t="s">
        <v>396</v>
      </c>
      <c r="Q3637" s="53" t="s">
        <v>234</v>
      </c>
      <c r="R3637" s="22">
        <v>4</v>
      </c>
      <c r="S3637" s="59">
        <v>265048.07999999996</v>
      </c>
      <c r="T3637" s="4">
        <v>0</v>
      </c>
      <c r="U3637" s="4">
        <f>T3637*1.12</f>
        <v>0</v>
      </c>
      <c r="V3637" s="1"/>
      <c r="W3637" s="3">
        <v>2014</v>
      </c>
      <c r="X3637" s="3">
        <v>11.14</v>
      </c>
    </row>
    <row r="3638" spans="1:24" ht="114.75">
      <c r="A3638" s="3" t="s">
        <v>19028</v>
      </c>
      <c r="B3638" s="6" t="s">
        <v>361</v>
      </c>
      <c r="C3638" s="161" t="s">
        <v>7406</v>
      </c>
      <c r="D3638" s="45" t="s">
        <v>5297</v>
      </c>
      <c r="E3638" s="6" t="s">
        <v>11527</v>
      </c>
      <c r="F3638" s="109" t="s">
        <v>7790</v>
      </c>
      <c r="G3638" s="3" t="s">
        <v>11449</v>
      </c>
      <c r="H3638" s="54">
        <v>0</v>
      </c>
      <c r="I3638" s="55">
        <v>470000000</v>
      </c>
      <c r="J3638" s="56" t="s">
        <v>229</v>
      </c>
      <c r="K3638" s="57" t="s">
        <v>18437</v>
      </c>
      <c r="L3638" s="17" t="s">
        <v>11411</v>
      </c>
      <c r="M3638" s="3" t="s">
        <v>230</v>
      </c>
      <c r="N3638" s="52" t="s">
        <v>16511</v>
      </c>
      <c r="O3638" s="6" t="s">
        <v>365</v>
      </c>
      <c r="P3638" s="58" t="s">
        <v>396</v>
      </c>
      <c r="Q3638" s="53" t="s">
        <v>234</v>
      </c>
      <c r="R3638" s="22">
        <v>4</v>
      </c>
      <c r="S3638" s="59">
        <v>265048.07999999996</v>
      </c>
      <c r="T3638" s="4">
        <v>0</v>
      </c>
      <c r="U3638" s="4">
        <f>T3638*1.12</f>
        <v>0</v>
      </c>
      <c r="V3638" s="1"/>
      <c r="W3638" s="3">
        <v>2014</v>
      </c>
      <c r="X3638" s="3" t="s">
        <v>19492</v>
      </c>
    </row>
    <row r="3639" spans="1:24" ht="76.5">
      <c r="A3639" s="3" t="s">
        <v>19451</v>
      </c>
      <c r="B3639" s="6" t="s">
        <v>361</v>
      </c>
      <c r="C3639" s="161" t="s">
        <v>7406</v>
      </c>
      <c r="D3639" s="45" t="s">
        <v>5297</v>
      </c>
      <c r="E3639" s="6" t="s">
        <v>11527</v>
      </c>
      <c r="F3639" s="109" t="s">
        <v>7790</v>
      </c>
      <c r="G3639" s="3" t="s">
        <v>11450</v>
      </c>
      <c r="H3639" s="54">
        <v>0</v>
      </c>
      <c r="I3639" s="55">
        <v>470000000</v>
      </c>
      <c r="J3639" s="56" t="s">
        <v>229</v>
      </c>
      <c r="K3639" s="57" t="s">
        <v>19379</v>
      </c>
      <c r="L3639" s="17" t="s">
        <v>11411</v>
      </c>
      <c r="M3639" s="3" t="s">
        <v>230</v>
      </c>
      <c r="N3639" s="52" t="s">
        <v>16511</v>
      </c>
      <c r="O3639" s="6" t="s">
        <v>19407</v>
      </c>
      <c r="P3639" s="58" t="s">
        <v>396</v>
      </c>
      <c r="Q3639" s="53" t="s">
        <v>234</v>
      </c>
      <c r="R3639" s="22">
        <v>4</v>
      </c>
      <c r="S3639" s="59">
        <v>265048.07999999996</v>
      </c>
      <c r="T3639" s="4">
        <f>R3639*S3639</f>
        <v>1060192.3199999998</v>
      </c>
      <c r="U3639" s="4">
        <f>T3639*1.12</f>
        <v>1187415.3983999998</v>
      </c>
      <c r="V3639" s="1"/>
      <c r="W3639" s="3">
        <v>2014</v>
      </c>
      <c r="X3639" s="3"/>
    </row>
    <row r="3640" spans="1:24" ht="114.75">
      <c r="A3640" s="3" t="s">
        <v>1744</v>
      </c>
      <c r="B3640" s="6" t="s">
        <v>361</v>
      </c>
      <c r="C3640" s="44" t="s">
        <v>7407</v>
      </c>
      <c r="D3640" s="48" t="s">
        <v>5297</v>
      </c>
      <c r="E3640" s="46" t="s">
        <v>11528</v>
      </c>
      <c r="F3640" s="109" t="s">
        <v>7791</v>
      </c>
      <c r="G3640" s="3" t="s">
        <v>11449</v>
      </c>
      <c r="H3640" s="54">
        <v>0</v>
      </c>
      <c r="I3640" s="55">
        <v>470000000</v>
      </c>
      <c r="J3640" s="56" t="s">
        <v>229</v>
      </c>
      <c r="K3640" s="57" t="s">
        <v>642</v>
      </c>
      <c r="L3640" s="57" t="s">
        <v>364</v>
      </c>
      <c r="M3640" s="3" t="s">
        <v>230</v>
      </c>
      <c r="N3640" s="52" t="s">
        <v>7693</v>
      </c>
      <c r="O3640" s="6" t="s">
        <v>365</v>
      </c>
      <c r="P3640" s="58" t="s">
        <v>396</v>
      </c>
      <c r="Q3640" s="53" t="s">
        <v>234</v>
      </c>
      <c r="R3640" s="22">
        <v>4</v>
      </c>
      <c r="S3640" s="59">
        <v>230000</v>
      </c>
      <c r="T3640" s="4">
        <v>0</v>
      </c>
      <c r="U3640" s="4">
        <f t="shared" si="155"/>
        <v>0</v>
      </c>
      <c r="V3640" s="1"/>
      <c r="W3640" s="3">
        <v>2014</v>
      </c>
      <c r="X3640" s="3">
        <v>12</v>
      </c>
    </row>
    <row r="3641" spans="1:24" ht="114.75">
      <c r="A3641" s="3" t="s">
        <v>13441</v>
      </c>
      <c r="B3641" s="6" t="s">
        <v>361</v>
      </c>
      <c r="C3641" s="44" t="s">
        <v>7407</v>
      </c>
      <c r="D3641" s="48" t="s">
        <v>5297</v>
      </c>
      <c r="E3641" s="46" t="s">
        <v>11528</v>
      </c>
      <c r="F3641" s="109" t="s">
        <v>7791</v>
      </c>
      <c r="G3641" s="3" t="s">
        <v>11449</v>
      </c>
      <c r="H3641" s="54">
        <v>0</v>
      </c>
      <c r="I3641" s="55">
        <v>470000000</v>
      </c>
      <c r="J3641" s="56" t="s">
        <v>229</v>
      </c>
      <c r="K3641" s="57" t="s">
        <v>642</v>
      </c>
      <c r="L3641" s="17" t="s">
        <v>11411</v>
      </c>
      <c r="M3641" s="3" t="s">
        <v>230</v>
      </c>
      <c r="N3641" s="52" t="s">
        <v>7693</v>
      </c>
      <c r="O3641" s="6" t="s">
        <v>365</v>
      </c>
      <c r="P3641" s="58" t="s">
        <v>396</v>
      </c>
      <c r="Q3641" s="53" t="s">
        <v>234</v>
      </c>
      <c r="R3641" s="22">
        <v>4</v>
      </c>
      <c r="S3641" s="59">
        <v>230000</v>
      </c>
      <c r="T3641" s="4">
        <f>R3641*S3641</f>
        <v>920000</v>
      </c>
      <c r="U3641" s="4">
        <f>T3641*1.12</f>
        <v>1030400.0000000001</v>
      </c>
      <c r="V3641" s="1"/>
      <c r="W3641" s="3">
        <v>2014</v>
      </c>
      <c r="X3641" s="3"/>
    </row>
    <row r="3642" spans="1:24" ht="114.75">
      <c r="A3642" s="3" t="s">
        <v>1745</v>
      </c>
      <c r="B3642" s="6" t="s">
        <v>361</v>
      </c>
      <c r="C3642" s="44" t="s">
        <v>5187</v>
      </c>
      <c r="D3642" s="48" t="s">
        <v>5185</v>
      </c>
      <c r="E3642" s="46" t="s">
        <v>5188</v>
      </c>
      <c r="F3642" s="109" t="s">
        <v>7792</v>
      </c>
      <c r="G3642" s="3" t="s">
        <v>11449</v>
      </c>
      <c r="H3642" s="54">
        <v>0</v>
      </c>
      <c r="I3642" s="55">
        <v>470000000</v>
      </c>
      <c r="J3642" s="56" t="s">
        <v>229</v>
      </c>
      <c r="K3642" s="57" t="s">
        <v>642</v>
      </c>
      <c r="L3642" s="57" t="s">
        <v>364</v>
      </c>
      <c r="M3642" s="3" t="s">
        <v>230</v>
      </c>
      <c r="N3642" s="52" t="s">
        <v>7693</v>
      </c>
      <c r="O3642" s="6" t="s">
        <v>365</v>
      </c>
      <c r="P3642" s="58" t="s">
        <v>396</v>
      </c>
      <c r="Q3642" s="53" t="s">
        <v>234</v>
      </c>
      <c r="R3642" s="22">
        <v>4</v>
      </c>
      <c r="S3642" s="59">
        <v>250000</v>
      </c>
      <c r="T3642" s="4">
        <v>0</v>
      </c>
      <c r="U3642" s="4">
        <f t="shared" si="155"/>
        <v>0</v>
      </c>
      <c r="V3642" s="1"/>
      <c r="W3642" s="3">
        <v>2014</v>
      </c>
      <c r="X3642" s="3">
        <v>12</v>
      </c>
    </row>
    <row r="3643" spans="1:24" ht="114.75">
      <c r="A3643" s="3" t="s">
        <v>13442</v>
      </c>
      <c r="B3643" s="6" t="s">
        <v>361</v>
      </c>
      <c r="C3643" s="44" t="s">
        <v>5187</v>
      </c>
      <c r="D3643" s="48" t="s">
        <v>5185</v>
      </c>
      <c r="E3643" s="46" t="s">
        <v>5188</v>
      </c>
      <c r="F3643" s="109" t="s">
        <v>7792</v>
      </c>
      <c r="G3643" s="3" t="s">
        <v>11449</v>
      </c>
      <c r="H3643" s="54">
        <v>0</v>
      </c>
      <c r="I3643" s="55">
        <v>470000000</v>
      </c>
      <c r="J3643" s="56" t="s">
        <v>229</v>
      </c>
      <c r="K3643" s="57" t="s">
        <v>642</v>
      </c>
      <c r="L3643" s="17" t="s">
        <v>11411</v>
      </c>
      <c r="M3643" s="3" t="s">
        <v>230</v>
      </c>
      <c r="N3643" s="52" t="s">
        <v>7693</v>
      </c>
      <c r="O3643" s="6" t="s">
        <v>365</v>
      </c>
      <c r="P3643" s="58" t="s">
        <v>396</v>
      </c>
      <c r="Q3643" s="53" t="s">
        <v>234</v>
      </c>
      <c r="R3643" s="22">
        <v>4</v>
      </c>
      <c r="S3643" s="59">
        <v>250000</v>
      </c>
      <c r="T3643" s="4">
        <f>R3643*S3643</f>
        <v>1000000</v>
      </c>
      <c r="U3643" s="4">
        <f>T3643*1.12</f>
        <v>1120000</v>
      </c>
      <c r="V3643" s="1"/>
      <c r="W3643" s="3">
        <v>2014</v>
      </c>
      <c r="X3643" s="3"/>
    </row>
    <row r="3644" spans="1:24" ht="114.75">
      <c r="A3644" s="3" t="s">
        <v>1746</v>
      </c>
      <c r="B3644" s="6" t="s">
        <v>361</v>
      </c>
      <c r="C3644" s="44" t="s">
        <v>7592</v>
      </c>
      <c r="D3644" s="48" t="s">
        <v>398</v>
      </c>
      <c r="E3644" s="46" t="s">
        <v>3115</v>
      </c>
      <c r="F3644" s="48" t="s">
        <v>7793</v>
      </c>
      <c r="G3644" s="3" t="s">
        <v>11449</v>
      </c>
      <c r="H3644" s="54">
        <v>0</v>
      </c>
      <c r="I3644" s="55">
        <v>470000000</v>
      </c>
      <c r="J3644" s="56" t="s">
        <v>229</v>
      </c>
      <c r="K3644" s="57" t="s">
        <v>642</v>
      </c>
      <c r="L3644" s="57" t="s">
        <v>364</v>
      </c>
      <c r="M3644" s="3" t="s">
        <v>230</v>
      </c>
      <c r="N3644" s="52" t="s">
        <v>7693</v>
      </c>
      <c r="O3644" s="6" t="s">
        <v>365</v>
      </c>
      <c r="P3644" s="58" t="s">
        <v>396</v>
      </c>
      <c r="Q3644" s="53" t="s">
        <v>234</v>
      </c>
      <c r="R3644" s="22">
        <v>8</v>
      </c>
      <c r="S3644" s="106">
        <v>2500</v>
      </c>
      <c r="T3644" s="4">
        <v>0</v>
      </c>
      <c r="U3644" s="4">
        <f t="shared" si="155"/>
        <v>0</v>
      </c>
      <c r="V3644" s="1"/>
      <c r="W3644" s="3">
        <v>2014</v>
      </c>
      <c r="X3644" s="3">
        <v>12</v>
      </c>
    </row>
    <row r="3645" spans="1:24" ht="114.75">
      <c r="A3645" s="3" t="s">
        <v>13443</v>
      </c>
      <c r="B3645" s="6" t="s">
        <v>361</v>
      </c>
      <c r="C3645" s="44" t="s">
        <v>7592</v>
      </c>
      <c r="D3645" s="48" t="s">
        <v>398</v>
      </c>
      <c r="E3645" s="46" t="s">
        <v>3115</v>
      </c>
      <c r="F3645" s="48" t="s">
        <v>7793</v>
      </c>
      <c r="G3645" s="3" t="s">
        <v>11449</v>
      </c>
      <c r="H3645" s="54">
        <v>0</v>
      </c>
      <c r="I3645" s="55">
        <v>470000000</v>
      </c>
      <c r="J3645" s="56" t="s">
        <v>229</v>
      </c>
      <c r="K3645" s="57" t="s">
        <v>642</v>
      </c>
      <c r="L3645" s="17" t="s">
        <v>11411</v>
      </c>
      <c r="M3645" s="3" t="s">
        <v>230</v>
      </c>
      <c r="N3645" s="52" t="s">
        <v>7693</v>
      </c>
      <c r="O3645" s="6" t="s">
        <v>365</v>
      </c>
      <c r="P3645" s="58" t="s">
        <v>396</v>
      </c>
      <c r="Q3645" s="53" t="s">
        <v>234</v>
      </c>
      <c r="R3645" s="22">
        <v>8</v>
      </c>
      <c r="S3645" s="106">
        <v>2500</v>
      </c>
      <c r="T3645" s="4">
        <v>0</v>
      </c>
      <c r="U3645" s="4">
        <f>T3645*1.12</f>
        <v>0</v>
      </c>
      <c r="V3645" s="1"/>
      <c r="W3645" s="3">
        <v>2014</v>
      </c>
      <c r="X3645" s="3" t="s">
        <v>14785</v>
      </c>
    </row>
    <row r="3646" spans="1:24" ht="114.75">
      <c r="A3646" s="3" t="s">
        <v>16739</v>
      </c>
      <c r="B3646" s="6" t="s">
        <v>361</v>
      </c>
      <c r="C3646" s="44" t="s">
        <v>7592</v>
      </c>
      <c r="D3646" s="48" t="s">
        <v>398</v>
      </c>
      <c r="E3646" s="46" t="s">
        <v>3115</v>
      </c>
      <c r="F3646" s="48" t="s">
        <v>7793</v>
      </c>
      <c r="G3646" s="3" t="s">
        <v>11449</v>
      </c>
      <c r="H3646" s="54">
        <v>0</v>
      </c>
      <c r="I3646" s="55">
        <v>470000000</v>
      </c>
      <c r="J3646" s="56" t="s">
        <v>229</v>
      </c>
      <c r="K3646" s="57" t="s">
        <v>8950</v>
      </c>
      <c r="L3646" s="17" t="s">
        <v>11411</v>
      </c>
      <c r="M3646" s="3" t="s">
        <v>230</v>
      </c>
      <c r="N3646" s="52" t="s">
        <v>7693</v>
      </c>
      <c r="O3646" s="6" t="s">
        <v>365</v>
      </c>
      <c r="P3646" s="58" t="s">
        <v>396</v>
      </c>
      <c r="Q3646" s="53" t="s">
        <v>234</v>
      </c>
      <c r="R3646" s="22">
        <v>8</v>
      </c>
      <c r="S3646" s="106">
        <v>3000</v>
      </c>
      <c r="T3646" s="4">
        <v>0</v>
      </c>
      <c r="U3646" s="4">
        <f>T3646*1.12</f>
        <v>0</v>
      </c>
      <c r="V3646" s="1"/>
      <c r="W3646" s="3">
        <v>2014</v>
      </c>
      <c r="X3646" s="3">
        <v>11.14</v>
      </c>
    </row>
    <row r="3647" spans="1:24" ht="114.75">
      <c r="A3647" s="3" t="s">
        <v>19029</v>
      </c>
      <c r="B3647" s="6" t="s">
        <v>361</v>
      </c>
      <c r="C3647" s="44" t="s">
        <v>7592</v>
      </c>
      <c r="D3647" s="48" t="s">
        <v>398</v>
      </c>
      <c r="E3647" s="46" t="s">
        <v>3115</v>
      </c>
      <c r="F3647" s="48" t="s">
        <v>7793</v>
      </c>
      <c r="G3647" s="3" t="s">
        <v>11449</v>
      </c>
      <c r="H3647" s="54">
        <v>0</v>
      </c>
      <c r="I3647" s="55">
        <v>470000000</v>
      </c>
      <c r="J3647" s="56" t="s">
        <v>229</v>
      </c>
      <c r="K3647" s="57" t="s">
        <v>18437</v>
      </c>
      <c r="L3647" s="17" t="s">
        <v>11411</v>
      </c>
      <c r="M3647" s="3" t="s">
        <v>230</v>
      </c>
      <c r="N3647" s="52" t="s">
        <v>16511</v>
      </c>
      <c r="O3647" s="6" t="s">
        <v>365</v>
      </c>
      <c r="P3647" s="58" t="s">
        <v>396</v>
      </c>
      <c r="Q3647" s="53" t="s">
        <v>234</v>
      </c>
      <c r="R3647" s="22">
        <v>8</v>
      </c>
      <c r="S3647" s="106">
        <v>3000</v>
      </c>
      <c r="T3647" s="4">
        <v>0</v>
      </c>
      <c r="U3647" s="4">
        <f>T3647*1.12</f>
        <v>0</v>
      </c>
      <c r="V3647" s="1"/>
      <c r="W3647" s="3">
        <v>2014</v>
      </c>
      <c r="X3647" s="3" t="s">
        <v>19492</v>
      </c>
    </row>
    <row r="3648" spans="1:24" ht="76.5">
      <c r="A3648" s="3" t="s">
        <v>19452</v>
      </c>
      <c r="B3648" s="6" t="s">
        <v>361</v>
      </c>
      <c r="C3648" s="44" t="s">
        <v>7592</v>
      </c>
      <c r="D3648" s="48" t="s">
        <v>398</v>
      </c>
      <c r="E3648" s="46" t="s">
        <v>3115</v>
      </c>
      <c r="F3648" s="48" t="s">
        <v>7793</v>
      </c>
      <c r="G3648" s="3" t="s">
        <v>11450</v>
      </c>
      <c r="H3648" s="54">
        <v>0</v>
      </c>
      <c r="I3648" s="55">
        <v>470000000</v>
      </c>
      <c r="J3648" s="56" t="s">
        <v>229</v>
      </c>
      <c r="K3648" s="57" t="s">
        <v>19379</v>
      </c>
      <c r="L3648" s="17" t="s">
        <v>11411</v>
      </c>
      <c r="M3648" s="3" t="s">
        <v>230</v>
      </c>
      <c r="N3648" s="52" t="s">
        <v>16511</v>
      </c>
      <c r="O3648" s="6" t="s">
        <v>19407</v>
      </c>
      <c r="P3648" s="58" t="s">
        <v>396</v>
      </c>
      <c r="Q3648" s="53" t="s">
        <v>234</v>
      </c>
      <c r="R3648" s="22">
        <v>8</v>
      </c>
      <c r="S3648" s="106">
        <v>3000</v>
      </c>
      <c r="T3648" s="4">
        <f>R3648*S3648</f>
        <v>24000</v>
      </c>
      <c r="U3648" s="4">
        <f>T3648*1.12</f>
        <v>26880.000000000004</v>
      </c>
      <c r="V3648" s="1"/>
      <c r="W3648" s="3">
        <v>2014</v>
      </c>
      <c r="X3648" s="3"/>
    </row>
    <row r="3649" spans="1:24" ht="114.75">
      <c r="A3649" s="3" t="s">
        <v>1747</v>
      </c>
      <c r="B3649" s="6" t="s">
        <v>361</v>
      </c>
      <c r="C3649" s="44" t="s">
        <v>7592</v>
      </c>
      <c r="D3649" s="48" t="s">
        <v>398</v>
      </c>
      <c r="E3649" s="46" t="s">
        <v>3115</v>
      </c>
      <c r="F3649" s="48" t="s">
        <v>7794</v>
      </c>
      <c r="G3649" s="3" t="s">
        <v>11449</v>
      </c>
      <c r="H3649" s="54">
        <v>0</v>
      </c>
      <c r="I3649" s="55">
        <v>470000000</v>
      </c>
      <c r="J3649" s="56" t="s">
        <v>229</v>
      </c>
      <c r="K3649" s="57" t="s">
        <v>642</v>
      </c>
      <c r="L3649" s="57" t="s">
        <v>364</v>
      </c>
      <c r="M3649" s="3" t="s">
        <v>230</v>
      </c>
      <c r="N3649" s="52" t="s">
        <v>7693</v>
      </c>
      <c r="O3649" s="6" t="s">
        <v>365</v>
      </c>
      <c r="P3649" s="58" t="s">
        <v>396</v>
      </c>
      <c r="Q3649" s="53" t="s">
        <v>234</v>
      </c>
      <c r="R3649" s="22">
        <v>8</v>
      </c>
      <c r="S3649" s="106">
        <v>4000</v>
      </c>
      <c r="T3649" s="4">
        <v>0</v>
      </c>
      <c r="U3649" s="4">
        <f t="shared" si="155"/>
        <v>0</v>
      </c>
      <c r="V3649" s="1"/>
      <c r="W3649" s="3">
        <v>2014</v>
      </c>
      <c r="X3649" s="3">
        <v>12</v>
      </c>
    </row>
    <row r="3650" spans="1:24" ht="114.75">
      <c r="A3650" s="3" t="s">
        <v>13444</v>
      </c>
      <c r="B3650" s="6" t="s">
        <v>361</v>
      </c>
      <c r="C3650" s="44" t="s">
        <v>7592</v>
      </c>
      <c r="D3650" s="48" t="s">
        <v>398</v>
      </c>
      <c r="E3650" s="46" t="s">
        <v>3115</v>
      </c>
      <c r="F3650" s="48" t="s">
        <v>7794</v>
      </c>
      <c r="G3650" s="3" t="s">
        <v>11449</v>
      </c>
      <c r="H3650" s="54">
        <v>0</v>
      </c>
      <c r="I3650" s="55">
        <v>470000000</v>
      </c>
      <c r="J3650" s="56" t="s">
        <v>229</v>
      </c>
      <c r="K3650" s="57" t="s">
        <v>642</v>
      </c>
      <c r="L3650" s="17" t="s">
        <v>11411</v>
      </c>
      <c r="M3650" s="3" t="s">
        <v>230</v>
      </c>
      <c r="N3650" s="52" t="s">
        <v>7693</v>
      </c>
      <c r="O3650" s="6" t="s">
        <v>365</v>
      </c>
      <c r="P3650" s="58" t="s">
        <v>396</v>
      </c>
      <c r="Q3650" s="53" t="s">
        <v>234</v>
      </c>
      <c r="R3650" s="22">
        <v>8</v>
      </c>
      <c r="S3650" s="106">
        <v>4000</v>
      </c>
      <c r="T3650" s="4">
        <v>0</v>
      </c>
      <c r="U3650" s="4">
        <f>T3650*1.12</f>
        <v>0</v>
      </c>
      <c r="V3650" s="1"/>
      <c r="W3650" s="3">
        <v>2014</v>
      </c>
      <c r="X3650" s="3" t="s">
        <v>14785</v>
      </c>
    </row>
    <row r="3651" spans="1:24" ht="114.75">
      <c r="A3651" s="3" t="s">
        <v>16740</v>
      </c>
      <c r="B3651" s="6" t="s">
        <v>361</v>
      </c>
      <c r="C3651" s="44" t="s">
        <v>7592</v>
      </c>
      <c r="D3651" s="48" t="s">
        <v>398</v>
      </c>
      <c r="E3651" s="46" t="s">
        <v>3115</v>
      </c>
      <c r="F3651" s="48" t="s">
        <v>7794</v>
      </c>
      <c r="G3651" s="3" t="s">
        <v>11449</v>
      </c>
      <c r="H3651" s="54">
        <v>0</v>
      </c>
      <c r="I3651" s="55">
        <v>470000000</v>
      </c>
      <c r="J3651" s="56" t="s">
        <v>229</v>
      </c>
      <c r="K3651" s="57" t="s">
        <v>8950</v>
      </c>
      <c r="L3651" s="17" t="s">
        <v>11411</v>
      </c>
      <c r="M3651" s="3" t="s">
        <v>230</v>
      </c>
      <c r="N3651" s="52" t="s">
        <v>7693</v>
      </c>
      <c r="O3651" s="6" t="s">
        <v>365</v>
      </c>
      <c r="P3651" s="58" t="s">
        <v>396</v>
      </c>
      <c r="Q3651" s="53" t="s">
        <v>234</v>
      </c>
      <c r="R3651" s="22">
        <v>8</v>
      </c>
      <c r="S3651" s="106">
        <v>4800</v>
      </c>
      <c r="T3651" s="4">
        <v>0</v>
      </c>
      <c r="U3651" s="4">
        <f>T3651*1.12</f>
        <v>0</v>
      </c>
      <c r="V3651" s="1"/>
      <c r="W3651" s="3">
        <v>2014</v>
      </c>
      <c r="X3651" s="3">
        <v>11.14</v>
      </c>
    </row>
    <row r="3652" spans="1:24" ht="114.75">
      <c r="A3652" s="3" t="s">
        <v>19030</v>
      </c>
      <c r="B3652" s="6" t="s">
        <v>361</v>
      </c>
      <c r="C3652" s="44" t="s">
        <v>7592</v>
      </c>
      <c r="D3652" s="48" t="s">
        <v>398</v>
      </c>
      <c r="E3652" s="46" t="s">
        <v>3115</v>
      </c>
      <c r="F3652" s="48" t="s">
        <v>7794</v>
      </c>
      <c r="G3652" s="3" t="s">
        <v>11449</v>
      </c>
      <c r="H3652" s="54">
        <v>0</v>
      </c>
      <c r="I3652" s="55">
        <v>470000000</v>
      </c>
      <c r="J3652" s="56" t="s">
        <v>229</v>
      </c>
      <c r="K3652" s="57" t="s">
        <v>18437</v>
      </c>
      <c r="L3652" s="17" t="s">
        <v>11411</v>
      </c>
      <c r="M3652" s="3" t="s">
        <v>230</v>
      </c>
      <c r="N3652" s="52" t="s">
        <v>16511</v>
      </c>
      <c r="O3652" s="6" t="s">
        <v>365</v>
      </c>
      <c r="P3652" s="58" t="s">
        <v>396</v>
      </c>
      <c r="Q3652" s="53" t="s">
        <v>234</v>
      </c>
      <c r="R3652" s="22">
        <v>8</v>
      </c>
      <c r="S3652" s="106">
        <v>4800</v>
      </c>
      <c r="T3652" s="4">
        <v>0</v>
      </c>
      <c r="U3652" s="4">
        <f>T3652*1.12</f>
        <v>0</v>
      </c>
      <c r="V3652" s="1"/>
      <c r="W3652" s="3">
        <v>2014</v>
      </c>
      <c r="X3652" s="3" t="s">
        <v>19492</v>
      </c>
    </row>
    <row r="3653" spans="1:24" ht="76.5">
      <c r="A3653" s="3" t="s">
        <v>19453</v>
      </c>
      <c r="B3653" s="6" t="s">
        <v>361</v>
      </c>
      <c r="C3653" s="44" t="s">
        <v>7592</v>
      </c>
      <c r="D3653" s="48" t="s">
        <v>398</v>
      </c>
      <c r="E3653" s="46" t="s">
        <v>3115</v>
      </c>
      <c r="F3653" s="48" t="s">
        <v>7794</v>
      </c>
      <c r="G3653" s="3" t="s">
        <v>11450</v>
      </c>
      <c r="H3653" s="54">
        <v>0</v>
      </c>
      <c r="I3653" s="55">
        <v>470000000</v>
      </c>
      <c r="J3653" s="56" t="s">
        <v>229</v>
      </c>
      <c r="K3653" s="57" t="s">
        <v>19379</v>
      </c>
      <c r="L3653" s="17" t="s">
        <v>11411</v>
      </c>
      <c r="M3653" s="3" t="s">
        <v>230</v>
      </c>
      <c r="N3653" s="52" t="s">
        <v>16511</v>
      </c>
      <c r="O3653" s="6" t="s">
        <v>19407</v>
      </c>
      <c r="P3653" s="58" t="s">
        <v>396</v>
      </c>
      <c r="Q3653" s="53" t="s">
        <v>234</v>
      </c>
      <c r="R3653" s="22">
        <v>8</v>
      </c>
      <c r="S3653" s="106">
        <v>4800</v>
      </c>
      <c r="T3653" s="4">
        <f>R3653*S3653</f>
        <v>38400</v>
      </c>
      <c r="U3653" s="4">
        <f>T3653*1.12</f>
        <v>43008.000000000007</v>
      </c>
      <c r="V3653" s="1"/>
      <c r="W3653" s="3">
        <v>2014</v>
      </c>
      <c r="X3653" s="3"/>
    </row>
    <row r="3654" spans="1:24" ht="114.75">
      <c r="A3654" s="3" t="s">
        <v>1748</v>
      </c>
      <c r="B3654" s="6" t="s">
        <v>361</v>
      </c>
      <c r="C3654" s="44" t="s">
        <v>7592</v>
      </c>
      <c r="D3654" s="48" t="s">
        <v>398</v>
      </c>
      <c r="E3654" s="46" t="s">
        <v>3115</v>
      </c>
      <c r="F3654" s="48" t="s">
        <v>7795</v>
      </c>
      <c r="G3654" s="3" t="s">
        <v>11449</v>
      </c>
      <c r="H3654" s="54">
        <v>0</v>
      </c>
      <c r="I3654" s="55">
        <v>470000000</v>
      </c>
      <c r="J3654" s="56" t="s">
        <v>229</v>
      </c>
      <c r="K3654" s="57" t="s">
        <v>642</v>
      </c>
      <c r="L3654" s="57" t="s">
        <v>364</v>
      </c>
      <c r="M3654" s="3" t="s">
        <v>230</v>
      </c>
      <c r="N3654" s="52" t="s">
        <v>7693</v>
      </c>
      <c r="O3654" s="6" t="s">
        <v>365</v>
      </c>
      <c r="P3654" s="58" t="s">
        <v>396</v>
      </c>
      <c r="Q3654" s="53" t="s">
        <v>234</v>
      </c>
      <c r="R3654" s="22">
        <v>8</v>
      </c>
      <c r="S3654" s="59">
        <v>1842.83</v>
      </c>
      <c r="T3654" s="4">
        <v>0</v>
      </c>
      <c r="U3654" s="4">
        <f t="shared" si="155"/>
        <v>0</v>
      </c>
      <c r="V3654" s="1"/>
      <c r="W3654" s="3">
        <v>2014</v>
      </c>
      <c r="X3654" s="3">
        <v>12</v>
      </c>
    </row>
    <row r="3655" spans="1:24" ht="114.75">
      <c r="A3655" s="3" t="s">
        <v>13445</v>
      </c>
      <c r="B3655" s="6" t="s">
        <v>361</v>
      </c>
      <c r="C3655" s="44" t="s">
        <v>7592</v>
      </c>
      <c r="D3655" s="48" t="s">
        <v>398</v>
      </c>
      <c r="E3655" s="46" t="s">
        <v>3115</v>
      </c>
      <c r="F3655" s="48" t="s">
        <v>7795</v>
      </c>
      <c r="G3655" s="3" t="s">
        <v>11449</v>
      </c>
      <c r="H3655" s="54">
        <v>0</v>
      </c>
      <c r="I3655" s="55">
        <v>470000000</v>
      </c>
      <c r="J3655" s="56" t="s">
        <v>229</v>
      </c>
      <c r="K3655" s="57" t="s">
        <v>642</v>
      </c>
      <c r="L3655" s="17" t="s">
        <v>11411</v>
      </c>
      <c r="M3655" s="3" t="s">
        <v>230</v>
      </c>
      <c r="N3655" s="52" t="s">
        <v>7693</v>
      </c>
      <c r="O3655" s="6" t="s">
        <v>365</v>
      </c>
      <c r="P3655" s="58" t="s">
        <v>396</v>
      </c>
      <c r="Q3655" s="53" t="s">
        <v>234</v>
      </c>
      <c r="R3655" s="22">
        <v>8</v>
      </c>
      <c r="S3655" s="59">
        <v>1842.83</v>
      </c>
      <c r="T3655" s="4">
        <v>0</v>
      </c>
      <c r="U3655" s="4">
        <f>T3655*1.12</f>
        <v>0</v>
      </c>
      <c r="V3655" s="1"/>
      <c r="W3655" s="3">
        <v>2014</v>
      </c>
      <c r="X3655" s="3" t="s">
        <v>14785</v>
      </c>
    </row>
    <row r="3656" spans="1:24" ht="114.75">
      <c r="A3656" s="3" t="s">
        <v>16741</v>
      </c>
      <c r="B3656" s="6" t="s">
        <v>361</v>
      </c>
      <c r="C3656" s="44" t="s">
        <v>7592</v>
      </c>
      <c r="D3656" s="48" t="s">
        <v>398</v>
      </c>
      <c r="E3656" s="46" t="s">
        <v>3115</v>
      </c>
      <c r="F3656" s="48" t="s">
        <v>7795</v>
      </c>
      <c r="G3656" s="3" t="s">
        <v>11449</v>
      </c>
      <c r="H3656" s="54">
        <v>0</v>
      </c>
      <c r="I3656" s="55">
        <v>470000000</v>
      </c>
      <c r="J3656" s="56" t="s">
        <v>229</v>
      </c>
      <c r="K3656" s="57" t="s">
        <v>8950</v>
      </c>
      <c r="L3656" s="17" t="s">
        <v>11411</v>
      </c>
      <c r="M3656" s="3" t="s">
        <v>230</v>
      </c>
      <c r="N3656" s="52" t="s">
        <v>7693</v>
      </c>
      <c r="O3656" s="6" t="s">
        <v>365</v>
      </c>
      <c r="P3656" s="58" t="s">
        <v>396</v>
      </c>
      <c r="Q3656" s="53" t="s">
        <v>234</v>
      </c>
      <c r="R3656" s="22">
        <v>8</v>
      </c>
      <c r="S3656" s="59">
        <v>2211.3959999999997</v>
      </c>
      <c r="T3656" s="4">
        <v>0</v>
      </c>
      <c r="U3656" s="4">
        <f>T3656*1.12</f>
        <v>0</v>
      </c>
      <c r="V3656" s="1"/>
      <c r="W3656" s="3">
        <v>2014</v>
      </c>
      <c r="X3656" s="3">
        <v>11.14</v>
      </c>
    </row>
    <row r="3657" spans="1:24" ht="114.75">
      <c r="A3657" s="3" t="s">
        <v>19031</v>
      </c>
      <c r="B3657" s="6" t="s">
        <v>361</v>
      </c>
      <c r="C3657" s="44" t="s">
        <v>7592</v>
      </c>
      <c r="D3657" s="48" t="s">
        <v>398</v>
      </c>
      <c r="E3657" s="46" t="s">
        <v>3115</v>
      </c>
      <c r="F3657" s="48" t="s">
        <v>7795</v>
      </c>
      <c r="G3657" s="3" t="s">
        <v>11449</v>
      </c>
      <c r="H3657" s="54">
        <v>0</v>
      </c>
      <c r="I3657" s="55">
        <v>470000000</v>
      </c>
      <c r="J3657" s="56" t="s">
        <v>229</v>
      </c>
      <c r="K3657" s="57" t="s">
        <v>18437</v>
      </c>
      <c r="L3657" s="17" t="s">
        <v>11411</v>
      </c>
      <c r="M3657" s="3" t="s">
        <v>230</v>
      </c>
      <c r="N3657" s="52" t="s">
        <v>16511</v>
      </c>
      <c r="O3657" s="6" t="s">
        <v>365</v>
      </c>
      <c r="P3657" s="58" t="s">
        <v>396</v>
      </c>
      <c r="Q3657" s="53" t="s">
        <v>234</v>
      </c>
      <c r="R3657" s="22">
        <v>8</v>
      </c>
      <c r="S3657" s="59">
        <v>2211.3959999999997</v>
      </c>
      <c r="T3657" s="4">
        <v>0</v>
      </c>
      <c r="U3657" s="4">
        <f>T3657*1.12</f>
        <v>0</v>
      </c>
      <c r="V3657" s="1"/>
      <c r="W3657" s="3">
        <v>2014</v>
      </c>
      <c r="X3657" s="3" t="s">
        <v>19492</v>
      </c>
    </row>
    <row r="3658" spans="1:24" ht="76.5">
      <c r="A3658" s="3" t="s">
        <v>19455</v>
      </c>
      <c r="B3658" s="6" t="s">
        <v>361</v>
      </c>
      <c r="C3658" s="44" t="s">
        <v>7592</v>
      </c>
      <c r="D3658" s="48" t="s">
        <v>398</v>
      </c>
      <c r="E3658" s="46" t="s">
        <v>3115</v>
      </c>
      <c r="F3658" s="48" t="s">
        <v>7795</v>
      </c>
      <c r="G3658" s="3" t="s">
        <v>11450</v>
      </c>
      <c r="H3658" s="54">
        <v>0</v>
      </c>
      <c r="I3658" s="55">
        <v>470000000</v>
      </c>
      <c r="J3658" s="56" t="s">
        <v>229</v>
      </c>
      <c r="K3658" s="57" t="s">
        <v>19379</v>
      </c>
      <c r="L3658" s="17" t="s">
        <v>11411</v>
      </c>
      <c r="M3658" s="3" t="s">
        <v>230</v>
      </c>
      <c r="N3658" s="52" t="s">
        <v>16511</v>
      </c>
      <c r="O3658" s="6" t="s">
        <v>19407</v>
      </c>
      <c r="P3658" s="58" t="s">
        <v>396</v>
      </c>
      <c r="Q3658" s="53" t="s">
        <v>234</v>
      </c>
      <c r="R3658" s="22">
        <v>8</v>
      </c>
      <c r="S3658" s="59">
        <v>2211.3959999999997</v>
      </c>
      <c r="T3658" s="4">
        <f>R3658*S3658</f>
        <v>17691.167999999998</v>
      </c>
      <c r="U3658" s="4">
        <f>T3658*1.12</f>
        <v>19814.10816</v>
      </c>
      <c r="V3658" s="1"/>
      <c r="W3658" s="3">
        <v>2014</v>
      </c>
      <c r="X3658" s="3"/>
    </row>
    <row r="3659" spans="1:24" ht="114.75">
      <c r="A3659" s="3" t="s">
        <v>1749</v>
      </c>
      <c r="B3659" s="6" t="s">
        <v>361</v>
      </c>
      <c r="C3659" s="44" t="s">
        <v>7593</v>
      </c>
      <c r="D3659" s="48" t="s">
        <v>7594</v>
      </c>
      <c r="E3659" s="46" t="s">
        <v>7595</v>
      </c>
      <c r="F3659" s="6" t="s">
        <v>7796</v>
      </c>
      <c r="G3659" s="3" t="s">
        <v>11449</v>
      </c>
      <c r="H3659" s="54">
        <v>0</v>
      </c>
      <c r="I3659" s="55">
        <v>470000000</v>
      </c>
      <c r="J3659" s="56" t="s">
        <v>229</v>
      </c>
      <c r="K3659" s="57" t="s">
        <v>642</v>
      </c>
      <c r="L3659" s="57" t="s">
        <v>364</v>
      </c>
      <c r="M3659" s="3" t="s">
        <v>230</v>
      </c>
      <c r="N3659" s="52" t="s">
        <v>7693</v>
      </c>
      <c r="O3659" s="6" t="s">
        <v>365</v>
      </c>
      <c r="P3659" s="58" t="s">
        <v>396</v>
      </c>
      <c r="Q3659" s="53" t="s">
        <v>234</v>
      </c>
      <c r="R3659" s="22">
        <v>10</v>
      </c>
      <c r="S3659" s="59">
        <v>25200</v>
      </c>
      <c r="T3659" s="4">
        <v>0</v>
      </c>
      <c r="U3659" s="4">
        <f t="shared" si="155"/>
        <v>0</v>
      </c>
      <c r="V3659" s="1"/>
      <c r="W3659" s="3">
        <v>2014</v>
      </c>
      <c r="X3659" s="3">
        <v>12</v>
      </c>
    </row>
    <row r="3660" spans="1:24" ht="114.75">
      <c r="A3660" s="3" t="s">
        <v>13446</v>
      </c>
      <c r="B3660" s="6" t="s">
        <v>361</v>
      </c>
      <c r="C3660" s="44" t="s">
        <v>7593</v>
      </c>
      <c r="D3660" s="48" t="s">
        <v>7594</v>
      </c>
      <c r="E3660" s="46" t="s">
        <v>7595</v>
      </c>
      <c r="F3660" s="6" t="s">
        <v>7796</v>
      </c>
      <c r="G3660" s="3" t="s">
        <v>11449</v>
      </c>
      <c r="H3660" s="54">
        <v>0</v>
      </c>
      <c r="I3660" s="55">
        <v>470000000</v>
      </c>
      <c r="J3660" s="56" t="s">
        <v>229</v>
      </c>
      <c r="K3660" s="57" t="s">
        <v>642</v>
      </c>
      <c r="L3660" s="17" t="s">
        <v>11411</v>
      </c>
      <c r="M3660" s="3" t="s">
        <v>230</v>
      </c>
      <c r="N3660" s="52" t="s">
        <v>7693</v>
      </c>
      <c r="O3660" s="6" t="s">
        <v>365</v>
      </c>
      <c r="P3660" s="58" t="s">
        <v>396</v>
      </c>
      <c r="Q3660" s="53" t="s">
        <v>234</v>
      </c>
      <c r="R3660" s="22">
        <v>10</v>
      </c>
      <c r="S3660" s="59">
        <v>25200</v>
      </c>
      <c r="T3660" s="4">
        <v>0</v>
      </c>
      <c r="U3660" s="4">
        <f>T3660*1.12</f>
        <v>0</v>
      </c>
      <c r="V3660" s="1"/>
      <c r="W3660" s="3">
        <v>2014</v>
      </c>
      <c r="X3660" s="3" t="s">
        <v>14785</v>
      </c>
    </row>
    <row r="3661" spans="1:24" ht="114.75">
      <c r="A3661" s="3" t="s">
        <v>16742</v>
      </c>
      <c r="B3661" s="6" t="s">
        <v>361</v>
      </c>
      <c r="C3661" s="44" t="s">
        <v>7593</v>
      </c>
      <c r="D3661" s="48" t="s">
        <v>7594</v>
      </c>
      <c r="E3661" s="46" t="s">
        <v>7595</v>
      </c>
      <c r="F3661" s="6" t="s">
        <v>7796</v>
      </c>
      <c r="G3661" s="3" t="s">
        <v>11449</v>
      </c>
      <c r="H3661" s="54">
        <v>0</v>
      </c>
      <c r="I3661" s="55">
        <v>470000000</v>
      </c>
      <c r="J3661" s="56" t="s">
        <v>229</v>
      </c>
      <c r="K3661" s="57" t="s">
        <v>8950</v>
      </c>
      <c r="L3661" s="17" t="s">
        <v>11411</v>
      </c>
      <c r="M3661" s="3" t="s">
        <v>230</v>
      </c>
      <c r="N3661" s="52" t="s">
        <v>7693</v>
      </c>
      <c r="O3661" s="6" t="s">
        <v>365</v>
      </c>
      <c r="P3661" s="58" t="s">
        <v>396</v>
      </c>
      <c r="Q3661" s="53" t="s">
        <v>234</v>
      </c>
      <c r="R3661" s="22">
        <v>10</v>
      </c>
      <c r="S3661" s="59">
        <v>30240</v>
      </c>
      <c r="T3661" s="4">
        <v>0</v>
      </c>
      <c r="U3661" s="4">
        <f>T3661*1.12</f>
        <v>0</v>
      </c>
      <c r="V3661" s="1"/>
      <c r="W3661" s="3">
        <v>2014</v>
      </c>
      <c r="X3661" s="3">
        <v>11.14</v>
      </c>
    </row>
    <row r="3662" spans="1:24" ht="114.75">
      <c r="A3662" s="3" t="s">
        <v>19032</v>
      </c>
      <c r="B3662" s="6" t="s">
        <v>361</v>
      </c>
      <c r="C3662" s="44" t="s">
        <v>7593</v>
      </c>
      <c r="D3662" s="48" t="s">
        <v>7594</v>
      </c>
      <c r="E3662" s="46" t="s">
        <v>7595</v>
      </c>
      <c r="F3662" s="6" t="s">
        <v>7796</v>
      </c>
      <c r="G3662" s="3" t="s">
        <v>11449</v>
      </c>
      <c r="H3662" s="54">
        <v>0</v>
      </c>
      <c r="I3662" s="55">
        <v>470000000</v>
      </c>
      <c r="J3662" s="56" t="s">
        <v>229</v>
      </c>
      <c r="K3662" s="57" t="s">
        <v>18437</v>
      </c>
      <c r="L3662" s="17" t="s">
        <v>11411</v>
      </c>
      <c r="M3662" s="3" t="s">
        <v>230</v>
      </c>
      <c r="N3662" s="52" t="s">
        <v>16511</v>
      </c>
      <c r="O3662" s="6" t="s">
        <v>365</v>
      </c>
      <c r="P3662" s="58" t="s">
        <v>396</v>
      </c>
      <c r="Q3662" s="53" t="s">
        <v>234</v>
      </c>
      <c r="R3662" s="22">
        <v>10</v>
      </c>
      <c r="S3662" s="59">
        <v>30240</v>
      </c>
      <c r="T3662" s="4">
        <v>0</v>
      </c>
      <c r="U3662" s="4">
        <f>T3662*1.12</f>
        <v>0</v>
      </c>
      <c r="V3662" s="1"/>
      <c r="W3662" s="3">
        <v>2014</v>
      </c>
      <c r="X3662" s="3" t="s">
        <v>19492</v>
      </c>
    </row>
    <row r="3663" spans="1:24" ht="114.75">
      <c r="A3663" s="3" t="s">
        <v>19456</v>
      </c>
      <c r="B3663" s="6" t="s">
        <v>361</v>
      </c>
      <c r="C3663" s="44" t="s">
        <v>7593</v>
      </c>
      <c r="D3663" s="48" t="s">
        <v>7594</v>
      </c>
      <c r="E3663" s="46" t="s">
        <v>7595</v>
      </c>
      <c r="F3663" s="6" t="s">
        <v>7796</v>
      </c>
      <c r="G3663" s="3" t="s">
        <v>11450</v>
      </c>
      <c r="H3663" s="54">
        <v>0</v>
      </c>
      <c r="I3663" s="55">
        <v>470000000</v>
      </c>
      <c r="J3663" s="56" t="s">
        <v>229</v>
      </c>
      <c r="K3663" s="57" t="s">
        <v>19379</v>
      </c>
      <c r="L3663" s="17" t="s">
        <v>11411</v>
      </c>
      <c r="M3663" s="3" t="s">
        <v>230</v>
      </c>
      <c r="N3663" s="52" t="s">
        <v>16511</v>
      </c>
      <c r="O3663" s="6" t="s">
        <v>19407</v>
      </c>
      <c r="P3663" s="58" t="s">
        <v>396</v>
      </c>
      <c r="Q3663" s="53" t="s">
        <v>234</v>
      </c>
      <c r="R3663" s="22">
        <v>10</v>
      </c>
      <c r="S3663" s="59">
        <v>30240</v>
      </c>
      <c r="T3663" s="4">
        <f>R3663*S3663</f>
        <v>302400</v>
      </c>
      <c r="U3663" s="4">
        <f>T3663*1.12</f>
        <v>338688.00000000006</v>
      </c>
      <c r="V3663" s="1"/>
      <c r="W3663" s="3">
        <v>2014</v>
      </c>
      <c r="X3663" s="3"/>
    </row>
    <row r="3664" spans="1:24" ht="140.25">
      <c r="A3664" s="3" t="s">
        <v>1750</v>
      </c>
      <c r="B3664" s="6" t="s">
        <v>361</v>
      </c>
      <c r="C3664" s="44" t="s">
        <v>7589</v>
      </c>
      <c r="D3664" s="48" t="s">
        <v>3755</v>
      </c>
      <c r="E3664" s="46" t="s">
        <v>11524</v>
      </c>
      <c r="F3664" s="109" t="s">
        <v>7498</v>
      </c>
      <c r="G3664" s="3" t="s">
        <v>11450</v>
      </c>
      <c r="H3664" s="54">
        <v>0</v>
      </c>
      <c r="I3664" s="55">
        <v>470000000</v>
      </c>
      <c r="J3664" s="56" t="s">
        <v>229</v>
      </c>
      <c r="K3664" s="57" t="s">
        <v>642</v>
      </c>
      <c r="L3664" s="57" t="s">
        <v>364</v>
      </c>
      <c r="M3664" s="3" t="s">
        <v>230</v>
      </c>
      <c r="N3664" s="52" t="s">
        <v>7693</v>
      </c>
      <c r="O3664" s="6" t="s">
        <v>365</v>
      </c>
      <c r="P3664" s="58" t="s">
        <v>237</v>
      </c>
      <c r="Q3664" s="53" t="s">
        <v>238</v>
      </c>
      <c r="R3664" s="22">
        <v>200</v>
      </c>
      <c r="S3664" s="59">
        <v>8533.0942400000022</v>
      </c>
      <c r="T3664" s="4">
        <v>0</v>
      </c>
      <c r="U3664" s="4">
        <f t="shared" si="155"/>
        <v>0</v>
      </c>
      <c r="V3664" s="1"/>
      <c r="W3664" s="3">
        <v>2014</v>
      </c>
      <c r="X3664" s="3">
        <v>7.12</v>
      </c>
    </row>
    <row r="3665" spans="1:24" ht="140.25">
      <c r="A3665" s="3" t="s">
        <v>13447</v>
      </c>
      <c r="B3665" s="6" t="s">
        <v>361</v>
      </c>
      <c r="C3665" s="44" t="s">
        <v>7589</v>
      </c>
      <c r="D3665" s="48" t="s">
        <v>3755</v>
      </c>
      <c r="E3665" s="46" t="s">
        <v>11524</v>
      </c>
      <c r="F3665" s="109" t="s">
        <v>7498</v>
      </c>
      <c r="G3665" s="3" t="s">
        <v>11449</v>
      </c>
      <c r="H3665" s="54">
        <v>0</v>
      </c>
      <c r="I3665" s="55">
        <v>470000000</v>
      </c>
      <c r="J3665" s="56" t="s">
        <v>229</v>
      </c>
      <c r="K3665" s="57" t="s">
        <v>642</v>
      </c>
      <c r="L3665" s="17" t="s">
        <v>11411</v>
      </c>
      <c r="M3665" s="3" t="s">
        <v>230</v>
      </c>
      <c r="N3665" s="52" t="s">
        <v>7693</v>
      </c>
      <c r="O3665" s="6" t="s">
        <v>365</v>
      </c>
      <c r="P3665" s="58" t="s">
        <v>237</v>
      </c>
      <c r="Q3665" s="53" t="s">
        <v>238</v>
      </c>
      <c r="R3665" s="22">
        <v>200</v>
      </c>
      <c r="S3665" s="59">
        <v>8533.0942400000022</v>
      </c>
      <c r="T3665" s="4">
        <v>0</v>
      </c>
      <c r="U3665" s="4">
        <f>T3665*1.12</f>
        <v>0</v>
      </c>
      <c r="V3665" s="1"/>
      <c r="W3665" s="3">
        <v>2014</v>
      </c>
      <c r="X3665" s="3" t="s">
        <v>14785</v>
      </c>
    </row>
    <row r="3666" spans="1:24" ht="140.25">
      <c r="A3666" s="3" t="s">
        <v>16743</v>
      </c>
      <c r="B3666" s="6" t="s">
        <v>361</v>
      </c>
      <c r="C3666" s="44" t="s">
        <v>7589</v>
      </c>
      <c r="D3666" s="48" t="s">
        <v>3755</v>
      </c>
      <c r="E3666" s="46" t="s">
        <v>11524</v>
      </c>
      <c r="F3666" s="109" t="s">
        <v>7498</v>
      </c>
      <c r="G3666" s="3" t="s">
        <v>11449</v>
      </c>
      <c r="H3666" s="54">
        <v>0</v>
      </c>
      <c r="I3666" s="55">
        <v>470000000</v>
      </c>
      <c r="J3666" s="56" t="s">
        <v>229</v>
      </c>
      <c r="K3666" s="57" t="s">
        <v>8950</v>
      </c>
      <c r="L3666" s="17" t="s">
        <v>11411</v>
      </c>
      <c r="M3666" s="3" t="s">
        <v>230</v>
      </c>
      <c r="N3666" s="52" t="s">
        <v>7693</v>
      </c>
      <c r="O3666" s="6" t="s">
        <v>365</v>
      </c>
      <c r="P3666" s="58" t="s">
        <v>237</v>
      </c>
      <c r="Q3666" s="53" t="s">
        <v>238</v>
      </c>
      <c r="R3666" s="22">
        <v>200</v>
      </c>
      <c r="S3666" s="59">
        <v>10239.713088000002</v>
      </c>
      <c r="T3666" s="4">
        <v>0</v>
      </c>
      <c r="U3666" s="4">
        <f>T3666*1.12</f>
        <v>0</v>
      </c>
      <c r="V3666" s="1"/>
      <c r="W3666" s="3">
        <v>2014</v>
      </c>
      <c r="X3666" s="3">
        <v>11.14</v>
      </c>
    </row>
    <row r="3667" spans="1:24" ht="140.25">
      <c r="A3667" s="3" t="s">
        <v>19043</v>
      </c>
      <c r="B3667" s="6" t="s">
        <v>361</v>
      </c>
      <c r="C3667" s="44" t="s">
        <v>7589</v>
      </c>
      <c r="D3667" s="48" t="s">
        <v>3755</v>
      </c>
      <c r="E3667" s="46" t="s">
        <v>11524</v>
      </c>
      <c r="F3667" s="109" t="s">
        <v>7498</v>
      </c>
      <c r="G3667" s="3" t="s">
        <v>11449</v>
      </c>
      <c r="H3667" s="54">
        <v>0</v>
      </c>
      <c r="I3667" s="55">
        <v>470000000</v>
      </c>
      <c r="J3667" s="56" t="s">
        <v>229</v>
      </c>
      <c r="K3667" s="57" t="s">
        <v>18437</v>
      </c>
      <c r="L3667" s="17" t="s">
        <v>11411</v>
      </c>
      <c r="M3667" s="3" t="s">
        <v>230</v>
      </c>
      <c r="N3667" s="52" t="s">
        <v>16511</v>
      </c>
      <c r="O3667" s="6" t="s">
        <v>365</v>
      </c>
      <c r="P3667" s="58" t="s">
        <v>237</v>
      </c>
      <c r="Q3667" s="53" t="s">
        <v>238</v>
      </c>
      <c r="R3667" s="22">
        <v>200</v>
      </c>
      <c r="S3667" s="59">
        <v>10239.713088000002</v>
      </c>
      <c r="T3667" s="4">
        <v>0</v>
      </c>
      <c r="U3667" s="4">
        <f>T3667*1.12</f>
        <v>0</v>
      </c>
      <c r="V3667" s="1"/>
      <c r="W3667" s="3">
        <v>2014</v>
      </c>
      <c r="X3667" s="3" t="s">
        <v>19492</v>
      </c>
    </row>
    <row r="3668" spans="1:24" ht="140.25">
      <c r="A3668" s="3" t="s">
        <v>19454</v>
      </c>
      <c r="B3668" s="6" t="s">
        <v>361</v>
      </c>
      <c r="C3668" s="44" t="s">
        <v>7589</v>
      </c>
      <c r="D3668" s="48" t="s">
        <v>3755</v>
      </c>
      <c r="E3668" s="46" t="s">
        <v>11524</v>
      </c>
      <c r="F3668" s="109" t="s">
        <v>7498</v>
      </c>
      <c r="G3668" s="3" t="s">
        <v>11450</v>
      </c>
      <c r="H3668" s="54">
        <v>0</v>
      </c>
      <c r="I3668" s="55">
        <v>470000000</v>
      </c>
      <c r="J3668" s="56" t="s">
        <v>229</v>
      </c>
      <c r="K3668" s="57" t="s">
        <v>19379</v>
      </c>
      <c r="L3668" s="17" t="s">
        <v>11411</v>
      </c>
      <c r="M3668" s="3" t="s">
        <v>230</v>
      </c>
      <c r="N3668" s="52" t="s">
        <v>16511</v>
      </c>
      <c r="O3668" s="6" t="s">
        <v>19407</v>
      </c>
      <c r="P3668" s="58" t="s">
        <v>237</v>
      </c>
      <c r="Q3668" s="53" t="s">
        <v>238</v>
      </c>
      <c r="R3668" s="22">
        <v>200</v>
      </c>
      <c r="S3668" s="59">
        <v>10239.713088000002</v>
      </c>
      <c r="T3668" s="4">
        <f>R3668*S3668</f>
        <v>2047942.6176000005</v>
      </c>
      <c r="U3668" s="4">
        <f>T3668*1.12</f>
        <v>2293695.7317120009</v>
      </c>
      <c r="V3668" s="1"/>
      <c r="W3668" s="3">
        <v>2014</v>
      </c>
      <c r="X3668" s="3"/>
    </row>
    <row r="3669" spans="1:24" ht="114.75">
      <c r="A3669" s="3" t="s">
        <v>1751</v>
      </c>
      <c r="B3669" s="6" t="s">
        <v>361</v>
      </c>
      <c r="C3669" s="44" t="s">
        <v>7587</v>
      </c>
      <c r="D3669" s="48" t="s">
        <v>7588</v>
      </c>
      <c r="E3669" s="46" t="s">
        <v>11645</v>
      </c>
      <c r="F3669" s="53" t="s">
        <v>7797</v>
      </c>
      <c r="G3669" s="3" t="s">
        <v>11450</v>
      </c>
      <c r="H3669" s="54">
        <v>0</v>
      </c>
      <c r="I3669" s="55">
        <v>470000000</v>
      </c>
      <c r="J3669" s="56" t="s">
        <v>229</v>
      </c>
      <c r="K3669" s="57" t="s">
        <v>7699</v>
      </c>
      <c r="L3669" s="57" t="s">
        <v>364</v>
      </c>
      <c r="M3669" s="3" t="s">
        <v>230</v>
      </c>
      <c r="N3669" s="52" t="s">
        <v>7693</v>
      </c>
      <c r="O3669" s="6" t="s">
        <v>365</v>
      </c>
      <c r="P3669" s="58" t="s">
        <v>241</v>
      </c>
      <c r="Q3669" s="53" t="s">
        <v>234</v>
      </c>
      <c r="R3669" s="22">
        <v>1000</v>
      </c>
      <c r="S3669" s="59">
        <v>399.58600000000001</v>
      </c>
      <c r="T3669" s="4">
        <v>0</v>
      </c>
      <c r="U3669" s="4">
        <f t="shared" si="155"/>
        <v>0</v>
      </c>
      <c r="V3669" s="1"/>
      <c r="W3669" s="3">
        <v>2014</v>
      </c>
      <c r="X3669" s="3">
        <v>12</v>
      </c>
    </row>
    <row r="3670" spans="1:24" ht="114.75">
      <c r="A3670" s="3" t="s">
        <v>13448</v>
      </c>
      <c r="B3670" s="6" t="s">
        <v>361</v>
      </c>
      <c r="C3670" s="44" t="s">
        <v>7587</v>
      </c>
      <c r="D3670" s="48" t="s">
        <v>7588</v>
      </c>
      <c r="E3670" s="46" t="s">
        <v>11645</v>
      </c>
      <c r="F3670" s="53" t="s">
        <v>7797</v>
      </c>
      <c r="G3670" s="3" t="s">
        <v>11450</v>
      </c>
      <c r="H3670" s="54">
        <v>0</v>
      </c>
      <c r="I3670" s="55">
        <v>470000000</v>
      </c>
      <c r="J3670" s="56" t="s">
        <v>229</v>
      </c>
      <c r="K3670" s="57" t="s">
        <v>7699</v>
      </c>
      <c r="L3670" s="17" t="s">
        <v>11411</v>
      </c>
      <c r="M3670" s="3" t="s">
        <v>230</v>
      </c>
      <c r="N3670" s="52" t="s">
        <v>7693</v>
      </c>
      <c r="O3670" s="6" t="s">
        <v>365</v>
      </c>
      <c r="P3670" s="58" t="s">
        <v>241</v>
      </c>
      <c r="Q3670" s="53" t="s">
        <v>234</v>
      </c>
      <c r="R3670" s="22">
        <v>1000</v>
      </c>
      <c r="S3670" s="59">
        <v>399.58600000000001</v>
      </c>
      <c r="T3670" s="4">
        <f>R3670*S3670</f>
        <v>399586</v>
      </c>
      <c r="U3670" s="4">
        <f>T3670*1.12</f>
        <v>447536.32000000007</v>
      </c>
      <c r="V3670" s="1"/>
      <c r="W3670" s="3">
        <v>2014</v>
      </c>
      <c r="X3670" s="3"/>
    </row>
    <row r="3671" spans="1:24" ht="114.75">
      <c r="A3671" s="3" t="s">
        <v>1752</v>
      </c>
      <c r="B3671" s="6" t="s">
        <v>361</v>
      </c>
      <c r="C3671" s="44" t="s">
        <v>7587</v>
      </c>
      <c r="D3671" s="48" t="s">
        <v>7588</v>
      </c>
      <c r="E3671" s="46" t="s">
        <v>11645</v>
      </c>
      <c r="F3671" s="53" t="s">
        <v>7798</v>
      </c>
      <c r="G3671" s="3" t="s">
        <v>11450</v>
      </c>
      <c r="H3671" s="54">
        <v>0</v>
      </c>
      <c r="I3671" s="55">
        <v>470000000</v>
      </c>
      <c r="J3671" s="56" t="s">
        <v>229</v>
      </c>
      <c r="K3671" s="57" t="s">
        <v>7699</v>
      </c>
      <c r="L3671" s="57" t="s">
        <v>364</v>
      </c>
      <c r="M3671" s="3" t="s">
        <v>230</v>
      </c>
      <c r="N3671" s="52" t="s">
        <v>7693</v>
      </c>
      <c r="O3671" s="6" t="s">
        <v>365</v>
      </c>
      <c r="P3671" s="58" t="s">
        <v>241</v>
      </c>
      <c r="Q3671" s="53" t="s">
        <v>234</v>
      </c>
      <c r="R3671" s="22">
        <v>14</v>
      </c>
      <c r="S3671" s="59">
        <v>114245.07600000002</v>
      </c>
      <c r="T3671" s="4">
        <v>0</v>
      </c>
      <c r="U3671" s="4">
        <f t="shared" si="155"/>
        <v>0</v>
      </c>
      <c r="V3671" s="1"/>
      <c r="W3671" s="3">
        <v>2014</v>
      </c>
      <c r="X3671" s="3">
        <v>12</v>
      </c>
    </row>
    <row r="3672" spans="1:24" ht="114.75">
      <c r="A3672" s="3" t="s">
        <v>13449</v>
      </c>
      <c r="B3672" s="6" t="s">
        <v>361</v>
      </c>
      <c r="C3672" s="44" t="s">
        <v>7587</v>
      </c>
      <c r="D3672" s="48" t="s">
        <v>7588</v>
      </c>
      <c r="E3672" s="46" t="s">
        <v>11645</v>
      </c>
      <c r="F3672" s="53" t="s">
        <v>7798</v>
      </c>
      <c r="G3672" s="3" t="s">
        <v>11450</v>
      </c>
      <c r="H3672" s="54">
        <v>0</v>
      </c>
      <c r="I3672" s="55">
        <v>470000000</v>
      </c>
      <c r="J3672" s="56" t="s">
        <v>229</v>
      </c>
      <c r="K3672" s="57" t="s">
        <v>7699</v>
      </c>
      <c r="L3672" s="17" t="s">
        <v>11411</v>
      </c>
      <c r="M3672" s="3" t="s">
        <v>230</v>
      </c>
      <c r="N3672" s="52" t="s">
        <v>7693</v>
      </c>
      <c r="O3672" s="6" t="s">
        <v>365</v>
      </c>
      <c r="P3672" s="58" t="s">
        <v>241</v>
      </c>
      <c r="Q3672" s="53" t="s">
        <v>234</v>
      </c>
      <c r="R3672" s="22">
        <v>14</v>
      </c>
      <c r="S3672" s="59">
        <v>114245.07600000002</v>
      </c>
      <c r="T3672" s="4">
        <f>R3672*S3672</f>
        <v>1599431.0640000002</v>
      </c>
      <c r="U3672" s="4">
        <f>T3672*1.12</f>
        <v>1791362.7916800005</v>
      </c>
      <c r="V3672" s="1"/>
      <c r="W3672" s="3">
        <v>2014</v>
      </c>
      <c r="X3672" s="3"/>
    </row>
    <row r="3673" spans="1:24" ht="114.75">
      <c r="A3673" s="3" t="s">
        <v>1753</v>
      </c>
      <c r="B3673" s="6" t="s">
        <v>361</v>
      </c>
      <c r="C3673" s="44" t="s">
        <v>7590</v>
      </c>
      <c r="D3673" s="48" t="s">
        <v>11646</v>
      </c>
      <c r="E3673" s="46" t="s">
        <v>11647</v>
      </c>
      <c r="F3673" s="109" t="s">
        <v>7799</v>
      </c>
      <c r="G3673" s="3" t="s">
        <v>11450</v>
      </c>
      <c r="H3673" s="54">
        <v>0</v>
      </c>
      <c r="I3673" s="55">
        <v>470000000</v>
      </c>
      <c r="J3673" s="56" t="s">
        <v>229</v>
      </c>
      <c r="K3673" s="57" t="s">
        <v>7699</v>
      </c>
      <c r="L3673" s="57" t="s">
        <v>364</v>
      </c>
      <c r="M3673" s="3" t="s">
        <v>230</v>
      </c>
      <c r="N3673" s="52" t="s">
        <v>7693</v>
      </c>
      <c r="O3673" s="6" t="s">
        <v>365</v>
      </c>
      <c r="P3673" s="58" t="s">
        <v>241</v>
      </c>
      <c r="Q3673" s="53" t="s">
        <v>234</v>
      </c>
      <c r="R3673" s="108">
        <v>6</v>
      </c>
      <c r="S3673" s="59">
        <v>16570.95</v>
      </c>
      <c r="T3673" s="4">
        <v>0</v>
      </c>
      <c r="U3673" s="4">
        <f t="shared" si="155"/>
        <v>0</v>
      </c>
      <c r="V3673" s="1"/>
      <c r="W3673" s="3">
        <v>2014</v>
      </c>
      <c r="X3673" s="3">
        <v>12</v>
      </c>
    </row>
    <row r="3674" spans="1:24" ht="114.75">
      <c r="A3674" s="3" t="s">
        <v>13450</v>
      </c>
      <c r="B3674" s="6" t="s">
        <v>361</v>
      </c>
      <c r="C3674" s="44" t="s">
        <v>7590</v>
      </c>
      <c r="D3674" s="48" t="s">
        <v>11646</v>
      </c>
      <c r="E3674" s="46" t="s">
        <v>11647</v>
      </c>
      <c r="F3674" s="109" t="s">
        <v>7799</v>
      </c>
      <c r="G3674" s="3" t="s">
        <v>11450</v>
      </c>
      <c r="H3674" s="54">
        <v>0</v>
      </c>
      <c r="I3674" s="55">
        <v>470000000</v>
      </c>
      <c r="J3674" s="56" t="s">
        <v>229</v>
      </c>
      <c r="K3674" s="57" t="s">
        <v>7699</v>
      </c>
      <c r="L3674" s="17" t="s">
        <v>11411</v>
      </c>
      <c r="M3674" s="3" t="s">
        <v>230</v>
      </c>
      <c r="N3674" s="52" t="s">
        <v>7693</v>
      </c>
      <c r="O3674" s="6" t="s">
        <v>365</v>
      </c>
      <c r="P3674" s="58" t="s">
        <v>241</v>
      </c>
      <c r="Q3674" s="53" t="s">
        <v>234</v>
      </c>
      <c r="R3674" s="108">
        <v>6</v>
      </c>
      <c r="S3674" s="59">
        <v>16570.95</v>
      </c>
      <c r="T3674" s="4">
        <f>R3674*S3674</f>
        <v>99425.700000000012</v>
      </c>
      <c r="U3674" s="4">
        <f>T3674*1.12</f>
        <v>111356.78400000003</v>
      </c>
      <c r="V3674" s="1"/>
      <c r="W3674" s="3">
        <v>2014</v>
      </c>
      <c r="X3674" s="3"/>
    </row>
    <row r="3675" spans="1:24" ht="153">
      <c r="A3675" s="3" t="s">
        <v>1754</v>
      </c>
      <c r="B3675" s="6" t="s">
        <v>361</v>
      </c>
      <c r="C3675" s="44" t="s">
        <v>3526</v>
      </c>
      <c r="D3675" s="48" t="s">
        <v>3527</v>
      </c>
      <c r="E3675" s="6" t="s">
        <v>11699</v>
      </c>
      <c r="F3675" s="116" t="s">
        <v>7800</v>
      </c>
      <c r="G3675" s="3" t="s">
        <v>11450</v>
      </c>
      <c r="H3675" s="54">
        <v>0</v>
      </c>
      <c r="I3675" s="55">
        <v>470000000</v>
      </c>
      <c r="J3675" s="56" t="s">
        <v>229</v>
      </c>
      <c r="K3675" s="57" t="s">
        <v>641</v>
      </c>
      <c r="L3675" s="57" t="s">
        <v>364</v>
      </c>
      <c r="M3675" s="3" t="s">
        <v>230</v>
      </c>
      <c r="N3675" s="52" t="s">
        <v>7693</v>
      </c>
      <c r="O3675" s="6" t="s">
        <v>365</v>
      </c>
      <c r="P3675" s="58" t="s">
        <v>243</v>
      </c>
      <c r="Q3675" s="116" t="s">
        <v>244</v>
      </c>
      <c r="R3675" s="20">
        <v>300</v>
      </c>
      <c r="S3675" s="59">
        <v>1650</v>
      </c>
      <c r="T3675" s="4">
        <f t="shared" si="152"/>
        <v>495000</v>
      </c>
      <c r="U3675" s="4">
        <f t="shared" si="155"/>
        <v>554400</v>
      </c>
      <c r="V3675" s="1"/>
      <c r="W3675" s="3">
        <v>2014</v>
      </c>
      <c r="X3675" s="3"/>
    </row>
    <row r="3676" spans="1:24" ht="114.75">
      <c r="A3676" s="3" t="s">
        <v>1755</v>
      </c>
      <c r="B3676" s="6" t="s">
        <v>361</v>
      </c>
      <c r="C3676" s="6" t="s">
        <v>7499</v>
      </c>
      <c r="D3676" s="3" t="s">
        <v>7500</v>
      </c>
      <c r="E3676" s="6" t="s">
        <v>7501</v>
      </c>
      <c r="F3676" s="53" t="s">
        <v>399</v>
      </c>
      <c r="G3676" s="3" t="s">
        <v>11450</v>
      </c>
      <c r="H3676" s="54">
        <v>0</v>
      </c>
      <c r="I3676" s="55">
        <v>470000000</v>
      </c>
      <c r="J3676" s="56" t="s">
        <v>229</v>
      </c>
      <c r="K3676" s="57" t="s">
        <v>641</v>
      </c>
      <c r="L3676" s="57" t="s">
        <v>364</v>
      </c>
      <c r="M3676" s="3" t="s">
        <v>230</v>
      </c>
      <c r="N3676" s="52" t="s">
        <v>7693</v>
      </c>
      <c r="O3676" s="6" t="s">
        <v>365</v>
      </c>
      <c r="P3676" s="58" t="s">
        <v>243</v>
      </c>
      <c r="Q3676" s="116" t="s">
        <v>244</v>
      </c>
      <c r="R3676" s="20">
        <v>300</v>
      </c>
      <c r="S3676" s="59">
        <v>598.21</v>
      </c>
      <c r="T3676" s="4">
        <f t="shared" si="152"/>
        <v>179463</v>
      </c>
      <c r="U3676" s="4">
        <f t="shared" si="155"/>
        <v>200998.56000000003</v>
      </c>
      <c r="V3676" s="1" t="s">
        <v>362</v>
      </c>
      <c r="W3676" s="3">
        <v>2014</v>
      </c>
      <c r="X3676" s="3"/>
    </row>
    <row r="3677" spans="1:24" ht="114.75">
      <c r="A3677" s="3" t="s">
        <v>1756</v>
      </c>
      <c r="B3677" s="6" t="s">
        <v>361</v>
      </c>
      <c r="C3677" s="6" t="s">
        <v>7502</v>
      </c>
      <c r="D3677" s="3" t="s">
        <v>7500</v>
      </c>
      <c r="E3677" s="6" t="s">
        <v>7503</v>
      </c>
      <c r="F3677" s="53" t="s">
        <v>399</v>
      </c>
      <c r="G3677" s="3" t="s">
        <v>11450</v>
      </c>
      <c r="H3677" s="54">
        <v>0</v>
      </c>
      <c r="I3677" s="55">
        <v>470000000</v>
      </c>
      <c r="J3677" s="56" t="s">
        <v>229</v>
      </c>
      <c r="K3677" s="57" t="s">
        <v>641</v>
      </c>
      <c r="L3677" s="57" t="s">
        <v>364</v>
      </c>
      <c r="M3677" s="3" t="s">
        <v>230</v>
      </c>
      <c r="N3677" s="52" t="s">
        <v>7693</v>
      </c>
      <c r="O3677" s="6" t="s">
        <v>365</v>
      </c>
      <c r="P3677" s="58" t="s">
        <v>243</v>
      </c>
      <c r="Q3677" s="116" t="s">
        <v>244</v>
      </c>
      <c r="R3677" s="20">
        <v>700</v>
      </c>
      <c r="S3677" s="59">
        <v>598.21</v>
      </c>
      <c r="T3677" s="4">
        <f t="shared" si="152"/>
        <v>418747</v>
      </c>
      <c r="U3677" s="4">
        <f t="shared" si="155"/>
        <v>468996.64000000007</v>
      </c>
      <c r="V3677" s="1" t="s">
        <v>362</v>
      </c>
      <c r="W3677" s="3">
        <v>2014</v>
      </c>
      <c r="X3677" s="3"/>
    </row>
    <row r="3678" spans="1:24" ht="114.75">
      <c r="A3678" s="3" t="s">
        <v>1757</v>
      </c>
      <c r="B3678" s="6" t="s">
        <v>361</v>
      </c>
      <c r="C3678" s="6" t="s">
        <v>7504</v>
      </c>
      <c r="D3678" s="3" t="s">
        <v>7500</v>
      </c>
      <c r="E3678" s="3" t="s">
        <v>7505</v>
      </c>
      <c r="F3678" s="53" t="s">
        <v>399</v>
      </c>
      <c r="G3678" s="3" t="s">
        <v>11450</v>
      </c>
      <c r="H3678" s="54">
        <v>0</v>
      </c>
      <c r="I3678" s="55">
        <v>470000000</v>
      </c>
      <c r="J3678" s="56" t="s">
        <v>229</v>
      </c>
      <c r="K3678" s="57" t="s">
        <v>641</v>
      </c>
      <c r="L3678" s="57" t="s">
        <v>364</v>
      </c>
      <c r="M3678" s="3" t="s">
        <v>230</v>
      </c>
      <c r="N3678" s="52" t="s">
        <v>7693</v>
      </c>
      <c r="O3678" s="6" t="s">
        <v>365</v>
      </c>
      <c r="P3678" s="58" t="s">
        <v>243</v>
      </c>
      <c r="Q3678" s="116" t="s">
        <v>244</v>
      </c>
      <c r="R3678" s="20">
        <v>400</v>
      </c>
      <c r="S3678" s="59">
        <v>598.21</v>
      </c>
      <c r="T3678" s="4">
        <f t="shared" si="152"/>
        <v>239284</v>
      </c>
      <c r="U3678" s="4">
        <f t="shared" si="155"/>
        <v>267998.08000000002</v>
      </c>
      <c r="V3678" s="1" t="s">
        <v>362</v>
      </c>
      <c r="W3678" s="3">
        <v>2014</v>
      </c>
      <c r="X3678" s="3"/>
    </row>
    <row r="3679" spans="1:24" ht="114.75">
      <c r="A3679" s="3" t="s">
        <v>1758</v>
      </c>
      <c r="B3679" s="6" t="s">
        <v>361</v>
      </c>
      <c r="C3679" s="6" t="s">
        <v>7506</v>
      </c>
      <c r="D3679" s="3" t="s">
        <v>7500</v>
      </c>
      <c r="E3679" s="6" t="s">
        <v>7507</v>
      </c>
      <c r="F3679" s="53" t="s">
        <v>399</v>
      </c>
      <c r="G3679" s="3" t="s">
        <v>11450</v>
      </c>
      <c r="H3679" s="54">
        <v>0</v>
      </c>
      <c r="I3679" s="55">
        <v>470000000</v>
      </c>
      <c r="J3679" s="56" t="s">
        <v>229</v>
      </c>
      <c r="K3679" s="57" t="s">
        <v>641</v>
      </c>
      <c r="L3679" s="57" t="s">
        <v>364</v>
      </c>
      <c r="M3679" s="3" t="s">
        <v>230</v>
      </c>
      <c r="N3679" s="52" t="s">
        <v>7693</v>
      </c>
      <c r="O3679" s="6" t="s">
        <v>365</v>
      </c>
      <c r="P3679" s="58" t="s">
        <v>243</v>
      </c>
      <c r="Q3679" s="116" t="s">
        <v>244</v>
      </c>
      <c r="R3679" s="20">
        <v>400</v>
      </c>
      <c r="S3679" s="59">
        <v>598.21</v>
      </c>
      <c r="T3679" s="4">
        <f t="shared" si="152"/>
        <v>239284</v>
      </c>
      <c r="U3679" s="4">
        <f t="shared" si="155"/>
        <v>267998.08000000002</v>
      </c>
      <c r="V3679" s="1" t="s">
        <v>362</v>
      </c>
      <c r="W3679" s="3">
        <v>2014</v>
      </c>
      <c r="X3679" s="3"/>
    </row>
    <row r="3680" spans="1:24" ht="114.75">
      <c r="A3680" s="3" t="s">
        <v>1759</v>
      </c>
      <c r="B3680" s="6" t="s">
        <v>361</v>
      </c>
      <c r="C3680" s="6" t="s">
        <v>7508</v>
      </c>
      <c r="D3680" s="3" t="s">
        <v>7500</v>
      </c>
      <c r="E3680" s="3" t="s">
        <v>7509</v>
      </c>
      <c r="F3680" s="53" t="s">
        <v>399</v>
      </c>
      <c r="G3680" s="3" t="s">
        <v>11450</v>
      </c>
      <c r="H3680" s="54">
        <v>0</v>
      </c>
      <c r="I3680" s="55">
        <v>470000000</v>
      </c>
      <c r="J3680" s="56" t="s">
        <v>229</v>
      </c>
      <c r="K3680" s="57" t="s">
        <v>641</v>
      </c>
      <c r="L3680" s="57" t="s">
        <v>364</v>
      </c>
      <c r="M3680" s="3" t="s">
        <v>230</v>
      </c>
      <c r="N3680" s="52" t="s">
        <v>7693</v>
      </c>
      <c r="O3680" s="6" t="s">
        <v>365</v>
      </c>
      <c r="P3680" s="58" t="s">
        <v>243</v>
      </c>
      <c r="Q3680" s="116" t="s">
        <v>244</v>
      </c>
      <c r="R3680" s="20">
        <v>600</v>
      </c>
      <c r="S3680" s="59">
        <v>598.21</v>
      </c>
      <c r="T3680" s="4">
        <f t="shared" si="152"/>
        <v>358926</v>
      </c>
      <c r="U3680" s="4">
        <f t="shared" si="155"/>
        <v>401997.12000000005</v>
      </c>
      <c r="V3680" s="1" t="s">
        <v>362</v>
      </c>
      <c r="W3680" s="3">
        <v>2014</v>
      </c>
      <c r="X3680" s="3"/>
    </row>
    <row r="3681" spans="1:24" ht="114.75">
      <c r="A3681" s="3" t="s">
        <v>1760</v>
      </c>
      <c r="B3681" s="6" t="s">
        <v>361</v>
      </c>
      <c r="C3681" s="6" t="s">
        <v>7510</v>
      </c>
      <c r="D3681" s="3" t="s">
        <v>7500</v>
      </c>
      <c r="E3681" s="3" t="s">
        <v>7511</v>
      </c>
      <c r="F3681" s="53" t="s">
        <v>399</v>
      </c>
      <c r="G3681" s="3" t="s">
        <v>11450</v>
      </c>
      <c r="H3681" s="54">
        <v>0</v>
      </c>
      <c r="I3681" s="55">
        <v>470000000</v>
      </c>
      <c r="J3681" s="56" t="s">
        <v>229</v>
      </c>
      <c r="K3681" s="57" t="s">
        <v>641</v>
      </c>
      <c r="L3681" s="57" t="s">
        <v>364</v>
      </c>
      <c r="M3681" s="3" t="s">
        <v>230</v>
      </c>
      <c r="N3681" s="52" t="s">
        <v>7693</v>
      </c>
      <c r="O3681" s="6" t="s">
        <v>365</v>
      </c>
      <c r="P3681" s="58" t="s">
        <v>243</v>
      </c>
      <c r="Q3681" s="116" t="s">
        <v>244</v>
      </c>
      <c r="R3681" s="20">
        <v>200</v>
      </c>
      <c r="S3681" s="59">
        <v>598.21</v>
      </c>
      <c r="T3681" s="4">
        <f t="shared" si="152"/>
        <v>119642</v>
      </c>
      <c r="U3681" s="4">
        <f t="shared" si="155"/>
        <v>133999.04000000001</v>
      </c>
      <c r="V3681" s="1" t="s">
        <v>362</v>
      </c>
      <c r="W3681" s="3">
        <v>2014</v>
      </c>
      <c r="X3681" s="3"/>
    </row>
    <row r="3682" spans="1:24" ht="114.75">
      <c r="A3682" s="3" t="s">
        <v>1761</v>
      </c>
      <c r="B3682" s="6" t="s">
        <v>361</v>
      </c>
      <c r="C3682" s="6" t="s">
        <v>7512</v>
      </c>
      <c r="D3682" s="3" t="s">
        <v>7500</v>
      </c>
      <c r="E3682" s="6" t="s">
        <v>7513</v>
      </c>
      <c r="F3682" s="53" t="s">
        <v>399</v>
      </c>
      <c r="G3682" s="3" t="s">
        <v>11450</v>
      </c>
      <c r="H3682" s="54">
        <v>0</v>
      </c>
      <c r="I3682" s="55">
        <v>470000000</v>
      </c>
      <c r="J3682" s="56" t="s">
        <v>229</v>
      </c>
      <c r="K3682" s="57" t="s">
        <v>641</v>
      </c>
      <c r="L3682" s="57" t="s">
        <v>364</v>
      </c>
      <c r="M3682" s="3" t="s">
        <v>230</v>
      </c>
      <c r="N3682" s="52" t="s">
        <v>7693</v>
      </c>
      <c r="O3682" s="6" t="s">
        <v>365</v>
      </c>
      <c r="P3682" s="58" t="s">
        <v>243</v>
      </c>
      <c r="Q3682" s="116" t="s">
        <v>244</v>
      </c>
      <c r="R3682" s="20">
        <v>400</v>
      </c>
      <c r="S3682" s="59">
        <v>598.21</v>
      </c>
      <c r="T3682" s="4">
        <f t="shared" si="152"/>
        <v>239284</v>
      </c>
      <c r="U3682" s="4">
        <f t="shared" si="155"/>
        <v>267998.08000000002</v>
      </c>
      <c r="V3682" s="1" t="s">
        <v>362</v>
      </c>
      <c r="W3682" s="3">
        <v>2014</v>
      </c>
      <c r="X3682" s="3"/>
    </row>
    <row r="3683" spans="1:24" ht="114.75">
      <c r="A3683" s="3" t="s">
        <v>1762</v>
      </c>
      <c r="B3683" s="6" t="s">
        <v>361</v>
      </c>
      <c r="C3683" s="6" t="s">
        <v>7514</v>
      </c>
      <c r="D3683" s="3" t="s">
        <v>7500</v>
      </c>
      <c r="E3683" s="6" t="s">
        <v>7515</v>
      </c>
      <c r="F3683" s="53" t="s">
        <v>399</v>
      </c>
      <c r="G3683" s="3" t="s">
        <v>11450</v>
      </c>
      <c r="H3683" s="54">
        <v>0</v>
      </c>
      <c r="I3683" s="55">
        <v>470000000</v>
      </c>
      <c r="J3683" s="56" t="s">
        <v>229</v>
      </c>
      <c r="K3683" s="57" t="s">
        <v>641</v>
      </c>
      <c r="L3683" s="57" t="s">
        <v>364</v>
      </c>
      <c r="M3683" s="3" t="s">
        <v>230</v>
      </c>
      <c r="N3683" s="52" t="s">
        <v>7693</v>
      </c>
      <c r="O3683" s="6" t="s">
        <v>365</v>
      </c>
      <c r="P3683" s="58" t="s">
        <v>243</v>
      </c>
      <c r="Q3683" s="116" t="s">
        <v>244</v>
      </c>
      <c r="R3683" s="20">
        <v>300</v>
      </c>
      <c r="S3683" s="59">
        <v>598.21</v>
      </c>
      <c r="T3683" s="4">
        <f t="shared" si="152"/>
        <v>179463</v>
      </c>
      <c r="U3683" s="4">
        <f t="shared" si="155"/>
        <v>200998.56000000003</v>
      </c>
      <c r="V3683" s="1" t="s">
        <v>362</v>
      </c>
      <c r="W3683" s="3">
        <v>2014</v>
      </c>
      <c r="X3683" s="3"/>
    </row>
    <row r="3684" spans="1:24" ht="114.75">
      <c r="A3684" s="3" t="s">
        <v>1763</v>
      </c>
      <c r="B3684" s="6" t="s">
        <v>361</v>
      </c>
      <c r="C3684" s="6" t="s">
        <v>7516</v>
      </c>
      <c r="D3684" s="3" t="s">
        <v>7500</v>
      </c>
      <c r="E3684" s="3" t="s">
        <v>7517</v>
      </c>
      <c r="F3684" s="53" t="s">
        <v>399</v>
      </c>
      <c r="G3684" s="3" t="s">
        <v>11450</v>
      </c>
      <c r="H3684" s="54">
        <v>0</v>
      </c>
      <c r="I3684" s="55">
        <v>470000000</v>
      </c>
      <c r="J3684" s="56" t="s">
        <v>229</v>
      </c>
      <c r="K3684" s="57" t="s">
        <v>641</v>
      </c>
      <c r="L3684" s="57" t="s">
        <v>364</v>
      </c>
      <c r="M3684" s="3" t="s">
        <v>230</v>
      </c>
      <c r="N3684" s="52" t="s">
        <v>7693</v>
      </c>
      <c r="O3684" s="6" t="s">
        <v>365</v>
      </c>
      <c r="P3684" s="58" t="s">
        <v>243</v>
      </c>
      <c r="Q3684" s="116" t="s">
        <v>244</v>
      </c>
      <c r="R3684" s="20">
        <v>400</v>
      </c>
      <c r="S3684" s="59">
        <v>598.21</v>
      </c>
      <c r="T3684" s="4">
        <f t="shared" si="152"/>
        <v>239284</v>
      </c>
      <c r="U3684" s="4">
        <f t="shared" si="155"/>
        <v>267998.08000000002</v>
      </c>
      <c r="V3684" s="1" t="s">
        <v>362</v>
      </c>
      <c r="W3684" s="3">
        <v>2014</v>
      </c>
      <c r="X3684" s="3"/>
    </row>
    <row r="3685" spans="1:24" ht="114.75">
      <c r="A3685" s="3" t="s">
        <v>1764</v>
      </c>
      <c r="B3685" s="6" t="s">
        <v>361</v>
      </c>
      <c r="C3685" s="6" t="s">
        <v>7518</v>
      </c>
      <c r="D3685" s="53" t="s">
        <v>400</v>
      </c>
      <c r="E3685" s="6" t="s">
        <v>3600</v>
      </c>
      <c r="F3685" s="53" t="s">
        <v>400</v>
      </c>
      <c r="G3685" s="3" t="s">
        <v>11450</v>
      </c>
      <c r="H3685" s="54">
        <v>0</v>
      </c>
      <c r="I3685" s="55">
        <v>470000000</v>
      </c>
      <c r="J3685" s="56" t="s">
        <v>229</v>
      </c>
      <c r="K3685" s="57" t="s">
        <v>641</v>
      </c>
      <c r="L3685" s="57" t="s">
        <v>364</v>
      </c>
      <c r="M3685" s="3" t="s">
        <v>230</v>
      </c>
      <c r="N3685" s="52" t="s">
        <v>7693</v>
      </c>
      <c r="O3685" s="6" t="s">
        <v>365</v>
      </c>
      <c r="P3685" s="58" t="s">
        <v>401</v>
      </c>
      <c r="Q3685" s="123" t="s">
        <v>15225</v>
      </c>
      <c r="R3685" s="20">
        <v>1000</v>
      </c>
      <c r="S3685" s="59">
        <v>500</v>
      </c>
      <c r="T3685" s="4">
        <f t="shared" si="152"/>
        <v>500000</v>
      </c>
      <c r="U3685" s="4">
        <f t="shared" si="155"/>
        <v>560000</v>
      </c>
      <c r="V3685" s="1" t="s">
        <v>362</v>
      </c>
      <c r="W3685" s="3">
        <v>2014</v>
      </c>
      <c r="X3685" s="3"/>
    </row>
    <row r="3686" spans="1:24" ht="140.25">
      <c r="A3686" s="3" t="s">
        <v>1765</v>
      </c>
      <c r="B3686" s="6" t="s">
        <v>361</v>
      </c>
      <c r="C3686" s="6" t="s">
        <v>11648</v>
      </c>
      <c r="D3686" s="53" t="s">
        <v>4161</v>
      </c>
      <c r="E3686" s="6" t="s">
        <v>11649</v>
      </c>
      <c r="F3686" s="177" t="s">
        <v>4162</v>
      </c>
      <c r="G3686" s="3" t="s">
        <v>11449</v>
      </c>
      <c r="H3686" s="54">
        <v>0.6</v>
      </c>
      <c r="I3686" s="16">
        <v>470000000</v>
      </c>
      <c r="J3686" s="16" t="s">
        <v>229</v>
      </c>
      <c r="K3686" s="3" t="s">
        <v>7707</v>
      </c>
      <c r="L3686" s="17" t="s">
        <v>645</v>
      </c>
      <c r="M3686" s="162" t="s">
        <v>230</v>
      </c>
      <c r="N3686" s="6" t="s">
        <v>4191</v>
      </c>
      <c r="O3686" s="6" t="s">
        <v>644</v>
      </c>
      <c r="P3686" s="58" t="s">
        <v>401</v>
      </c>
      <c r="Q3686" s="320" t="s">
        <v>15225</v>
      </c>
      <c r="R3686" s="119">
        <v>11400</v>
      </c>
      <c r="S3686" s="119">
        <v>205.14</v>
      </c>
      <c r="T3686" s="4">
        <v>0</v>
      </c>
      <c r="U3686" s="4">
        <f t="shared" si="155"/>
        <v>0</v>
      </c>
      <c r="V3686" s="1"/>
      <c r="W3686" s="121">
        <v>2014</v>
      </c>
      <c r="X3686" s="3">
        <v>11</v>
      </c>
    </row>
    <row r="3687" spans="1:24" ht="140.25">
      <c r="A3687" s="3" t="s">
        <v>18207</v>
      </c>
      <c r="B3687" s="6" t="s">
        <v>361</v>
      </c>
      <c r="C3687" s="6" t="s">
        <v>11648</v>
      </c>
      <c r="D3687" s="76" t="s">
        <v>4161</v>
      </c>
      <c r="E3687" s="6" t="s">
        <v>11649</v>
      </c>
      <c r="F3687" s="177" t="s">
        <v>4162</v>
      </c>
      <c r="G3687" s="3" t="s">
        <v>11449</v>
      </c>
      <c r="H3687" s="54">
        <v>0.6</v>
      </c>
      <c r="I3687" s="16">
        <v>470000000</v>
      </c>
      <c r="J3687" s="16" t="s">
        <v>229</v>
      </c>
      <c r="K3687" s="6" t="s">
        <v>8950</v>
      </c>
      <c r="L3687" s="17" t="s">
        <v>645</v>
      </c>
      <c r="M3687" s="162" t="s">
        <v>230</v>
      </c>
      <c r="N3687" s="6" t="s">
        <v>4191</v>
      </c>
      <c r="O3687" s="6" t="s">
        <v>644</v>
      </c>
      <c r="P3687" s="58" t="s">
        <v>401</v>
      </c>
      <c r="Q3687" s="324" t="s">
        <v>15225</v>
      </c>
      <c r="R3687" s="119">
        <v>11400</v>
      </c>
      <c r="S3687" s="119">
        <v>205.14</v>
      </c>
      <c r="T3687" s="4">
        <v>0</v>
      </c>
      <c r="U3687" s="4">
        <f t="shared" si="155"/>
        <v>0</v>
      </c>
      <c r="V3687" s="1"/>
      <c r="W3687" s="121">
        <v>2014</v>
      </c>
      <c r="X3687" s="3">
        <v>8.11</v>
      </c>
    </row>
    <row r="3688" spans="1:24" ht="140.25">
      <c r="A3688" s="3" t="s">
        <v>18961</v>
      </c>
      <c r="B3688" s="6" t="s">
        <v>361</v>
      </c>
      <c r="C3688" s="6" t="s">
        <v>11648</v>
      </c>
      <c r="D3688" s="76" t="s">
        <v>4161</v>
      </c>
      <c r="E3688" s="6" t="s">
        <v>11649</v>
      </c>
      <c r="F3688" s="177" t="s">
        <v>4162</v>
      </c>
      <c r="G3688" s="3" t="s">
        <v>11449</v>
      </c>
      <c r="H3688" s="54">
        <v>0.35</v>
      </c>
      <c r="I3688" s="16">
        <v>470000000</v>
      </c>
      <c r="J3688" s="16" t="s">
        <v>229</v>
      </c>
      <c r="K3688" s="6" t="s">
        <v>18748</v>
      </c>
      <c r="L3688" s="17" t="s">
        <v>645</v>
      </c>
      <c r="M3688" s="162" t="s">
        <v>230</v>
      </c>
      <c r="N3688" s="6" t="s">
        <v>4191</v>
      </c>
      <c r="O3688" s="6" t="s">
        <v>644</v>
      </c>
      <c r="P3688" s="58" t="s">
        <v>401</v>
      </c>
      <c r="Q3688" s="324" t="s">
        <v>15225</v>
      </c>
      <c r="R3688" s="119">
        <v>11400</v>
      </c>
      <c r="S3688" s="119">
        <v>205.14</v>
      </c>
      <c r="T3688" s="4">
        <f t="shared" ref="T3688" si="156">R3688*S3688</f>
        <v>2338596</v>
      </c>
      <c r="U3688" s="4">
        <f t="shared" si="155"/>
        <v>2619227.52</v>
      </c>
      <c r="V3688" s="1"/>
      <c r="W3688" s="121">
        <v>2014</v>
      </c>
      <c r="X3688" s="264"/>
    </row>
    <row r="3689" spans="1:24" ht="89.25">
      <c r="A3689" s="3" t="s">
        <v>1766</v>
      </c>
      <c r="B3689" s="6" t="s">
        <v>361</v>
      </c>
      <c r="C3689" s="6" t="s">
        <v>8319</v>
      </c>
      <c r="D3689" s="53" t="s">
        <v>4161</v>
      </c>
      <c r="E3689" s="6" t="s">
        <v>8320</v>
      </c>
      <c r="F3689" s="177"/>
      <c r="G3689" s="3" t="s">
        <v>11449</v>
      </c>
      <c r="H3689" s="54">
        <v>0.6</v>
      </c>
      <c r="I3689" s="16">
        <v>470000000</v>
      </c>
      <c r="J3689" s="16" t="s">
        <v>229</v>
      </c>
      <c r="K3689" s="3" t="s">
        <v>7707</v>
      </c>
      <c r="L3689" s="17" t="s">
        <v>645</v>
      </c>
      <c r="M3689" s="162" t="s">
        <v>230</v>
      </c>
      <c r="N3689" s="6" t="s">
        <v>4191</v>
      </c>
      <c r="O3689" s="6" t="s">
        <v>644</v>
      </c>
      <c r="P3689" s="58" t="s">
        <v>401</v>
      </c>
      <c r="Q3689" s="123" t="s">
        <v>15225</v>
      </c>
      <c r="R3689" s="119">
        <v>842</v>
      </c>
      <c r="S3689" s="119">
        <v>1625</v>
      </c>
      <c r="T3689" s="4">
        <v>0</v>
      </c>
      <c r="U3689" s="4">
        <f t="shared" si="155"/>
        <v>0</v>
      </c>
      <c r="V3689" s="1"/>
      <c r="W3689" s="121" t="s">
        <v>8321</v>
      </c>
      <c r="X3689" s="3">
        <v>11</v>
      </c>
    </row>
    <row r="3690" spans="1:24" ht="89.25">
      <c r="A3690" s="3" t="s">
        <v>18208</v>
      </c>
      <c r="B3690" s="6" t="s">
        <v>361</v>
      </c>
      <c r="C3690" s="6" t="s">
        <v>8319</v>
      </c>
      <c r="D3690" s="53" t="s">
        <v>4161</v>
      </c>
      <c r="E3690" s="6" t="s">
        <v>8320</v>
      </c>
      <c r="F3690" s="177"/>
      <c r="G3690" s="3" t="s">
        <v>11449</v>
      </c>
      <c r="H3690" s="54">
        <v>0.6</v>
      </c>
      <c r="I3690" s="16">
        <v>470000000</v>
      </c>
      <c r="J3690" s="16" t="s">
        <v>229</v>
      </c>
      <c r="K3690" s="6" t="s">
        <v>8950</v>
      </c>
      <c r="L3690" s="17" t="s">
        <v>645</v>
      </c>
      <c r="M3690" s="162" t="s">
        <v>230</v>
      </c>
      <c r="N3690" s="6" t="s">
        <v>4191</v>
      </c>
      <c r="O3690" s="6" t="s">
        <v>644</v>
      </c>
      <c r="P3690" s="58" t="s">
        <v>401</v>
      </c>
      <c r="Q3690" s="123" t="s">
        <v>15225</v>
      </c>
      <c r="R3690" s="119">
        <v>842</v>
      </c>
      <c r="S3690" s="119">
        <v>1625</v>
      </c>
      <c r="T3690" s="4">
        <f t="shared" ref="T3690" si="157">R3690*S3690</f>
        <v>1368250</v>
      </c>
      <c r="U3690" s="4">
        <f t="shared" si="155"/>
        <v>1532440.0000000002</v>
      </c>
      <c r="V3690" s="1"/>
      <c r="W3690" s="121" t="s">
        <v>8321</v>
      </c>
      <c r="X3690" s="264"/>
    </row>
    <row r="3691" spans="1:24" ht="89.25">
      <c r="A3691" s="3" t="s">
        <v>1767</v>
      </c>
      <c r="B3691" s="6" t="s">
        <v>361</v>
      </c>
      <c r="C3691" s="6" t="s">
        <v>4168</v>
      </c>
      <c r="D3691" s="53" t="s">
        <v>4161</v>
      </c>
      <c r="E3691" s="6" t="s">
        <v>4163</v>
      </c>
      <c r="F3691" s="177" t="s">
        <v>4163</v>
      </c>
      <c r="G3691" s="3" t="s">
        <v>11449</v>
      </c>
      <c r="H3691" s="54">
        <v>0.6</v>
      </c>
      <c r="I3691" s="16">
        <v>470000000</v>
      </c>
      <c r="J3691" s="16" t="s">
        <v>229</v>
      </c>
      <c r="K3691" s="3" t="s">
        <v>7707</v>
      </c>
      <c r="L3691" s="17" t="s">
        <v>645</v>
      </c>
      <c r="M3691" s="162" t="s">
        <v>230</v>
      </c>
      <c r="N3691" s="6" t="s">
        <v>4191</v>
      </c>
      <c r="O3691" s="6" t="s">
        <v>644</v>
      </c>
      <c r="P3691" s="58" t="s">
        <v>401</v>
      </c>
      <c r="Q3691" s="123" t="s">
        <v>15225</v>
      </c>
      <c r="R3691" s="122">
        <v>6550</v>
      </c>
      <c r="S3691" s="119">
        <v>713</v>
      </c>
      <c r="T3691" s="4">
        <v>0</v>
      </c>
      <c r="U3691" s="4">
        <f t="shared" si="155"/>
        <v>0</v>
      </c>
      <c r="V3691" s="1"/>
      <c r="W3691" s="121">
        <v>2014</v>
      </c>
      <c r="X3691" s="3">
        <v>11</v>
      </c>
    </row>
    <row r="3692" spans="1:24" ht="89.25">
      <c r="A3692" s="3" t="s">
        <v>18209</v>
      </c>
      <c r="B3692" s="6" t="s">
        <v>361</v>
      </c>
      <c r="C3692" s="6" t="s">
        <v>4168</v>
      </c>
      <c r="D3692" s="76" t="s">
        <v>4161</v>
      </c>
      <c r="E3692" s="6" t="s">
        <v>4163</v>
      </c>
      <c r="F3692" s="177" t="s">
        <v>4163</v>
      </c>
      <c r="G3692" s="3" t="s">
        <v>11449</v>
      </c>
      <c r="H3692" s="54">
        <v>0.6</v>
      </c>
      <c r="I3692" s="16">
        <v>470000000</v>
      </c>
      <c r="J3692" s="16" t="s">
        <v>229</v>
      </c>
      <c r="K3692" s="6" t="s">
        <v>8950</v>
      </c>
      <c r="L3692" s="17" t="s">
        <v>645</v>
      </c>
      <c r="M3692" s="162" t="s">
        <v>230</v>
      </c>
      <c r="N3692" s="6" t="s">
        <v>4191</v>
      </c>
      <c r="O3692" s="6" t="s">
        <v>644</v>
      </c>
      <c r="P3692" s="58" t="s">
        <v>401</v>
      </c>
      <c r="Q3692" s="324" t="s">
        <v>15225</v>
      </c>
      <c r="R3692" s="122">
        <v>6550</v>
      </c>
      <c r="S3692" s="119">
        <v>713</v>
      </c>
      <c r="T3692" s="4">
        <v>0</v>
      </c>
      <c r="U3692" s="4">
        <f t="shared" si="155"/>
        <v>0</v>
      </c>
      <c r="V3692" s="1"/>
      <c r="W3692" s="121">
        <v>2014</v>
      </c>
      <c r="X3692" s="3">
        <v>8.11</v>
      </c>
    </row>
    <row r="3693" spans="1:24" ht="89.25">
      <c r="A3693" s="3" t="s">
        <v>18962</v>
      </c>
      <c r="B3693" s="6" t="s">
        <v>361</v>
      </c>
      <c r="C3693" s="6" t="s">
        <v>4168</v>
      </c>
      <c r="D3693" s="76" t="s">
        <v>4161</v>
      </c>
      <c r="E3693" s="6" t="s">
        <v>4163</v>
      </c>
      <c r="F3693" s="177" t="s">
        <v>4163</v>
      </c>
      <c r="G3693" s="3" t="s">
        <v>11449</v>
      </c>
      <c r="H3693" s="54">
        <v>0.35</v>
      </c>
      <c r="I3693" s="16">
        <v>470000000</v>
      </c>
      <c r="J3693" s="16" t="s">
        <v>229</v>
      </c>
      <c r="K3693" s="6" t="s">
        <v>18824</v>
      </c>
      <c r="L3693" s="17" t="s">
        <v>645</v>
      </c>
      <c r="M3693" s="162" t="s">
        <v>230</v>
      </c>
      <c r="N3693" s="6" t="s">
        <v>4191</v>
      </c>
      <c r="O3693" s="6" t="s">
        <v>644</v>
      </c>
      <c r="P3693" s="58" t="s">
        <v>401</v>
      </c>
      <c r="Q3693" s="324" t="s">
        <v>15225</v>
      </c>
      <c r="R3693" s="122">
        <v>6550</v>
      </c>
      <c r="S3693" s="119">
        <v>713</v>
      </c>
      <c r="T3693" s="4">
        <f t="shared" ref="T3693" si="158">R3693*S3693</f>
        <v>4670150</v>
      </c>
      <c r="U3693" s="4">
        <f t="shared" si="155"/>
        <v>5230568.0000000009</v>
      </c>
      <c r="V3693" s="1"/>
      <c r="W3693" s="121">
        <v>2014</v>
      </c>
      <c r="X3693" s="264"/>
    </row>
    <row r="3694" spans="1:24" ht="89.25">
      <c r="A3694" s="3" t="s">
        <v>1768</v>
      </c>
      <c r="B3694" s="6" t="s">
        <v>361</v>
      </c>
      <c r="C3694" s="6" t="s">
        <v>11650</v>
      </c>
      <c r="D3694" s="53" t="s">
        <v>4165</v>
      </c>
      <c r="E3694" s="6" t="s">
        <v>11651</v>
      </c>
      <c r="F3694" s="177" t="s">
        <v>4164</v>
      </c>
      <c r="G3694" s="3" t="s">
        <v>11449</v>
      </c>
      <c r="H3694" s="54">
        <v>0.6</v>
      </c>
      <c r="I3694" s="16">
        <v>470000000</v>
      </c>
      <c r="J3694" s="16" t="s">
        <v>229</v>
      </c>
      <c r="K3694" s="3" t="s">
        <v>7707</v>
      </c>
      <c r="L3694" s="17" t="s">
        <v>645</v>
      </c>
      <c r="M3694" s="162" t="s">
        <v>230</v>
      </c>
      <c r="N3694" s="6" t="s">
        <v>4191</v>
      </c>
      <c r="O3694" s="6" t="s">
        <v>644</v>
      </c>
      <c r="P3694" s="58" t="s">
        <v>401</v>
      </c>
      <c r="Q3694" s="320" t="s">
        <v>15225</v>
      </c>
      <c r="R3694" s="119">
        <v>5130</v>
      </c>
      <c r="S3694" s="119">
        <v>249.33</v>
      </c>
      <c r="T3694" s="4">
        <v>0</v>
      </c>
      <c r="U3694" s="4">
        <f t="shared" si="155"/>
        <v>0</v>
      </c>
      <c r="V3694" s="1"/>
      <c r="W3694" s="121">
        <v>2014</v>
      </c>
      <c r="X3694" s="3">
        <v>11</v>
      </c>
    </row>
    <row r="3695" spans="1:24" ht="89.25">
      <c r="A3695" s="3" t="s">
        <v>18210</v>
      </c>
      <c r="B3695" s="6" t="s">
        <v>361</v>
      </c>
      <c r="C3695" s="6" t="s">
        <v>11650</v>
      </c>
      <c r="D3695" s="53" t="s">
        <v>4165</v>
      </c>
      <c r="E3695" s="6" t="s">
        <v>11651</v>
      </c>
      <c r="F3695" s="177" t="s">
        <v>4164</v>
      </c>
      <c r="G3695" s="3" t="s">
        <v>11449</v>
      </c>
      <c r="H3695" s="54">
        <v>0.6</v>
      </c>
      <c r="I3695" s="16">
        <v>470000000</v>
      </c>
      <c r="J3695" s="16" t="s">
        <v>229</v>
      </c>
      <c r="K3695" s="6" t="s">
        <v>8950</v>
      </c>
      <c r="L3695" s="17" t="s">
        <v>645</v>
      </c>
      <c r="M3695" s="162" t="s">
        <v>230</v>
      </c>
      <c r="N3695" s="6" t="s">
        <v>4191</v>
      </c>
      <c r="O3695" s="6" t="s">
        <v>644</v>
      </c>
      <c r="P3695" s="58" t="s">
        <v>401</v>
      </c>
      <c r="Q3695" s="123" t="s">
        <v>15225</v>
      </c>
      <c r="R3695" s="119">
        <v>5130</v>
      </c>
      <c r="S3695" s="119">
        <v>249.33</v>
      </c>
      <c r="T3695" s="4">
        <f t="shared" ref="T3695" si="159">R3695*S3695</f>
        <v>1279062.9000000001</v>
      </c>
      <c r="U3695" s="4">
        <f t="shared" si="155"/>
        <v>1432550.4480000003</v>
      </c>
      <c r="V3695" s="1"/>
      <c r="W3695" s="121">
        <v>2014</v>
      </c>
      <c r="X3695" s="264"/>
    </row>
    <row r="3696" spans="1:24" ht="89.25">
      <c r="A3696" s="3" t="s">
        <v>1769</v>
      </c>
      <c r="B3696" s="6" t="s">
        <v>361</v>
      </c>
      <c r="C3696" s="6" t="s">
        <v>11652</v>
      </c>
      <c r="D3696" s="53" t="s">
        <v>4165</v>
      </c>
      <c r="E3696" s="6" t="s">
        <v>11653</v>
      </c>
      <c r="F3696" s="49" t="s">
        <v>4166</v>
      </c>
      <c r="G3696" s="3" t="s">
        <v>11449</v>
      </c>
      <c r="H3696" s="54">
        <v>0.6</v>
      </c>
      <c r="I3696" s="16">
        <v>470000000</v>
      </c>
      <c r="J3696" s="16" t="s">
        <v>229</v>
      </c>
      <c r="K3696" s="3" t="s">
        <v>7707</v>
      </c>
      <c r="L3696" s="17" t="s">
        <v>645</v>
      </c>
      <c r="M3696" s="162" t="s">
        <v>230</v>
      </c>
      <c r="N3696" s="6" t="s">
        <v>4191</v>
      </c>
      <c r="O3696" s="6" t="s">
        <v>644</v>
      </c>
      <c r="P3696" s="58" t="s">
        <v>401</v>
      </c>
      <c r="Q3696" s="123" t="s">
        <v>15225</v>
      </c>
      <c r="R3696" s="122">
        <v>318</v>
      </c>
      <c r="S3696" s="119">
        <v>500</v>
      </c>
      <c r="T3696" s="4">
        <v>0</v>
      </c>
      <c r="U3696" s="4">
        <f t="shared" si="155"/>
        <v>0</v>
      </c>
      <c r="V3696" s="1"/>
      <c r="W3696" s="121">
        <v>2014</v>
      </c>
      <c r="X3696" s="3">
        <v>11</v>
      </c>
    </row>
    <row r="3697" spans="1:24" ht="89.25">
      <c r="A3697" s="3" t="s">
        <v>18211</v>
      </c>
      <c r="B3697" s="6" t="s">
        <v>361</v>
      </c>
      <c r="C3697" s="6" t="s">
        <v>11652</v>
      </c>
      <c r="D3697" s="53" t="s">
        <v>4165</v>
      </c>
      <c r="E3697" s="6" t="s">
        <v>11653</v>
      </c>
      <c r="F3697" s="49" t="s">
        <v>4166</v>
      </c>
      <c r="G3697" s="3" t="s">
        <v>11449</v>
      </c>
      <c r="H3697" s="54">
        <v>0.6</v>
      </c>
      <c r="I3697" s="16">
        <v>470000000</v>
      </c>
      <c r="J3697" s="16" t="s">
        <v>229</v>
      </c>
      <c r="K3697" s="6" t="s">
        <v>8950</v>
      </c>
      <c r="L3697" s="17" t="s">
        <v>645</v>
      </c>
      <c r="M3697" s="162" t="s">
        <v>230</v>
      </c>
      <c r="N3697" s="6" t="s">
        <v>4191</v>
      </c>
      <c r="O3697" s="6" t="s">
        <v>644</v>
      </c>
      <c r="P3697" s="58" t="s">
        <v>401</v>
      </c>
      <c r="Q3697" s="123" t="s">
        <v>15225</v>
      </c>
      <c r="R3697" s="122">
        <v>318</v>
      </c>
      <c r="S3697" s="119">
        <v>500</v>
      </c>
      <c r="T3697" s="4">
        <f t="shared" ref="T3697" si="160">R3697*S3697</f>
        <v>159000</v>
      </c>
      <c r="U3697" s="4">
        <f t="shared" si="155"/>
        <v>178080.00000000003</v>
      </c>
      <c r="V3697" s="1"/>
      <c r="W3697" s="121">
        <v>2014</v>
      </c>
      <c r="X3697" s="264"/>
    </row>
    <row r="3698" spans="1:24" ht="89.25">
      <c r="A3698" s="3" t="s">
        <v>1770</v>
      </c>
      <c r="B3698" s="6" t="s">
        <v>361</v>
      </c>
      <c r="C3698" s="6" t="s">
        <v>11688</v>
      </c>
      <c r="D3698" s="53" t="s">
        <v>4165</v>
      </c>
      <c r="E3698" s="6" t="s">
        <v>11689</v>
      </c>
      <c r="F3698" s="49" t="s">
        <v>4167</v>
      </c>
      <c r="G3698" s="3" t="s">
        <v>11449</v>
      </c>
      <c r="H3698" s="54">
        <v>0.6</v>
      </c>
      <c r="I3698" s="16">
        <v>470000000</v>
      </c>
      <c r="J3698" s="16" t="s">
        <v>229</v>
      </c>
      <c r="K3698" s="3" t="s">
        <v>7707</v>
      </c>
      <c r="L3698" s="17" t="s">
        <v>645</v>
      </c>
      <c r="M3698" s="162" t="s">
        <v>230</v>
      </c>
      <c r="N3698" s="6" t="s">
        <v>4191</v>
      </c>
      <c r="O3698" s="6" t="s">
        <v>644</v>
      </c>
      <c r="P3698" s="58" t="s">
        <v>401</v>
      </c>
      <c r="Q3698" s="123" t="s">
        <v>15225</v>
      </c>
      <c r="R3698" s="119">
        <v>1636</v>
      </c>
      <c r="S3698" s="119">
        <v>500</v>
      </c>
      <c r="T3698" s="4">
        <v>0</v>
      </c>
      <c r="U3698" s="4">
        <f t="shared" si="155"/>
        <v>0</v>
      </c>
      <c r="V3698" s="1"/>
      <c r="W3698" s="121">
        <v>2014</v>
      </c>
      <c r="X3698" s="3">
        <v>11</v>
      </c>
    </row>
    <row r="3699" spans="1:24" ht="89.25">
      <c r="A3699" s="3" t="s">
        <v>18212</v>
      </c>
      <c r="B3699" s="6" t="s">
        <v>361</v>
      </c>
      <c r="C3699" s="6" t="s">
        <v>11688</v>
      </c>
      <c r="D3699" s="53" t="s">
        <v>4165</v>
      </c>
      <c r="E3699" s="6" t="s">
        <v>11689</v>
      </c>
      <c r="F3699" s="49" t="s">
        <v>4167</v>
      </c>
      <c r="G3699" s="3" t="s">
        <v>11449</v>
      </c>
      <c r="H3699" s="54">
        <v>0.6</v>
      </c>
      <c r="I3699" s="16">
        <v>470000000</v>
      </c>
      <c r="J3699" s="16" t="s">
        <v>229</v>
      </c>
      <c r="K3699" s="6" t="s">
        <v>8950</v>
      </c>
      <c r="L3699" s="17" t="s">
        <v>645</v>
      </c>
      <c r="M3699" s="162" t="s">
        <v>230</v>
      </c>
      <c r="N3699" s="6" t="s">
        <v>4191</v>
      </c>
      <c r="O3699" s="6" t="s">
        <v>644</v>
      </c>
      <c r="P3699" s="58" t="s">
        <v>401</v>
      </c>
      <c r="Q3699" s="123" t="s">
        <v>15225</v>
      </c>
      <c r="R3699" s="119">
        <v>1636</v>
      </c>
      <c r="S3699" s="119">
        <v>500</v>
      </c>
      <c r="T3699" s="4">
        <f t="shared" ref="T3699" si="161">R3699*S3699</f>
        <v>818000</v>
      </c>
      <c r="U3699" s="4">
        <f t="shared" si="155"/>
        <v>916160.00000000012</v>
      </c>
      <c r="V3699" s="1"/>
      <c r="W3699" s="121">
        <v>2014</v>
      </c>
      <c r="X3699" s="264"/>
    </row>
    <row r="3700" spans="1:24" ht="178.5">
      <c r="A3700" s="3" t="s">
        <v>1771</v>
      </c>
      <c r="B3700" s="6" t="s">
        <v>361</v>
      </c>
      <c r="C3700" s="6" t="s">
        <v>4169</v>
      </c>
      <c r="D3700" s="6" t="s">
        <v>4170</v>
      </c>
      <c r="E3700" s="65" t="s">
        <v>4171</v>
      </c>
      <c r="F3700" s="3"/>
      <c r="G3700" s="3" t="s">
        <v>11449</v>
      </c>
      <c r="H3700" s="54">
        <v>0.6</v>
      </c>
      <c r="I3700" s="16">
        <v>470000000</v>
      </c>
      <c r="J3700" s="16" t="s">
        <v>229</v>
      </c>
      <c r="K3700" s="3" t="s">
        <v>7707</v>
      </c>
      <c r="L3700" s="17" t="s">
        <v>645</v>
      </c>
      <c r="M3700" s="162" t="s">
        <v>230</v>
      </c>
      <c r="N3700" s="6" t="s">
        <v>4191</v>
      </c>
      <c r="O3700" s="6" t="s">
        <v>644</v>
      </c>
      <c r="P3700" s="58" t="s">
        <v>401</v>
      </c>
      <c r="Q3700" s="123" t="s">
        <v>15225</v>
      </c>
      <c r="R3700" s="119">
        <v>5469</v>
      </c>
      <c r="S3700" s="119">
        <v>200</v>
      </c>
      <c r="T3700" s="4">
        <v>0</v>
      </c>
      <c r="U3700" s="4">
        <f t="shared" si="155"/>
        <v>0</v>
      </c>
      <c r="V3700" s="1"/>
      <c r="W3700" s="121">
        <v>2014</v>
      </c>
      <c r="X3700" s="3">
        <v>11</v>
      </c>
    </row>
    <row r="3701" spans="1:24" ht="178.5">
      <c r="A3701" s="3" t="s">
        <v>18213</v>
      </c>
      <c r="B3701" s="6" t="s">
        <v>361</v>
      </c>
      <c r="C3701" s="6" t="s">
        <v>4169</v>
      </c>
      <c r="D3701" s="6" t="s">
        <v>4170</v>
      </c>
      <c r="E3701" s="65" t="s">
        <v>4171</v>
      </c>
      <c r="F3701" s="3"/>
      <c r="G3701" s="3" t="s">
        <v>11449</v>
      </c>
      <c r="H3701" s="54">
        <v>0.6</v>
      </c>
      <c r="I3701" s="16">
        <v>470000000</v>
      </c>
      <c r="J3701" s="16" t="s">
        <v>229</v>
      </c>
      <c r="K3701" s="6" t="s">
        <v>8950</v>
      </c>
      <c r="L3701" s="17" t="s">
        <v>645</v>
      </c>
      <c r="M3701" s="162" t="s">
        <v>230</v>
      </c>
      <c r="N3701" s="6" t="s">
        <v>4191</v>
      </c>
      <c r="O3701" s="6" t="s">
        <v>644</v>
      </c>
      <c r="P3701" s="58" t="s">
        <v>401</v>
      </c>
      <c r="Q3701" s="324" t="s">
        <v>15225</v>
      </c>
      <c r="R3701" s="119">
        <v>5469</v>
      </c>
      <c r="S3701" s="119">
        <v>200</v>
      </c>
      <c r="T3701" s="4">
        <v>0</v>
      </c>
      <c r="U3701" s="4">
        <f t="shared" si="155"/>
        <v>0</v>
      </c>
      <c r="V3701" s="1"/>
      <c r="W3701" s="121">
        <v>2014</v>
      </c>
      <c r="X3701" s="3">
        <v>8.11</v>
      </c>
    </row>
    <row r="3702" spans="1:24" ht="178.5">
      <c r="A3702" s="3" t="s">
        <v>18963</v>
      </c>
      <c r="B3702" s="6" t="s">
        <v>361</v>
      </c>
      <c r="C3702" s="6" t="s">
        <v>4169</v>
      </c>
      <c r="D3702" s="6" t="s">
        <v>4170</v>
      </c>
      <c r="E3702" s="65" t="s">
        <v>4171</v>
      </c>
      <c r="F3702" s="3"/>
      <c r="G3702" s="3" t="s">
        <v>11449</v>
      </c>
      <c r="H3702" s="54">
        <v>0.35</v>
      </c>
      <c r="I3702" s="16">
        <v>470000000</v>
      </c>
      <c r="J3702" s="16" t="s">
        <v>229</v>
      </c>
      <c r="K3702" s="6" t="s">
        <v>18748</v>
      </c>
      <c r="L3702" s="17" t="s">
        <v>645</v>
      </c>
      <c r="M3702" s="162" t="s">
        <v>230</v>
      </c>
      <c r="N3702" s="6" t="s">
        <v>4191</v>
      </c>
      <c r="O3702" s="6" t="s">
        <v>644</v>
      </c>
      <c r="P3702" s="58" t="s">
        <v>401</v>
      </c>
      <c r="Q3702" s="324" t="s">
        <v>15225</v>
      </c>
      <c r="R3702" s="119">
        <v>5469</v>
      </c>
      <c r="S3702" s="119">
        <v>200</v>
      </c>
      <c r="T3702" s="4">
        <f t="shared" ref="T3702" si="162">R3702*S3702</f>
        <v>1093800</v>
      </c>
      <c r="U3702" s="4">
        <f t="shared" si="155"/>
        <v>1225056.0000000002</v>
      </c>
      <c r="V3702" s="1"/>
      <c r="W3702" s="121">
        <v>2014</v>
      </c>
      <c r="X3702" s="264"/>
    </row>
    <row r="3703" spans="1:24" ht="178.5">
      <c r="A3703" s="3" t="s">
        <v>1772</v>
      </c>
      <c r="B3703" s="6" t="s">
        <v>361</v>
      </c>
      <c r="C3703" s="6" t="s">
        <v>4172</v>
      </c>
      <c r="D3703" s="6" t="s">
        <v>4170</v>
      </c>
      <c r="E3703" s="65" t="s">
        <v>4173</v>
      </c>
      <c r="F3703" s="3"/>
      <c r="G3703" s="3" t="s">
        <v>11449</v>
      </c>
      <c r="H3703" s="54">
        <v>0.6</v>
      </c>
      <c r="I3703" s="16">
        <v>470000000</v>
      </c>
      <c r="J3703" s="16" t="s">
        <v>229</v>
      </c>
      <c r="K3703" s="3" t="s">
        <v>7707</v>
      </c>
      <c r="L3703" s="17" t="s">
        <v>645</v>
      </c>
      <c r="M3703" s="162" t="s">
        <v>230</v>
      </c>
      <c r="N3703" s="6" t="s">
        <v>4191</v>
      </c>
      <c r="O3703" s="6" t="s">
        <v>644</v>
      </c>
      <c r="P3703" s="58" t="s">
        <v>401</v>
      </c>
      <c r="Q3703" s="320" t="s">
        <v>15225</v>
      </c>
      <c r="R3703" s="119">
        <v>3500</v>
      </c>
      <c r="S3703" s="119">
        <v>200</v>
      </c>
      <c r="T3703" s="4">
        <v>0</v>
      </c>
      <c r="U3703" s="4">
        <f t="shared" si="155"/>
        <v>0</v>
      </c>
      <c r="V3703" s="1"/>
      <c r="W3703" s="121">
        <v>2014</v>
      </c>
      <c r="X3703" s="3">
        <v>11</v>
      </c>
    </row>
    <row r="3704" spans="1:24" ht="178.5">
      <c r="A3704" s="3" t="s">
        <v>18214</v>
      </c>
      <c r="B3704" s="6" t="s">
        <v>361</v>
      </c>
      <c r="C3704" s="6" t="s">
        <v>4172</v>
      </c>
      <c r="D3704" s="6" t="s">
        <v>4170</v>
      </c>
      <c r="E3704" s="65" t="s">
        <v>4173</v>
      </c>
      <c r="F3704" s="3"/>
      <c r="G3704" s="3" t="s">
        <v>11449</v>
      </c>
      <c r="H3704" s="54">
        <v>0.6</v>
      </c>
      <c r="I3704" s="16">
        <v>470000000</v>
      </c>
      <c r="J3704" s="16" t="s">
        <v>229</v>
      </c>
      <c r="K3704" s="6" t="s">
        <v>8950</v>
      </c>
      <c r="L3704" s="17" t="s">
        <v>645</v>
      </c>
      <c r="M3704" s="162" t="s">
        <v>230</v>
      </c>
      <c r="N3704" s="6" t="s">
        <v>4191</v>
      </c>
      <c r="O3704" s="6" t="s">
        <v>644</v>
      </c>
      <c r="P3704" s="58" t="s">
        <v>401</v>
      </c>
      <c r="Q3704" s="320" t="s">
        <v>15225</v>
      </c>
      <c r="R3704" s="119">
        <v>3500</v>
      </c>
      <c r="S3704" s="119">
        <v>200</v>
      </c>
      <c r="T3704" s="4">
        <f t="shared" ref="T3704" si="163">R3704*S3704</f>
        <v>700000</v>
      </c>
      <c r="U3704" s="4">
        <f t="shared" si="155"/>
        <v>784000.00000000012</v>
      </c>
      <c r="V3704" s="1"/>
      <c r="W3704" s="121">
        <v>2014</v>
      </c>
      <c r="X3704" s="264"/>
    </row>
    <row r="3705" spans="1:24" ht="153">
      <c r="A3705" s="3" t="s">
        <v>1773</v>
      </c>
      <c r="B3705" s="6" t="s">
        <v>361</v>
      </c>
      <c r="C3705" s="6" t="s">
        <v>4174</v>
      </c>
      <c r="D3705" s="6" t="s">
        <v>4175</v>
      </c>
      <c r="E3705" s="65" t="s">
        <v>4176</v>
      </c>
      <c r="F3705" s="120" t="s">
        <v>4154</v>
      </c>
      <c r="G3705" s="3" t="s">
        <v>11449</v>
      </c>
      <c r="H3705" s="54">
        <v>0.6</v>
      </c>
      <c r="I3705" s="16">
        <v>470000000</v>
      </c>
      <c r="J3705" s="16" t="s">
        <v>229</v>
      </c>
      <c r="K3705" s="3" t="s">
        <v>7707</v>
      </c>
      <c r="L3705" s="17" t="s">
        <v>645</v>
      </c>
      <c r="M3705" s="162" t="s">
        <v>230</v>
      </c>
      <c r="N3705" s="6" t="s">
        <v>4191</v>
      </c>
      <c r="O3705" s="6" t="s">
        <v>644</v>
      </c>
      <c r="P3705" s="58" t="s">
        <v>401</v>
      </c>
      <c r="Q3705" s="320" t="s">
        <v>15225</v>
      </c>
      <c r="R3705" s="119">
        <v>14760</v>
      </c>
      <c r="S3705" s="119">
        <v>318.39999999999998</v>
      </c>
      <c r="T3705" s="4">
        <v>0</v>
      </c>
      <c r="U3705" s="4">
        <f t="shared" si="155"/>
        <v>0</v>
      </c>
      <c r="V3705" s="1"/>
      <c r="W3705" s="121">
        <v>2014</v>
      </c>
      <c r="X3705" s="3">
        <v>11</v>
      </c>
    </row>
    <row r="3706" spans="1:24" ht="153">
      <c r="A3706" s="3" t="s">
        <v>18215</v>
      </c>
      <c r="B3706" s="6" t="s">
        <v>361</v>
      </c>
      <c r="C3706" s="6" t="s">
        <v>4174</v>
      </c>
      <c r="D3706" s="6" t="s">
        <v>4175</v>
      </c>
      <c r="E3706" s="65" t="s">
        <v>4176</v>
      </c>
      <c r="F3706" s="120" t="s">
        <v>4154</v>
      </c>
      <c r="G3706" s="3" t="s">
        <v>11449</v>
      </c>
      <c r="H3706" s="54">
        <v>0.6</v>
      </c>
      <c r="I3706" s="16">
        <v>470000000</v>
      </c>
      <c r="J3706" s="16" t="s">
        <v>229</v>
      </c>
      <c r="K3706" s="6" t="s">
        <v>8950</v>
      </c>
      <c r="L3706" s="17" t="s">
        <v>645</v>
      </c>
      <c r="M3706" s="162" t="s">
        <v>230</v>
      </c>
      <c r="N3706" s="6" t="s">
        <v>4191</v>
      </c>
      <c r="O3706" s="6" t="s">
        <v>644</v>
      </c>
      <c r="P3706" s="58" t="s">
        <v>401</v>
      </c>
      <c r="Q3706" s="324" t="s">
        <v>15225</v>
      </c>
      <c r="R3706" s="119">
        <v>14760</v>
      </c>
      <c r="S3706" s="119">
        <v>318.39999999999998</v>
      </c>
      <c r="T3706" s="4">
        <v>0</v>
      </c>
      <c r="U3706" s="4">
        <f t="shared" si="155"/>
        <v>0</v>
      </c>
      <c r="V3706" s="1"/>
      <c r="W3706" s="121">
        <v>2014</v>
      </c>
      <c r="X3706" s="3">
        <v>8.11</v>
      </c>
    </row>
    <row r="3707" spans="1:24" ht="153">
      <c r="A3707" s="3" t="s">
        <v>18964</v>
      </c>
      <c r="B3707" s="6" t="s">
        <v>361</v>
      </c>
      <c r="C3707" s="6" t="s">
        <v>4174</v>
      </c>
      <c r="D3707" s="6" t="s">
        <v>4175</v>
      </c>
      <c r="E3707" s="65" t="s">
        <v>4176</v>
      </c>
      <c r="F3707" s="120" t="s">
        <v>4154</v>
      </c>
      <c r="G3707" s="3" t="s">
        <v>11449</v>
      </c>
      <c r="H3707" s="54">
        <v>0.35</v>
      </c>
      <c r="I3707" s="16">
        <v>470000000</v>
      </c>
      <c r="J3707" s="16" t="s">
        <v>229</v>
      </c>
      <c r="K3707" s="6" t="s">
        <v>18748</v>
      </c>
      <c r="L3707" s="17" t="s">
        <v>645</v>
      </c>
      <c r="M3707" s="162" t="s">
        <v>230</v>
      </c>
      <c r="N3707" s="6" t="s">
        <v>4191</v>
      </c>
      <c r="O3707" s="6" t="s">
        <v>644</v>
      </c>
      <c r="P3707" s="58" t="s">
        <v>401</v>
      </c>
      <c r="Q3707" s="324" t="s">
        <v>15225</v>
      </c>
      <c r="R3707" s="119">
        <v>14760</v>
      </c>
      <c r="S3707" s="119">
        <v>318.39999999999998</v>
      </c>
      <c r="T3707" s="4">
        <f t="shared" ref="T3707" si="164">R3707*S3707</f>
        <v>4699584</v>
      </c>
      <c r="U3707" s="4">
        <f t="shared" si="155"/>
        <v>5263534.0800000001</v>
      </c>
      <c r="V3707" s="1"/>
      <c r="W3707" s="121">
        <v>2014</v>
      </c>
      <c r="X3707" s="264"/>
    </row>
    <row r="3708" spans="1:24" ht="89.25">
      <c r="A3708" s="3" t="s">
        <v>1774</v>
      </c>
      <c r="B3708" s="6" t="s">
        <v>361</v>
      </c>
      <c r="C3708" s="6" t="s">
        <v>4178</v>
      </c>
      <c r="D3708" s="6" t="s">
        <v>4175</v>
      </c>
      <c r="E3708" s="65" t="s">
        <v>4179</v>
      </c>
      <c r="F3708" s="120" t="s">
        <v>4155</v>
      </c>
      <c r="G3708" s="3" t="s">
        <v>11449</v>
      </c>
      <c r="H3708" s="54">
        <v>0.6</v>
      </c>
      <c r="I3708" s="16">
        <v>470000000</v>
      </c>
      <c r="J3708" s="16" t="s">
        <v>229</v>
      </c>
      <c r="K3708" s="3" t="s">
        <v>7707</v>
      </c>
      <c r="L3708" s="17" t="s">
        <v>645</v>
      </c>
      <c r="M3708" s="162" t="s">
        <v>230</v>
      </c>
      <c r="N3708" s="6" t="s">
        <v>4191</v>
      </c>
      <c r="O3708" s="6" t="s">
        <v>644</v>
      </c>
      <c r="P3708" s="58" t="s">
        <v>401</v>
      </c>
      <c r="Q3708" s="123" t="s">
        <v>15225</v>
      </c>
      <c r="R3708" s="119">
        <v>1389</v>
      </c>
      <c r="S3708" s="119">
        <v>815</v>
      </c>
      <c r="T3708" s="4">
        <v>0</v>
      </c>
      <c r="U3708" s="4">
        <f t="shared" si="155"/>
        <v>0</v>
      </c>
      <c r="V3708" s="1"/>
      <c r="W3708" s="121">
        <v>2014</v>
      </c>
      <c r="X3708" s="3">
        <v>11</v>
      </c>
    </row>
    <row r="3709" spans="1:24" ht="89.25">
      <c r="A3709" s="3" t="s">
        <v>18216</v>
      </c>
      <c r="B3709" s="6" t="s">
        <v>361</v>
      </c>
      <c r="C3709" s="6" t="s">
        <v>4178</v>
      </c>
      <c r="D3709" s="6" t="s">
        <v>4175</v>
      </c>
      <c r="E3709" s="65" t="s">
        <v>4179</v>
      </c>
      <c r="F3709" s="120" t="s">
        <v>4155</v>
      </c>
      <c r="G3709" s="3" t="s">
        <v>11449</v>
      </c>
      <c r="H3709" s="54">
        <v>0.6</v>
      </c>
      <c r="I3709" s="16">
        <v>470000000</v>
      </c>
      <c r="J3709" s="16" t="s">
        <v>229</v>
      </c>
      <c r="K3709" s="6" t="s">
        <v>8950</v>
      </c>
      <c r="L3709" s="17" t="s">
        <v>645</v>
      </c>
      <c r="M3709" s="162" t="s">
        <v>230</v>
      </c>
      <c r="N3709" s="6" t="s">
        <v>4191</v>
      </c>
      <c r="O3709" s="6" t="s">
        <v>644</v>
      </c>
      <c r="P3709" s="58" t="s">
        <v>401</v>
      </c>
      <c r="Q3709" s="123" t="s">
        <v>15225</v>
      </c>
      <c r="R3709" s="119">
        <v>1389</v>
      </c>
      <c r="S3709" s="119">
        <v>815</v>
      </c>
      <c r="T3709" s="4">
        <f t="shared" ref="T3709" si="165">R3709*S3709</f>
        <v>1132035</v>
      </c>
      <c r="U3709" s="4">
        <f t="shared" si="155"/>
        <v>1267879.2000000002</v>
      </c>
      <c r="V3709" s="1"/>
      <c r="W3709" s="121">
        <v>2014</v>
      </c>
      <c r="X3709" s="264"/>
    </row>
    <row r="3710" spans="1:24" ht="127.5">
      <c r="A3710" s="3" t="s">
        <v>1775</v>
      </c>
      <c r="B3710" s="6" t="s">
        <v>361</v>
      </c>
      <c r="C3710" s="6" t="s">
        <v>4180</v>
      </c>
      <c r="D3710" s="6" t="s">
        <v>4175</v>
      </c>
      <c r="E3710" s="65" t="s">
        <v>4177</v>
      </c>
      <c r="F3710" s="120" t="s">
        <v>4156</v>
      </c>
      <c r="G3710" s="3" t="s">
        <v>11449</v>
      </c>
      <c r="H3710" s="54">
        <v>0.6</v>
      </c>
      <c r="I3710" s="16">
        <v>470000000</v>
      </c>
      <c r="J3710" s="16" t="s">
        <v>229</v>
      </c>
      <c r="K3710" s="3" t="s">
        <v>7707</v>
      </c>
      <c r="L3710" s="17" t="s">
        <v>645</v>
      </c>
      <c r="M3710" s="162" t="s">
        <v>230</v>
      </c>
      <c r="N3710" s="6" t="s">
        <v>4191</v>
      </c>
      <c r="O3710" s="6" t="s">
        <v>644</v>
      </c>
      <c r="P3710" s="58" t="s">
        <v>401</v>
      </c>
      <c r="Q3710" s="123" t="s">
        <v>15225</v>
      </c>
      <c r="R3710" s="119">
        <v>12000</v>
      </c>
      <c r="S3710" s="119">
        <v>240</v>
      </c>
      <c r="T3710" s="4">
        <v>0</v>
      </c>
      <c r="U3710" s="4">
        <f t="shared" si="155"/>
        <v>0</v>
      </c>
      <c r="V3710" s="1"/>
      <c r="W3710" s="121">
        <v>2014</v>
      </c>
      <c r="X3710" s="3">
        <v>11</v>
      </c>
    </row>
    <row r="3711" spans="1:24" ht="127.5">
      <c r="A3711" s="3" t="s">
        <v>18217</v>
      </c>
      <c r="B3711" s="6" t="s">
        <v>361</v>
      </c>
      <c r="C3711" s="6" t="s">
        <v>4180</v>
      </c>
      <c r="D3711" s="6" t="s">
        <v>4175</v>
      </c>
      <c r="E3711" s="65" t="s">
        <v>4177</v>
      </c>
      <c r="F3711" s="120" t="s">
        <v>4156</v>
      </c>
      <c r="G3711" s="3" t="s">
        <v>11449</v>
      </c>
      <c r="H3711" s="54">
        <v>0.6</v>
      </c>
      <c r="I3711" s="16">
        <v>470000000</v>
      </c>
      <c r="J3711" s="16" t="s">
        <v>229</v>
      </c>
      <c r="K3711" s="6" t="s">
        <v>8950</v>
      </c>
      <c r="L3711" s="17" t="s">
        <v>645</v>
      </c>
      <c r="M3711" s="162" t="s">
        <v>230</v>
      </c>
      <c r="N3711" s="6" t="s">
        <v>4191</v>
      </c>
      <c r="O3711" s="6" t="s">
        <v>644</v>
      </c>
      <c r="P3711" s="58" t="s">
        <v>401</v>
      </c>
      <c r="Q3711" s="123" t="s">
        <v>15225</v>
      </c>
      <c r="R3711" s="119">
        <v>12000</v>
      </c>
      <c r="S3711" s="119">
        <v>240</v>
      </c>
      <c r="T3711" s="4">
        <f t="shared" ref="T3711" si="166">R3711*S3711</f>
        <v>2880000</v>
      </c>
      <c r="U3711" s="4">
        <f t="shared" si="155"/>
        <v>3225600.0000000005</v>
      </c>
      <c r="V3711" s="1"/>
      <c r="W3711" s="121">
        <v>2014</v>
      </c>
      <c r="X3711" s="264"/>
    </row>
    <row r="3712" spans="1:24" ht="89.25">
      <c r="A3712" s="3" t="s">
        <v>1776</v>
      </c>
      <c r="B3712" s="6" t="s">
        <v>361</v>
      </c>
      <c r="C3712" s="6" t="s">
        <v>4181</v>
      </c>
      <c r="D3712" s="6" t="s">
        <v>4175</v>
      </c>
      <c r="E3712" s="65" t="s">
        <v>4182</v>
      </c>
      <c r="F3712" s="120" t="s">
        <v>4157</v>
      </c>
      <c r="G3712" s="3" t="s">
        <v>11449</v>
      </c>
      <c r="H3712" s="54">
        <v>0.6</v>
      </c>
      <c r="I3712" s="16">
        <v>470000000</v>
      </c>
      <c r="J3712" s="16" t="s">
        <v>229</v>
      </c>
      <c r="K3712" s="3" t="s">
        <v>7707</v>
      </c>
      <c r="L3712" s="17" t="s">
        <v>645</v>
      </c>
      <c r="M3712" s="162" t="s">
        <v>230</v>
      </c>
      <c r="N3712" s="6" t="s">
        <v>4191</v>
      </c>
      <c r="O3712" s="6" t="s">
        <v>644</v>
      </c>
      <c r="P3712" s="58" t="s">
        <v>401</v>
      </c>
      <c r="Q3712" s="123" t="s">
        <v>15225</v>
      </c>
      <c r="R3712" s="119">
        <v>2490</v>
      </c>
      <c r="S3712" s="119">
        <v>815</v>
      </c>
      <c r="T3712" s="4">
        <v>0</v>
      </c>
      <c r="U3712" s="4">
        <f t="shared" si="155"/>
        <v>0</v>
      </c>
      <c r="V3712" s="1"/>
      <c r="W3712" s="121">
        <v>2014</v>
      </c>
      <c r="X3712" s="3">
        <v>11</v>
      </c>
    </row>
    <row r="3713" spans="1:24" ht="89.25">
      <c r="A3713" s="3" t="s">
        <v>18218</v>
      </c>
      <c r="B3713" s="6" t="s">
        <v>361</v>
      </c>
      <c r="C3713" s="6" t="s">
        <v>4181</v>
      </c>
      <c r="D3713" s="6" t="s">
        <v>4175</v>
      </c>
      <c r="E3713" s="65" t="s">
        <v>4182</v>
      </c>
      <c r="F3713" s="120" t="s">
        <v>4157</v>
      </c>
      <c r="G3713" s="3" t="s">
        <v>11449</v>
      </c>
      <c r="H3713" s="54">
        <v>0.6</v>
      </c>
      <c r="I3713" s="16">
        <v>470000000</v>
      </c>
      <c r="J3713" s="16" t="s">
        <v>229</v>
      </c>
      <c r="K3713" s="6" t="s">
        <v>8950</v>
      </c>
      <c r="L3713" s="17" t="s">
        <v>645</v>
      </c>
      <c r="M3713" s="162" t="s">
        <v>230</v>
      </c>
      <c r="N3713" s="6" t="s">
        <v>4191</v>
      </c>
      <c r="O3713" s="6" t="s">
        <v>644</v>
      </c>
      <c r="P3713" s="58" t="s">
        <v>401</v>
      </c>
      <c r="Q3713" s="123" t="s">
        <v>15225</v>
      </c>
      <c r="R3713" s="119">
        <v>2490</v>
      </c>
      <c r="S3713" s="119">
        <v>815</v>
      </c>
      <c r="T3713" s="4">
        <f t="shared" ref="T3713" si="167">R3713*S3713</f>
        <v>2029350</v>
      </c>
      <c r="U3713" s="4">
        <f t="shared" si="155"/>
        <v>2272872</v>
      </c>
      <c r="V3713" s="1"/>
      <c r="W3713" s="121">
        <v>2014</v>
      </c>
      <c r="X3713" s="264"/>
    </row>
    <row r="3714" spans="1:24" ht="89.25">
      <c r="A3714" s="3" t="s">
        <v>1777</v>
      </c>
      <c r="B3714" s="6" t="s">
        <v>361</v>
      </c>
      <c r="C3714" s="6" t="s">
        <v>4181</v>
      </c>
      <c r="D3714" s="6" t="s">
        <v>4175</v>
      </c>
      <c r="E3714" s="65" t="s">
        <v>4182</v>
      </c>
      <c r="F3714" s="123" t="s">
        <v>11748</v>
      </c>
      <c r="G3714" s="3" t="s">
        <v>11449</v>
      </c>
      <c r="H3714" s="54">
        <v>0.6</v>
      </c>
      <c r="I3714" s="16">
        <v>470000000</v>
      </c>
      <c r="J3714" s="16" t="s">
        <v>229</v>
      </c>
      <c r="K3714" s="3" t="s">
        <v>7707</v>
      </c>
      <c r="L3714" s="17" t="s">
        <v>645</v>
      </c>
      <c r="M3714" s="162" t="s">
        <v>230</v>
      </c>
      <c r="N3714" s="6" t="s">
        <v>4191</v>
      </c>
      <c r="O3714" s="6" t="s">
        <v>644</v>
      </c>
      <c r="P3714" s="58" t="s">
        <v>401</v>
      </c>
      <c r="Q3714" s="123" t="s">
        <v>15225</v>
      </c>
      <c r="R3714" s="119">
        <v>850</v>
      </c>
      <c r="S3714" s="119">
        <v>614.29999999999995</v>
      </c>
      <c r="T3714" s="4">
        <v>0</v>
      </c>
      <c r="U3714" s="4">
        <f t="shared" si="155"/>
        <v>0</v>
      </c>
      <c r="V3714" s="1"/>
      <c r="W3714" s="121">
        <v>2014</v>
      </c>
      <c r="X3714" s="3">
        <v>11</v>
      </c>
    </row>
    <row r="3715" spans="1:24" ht="89.25">
      <c r="A3715" s="3" t="s">
        <v>18219</v>
      </c>
      <c r="B3715" s="6" t="s">
        <v>361</v>
      </c>
      <c r="C3715" s="6" t="s">
        <v>4181</v>
      </c>
      <c r="D3715" s="6" t="s">
        <v>4175</v>
      </c>
      <c r="E3715" s="65" t="s">
        <v>4182</v>
      </c>
      <c r="F3715" s="123" t="s">
        <v>11748</v>
      </c>
      <c r="G3715" s="3" t="s">
        <v>11449</v>
      </c>
      <c r="H3715" s="54">
        <v>0.6</v>
      </c>
      <c r="I3715" s="16">
        <v>470000000</v>
      </c>
      <c r="J3715" s="16" t="s">
        <v>229</v>
      </c>
      <c r="K3715" s="6" t="s">
        <v>8950</v>
      </c>
      <c r="L3715" s="17" t="s">
        <v>645</v>
      </c>
      <c r="M3715" s="162" t="s">
        <v>230</v>
      </c>
      <c r="N3715" s="6" t="s">
        <v>4191</v>
      </c>
      <c r="O3715" s="6" t="s">
        <v>644</v>
      </c>
      <c r="P3715" s="58" t="s">
        <v>401</v>
      </c>
      <c r="Q3715" s="123" t="s">
        <v>15225</v>
      </c>
      <c r="R3715" s="119">
        <v>850</v>
      </c>
      <c r="S3715" s="119">
        <v>614.29999999999995</v>
      </c>
      <c r="T3715" s="4">
        <f t="shared" ref="T3715" si="168">R3715*S3715</f>
        <v>522154.99999999994</v>
      </c>
      <c r="U3715" s="4">
        <f t="shared" si="155"/>
        <v>584813.6</v>
      </c>
      <c r="V3715" s="1"/>
      <c r="W3715" s="121">
        <v>2014</v>
      </c>
      <c r="X3715" s="264"/>
    </row>
    <row r="3716" spans="1:24" ht="89.25">
      <c r="A3716" s="3" t="s">
        <v>1778</v>
      </c>
      <c r="B3716" s="6" t="s">
        <v>361</v>
      </c>
      <c r="C3716" s="6" t="s">
        <v>4181</v>
      </c>
      <c r="D3716" s="6" t="s">
        <v>4175</v>
      </c>
      <c r="E3716" s="65" t="s">
        <v>4182</v>
      </c>
      <c r="F3716" s="123" t="s">
        <v>11747</v>
      </c>
      <c r="G3716" s="3" t="s">
        <v>11449</v>
      </c>
      <c r="H3716" s="54">
        <v>0.6</v>
      </c>
      <c r="I3716" s="16">
        <v>470000000</v>
      </c>
      <c r="J3716" s="16" t="s">
        <v>229</v>
      </c>
      <c r="K3716" s="3" t="s">
        <v>7707</v>
      </c>
      <c r="L3716" s="17" t="s">
        <v>645</v>
      </c>
      <c r="M3716" s="162" t="s">
        <v>230</v>
      </c>
      <c r="N3716" s="6" t="s">
        <v>4191</v>
      </c>
      <c r="O3716" s="6" t="s">
        <v>644</v>
      </c>
      <c r="P3716" s="58" t="s">
        <v>401</v>
      </c>
      <c r="Q3716" s="123" t="s">
        <v>15225</v>
      </c>
      <c r="R3716" s="119">
        <v>4520</v>
      </c>
      <c r="S3716" s="119">
        <v>614.29999999999995</v>
      </c>
      <c r="T3716" s="4">
        <v>0</v>
      </c>
      <c r="U3716" s="4">
        <f t="shared" si="155"/>
        <v>0</v>
      </c>
      <c r="V3716" s="1"/>
      <c r="W3716" s="121">
        <v>2014</v>
      </c>
      <c r="X3716" s="3">
        <v>11</v>
      </c>
    </row>
    <row r="3717" spans="1:24" ht="89.25">
      <c r="A3717" s="3" t="s">
        <v>18220</v>
      </c>
      <c r="B3717" s="6" t="s">
        <v>361</v>
      </c>
      <c r="C3717" s="6" t="s">
        <v>4181</v>
      </c>
      <c r="D3717" s="6" t="s">
        <v>4175</v>
      </c>
      <c r="E3717" s="65" t="s">
        <v>4182</v>
      </c>
      <c r="F3717" s="123" t="s">
        <v>11747</v>
      </c>
      <c r="G3717" s="3" t="s">
        <v>11449</v>
      </c>
      <c r="H3717" s="54">
        <v>0.6</v>
      </c>
      <c r="I3717" s="16">
        <v>470000000</v>
      </c>
      <c r="J3717" s="16" t="s">
        <v>229</v>
      </c>
      <c r="K3717" s="6" t="s">
        <v>8950</v>
      </c>
      <c r="L3717" s="17" t="s">
        <v>645</v>
      </c>
      <c r="M3717" s="162" t="s">
        <v>230</v>
      </c>
      <c r="N3717" s="6" t="s">
        <v>4191</v>
      </c>
      <c r="O3717" s="6" t="s">
        <v>644</v>
      </c>
      <c r="P3717" s="58" t="s">
        <v>401</v>
      </c>
      <c r="Q3717" s="123" t="s">
        <v>15225</v>
      </c>
      <c r="R3717" s="119">
        <v>4520</v>
      </c>
      <c r="S3717" s="119">
        <v>614.29999999999995</v>
      </c>
      <c r="T3717" s="4">
        <f t="shared" ref="T3717" si="169">R3717*S3717</f>
        <v>2776636</v>
      </c>
      <c r="U3717" s="4">
        <f t="shared" si="155"/>
        <v>3109832.3200000003</v>
      </c>
      <c r="V3717" s="1"/>
      <c r="W3717" s="121">
        <v>2014</v>
      </c>
      <c r="X3717" s="264"/>
    </row>
    <row r="3718" spans="1:24" ht="306">
      <c r="A3718" s="3" t="s">
        <v>1779</v>
      </c>
      <c r="B3718" s="6" t="s">
        <v>361</v>
      </c>
      <c r="C3718" s="176" t="s">
        <v>4183</v>
      </c>
      <c r="D3718" s="177" t="s">
        <v>4184</v>
      </c>
      <c r="E3718" s="123" t="s">
        <v>4185</v>
      </c>
      <c r="F3718" s="120" t="s">
        <v>4158</v>
      </c>
      <c r="G3718" s="3" t="s">
        <v>11450</v>
      </c>
      <c r="H3718" s="54">
        <v>0</v>
      </c>
      <c r="I3718" s="16">
        <v>470000000</v>
      </c>
      <c r="J3718" s="16" t="s">
        <v>229</v>
      </c>
      <c r="K3718" s="3" t="s">
        <v>7707</v>
      </c>
      <c r="L3718" s="17" t="s">
        <v>645</v>
      </c>
      <c r="M3718" s="162" t="s">
        <v>230</v>
      </c>
      <c r="N3718" s="6" t="s">
        <v>4191</v>
      </c>
      <c r="O3718" s="6" t="s">
        <v>644</v>
      </c>
      <c r="P3718" s="58" t="s">
        <v>247</v>
      </c>
      <c r="Q3718" s="123" t="s">
        <v>4192</v>
      </c>
      <c r="R3718" s="119">
        <v>2.25</v>
      </c>
      <c r="S3718" s="119">
        <v>349276.34</v>
      </c>
      <c r="T3718" s="4">
        <v>0</v>
      </c>
      <c r="U3718" s="4">
        <f t="shared" si="155"/>
        <v>0</v>
      </c>
      <c r="V3718" s="1"/>
      <c r="W3718" s="121">
        <v>2014</v>
      </c>
      <c r="X3718" s="3">
        <v>11</v>
      </c>
    </row>
    <row r="3719" spans="1:24" ht="306">
      <c r="A3719" s="3" t="s">
        <v>18221</v>
      </c>
      <c r="B3719" s="6" t="s">
        <v>361</v>
      </c>
      <c r="C3719" s="176" t="s">
        <v>4183</v>
      </c>
      <c r="D3719" s="177" t="s">
        <v>4184</v>
      </c>
      <c r="E3719" s="123" t="s">
        <v>4185</v>
      </c>
      <c r="F3719" s="120" t="s">
        <v>4158</v>
      </c>
      <c r="G3719" s="3" t="s">
        <v>11450</v>
      </c>
      <c r="H3719" s="54">
        <v>0</v>
      </c>
      <c r="I3719" s="16">
        <v>470000000</v>
      </c>
      <c r="J3719" s="16" t="s">
        <v>229</v>
      </c>
      <c r="K3719" s="6" t="s">
        <v>8950</v>
      </c>
      <c r="L3719" s="17" t="s">
        <v>645</v>
      </c>
      <c r="M3719" s="162" t="s">
        <v>230</v>
      </c>
      <c r="N3719" s="6" t="s">
        <v>4191</v>
      </c>
      <c r="O3719" s="6" t="s">
        <v>644</v>
      </c>
      <c r="P3719" s="58" t="s">
        <v>247</v>
      </c>
      <c r="Q3719" s="123" t="s">
        <v>4192</v>
      </c>
      <c r="R3719" s="119">
        <v>2.25</v>
      </c>
      <c r="S3719" s="119">
        <v>349276.34</v>
      </c>
      <c r="T3719" s="4">
        <f t="shared" ref="T3719" si="170">R3719*S3719</f>
        <v>785871.76500000001</v>
      </c>
      <c r="U3719" s="4">
        <f t="shared" si="155"/>
        <v>880176.37680000009</v>
      </c>
      <c r="V3719" s="1"/>
      <c r="W3719" s="121">
        <v>2014</v>
      </c>
      <c r="X3719" s="264"/>
    </row>
    <row r="3720" spans="1:24" ht="165.75">
      <c r="A3720" s="3" t="s">
        <v>1780</v>
      </c>
      <c r="B3720" s="6" t="s">
        <v>361</v>
      </c>
      <c r="C3720" s="176" t="s">
        <v>4186</v>
      </c>
      <c r="D3720" s="177" t="s">
        <v>4159</v>
      </c>
      <c r="E3720" s="123" t="s">
        <v>4187</v>
      </c>
      <c r="F3720" s="120" t="s">
        <v>4159</v>
      </c>
      <c r="G3720" s="3" t="s">
        <v>11450</v>
      </c>
      <c r="H3720" s="54">
        <v>0</v>
      </c>
      <c r="I3720" s="16">
        <v>470000000</v>
      </c>
      <c r="J3720" s="16" t="s">
        <v>229</v>
      </c>
      <c r="K3720" s="3" t="s">
        <v>7707</v>
      </c>
      <c r="L3720" s="17" t="s">
        <v>645</v>
      </c>
      <c r="M3720" s="162" t="s">
        <v>230</v>
      </c>
      <c r="N3720" s="6" t="s">
        <v>4191</v>
      </c>
      <c r="O3720" s="6" t="s">
        <v>644</v>
      </c>
      <c r="P3720" s="58" t="s">
        <v>247</v>
      </c>
      <c r="Q3720" s="123" t="s">
        <v>4192</v>
      </c>
      <c r="R3720" s="119">
        <v>1.3</v>
      </c>
      <c r="S3720" s="119">
        <v>324589.53999999998</v>
      </c>
      <c r="T3720" s="4">
        <v>0</v>
      </c>
      <c r="U3720" s="4">
        <f t="shared" si="155"/>
        <v>0</v>
      </c>
      <c r="V3720" s="1"/>
      <c r="W3720" s="121">
        <v>2014</v>
      </c>
      <c r="X3720" s="3">
        <v>11</v>
      </c>
    </row>
    <row r="3721" spans="1:24" ht="165.75">
      <c r="A3721" s="3" t="s">
        <v>18222</v>
      </c>
      <c r="B3721" s="6" t="s">
        <v>361</v>
      </c>
      <c r="C3721" s="176" t="s">
        <v>4186</v>
      </c>
      <c r="D3721" s="177" t="s">
        <v>4159</v>
      </c>
      <c r="E3721" s="123" t="s">
        <v>4187</v>
      </c>
      <c r="F3721" s="120" t="s">
        <v>4159</v>
      </c>
      <c r="G3721" s="3" t="s">
        <v>11450</v>
      </c>
      <c r="H3721" s="54">
        <v>0</v>
      </c>
      <c r="I3721" s="16">
        <v>470000000</v>
      </c>
      <c r="J3721" s="16" t="s">
        <v>229</v>
      </c>
      <c r="K3721" s="6" t="s">
        <v>8950</v>
      </c>
      <c r="L3721" s="17" t="s">
        <v>645</v>
      </c>
      <c r="M3721" s="162" t="s">
        <v>230</v>
      </c>
      <c r="N3721" s="6" t="s">
        <v>4191</v>
      </c>
      <c r="O3721" s="6" t="s">
        <v>644</v>
      </c>
      <c r="P3721" s="58" t="s">
        <v>247</v>
      </c>
      <c r="Q3721" s="123" t="s">
        <v>4192</v>
      </c>
      <c r="R3721" s="119">
        <v>1.3</v>
      </c>
      <c r="S3721" s="119">
        <v>324589.53999999998</v>
      </c>
      <c r="T3721" s="4">
        <f t="shared" ref="T3721" si="171">R3721*S3721</f>
        <v>421966.402</v>
      </c>
      <c r="U3721" s="4">
        <f t="shared" si="155"/>
        <v>472602.37024000002</v>
      </c>
      <c r="V3721" s="1"/>
      <c r="W3721" s="121">
        <v>2014</v>
      </c>
      <c r="X3721" s="264"/>
    </row>
    <row r="3722" spans="1:24" ht="89.25">
      <c r="A3722" s="3" t="s">
        <v>1781</v>
      </c>
      <c r="B3722" s="6" t="s">
        <v>361</v>
      </c>
      <c r="C3722" s="176" t="s">
        <v>11654</v>
      </c>
      <c r="D3722" s="177" t="s">
        <v>4188</v>
      </c>
      <c r="E3722" s="123" t="s">
        <v>4189</v>
      </c>
      <c r="F3722" s="120" t="s">
        <v>4160</v>
      </c>
      <c r="G3722" s="3" t="s">
        <v>11450</v>
      </c>
      <c r="H3722" s="54">
        <v>0</v>
      </c>
      <c r="I3722" s="16">
        <v>470000000</v>
      </c>
      <c r="J3722" s="16" t="s">
        <v>229</v>
      </c>
      <c r="K3722" s="3" t="s">
        <v>7707</v>
      </c>
      <c r="L3722" s="17" t="s">
        <v>645</v>
      </c>
      <c r="M3722" s="162" t="s">
        <v>230</v>
      </c>
      <c r="N3722" s="6" t="s">
        <v>4191</v>
      </c>
      <c r="O3722" s="6" t="s">
        <v>644</v>
      </c>
      <c r="P3722" s="58" t="s">
        <v>401</v>
      </c>
      <c r="Q3722" s="320" t="s">
        <v>15225</v>
      </c>
      <c r="R3722" s="119">
        <v>8330</v>
      </c>
      <c r="S3722" s="119">
        <v>173.6</v>
      </c>
      <c r="T3722" s="4">
        <v>0</v>
      </c>
      <c r="U3722" s="4">
        <f t="shared" si="155"/>
        <v>0</v>
      </c>
      <c r="V3722" s="1"/>
      <c r="W3722" s="121">
        <v>2014</v>
      </c>
      <c r="X3722" s="3">
        <v>11</v>
      </c>
    </row>
    <row r="3723" spans="1:24" ht="89.25">
      <c r="A3723" s="3" t="s">
        <v>18223</v>
      </c>
      <c r="B3723" s="6" t="s">
        <v>361</v>
      </c>
      <c r="C3723" s="176" t="s">
        <v>11654</v>
      </c>
      <c r="D3723" s="177" t="s">
        <v>4188</v>
      </c>
      <c r="E3723" s="123" t="s">
        <v>4189</v>
      </c>
      <c r="F3723" s="120" t="s">
        <v>4160</v>
      </c>
      <c r="G3723" s="3" t="s">
        <v>11450</v>
      </c>
      <c r="H3723" s="54">
        <v>0</v>
      </c>
      <c r="I3723" s="16">
        <v>470000000</v>
      </c>
      <c r="J3723" s="16" t="s">
        <v>229</v>
      </c>
      <c r="K3723" s="6" t="s">
        <v>8950</v>
      </c>
      <c r="L3723" s="17" t="s">
        <v>645</v>
      </c>
      <c r="M3723" s="162" t="s">
        <v>230</v>
      </c>
      <c r="N3723" s="6" t="s">
        <v>4191</v>
      </c>
      <c r="O3723" s="6" t="s">
        <v>644</v>
      </c>
      <c r="P3723" s="58" t="s">
        <v>401</v>
      </c>
      <c r="Q3723" s="320" t="s">
        <v>15225</v>
      </c>
      <c r="R3723" s="119">
        <v>8330</v>
      </c>
      <c r="S3723" s="119">
        <v>173.6</v>
      </c>
      <c r="T3723" s="4">
        <f t="shared" ref="T3723" si="172">R3723*S3723</f>
        <v>1446088</v>
      </c>
      <c r="U3723" s="4">
        <f t="shared" si="155"/>
        <v>1619618.56</v>
      </c>
      <c r="V3723" s="1"/>
      <c r="W3723" s="121">
        <v>2014</v>
      </c>
      <c r="X3723" s="264"/>
    </row>
    <row r="3724" spans="1:24" ht="89.25">
      <c r="A3724" s="3" t="s">
        <v>1782</v>
      </c>
      <c r="B3724" s="6" t="s">
        <v>361</v>
      </c>
      <c r="C3724" s="176" t="s">
        <v>18428</v>
      </c>
      <c r="D3724" s="177" t="s">
        <v>4188</v>
      </c>
      <c r="E3724" s="123" t="s">
        <v>18429</v>
      </c>
      <c r="F3724" s="120" t="s">
        <v>4190</v>
      </c>
      <c r="G3724" s="3" t="s">
        <v>11450</v>
      </c>
      <c r="H3724" s="54">
        <v>0</v>
      </c>
      <c r="I3724" s="16">
        <v>470000000</v>
      </c>
      <c r="J3724" s="16" t="s">
        <v>229</v>
      </c>
      <c r="K3724" s="3" t="s">
        <v>7707</v>
      </c>
      <c r="L3724" s="17" t="s">
        <v>645</v>
      </c>
      <c r="M3724" s="162" t="s">
        <v>230</v>
      </c>
      <c r="N3724" s="6" t="s">
        <v>4191</v>
      </c>
      <c r="O3724" s="6" t="s">
        <v>644</v>
      </c>
      <c r="P3724" s="58" t="s">
        <v>401</v>
      </c>
      <c r="Q3724" s="320" t="s">
        <v>15225</v>
      </c>
      <c r="R3724" s="119">
        <v>1199</v>
      </c>
      <c r="S3724" s="119">
        <v>1063</v>
      </c>
      <c r="T3724" s="4">
        <v>0</v>
      </c>
      <c r="U3724" s="4">
        <f t="shared" si="155"/>
        <v>0</v>
      </c>
      <c r="V3724" s="1"/>
      <c r="W3724" s="121">
        <v>2014</v>
      </c>
      <c r="X3724" s="3">
        <v>11</v>
      </c>
    </row>
    <row r="3725" spans="1:24" ht="89.25">
      <c r="A3725" s="3" t="s">
        <v>18224</v>
      </c>
      <c r="B3725" s="6" t="s">
        <v>361</v>
      </c>
      <c r="C3725" s="176" t="s">
        <v>18428</v>
      </c>
      <c r="D3725" s="177" t="s">
        <v>4188</v>
      </c>
      <c r="E3725" s="123" t="s">
        <v>18429</v>
      </c>
      <c r="F3725" s="120" t="s">
        <v>4190</v>
      </c>
      <c r="G3725" s="3" t="s">
        <v>11450</v>
      </c>
      <c r="H3725" s="54">
        <v>0</v>
      </c>
      <c r="I3725" s="16">
        <v>470000000</v>
      </c>
      <c r="J3725" s="16" t="s">
        <v>229</v>
      </c>
      <c r="K3725" s="6" t="s">
        <v>8950</v>
      </c>
      <c r="L3725" s="17" t="s">
        <v>645</v>
      </c>
      <c r="M3725" s="162" t="s">
        <v>230</v>
      </c>
      <c r="N3725" s="6" t="s">
        <v>4191</v>
      </c>
      <c r="O3725" s="6" t="s">
        <v>644</v>
      </c>
      <c r="P3725" s="58" t="s">
        <v>401</v>
      </c>
      <c r="Q3725" s="320" t="s">
        <v>15225</v>
      </c>
      <c r="R3725" s="119">
        <v>1199</v>
      </c>
      <c r="S3725" s="119">
        <v>1063</v>
      </c>
      <c r="T3725" s="4">
        <f t="shared" ref="T3725" si="173">R3725*S3725</f>
        <v>1274537</v>
      </c>
      <c r="U3725" s="4">
        <f t="shared" si="155"/>
        <v>1427481.4400000002</v>
      </c>
      <c r="V3725" s="1"/>
      <c r="W3725" s="121">
        <v>2014</v>
      </c>
      <c r="X3725" s="264"/>
    </row>
    <row r="3726" spans="1:24" ht="114.75">
      <c r="A3726" s="3" t="s">
        <v>1783</v>
      </c>
      <c r="B3726" s="6" t="s">
        <v>361</v>
      </c>
      <c r="C3726" s="55" t="s">
        <v>7634</v>
      </c>
      <c r="D3726" s="55" t="s">
        <v>7635</v>
      </c>
      <c r="E3726" s="55" t="s">
        <v>7636</v>
      </c>
      <c r="F3726" s="53" t="s">
        <v>7519</v>
      </c>
      <c r="G3726" s="3" t="s">
        <v>11449</v>
      </c>
      <c r="H3726" s="178">
        <v>1</v>
      </c>
      <c r="I3726" s="55">
        <v>470000000</v>
      </c>
      <c r="J3726" s="56" t="s">
        <v>229</v>
      </c>
      <c r="K3726" s="57" t="s">
        <v>641</v>
      </c>
      <c r="L3726" s="57" t="s">
        <v>364</v>
      </c>
      <c r="M3726" s="3" t="s">
        <v>230</v>
      </c>
      <c r="N3726" s="6" t="s">
        <v>7652</v>
      </c>
      <c r="O3726" s="6" t="s">
        <v>365</v>
      </c>
      <c r="P3726" s="58" t="s">
        <v>401</v>
      </c>
      <c r="Q3726" s="320" t="s">
        <v>15225</v>
      </c>
      <c r="R3726" s="215">
        <v>3322010</v>
      </c>
      <c r="S3726" s="59">
        <v>125.19</v>
      </c>
      <c r="T3726" s="4">
        <v>0</v>
      </c>
      <c r="U3726" s="4">
        <f t="shared" si="155"/>
        <v>0</v>
      </c>
      <c r="V3726" s="1"/>
      <c r="W3726" s="121">
        <v>2014</v>
      </c>
      <c r="X3726" s="3" t="s">
        <v>11989</v>
      </c>
    </row>
    <row r="3727" spans="1:24" ht="114.75">
      <c r="A3727" s="3" t="s">
        <v>11986</v>
      </c>
      <c r="B3727" s="6" t="s">
        <v>361</v>
      </c>
      <c r="C3727" s="55" t="s">
        <v>7634</v>
      </c>
      <c r="D3727" s="55" t="s">
        <v>7635</v>
      </c>
      <c r="E3727" s="55" t="s">
        <v>7636</v>
      </c>
      <c r="F3727" s="53" t="s">
        <v>11990</v>
      </c>
      <c r="G3727" s="3" t="s">
        <v>11449</v>
      </c>
      <c r="H3727" s="178">
        <v>1</v>
      </c>
      <c r="I3727" s="55">
        <v>470000000</v>
      </c>
      <c r="J3727" s="56" t="s">
        <v>229</v>
      </c>
      <c r="K3727" s="57" t="s">
        <v>11987</v>
      </c>
      <c r="L3727" s="57" t="s">
        <v>11988</v>
      </c>
      <c r="M3727" s="3" t="s">
        <v>230</v>
      </c>
      <c r="N3727" s="6" t="s">
        <v>7652</v>
      </c>
      <c r="O3727" s="6" t="s">
        <v>365</v>
      </c>
      <c r="P3727" s="58" t="s">
        <v>401</v>
      </c>
      <c r="Q3727" s="320" t="s">
        <v>15225</v>
      </c>
      <c r="R3727" s="68">
        <v>3002010</v>
      </c>
      <c r="S3727" s="59">
        <v>125.19</v>
      </c>
      <c r="T3727" s="4">
        <v>0</v>
      </c>
      <c r="U3727" s="4">
        <f t="shared" si="155"/>
        <v>0</v>
      </c>
      <c r="V3727" s="1"/>
      <c r="W3727" s="121">
        <v>2014</v>
      </c>
      <c r="X3727" s="3" t="s">
        <v>14230</v>
      </c>
    </row>
    <row r="3728" spans="1:24" ht="114.75">
      <c r="A3728" s="3" t="s">
        <v>16682</v>
      </c>
      <c r="B3728" s="6" t="s">
        <v>361</v>
      </c>
      <c r="C3728" s="55" t="s">
        <v>7634</v>
      </c>
      <c r="D3728" s="55" t="s">
        <v>7635</v>
      </c>
      <c r="E3728" s="55" t="s">
        <v>7636</v>
      </c>
      <c r="F3728" s="53" t="s">
        <v>11990</v>
      </c>
      <c r="G3728" s="3" t="s">
        <v>11449</v>
      </c>
      <c r="H3728" s="178">
        <v>1</v>
      </c>
      <c r="I3728" s="55">
        <v>470000000</v>
      </c>
      <c r="J3728" s="56" t="s">
        <v>229</v>
      </c>
      <c r="K3728" s="57" t="s">
        <v>11987</v>
      </c>
      <c r="L3728" s="57" t="s">
        <v>11988</v>
      </c>
      <c r="M3728" s="3" t="s">
        <v>230</v>
      </c>
      <c r="N3728" s="6" t="s">
        <v>7652</v>
      </c>
      <c r="O3728" s="6" t="s">
        <v>365</v>
      </c>
      <c r="P3728" s="58" t="s">
        <v>401</v>
      </c>
      <c r="Q3728" s="320" t="s">
        <v>15225</v>
      </c>
      <c r="R3728" s="68">
        <v>3002010</v>
      </c>
      <c r="S3728" s="59">
        <v>102.68</v>
      </c>
      <c r="T3728" s="4">
        <f>R3728*S3728</f>
        <v>308246386.80000001</v>
      </c>
      <c r="U3728" s="4">
        <f t="shared" ref="U3728:U3797" si="174">T3728*1.12</f>
        <v>345235953.21600002</v>
      </c>
      <c r="V3728" s="1"/>
      <c r="W3728" s="121">
        <v>2014</v>
      </c>
      <c r="X3728" s="3"/>
    </row>
    <row r="3729" spans="1:24" ht="114.75">
      <c r="A3729" s="3" t="s">
        <v>1784</v>
      </c>
      <c r="B3729" s="6" t="s">
        <v>361</v>
      </c>
      <c r="C3729" s="55" t="s">
        <v>7637</v>
      </c>
      <c r="D3729" s="55" t="s">
        <v>7635</v>
      </c>
      <c r="E3729" s="55" t="s">
        <v>7638</v>
      </c>
      <c r="F3729" s="53" t="s">
        <v>7520</v>
      </c>
      <c r="G3729" s="3" t="s">
        <v>11449</v>
      </c>
      <c r="H3729" s="178">
        <v>1</v>
      </c>
      <c r="I3729" s="55">
        <v>470000000</v>
      </c>
      <c r="J3729" s="56" t="s">
        <v>229</v>
      </c>
      <c r="K3729" s="57" t="s">
        <v>641</v>
      </c>
      <c r="L3729" s="57" t="s">
        <v>364</v>
      </c>
      <c r="M3729" s="3" t="s">
        <v>230</v>
      </c>
      <c r="N3729" s="6" t="s">
        <v>7652</v>
      </c>
      <c r="O3729" s="6" t="s">
        <v>365</v>
      </c>
      <c r="P3729" s="58" t="s">
        <v>401</v>
      </c>
      <c r="Q3729" s="320" t="s">
        <v>15225</v>
      </c>
      <c r="R3729" s="215">
        <v>1735800</v>
      </c>
      <c r="S3729" s="59">
        <v>144.12</v>
      </c>
      <c r="T3729" s="4">
        <v>0</v>
      </c>
      <c r="U3729" s="4">
        <f t="shared" si="174"/>
        <v>0</v>
      </c>
      <c r="V3729" s="1"/>
      <c r="W3729" s="121">
        <v>2014</v>
      </c>
      <c r="X3729" s="3" t="s">
        <v>11989</v>
      </c>
    </row>
    <row r="3730" spans="1:24" ht="114.75">
      <c r="A3730" s="3" t="s">
        <v>11994</v>
      </c>
      <c r="B3730" s="6" t="s">
        <v>361</v>
      </c>
      <c r="C3730" s="55" t="s">
        <v>7637</v>
      </c>
      <c r="D3730" s="55" t="s">
        <v>7635</v>
      </c>
      <c r="E3730" s="55" t="s">
        <v>7638</v>
      </c>
      <c r="F3730" s="57" t="s">
        <v>11995</v>
      </c>
      <c r="G3730" s="3" t="s">
        <v>11449</v>
      </c>
      <c r="H3730" s="178">
        <v>1</v>
      </c>
      <c r="I3730" s="55">
        <v>470000000</v>
      </c>
      <c r="J3730" s="56" t="s">
        <v>229</v>
      </c>
      <c r="K3730" s="57" t="s">
        <v>11987</v>
      </c>
      <c r="L3730" s="57" t="s">
        <v>11988</v>
      </c>
      <c r="M3730" s="3" t="s">
        <v>230</v>
      </c>
      <c r="N3730" s="6" t="s">
        <v>7652</v>
      </c>
      <c r="O3730" s="6" t="s">
        <v>365</v>
      </c>
      <c r="P3730" s="58" t="s">
        <v>401</v>
      </c>
      <c r="Q3730" s="320" t="s">
        <v>15225</v>
      </c>
      <c r="R3730" s="215">
        <v>1575800</v>
      </c>
      <c r="S3730" s="59">
        <v>144.12</v>
      </c>
      <c r="T3730" s="4">
        <v>0</v>
      </c>
      <c r="U3730" s="4">
        <f t="shared" si="174"/>
        <v>0</v>
      </c>
      <c r="V3730" s="1"/>
      <c r="W3730" s="121">
        <v>2014</v>
      </c>
      <c r="X3730" s="3">
        <v>11</v>
      </c>
    </row>
    <row r="3731" spans="1:24" ht="114.75">
      <c r="A3731" s="3" t="s">
        <v>16744</v>
      </c>
      <c r="B3731" s="6" t="s">
        <v>361</v>
      </c>
      <c r="C3731" s="55" t="s">
        <v>7637</v>
      </c>
      <c r="D3731" s="55" t="s">
        <v>7635</v>
      </c>
      <c r="E3731" s="55" t="s">
        <v>7638</v>
      </c>
      <c r="F3731" s="57" t="s">
        <v>11995</v>
      </c>
      <c r="G3731" s="3" t="s">
        <v>11449</v>
      </c>
      <c r="H3731" s="178">
        <v>1</v>
      </c>
      <c r="I3731" s="55">
        <v>470000000</v>
      </c>
      <c r="J3731" s="56" t="s">
        <v>229</v>
      </c>
      <c r="K3731" s="57" t="s">
        <v>9369</v>
      </c>
      <c r="L3731" s="57" t="s">
        <v>11988</v>
      </c>
      <c r="M3731" s="3" t="s">
        <v>230</v>
      </c>
      <c r="N3731" s="6" t="s">
        <v>7652</v>
      </c>
      <c r="O3731" s="6" t="s">
        <v>365</v>
      </c>
      <c r="P3731" s="58" t="s">
        <v>401</v>
      </c>
      <c r="Q3731" s="320" t="s">
        <v>15225</v>
      </c>
      <c r="R3731" s="215">
        <v>1575800</v>
      </c>
      <c r="S3731" s="59">
        <v>144.12</v>
      </c>
      <c r="T3731" s="4">
        <v>0</v>
      </c>
      <c r="U3731" s="4">
        <f t="shared" si="174"/>
        <v>0</v>
      </c>
      <c r="V3731" s="1"/>
      <c r="W3731" s="121">
        <v>2014</v>
      </c>
      <c r="X3731" s="3">
        <v>11.15</v>
      </c>
    </row>
    <row r="3732" spans="1:24" ht="76.5">
      <c r="A3732" s="3" t="s">
        <v>19410</v>
      </c>
      <c r="B3732" s="6" t="s">
        <v>361</v>
      </c>
      <c r="C3732" s="55" t="s">
        <v>7637</v>
      </c>
      <c r="D3732" s="55" t="s">
        <v>7635</v>
      </c>
      <c r="E3732" s="55" t="s">
        <v>7638</v>
      </c>
      <c r="F3732" s="57" t="s">
        <v>11995</v>
      </c>
      <c r="G3732" s="3" t="s">
        <v>11449</v>
      </c>
      <c r="H3732" s="178">
        <v>1</v>
      </c>
      <c r="I3732" s="55">
        <v>470000000</v>
      </c>
      <c r="J3732" s="56" t="s">
        <v>229</v>
      </c>
      <c r="K3732" s="57" t="s">
        <v>19291</v>
      </c>
      <c r="L3732" s="57" t="s">
        <v>11988</v>
      </c>
      <c r="M3732" s="3" t="s">
        <v>230</v>
      </c>
      <c r="N3732" s="6" t="s">
        <v>7652</v>
      </c>
      <c r="O3732" s="6" t="s">
        <v>19407</v>
      </c>
      <c r="P3732" s="58" t="s">
        <v>401</v>
      </c>
      <c r="Q3732" s="320" t="s">
        <v>15225</v>
      </c>
      <c r="R3732" s="215">
        <v>1575800</v>
      </c>
      <c r="S3732" s="59">
        <v>144.12</v>
      </c>
      <c r="T3732" s="4">
        <f>R3732*S3732</f>
        <v>227104296</v>
      </c>
      <c r="U3732" s="4">
        <f t="shared" ref="U3732" si="175">T3732*1.12</f>
        <v>254356811.52000001</v>
      </c>
      <c r="V3732" s="1"/>
      <c r="W3732" s="121">
        <v>2014</v>
      </c>
      <c r="X3732" s="3"/>
    </row>
    <row r="3733" spans="1:24" ht="114.75">
      <c r="A3733" s="3" t="s">
        <v>1785</v>
      </c>
      <c r="B3733" s="6" t="s">
        <v>361</v>
      </c>
      <c r="C3733" s="55" t="s">
        <v>7627</v>
      </c>
      <c r="D3733" s="55" t="s">
        <v>7628</v>
      </c>
      <c r="E3733" s="55" t="s">
        <v>7629</v>
      </c>
      <c r="F3733" s="53" t="s">
        <v>7521</v>
      </c>
      <c r="G3733" s="3" t="s">
        <v>11449</v>
      </c>
      <c r="H3733" s="178">
        <v>1</v>
      </c>
      <c r="I3733" s="55">
        <v>470000000</v>
      </c>
      <c r="J3733" s="56" t="s">
        <v>229</v>
      </c>
      <c r="K3733" s="57" t="s">
        <v>641</v>
      </c>
      <c r="L3733" s="57" t="s">
        <v>364</v>
      </c>
      <c r="M3733" s="3" t="s">
        <v>230</v>
      </c>
      <c r="N3733" s="6" t="s">
        <v>7652</v>
      </c>
      <c r="O3733" s="6" t="s">
        <v>365</v>
      </c>
      <c r="P3733" s="58" t="s">
        <v>401</v>
      </c>
      <c r="Q3733" s="320" t="s">
        <v>15225</v>
      </c>
      <c r="R3733" s="215">
        <v>674120</v>
      </c>
      <c r="S3733" s="59">
        <v>87.26</v>
      </c>
      <c r="T3733" s="4">
        <v>0</v>
      </c>
      <c r="U3733" s="4">
        <f t="shared" si="174"/>
        <v>0</v>
      </c>
      <c r="V3733" s="1"/>
      <c r="W3733" s="121">
        <v>2014</v>
      </c>
      <c r="X3733" s="3" t="s">
        <v>11989</v>
      </c>
    </row>
    <row r="3734" spans="1:24" ht="114.75">
      <c r="A3734" s="3" t="s">
        <v>11910</v>
      </c>
      <c r="B3734" s="6" t="s">
        <v>361</v>
      </c>
      <c r="C3734" s="55" t="s">
        <v>7627</v>
      </c>
      <c r="D3734" s="55" t="s">
        <v>7628</v>
      </c>
      <c r="E3734" s="55" t="s">
        <v>7629</v>
      </c>
      <c r="F3734" s="76" t="s">
        <v>11998</v>
      </c>
      <c r="G3734" s="3" t="s">
        <v>11449</v>
      </c>
      <c r="H3734" s="178">
        <v>1</v>
      </c>
      <c r="I3734" s="55">
        <v>470000000</v>
      </c>
      <c r="J3734" s="56" t="s">
        <v>229</v>
      </c>
      <c r="K3734" s="57" t="s">
        <v>11987</v>
      </c>
      <c r="L3734" s="57" t="s">
        <v>11909</v>
      </c>
      <c r="M3734" s="3" t="s">
        <v>230</v>
      </c>
      <c r="N3734" s="6" t="s">
        <v>7652</v>
      </c>
      <c r="O3734" s="6" t="s">
        <v>365</v>
      </c>
      <c r="P3734" s="58" t="s">
        <v>401</v>
      </c>
      <c r="Q3734" s="320" t="s">
        <v>15225</v>
      </c>
      <c r="R3734" s="216">
        <v>141780</v>
      </c>
      <c r="S3734" s="59">
        <v>87.26</v>
      </c>
      <c r="T3734" s="4">
        <v>0</v>
      </c>
      <c r="U3734" s="4">
        <f t="shared" si="174"/>
        <v>0</v>
      </c>
      <c r="V3734" s="1"/>
      <c r="W3734" s="121">
        <v>2014</v>
      </c>
      <c r="X3734" s="3" t="s">
        <v>14230</v>
      </c>
    </row>
    <row r="3735" spans="1:24" ht="114.75">
      <c r="A3735" s="3" t="s">
        <v>16683</v>
      </c>
      <c r="B3735" s="6" t="s">
        <v>361</v>
      </c>
      <c r="C3735" s="55" t="s">
        <v>7627</v>
      </c>
      <c r="D3735" s="55" t="s">
        <v>7628</v>
      </c>
      <c r="E3735" s="55" t="s">
        <v>7629</v>
      </c>
      <c r="F3735" s="76" t="s">
        <v>11998</v>
      </c>
      <c r="G3735" s="3" t="s">
        <v>11449</v>
      </c>
      <c r="H3735" s="178">
        <v>1</v>
      </c>
      <c r="I3735" s="55">
        <v>470000000</v>
      </c>
      <c r="J3735" s="56" t="s">
        <v>229</v>
      </c>
      <c r="K3735" s="57" t="s">
        <v>11987</v>
      </c>
      <c r="L3735" s="57" t="s">
        <v>11909</v>
      </c>
      <c r="M3735" s="3" t="s">
        <v>230</v>
      </c>
      <c r="N3735" s="6" t="s">
        <v>7652</v>
      </c>
      <c r="O3735" s="6" t="s">
        <v>365</v>
      </c>
      <c r="P3735" s="58" t="s">
        <v>401</v>
      </c>
      <c r="Q3735" s="320" t="s">
        <v>15225</v>
      </c>
      <c r="R3735" s="216">
        <v>141780</v>
      </c>
      <c r="S3735" s="59">
        <v>79.47</v>
      </c>
      <c r="T3735" s="4">
        <f>R3735*S3735</f>
        <v>11267256.6</v>
      </c>
      <c r="U3735" s="4">
        <f t="shared" si="174"/>
        <v>12619327.392000001</v>
      </c>
      <c r="V3735" s="1"/>
      <c r="W3735" s="121">
        <v>2014</v>
      </c>
      <c r="X3735" s="3"/>
    </row>
    <row r="3736" spans="1:24" ht="114.75">
      <c r="A3736" s="3" t="s">
        <v>1786</v>
      </c>
      <c r="B3736" s="6" t="s">
        <v>361</v>
      </c>
      <c r="C3736" s="55" t="s">
        <v>7630</v>
      </c>
      <c r="D3736" s="55" t="s">
        <v>7628</v>
      </c>
      <c r="E3736" s="55" t="s">
        <v>7631</v>
      </c>
      <c r="F3736" s="53" t="s">
        <v>7522</v>
      </c>
      <c r="G3736" s="3" t="s">
        <v>11449</v>
      </c>
      <c r="H3736" s="178">
        <v>1</v>
      </c>
      <c r="I3736" s="55">
        <v>470000000</v>
      </c>
      <c r="J3736" s="56" t="s">
        <v>229</v>
      </c>
      <c r="K3736" s="57" t="s">
        <v>641</v>
      </c>
      <c r="L3736" s="57" t="s">
        <v>364</v>
      </c>
      <c r="M3736" s="3" t="s">
        <v>230</v>
      </c>
      <c r="N3736" s="6" t="s">
        <v>7652</v>
      </c>
      <c r="O3736" s="6" t="s">
        <v>365</v>
      </c>
      <c r="P3736" s="58" t="s">
        <v>401</v>
      </c>
      <c r="Q3736" s="320" t="s">
        <v>15225</v>
      </c>
      <c r="R3736" s="215">
        <v>109650</v>
      </c>
      <c r="S3736" s="59">
        <v>105.67</v>
      </c>
      <c r="T3736" s="4">
        <v>0</v>
      </c>
      <c r="U3736" s="4">
        <f t="shared" si="174"/>
        <v>0</v>
      </c>
      <c r="V3736" s="1"/>
      <c r="W3736" s="121">
        <v>2014</v>
      </c>
      <c r="X3736" s="3" t="s">
        <v>11914</v>
      </c>
    </row>
    <row r="3737" spans="1:24" ht="114.75">
      <c r="A3737" s="3" t="s">
        <v>11913</v>
      </c>
      <c r="B3737" s="6" t="s">
        <v>361</v>
      </c>
      <c r="C3737" s="55" t="s">
        <v>7630</v>
      </c>
      <c r="D3737" s="55" t="s">
        <v>7628</v>
      </c>
      <c r="E3737" s="55" t="s">
        <v>7631</v>
      </c>
      <c r="F3737" s="53" t="s">
        <v>12007</v>
      </c>
      <c r="G3737" s="3" t="s">
        <v>605</v>
      </c>
      <c r="H3737" s="178">
        <v>1</v>
      </c>
      <c r="I3737" s="55">
        <v>470000000</v>
      </c>
      <c r="J3737" s="56" t="s">
        <v>229</v>
      </c>
      <c r="K3737" s="57" t="s">
        <v>641</v>
      </c>
      <c r="L3737" s="6" t="s">
        <v>11992</v>
      </c>
      <c r="M3737" s="3" t="s">
        <v>230</v>
      </c>
      <c r="N3737" s="6" t="s">
        <v>7652</v>
      </c>
      <c r="O3737" s="6" t="s">
        <v>365</v>
      </c>
      <c r="P3737" s="58" t="s">
        <v>401</v>
      </c>
      <c r="Q3737" s="320" t="s">
        <v>15225</v>
      </c>
      <c r="R3737" s="215">
        <v>52420</v>
      </c>
      <c r="S3737" s="59">
        <v>105.67</v>
      </c>
      <c r="T3737" s="4">
        <v>0</v>
      </c>
      <c r="U3737" s="4">
        <f t="shared" si="174"/>
        <v>0</v>
      </c>
      <c r="V3737" s="1"/>
      <c r="W3737" s="121">
        <v>2014</v>
      </c>
      <c r="X3737" s="3" t="s">
        <v>12062</v>
      </c>
    </row>
    <row r="3738" spans="1:24" ht="114.75">
      <c r="A3738" s="3" t="s">
        <v>12478</v>
      </c>
      <c r="B3738" s="6" t="s">
        <v>361</v>
      </c>
      <c r="C3738" s="55" t="s">
        <v>7630</v>
      </c>
      <c r="D3738" s="55" t="s">
        <v>7628</v>
      </c>
      <c r="E3738" s="55" t="s">
        <v>7631</v>
      </c>
      <c r="F3738" s="53" t="s">
        <v>12007</v>
      </c>
      <c r="G3738" s="3" t="s">
        <v>605</v>
      </c>
      <c r="H3738" s="178">
        <v>1</v>
      </c>
      <c r="I3738" s="55">
        <v>470000000</v>
      </c>
      <c r="J3738" s="56" t="s">
        <v>229</v>
      </c>
      <c r="K3738" s="57" t="s">
        <v>641</v>
      </c>
      <c r="L3738" s="6" t="s">
        <v>11992</v>
      </c>
      <c r="M3738" s="3" t="s">
        <v>230</v>
      </c>
      <c r="N3738" s="6" t="s">
        <v>7652</v>
      </c>
      <c r="O3738" s="6" t="s">
        <v>365</v>
      </c>
      <c r="P3738" s="58" t="s">
        <v>401</v>
      </c>
      <c r="Q3738" s="320" t="s">
        <v>15225</v>
      </c>
      <c r="R3738" s="215">
        <v>55200</v>
      </c>
      <c r="S3738" s="59">
        <v>105.67</v>
      </c>
      <c r="T3738" s="4">
        <f>R3738*S3738</f>
        <v>5832984</v>
      </c>
      <c r="U3738" s="4">
        <f t="shared" si="174"/>
        <v>6532942.080000001</v>
      </c>
      <c r="V3738" s="1"/>
      <c r="W3738" s="121">
        <v>2014</v>
      </c>
      <c r="X3738" s="3"/>
    </row>
    <row r="3739" spans="1:24" ht="114.75">
      <c r="A3739" s="3" t="s">
        <v>1787</v>
      </c>
      <c r="B3739" s="6" t="s">
        <v>361</v>
      </c>
      <c r="C3739" s="55" t="s">
        <v>7627</v>
      </c>
      <c r="D3739" s="55" t="s">
        <v>7628</v>
      </c>
      <c r="E3739" s="55" t="s">
        <v>7629</v>
      </c>
      <c r="F3739" s="53" t="s">
        <v>7521</v>
      </c>
      <c r="G3739" s="3" t="s">
        <v>11449</v>
      </c>
      <c r="H3739" s="178">
        <v>1</v>
      </c>
      <c r="I3739" s="55">
        <v>470000000</v>
      </c>
      <c r="J3739" s="56" t="s">
        <v>229</v>
      </c>
      <c r="K3739" s="57" t="s">
        <v>641</v>
      </c>
      <c r="L3739" s="57" t="s">
        <v>364</v>
      </c>
      <c r="M3739" s="3" t="s">
        <v>230</v>
      </c>
      <c r="N3739" s="6" t="s">
        <v>7652</v>
      </c>
      <c r="O3739" s="6" t="s">
        <v>365</v>
      </c>
      <c r="P3739" s="58" t="s">
        <v>401</v>
      </c>
      <c r="Q3739" s="320" t="s">
        <v>15225</v>
      </c>
      <c r="R3739" s="20">
        <v>31660</v>
      </c>
      <c r="S3739" s="59">
        <v>87</v>
      </c>
      <c r="T3739" s="4">
        <v>0</v>
      </c>
      <c r="U3739" s="4">
        <f t="shared" si="174"/>
        <v>0</v>
      </c>
      <c r="V3739" s="1"/>
      <c r="W3739" s="121">
        <v>2014</v>
      </c>
      <c r="X3739" s="3" t="s">
        <v>11914</v>
      </c>
    </row>
    <row r="3740" spans="1:24" ht="114.75">
      <c r="A3740" s="3" t="s">
        <v>11912</v>
      </c>
      <c r="B3740" s="6" t="s">
        <v>361</v>
      </c>
      <c r="C3740" s="55" t="s">
        <v>7627</v>
      </c>
      <c r="D3740" s="55" t="s">
        <v>7628</v>
      </c>
      <c r="E3740" s="55" t="s">
        <v>7629</v>
      </c>
      <c r="F3740" s="53" t="s">
        <v>12004</v>
      </c>
      <c r="G3740" s="3" t="s">
        <v>605</v>
      </c>
      <c r="H3740" s="178">
        <v>1</v>
      </c>
      <c r="I3740" s="55">
        <v>470000000</v>
      </c>
      <c r="J3740" s="56" t="s">
        <v>229</v>
      </c>
      <c r="K3740" s="57" t="s">
        <v>641</v>
      </c>
      <c r="L3740" s="57" t="s">
        <v>11909</v>
      </c>
      <c r="M3740" s="3" t="s">
        <v>230</v>
      </c>
      <c r="N3740" s="6" t="s">
        <v>7652</v>
      </c>
      <c r="O3740" s="6" t="s">
        <v>365</v>
      </c>
      <c r="P3740" s="58" t="s">
        <v>401</v>
      </c>
      <c r="Q3740" s="320" t="s">
        <v>15225</v>
      </c>
      <c r="R3740" s="20">
        <v>294654</v>
      </c>
      <c r="S3740" s="59">
        <v>87</v>
      </c>
      <c r="T3740" s="4">
        <v>0</v>
      </c>
      <c r="U3740" s="4">
        <f t="shared" si="174"/>
        <v>0</v>
      </c>
      <c r="V3740" s="1"/>
      <c r="W3740" s="121">
        <v>2014</v>
      </c>
      <c r="X3740" s="3" t="s">
        <v>12062</v>
      </c>
    </row>
    <row r="3741" spans="1:24" ht="114.75">
      <c r="A3741" s="3" t="s">
        <v>12477</v>
      </c>
      <c r="B3741" s="6" t="s">
        <v>361</v>
      </c>
      <c r="C3741" s="55" t="s">
        <v>7627</v>
      </c>
      <c r="D3741" s="55" t="s">
        <v>7628</v>
      </c>
      <c r="E3741" s="55" t="s">
        <v>7629</v>
      </c>
      <c r="F3741" s="53" t="s">
        <v>12004</v>
      </c>
      <c r="G3741" s="3" t="s">
        <v>605</v>
      </c>
      <c r="H3741" s="178">
        <v>1</v>
      </c>
      <c r="I3741" s="55">
        <v>470000000</v>
      </c>
      <c r="J3741" s="56" t="s">
        <v>229</v>
      </c>
      <c r="K3741" s="57" t="s">
        <v>641</v>
      </c>
      <c r="L3741" s="57" t="s">
        <v>11909</v>
      </c>
      <c r="M3741" s="3" t="s">
        <v>230</v>
      </c>
      <c r="N3741" s="6" t="s">
        <v>7652</v>
      </c>
      <c r="O3741" s="6" t="s">
        <v>365</v>
      </c>
      <c r="P3741" s="58" t="s">
        <v>401</v>
      </c>
      <c r="Q3741" s="320" t="s">
        <v>15225</v>
      </c>
      <c r="R3741" s="20">
        <v>31660</v>
      </c>
      <c r="S3741" s="59">
        <v>87</v>
      </c>
      <c r="T3741" s="4">
        <f>R3741*S3741</f>
        <v>2754420</v>
      </c>
      <c r="U3741" s="4">
        <f t="shared" si="174"/>
        <v>3084950.4000000004</v>
      </c>
      <c r="V3741" s="1"/>
      <c r="W3741" s="121">
        <v>2014</v>
      </c>
      <c r="X3741" s="3"/>
    </row>
    <row r="3742" spans="1:24" ht="114.75">
      <c r="A3742" s="3" t="s">
        <v>1788</v>
      </c>
      <c r="B3742" s="6" t="s">
        <v>361</v>
      </c>
      <c r="C3742" s="55" t="s">
        <v>7630</v>
      </c>
      <c r="D3742" s="55" t="s">
        <v>7628</v>
      </c>
      <c r="E3742" s="55" t="s">
        <v>7631</v>
      </c>
      <c r="F3742" s="53" t="s">
        <v>7522</v>
      </c>
      <c r="G3742" s="3" t="s">
        <v>11449</v>
      </c>
      <c r="H3742" s="178">
        <v>1</v>
      </c>
      <c r="I3742" s="55">
        <v>470000000</v>
      </c>
      <c r="J3742" s="56" t="s">
        <v>229</v>
      </c>
      <c r="K3742" s="57" t="s">
        <v>641</v>
      </c>
      <c r="L3742" s="57" t="s">
        <v>364</v>
      </c>
      <c r="M3742" s="3" t="s">
        <v>230</v>
      </c>
      <c r="N3742" s="6" t="s">
        <v>7652</v>
      </c>
      <c r="O3742" s="6" t="s">
        <v>365</v>
      </c>
      <c r="P3742" s="58" t="s">
        <v>401</v>
      </c>
      <c r="Q3742" s="320" t="s">
        <v>15225</v>
      </c>
      <c r="R3742" s="20">
        <v>112570</v>
      </c>
      <c r="S3742" s="59">
        <v>105</v>
      </c>
      <c r="T3742" s="4">
        <v>0</v>
      </c>
      <c r="U3742" s="4">
        <f t="shared" si="174"/>
        <v>0</v>
      </c>
      <c r="V3742" s="1"/>
      <c r="W3742" s="121">
        <v>2014</v>
      </c>
      <c r="X3742" s="3">
        <v>7.12</v>
      </c>
    </row>
    <row r="3743" spans="1:24" ht="114.75">
      <c r="A3743" s="3" t="s">
        <v>11911</v>
      </c>
      <c r="B3743" s="6" t="s">
        <v>361</v>
      </c>
      <c r="C3743" s="55" t="s">
        <v>7630</v>
      </c>
      <c r="D3743" s="55" t="s">
        <v>7628</v>
      </c>
      <c r="E3743" s="55" t="s">
        <v>7631</v>
      </c>
      <c r="F3743" s="53" t="s">
        <v>12007</v>
      </c>
      <c r="G3743" s="3" t="s">
        <v>605</v>
      </c>
      <c r="H3743" s="178">
        <v>1</v>
      </c>
      <c r="I3743" s="55">
        <v>470000000</v>
      </c>
      <c r="J3743" s="56" t="s">
        <v>229</v>
      </c>
      <c r="K3743" s="57" t="s">
        <v>641</v>
      </c>
      <c r="L3743" s="57" t="s">
        <v>11909</v>
      </c>
      <c r="M3743" s="3" t="s">
        <v>230</v>
      </c>
      <c r="N3743" s="6" t="s">
        <v>7652</v>
      </c>
      <c r="O3743" s="6" t="s">
        <v>365</v>
      </c>
      <c r="P3743" s="58" t="s">
        <v>401</v>
      </c>
      <c r="Q3743" s="320" t="s">
        <v>15225</v>
      </c>
      <c r="R3743" s="20">
        <v>112570</v>
      </c>
      <c r="S3743" s="59">
        <v>105</v>
      </c>
      <c r="T3743" s="4">
        <f>R3743*S3743</f>
        <v>11819850</v>
      </c>
      <c r="U3743" s="4">
        <f t="shared" si="174"/>
        <v>13238232.000000002</v>
      </c>
      <c r="V3743" s="1"/>
      <c r="W3743" s="121">
        <v>2014</v>
      </c>
      <c r="X3743" s="3"/>
    </row>
    <row r="3744" spans="1:24" ht="114.75">
      <c r="A3744" s="3" t="s">
        <v>1789</v>
      </c>
      <c r="B3744" s="6" t="s">
        <v>361</v>
      </c>
      <c r="C3744" s="55" t="s">
        <v>7632</v>
      </c>
      <c r="D3744" s="55" t="s">
        <v>7628</v>
      </c>
      <c r="E3744" s="55" t="s">
        <v>7633</v>
      </c>
      <c r="F3744" s="53" t="s">
        <v>7523</v>
      </c>
      <c r="G3744" s="3" t="s">
        <v>11449</v>
      </c>
      <c r="H3744" s="178">
        <v>1</v>
      </c>
      <c r="I3744" s="55">
        <v>470000000</v>
      </c>
      <c r="J3744" s="56" t="s">
        <v>229</v>
      </c>
      <c r="K3744" s="57" t="s">
        <v>641</v>
      </c>
      <c r="L3744" s="57" t="s">
        <v>364</v>
      </c>
      <c r="M3744" s="3" t="s">
        <v>230</v>
      </c>
      <c r="N3744" s="6" t="s">
        <v>7652</v>
      </c>
      <c r="O3744" s="6" t="s">
        <v>365</v>
      </c>
      <c r="P3744" s="58" t="s">
        <v>401</v>
      </c>
      <c r="Q3744" s="320" t="s">
        <v>15225</v>
      </c>
      <c r="R3744" s="20">
        <v>36060</v>
      </c>
      <c r="S3744" s="59">
        <v>135</v>
      </c>
      <c r="T3744" s="4">
        <v>0</v>
      </c>
      <c r="U3744" s="4">
        <f t="shared" si="174"/>
        <v>0</v>
      </c>
      <c r="V3744" s="1"/>
      <c r="W3744" s="121">
        <v>2014</v>
      </c>
      <c r="X3744" s="3">
        <v>7.12</v>
      </c>
    </row>
    <row r="3745" spans="1:24" ht="114.75">
      <c r="A3745" s="3" t="s">
        <v>11908</v>
      </c>
      <c r="B3745" s="6" t="s">
        <v>361</v>
      </c>
      <c r="C3745" s="55" t="s">
        <v>7632</v>
      </c>
      <c r="D3745" s="55" t="s">
        <v>7628</v>
      </c>
      <c r="E3745" s="55" t="s">
        <v>7633</v>
      </c>
      <c r="F3745" s="53" t="s">
        <v>12008</v>
      </c>
      <c r="G3745" s="3" t="s">
        <v>605</v>
      </c>
      <c r="H3745" s="178">
        <v>1</v>
      </c>
      <c r="I3745" s="55">
        <v>470000000</v>
      </c>
      <c r="J3745" s="56" t="s">
        <v>229</v>
      </c>
      <c r="K3745" s="57" t="s">
        <v>641</v>
      </c>
      <c r="L3745" s="57" t="s">
        <v>11909</v>
      </c>
      <c r="M3745" s="3" t="s">
        <v>230</v>
      </c>
      <c r="N3745" s="6" t="s">
        <v>7652</v>
      </c>
      <c r="O3745" s="6" t="s">
        <v>365</v>
      </c>
      <c r="P3745" s="58" t="s">
        <v>401</v>
      </c>
      <c r="Q3745" s="320" t="s">
        <v>15225</v>
      </c>
      <c r="R3745" s="20">
        <v>36060</v>
      </c>
      <c r="S3745" s="59">
        <v>135</v>
      </c>
      <c r="T3745" s="4">
        <f>R3745*S3745</f>
        <v>4868100</v>
      </c>
      <c r="U3745" s="4">
        <f t="shared" si="174"/>
        <v>5452272.0000000009</v>
      </c>
      <c r="V3745" s="1"/>
      <c r="W3745" s="121">
        <v>2014</v>
      </c>
      <c r="X3745" s="3"/>
    </row>
    <row r="3746" spans="1:24" ht="102">
      <c r="A3746" s="3" t="s">
        <v>1790</v>
      </c>
      <c r="B3746" s="6" t="s">
        <v>361</v>
      </c>
      <c r="C3746" s="55" t="s">
        <v>618</v>
      </c>
      <c r="D3746" s="55" t="s">
        <v>619</v>
      </c>
      <c r="E3746" s="55" t="s">
        <v>620</v>
      </c>
      <c r="F3746" s="6" t="s">
        <v>11441</v>
      </c>
      <c r="G3746" s="3" t="s">
        <v>11450</v>
      </c>
      <c r="H3746" s="54">
        <v>0.6</v>
      </c>
      <c r="I3746" s="16">
        <v>470000000</v>
      </c>
      <c r="J3746" s="16" t="s">
        <v>229</v>
      </c>
      <c r="K3746" s="6" t="s">
        <v>8901</v>
      </c>
      <c r="L3746" s="16" t="s">
        <v>621</v>
      </c>
      <c r="M3746" s="162" t="s">
        <v>230</v>
      </c>
      <c r="N3746" s="62" t="s">
        <v>8905</v>
      </c>
      <c r="O3746" s="6" t="s">
        <v>8906</v>
      </c>
      <c r="P3746" s="58" t="s">
        <v>243</v>
      </c>
      <c r="Q3746" s="52" t="s">
        <v>244</v>
      </c>
      <c r="R3746" s="18">
        <v>31248</v>
      </c>
      <c r="S3746" s="1">
        <v>90.05</v>
      </c>
      <c r="T3746" s="4">
        <v>0</v>
      </c>
      <c r="U3746" s="4">
        <f t="shared" si="174"/>
        <v>0</v>
      </c>
      <c r="V3746" s="1"/>
      <c r="W3746" s="3">
        <v>2014</v>
      </c>
      <c r="X3746" s="3">
        <v>11</v>
      </c>
    </row>
    <row r="3747" spans="1:24" ht="102">
      <c r="A3747" s="3" t="s">
        <v>11835</v>
      </c>
      <c r="B3747" s="6" t="s">
        <v>361</v>
      </c>
      <c r="C3747" s="55" t="s">
        <v>618</v>
      </c>
      <c r="D3747" s="55" t="s">
        <v>619</v>
      </c>
      <c r="E3747" s="55" t="s">
        <v>620</v>
      </c>
      <c r="F3747" s="6" t="s">
        <v>11441</v>
      </c>
      <c r="G3747" s="3" t="s">
        <v>11450</v>
      </c>
      <c r="H3747" s="54">
        <v>0.6</v>
      </c>
      <c r="I3747" s="16">
        <v>470000000</v>
      </c>
      <c r="J3747" s="16" t="s">
        <v>229</v>
      </c>
      <c r="K3747" s="6" t="s">
        <v>11741</v>
      </c>
      <c r="L3747" s="16" t="s">
        <v>621</v>
      </c>
      <c r="M3747" s="162" t="s">
        <v>230</v>
      </c>
      <c r="N3747" s="62" t="s">
        <v>8905</v>
      </c>
      <c r="O3747" s="6" t="s">
        <v>8906</v>
      </c>
      <c r="P3747" s="58" t="s">
        <v>243</v>
      </c>
      <c r="Q3747" s="52" t="s">
        <v>244</v>
      </c>
      <c r="R3747" s="18">
        <v>31248</v>
      </c>
      <c r="S3747" s="1">
        <v>90.05</v>
      </c>
      <c r="T3747" s="4">
        <v>0</v>
      </c>
      <c r="U3747" s="4">
        <f t="shared" si="174"/>
        <v>0</v>
      </c>
      <c r="V3747" s="1"/>
      <c r="W3747" s="3">
        <v>2014</v>
      </c>
      <c r="X3747" s="3" t="s">
        <v>12051</v>
      </c>
    </row>
    <row r="3748" spans="1:24" ht="102">
      <c r="A3748" s="3" t="s">
        <v>14282</v>
      </c>
      <c r="B3748" s="6" t="s">
        <v>361</v>
      </c>
      <c r="C3748" s="55" t="s">
        <v>618</v>
      </c>
      <c r="D3748" s="55" t="s">
        <v>619</v>
      </c>
      <c r="E3748" s="55" t="s">
        <v>620</v>
      </c>
      <c r="F3748" s="6" t="s">
        <v>11441</v>
      </c>
      <c r="G3748" s="3" t="s">
        <v>11450</v>
      </c>
      <c r="H3748" s="54">
        <v>0.6</v>
      </c>
      <c r="I3748" s="16">
        <v>470000000</v>
      </c>
      <c r="J3748" s="16" t="s">
        <v>229</v>
      </c>
      <c r="K3748" s="6" t="s">
        <v>642</v>
      </c>
      <c r="L3748" s="16" t="s">
        <v>621</v>
      </c>
      <c r="M3748" s="162" t="s">
        <v>230</v>
      </c>
      <c r="N3748" s="62" t="s">
        <v>8905</v>
      </c>
      <c r="O3748" s="6" t="s">
        <v>8906</v>
      </c>
      <c r="P3748" s="58" t="s">
        <v>243</v>
      </c>
      <c r="Q3748" s="52" t="s">
        <v>244</v>
      </c>
      <c r="R3748" s="18">
        <v>26697.176470499999</v>
      </c>
      <c r="S3748" s="1">
        <v>105.4</v>
      </c>
      <c r="T3748" s="4">
        <v>0</v>
      </c>
      <c r="U3748" s="4">
        <f t="shared" si="174"/>
        <v>0</v>
      </c>
      <c r="V3748" s="1"/>
      <c r="W3748" s="3">
        <v>2014</v>
      </c>
      <c r="X3748" s="3" t="s">
        <v>12062</v>
      </c>
    </row>
    <row r="3749" spans="1:24" ht="102">
      <c r="A3749" s="3" t="s">
        <v>16419</v>
      </c>
      <c r="B3749" s="6" t="s">
        <v>361</v>
      </c>
      <c r="C3749" s="55" t="s">
        <v>618</v>
      </c>
      <c r="D3749" s="55" t="s">
        <v>619</v>
      </c>
      <c r="E3749" s="55" t="s">
        <v>620</v>
      </c>
      <c r="F3749" s="6" t="s">
        <v>11441</v>
      </c>
      <c r="G3749" s="3" t="s">
        <v>11450</v>
      </c>
      <c r="H3749" s="54">
        <v>0.6</v>
      </c>
      <c r="I3749" s="16">
        <v>470000000</v>
      </c>
      <c r="J3749" s="16" t="s">
        <v>229</v>
      </c>
      <c r="K3749" s="6" t="s">
        <v>642</v>
      </c>
      <c r="L3749" s="16" t="s">
        <v>621</v>
      </c>
      <c r="M3749" s="162" t="s">
        <v>230</v>
      </c>
      <c r="N3749" s="62" t="s">
        <v>8905</v>
      </c>
      <c r="O3749" s="6" t="s">
        <v>8906</v>
      </c>
      <c r="P3749" s="58" t="s">
        <v>243</v>
      </c>
      <c r="Q3749" s="52" t="s">
        <v>244</v>
      </c>
      <c r="R3749" s="18">
        <v>31248</v>
      </c>
      <c r="S3749" s="1">
        <v>105.4</v>
      </c>
      <c r="T3749" s="4">
        <v>0</v>
      </c>
      <c r="U3749" s="4">
        <f>T3749*1.12</f>
        <v>0</v>
      </c>
      <c r="V3749" s="1"/>
      <c r="W3749" s="3">
        <v>2014</v>
      </c>
      <c r="X3749" s="3" t="s">
        <v>14132</v>
      </c>
    </row>
    <row r="3750" spans="1:24" ht="102">
      <c r="A3750" s="3" t="s">
        <v>19092</v>
      </c>
      <c r="B3750" s="6" t="s">
        <v>361</v>
      </c>
      <c r="C3750" s="55" t="s">
        <v>618</v>
      </c>
      <c r="D3750" s="55" t="s">
        <v>619</v>
      </c>
      <c r="E3750" s="55" t="s">
        <v>620</v>
      </c>
      <c r="F3750" s="6" t="s">
        <v>11441</v>
      </c>
      <c r="G3750" s="3" t="s">
        <v>11450</v>
      </c>
      <c r="H3750" s="54">
        <v>0.6</v>
      </c>
      <c r="I3750" s="16">
        <v>470000000</v>
      </c>
      <c r="J3750" s="16" t="s">
        <v>229</v>
      </c>
      <c r="K3750" s="6" t="s">
        <v>642</v>
      </c>
      <c r="L3750" s="16" t="s">
        <v>621</v>
      </c>
      <c r="M3750" s="162" t="s">
        <v>230</v>
      </c>
      <c r="N3750" s="62" t="s">
        <v>8905</v>
      </c>
      <c r="O3750" s="6" t="s">
        <v>8906</v>
      </c>
      <c r="P3750" s="58" t="s">
        <v>243</v>
      </c>
      <c r="Q3750" s="52" t="s">
        <v>244</v>
      </c>
      <c r="R3750" s="18">
        <v>26061.08</v>
      </c>
      <c r="S3750" s="1">
        <v>110.45</v>
      </c>
      <c r="T3750" s="4">
        <f>R3750*S3750</f>
        <v>2878446.2860000003</v>
      </c>
      <c r="U3750" s="4">
        <f>T3750*1.12</f>
        <v>3223859.8403200004</v>
      </c>
      <c r="V3750" s="1"/>
      <c r="W3750" s="3">
        <v>2014</v>
      </c>
      <c r="X3750" s="3"/>
    </row>
    <row r="3751" spans="1:24" ht="102">
      <c r="A3751" s="3" t="s">
        <v>1791</v>
      </c>
      <c r="B3751" s="6" t="s">
        <v>361</v>
      </c>
      <c r="C3751" s="55" t="s">
        <v>623</v>
      </c>
      <c r="D3751" s="55" t="s">
        <v>624</v>
      </c>
      <c r="E3751" s="55" t="s">
        <v>625</v>
      </c>
      <c r="F3751" s="6" t="s">
        <v>626</v>
      </c>
      <c r="G3751" s="3" t="s">
        <v>11450</v>
      </c>
      <c r="H3751" s="54">
        <v>0.6</v>
      </c>
      <c r="I3751" s="16">
        <v>470000000</v>
      </c>
      <c r="J3751" s="16" t="s">
        <v>229</v>
      </c>
      <c r="K3751" s="6" t="s">
        <v>8907</v>
      </c>
      <c r="L3751" s="16" t="s">
        <v>621</v>
      </c>
      <c r="M3751" s="162" t="s">
        <v>230</v>
      </c>
      <c r="N3751" s="62" t="s">
        <v>8905</v>
      </c>
      <c r="O3751" s="6" t="s">
        <v>8906</v>
      </c>
      <c r="P3751" s="79">
        <v>113</v>
      </c>
      <c r="Q3751" s="70" t="s">
        <v>627</v>
      </c>
      <c r="R3751" s="18">
        <v>540</v>
      </c>
      <c r="S3751" s="1">
        <v>2400</v>
      </c>
      <c r="T3751" s="4">
        <v>0</v>
      </c>
      <c r="U3751" s="4">
        <f t="shared" si="174"/>
        <v>0</v>
      </c>
      <c r="V3751" s="1"/>
      <c r="W3751" s="3">
        <v>2014</v>
      </c>
      <c r="X3751" s="3" t="s">
        <v>12051</v>
      </c>
    </row>
    <row r="3752" spans="1:24" ht="102">
      <c r="A3752" s="3" t="s">
        <v>14283</v>
      </c>
      <c r="B3752" s="6" t="s">
        <v>361</v>
      </c>
      <c r="C3752" s="55" t="s">
        <v>623</v>
      </c>
      <c r="D3752" s="55" t="s">
        <v>624</v>
      </c>
      <c r="E3752" s="55" t="s">
        <v>625</v>
      </c>
      <c r="F3752" s="6" t="s">
        <v>626</v>
      </c>
      <c r="G3752" s="3" t="s">
        <v>11450</v>
      </c>
      <c r="H3752" s="54">
        <v>0.6</v>
      </c>
      <c r="I3752" s="16">
        <v>470000000</v>
      </c>
      <c r="J3752" s="16" t="s">
        <v>229</v>
      </c>
      <c r="K3752" s="6" t="s">
        <v>642</v>
      </c>
      <c r="L3752" s="16" t="s">
        <v>621</v>
      </c>
      <c r="M3752" s="162" t="s">
        <v>230</v>
      </c>
      <c r="N3752" s="62" t="s">
        <v>8905</v>
      </c>
      <c r="O3752" s="6" t="s">
        <v>8906</v>
      </c>
      <c r="P3752" s="79">
        <v>113</v>
      </c>
      <c r="Q3752" s="70" t="s">
        <v>627</v>
      </c>
      <c r="R3752" s="18">
        <v>403.1995</v>
      </c>
      <c r="S3752" s="1">
        <v>3214.29</v>
      </c>
      <c r="T3752" s="4">
        <v>0</v>
      </c>
      <c r="U3752" s="4">
        <f t="shared" si="174"/>
        <v>0</v>
      </c>
      <c r="V3752" s="1"/>
      <c r="W3752" s="3">
        <v>2014</v>
      </c>
      <c r="X3752" s="3" t="s">
        <v>12062</v>
      </c>
    </row>
    <row r="3753" spans="1:24" ht="102">
      <c r="A3753" s="3" t="s">
        <v>16420</v>
      </c>
      <c r="B3753" s="6" t="s">
        <v>361</v>
      </c>
      <c r="C3753" s="55" t="s">
        <v>623</v>
      </c>
      <c r="D3753" s="55" t="s">
        <v>624</v>
      </c>
      <c r="E3753" s="55" t="s">
        <v>625</v>
      </c>
      <c r="F3753" s="6" t="s">
        <v>626</v>
      </c>
      <c r="G3753" s="3" t="s">
        <v>11450</v>
      </c>
      <c r="H3753" s="54">
        <v>0.6</v>
      </c>
      <c r="I3753" s="16">
        <v>470000000</v>
      </c>
      <c r="J3753" s="16" t="s">
        <v>229</v>
      </c>
      <c r="K3753" s="6" t="s">
        <v>642</v>
      </c>
      <c r="L3753" s="16" t="s">
        <v>621</v>
      </c>
      <c r="M3753" s="162" t="s">
        <v>230</v>
      </c>
      <c r="N3753" s="62" t="s">
        <v>8905</v>
      </c>
      <c r="O3753" s="6" t="s">
        <v>8906</v>
      </c>
      <c r="P3753" s="79">
        <v>113</v>
      </c>
      <c r="Q3753" s="70" t="s">
        <v>627</v>
      </c>
      <c r="R3753" s="18">
        <v>564.21569999999997</v>
      </c>
      <c r="S3753" s="1">
        <v>3214.29</v>
      </c>
      <c r="T3753" s="4">
        <f>R3753*S3753</f>
        <v>1813552.8823529999</v>
      </c>
      <c r="U3753" s="1">
        <f t="shared" si="174"/>
        <v>2031179.22823536</v>
      </c>
      <c r="V3753" s="1"/>
      <c r="W3753" s="3">
        <v>2014</v>
      </c>
      <c r="X3753" s="3"/>
    </row>
    <row r="3754" spans="1:24" ht="178.5">
      <c r="A3754" s="3" t="s">
        <v>1792</v>
      </c>
      <c r="B3754" s="6" t="s">
        <v>361</v>
      </c>
      <c r="C3754" s="55" t="s">
        <v>628</v>
      </c>
      <c r="D3754" s="55" t="s">
        <v>629</v>
      </c>
      <c r="E3754" s="55" t="s">
        <v>630</v>
      </c>
      <c r="F3754" s="6" t="s">
        <v>11442</v>
      </c>
      <c r="G3754" s="3" t="s">
        <v>605</v>
      </c>
      <c r="H3754" s="54">
        <v>0.6</v>
      </c>
      <c r="I3754" s="16">
        <v>470000000</v>
      </c>
      <c r="J3754" s="16" t="s">
        <v>229</v>
      </c>
      <c r="K3754" s="6" t="s">
        <v>8901</v>
      </c>
      <c r="L3754" s="6" t="s">
        <v>631</v>
      </c>
      <c r="M3754" s="162" t="s">
        <v>230</v>
      </c>
      <c r="N3754" s="62" t="s">
        <v>8905</v>
      </c>
      <c r="O3754" s="6" t="s">
        <v>8906</v>
      </c>
      <c r="P3754" s="3">
        <v>114</v>
      </c>
      <c r="Q3754" s="70" t="s">
        <v>632</v>
      </c>
      <c r="R3754" s="18">
        <v>355.67</v>
      </c>
      <c r="S3754" s="1">
        <v>7473.97</v>
      </c>
      <c r="T3754" s="4">
        <v>0</v>
      </c>
      <c r="U3754" s="4">
        <f t="shared" si="174"/>
        <v>0</v>
      </c>
      <c r="V3754" s="3"/>
      <c r="W3754" s="3">
        <v>2014</v>
      </c>
      <c r="X3754" s="3" t="s">
        <v>14230</v>
      </c>
    </row>
    <row r="3755" spans="1:24" ht="178.5">
      <c r="A3755" s="3" t="s">
        <v>16421</v>
      </c>
      <c r="B3755" s="6" t="s">
        <v>361</v>
      </c>
      <c r="C3755" s="55" t="s">
        <v>628</v>
      </c>
      <c r="D3755" s="55" t="s">
        <v>629</v>
      </c>
      <c r="E3755" s="55" t="s">
        <v>630</v>
      </c>
      <c r="F3755" s="6" t="s">
        <v>11442</v>
      </c>
      <c r="G3755" s="3" t="s">
        <v>605</v>
      </c>
      <c r="H3755" s="54">
        <v>0.6</v>
      </c>
      <c r="I3755" s="16">
        <v>470000000</v>
      </c>
      <c r="J3755" s="16" t="s">
        <v>229</v>
      </c>
      <c r="K3755" s="6" t="s">
        <v>8901</v>
      </c>
      <c r="L3755" s="6" t="s">
        <v>631</v>
      </c>
      <c r="M3755" s="162" t="s">
        <v>230</v>
      </c>
      <c r="N3755" s="62" t="s">
        <v>8905</v>
      </c>
      <c r="O3755" s="6" t="s">
        <v>8906</v>
      </c>
      <c r="P3755" s="3">
        <v>114</v>
      </c>
      <c r="Q3755" s="70" t="s">
        <v>632</v>
      </c>
      <c r="R3755" s="18">
        <v>355.66800000000001</v>
      </c>
      <c r="S3755" s="1">
        <v>7955.73</v>
      </c>
      <c r="T3755" s="4">
        <f>R3755*S3755</f>
        <v>2829598.5776399998</v>
      </c>
      <c r="U3755" s="1">
        <f t="shared" si="174"/>
        <v>3169150.4069568003</v>
      </c>
      <c r="V3755" s="3"/>
      <c r="W3755" s="3">
        <v>2014</v>
      </c>
      <c r="X3755" s="3"/>
    </row>
    <row r="3756" spans="1:24" ht="178.5">
      <c r="A3756" s="3" t="s">
        <v>1793</v>
      </c>
      <c r="B3756" s="6" t="s">
        <v>361</v>
      </c>
      <c r="C3756" s="55" t="s">
        <v>628</v>
      </c>
      <c r="D3756" s="55" t="s">
        <v>629</v>
      </c>
      <c r="E3756" s="55" t="s">
        <v>630</v>
      </c>
      <c r="F3756" s="6" t="s">
        <v>11443</v>
      </c>
      <c r="G3756" s="3" t="s">
        <v>605</v>
      </c>
      <c r="H3756" s="54">
        <v>0.6</v>
      </c>
      <c r="I3756" s="16">
        <v>470000000</v>
      </c>
      <c r="J3756" s="16" t="s">
        <v>229</v>
      </c>
      <c r="K3756" s="6" t="s">
        <v>403</v>
      </c>
      <c r="L3756" s="6" t="s">
        <v>634</v>
      </c>
      <c r="M3756" s="162" t="s">
        <v>230</v>
      </c>
      <c r="N3756" s="62" t="s">
        <v>8908</v>
      </c>
      <c r="O3756" s="6" t="s">
        <v>8906</v>
      </c>
      <c r="P3756" s="3">
        <v>114</v>
      </c>
      <c r="Q3756" s="70" t="s">
        <v>632</v>
      </c>
      <c r="R3756" s="18">
        <v>140</v>
      </c>
      <c r="S3756" s="1">
        <v>18000</v>
      </c>
      <c r="T3756" s="4">
        <v>0</v>
      </c>
      <c r="U3756" s="4">
        <f t="shared" si="174"/>
        <v>0</v>
      </c>
      <c r="V3756" s="3"/>
      <c r="W3756" s="3">
        <v>2014</v>
      </c>
      <c r="X3756" s="3" t="s">
        <v>14230</v>
      </c>
    </row>
    <row r="3757" spans="1:24" ht="178.5">
      <c r="A3757" s="3" t="s">
        <v>16418</v>
      </c>
      <c r="B3757" s="6" t="s">
        <v>361</v>
      </c>
      <c r="C3757" s="55" t="s">
        <v>628</v>
      </c>
      <c r="D3757" s="55" t="s">
        <v>629</v>
      </c>
      <c r="E3757" s="55" t="s">
        <v>630</v>
      </c>
      <c r="F3757" s="6" t="s">
        <v>11443</v>
      </c>
      <c r="G3757" s="3" t="s">
        <v>605</v>
      </c>
      <c r="H3757" s="54">
        <v>0.6</v>
      </c>
      <c r="I3757" s="16">
        <v>470000000</v>
      </c>
      <c r="J3757" s="16" t="s">
        <v>229</v>
      </c>
      <c r="K3757" s="6" t="s">
        <v>403</v>
      </c>
      <c r="L3757" s="6" t="s">
        <v>634</v>
      </c>
      <c r="M3757" s="162" t="s">
        <v>230</v>
      </c>
      <c r="N3757" s="62" t="s">
        <v>8908</v>
      </c>
      <c r="O3757" s="6" t="s">
        <v>8906</v>
      </c>
      <c r="P3757" s="3">
        <v>114</v>
      </c>
      <c r="Q3757" s="70" t="s">
        <v>632</v>
      </c>
      <c r="R3757" s="18">
        <v>140</v>
      </c>
      <c r="S3757" s="1">
        <v>21472.67</v>
      </c>
      <c r="T3757" s="4">
        <f>R3757*S3757</f>
        <v>3006173.8</v>
      </c>
      <c r="U3757" s="1">
        <f t="shared" si="174"/>
        <v>3366914.656</v>
      </c>
      <c r="V3757" s="3"/>
      <c r="W3757" s="3">
        <v>2014</v>
      </c>
      <c r="X3757" s="3"/>
    </row>
    <row r="3758" spans="1:24" ht="102">
      <c r="A3758" s="3" t="s">
        <v>1794</v>
      </c>
      <c r="B3758" s="6" t="s">
        <v>361</v>
      </c>
      <c r="C3758" s="55" t="s">
        <v>635</v>
      </c>
      <c r="D3758" s="55" t="s">
        <v>636</v>
      </c>
      <c r="E3758" s="55" t="s">
        <v>637</v>
      </c>
      <c r="F3758" s="16" t="s">
        <v>638</v>
      </c>
      <c r="G3758" s="3" t="s">
        <v>11449</v>
      </c>
      <c r="H3758" s="54">
        <v>0.6</v>
      </c>
      <c r="I3758" s="16">
        <v>470000000</v>
      </c>
      <c r="J3758" s="16" t="s">
        <v>229</v>
      </c>
      <c r="K3758" s="6" t="s">
        <v>8907</v>
      </c>
      <c r="L3758" s="16" t="s">
        <v>639</v>
      </c>
      <c r="M3758" s="162" t="s">
        <v>230</v>
      </c>
      <c r="N3758" s="62" t="s">
        <v>8905</v>
      </c>
      <c r="O3758" s="6" t="s">
        <v>8906</v>
      </c>
      <c r="P3758" s="79">
        <v>113</v>
      </c>
      <c r="Q3758" s="70" t="s">
        <v>627</v>
      </c>
      <c r="R3758" s="18">
        <v>70596</v>
      </c>
      <c r="S3758" s="1">
        <v>323.41662416999998</v>
      </c>
      <c r="T3758" s="4">
        <v>0</v>
      </c>
      <c r="U3758" s="4">
        <f t="shared" si="174"/>
        <v>0</v>
      </c>
      <c r="V3758" s="3"/>
      <c r="W3758" s="3">
        <v>2014</v>
      </c>
      <c r="X3758" s="3" t="s">
        <v>14230</v>
      </c>
    </row>
    <row r="3759" spans="1:24" ht="102">
      <c r="A3759" s="3" t="s">
        <v>16422</v>
      </c>
      <c r="B3759" s="6" t="s">
        <v>361</v>
      </c>
      <c r="C3759" s="55" t="s">
        <v>635</v>
      </c>
      <c r="D3759" s="55" t="s">
        <v>636</v>
      </c>
      <c r="E3759" s="55" t="s">
        <v>637</v>
      </c>
      <c r="F3759" s="16" t="s">
        <v>638</v>
      </c>
      <c r="G3759" s="3" t="s">
        <v>11449</v>
      </c>
      <c r="H3759" s="54">
        <v>0.6</v>
      </c>
      <c r="I3759" s="16">
        <v>470000000</v>
      </c>
      <c r="J3759" s="16" t="s">
        <v>229</v>
      </c>
      <c r="K3759" s="6" t="s">
        <v>8907</v>
      </c>
      <c r="L3759" s="16" t="s">
        <v>639</v>
      </c>
      <c r="M3759" s="162" t="s">
        <v>230</v>
      </c>
      <c r="N3759" s="62" t="s">
        <v>8905</v>
      </c>
      <c r="O3759" s="6" t="s">
        <v>8906</v>
      </c>
      <c r="P3759" s="79">
        <v>113</v>
      </c>
      <c r="Q3759" s="70" t="s">
        <v>627</v>
      </c>
      <c r="R3759" s="18">
        <v>70596</v>
      </c>
      <c r="S3759" s="1">
        <v>356.41662000000002</v>
      </c>
      <c r="T3759" s="4">
        <f>R3759*S3759</f>
        <v>25161587.70552</v>
      </c>
      <c r="U3759" s="1">
        <f t="shared" si="174"/>
        <v>28180978.230182402</v>
      </c>
      <c r="V3759" s="3"/>
      <c r="W3759" s="3">
        <v>2014</v>
      </c>
      <c r="X3759" s="3"/>
    </row>
    <row r="3760" spans="1:24" ht="102">
      <c r="A3760" s="3" t="s">
        <v>1795</v>
      </c>
      <c r="B3760" s="6" t="s">
        <v>361</v>
      </c>
      <c r="C3760" s="100" t="s">
        <v>5184</v>
      </c>
      <c r="D3760" s="100" t="s">
        <v>5185</v>
      </c>
      <c r="E3760" s="100" t="s">
        <v>5186</v>
      </c>
      <c r="F3760" s="57" t="s">
        <v>3111</v>
      </c>
      <c r="G3760" s="3" t="s">
        <v>11449</v>
      </c>
      <c r="H3760" s="54">
        <v>0</v>
      </c>
      <c r="I3760" s="16">
        <v>470000000</v>
      </c>
      <c r="J3760" s="16" t="s">
        <v>229</v>
      </c>
      <c r="K3760" s="57" t="s">
        <v>641</v>
      </c>
      <c r="L3760" s="57" t="s">
        <v>364</v>
      </c>
      <c r="M3760" s="162" t="s">
        <v>230</v>
      </c>
      <c r="N3760" s="8" t="s">
        <v>8898</v>
      </c>
      <c r="O3760" s="6" t="s">
        <v>622</v>
      </c>
      <c r="P3760" s="3">
        <v>796</v>
      </c>
      <c r="Q3760" s="31" t="s">
        <v>234</v>
      </c>
      <c r="R3760" s="27">
        <v>12</v>
      </c>
      <c r="S3760" s="59">
        <v>1340</v>
      </c>
      <c r="T3760" s="4">
        <f t="shared" ref="T3760:T3827" si="176">R3760*S3760</f>
        <v>16080</v>
      </c>
      <c r="U3760" s="4">
        <f t="shared" si="174"/>
        <v>18009.600000000002</v>
      </c>
      <c r="V3760" s="1"/>
      <c r="W3760" s="3">
        <v>2014</v>
      </c>
      <c r="X3760" s="3"/>
    </row>
    <row r="3761" spans="1:24" ht="102">
      <c r="A3761" s="3" t="s">
        <v>1796</v>
      </c>
      <c r="B3761" s="6" t="s">
        <v>361</v>
      </c>
      <c r="C3761" s="100" t="s">
        <v>5184</v>
      </c>
      <c r="D3761" s="100" t="s">
        <v>5185</v>
      </c>
      <c r="E3761" s="100" t="s">
        <v>5186</v>
      </c>
      <c r="F3761" s="57" t="s">
        <v>3112</v>
      </c>
      <c r="G3761" s="3" t="s">
        <v>11449</v>
      </c>
      <c r="H3761" s="54">
        <v>0</v>
      </c>
      <c r="I3761" s="16">
        <v>470000000</v>
      </c>
      <c r="J3761" s="16" t="s">
        <v>229</v>
      </c>
      <c r="K3761" s="57" t="s">
        <v>641</v>
      </c>
      <c r="L3761" s="57" t="s">
        <v>364</v>
      </c>
      <c r="M3761" s="162" t="s">
        <v>230</v>
      </c>
      <c r="N3761" s="8" t="s">
        <v>8898</v>
      </c>
      <c r="O3761" s="6" t="s">
        <v>622</v>
      </c>
      <c r="P3761" s="3">
        <v>796</v>
      </c>
      <c r="Q3761" s="31" t="s">
        <v>234</v>
      </c>
      <c r="R3761" s="27">
        <v>10</v>
      </c>
      <c r="S3761" s="59">
        <v>940</v>
      </c>
      <c r="T3761" s="4">
        <f t="shared" si="176"/>
        <v>9400</v>
      </c>
      <c r="U3761" s="4">
        <f t="shared" si="174"/>
        <v>10528.000000000002</v>
      </c>
      <c r="V3761" s="1"/>
      <c r="W3761" s="3">
        <v>2014</v>
      </c>
      <c r="X3761" s="3"/>
    </row>
    <row r="3762" spans="1:24" ht="102">
      <c r="A3762" s="3" t="s">
        <v>1797</v>
      </c>
      <c r="B3762" s="6" t="s">
        <v>361</v>
      </c>
      <c r="C3762" s="100" t="s">
        <v>5187</v>
      </c>
      <c r="D3762" s="100" t="s">
        <v>5185</v>
      </c>
      <c r="E3762" s="100" t="s">
        <v>5188</v>
      </c>
      <c r="F3762" s="57" t="s">
        <v>5189</v>
      </c>
      <c r="G3762" s="3" t="s">
        <v>11449</v>
      </c>
      <c r="H3762" s="54">
        <v>0</v>
      </c>
      <c r="I3762" s="16">
        <v>470000000</v>
      </c>
      <c r="J3762" s="16" t="s">
        <v>229</v>
      </c>
      <c r="K3762" s="57" t="s">
        <v>641</v>
      </c>
      <c r="L3762" s="57" t="s">
        <v>364</v>
      </c>
      <c r="M3762" s="162" t="s">
        <v>230</v>
      </c>
      <c r="N3762" s="8" t="s">
        <v>8898</v>
      </c>
      <c r="O3762" s="6" t="s">
        <v>622</v>
      </c>
      <c r="P3762" s="3">
        <v>796</v>
      </c>
      <c r="Q3762" s="31" t="s">
        <v>234</v>
      </c>
      <c r="R3762" s="31">
        <v>15</v>
      </c>
      <c r="S3762" s="59">
        <f>1600*1.07</f>
        <v>1712</v>
      </c>
      <c r="T3762" s="4">
        <f t="shared" si="176"/>
        <v>25680</v>
      </c>
      <c r="U3762" s="4">
        <f t="shared" si="174"/>
        <v>28761.600000000002</v>
      </c>
      <c r="V3762" s="1"/>
      <c r="W3762" s="3">
        <v>2014</v>
      </c>
      <c r="X3762" s="3"/>
    </row>
    <row r="3763" spans="1:24" ht="102">
      <c r="A3763" s="3" t="s">
        <v>1798</v>
      </c>
      <c r="B3763" s="6" t="s">
        <v>361</v>
      </c>
      <c r="C3763" s="100" t="s">
        <v>5190</v>
      </c>
      <c r="D3763" s="100" t="s">
        <v>5185</v>
      </c>
      <c r="E3763" s="100" t="s">
        <v>5191</v>
      </c>
      <c r="F3763" s="57" t="s">
        <v>5192</v>
      </c>
      <c r="G3763" s="3" t="s">
        <v>11449</v>
      </c>
      <c r="H3763" s="54">
        <v>0</v>
      </c>
      <c r="I3763" s="16">
        <v>470000000</v>
      </c>
      <c r="J3763" s="16" t="s">
        <v>229</v>
      </c>
      <c r="K3763" s="57" t="s">
        <v>641</v>
      </c>
      <c r="L3763" s="57" t="s">
        <v>364</v>
      </c>
      <c r="M3763" s="162" t="s">
        <v>230</v>
      </c>
      <c r="N3763" s="8" t="s">
        <v>8898</v>
      </c>
      <c r="O3763" s="6" t="s">
        <v>622</v>
      </c>
      <c r="P3763" s="3">
        <v>796</v>
      </c>
      <c r="Q3763" s="31" t="s">
        <v>234</v>
      </c>
      <c r="R3763" s="31">
        <v>30</v>
      </c>
      <c r="S3763" s="59">
        <f>100*1.07</f>
        <v>107</v>
      </c>
      <c r="T3763" s="4">
        <f t="shared" si="176"/>
        <v>3210</v>
      </c>
      <c r="U3763" s="4">
        <f t="shared" si="174"/>
        <v>3595.2000000000003</v>
      </c>
      <c r="V3763" s="1"/>
      <c r="W3763" s="3">
        <v>2014</v>
      </c>
      <c r="X3763" s="3"/>
    </row>
    <row r="3764" spans="1:24" ht="102">
      <c r="A3764" s="3" t="s">
        <v>1799</v>
      </c>
      <c r="B3764" s="6" t="s">
        <v>361</v>
      </c>
      <c r="C3764" s="100" t="s">
        <v>5190</v>
      </c>
      <c r="D3764" s="100" t="s">
        <v>5185</v>
      </c>
      <c r="E3764" s="100" t="s">
        <v>5191</v>
      </c>
      <c r="F3764" s="57" t="s">
        <v>5193</v>
      </c>
      <c r="G3764" s="3" t="s">
        <v>11449</v>
      </c>
      <c r="H3764" s="54">
        <v>0</v>
      </c>
      <c r="I3764" s="16">
        <v>470000000</v>
      </c>
      <c r="J3764" s="16" t="s">
        <v>229</v>
      </c>
      <c r="K3764" s="57" t="s">
        <v>641</v>
      </c>
      <c r="L3764" s="57" t="s">
        <v>364</v>
      </c>
      <c r="M3764" s="162" t="s">
        <v>230</v>
      </c>
      <c r="N3764" s="8" t="s">
        <v>8898</v>
      </c>
      <c r="O3764" s="6" t="s">
        <v>622</v>
      </c>
      <c r="P3764" s="3">
        <v>796</v>
      </c>
      <c r="Q3764" s="31" t="s">
        <v>234</v>
      </c>
      <c r="R3764" s="27">
        <v>10</v>
      </c>
      <c r="S3764" s="1">
        <v>5200</v>
      </c>
      <c r="T3764" s="4">
        <f t="shared" si="176"/>
        <v>52000</v>
      </c>
      <c r="U3764" s="4">
        <f t="shared" si="174"/>
        <v>58240.000000000007</v>
      </c>
      <c r="V3764" s="1"/>
      <c r="W3764" s="3">
        <v>2014</v>
      </c>
      <c r="X3764" s="3"/>
    </row>
    <row r="3765" spans="1:24" ht="102">
      <c r="A3765" s="3" t="s">
        <v>1800</v>
      </c>
      <c r="B3765" s="6" t="s">
        <v>361</v>
      </c>
      <c r="C3765" s="100" t="s">
        <v>5184</v>
      </c>
      <c r="D3765" s="100" t="s">
        <v>5185</v>
      </c>
      <c r="E3765" s="100" t="s">
        <v>5186</v>
      </c>
      <c r="F3765" s="57" t="s">
        <v>5194</v>
      </c>
      <c r="G3765" s="3" t="s">
        <v>11449</v>
      </c>
      <c r="H3765" s="54">
        <v>0</v>
      </c>
      <c r="I3765" s="16">
        <v>470000000</v>
      </c>
      <c r="J3765" s="16" t="s">
        <v>229</v>
      </c>
      <c r="K3765" s="57" t="s">
        <v>641</v>
      </c>
      <c r="L3765" s="57" t="s">
        <v>364</v>
      </c>
      <c r="M3765" s="162" t="s">
        <v>230</v>
      </c>
      <c r="N3765" s="8" t="s">
        <v>8898</v>
      </c>
      <c r="O3765" s="6" t="s">
        <v>622</v>
      </c>
      <c r="P3765" s="3">
        <v>796</v>
      </c>
      <c r="Q3765" s="31" t="s">
        <v>234</v>
      </c>
      <c r="R3765" s="31">
        <v>30</v>
      </c>
      <c r="S3765" s="59">
        <f>300*1.07</f>
        <v>321</v>
      </c>
      <c r="T3765" s="4">
        <f t="shared" si="176"/>
        <v>9630</v>
      </c>
      <c r="U3765" s="4">
        <f t="shared" si="174"/>
        <v>10785.6</v>
      </c>
      <c r="V3765" s="1"/>
      <c r="W3765" s="3">
        <v>2014</v>
      </c>
      <c r="X3765" s="3"/>
    </row>
    <row r="3766" spans="1:24" ht="102">
      <c r="A3766" s="3" t="s">
        <v>1801</v>
      </c>
      <c r="B3766" s="6" t="s">
        <v>361</v>
      </c>
      <c r="C3766" s="100" t="s">
        <v>5184</v>
      </c>
      <c r="D3766" s="100" t="s">
        <v>5185</v>
      </c>
      <c r="E3766" s="100" t="s">
        <v>5186</v>
      </c>
      <c r="F3766" s="57" t="s">
        <v>5195</v>
      </c>
      <c r="G3766" s="3" t="s">
        <v>11449</v>
      </c>
      <c r="H3766" s="54">
        <v>0</v>
      </c>
      <c r="I3766" s="16">
        <v>470000000</v>
      </c>
      <c r="J3766" s="16" t="s">
        <v>229</v>
      </c>
      <c r="K3766" s="57" t="s">
        <v>641</v>
      </c>
      <c r="L3766" s="57" t="s">
        <v>364</v>
      </c>
      <c r="M3766" s="162" t="s">
        <v>230</v>
      </c>
      <c r="N3766" s="8" t="s">
        <v>8898</v>
      </c>
      <c r="O3766" s="6" t="s">
        <v>622</v>
      </c>
      <c r="P3766" s="3">
        <v>796</v>
      </c>
      <c r="Q3766" s="31" t="s">
        <v>234</v>
      </c>
      <c r="R3766" s="27">
        <v>10</v>
      </c>
      <c r="S3766" s="59">
        <v>1339.5</v>
      </c>
      <c r="T3766" s="4">
        <f t="shared" si="176"/>
        <v>13395</v>
      </c>
      <c r="U3766" s="4">
        <f t="shared" si="174"/>
        <v>15002.400000000001</v>
      </c>
      <c r="V3766" s="1"/>
      <c r="W3766" s="3">
        <v>2014</v>
      </c>
      <c r="X3766" s="3"/>
    </row>
    <row r="3767" spans="1:24" ht="102">
      <c r="A3767" s="3" t="s">
        <v>1802</v>
      </c>
      <c r="B3767" s="6" t="s">
        <v>361</v>
      </c>
      <c r="C3767" s="100" t="s">
        <v>5184</v>
      </c>
      <c r="D3767" s="100" t="s">
        <v>5185</v>
      </c>
      <c r="E3767" s="100" t="s">
        <v>5186</v>
      </c>
      <c r="F3767" s="57" t="s">
        <v>5196</v>
      </c>
      <c r="G3767" s="3" t="s">
        <v>11449</v>
      </c>
      <c r="H3767" s="54">
        <v>0</v>
      </c>
      <c r="I3767" s="16">
        <v>470000000</v>
      </c>
      <c r="J3767" s="16" t="s">
        <v>229</v>
      </c>
      <c r="K3767" s="57" t="s">
        <v>641</v>
      </c>
      <c r="L3767" s="57" t="s">
        <v>364</v>
      </c>
      <c r="M3767" s="162" t="s">
        <v>230</v>
      </c>
      <c r="N3767" s="8" t="s">
        <v>8898</v>
      </c>
      <c r="O3767" s="6" t="s">
        <v>622</v>
      </c>
      <c r="P3767" s="3">
        <v>796</v>
      </c>
      <c r="Q3767" s="31" t="s">
        <v>234</v>
      </c>
      <c r="R3767" s="27">
        <v>10</v>
      </c>
      <c r="S3767" s="59">
        <v>1340</v>
      </c>
      <c r="T3767" s="4">
        <f t="shared" si="176"/>
        <v>13400</v>
      </c>
      <c r="U3767" s="4">
        <f t="shared" si="174"/>
        <v>15008.000000000002</v>
      </c>
      <c r="V3767" s="1"/>
      <c r="W3767" s="3">
        <v>2014</v>
      </c>
      <c r="X3767" s="3"/>
    </row>
    <row r="3768" spans="1:24" ht="102">
      <c r="A3768" s="3" t="s">
        <v>10359</v>
      </c>
      <c r="B3768" s="6" t="s">
        <v>361</v>
      </c>
      <c r="C3768" s="100" t="s">
        <v>5184</v>
      </c>
      <c r="D3768" s="100" t="s">
        <v>5185</v>
      </c>
      <c r="E3768" s="100" t="s">
        <v>5186</v>
      </c>
      <c r="F3768" s="57" t="s">
        <v>5197</v>
      </c>
      <c r="G3768" s="3" t="s">
        <v>11449</v>
      </c>
      <c r="H3768" s="54">
        <v>0</v>
      </c>
      <c r="I3768" s="16">
        <v>470000000</v>
      </c>
      <c r="J3768" s="16" t="s">
        <v>229</v>
      </c>
      <c r="K3768" s="57" t="s">
        <v>641</v>
      </c>
      <c r="L3768" s="57" t="s">
        <v>364</v>
      </c>
      <c r="M3768" s="162" t="s">
        <v>230</v>
      </c>
      <c r="N3768" s="8" t="s">
        <v>8898</v>
      </c>
      <c r="O3768" s="6" t="s">
        <v>622</v>
      </c>
      <c r="P3768" s="3">
        <v>796</v>
      </c>
      <c r="Q3768" s="31" t="s">
        <v>234</v>
      </c>
      <c r="R3768" s="27">
        <v>10</v>
      </c>
      <c r="S3768" s="59">
        <v>1339.5</v>
      </c>
      <c r="T3768" s="4">
        <f t="shared" si="176"/>
        <v>13395</v>
      </c>
      <c r="U3768" s="4">
        <f t="shared" si="174"/>
        <v>15002.400000000001</v>
      </c>
      <c r="V3768" s="1"/>
      <c r="W3768" s="3">
        <v>2014</v>
      </c>
      <c r="X3768" s="3"/>
    </row>
    <row r="3769" spans="1:24" ht="102">
      <c r="A3769" s="3" t="s">
        <v>10360</v>
      </c>
      <c r="B3769" s="6" t="s">
        <v>361</v>
      </c>
      <c r="C3769" s="100" t="s">
        <v>5187</v>
      </c>
      <c r="D3769" s="100" t="s">
        <v>5185</v>
      </c>
      <c r="E3769" s="100" t="s">
        <v>5188</v>
      </c>
      <c r="F3769" s="57" t="s">
        <v>5198</v>
      </c>
      <c r="G3769" s="3" t="s">
        <v>11449</v>
      </c>
      <c r="H3769" s="54">
        <v>0</v>
      </c>
      <c r="I3769" s="16">
        <v>470000000</v>
      </c>
      <c r="J3769" s="16" t="s">
        <v>229</v>
      </c>
      <c r="K3769" s="57" t="s">
        <v>641</v>
      </c>
      <c r="L3769" s="57" t="s">
        <v>364</v>
      </c>
      <c r="M3769" s="162" t="s">
        <v>230</v>
      </c>
      <c r="N3769" s="8" t="s">
        <v>8898</v>
      </c>
      <c r="O3769" s="6" t="s">
        <v>622</v>
      </c>
      <c r="P3769" s="3">
        <v>796</v>
      </c>
      <c r="Q3769" s="31" t="s">
        <v>234</v>
      </c>
      <c r="R3769" s="31">
        <v>15</v>
      </c>
      <c r="S3769" s="59">
        <f>1800*1.07</f>
        <v>1926</v>
      </c>
      <c r="T3769" s="4">
        <f t="shared" si="176"/>
        <v>28890</v>
      </c>
      <c r="U3769" s="4">
        <f t="shared" si="174"/>
        <v>32356.800000000003</v>
      </c>
      <c r="V3769" s="1"/>
      <c r="W3769" s="3">
        <v>2014</v>
      </c>
      <c r="X3769" s="3"/>
    </row>
    <row r="3770" spans="1:24" ht="102">
      <c r="A3770" s="3" t="s">
        <v>10361</v>
      </c>
      <c r="B3770" s="6" t="s">
        <v>361</v>
      </c>
      <c r="C3770" s="100" t="s">
        <v>5187</v>
      </c>
      <c r="D3770" s="100" t="s">
        <v>5185</v>
      </c>
      <c r="E3770" s="100" t="s">
        <v>5188</v>
      </c>
      <c r="F3770" s="57" t="s">
        <v>5199</v>
      </c>
      <c r="G3770" s="3" t="s">
        <v>11449</v>
      </c>
      <c r="H3770" s="54">
        <v>0</v>
      </c>
      <c r="I3770" s="16">
        <v>470000000</v>
      </c>
      <c r="J3770" s="16" t="s">
        <v>229</v>
      </c>
      <c r="K3770" s="57" t="s">
        <v>641</v>
      </c>
      <c r="L3770" s="57" t="s">
        <v>364</v>
      </c>
      <c r="M3770" s="162" t="s">
        <v>230</v>
      </c>
      <c r="N3770" s="8" t="s">
        <v>8898</v>
      </c>
      <c r="O3770" s="6" t="s">
        <v>622</v>
      </c>
      <c r="P3770" s="3">
        <v>796</v>
      </c>
      <c r="Q3770" s="31" t="s">
        <v>234</v>
      </c>
      <c r="R3770" s="31">
        <v>20</v>
      </c>
      <c r="S3770" s="59">
        <v>408</v>
      </c>
      <c r="T3770" s="4">
        <v>0</v>
      </c>
      <c r="U3770" s="4">
        <f t="shared" si="174"/>
        <v>0</v>
      </c>
      <c r="V3770" s="1"/>
      <c r="W3770" s="3">
        <v>2014</v>
      </c>
      <c r="X3770" s="3" t="s">
        <v>16431</v>
      </c>
    </row>
    <row r="3771" spans="1:24" ht="102">
      <c r="A3771" s="3" t="s">
        <v>16753</v>
      </c>
      <c r="B3771" s="6" t="s">
        <v>361</v>
      </c>
      <c r="C3771" s="100" t="s">
        <v>5187</v>
      </c>
      <c r="D3771" s="100" t="s">
        <v>5185</v>
      </c>
      <c r="E3771" s="100" t="s">
        <v>5188</v>
      </c>
      <c r="F3771" s="57" t="s">
        <v>5199</v>
      </c>
      <c r="G3771" s="3" t="s">
        <v>11450</v>
      </c>
      <c r="H3771" s="54">
        <v>0</v>
      </c>
      <c r="I3771" s="16">
        <v>470000000</v>
      </c>
      <c r="J3771" s="16" t="s">
        <v>229</v>
      </c>
      <c r="K3771" s="57" t="s">
        <v>8950</v>
      </c>
      <c r="L3771" s="57" t="s">
        <v>364</v>
      </c>
      <c r="M3771" s="162" t="s">
        <v>230</v>
      </c>
      <c r="N3771" s="8" t="s">
        <v>8898</v>
      </c>
      <c r="O3771" s="6" t="s">
        <v>622</v>
      </c>
      <c r="P3771" s="3">
        <v>796</v>
      </c>
      <c r="Q3771" s="31" t="s">
        <v>234</v>
      </c>
      <c r="R3771" s="31">
        <v>20</v>
      </c>
      <c r="S3771" s="59">
        <v>489.59999999999997</v>
      </c>
      <c r="T3771" s="4">
        <v>0</v>
      </c>
      <c r="U3771" s="4">
        <f t="shared" si="174"/>
        <v>0</v>
      </c>
      <c r="V3771" s="1"/>
      <c r="W3771" s="3">
        <v>2014</v>
      </c>
      <c r="X3771" s="3">
        <v>11</v>
      </c>
    </row>
    <row r="3772" spans="1:24" ht="102">
      <c r="A3772" s="3" t="s">
        <v>18776</v>
      </c>
      <c r="B3772" s="6" t="s">
        <v>361</v>
      </c>
      <c r="C3772" s="100" t="s">
        <v>5187</v>
      </c>
      <c r="D3772" s="100" t="s">
        <v>5185</v>
      </c>
      <c r="E3772" s="100" t="s">
        <v>5188</v>
      </c>
      <c r="F3772" s="57" t="s">
        <v>5199</v>
      </c>
      <c r="G3772" s="3" t="s">
        <v>11450</v>
      </c>
      <c r="H3772" s="54">
        <v>0</v>
      </c>
      <c r="I3772" s="16">
        <v>470000000</v>
      </c>
      <c r="J3772" s="16" t="s">
        <v>229</v>
      </c>
      <c r="K3772" s="57" t="s">
        <v>18437</v>
      </c>
      <c r="L3772" s="57" t="s">
        <v>364</v>
      </c>
      <c r="M3772" s="162" t="s">
        <v>230</v>
      </c>
      <c r="N3772" s="8" t="s">
        <v>8898</v>
      </c>
      <c r="O3772" s="6" t="s">
        <v>622</v>
      </c>
      <c r="P3772" s="3">
        <v>796</v>
      </c>
      <c r="Q3772" s="31" t="s">
        <v>234</v>
      </c>
      <c r="R3772" s="31">
        <v>20</v>
      </c>
      <c r="S3772" s="59">
        <v>489.59999999999997</v>
      </c>
      <c r="T3772" s="4">
        <v>0</v>
      </c>
      <c r="U3772" s="4">
        <f t="shared" si="174"/>
        <v>0</v>
      </c>
      <c r="V3772" s="1"/>
      <c r="W3772" s="3">
        <v>2014</v>
      </c>
      <c r="X3772" s="3">
        <v>15</v>
      </c>
    </row>
    <row r="3773" spans="1:24" ht="102">
      <c r="A3773" s="3" t="s">
        <v>19498</v>
      </c>
      <c r="B3773" s="6" t="s">
        <v>361</v>
      </c>
      <c r="C3773" s="100" t="s">
        <v>5187</v>
      </c>
      <c r="D3773" s="100" t="s">
        <v>5185</v>
      </c>
      <c r="E3773" s="100" t="s">
        <v>5188</v>
      </c>
      <c r="F3773" s="57" t="s">
        <v>5199</v>
      </c>
      <c r="G3773" s="3" t="s">
        <v>11450</v>
      </c>
      <c r="H3773" s="54">
        <v>0</v>
      </c>
      <c r="I3773" s="16">
        <v>470000000</v>
      </c>
      <c r="J3773" s="16" t="s">
        <v>229</v>
      </c>
      <c r="K3773" s="57" t="s">
        <v>18437</v>
      </c>
      <c r="L3773" s="57" t="s">
        <v>364</v>
      </c>
      <c r="M3773" s="162" t="s">
        <v>230</v>
      </c>
      <c r="N3773" s="8" t="s">
        <v>8898</v>
      </c>
      <c r="O3773" s="6" t="s">
        <v>19407</v>
      </c>
      <c r="P3773" s="3">
        <v>796</v>
      </c>
      <c r="Q3773" s="31" t="s">
        <v>234</v>
      </c>
      <c r="R3773" s="31">
        <v>20</v>
      </c>
      <c r="S3773" s="59">
        <v>489.59999999999997</v>
      </c>
      <c r="T3773" s="4">
        <f t="shared" ref="T3773" si="177">R3773*S3773</f>
        <v>9792</v>
      </c>
      <c r="U3773" s="4">
        <f t="shared" ref="U3773" si="178">T3773*1.12</f>
        <v>10967.04</v>
      </c>
      <c r="V3773" s="1"/>
      <c r="W3773" s="3">
        <v>2014</v>
      </c>
      <c r="X3773" s="3"/>
    </row>
    <row r="3774" spans="1:24" ht="102">
      <c r="A3774" s="3" t="s">
        <v>10362</v>
      </c>
      <c r="B3774" s="6" t="s">
        <v>361</v>
      </c>
      <c r="C3774" s="100" t="s">
        <v>5200</v>
      </c>
      <c r="D3774" s="100" t="s">
        <v>5185</v>
      </c>
      <c r="E3774" s="100" t="s">
        <v>5201</v>
      </c>
      <c r="F3774" s="57" t="s">
        <v>5202</v>
      </c>
      <c r="G3774" s="3" t="s">
        <v>11449</v>
      </c>
      <c r="H3774" s="54">
        <v>0</v>
      </c>
      <c r="I3774" s="16">
        <v>470000000</v>
      </c>
      <c r="J3774" s="16" t="s">
        <v>229</v>
      </c>
      <c r="K3774" s="57" t="s">
        <v>641</v>
      </c>
      <c r="L3774" s="57" t="s">
        <v>364</v>
      </c>
      <c r="M3774" s="162" t="s">
        <v>230</v>
      </c>
      <c r="N3774" s="8" t="s">
        <v>8898</v>
      </c>
      <c r="O3774" s="6" t="s">
        <v>622</v>
      </c>
      <c r="P3774" s="3">
        <v>796</v>
      </c>
      <c r="Q3774" s="31" t="s">
        <v>234</v>
      </c>
      <c r="R3774" s="27">
        <v>10</v>
      </c>
      <c r="S3774" s="59">
        <v>1339.27</v>
      </c>
      <c r="T3774" s="4">
        <v>0</v>
      </c>
      <c r="U3774" s="4">
        <f t="shared" si="174"/>
        <v>0</v>
      </c>
      <c r="V3774" s="1"/>
      <c r="W3774" s="3">
        <v>2014</v>
      </c>
      <c r="X3774" s="3" t="s">
        <v>16431</v>
      </c>
    </row>
    <row r="3775" spans="1:24" ht="102">
      <c r="A3775" s="3" t="s">
        <v>16754</v>
      </c>
      <c r="B3775" s="6" t="s">
        <v>361</v>
      </c>
      <c r="C3775" s="100" t="s">
        <v>5200</v>
      </c>
      <c r="D3775" s="100" t="s">
        <v>5185</v>
      </c>
      <c r="E3775" s="100" t="s">
        <v>5201</v>
      </c>
      <c r="F3775" s="57" t="s">
        <v>5202</v>
      </c>
      <c r="G3775" s="3" t="s">
        <v>11450</v>
      </c>
      <c r="H3775" s="54">
        <v>0</v>
      </c>
      <c r="I3775" s="16">
        <v>470000000</v>
      </c>
      <c r="J3775" s="16" t="s">
        <v>229</v>
      </c>
      <c r="K3775" s="57" t="s">
        <v>8950</v>
      </c>
      <c r="L3775" s="57" t="s">
        <v>364</v>
      </c>
      <c r="M3775" s="162" t="s">
        <v>230</v>
      </c>
      <c r="N3775" s="8" t="s">
        <v>8898</v>
      </c>
      <c r="O3775" s="6" t="s">
        <v>622</v>
      </c>
      <c r="P3775" s="3">
        <v>796</v>
      </c>
      <c r="Q3775" s="31" t="s">
        <v>234</v>
      </c>
      <c r="R3775" s="27">
        <v>10</v>
      </c>
      <c r="S3775" s="59">
        <v>1607.124</v>
      </c>
      <c r="T3775" s="4">
        <v>0</v>
      </c>
      <c r="U3775" s="4">
        <f t="shared" si="174"/>
        <v>0</v>
      </c>
      <c r="V3775" s="1"/>
      <c r="W3775" s="3">
        <v>2014</v>
      </c>
      <c r="X3775" s="3">
        <v>11</v>
      </c>
    </row>
    <row r="3776" spans="1:24" ht="102">
      <c r="A3776" s="3" t="s">
        <v>18777</v>
      </c>
      <c r="B3776" s="6" t="s">
        <v>361</v>
      </c>
      <c r="C3776" s="100" t="s">
        <v>5200</v>
      </c>
      <c r="D3776" s="100" t="s">
        <v>5185</v>
      </c>
      <c r="E3776" s="100" t="s">
        <v>5201</v>
      </c>
      <c r="F3776" s="57" t="s">
        <v>5202</v>
      </c>
      <c r="G3776" s="3" t="s">
        <v>11450</v>
      </c>
      <c r="H3776" s="54">
        <v>0</v>
      </c>
      <c r="I3776" s="16">
        <v>470000000</v>
      </c>
      <c r="J3776" s="16" t="s">
        <v>229</v>
      </c>
      <c r="K3776" s="57" t="s">
        <v>18437</v>
      </c>
      <c r="L3776" s="57" t="s">
        <v>364</v>
      </c>
      <c r="M3776" s="162" t="s">
        <v>230</v>
      </c>
      <c r="N3776" s="8" t="s">
        <v>8898</v>
      </c>
      <c r="O3776" s="6" t="s">
        <v>622</v>
      </c>
      <c r="P3776" s="3">
        <v>796</v>
      </c>
      <c r="Q3776" s="31" t="s">
        <v>234</v>
      </c>
      <c r="R3776" s="27">
        <v>10</v>
      </c>
      <c r="S3776" s="59">
        <v>1607.124</v>
      </c>
      <c r="T3776" s="4">
        <v>0</v>
      </c>
      <c r="U3776" s="4">
        <f t="shared" si="174"/>
        <v>0</v>
      </c>
      <c r="V3776" s="1"/>
      <c r="W3776" s="3">
        <v>2014</v>
      </c>
      <c r="X3776" s="3">
        <v>15</v>
      </c>
    </row>
    <row r="3777" spans="1:24" ht="102">
      <c r="A3777" s="3" t="s">
        <v>19499</v>
      </c>
      <c r="B3777" s="6" t="s">
        <v>361</v>
      </c>
      <c r="C3777" s="100" t="s">
        <v>5200</v>
      </c>
      <c r="D3777" s="100" t="s">
        <v>5185</v>
      </c>
      <c r="E3777" s="100" t="s">
        <v>5201</v>
      </c>
      <c r="F3777" s="57" t="s">
        <v>5202</v>
      </c>
      <c r="G3777" s="3" t="s">
        <v>11450</v>
      </c>
      <c r="H3777" s="54">
        <v>0</v>
      </c>
      <c r="I3777" s="16">
        <v>470000000</v>
      </c>
      <c r="J3777" s="16" t="s">
        <v>229</v>
      </c>
      <c r="K3777" s="57" t="s">
        <v>18437</v>
      </c>
      <c r="L3777" s="57" t="s">
        <v>364</v>
      </c>
      <c r="M3777" s="162" t="s">
        <v>230</v>
      </c>
      <c r="N3777" s="8" t="s">
        <v>8898</v>
      </c>
      <c r="O3777" s="6" t="s">
        <v>19407</v>
      </c>
      <c r="P3777" s="3">
        <v>796</v>
      </c>
      <c r="Q3777" s="31" t="s">
        <v>234</v>
      </c>
      <c r="R3777" s="27">
        <v>10</v>
      </c>
      <c r="S3777" s="59">
        <v>1607.124</v>
      </c>
      <c r="T3777" s="4">
        <f t="shared" ref="T3777" si="179">R3777*S3777</f>
        <v>16071.24</v>
      </c>
      <c r="U3777" s="4">
        <f t="shared" ref="U3777" si="180">T3777*1.12</f>
        <v>17999.788800000002</v>
      </c>
      <c r="V3777" s="1"/>
      <c r="W3777" s="3">
        <v>2014</v>
      </c>
      <c r="X3777" s="3"/>
    </row>
    <row r="3778" spans="1:24" ht="114.75">
      <c r="A3778" s="3" t="s">
        <v>10363</v>
      </c>
      <c r="B3778" s="6" t="s">
        <v>361</v>
      </c>
      <c r="C3778" s="100" t="s">
        <v>5203</v>
      </c>
      <c r="D3778" s="100" t="s">
        <v>5185</v>
      </c>
      <c r="E3778" s="100" t="s">
        <v>5204</v>
      </c>
      <c r="F3778" s="57" t="s">
        <v>5205</v>
      </c>
      <c r="G3778" s="3" t="s">
        <v>11449</v>
      </c>
      <c r="H3778" s="54">
        <v>0</v>
      </c>
      <c r="I3778" s="16">
        <v>470000000</v>
      </c>
      <c r="J3778" s="16" t="s">
        <v>229</v>
      </c>
      <c r="K3778" s="57" t="s">
        <v>641</v>
      </c>
      <c r="L3778" s="57" t="s">
        <v>364</v>
      </c>
      <c r="M3778" s="162" t="s">
        <v>230</v>
      </c>
      <c r="N3778" s="8" t="s">
        <v>8898</v>
      </c>
      <c r="O3778" s="6" t="s">
        <v>622</v>
      </c>
      <c r="P3778" s="3">
        <v>796</v>
      </c>
      <c r="Q3778" s="31" t="s">
        <v>234</v>
      </c>
      <c r="R3778" s="27">
        <v>6</v>
      </c>
      <c r="S3778" s="59">
        <v>2685</v>
      </c>
      <c r="T3778" s="4">
        <f t="shared" si="176"/>
        <v>16110</v>
      </c>
      <c r="U3778" s="4">
        <f t="shared" si="174"/>
        <v>18043.2</v>
      </c>
      <c r="V3778" s="1"/>
      <c r="W3778" s="3">
        <v>2014</v>
      </c>
      <c r="X3778" s="3"/>
    </row>
    <row r="3779" spans="1:24" ht="102">
      <c r="A3779" s="3" t="s">
        <v>10364</v>
      </c>
      <c r="B3779" s="6" t="s">
        <v>361</v>
      </c>
      <c r="C3779" s="100" t="s">
        <v>5184</v>
      </c>
      <c r="D3779" s="100" t="s">
        <v>5185</v>
      </c>
      <c r="E3779" s="100" t="s">
        <v>5186</v>
      </c>
      <c r="F3779" s="57" t="s">
        <v>5206</v>
      </c>
      <c r="G3779" s="3" t="s">
        <v>11449</v>
      </c>
      <c r="H3779" s="54">
        <v>0</v>
      </c>
      <c r="I3779" s="16">
        <v>470000000</v>
      </c>
      <c r="J3779" s="16" t="s">
        <v>229</v>
      </c>
      <c r="K3779" s="57" t="s">
        <v>641</v>
      </c>
      <c r="L3779" s="57" t="s">
        <v>364</v>
      </c>
      <c r="M3779" s="162" t="s">
        <v>230</v>
      </c>
      <c r="N3779" s="8" t="s">
        <v>8898</v>
      </c>
      <c r="O3779" s="6" t="s">
        <v>622</v>
      </c>
      <c r="P3779" s="3">
        <v>796</v>
      </c>
      <c r="Q3779" s="31" t="s">
        <v>234</v>
      </c>
      <c r="R3779" s="31">
        <v>20</v>
      </c>
      <c r="S3779" s="59">
        <f>600*1.07</f>
        <v>642</v>
      </c>
      <c r="T3779" s="4">
        <f t="shared" si="176"/>
        <v>12840</v>
      </c>
      <c r="U3779" s="4">
        <f t="shared" si="174"/>
        <v>14380.800000000001</v>
      </c>
      <c r="V3779" s="1"/>
      <c r="W3779" s="3">
        <v>2014</v>
      </c>
      <c r="X3779" s="3"/>
    </row>
    <row r="3780" spans="1:24" ht="102">
      <c r="A3780" s="3" t="s">
        <v>10365</v>
      </c>
      <c r="B3780" s="6" t="s">
        <v>361</v>
      </c>
      <c r="C3780" s="100" t="s">
        <v>5184</v>
      </c>
      <c r="D3780" s="100" t="s">
        <v>5185</v>
      </c>
      <c r="E3780" s="100" t="s">
        <v>5186</v>
      </c>
      <c r="F3780" s="57" t="s">
        <v>5207</v>
      </c>
      <c r="G3780" s="3" t="s">
        <v>11449</v>
      </c>
      <c r="H3780" s="54">
        <v>0</v>
      </c>
      <c r="I3780" s="16">
        <v>470000000</v>
      </c>
      <c r="J3780" s="16" t="s">
        <v>229</v>
      </c>
      <c r="K3780" s="57" t="s">
        <v>641</v>
      </c>
      <c r="L3780" s="57" t="s">
        <v>364</v>
      </c>
      <c r="M3780" s="162" t="s">
        <v>230</v>
      </c>
      <c r="N3780" s="8" t="s">
        <v>8898</v>
      </c>
      <c r="O3780" s="6" t="s">
        <v>622</v>
      </c>
      <c r="P3780" s="3">
        <v>796</v>
      </c>
      <c r="Q3780" s="31" t="s">
        <v>234</v>
      </c>
      <c r="R3780" s="27">
        <v>10</v>
      </c>
      <c r="S3780" s="59">
        <v>1513.8</v>
      </c>
      <c r="T3780" s="4">
        <f t="shared" si="176"/>
        <v>15138</v>
      </c>
      <c r="U3780" s="4">
        <f t="shared" si="174"/>
        <v>16954.560000000001</v>
      </c>
      <c r="V3780" s="1"/>
      <c r="W3780" s="3">
        <v>2014</v>
      </c>
      <c r="X3780" s="3"/>
    </row>
    <row r="3781" spans="1:24" ht="102">
      <c r="A3781" s="3" t="s">
        <v>10366</v>
      </c>
      <c r="B3781" s="6" t="s">
        <v>361</v>
      </c>
      <c r="C3781" s="100" t="s">
        <v>5184</v>
      </c>
      <c r="D3781" s="100" t="s">
        <v>5185</v>
      </c>
      <c r="E3781" s="100" t="s">
        <v>5186</v>
      </c>
      <c r="F3781" s="57" t="s">
        <v>5208</v>
      </c>
      <c r="G3781" s="3" t="s">
        <v>11449</v>
      </c>
      <c r="H3781" s="54">
        <v>0</v>
      </c>
      <c r="I3781" s="16">
        <v>470000000</v>
      </c>
      <c r="J3781" s="16" t="s">
        <v>229</v>
      </c>
      <c r="K3781" s="57" t="s">
        <v>641</v>
      </c>
      <c r="L3781" s="57" t="s">
        <v>364</v>
      </c>
      <c r="M3781" s="162" t="s">
        <v>230</v>
      </c>
      <c r="N3781" s="8" t="s">
        <v>8898</v>
      </c>
      <c r="O3781" s="6" t="s">
        <v>622</v>
      </c>
      <c r="P3781" s="3">
        <v>796</v>
      </c>
      <c r="Q3781" s="31" t="s">
        <v>234</v>
      </c>
      <c r="R3781" s="27">
        <v>10</v>
      </c>
      <c r="S3781" s="59">
        <v>1615.9</v>
      </c>
      <c r="T3781" s="4">
        <f t="shared" si="176"/>
        <v>16159</v>
      </c>
      <c r="U3781" s="4">
        <f t="shared" si="174"/>
        <v>18098.080000000002</v>
      </c>
      <c r="V3781" s="1"/>
      <c r="W3781" s="3">
        <v>2014</v>
      </c>
      <c r="X3781" s="3"/>
    </row>
    <row r="3782" spans="1:24" ht="102">
      <c r="A3782" s="3" t="s">
        <v>10367</v>
      </c>
      <c r="B3782" s="6" t="s">
        <v>361</v>
      </c>
      <c r="C3782" s="100" t="s">
        <v>5187</v>
      </c>
      <c r="D3782" s="100" t="s">
        <v>5185</v>
      </c>
      <c r="E3782" s="100" t="s">
        <v>5188</v>
      </c>
      <c r="F3782" s="57" t="s">
        <v>5209</v>
      </c>
      <c r="G3782" s="3" t="s">
        <v>11449</v>
      </c>
      <c r="H3782" s="54">
        <v>0</v>
      </c>
      <c r="I3782" s="16">
        <v>470000000</v>
      </c>
      <c r="J3782" s="16" t="s">
        <v>229</v>
      </c>
      <c r="K3782" s="57" t="s">
        <v>641</v>
      </c>
      <c r="L3782" s="57" t="s">
        <v>364</v>
      </c>
      <c r="M3782" s="162" t="s">
        <v>230</v>
      </c>
      <c r="N3782" s="8" t="s">
        <v>8898</v>
      </c>
      <c r="O3782" s="6" t="s">
        <v>622</v>
      </c>
      <c r="P3782" s="3">
        <v>796</v>
      </c>
      <c r="Q3782" s="31" t="s">
        <v>234</v>
      </c>
      <c r="R3782" s="27">
        <v>10</v>
      </c>
      <c r="S3782" s="59">
        <v>2654</v>
      </c>
      <c r="T3782" s="4">
        <f t="shared" si="176"/>
        <v>26540</v>
      </c>
      <c r="U3782" s="4">
        <f t="shared" si="174"/>
        <v>29724.800000000003</v>
      </c>
      <c r="V3782" s="1"/>
      <c r="W3782" s="3">
        <v>2014</v>
      </c>
      <c r="X3782" s="3"/>
    </row>
    <row r="3783" spans="1:24" ht="102">
      <c r="A3783" s="3" t="s">
        <v>10368</v>
      </c>
      <c r="B3783" s="6" t="s">
        <v>361</v>
      </c>
      <c r="C3783" s="100" t="s">
        <v>5184</v>
      </c>
      <c r="D3783" s="100" t="s">
        <v>5185</v>
      </c>
      <c r="E3783" s="100" t="s">
        <v>5186</v>
      </c>
      <c r="F3783" s="57" t="s">
        <v>5210</v>
      </c>
      <c r="G3783" s="3" t="s">
        <v>11449</v>
      </c>
      <c r="H3783" s="54">
        <v>0</v>
      </c>
      <c r="I3783" s="16">
        <v>470000000</v>
      </c>
      <c r="J3783" s="16" t="s">
        <v>229</v>
      </c>
      <c r="K3783" s="57" t="s">
        <v>641</v>
      </c>
      <c r="L3783" s="57" t="s">
        <v>364</v>
      </c>
      <c r="M3783" s="162" t="s">
        <v>230</v>
      </c>
      <c r="N3783" s="8" t="s">
        <v>8898</v>
      </c>
      <c r="O3783" s="6" t="s">
        <v>622</v>
      </c>
      <c r="P3783" s="3">
        <v>796</v>
      </c>
      <c r="Q3783" s="31" t="s">
        <v>234</v>
      </c>
      <c r="R3783" s="27">
        <v>10</v>
      </c>
      <c r="S3783" s="59">
        <v>1513.8</v>
      </c>
      <c r="T3783" s="4">
        <f t="shared" si="176"/>
        <v>15138</v>
      </c>
      <c r="U3783" s="4">
        <f t="shared" si="174"/>
        <v>16954.560000000001</v>
      </c>
      <c r="V3783" s="1"/>
      <c r="W3783" s="3">
        <v>2014</v>
      </c>
      <c r="X3783" s="3"/>
    </row>
    <row r="3784" spans="1:24" ht="102">
      <c r="A3784" s="3" t="s">
        <v>10369</v>
      </c>
      <c r="B3784" s="6" t="s">
        <v>361</v>
      </c>
      <c r="C3784" s="100" t="s">
        <v>5187</v>
      </c>
      <c r="D3784" s="100" t="s">
        <v>5185</v>
      </c>
      <c r="E3784" s="100" t="s">
        <v>5188</v>
      </c>
      <c r="F3784" s="57" t="s">
        <v>5211</v>
      </c>
      <c r="G3784" s="3" t="s">
        <v>11449</v>
      </c>
      <c r="H3784" s="54">
        <v>0</v>
      </c>
      <c r="I3784" s="16">
        <v>470000000</v>
      </c>
      <c r="J3784" s="16" t="s">
        <v>229</v>
      </c>
      <c r="K3784" s="57" t="s">
        <v>641</v>
      </c>
      <c r="L3784" s="57" t="s">
        <v>364</v>
      </c>
      <c r="M3784" s="162" t="s">
        <v>230</v>
      </c>
      <c r="N3784" s="8" t="s">
        <v>8898</v>
      </c>
      <c r="O3784" s="6" t="s">
        <v>622</v>
      </c>
      <c r="P3784" s="3">
        <v>796</v>
      </c>
      <c r="Q3784" s="31" t="s">
        <v>234</v>
      </c>
      <c r="R3784" s="31">
        <v>10</v>
      </c>
      <c r="S3784" s="59">
        <v>1450.5</v>
      </c>
      <c r="T3784" s="4">
        <f t="shared" si="176"/>
        <v>14505</v>
      </c>
      <c r="U3784" s="4">
        <f t="shared" si="174"/>
        <v>16245.600000000002</v>
      </c>
      <c r="V3784" s="1"/>
      <c r="W3784" s="3">
        <v>2014</v>
      </c>
      <c r="X3784" s="3"/>
    </row>
    <row r="3785" spans="1:24" ht="102">
      <c r="A3785" s="3" t="s">
        <v>10370</v>
      </c>
      <c r="B3785" s="6" t="s">
        <v>361</v>
      </c>
      <c r="C3785" s="100" t="s">
        <v>5187</v>
      </c>
      <c r="D3785" s="100" t="s">
        <v>5185</v>
      </c>
      <c r="E3785" s="100" t="s">
        <v>5188</v>
      </c>
      <c r="F3785" s="57" t="s">
        <v>5212</v>
      </c>
      <c r="G3785" s="3" t="s">
        <v>11449</v>
      </c>
      <c r="H3785" s="54">
        <v>0</v>
      </c>
      <c r="I3785" s="16">
        <v>470000000</v>
      </c>
      <c r="J3785" s="16" t="s">
        <v>229</v>
      </c>
      <c r="K3785" s="57" t="s">
        <v>641</v>
      </c>
      <c r="L3785" s="57" t="s">
        <v>364</v>
      </c>
      <c r="M3785" s="162" t="s">
        <v>230</v>
      </c>
      <c r="N3785" s="8" t="s">
        <v>8898</v>
      </c>
      <c r="O3785" s="6" t="s">
        <v>622</v>
      </c>
      <c r="P3785" s="3">
        <v>796</v>
      </c>
      <c r="Q3785" s="31" t="s">
        <v>234</v>
      </c>
      <c r="R3785" s="27">
        <v>10</v>
      </c>
      <c r="S3785" s="59">
        <v>2678.5</v>
      </c>
      <c r="T3785" s="4">
        <f t="shared" si="176"/>
        <v>26785</v>
      </c>
      <c r="U3785" s="4">
        <f t="shared" si="174"/>
        <v>29999.200000000004</v>
      </c>
      <c r="V3785" s="1"/>
      <c r="W3785" s="3">
        <v>2014</v>
      </c>
      <c r="X3785" s="3"/>
    </row>
    <row r="3786" spans="1:24" ht="76.5">
      <c r="A3786" s="3" t="s">
        <v>10371</v>
      </c>
      <c r="B3786" s="6" t="s">
        <v>361</v>
      </c>
      <c r="C3786" s="100" t="s">
        <v>5213</v>
      </c>
      <c r="D3786" s="100" t="s">
        <v>5214</v>
      </c>
      <c r="E3786" s="100" t="s">
        <v>5214</v>
      </c>
      <c r="F3786" s="57" t="s">
        <v>5215</v>
      </c>
      <c r="G3786" s="3" t="s">
        <v>11449</v>
      </c>
      <c r="H3786" s="54">
        <v>0</v>
      </c>
      <c r="I3786" s="16">
        <v>470000000</v>
      </c>
      <c r="J3786" s="16" t="s">
        <v>229</v>
      </c>
      <c r="K3786" s="57" t="s">
        <v>641</v>
      </c>
      <c r="L3786" s="57" t="s">
        <v>364</v>
      </c>
      <c r="M3786" s="162" t="s">
        <v>230</v>
      </c>
      <c r="N3786" s="8" t="s">
        <v>8898</v>
      </c>
      <c r="O3786" s="6" t="s">
        <v>622</v>
      </c>
      <c r="P3786" s="3">
        <v>796</v>
      </c>
      <c r="Q3786" s="31" t="s">
        <v>234</v>
      </c>
      <c r="R3786" s="27">
        <v>10</v>
      </c>
      <c r="S3786" s="59">
        <v>4200</v>
      </c>
      <c r="T3786" s="4">
        <v>0</v>
      </c>
      <c r="U3786" s="4">
        <f t="shared" si="174"/>
        <v>0</v>
      </c>
      <c r="V3786" s="1"/>
      <c r="W3786" s="3">
        <v>2014</v>
      </c>
      <c r="X3786" s="3" t="s">
        <v>16431</v>
      </c>
    </row>
    <row r="3787" spans="1:24" ht="76.5">
      <c r="A3787" s="3" t="s">
        <v>16755</v>
      </c>
      <c r="B3787" s="6" t="s">
        <v>361</v>
      </c>
      <c r="C3787" s="100" t="s">
        <v>5213</v>
      </c>
      <c r="D3787" s="100" t="s">
        <v>5214</v>
      </c>
      <c r="E3787" s="100" t="s">
        <v>5214</v>
      </c>
      <c r="F3787" s="57" t="s">
        <v>5215</v>
      </c>
      <c r="G3787" s="3" t="s">
        <v>11450</v>
      </c>
      <c r="H3787" s="54">
        <v>0</v>
      </c>
      <c r="I3787" s="16">
        <v>470000000</v>
      </c>
      <c r="J3787" s="16" t="s">
        <v>229</v>
      </c>
      <c r="K3787" s="57" t="s">
        <v>8950</v>
      </c>
      <c r="L3787" s="57" t="s">
        <v>364</v>
      </c>
      <c r="M3787" s="162" t="s">
        <v>230</v>
      </c>
      <c r="N3787" s="8" t="s">
        <v>8898</v>
      </c>
      <c r="O3787" s="6" t="s">
        <v>622</v>
      </c>
      <c r="P3787" s="3">
        <v>796</v>
      </c>
      <c r="Q3787" s="31" t="s">
        <v>234</v>
      </c>
      <c r="R3787" s="27">
        <v>10</v>
      </c>
      <c r="S3787" s="59">
        <v>5040</v>
      </c>
      <c r="T3787" s="4">
        <v>0</v>
      </c>
      <c r="U3787" s="4">
        <f t="shared" si="174"/>
        <v>0</v>
      </c>
      <c r="V3787" s="1"/>
      <c r="W3787" s="3">
        <v>2014</v>
      </c>
      <c r="X3787" s="3">
        <v>11</v>
      </c>
    </row>
    <row r="3788" spans="1:24" ht="76.5">
      <c r="A3788" s="3" t="s">
        <v>18778</v>
      </c>
      <c r="B3788" s="6" t="s">
        <v>361</v>
      </c>
      <c r="C3788" s="100" t="s">
        <v>5213</v>
      </c>
      <c r="D3788" s="100" t="s">
        <v>5214</v>
      </c>
      <c r="E3788" s="100" t="s">
        <v>5214</v>
      </c>
      <c r="F3788" s="57" t="s">
        <v>5215</v>
      </c>
      <c r="G3788" s="3" t="s">
        <v>11450</v>
      </c>
      <c r="H3788" s="54">
        <v>0</v>
      </c>
      <c r="I3788" s="16">
        <v>470000000</v>
      </c>
      <c r="J3788" s="16" t="s">
        <v>229</v>
      </c>
      <c r="K3788" s="57" t="s">
        <v>18437</v>
      </c>
      <c r="L3788" s="57" t="s">
        <v>364</v>
      </c>
      <c r="M3788" s="162" t="s">
        <v>230</v>
      </c>
      <c r="N3788" s="8" t="s">
        <v>8898</v>
      </c>
      <c r="O3788" s="6" t="s">
        <v>622</v>
      </c>
      <c r="P3788" s="3">
        <v>796</v>
      </c>
      <c r="Q3788" s="31" t="s">
        <v>234</v>
      </c>
      <c r="R3788" s="27">
        <v>10</v>
      </c>
      <c r="S3788" s="59">
        <v>5040</v>
      </c>
      <c r="T3788" s="4">
        <v>0</v>
      </c>
      <c r="U3788" s="4">
        <f t="shared" si="174"/>
        <v>0</v>
      </c>
      <c r="V3788" s="1"/>
      <c r="W3788" s="3">
        <v>2014</v>
      </c>
      <c r="X3788" s="3">
        <v>15</v>
      </c>
    </row>
    <row r="3789" spans="1:24" ht="76.5">
      <c r="A3789" s="3" t="s">
        <v>19500</v>
      </c>
      <c r="B3789" s="6" t="s">
        <v>361</v>
      </c>
      <c r="C3789" s="100" t="s">
        <v>5213</v>
      </c>
      <c r="D3789" s="100" t="s">
        <v>5214</v>
      </c>
      <c r="E3789" s="100" t="s">
        <v>5214</v>
      </c>
      <c r="F3789" s="57" t="s">
        <v>5215</v>
      </c>
      <c r="G3789" s="3" t="s">
        <v>11450</v>
      </c>
      <c r="H3789" s="54">
        <v>0</v>
      </c>
      <c r="I3789" s="16">
        <v>470000000</v>
      </c>
      <c r="J3789" s="16" t="s">
        <v>229</v>
      </c>
      <c r="K3789" s="57" t="s">
        <v>18437</v>
      </c>
      <c r="L3789" s="57" t="s">
        <v>364</v>
      </c>
      <c r="M3789" s="162" t="s">
        <v>230</v>
      </c>
      <c r="N3789" s="8" t="s">
        <v>8898</v>
      </c>
      <c r="O3789" s="6" t="s">
        <v>19407</v>
      </c>
      <c r="P3789" s="3">
        <v>796</v>
      </c>
      <c r="Q3789" s="31" t="s">
        <v>234</v>
      </c>
      <c r="R3789" s="27">
        <v>10</v>
      </c>
      <c r="S3789" s="59">
        <v>5040</v>
      </c>
      <c r="T3789" s="4">
        <f t="shared" ref="T3789" si="181">R3789*S3789</f>
        <v>50400</v>
      </c>
      <c r="U3789" s="4">
        <f t="shared" ref="U3789" si="182">T3789*1.12</f>
        <v>56448.000000000007</v>
      </c>
      <c r="V3789" s="1"/>
      <c r="W3789" s="3">
        <v>2014</v>
      </c>
      <c r="X3789" s="3"/>
    </row>
    <row r="3790" spans="1:24" ht="76.5">
      <c r="A3790" s="3" t="s">
        <v>10372</v>
      </c>
      <c r="B3790" s="6" t="s">
        <v>361</v>
      </c>
      <c r="C3790" s="100" t="s">
        <v>5216</v>
      </c>
      <c r="D3790" s="100" t="s">
        <v>5217</v>
      </c>
      <c r="E3790" s="100" t="s">
        <v>5218</v>
      </c>
      <c r="F3790" s="57" t="s">
        <v>5219</v>
      </c>
      <c r="G3790" s="3" t="s">
        <v>11449</v>
      </c>
      <c r="H3790" s="54">
        <v>0</v>
      </c>
      <c r="I3790" s="16">
        <v>470000000</v>
      </c>
      <c r="J3790" s="16" t="s">
        <v>229</v>
      </c>
      <c r="K3790" s="57" t="s">
        <v>641</v>
      </c>
      <c r="L3790" s="57" t="s">
        <v>364</v>
      </c>
      <c r="M3790" s="162" t="s">
        <v>230</v>
      </c>
      <c r="N3790" s="8" t="s">
        <v>8898</v>
      </c>
      <c r="O3790" s="6" t="s">
        <v>622</v>
      </c>
      <c r="P3790" s="3">
        <v>796</v>
      </c>
      <c r="Q3790" s="31" t="s">
        <v>234</v>
      </c>
      <c r="R3790" s="27">
        <v>10</v>
      </c>
      <c r="S3790" s="59">
        <v>4232.1400000000003</v>
      </c>
      <c r="T3790" s="4">
        <v>0</v>
      </c>
      <c r="U3790" s="4">
        <f t="shared" si="174"/>
        <v>0</v>
      </c>
      <c r="V3790" s="1"/>
      <c r="W3790" s="3">
        <v>2014</v>
      </c>
      <c r="X3790" s="3" t="s">
        <v>16431</v>
      </c>
    </row>
    <row r="3791" spans="1:24" ht="76.5">
      <c r="A3791" s="3" t="s">
        <v>16756</v>
      </c>
      <c r="B3791" s="6" t="s">
        <v>361</v>
      </c>
      <c r="C3791" s="100" t="s">
        <v>5216</v>
      </c>
      <c r="D3791" s="100" t="s">
        <v>5217</v>
      </c>
      <c r="E3791" s="100" t="s">
        <v>5218</v>
      </c>
      <c r="F3791" s="57" t="s">
        <v>5219</v>
      </c>
      <c r="G3791" s="3" t="s">
        <v>11450</v>
      </c>
      <c r="H3791" s="54">
        <v>0</v>
      </c>
      <c r="I3791" s="16">
        <v>470000000</v>
      </c>
      <c r="J3791" s="16" t="s">
        <v>229</v>
      </c>
      <c r="K3791" s="57" t="s">
        <v>8950</v>
      </c>
      <c r="L3791" s="57" t="s">
        <v>364</v>
      </c>
      <c r="M3791" s="162" t="s">
        <v>230</v>
      </c>
      <c r="N3791" s="8" t="s">
        <v>8898</v>
      </c>
      <c r="O3791" s="6" t="s">
        <v>622</v>
      </c>
      <c r="P3791" s="3">
        <v>796</v>
      </c>
      <c r="Q3791" s="31" t="s">
        <v>234</v>
      </c>
      <c r="R3791" s="27">
        <v>10</v>
      </c>
      <c r="S3791" s="59">
        <v>5078.5680000000002</v>
      </c>
      <c r="T3791" s="4">
        <v>0</v>
      </c>
      <c r="U3791" s="4">
        <f t="shared" si="174"/>
        <v>0</v>
      </c>
      <c r="V3791" s="1"/>
      <c r="W3791" s="3">
        <v>2014</v>
      </c>
      <c r="X3791" s="3">
        <v>11</v>
      </c>
    </row>
    <row r="3792" spans="1:24" ht="76.5">
      <c r="A3792" s="3" t="s">
        <v>18779</v>
      </c>
      <c r="B3792" s="6" t="s">
        <v>361</v>
      </c>
      <c r="C3792" s="100" t="s">
        <v>5216</v>
      </c>
      <c r="D3792" s="100" t="s">
        <v>5217</v>
      </c>
      <c r="E3792" s="100" t="s">
        <v>5218</v>
      </c>
      <c r="F3792" s="57" t="s">
        <v>5219</v>
      </c>
      <c r="G3792" s="3" t="s">
        <v>11450</v>
      </c>
      <c r="H3792" s="54">
        <v>0</v>
      </c>
      <c r="I3792" s="16">
        <v>470000000</v>
      </c>
      <c r="J3792" s="16" t="s">
        <v>229</v>
      </c>
      <c r="K3792" s="57" t="s">
        <v>18437</v>
      </c>
      <c r="L3792" s="57" t="s">
        <v>364</v>
      </c>
      <c r="M3792" s="162" t="s">
        <v>230</v>
      </c>
      <c r="N3792" s="8" t="s">
        <v>8898</v>
      </c>
      <c r="O3792" s="6" t="s">
        <v>622</v>
      </c>
      <c r="P3792" s="3">
        <v>796</v>
      </c>
      <c r="Q3792" s="31" t="s">
        <v>234</v>
      </c>
      <c r="R3792" s="27">
        <v>10</v>
      </c>
      <c r="S3792" s="59">
        <v>5078.5680000000002</v>
      </c>
      <c r="T3792" s="4">
        <v>0</v>
      </c>
      <c r="U3792" s="4">
        <f t="shared" si="174"/>
        <v>0</v>
      </c>
      <c r="V3792" s="1"/>
      <c r="W3792" s="3">
        <v>2014</v>
      </c>
      <c r="X3792" s="3">
        <v>15</v>
      </c>
    </row>
    <row r="3793" spans="1:24" ht="76.5">
      <c r="A3793" s="3" t="s">
        <v>19501</v>
      </c>
      <c r="B3793" s="6" t="s">
        <v>361</v>
      </c>
      <c r="C3793" s="100" t="s">
        <v>5216</v>
      </c>
      <c r="D3793" s="100" t="s">
        <v>5217</v>
      </c>
      <c r="E3793" s="100" t="s">
        <v>5218</v>
      </c>
      <c r="F3793" s="57" t="s">
        <v>5219</v>
      </c>
      <c r="G3793" s="3" t="s">
        <v>11450</v>
      </c>
      <c r="H3793" s="54">
        <v>0</v>
      </c>
      <c r="I3793" s="16">
        <v>470000000</v>
      </c>
      <c r="J3793" s="16" t="s">
        <v>229</v>
      </c>
      <c r="K3793" s="57" t="s">
        <v>18437</v>
      </c>
      <c r="L3793" s="57" t="s">
        <v>364</v>
      </c>
      <c r="M3793" s="162" t="s">
        <v>230</v>
      </c>
      <c r="N3793" s="8" t="s">
        <v>8898</v>
      </c>
      <c r="O3793" s="6" t="s">
        <v>19407</v>
      </c>
      <c r="P3793" s="3">
        <v>796</v>
      </c>
      <c r="Q3793" s="31" t="s">
        <v>234</v>
      </c>
      <c r="R3793" s="27">
        <v>10</v>
      </c>
      <c r="S3793" s="59">
        <v>5078.5680000000002</v>
      </c>
      <c r="T3793" s="4">
        <f t="shared" ref="T3793" si="183">R3793*S3793</f>
        <v>50785.68</v>
      </c>
      <c r="U3793" s="4">
        <f t="shared" ref="U3793" si="184">T3793*1.12</f>
        <v>56879.961600000002</v>
      </c>
      <c r="V3793" s="1"/>
      <c r="W3793" s="3">
        <v>2014</v>
      </c>
      <c r="X3793" s="3"/>
    </row>
    <row r="3794" spans="1:24" ht="102">
      <c r="A3794" s="3" t="s">
        <v>10373</v>
      </c>
      <c r="B3794" s="6" t="s">
        <v>361</v>
      </c>
      <c r="C3794" s="100" t="s">
        <v>5220</v>
      </c>
      <c r="D3794" s="100" t="s">
        <v>5185</v>
      </c>
      <c r="E3794" s="100" t="s">
        <v>5221</v>
      </c>
      <c r="F3794" s="57" t="s">
        <v>5222</v>
      </c>
      <c r="G3794" s="3" t="s">
        <v>11449</v>
      </c>
      <c r="H3794" s="54">
        <v>0</v>
      </c>
      <c r="I3794" s="16">
        <v>470000000</v>
      </c>
      <c r="J3794" s="16" t="s">
        <v>229</v>
      </c>
      <c r="K3794" s="57" t="s">
        <v>641</v>
      </c>
      <c r="L3794" s="57" t="s">
        <v>364</v>
      </c>
      <c r="M3794" s="162" t="s">
        <v>230</v>
      </c>
      <c r="N3794" s="8" t="s">
        <v>8898</v>
      </c>
      <c r="O3794" s="6" t="s">
        <v>622</v>
      </c>
      <c r="P3794" s="3">
        <v>796</v>
      </c>
      <c r="Q3794" s="31" t="s">
        <v>234</v>
      </c>
      <c r="R3794" s="27">
        <v>10</v>
      </c>
      <c r="S3794" s="59">
        <v>2628.1</v>
      </c>
      <c r="T3794" s="4">
        <f t="shared" si="176"/>
        <v>26281</v>
      </c>
      <c r="U3794" s="4">
        <f t="shared" si="174"/>
        <v>29434.720000000001</v>
      </c>
      <c r="V3794" s="1"/>
      <c r="W3794" s="3">
        <v>2014</v>
      </c>
      <c r="X3794" s="3"/>
    </row>
    <row r="3795" spans="1:24" ht="102">
      <c r="A3795" s="3" t="s">
        <v>10374</v>
      </c>
      <c r="B3795" s="6" t="s">
        <v>361</v>
      </c>
      <c r="C3795" s="100" t="s">
        <v>5187</v>
      </c>
      <c r="D3795" s="100" t="s">
        <v>5185</v>
      </c>
      <c r="E3795" s="100" t="s">
        <v>5188</v>
      </c>
      <c r="F3795" s="57" t="s">
        <v>5223</v>
      </c>
      <c r="G3795" s="3" t="s">
        <v>11449</v>
      </c>
      <c r="H3795" s="54">
        <v>0</v>
      </c>
      <c r="I3795" s="16">
        <v>470000000</v>
      </c>
      <c r="J3795" s="16" t="s">
        <v>229</v>
      </c>
      <c r="K3795" s="57" t="s">
        <v>641</v>
      </c>
      <c r="L3795" s="57" t="s">
        <v>364</v>
      </c>
      <c r="M3795" s="162" t="s">
        <v>230</v>
      </c>
      <c r="N3795" s="8" t="s">
        <v>8898</v>
      </c>
      <c r="O3795" s="6" t="s">
        <v>622</v>
      </c>
      <c r="P3795" s="3">
        <v>796</v>
      </c>
      <c r="Q3795" s="31" t="s">
        <v>234</v>
      </c>
      <c r="R3795" s="31">
        <v>15</v>
      </c>
      <c r="S3795" s="59">
        <f>1200*1.07</f>
        <v>1284</v>
      </c>
      <c r="T3795" s="4">
        <f t="shared" si="176"/>
        <v>19260</v>
      </c>
      <c r="U3795" s="4">
        <f t="shared" si="174"/>
        <v>21571.200000000001</v>
      </c>
      <c r="V3795" s="1"/>
      <c r="W3795" s="3">
        <v>2014</v>
      </c>
      <c r="X3795" s="3"/>
    </row>
    <row r="3796" spans="1:24" ht="102">
      <c r="A3796" s="3" t="s">
        <v>10375</v>
      </c>
      <c r="B3796" s="6" t="s">
        <v>361</v>
      </c>
      <c r="C3796" s="100" t="s">
        <v>5184</v>
      </c>
      <c r="D3796" s="100" t="s">
        <v>5185</v>
      </c>
      <c r="E3796" s="100" t="s">
        <v>5186</v>
      </c>
      <c r="F3796" s="57" t="s">
        <v>5224</v>
      </c>
      <c r="G3796" s="3" t="s">
        <v>11449</v>
      </c>
      <c r="H3796" s="54">
        <v>0</v>
      </c>
      <c r="I3796" s="16">
        <v>470000000</v>
      </c>
      <c r="J3796" s="16" t="s">
        <v>229</v>
      </c>
      <c r="K3796" s="57" t="s">
        <v>641</v>
      </c>
      <c r="L3796" s="57" t="s">
        <v>364</v>
      </c>
      <c r="M3796" s="162" t="s">
        <v>230</v>
      </c>
      <c r="N3796" s="8" t="s">
        <v>8898</v>
      </c>
      <c r="O3796" s="6" t="s">
        <v>622</v>
      </c>
      <c r="P3796" s="3">
        <v>796</v>
      </c>
      <c r="Q3796" s="31" t="s">
        <v>234</v>
      </c>
      <c r="R3796" s="27">
        <v>10</v>
      </c>
      <c r="S3796" s="59">
        <v>1450.5</v>
      </c>
      <c r="T3796" s="4">
        <f t="shared" si="176"/>
        <v>14505</v>
      </c>
      <c r="U3796" s="4">
        <f t="shared" si="174"/>
        <v>16245.600000000002</v>
      </c>
      <c r="V3796" s="1"/>
      <c r="W3796" s="3">
        <v>2014</v>
      </c>
      <c r="X3796" s="3"/>
    </row>
    <row r="3797" spans="1:24" ht="102">
      <c r="A3797" s="3" t="s">
        <v>10376</v>
      </c>
      <c r="B3797" s="6" t="s">
        <v>361</v>
      </c>
      <c r="C3797" s="100" t="s">
        <v>5184</v>
      </c>
      <c r="D3797" s="100" t="s">
        <v>5185</v>
      </c>
      <c r="E3797" s="100" t="s">
        <v>5186</v>
      </c>
      <c r="F3797" s="57" t="s">
        <v>5225</v>
      </c>
      <c r="G3797" s="3" t="s">
        <v>11449</v>
      </c>
      <c r="H3797" s="54">
        <v>0</v>
      </c>
      <c r="I3797" s="16">
        <v>470000000</v>
      </c>
      <c r="J3797" s="16" t="s">
        <v>229</v>
      </c>
      <c r="K3797" s="57" t="s">
        <v>641</v>
      </c>
      <c r="L3797" s="57" t="s">
        <v>364</v>
      </c>
      <c r="M3797" s="162" t="s">
        <v>230</v>
      </c>
      <c r="N3797" s="8" t="s">
        <v>8898</v>
      </c>
      <c r="O3797" s="6" t="s">
        <v>622</v>
      </c>
      <c r="P3797" s="3">
        <v>796</v>
      </c>
      <c r="Q3797" s="31" t="s">
        <v>234</v>
      </c>
      <c r="R3797" s="27">
        <v>10</v>
      </c>
      <c r="S3797" s="59">
        <v>1680.13</v>
      </c>
      <c r="T3797" s="4">
        <f t="shared" si="176"/>
        <v>16801.300000000003</v>
      </c>
      <c r="U3797" s="4">
        <f t="shared" si="174"/>
        <v>18817.456000000006</v>
      </c>
      <c r="V3797" s="1"/>
      <c r="W3797" s="3">
        <v>2014</v>
      </c>
      <c r="X3797" s="3"/>
    </row>
    <row r="3798" spans="1:24" ht="102">
      <c r="A3798" s="3" t="s">
        <v>10377</v>
      </c>
      <c r="B3798" s="6" t="s">
        <v>361</v>
      </c>
      <c r="C3798" s="100" t="s">
        <v>5184</v>
      </c>
      <c r="D3798" s="100" t="s">
        <v>5185</v>
      </c>
      <c r="E3798" s="100" t="s">
        <v>5186</v>
      </c>
      <c r="F3798" s="57" t="s">
        <v>5226</v>
      </c>
      <c r="G3798" s="3" t="s">
        <v>11449</v>
      </c>
      <c r="H3798" s="54">
        <v>0</v>
      </c>
      <c r="I3798" s="16">
        <v>470000000</v>
      </c>
      <c r="J3798" s="16" t="s">
        <v>229</v>
      </c>
      <c r="K3798" s="57" t="s">
        <v>641</v>
      </c>
      <c r="L3798" s="57" t="s">
        <v>364</v>
      </c>
      <c r="M3798" s="162" t="s">
        <v>230</v>
      </c>
      <c r="N3798" s="8" t="s">
        <v>8898</v>
      </c>
      <c r="O3798" s="6" t="s">
        <v>622</v>
      </c>
      <c r="P3798" s="3">
        <v>796</v>
      </c>
      <c r="Q3798" s="31" t="s">
        <v>234</v>
      </c>
      <c r="R3798" s="31">
        <v>10</v>
      </c>
      <c r="S3798" s="59">
        <f>1800*1.07</f>
        <v>1926</v>
      </c>
      <c r="T3798" s="4">
        <f t="shared" si="176"/>
        <v>19260</v>
      </c>
      <c r="U3798" s="4">
        <f t="shared" ref="U3798:U3871" si="185">T3798*1.12</f>
        <v>21571.200000000001</v>
      </c>
      <c r="V3798" s="1"/>
      <c r="W3798" s="3">
        <v>2014</v>
      </c>
      <c r="X3798" s="3"/>
    </row>
    <row r="3799" spans="1:24" ht="102">
      <c r="A3799" s="3" t="s">
        <v>10378</v>
      </c>
      <c r="B3799" s="6" t="s">
        <v>361</v>
      </c>
      <c r="C3799" s="100" t="s">
        <v>5184</v>
      </c>
      <c r="D3799" s="100" t="s">
        <v>5185</v>
      </c>
      <c r="E3799" s="100" t="s">
        <v>5186</v>
      </c>
      <c r="F3799" s="57" t="s">
        <v>5227</v>
      </c>
      <c r="G3799" s="3" t="s">
        <v>11449</v>
      </c>
      <c r="H3799" s="54">
        <v>0</v>
      </c>
      <c r="I3799" s="16">
        <v>470000000</v>
      </c>
      <c r="J3799" s="16" t="s">
        <v>229</v>
      </c>
      <c r="K3799" s="57" t="s">
        <v>641</v>
      </c>
      <c r="L3799" s="57" t="s">
        <v>364</v>
      </c>
      <c r="M3799" s="162" t="s">
        <v>230</v>
      </c>
      <c r="N3799" s="8" t="s">
        <v>8898</v>
      </c>
      <c r="O3799" s="6" t="s">
        <v>622</v>
      </c>
      <c r="P3799" s="3">
        <v>796</v>
      </c>
      <c r="Q3799" s="31" t="s">
        <v>234</v>
      </c>
      <c r="R3799" s="31">
        <v>12</v>
      </c>
      <c r="S3799" s="1">
        <v>3213.92</v>
      </c>
      <c r="T3799" s="4">
        <f t="shared" si="176"/>
        <v>38567.040000000001</v>
      </c>
      <c r="U3799" s="4">
        <f t="shared" si="185"/>
        <v>43195.084800000004</v>
      </c>
      <c r="V3799" s="1"/>
      <c r="W3799" s="3">
        <v>2014</v>
      </c>
      <c r="X3799" s="3"/>
    </row>
    <row r="3800" spans="1:24" ht="102">
      <c r="A3800" s="3" t="s">
        <v>10379</v>
      </c>
      <c r="B3800" s="6" t="s">
        <v>361</v>
      </c>
      <c r="C3800" s="100" t="s">
        <v>5184</v>
      </c>
      <c r="D3800" s="100" t="s">
        <v>5185</v>
      </c>
      <c r="E3800" s="100" t="s">
        <v>5186</v>
      </c>
      <c r="F3800" s="57" t="s">
        <v>5228</v>
      </c>
      <c r="G3800" s="3" t="s">
        <v>11449</v>
      </c>
      <c r="H3800" s="54">
        <v>0</v>
      </c>
      <c r="I3800" s="16">
        <v>470000000</v>
      </c>
      <c r="J3800" s="16" t="s">
        <v>229</v>
      </c>
      <c r="K3800" s="57" t="s">
        <v>641</v>
      </c>
      <c r="L3800" s="57" t="s">
        <v>364</v>
      </c>
      <c r="M3800" s="162" t="s">
        <v>230</v>
      </c>
      <c r="N3800" s="8" t="s">
        <v>8898</v>
      </c>
      <c r="O3800" s="6" t="s">
        <v>622</v>
      </c>
      <c r="P3800" s="3">
        <v>796</v>
      </c>
      <c r="Q3800" s="31" t="s">
        <v>234</v>
      </c>
      <c r="R3800" s="31">
        <v>10</v>
      </c>
      <c r="S3800" s="59">
        <f>1800*1.07</f>
        <v>1926</v>
      </c>
      <c r="T3800" s="4">
        <f t="shared" si="176"/>
        <v>19260</v>
      </c>
      <c r="U3800" s="4">
        <f t="shared" si="185"/>
        <v>21571.200000000001</v>
      </c>
      <c r="V3800" s="1"/>
      <c r="W3800" s="3">
        <v>2014</v>
      </c>
      <c r="X3800" s="3"/>
    </row>
    <row r="3801" spans="1:24" ht="102">
      <c r="A3801" s="3" t="s">
        <v>10380</v>
      </c>
      <c r="B3801" s="6" t="s">
        <v>361</v>
      </c>
      <c r="C3801" s="100" t="s">
        <v>5184</v>
      </c>
      <c r="D3801" s="100" t="s">
        <v>5185</v>
      </c>
      <c r="E3801" s="100" t="s">
        <v>5186</v>
      </c>
      <c r="F3801" s="57" t="s">
        <v>5229</v>
      </c>
      <c r="G3801" s="3" t="s">
        <v>11449</v>
      </c>
      <c r="H3801" s="54">
        <v>0</v>
      </c>
      <c r="I3801" s="16">
        <v>470000000</v>
      </c>
      <c r="J3801" s="16" t="s">
        <v>229</v>
      </c>
      <c r="K3801" s="57" t="s">
        <v>641</v>
      </c>
      <c r="L3801" s="57" t="s">
        <v>364</v>
      </c>
      <c r="M3801" s="162" t="s">
        <v>230</v>
      </c>
      <c r="N3801" s="8" t="s">
        <v>8898</v>
      </c>
      <c r="O3801" s="6" t="s">
        <v>622</v>
      </c>
      <c r="P3801" s="3">
        <v>796</v>
      </c>
      <c r="Q3801" s="31" t="s">
        <v>234</v>
      </c>
      <c r="R3801" s="31">
        <v>10</v>
      </c>
      <c r="S3801" s="1">
        <v>5357</v>
      </c>
      <c r="T3801" s="4">
        <f t="shared" si="176"/>
        <v>53570</v>
      </c>
      <c r="U3801" s="4">
        <f t="shared" si="185"/>
        <v>59998.400000000009</v>
      </c>
      <c r="V3801" s="1"/>
      <c r="W3801" s="3">
        <v>2014</v>
      </c>
      <c r="X3801" s="3"/>
    </row>
    <row r="3802" spans="1:24" ht="102">
      <c r="A3802" s="3" t="s">
        <v>10381</v>
      </c>
      <c r="B3802" s="6" t="s">
        <v>361</v>
      </c>
      <c r="C3802" s="100" t="s">
        <v>5187</v>
      </c>
      <c r="D3802" s="100" t="s">
        <v>5185</v>
      </c>
      <c r="E3802" s="100" t="s">
        <v>5188</v>
      </c>
      <c r="F3802" s="57" t="s">
        <v>5230</v>
      </c>
      <c r="G3802" s="3" t="s">
        <v>11449</v>
      </c>
      <c r="H3802" s="54">
        <v>0</v>
      </c>
      <c r="I3802" s="16">
        <v>470000000</v>
      </c>
      <c r="J3802" s="16" t="s">
        <v>229</v>
      </c>
      <c r="K3802" s="57" t="s">
        <v>641</v>
      </c>
      <c r="L3802" s="57" t="s">
        <v>364</v>
      </c>
      <c r="M3802" s="162" t="s">
        <v>230</v>
      </c>
      <c r="N3802" s="8" t="s">
        <v>8898</v>
      </c>
      <c r="O3802" s="6" t="s">
        <v>622</v>
      </c>
      <c r="P3802" s="3">
        <v>796</v>
      </c>
      <c r="Q3802" s="31" t="s">
        <v>234</v>
      </c>
      <c r="R3802" s="31">
        <v>20</v>
      </c>
      <c r="S3802" s="59">
        <f>1800*1.07</f>
        <v>1926</v>
      </c>
      <c r="T3802" s="4">
        <f t="shared" si="176"/>
        <v>38520</v>
      </c>
      <c r="U3802" s="4">
        <f t="shared" si="185"/>
        <v>43142.400000000001</v>
      </c>
      <c r="V3802" s="1"/>
      <c r="W3802" s="3">
        <v>2014</v>
      </c>
      <c r="X3802" s="3"/>
    </row>
    <row r="3803" spans="1:24" ht="102">
      <c r="A3803" s="3" t="s">
        <v>10382</v>
      </c>
      <c r="B3803" s="6" t="s">
        <v>361</v>
      </c>
      <c r="C3803" s="100" t="s">
        <v>5187</v>
      </c>
      <c r="D3803" s="100" t="s">
        <v>5185</v>
      </c>
      <c r="E3803" s="100" t="s">
        <v>5188</v>
      </c>
      <c r="F3803" s="57" t="s">
        <v>5231</v>
      </c>
      <c r="G3803" s="3" t="s">
        <v>11449</v>
      </c>
      <c r="H3803" s="54">
        <v>0</v>
      </c>
      <c r="I3803" s="16">
        <v>470000000</v>
      </c>
      <c r="J3803" s="16" t="s">
        <v>229</v>
      </c>
      <c r="K3803" s="57" t="s">
        <v>641</v>
      </c>
      <c r="L3803" s="57" t="s">
        <v>364</v>
      </c>
      <c r="M3803" s="162" t="s">
        <v>230</v>
      </c>
      <c r="N3803" s="8" t="s">
        <v>8898</v>
      </c>
      <c r="O3803" s="6" t="s">
        <v>622</v>
      </c>
      <c r="P3803" s="3">
        <v>796</v>
      </c>
      <c r="Q3803" s="31" t="s">
        <v>234</v>
      </c>
      <c r="R3803" s="31">
        <v>12</v>
      </c>
      <c r="S3803" s="59">
        <v>7822.93</v>
      </c>
      <c r="T3803" s="4">
        <f t="shared" si="176"/>
        <v>93875.16</v>
      </c>
      <c r="U3803" s="4">
        <f t="shared" si="185"/>
        <v>105140.17920000001</v>
      </c>
      <c r="V3803" s="1"/>
      <c r="W3803" s="3">
        <v>2014</v>
      </c>
      <c r="X3803" s="3"/>
    </row>
    <row r="3804" spans="1:24" ht="102">
      <c r="A3804" s="3" t="s">
        <v>10383</v>
      </c>
      <c r="B3804" s="6" t="s">
        <v>361</v>
      </c>
      <c r="C3804" s="100" t="s">
        <v>5184</v>
      </c>
      <c r="D3804" s="100" t="s">
        <v>5185</v>
      </c>
      <c r="E3804" s="100" t="s">
        <v>5186</v>
      </c>
      <c r="F3804" s="57" t="s">
        <v>5232</v>
      </c>
      <c r="G3804" s="3" t="s">
        <v>11449</v>
      </c>
      <c r="H3804" s="54">
        <v>0</v>
      </c>
      <c r="I3804" s="16">
        <v>470000000</v>
      </c>
      <c r="J3804" s="16" t="s">
        <v>229</v>
      </c>
      <c r="K3804" s="57" t="s">
        <v>641</v>
      </c>
      <c r="L3804" s="57" t="s">
        <v>364</v>
      </c>
      <c r="M3804" s="162" t="s">
        <v>230</v>
      </c>
      <c r="N3804" s="8" t="s">
        <v>8898</v>
      </c>
      <c r="O3804" s="6" t="s">
        <v>622</v>
      </c>
      <c r="P3804" s="3">
        <v>796</v>
      </c>
      <c r="Q3804" s="31" t="s">
        <v>234</v>
      </c>
      <c r="R3804" s="31">
        <v>30</v>
      </c>
      <c r="S3804" s="59">
        <v>3074.85</v>
      </c>
      <c r="T3804" s="4">
        <f t="shared" si="176"/>
        <v>92245.5</v>
      </c>
      <c r="U3804" s="4">
        <f t="shared" si="185"/>
        <v>103314.96</v>
      </c>
      <c r="V3804" s="1"/>
      <c r="W3804" s="3">
        <v>2014</v>
      </c>
      <c r="X3804" s="3"/>
    </row>
    <row r="3805" spans="1:24" ht="102">
      <c r="A3805" s="3" t="s">
        <v>10384</v>
      </c>
      <c r="B3805" s="6" t="s">
        <v>361</v>
      </c>
      <c r="C3805" s="100" t="s">
        <v>5187</v>
      </c>
      <c r="D3805" s="100" t="s">
        <v>5185</v>
      </c>
      <c r="E3805" s="100" t="s">
        <v>5188</v>
      </c>
      <c r="F3805" s="57" t="s">
        <v>5233</v>
      </c>
      <c r="G3805" s="3" t="s">
        <v>11449</v>
      </c>
      <c r="H3805" s="54">
        <v>0</v>
      </c>
      <c r="I3805" s="16">
        <v>470000000</v>
      </c>
      <c r="J3805" s="16" t="s">
        <v>229</v>
      </c>
      <c r="K3805" s="57" t="s">
        <v>641</v>
      </c>
      <c r="L3805" s="57" t="s">
        <v>364</v>
      </c>
      <c r="M3805" s="162" t="s">
        <v>230</v>
      </c>
      <c r="N3805" s="8" t="s">
        <v>8898</v>
      </c>
      <c r="O3805" s="6" t="s">
        <v>622</v>
      </c>
      <c r="P3805" s="3">
        <v>796</v>
      </c>
      <c r="Q3805" s="31" t="s">
        <v>234</v>
      </c>
      <c r="R3805" s="31">
        <v>24</v>
      </c>
      <c r="S3805" s="59">
        <f>2700*1.07</f>
        <v>2889</v>
      </c>
      <c r="T3805" s="4">
        <f t="shared" si="176"/>
        <v>69336</v>
      </c>
      <c r="U3805" s="4">
        <f t="shared" si="185"/>
        <v>77656.320000000007</v>
      </c>
      <c r="V3805" s="1"/>
      <c r="W3805" s="3">
        <v>2014</v>
      </c>
      <c r="X3805" s="3"/>
    </row>
    <row r="3806" spans="1:24" ht="102">
      <c r="A3806" s="3" t="s">
        <v>10385</v>
      </c>
      <c r="B3806" s="6" t="s">
        <v>361</v>
      </c>
      <c r="C3806" s="100" t="s">
        <v>5187</v>
      </c>
      <c r="D3806" s="100" t="s">
        <v>5185</v>
      </c>
      <c r="E3806" s="100" t="s">
        <v>5188</v>
      </c>
      <c r="F3806" s="57" t="s">
        <v>5234</v>
      </c>
      <c r="G3806" s="3" t="s">
        <v>11449</v>
      </c>
      <c r="H3806" s="54">
        <v>0</v>
      </c>
      <c r="I3806" s="16">
        <v>470000000</v>
      </c>
      <c r="J3806" s="16" t="s">
        <v>229</v>
      </c>
      <c r="K3806" s="57" t="s">
        <v>641</v>
      </c>
      <c r="L3806" s="57" t="s">
        <v>364</v>
      </c>
      <c r="M3806" s="162" t="s">
        <v>230</v>
      </c>
      <c r="N3806" s="8" t="s">
        <v>8898</v>
      </c>
      <c r="O3806" s="6" t="s">
        <v>622</v>
      </c>
      <c r="P3806" s="3">
        <v>796</v>
      </c>
      <c r="Q3806" s="31" t="s">
        <v>234</v>
      </c>
      <c r="R3806" s="31">
        <v>24</v>
      </c>
      <c r="S3806" s="59">
        <f>2900*1.07</f>
        <v>3103</v>
      </c>
      <c r="T3806" s="4">
        <f t="shared" si="176"/>
        <v>74472</v>
      </c>
      <c r="U3806" s="4">
        <f t="shared" si="185"/>
        <v>83408.640000000014</v>
      </c>
      <c r="V3806" s="1"/>
      <c r="W3806" s="3">
        <v>2014</v>
      </c>
      <c r="X3806" s="3"/>
    </row>
    <row r="3807" spans="1:24" ht="102">
      <c r="A3807" s="3" t="s">
        <v>10386</v>
      </c>
      <c r="B3807" s="6" t="s">
        <v>361</v>
      </c>
      <c r="C3807" s="100" t="s">
        <v>5187</v>
      </c>
      <c r="D3807" s="100" t="s">
        <v>5185</v>
      </c>
      <c r="E3807" s="100" t="s">
        <v>5188</v>
      </c>
      <c r="F3807" s="57" t="s">
        <v>5235</v>
      </c>
      <c r="G3807" s="3" t="s">
        <v>11449</v>
      </c>
      <c r="H3807" s="54">
        <v>0</v>
      </c>
      <c r="I3807" s="16">
        <v>470000000</v>
      </c>
      <c r="J3807" s="16" t="s">
        <v>229</v>
      </c>
      <c r="K3807" s="57" t="s">
        <v>641</v>
      </c>
      <c r="L3807" s="57" t="s">
        <v>364</v>
      </c>
      <c r="M3807" s="162" t="s">
        <v>230</v>
      </c>
      <c r="N3807" s="8" t="s">
        <v>8898</v>
      </c>
      <c r="O3807" s="6" t="s">
        <v>622</v>
      </c>
      <c r="P3807" s="3">
        <v>796</v>
      </c>
      <c r="Q3807" s="31" t="s">
        <v>234</v>
      </c>
      <c r="R3807" s="31">
        <v>48</v>
      </c>
      <c r="S3807" s="59">
        <v>4652.47</v>
      </c>
      <c r="T3807" s="4">
        <f t="shared" si="176"/>
        <v>223318.56</v>
      </c>
      <c r="U3807" s="4">
        <f t="shared" si="185"/>
        <v>250116.78720000002</v>
      </c>
      <c r="V3807" s="1"/>
      <c r="W3807" s="3">
        <v>2014</v>
      </c>
      <c r="X3807" s="3"/>
    </row>
    <row r="3808" spans="1:24" ht="102">
      <c r="A3808" s="3" t="s">
        <v>10387</v>
      </c>
      <c r="B3808" s="6" t="s">
        <v>361</v>
      </c>
      <c r="C3808" s="100" t="s">
        <v>5184</v>
      </c>
      <c r="D3808" s="100" t="s">
        <v>5185</v>
      </c>
      <c r="E3808" s="100" t="s">
        <v>5186</v>
      </c>
      <c r="F3808" s="57" t="s">
        <v>5236</v>
      </c>
      <c r="G3808" s="3" t="s">
        <v>11449</v>
      </c>
      <c r="H3808" s="54">
        <v>0</v>
      </c>
      <c r="I3808" s="16">
        <v>470000000</v>
      </c>
      <c r="J3808" s="16" t="s">
        <v>229</v>
      </c>
      <c r="K3808" s="57" t="s">
        <v>641</v>
      </c>
      <c r="L3808" s="57" t="s">
        <v>364</v>
      </c>
      <c r="M3808" s="162" t="s">
        <v>230</v>
      </c>
      <c r="N3808" s="8" t="s">
        <v>8898</v>
      </c>
      <c r="O3808" s="6" t="s">
        <v>622</v>
      </c>
      <c r="P3808" s="3">
        <v>796</v>
      </c>
      <c r="Q3808" s="31" t="s">
        <v>234</v>
      </c>
      <c r="R3808" s="27">
        <v>10</v>
      </c>
      <c r="S3808" s="59">
        <v>1785</v>
      </c>
      <c r="T3808" s="4">
        <f t="shared" si="176"/>
        <v>17850</v>
      </c>
      <c r="U3808" s="4">
        <f t="shared" si="185"/>
        <v>19992.000000000004</v>
      </c>
      <c r="V3808" s="1"/>
      <c r="W3808" s="3">
        <v>2014</v>
      </c>
      <c r="X3808" s="3"/>
    </row>
    <row r="3809" spans="1:24" ht="102">
      <c r="A3809" s="3" t="s">
        <v>10388</v>
      </c>
      <c r="B3809" s="6" t="s">
        <v>361</v>
      </c>
      <c r="C3809" s="100" t="s">
        <v>5187</v>
      </c>
      <c r="D3809" s="100" t="s">
        <v>5185</v>
      </c>
      <c r="E3809" s="100" t="s">
        <v>5188</v>
      </c>
      <c r="F3809" s="57" t="s">
        <v>5237</v>
      </c>
      <c r="G3809" s="3" t="s">
        <v>11449</v>
      </c>
      <c r="H3809" s="54">
        <v>0</v>
      </c>
      <c r="I3809" s="16">
        <v>470000000</v>
      </c>
      <c r="J3809" s="16" t="s">
        <v>229</v>
      </c>
      <c r="K3809" s="57" t="s">
        <v>641</v>
      </c>
      <c r="L3809" s="57" t="s">
        <v>364</v>
      </c>
      <c r="M3809" s="162" t="s">
        <v>230</v>
      </c>
      <c r="N3809" s="8" t="s">
        <v>8898</v>
      </c>
      <c r="O3809" s="6" t="s">
        <v>622</v>
      </c>
      <c r="P3809" s="3">
        <v>796</v>
      </c>
      <c r="Q3809" s="31" t="s">
        <v>234</v>
      </c>
      <c r="R3809" s="27">
        <v>10</v>
      </c>
      <c r="S3809" s="59">
        <f>4000*1.07</f>
        <v>4280</v>
      </c>
      <c r="T3809" s="4">
        <f t="shared" si="176"/>
        <v>42800</v>
      </c>
      <c r="U3809" s="4">
        <f t="shared" si="185"/>
        <v>47936.000000000007</v>
      </c>
      <c r="V3809" s="1"/>
      <c r="W3809" s="3">
        <v>2014</v>
      </c>
      <c r="X3809" s="3"/>
    </row>
    <row r="3810" spans="1:24" ht="102">
      <c r="A3810" s="3" t="s">
        <v>10389</v>
      </c>
      <c r="B3810" s="6" t="s">
        <v>361</v>
      </c>
      <c r="C3810" s="100" t="s">
        <v>5187</v>
      </c>
      <c r="D3810" s="100" t="s">
        <v>5185</v>
      </c>
      <c r="E3810" s="100" t="s">
        <v>5188</v>
      </c>
      <c r="F3810" s="57" t="s">
        <v>5238</v>
      </c>
      <c r="G3810" s="3" t="s">
        <v>11449</v>
      </c>
      <c r="H3810" s="54">
        <v>0</v>
      </c>
      <c r="I3810" s="16">
        <v>470000000</v>
      </c>
      <c r="J3810" s="16" t="s">
        <v>229</v>
      </c>
      <c r="K3810" s="57" t="s">
        <v>641</v>
      </c>
      <c r="L3810" s="57" t="s">
        <v>364</v>
      </c>
      <c r="M3810" s="162" t="s">
        <v>230</v>
      </c>
      <c r="N3810" s="8" t="s">
        <v>8898</v>
      </c>
      <c r="O3810" s="6" t="s">
        <v>622</v>
      </c>
      <c r="P3810" s="3">
        <v>796</v>
      </c>
      <c r="Q3810" s="31" t="s">
        <v>234</v>
      </c>
      <c r="R3810" s="27">
        <v>10</v>
      </c>
      <c r="S3810" s="1">
        <v>5357</v>
      </c>
      <c r="T3810" s="4">
        <f t="shared" si="176"/>
        <v>53570</v>
      </c>
      <c r="U3810" s="4">
        <f t="shared" si="185"/>
        <v>59998.400000000009</v>
      </c>
      <c r="V3810" s="1"/>
      <c r="W3810" s="3">
        <v>2014</v>
      </c>
      <c r="X3810" s="3"/>
    </row>
    <row r="3811" spans="1:24" ht="102">
      <c r="A3811" s="3" t="s">
        <v>10390</v>
      </c>
      <c r="B3811" s="6" t="s">
        <v>361</v>
      </c>
      <c r="C3811" s="100" t="s">
        <v>5184</v>
      </c>
      <c r="D3811" s="100" t="s">
        <v>5185</v>
      </c>
      <c r="E3811" s="100" t="s">
        <v>5186</v>
      </c>
      <c r="F3811" s="57" t="s">
        <v>5239</v>
      </c>
      <c r="G3811" s="3" t="s">
        <v>11449</v>
      </c>
      <c r="H3811" s="54">
        <v>0</v>
      </c>
      <c r="I3811" s="16">
        <v>470000000</v>
      </c>
      <c r="J3811" s="16" t="s">
        <v>229</v>
      </c>
      <c r="K3811" s="57" t="s">
        <v>641</v>
      </c>
      <c r="L3811" s="57" t="s">
        <v>364</v>
      </c>
      <c r="M3811" s="162" t="s">
        <v>230</v>
      </c>
      <c r="N3811" s="8" t="s">
        <v>8898</v>
      </c>
      <c r="O3811" s="6" t="s">
        <v>622</v>
      </c>
      <c r="P3811" s="3">
        <v>796</v>
      </c>
      <c r="Q3811" s="31" t="s">
        <v>234</v>
      </c>
      <c r="R3811" s="31">
        <v>24</v>
      </c>
      <c r="S3811" s="51">
        <v>1371</v>
      </c>
      <c r="T3811" s="4">
        <f t="shared" si="176"/>
        <v>32904</v>
      </c>
      <c r="U3811" s="4">
        <f t="shared" si="185"/>
        <v>36852.480000000003</v>
      </c>
      <c r="V3811" s="1"/>
      <c r="W3811" s="3">
        <v>2014</v>
      </c>
      <c r="X3811" s="3"/>
    </row>
    <row r="3812" spans="1:24" ht="102">
      <c r="A3812" s="3" t="s">
        <v>10391</v>
      </c>
      <c r="B3812" s="6" t="s">
        <v>361</v>
      </c>
      <c r="C3812" s="100" t="s">
        <v>5184</v>
      </c>
      <c r="D3812" s="100" t="s">
        <v>5185</v>
      </c>
      <c r="E3812" s="100" t="s">
        <v>5186</v>
      </c>
      <c r="F3812" s="57" t="s">
        <v>5240</v>
      </c>
      <c r="G3812" s="3" t="s">
        <v>11449</v>
      </c>
      <c r="H3812" s="54">
        <v>0</v>
      </c>
      <c r="I3812" s="16">
        <v>470000000</v>
      </c>
      <c r="J3812" s="16" t="s">
        <v>229</v>
      </c>
      <c r="K3812" s="57" t="s">
        <v>641</v>
      </c>
      <c r="L3812" s="57" t="s">
        <v>364</v>
      </c>
      <c r="M3812" s="162" t="s">
        <v>230</v>
      </c>
      <c r="N3812" s="8" t="s">
        <v>8898</v>
      </c>
      <c r="O3812" s="6" t="s">
        <v>622</v>
      </c>
      <c r="P3812" s="3">
        <v>796</v>
      </c>
      <c r="Q3812" s="31" t="s">
        <v>234</v>
      </c>
      <c r="R3812" s="31">
        <v>20</v>
      </c>
      <c r="S3812" s="59">
        <f>1700*1.07</f>
        <v>1819</v>
      </c>
      <c r="T3812" s="4">
        <f t="shared" si="176"/>
        <v>36380</v>
      </c>
      <c r="U3812" s="4">
        <f t="shared" si="185"/>
        <v>40745.600000000006</v>
      </c>
      <c r="V3812" s="1"/>
      <c r="W3812" s="3">
        <v>2014</v>
      </c>
      <c r="X3812" s="3"/>
    </row>
    <row r="3813" spans="1:24" ht="102">
      <c r="A3813" s="3" t="s">
        <v>10392</v>
      </c>
      <c r="B3813" s="6" t="s">
        <v>361</v>
      </c>
      <c r="C3813" s="100" t="s">
        <v>5187</v>
      </c>
      <c r="D3813" s="100" t="s">
        <v>5185</v>
      </c>
      <c r="E3813" s="100" t="s">
        <v>5188</v>
      </c>
      <c r="F3813" s="57" t="s">
        <v>5241</v>
      </c>
      <c r="G3813" s="3" t="s">
        <v>11449</v>
      </c>
      <c r="H3813" s="54">
        <v>0</v>
      </c>
      <c r="I3813" s="16">
        <v>470000000</v>
      </c>
      <c r="J3813" s="16" t="s">
        <v>229</v>
      </c>
      <c r="K3813" s="57" t="s">
        <v>641</v>
      </c>
      <c r="L3813" s="57" t="s">
        <v>364</v>
      </c>
      <c r="M3813" s="162" t="s">
        <v>230</v>
      </c>
      <c r="N3813" s="8" t="s">
        <v>8898</v>
      </c>
      <c r="O3813" s="6" t="s">
        <v>622</v>
      </c>
      <c r="P3813" s="3">
        <v>796</v>
      </c>
      <c r="Q3813" s="31" t="s">
        <v>234</v>
      </c>
      <c r="R3813" s="31">
        <v>30</v>
      </c>
      <c r="S3813" s="59">
        <f>3400*1.07</f>
        <v>3638</v>
      </c>
      <c r="T3813" s="4">
        <f t="shared" si="176"/>
        <v>109140</v>
      </c>
      <c r="U3813" s="4">
        <f t="shared" si="185"/>
        <v>122236.80000000002</v>
      </c>
      <c r="V3813" s="1"/>
      <c r="W3813" s="3">
        <v>2014</v>
      </c>
      <c r="X3813" s="3"/>
    </row>
    <row r="3814" spans="1:24" ht="89.25">
      <c r="A3814" s="3" t="s">
        <v>10393</v>
      </c>
      <c r="B3814" s="6" t="s">
        <v>361</v>
      </c>
      <c r="C3814" s="100" t="s">
        <v>5242</v>
      </c>
      <c r="D3814" s="100" t="s">
        <v>5243</v>
      </c>
      <c r="E3814" s="100" t="s">
        <v>5244</v>
      </c>
      <c r="F3814" s="57" t="s">
        <v>5245</v>
      </c>
      <c r="G3814" s="3" t="s">
        <v>11449</v>
      </c>
      <c r="H3814" s="54">
        <v>0</v>
      </c>
      <c r="I3814" s="16">
        <v>470000000</v>
      </c>
      <c r="J3814" s="16" t="s">
        <v>229</v>
      </c>
      <c r="K3814" s="57" t="s">
        <v>641</v>
      </c>
      <c r="L3814" s="57" t="s">
        <v>364</v>
      </c>
      <c r="M3814" s="162" t="s">
        <v>230</v>
      </c>
      <c r="N3814" s="8" t="s">
        <v>8898</v>
      </c>
      <c r="O3814" s="6" t="s">
        <v>622</v>
      </c>
      <c r="P3814" s="3">
        <v>796</v>
      </c>
      <c r="Q3814" s="31" t="s">
        <v>234</v>
      </c>
      <c r="R3814" s="27">
        <v>10</v>
      </c>
      <c r="S3814" s="59">
        <v>1680.13</v>
      </c>
      <c r="T3814" s="4">
        <f t="shared" si="176"/>
        <v>16801.300000000003</v>
      </c>
      <c r="U3814" s="4">
        <f t="shared" si="185"/>
        <v>18817.456000000006</v>
      </c>
      <c r="V3814" s="1"/>
      <c r="W3814" s="3">
        <v>2014</v>
      </c>
      <c r="X3814" s="3"/>
    </row>
    <row r="3815" spans="1:24" ht="76.5">
      <c r="A3815" s="3" t="s">
        <v>10394</v>
      </c>
      <c r="B3815" s="6" t="s">
        <v>361</v>
      </c>
      <c r="C3815" s="100" t="s">
        <v>5246</v>
      </c>
      <c r="D3815" s="100" t="s">
        <v>5247</v>
      </c>
      <c r="E3815" s="100" t="s">
        <v>5248</v>
      </c>
      <c r="F3815" s="57" t="s">
        <v>5249</v>
      </c>
      <c r="G3815" s="3" t="s">
        <v>11449</v>
      </c>
      <c r="H3815" s="54">
        <v>0</v>
      </c>
      <c r="I3815" s="16">
        <v>470000000</v>
      </c>
      <c r="J3815" s="16" t="s">
        <v>229</v>
      </c>
      <c r="K3815" s="57" t="s">
        <v>641</v>
      </c>
      <c r="L3815" s="57" t="s">
        <v>364</v>
      </c>
      <c r="M3815" s="162" t="s">
        <v>230</v>
      </c>
      <c r="N3815" s="8" t="s">
        <v>8898</v>
      </c>
      <c r="O3815" s="6" t="s">
        <v>622</v>
      </c>
      <c r="P3815" s="3">
        <v>796</v>
      </c>
      <c r="Q3815" s="31" t="s">
        <v>234</v>
      </c>
      <c r="R3815" s="27">
        <v>10</v>
      </c>
      <c r="S3815" s="59">
        <v>3590.2</v>
      </c>
      <c r="T3815" s="4">
        <f t="shared" si="176"/>
        <v>35902</v>
      </c>
      <c r="U3815" s="4">
        <f t="shared" si="185"/>
        <v>40210.240000000005</v>
      </c>
      <c r="V3815" s="1"/>
      <c r="W3815" s="3">
        <v>2014</v>
      </c>
      <c r="X3815" s="3"/>
    </row>
    <row r="3816" spans="1:24" ht="76.5">
      <c r="A3816" s="3" t="s">
        <v>10395</v>
      </c>
      <c r="B3816" s="6" t="s">
        <v>361</v>
      </c>
      <c r="C3816" s="100" t="s">
        <v>5250</v>
      </c>
      <c r="D3816" s="100" t="s">
        <v>5247</v>
      </c>
      <c r="E3816" s="100" t="s">
        <v>5251</v>
      </c>
      <c r="F3816" s="57" t="s">
        <v>5252</v>
      </c>
      <c r="G3816" s="3" t="s">
        <v>11449</v>
      </c>
      <c r="H3816" s="54">
        <v>0</v>
      </c>
      <c r="I3816" s="16">
        <v>470000000</v>
      </c>
      <c r="J3816" s="16" t="s">
        <v>229</v>
      </c>
      <c r="K3816" s="57" t="s">
        <v>641</v>
      </c>
      <c r="L3816" s="57" t="s">
        <v>364</v>
      </c>
      <c r="M3816" s="162" t="s">
        <v>230</v>
      </c>
      <c r="N3816" s="8" t="s">
        <v>8898</v>
      </c>
      <c r="O3816" s="6" t="s">
        <v>622</v>
      </c>
      <c r="P3816" s="3">
        <v>796</v>
      </c>
      <c r="Q3816" s="31" t="s">
        <v>234</v>
      </c>
      <c r="R3816" s="27">
        <v>10</v>
      </c>
      <c r="S3816" s="59">
        <v>3415.4</v>
      </c>
      <c r="T3816" s="4">
        <f t="shared" si="176"/>
        <v>34154</v>
      </c>
      <c r="U3816" s="4">
        <f t="shared" si="185"/>
        <v>38252.480000000003</v>
      </c>
      <c r="V3816" s="1"/>
      <c r="W3816" s="3">
        <v>2014</v>
      </c>
      <c r="X3816" s="3"/>
    </row>
    <row r="3817" spans="1:24" ht="76.5">
      <c r="A3817" s="3" t="s">
        <v>10396</v>
      </c>
      <c r="B3817" s="6" t="s">
        <v>361</v>
      </c>
      <c r="C3817" s="100" t="s">
        <v>5250</v>
      </c>
      <c r="D3817" s="100" t="s">
        <v>5247</v>
      </c>
      <c r="E3817" s="100" t="s">
        <v>5251</v>
      </c>
      <c r="F3817" s="57" t="s">
        <v>5253</v>
      </c>
      <c r="G3817" s="3" t="s">
        <v>11449</v>
      </c>
      <c r="H3817" s="54">
        <v>0</v>
      </c>
      <c r="I3817" s="16">
        <v>470000000</v>
      </c>
      <c r="J3817" s="16" t="s">
        <v>229</v>
      </c>
      <c r="K3817" s="57" t="s">
        <v>641</v>
      </c>
      <c r="L3817" s="57" t="s">
        <v>364</v>
      </c>
      <c r="M3817" s="162" t="s">
        <v>230</v>
      </c>
      <c r="N3817" s="8" t="s">
        <v>8898</v>
      </c>
      <c r="O3817" s="6" t="s">
        <v>622</v>
      </c>
      <c r="P3817" s="3">
        <v>796</v>
      </c>
      <c r="Q3817" s="31" t="s">
        <v>234</v>
      </c>
      <c r="R3817" s="27">
        <v>10</v>
      </c>
      <c r="S3817" s="59">
        <v>3513.9</v>
      </c>
      <c r="T3817" s="4">
        <f t="shared" si="176"/>
        <v>35139</v>
      </c>
      <c r="U3817" s="4">
        <f t="shared" si="185"/>
        <v>39355.68</v>
      </c>
      <c r="V3817" s="1"/>
      <c r="W3817" s="3">
        <v>2014</v>
      </c>
      <c r="X3817" s="3"/>
    </row>
    <row r="3818" spans="1:24" ht="76.5">
      <c r="A3818" s="3" t="s">
        <v>10397</v>
      </c>
      <c r="B3818" s="6" t="s">
        <v>361</v>
      </c>
      <c r="C3818" s="100" t="s">
        <v>7289</v>
      </c>
      <c r="D3818" s="100" t="s">
        <v>7290</v>
      </c>
      <c r="E3818" s="100" t="s">
        <v>7291</v>
      </c>
      <c r="F3818" s="57" t="s">
        <v>5254</v>
      </c>
      <c r="G3818" s="3" t="s">
        <v>11449</v>
      </c>
      <c r="H3818" s="54">
        <v>0</v>
      </c>
      <c r="I3818" s="16">
        <v>470000000</v>
      </c>
      <c r="J3818" s="16" t="s">
        <v>229</v>
      </c>
      <c r="K3818" s="57" t="s">
        <v>641</v>
      </c>
      <c r="L3818" s="57" t="s">
        <v>364</v>
      </c>
      <c r="M3818" s="162" t="s">
        <v>230</v>
      </c>
      <c r="N3818" s="8" t="s">
        <v>8898</v>
      </c>
      <c r="O3818" s="6" t="s">
        <v>622</v>
      </c>
      <c r="P3818" s="3">
        <v>796</v>
      </c>
      <c r="Q3818" s="31" t="s">
        <v>234</v>
      </c>
      <c r="R3818" s="27">
        <v>5</v>
      </c>
      <c r="S3818" s="59">
        <v>10714</v>
      </c>
      <c r="T3818" s="4">
        <f t="shared" si="176"/>
        <v>53570</v>
      </c>
      <c r="U3818" s="4">
        <f t="shared" si="185"/>
        <v>59998.400000000009</v>
      </c>
      <c r="V3818" s="1"/>
      <c r="W3818" s="3">
        <v>2014</v>
      </c>
      <c r="X3818" s="3"/>
    </row>
    <row r="3819" spans="1:24" ht="102">
      <c r="A3819" s="3" t="s">
        <v>10398</v>
      </c>
      <c r="B3819" s="6" t="s">
        <v>361</v>
      </c>
      <c r="C3819" s="100" t="s">
        <v>5200</v>
      </c>
      <c r="D3819" s="100" t="s">
        <v>5185</v>
      </c>
      <c r="E3819" s="100" t="s">
        <v>5201</v>
      </c>
      <c r="F3819" s="57" t="s">
        <v>5255</v>
      </c>
      <c r="G3819" s="3" t="s">
        <v>11449</v>
      </c>
      <c r="H3819" s="54">
        <v>0</v>
      </c>
      <c r="I3819" s="16">
        <v>470000000</v>
      </c>
      <c r="J3819" s="16" t="s">
        <v>229</v>
      </c>
      <c r="K3819" s="57" t="s">
        <v>641</v>
      </c>
      <c r="L3819" s="57" t="s">
        <v>364</v>
      </c>
      <c r="M3819" s="162" t="s">
        <v>230</v>
      </c>
      <c r="N3819" s="8" t="s">
        <v>8898</v>
      </c>
      <c r="O3819" s="6" t="s">
        <v>622</v>
      </c>
      <c r="P3819" s="3">
        <v>796</v>
      </c>
      <c r="Q3819" s="31" t="s">
        <v>234</v>
      </c>
      <c r="R3819" s="27">
        <v>6</v>
      </c>
      <c r="S3819" s="59">
        <v>10714</v>
      </c>
      <c r="T3819" s="4">
        <f t="shared" si="176"/>
        <v>64284</v>
      </c>
      <c r="U3819" s="4">
        <f t="shared" si="185"/>
        <v>71998.080000000002</v>
      </c>
      <c r="V3819" s="1"/>
      <c r="W3819" s="3">
        <v>2014</v>
      </c>
      <c r="X3819" s="3"/>
    </row>
    <row r="3820" spans="1:24" ht="102">
      <c r="A3820" s="3" t="s">
        <v>10399</v>
      </c>
      <c r="B3820" s="6" t="s">
        <v>361</v>
      </c>
      <c r="C3820" s="100" t="s">
        <v>5187</v>
      </c>
      <c r="D3820" s="100" t="s">
        <v>5185</v>
      </c>
      <c r="E3820" s="100" t="s">
        <v>5188</v>
      </c>
      <c r="F3820" s="57" t="s">
        <v>5256</v>
      </c>
      <c r="G3820" s="3" t="s">
        <v>11449</v>
      </c>
      <c r="H3820" s="54">
        <v>0</v>
      </c>
      <c r="I3820" s="16">
        <v>470000000</v>
      </c>
      <c r="J3820" s="16" t="s">
        <v>229</v>
      </c>
      <c r="K3820" s="57" t="s">
        <v>641</v>
      </c>
      <c r="L3820" s="57" t="s">
        <v>364</v>
      </c>
      <c r="M3820" s="162" t="s">
        <v>230</v>
      </c>
      <c r="N3820" s="8" t="s">
        <v>8898</v>
      </c>
      <c r="O3820" s="6" t="s">
        <v>622</v>
      </c>
      <c r="P3820" s="3">
        <v>796</v>
      </c>
      <c r="Q3820" s="31" t="s">
        <v>234</v>
      </c>
      <c r="R3820" s="27">
        <v>20</v>
      </c>
      <c r="S3820" s="59">
        <v>4200</v>
      </c>
      <c r="T3820" s="4">
        <f t="shared" si="176"/>
        <v>84000</v>
      </c>
      <c r="U3820" s="4">
        <f t="shared" si="185"/>
        <v>94080.000000000015</v>
      </c>
      <c r="V3820" s="1"/>
      <c r="W3820" s="3">
        <v>2014</v>
      </c>
      <c r="X3820" s="3"/>
    </row>
    <row r="3821" spans="1:24" ht="102">
      <c r="A3821" s="3" t="s">
        <v>10400</v>
      </c>
      <c r="B3821" s="6" t="s">
        <v>361</v>
      </c>
      <c r="C3821" s="100" t="s">
        <v>5257</v>
      </c>
      <c r="D3821" s="100" t="s">
        <v>5258</v>
      </c>
      <c r="E3821" s="100" t="s">
        <v>5259</v>
      </c>
      <c r="F3821" s="57" t="s">
        <v>5260</v>
      </c>
      <c r="G3821" s="3" t="s">
        <v>11449</v>
      </c>
      <c r="H3821" s="54">
        <v>0</v>
      </c>
      <c r="I3821" s="16">
        <v>470000000</v>
      </c>
      <c r="J3821" s="16" t="s">
        <v>229</v>
      </c>
      <c r="K3821" s="57" t="s">
        <v>641</v>
      </c>
      <c r="L3821" s="57" t="s">
        <v>364</v>
      </c>
      <c r="M3821" s="162" t="s">
        <v>230</v>
      </c>
      <c r="N3821" s="8" t="s">
        <v>8898</v>
      </c>
      <c r="O3821" s="6" t="s">
        <v>622</v>
      </c>
      <c r="P3821" s="3">
        <v>796</v>
      </c>
      <c r="Q3821" s="31" t="s">
        <v>234</v>
      </c>
      <c r="R3821" s="27">
        <v>20</v>
      </c>
      <c r="S3821" s="59">
        <f>1100*1.07</f>
        <v>1177</v>
      </c>
      <c r="T3821" s="4">
        <f t="shared" si="176"/>
        <v>23540</v>
      </c>
      <c r="U3821" s="4">
        <f t="shared" si="185"/>
        <v>26364.800000000003</v>
      </c>
      <c r="V3821" s="1"/>
      <c r="W3821" s="3">
        <v>2014</v>
      </c>
      <c r="X3821" s="3"/>
    </row>
    <row r="3822" spans="1:24" ht="102">
      <c r="A3822" s="3" t="s">
        <v>10401</v>
      </c>
      <c r="B3822" s="6" t="s">
        <v>361</v>
      </c>
      <c r="C3822" s="100" t="s">
        <v>5257</v>
      </c>
      <c r="D3822" s="100" t="s">
        <v>5258</v>
      </c>
      <c r="E3822" s="100" t="s">
        <v>5259</v>
      </c>
      <c r="F3822" s="57" t="s">
        <v>5261</v>
      </c>
      <c r="G3822" s="3" t="s">
        <v>11449</v>
      </c>
      <c r="H3822" s="54">
        <v>0</v>
      </c>
      <c r="I3822" s="16">
        <v>470000000</v>
      </c>
      <c r="J3822" s="16" t="s">
        <v>229</v>
      </c>
      <c r="K3822" s="57" t="s">
        <v>641</v>
      </c>
      <c r="L3822" s="57" t="s">
        <v>364</v>
      </c>
      <c r="M3822" s="162" t="s">
        <v>230</v>
      </c>
      <c r="N3822" s="8" t="s">
        <v>8898</v>
      </c>
      <c r="O3822" s="6" t="s">
        <v>622</v>
      </c>
      <c r="P3822" s="3">
        <v>796</v>
      </c>
      <c r="Q3822" s="31" t="s">
        <v>234</v>
      </c>
      <c r="R3822" s="27">
        <v>10</v>
      </c>
      <c r="S3822" s="1">
        <v>2500</v>
      </c>
      <c r="T3822" s="4">
        <f t="shared" si="176"/>
        <v>25000</v>
      </c>
      <c r="U3822" s="4">
        <f t="shared" si="185"/>
        <v>28000.000000000004</v>
      </c>
      <c r="V3822" s="1"/>
      <c r="W3822" s="3">
        <v>2014</v>
      </c>
      <c r="X3822" s="3"/>
    </row>
    <row r="3823" spans="1:24" ht="114.75">
      <c r="A3823" s="3" t="s">
        <v>10402</v>
      </c>
      <c r="B3823" s="6" t="s">
        <v>361</v>
      </c>
      <c r="C3823" s="100" t="s">
        <v>5262</v>
      </c>
      <c r="D3823" s="100" t="s">
        <v>5217</v>
      </c>
      <c r="E3823" s="100" t="s">
        <v>5263</v>
      </c>
      <c r="F3823" s="57" t="s">
        <v>5264</v>
      </c>
      <c r="G3823" s="3" t="s">
        <v>11449</v>
      </c>
      <c r="H3823" s="54">
        <v>0</v>
      </c>
      <c r="I3823" s="16">
        <v>470000000</v>
      </c>
      <c r="J3823" s="16" t="s">
        <v>229</v>
      </c>
      <c r="K3823" s="57" t="s">
        <v>641</v>
      </c>
      <c r="L3823" s="57" t="s">
        <v>364</v>
      </c>
      <c r="M3823" s="162" t="s">
        <v>230</v>
      </c>
      <c r="N3823" s="8" t="s">
        <v>8898</v>
      </c>
      <c r="O3823" s="6" t="s">
        <v>622</v>
      </c>
      <c r="P3823" s="3">
        <v>796</v>
      </c>
      <c r="Q3823" s="31" t="s">
        <v>234</v>
      </c>
      <c r="R3823" s="27">
        <v>10</v>
      </c>
      <c r="S3823" s="59">
        <v>1550</v>
      </c>
      <c r="T3823" s="4">
        <f t="shared" si="176"/>
        <v>15500</v>
      </c>
      <c r="U3823" s="4">
        <f t="shared" si="185"/>
        <v>17360</v>
      </c>
      <c r="V3823" s="1"/>
      <c r="W3823" s="3">
        <v>2014</v>
      </c>
      <c r="X3823" s="3"/>
    </row>
    <row r="3824" spans="1:24" ht="114.75">
      <c r="A3824" s="3" t="s">
        <v>10403</v>
      </c>
      <c r="B3824" s="6" t="s">
        <v>361</v>
      </c>
      <c r="C3824" s="100" t="s">
        <v>5265</v>
      </c>
      <c r="D3824" s="100" t="s">
        <v>5217</v>
      </c>
      <c r="E3824" s="100" t="s">
        <v>5266</v>
      </c>
      <c r="F3824" s="57" t="s">
        <v>5267</v>
      </c>
      <c r="G3824" s="3" t="s">
        <v>11449</v>
      </c>
      <c r="H3824" s="54">
        <v>0</v>
      </c>
      <c r="I3824" s="16">
        <v>470000000</v>
      </c>
      <c r="J3824" s="16" t="s">
        <v>229</v>
      </c>
      <c r="K3824" s="57" t="s">
        <v>641</v>
      </c>
      <c r="L3824" s="57" t="s">
        <v>364</v>
      </c>
      <c r="M3824" s="162" t="s">
        <v>230</v>
      </c>
      <c r="N3824" s="8" t="s">
        <v>8898</v>
      </c>
      <c r="O3824" s="6" t="s">
        <v>622</v>
      </c>
      <c r="P3824" s="3">
        <v>796</v>
      </c>
      <c r="Q3824" s="31" t="s">
        <v>234</v>
      </c>
      <c r="R3824" s="27">
        <v>10</v>
      </c>
      <c r="S3824" s="59">
        <v>1600</v>
      </c>
      <c r="T3824" s="4">
        <f t="shared" si="176"/>
        <v>16000</v>
      </c>
      <c r="U3824" s="4">
        <f t="shared" si="185"/>
        <v>17920</v>
      </c>
      <c r="V3824" s="1"/>
      <c r="W3824" s="3">
        <v>2014</v>
      </c>
      <c r="X3824" s="3"/>
    </row>
    <row r="3825" spans="1:24" ht="114.75">
      <c r="A3825" s="3" t="s">
        <v>10404</v>
      </c>
      <c r="B3825" s="6" t="s">
        <v>361</v>
      </c>
      <c r="C3825" s="100" t="s">
        <v>5265</v>
      </c>
      <c r="D3825" s="100" t="s">
        <v>5217</v>
      </c>
      <c r="E3825" s="100" t="s">
        <v>5266</v>
      </c>
      <c r="F3825" s="57" t="s">
        <v>5268</v>
      </c>
      <c r="G3825" s="3" t="s">
        <v>11449</v>
      </c>
      <c r="H3825" s="54">
        <v>0</v>
      </c>
      <c r="I3825" s="16">
        <v>470000000</v>
      </c>
      <c r="J3825" s="16" t="s">
        <v>229</v>
      </c>
      <c r="K3825" s="57" t="s">
        <v>641</v>
      </c>
      <c r="L3825" s="57" t="s">
        <v>364</v>
      </c>
      <c r="M3825" s="162" t="s">
        <v>230</v>
      </c>
      <c r="N3825" s="8" t="s">
        <v>8898</v>
      </c>
      <c r="O3825" s="6" t="s">
        <v>622</v>
      </c>
      <c r="P3825" s="3">
        <v>796</v>
      </c>
      <c r="Q3825" s="31" t="s">
        <v>234</v>
      </c>
      <c r="R3825" s="27">
        <v>20</v>
      </c>
      <c r="S3825" s="59">
        <v>16078.5</v>
      </c>
      <c r="T3825" s="4">
        <f t="shared" si="176"/>
        <v>321570</v>
      </c>
      <c r="U3825" s="4">
        <f t="shared" si="185"/>
        <v>360158.4</v>
      </c>
      <c r="V3825" s="1"/>
      <c r="W3825" s="3">
        <v>2014</v>
      </c>
      <c r="X3825" s="3"/>
    </row>
    <row r="3826" spans="1:24" ht="114.75">
      <c r="A3826" s="3" t="s">
        <v>10405</v>
      </c>
      <c r="B3826" s="6" t="s">
        <v>361</v>
      </c>
      <c r="C3826" s="100" t="s">
        <v>5265</v>
      </c>
      <c r="D3826" s="100" t="s">
        <v>5217</v>
      </c>
      <c r="E3826" s="100" t="s">
        <v>5266</v>
      </c>
      <c r="F3826" s="57" t="s">
        <v>5268</v>
      </c>
      <c r="G3826" s="3" t="s">
        <v>11449</v>
      </c>
      <c r="H3826" s="54">
        <v>0</v>
      </c>
      <c r="I3826" s="16">
        <v>470000000</v>
      </c>
      <c r="J3826" s="16" t="s">
        <v>229</v>
      </c>
      <c r="K3826" s="57" t="s">
        <v>641</v>
      </c>
      <c r="L3826" s="57" t="s">
        <v>364</v>
      </c>
      <c r="M3826" s="162" t="s">
        <v>230</v>
      </c>
      <c r="N3826" s="8" t="s">
        <v>8898</v>
      </c>
      <c r="O3826" s="6" t="s">
        <v>622</v>
      </c>
      <c r="P3826" s="3">
        <v>796</v>
      </c>
      <c r="Q3826" s="31" t="s">
        <v>234</v>
      </c>
      <c r="R3826" s="27">
        <v>10</v>
      </c>
      <c r="S3826" s="59">
        <v>17000</v>
      </c>
      <c r="T3826" s="4">
        <f t="shared" si="176"/>
        <v>170000</v>
      </c>
      <c r="U3826" s="4">
        <f t="shared" si="185"/>
        <v>190400.00000000003</v>
      </c>
      <c r="V3826" s="1"/>
      <c r="W3826" s="3">
        <v>2014</v>
      </c>
      <c r="X3826" s="3"/>
    </row>
    <row r="3827" spans="1:24" ht="114.75">
      <c r="A3827" s="3" t="s">
        <v>10406</v>
      </c>
      <c r="B3827" s="6" t="s">
        <v>361</v>
      </c>
      <c r="C3827" s="100" t="s">
        <v>5265</v>
      </c>
      <c r="D3827" s="100" t="s">
        <v>5217</v>
      </c>
      <c r="E3827" s="100" t="s">
        <v>5266</v>
      </c>
      <c r="F3827" s="57" t="s">
        <v>5269</v>
      </c>
      <c r="G3827" s="3" t="s">
        <v>11449</v>
      </c>
      <c r="H3827" s="54">
        <v>0</v>
      </c>
      <c r="I3827" s="16">
        <v>470000000</v>
      </c>
      <c r="J3827" s="16" t="s">
        <v>229</v>
      </c>
      <c r="K3827" s="57" t="s">
        <v>641</v>
      </c>
      <c r="L3827" s="57" t="s">
        <v>364</v>
      </c>
      <c r="M3827" s="162" t="s">
        <v>230</v>
      </c>
      <c r="N3827" s="8" t="s">
        <v>8898</v>
      </c>
      <c r="O3827" s="6" t="s">
        <v>622</v>
      </c>
      <c r="P3827" s="3">
        <v>796</v>
      </c>
      <c r="Q3827" s="31" t="s">
        <v>234</v>
      </c>
      <c r="R3827" s="31">
        <v>20</v>
      </c>
      <c r="S3827" s="59">
        <v>17500</v>
      </c>
      <c r="T3827" s="4">
        <f t="shared" si="176"/>
        <v>350000</v>
      </c>
      <c r="U3827" s="4">
        <f t="shared" si="185"/>
        <v>392000.00000000006</v>
      </c>
      <c r="V3827" s="1"/>
      <c r="W3827" s="3">
        <v>2014</v>
      </c>
      <c r="X3827" s="3"/>
    </row>
    <row r="3828" spans="1:24" ht="114.75">
      <c r="A3828" s="3" t="s">
        <v>10407</v>
      </c>
      <c r="B3828" s="6" t="s">
        <v>361</v>
      </c>
      <c r="C3828" s="100" t="s">
        <v>5265</v>
      </c>
      <c r="D3828" s="100" t="s">
        <v>5217</v>
      </c>
      <c r="E3828" s="100" t="s">
        <v>5266</v>
      </c>
      <c r="F3828" s="57" t="s">
        <v>5270</v>
      </c>
      <c r="G3828" s="3" t="s">
        <v>11449</v>
      </c>
      <c r="H3828" s="54">
        <v>0</v>
      </c>
      <c r="I3828" s="16">
        <v>470000000</v>
      </c>
      <c r="J3828" s="16" t="s">
        <v>229</v>
      </c>
      <c r="K3828" s="57" t="s">
        <v>641</v>
      </c>
      <c r="L3828" s="57" t="s">
        <v>364</v>
      </c>
      <c r="M3828" s="162" t="s">
        <v>230</v>
      </c>
      <c r="N3828" s="8" t="s">
        <v>8898</v>
      </c>
      <c r="O3828" s="6" t="s">
        <v>622</v>
      </c>
      <c r="P3828" s="3">
        <v>796</v>
      </c>
      <c r="Q3828" s="31" t="s">
        <v>234</v>
      </c>
      <c r="R3828" s="27">
        <v>20</v>
      </c>
      <c r="S3828" s="1">
        <v>7740</v>
      </c>
      <c r="T3828" s="4">
        <f t="shared" ref="T3828:T3856" si="186">R3828*S3828</f>
        <v>154800</v>
      </c>
      <c r="U3828" s="4">
        <f t="shared" si="185"/>
        <v>173376.00000000003</v>
      </c>
      <c r="V3828" s="1"/>
      <c r="W3828" s="3">
        <v>2014</v>
      </c>
      <c r="X3828" s="3"/>
    </row>
    <row r="3829" spans="1:24" ht="114.75">
      <c r="A3829" s="3" t="s">
        <v>10408</v>
      </c>
      <c r="B3829" s="6" t="s">
        <v>361</v>
      </c>
      <c r="C3829" s="100" t="s">
        <v>5265</v>
      </c>
      <c r="D3829" s="100" t="s">
        <v>5217</v>
      </c>
      <c r="E3829" s="100" t="s">
        <v>5266</v>
      </c>
      <c r="F3829" s="57" t="s">
        <v>5271</v>
      </c>
      <c r="G3829" s="3" t="s">
        <v>11449</v>
      </c>
      <c r="H3829" s="54">
        <v>0</v>
      </c>
      <c r="I3829" s="16">
        <v>470000000</v>
      </c>
      <c r="J3829" s="16" t="s">
        <v>229</v>
      </c>
      <c r="K3829" s="57" t="s">
        <v>641</v>
      </c>
      <c r="L3829" s="57" t="s">
        <v>364</v>
      </c>
      <c r="M3829" s="162" t="s">
        <v>230</v>
      </c>
      <c r="N3829" s="8" t="s">
        <v>8898</v>
      </c>
      <c r="O3829" s="6" t="s">
        <v>622</v>
      </c>
      <c r="P3829" s="3">
        <v>796</v>
      </c>
      <c r="Q3829" s="31" t="s">
        <v>234</v>
      </c>
      <c r="R3829" s="27">
        <v>20</v>
      </c>
      <c r="S3829" s="59">
        <v>12386.3</v>
      </c>
      <c r="T3829" s="4">
        <f t="shared" si="186"/>
        <v>247726</v>
      </c>
      <c r="U3829" s="4">
        <f t="shared" si="185"/>
        <v>277453.12000000005</v>
      </c>
      <c r="V3829" s="1"/>
      <c r="W3829" s="3">
        <v>2014</v>
      </c>
      <c r="X3829" s="3"/>
    </row>
    <row r="3830" spans="1:24" ht="114.75">
      <c r="A3830" s="3" t="s">
        <v>10409</v>
      </c>
      <c r="B3830" s="6" t="s">
        <v>361</v>
      </c>
      <c r="C3830" s="100" t="s">
        <v>5265</v>
      </c>
      <c r="D3830" s="100" t="s">
        <v>5217</v>
      </c>
      <c r="E3830" s="100" t="s">
        <v>5266</v>
      </c>
      <c r="F3830" s="57" t="s">
        <v>5272</v>
      </c>
      <c r="G3830" s="3" t="s">
        <v>11449</v>
      </c>
      <c r="H3830" s="54">
        <v>0</v>
      </c>
      <c r="I3830" s="16">
        <v>470000000</v>
      </c>
      <c r="J3830" s="16" t="s">
        <v>229</v>
      </c>
      <c r="K3830" s="57" t="s">
        <v>641</v>
      </c>
      <c r="L3830" s="57" t="s">
        <v>364</v>
      </c>
      <c r="M3830" s="162" t="s">
        <v>230</v>
      </c>
      <c r="N3830" s="8" t="s">
        <v>8898</v>
      </c>
      <c r="O3830" s="6" t="s">
        <v>622</v>
      </c>
      <c r="P3830" s="3">
        <v>796</v>
      </c>
      <c r="Q3830" s="31" t="s">
        <v>234</v>
      </c>
      <c r="R3830" s="27">
        <v>10</v>
      </c>
      <c r="S3830" s="59">
        <v>5470</v>
      </c>
      <c r="T3830" s="4">
        <f t="shared" si="186"/>
        <v>54700</v>
      </c>
      <c r="U3830" s="4">
        <f t="shared" si="185"/>
        <v>61264.000000000007</v>
      </c>
      <c r="V3830" s="1"/>
      <c r="W3830" s="3">
        <v>2014</v>
      </c>
      <c r="X3830" s="3"/>
    </row>
    <row r="3831" spans="1:24" ht="89.25">
      <c r="A3831" s="3" t="s">
        <v>10410</v>
      </c>
      <c r="B3831" s="6" t="s">
        <v>361</v>
      </c>
      <c r="C3831" s="100" t="s">
        <v>5273</v>
      </c>
      <c r="D3831" s="100" t="s">
        <v>5274</v>
      </c>
      <c r="E3831" s="100" t="s">
        <v>5275</v>
      </c>
      <c r="F3831" s="57" t="s">
        <v>5276</v>
      </c>
      <c r="G3831" s="3" t="s">
        <v>11449</v>
      </c>
      <c r="H3831" s="54">
        <v>0</v>
      </c>
      <c r="I3831" s="16">
        <v>470000000</v>
      </c>
      <c r="J3831" s="16" t="s">
        <v>229</v>
      </c>
      <c r="K3831" s="57" t="s">
        <v>641</v>
      </c>
      <c r="L3831" s="57" t="s">
        <v>364</v>
      </c>
      <c r="M3831" s="162" t="s">
        <v>230</v>
      </c>
      <c r="N3831" s="8" t="s">
        <v>8898</v>
      </c>
      <c r="O3831" s="6" t="s">
        <v>622</v>
      </c>
      <c r="P3831" s="3">
        <v>796</v>
      </c>
      <c r="Q3831" s="31" t="s">
        <v>234</v>
      </c>
      <c r="R3831" s="31">
        <v>10</v>
      </c>
      <c r="S3831" s="59">
        <f>2200*1.07</f>
        <v>2354</v>
      </c>
      <c r="T3831" s="4">
        <f t="shared" si="186"/>
        <v>23540</v>
      </c>
      <c r="U3831" s="4">
        <f t="shared" si="185"/>
        <v>26364.800000000003</v>
      </c>
      <c r="V3831" s="1"/>
      <c r="W3831" s="3">
        <v>2014</v>
      </c>
      <c r="X3831" s="3"/>
    </row>
    <row r="3832" spans="1:24" ht="76.5">
      <c r="A3832" s="3" t="s">
        <v>10411</v>
      </c>
      <c r="B3832" s="6" t="s">
        <v>361</v>
      </c>
      <c r="C3832" s="100" t="s">
        <v>5216</v>
      </c>
      <c r="D3832" s="100" t="s">
        <v>5217</v>
      </c>
      <c r="E3832" s="100" t="s">
        <v>5218</v>
      </c>
      <c r="F3832" s="57" t="s">
        <v>5277</v>
      </c>
      <c r="G3832" s="3" t="s">
        <v>11449</v>
      </c>
      <c r="H3832" s="54">
        <v>0</v>
      </c>
      <c r="I3832" s="16">
        <v>470000000</v>
      </c>
      <c r="J3832" s="16" t="s">
        <v>229</v>
      </c>
      <c r="K3832" s="57" t="s">
        <v>641</v>
      </c>
      <c r="L3832" s="57" t="s">
        <v>364</v>
      </c>
      <c r="M3832" s="162" t="s">
        <v>230</v>
      </c>
      <c r="N3832" s="8" t="s">
        <v>8898</v>
      </c>
      <c r="O3832" s="6" t="s">
        <v>622</v>
      </c>
      <c r="P3832" s="3">
        <v>796</v>
      </c>
      <c r="Q3832" s="31" t="s">
        <v>234</v>
      </c>
      <c r="R3832" s="27">
        <v>10</v>
      </c>
      <c r="S3832" s="59">
        <v>3512.18</v>
      </c>
      <c r="T3832" s="4">
        <f t="shared" si="186"/>
        <v>35121.799999999996</v>
      </c>
      <c r="U3832" s="4">
        <f t="shared" si="185"/>
        <v>39336.415999999997</v>
      </c>
      <c r="V3832" s="1"/>
      <c r="W3832" s="3">
        <v>2014</v>
      </c>
      <c r="X3832" s="3"/>
    </row>
    <row r="3833" spans="1:24" ht="76.5">
      <c r="A3833" s="3" t="s">
        <v>10412</v>
      </c>
      <c r="B3833" s="6" t="s">
        <v>361</v>
      </c>
      <c r="C3833" s="100" t="s">
        <v>5216</v>
      </c>
      <c r="D3833" s="100" t="s">
        <v>5217</v>
      </c>
      <c r="E3833" s="100" t="s">
        <v>5218</v>
      </c>
      <c r="F3833" s="57" t="s">
        <v>5278</v>
      </c>
      <c r="G3833" s="3" t="s">
        <v>11449</v>
      </c>
      <c r="H3833" s="54">
        <v>0</v>
      </c>
      <c r="I3833" s="16">
        <v>470000000</v>
      </c>
      <c r="J3833" s="16" t="s">
        <v>229</v>
      </c>
      <c r="K3833" s="57" t="s">
        <v>641</v>
      </c>
      <c r="L3833" s="57" t="s">
        <v>364</v>
      </c>
      <c r="M3833" s="162" t="s">
        <v>230</v>
      </c>
      <c r="N3833" s="8" t="s">
        <v>8898</v>
      </c>
      <c r="O3833" s="6" t="s">
        <v>622</v>
      </c>
      <c r="P3833" s="3">
        <v>796</v>
      </c>
      <c r="Q3833" s="31" t="s">
        <v>234</v>
      </c>
      <c r="R3833" s="31">
        <v>10</v>
      </c>
      <c r="S3833" s="59">
        <v>77512.19</v>
      </c>
      <c r="T3833" s="4">
        <f t="shared" si="186"/>
        <v>775121.9</v>
      </c>
      <c r="U3833" s="4">
        <f t="shared" si="185"/>
        <v>868136.52800000017</v>
      </c>
      <c r="V3833" s="1"/>
      <c r="W3833" s="3">
        <v>2014</v>
      </c>
      <c r="X3833" s="3"/>
    </row>
    <row r="3834" spans="1:24" ht="114.75">
      <c r="A3834" s="3" t="s">
        <v>10413</v>
      </c>
      <c r="B3834" s="6" t="s">
        <v>361</v>
      </c>
      <c r="C3834" s="100" t="s">
        <v>5262</v>
      </c>
      <c r="D3834" s="100" t="s">
        <v>5217</v>
      </c>
      <c r="E3834" s="100" t="s">
        <v>5263</v>
      </c>
      <c r="F3834" s="57" t="s">
        <v>5279</v>
      </c>
      <c r="G3834" s="3" t="s">
        <v>11449</v>
      </c>
      <c r="H3834" s="54">
        <v>0</v>
      </c>
      <c r="I3834" s="16">
        <v>470000000</v>
      </c>
      <c r="J3834" s="16" t="s">
        <v>229</v>
      </c>
      <c r="K3834" s="57" t="s">
        <v>641</v>
      </c>
      <c r="L3834" s="57" t="s">
        <v>364</v>
      </c>
      <c r="M3834" s="162" t="s">
        <v>230</v>
      </c>
      <c r="N3834" s="8" t="s">
        <v>8898</v>
      </c>
      <c r="O3834" s="6" t="s">
        <v>622</v>
      </c>
      <c r="P3834" s="3">
        <v>796</v>
      </c>
      <c r="Q3834" s="31" t="s">
        <v>234</v>
      </c>
      <c r="R3834" s="27">
        <v>10</v>
      </c>
      <c r="S3834" s="59">
        <v>600</v>
      </c>
      <c r="T3834" s="4">
        <f t="shared" si="186"/>
        <v>6000</v>
      </c>
      <c r="U3834" s="4">
        <f t="shared" si="185"/>
        <v>6720.0000000000009</v>
      </c>
      <c r="V3834" s="1"/>
      <c r="W3834" s="3">
        <v>2014</v>
      </c>
      <c r="X3834" s="3"/>
    </row>
    <row r="3835" spans="1:24" ht="114.75">
      <c r="A3835" s="3" t="s">
        <v>10414</v>
      </c>
      <c r="B3835" s="6" t="s">
        <v>361</v>
      </c>
      <c r="C3835" s="100" t="s">
        <v>5262</v>
      </c>
      <c r="D3835" s="100" t="s">
        <v>5217</v>
      </c>
      <c r="E3835" s="100" t="s">
        <v>5263</v>
      </c>
      <c r="F3835" s="57" t="s">
        <v>5280</v>
      </c>
      <c r="G3835" s="3" t="s">
        <v>11449</v>
      </c>
      <c r="H3835" s="54">
        <v>0</v>
      </c>
      <c r="I3835" s="16">
        <v>470000000</v>
      </c>
      <c r="J3835" s="16" t="s">
        <v>229</v>
      </c>
      <c r="K3835" s="57" t="s">
        <v>641</v>
      </c>
      <c r="L3835" s="57" t="s">
        <v>364</v>
      </c>
      <c r="M3835" s="162" t="s">
        <v>230</v>
      </c>
      <c r="N3835" s="8" t="s">
        <v>8898</v>
      </c>
      <c r="O3835" s="6" t="s">
        <v>622</v>
      </c>
      <c r="P3835" s="3">
        <v>796</v>
      </c>
      <c r="Q3835" s="31" t="s">
        <v>234</v>
      </c>
      <c r="R3835" s="27">
        <v>30</v>
      </c>
      <c r="S3835" s="59">
        <v>306</v>
      </c>
      <c r="T3835" s="4">
        <f t="shared" si="186"/>
        <v>9180</v>
      </c>
      <c r="U3835" s="4">
        <f t="shared" si="185"/>
        <v>10281.6</v>
      </c>
      <c r="V3835" s="1"/>
      <c r="W3835" s="3">
        <v>2014</v>
      </c>
      <c r="X3835" s="3"/>
    </row>
    <row r="3836" spans="1:24" ht="102">
      <c r="A3836" s="3" t="s">
        <v>10415</v>
      </c>
      <c r="B3836" s="6" t="s">
        <v>361</v>
      </c>
      <c r="C3836" s="100" t="s">
        <v>5200</v>
      </c>
      <c r="D3836" s="100" t="s">
        <v>5185</v>
      </c>
      <c r="E3836" s="100" t="s">
        <v>5201</v>
      </c>
      <c r="F3836" s="57" t="s">
        <v>5281</v>
      </c>
      <c r="G3836" s="3" t="s">
        <v>11449</v>
      </c>
      <c r="H3836" s="54">
        <v>0</v>
      </c>
      <c r="I3836" s="16">
        <v>470000000</v>
      </c>
      <c r="J3836" s="16" t="s">
        <v>229</v>
      </c>
      <c r="K3836" s="57" t="s">
        <v>641</v>
      </c>
      <c r="L3836" s="57" t="s">
        <v>364</v>
      </c>
      <c r="M3836" s="162" t="s">
        <v>230</v>
      </c>
      <c r="N3836" s="8" t="s">
        <v>8898</v>
      </c>
      <c r="O3836" s="6" t="s">
        <v>622</v>
      </c>
      <c r="P3836" s="3">
        <v>796</v>
      </c>
      <c r="Q3836" s="31" t="s">
        <v>234</v>
      </c>
      <c r="R3836" s="31">
        <v>10</v>
      </c>
      <c r="S3836" s="59">
        <v>51587.87</v>
      </c>
      <c r="T3836" s="4">
        <f t="shared" si="186"/>
        <v>515878.7</v>
      </c>
      <c r="U3836" s="4">
        <f t="shared" si="185"/>
        <v>577784.14400000009</v>
      </c>
      <c r="V3836" s="1"/>
      <c r="W3836" s="3">
        <v>2014</v>
      </c>
      <c r="X3836" s="3"/>
    </row>
    <row r="3837" spans="1:24" ht="102">
      <c r="A3837" s="3" t="s">
        <v>10416</v>
      </c>
      <c r="B3837" s="6" t="s">
        <v>361</v>
      </c>
      <c r="C3837" s="100" t="s">
        <v>5200</v>
      </c>
      <c r="D3837" s="100" t="s">
        <v>5185</v>
      </c>
      <c r="E3837" s="100" t="s">
        <v>5201</v>
      </c>
      <c r="F3837" s="57" t="s">
        <v>5282</v>
      </c>
      <c r="G3837" s="3" t="s">
        <v>11449</v>
      </c>
      <c r="H3837" s="54">
        <v>0</v>
      </c>
      <c r="I3837" s="16">
        <v>470000000</v>
      </c>
      <c r="J3837" s="16" t="s">
        <v>229</v>
      </c>
      <c r="K3837" s="57" t="s">
        <v>641</v>
      </c>
      <c r="L3837" s="57" t="s">
        <v>364</v>
      </c>
      <c r="M3837" s="162" t="s">
        <v>230</v>
      </c>
      <c r="N3837" s="8" t="s">
        <v>8898</v>
      </c>
      <c r="O3837" s="6" t="s">
        <v>622</v>
      </c>
      <c r="P3837" s="3">
        <v>796</v>
      </c>
      <c r="Q3837" s="31" t="s">
        <v>234</v>
      </c>
      <c r="R3837" s="27">
        <v>10</v>
      </c>
      <c r="S3837" s="59">
        <v>2800</v>
      </c>
      <c r="T3837" s="4">
        <f t="shared" si="186"/>
        <v>28000</v>
      </c>
      <c r="U3837" s="4">
        <f t="shared" si="185"/>
        <v>31360.000000000004</v>
      </c>
      <c r="V3837" s="1"/>
      <c r="W3837" s="3">
        <v>2014</v>
      </c>
      <c r="X3837" s="3"/>
    </row>
    <row r="3838" spans="1:24" ht="102">
      <c r="A3838" s="3" t="s">
        <v>10417</v>
      </c>
      <c r="B3838" s="6" t="s">
        <v>361</v>
      </c>
      <c r="C3838" s="100" t="s">
        <v>5283</v>
      </c>
      <c r="D3838" s="100" t="s">
        <v>5258</v>
      </c>
      <c r="E3838" s="100" t="s">
        <v>5284</v>
      </c>
      <c r="F3838" s="57" t="s">
        <v>5285</v>
      </c>
      <c r="G3838" s="3" t="s">
        <v>11449</v>
      </c>
      <c r="H3838" s="54">
        <v>0</v>
      </c>
      <c r="I3838" s="16">
        <v>470000000</v>
      </c>
      <c r="J3838" s="16" t="s">
        <v>229</v>
      </c>
      <c r="K3838" s="57" t="s">
        <v>641</v>
      </c>
      <c r="L3838" s="57" t="s">
        <v>364</v>
      </c>
      <c r="M3838" s="162" t="s">
        <v>230</v>
      </c>
      <c r="N3838" s="8" t="s">
        <v>8898</v>
      </c>
      <c r="O3838" s="6" t="s">
        <v>622</v>
      </c>
      <c r="P3838" s="3">
        <v>796</v>
      </c>
      <c r="Q3838" s="31" t="s">
        <v>234</v>
      </c>
      <c r="R3838" s="27">
        <v>30</v>
      </c>
      <c r="S3838" s="59">
        <v>350</v>
      </c>
      <c r="T3838" s="4">
        <f t="shared" si="186"/>
        <v>10500</v>
      </c>
      <c r="U3838" s="4">
        <f t="shared" si="185"/>
        <v>11760.000000000002</v>
      </c>
      <c r="V3838" s="1"/>
      <c r="W3838" s="3">
        <v>2014</v>
      </c>
      <c r="X3838" s="3"/>
    </row>
    <row r="3839" spans="1:24" ht="102">
      <c r="A3839" s="3" t="s">
        <v>10418</v>
      </c>
      <c r="B3839" s="6" t="s">
        <v>361</v>
      </c>
      <c r="C3839" s="100" t="s">
        <v>5257</v>
      </c>
      <c r="D3839" s="100" t="s">
        <v>5258</v>
      </c>
      <c r="E3839" s="100" t="s">
        <v>5259</v>
      </c>
      <c r="F3839" s="57" t="s">
        <v>5286</v>
      </c>
      <c r="G3839" s="3" t="s">
        <v>11449</v>
      </c>
      <c r="H3839" s="54">
        <v>0</v>
      </c>
      <c r="I3839" s="16">
        <v>470000000</v>
      </c>
      <c r="J3839" s="16" t="s">
        <v>229</v>
      </c>
      <c r="K3839" s="57" t="s">
        <v>641</v>
      </c>
      <c r="L3839" s="57" t="s">
        <v>364</v>
      </c>
      <c r="M3839" s="162" t="s">
        <v>230</v>
      </c>
      <c r="N3839" s="8" t="s">
        <v>8898</v>
      </c>
      <c r="O3839" s="6" t="s">
        <v>622</v>
      </c>
      <c r="P3839" s="3">
        <v>796</v>
      </c>
      <c r="Q3839" s="31" t="s">
        <v>234</v>
      </c>
      <c r="R3839" s="27">
        <v>6</v>
      </c>
      <c r="S3839" s="59">
        <v>3205.2</v>
      </c>
      <c r="T3839" s="4">
        <f t="shared" si="186"/>
        <v>19231.199999999997</v>
      </c>
      <c r="U3839" s="4">
        <f t="shared" si="185"/>
        <v>21538.944</v>
      </c>
      <c r="V3839" s="1"/>
      <c r="W3839" s="3">
        <v>2014</v>
      </c>
      <c r="X3839" s="3"/>
    </row>
    <row r="3840" spans="1:24" ht="102">
      <c r="A3840" s="3" t="s">
        <v>10419</v>
      </c>
      <c r="B3840" s="6" t="s">
        <v>361</v>
      </c>
      <c r="C3840" s="100" t="s">
        <v>5257</v>
      </c>
      <c r="D3840" s="100" t="s">
        <v>5258</v>
      </c>
      <c r="E3840" s="100" t="s">
        <v>5259</v>
      </c>
      <c r="F3840" s="57" t="s">
        <v>5287</v>
      </c>
      <c r="G3840" s="3" t="s">
        <v>11449</v>
      </c>
      <c r="H3840" s="54">
        <v>0</v>
      </c>
      <c r="I3840" s="16">
        <v>470000000</v>
      </c>
      <c r="J3840" s="16" t="s">
        <v>229</v>
      </c>
      <c r="K3840" s="57" t="s">
        <v>641</v>
      </c>
      <c r="L3840" s="57" t="s">
        <v>364</v>
      </c>
      <c r="M3840" s="162" t="s">
        <v>230</v>
      </c>
      <c r="N3840" s="8" t="s">
        <v>8898</v>
      </c>
      <c r="O3840" s="6" t="s">
        <v>622</v>
      </c>
      <c r="P3840" s="3">
        <v>796</v>
      </c>
      <c r="Q3840" s="31" t="s">
        <v>234</v>
      </c>
      <c r="R3840" s="27">
        <v>6</v>
      </c>
      <c r="S3840" s="59">
        <v>3205.2</v>
      </c>
      <c r="T3840" s="4">
        <f t="shared" si="186"/>
        <v>19231.199999999997</v>
      </c>
      <c r="U3840" s="4">
        <f t="shared" si="185"/>
        <v>21538.944</v>
      </c>
      <c r="V3840" s="1"/>
      <c r="W3840" s="3">
        <v>2014</v>
      </c>
      <c r="X3840" s="3"/>
    </row>
    <row r="3841" spans="1:24" ht="102">
      <c r="A3841" s="3" t="s">
        <v>10420</v>
      </c>
      <c r="B3841" s="6" t="s">
        <v>361</v>
      </c>
      <c r="C3841" s="100" t="s">
        <v>5288</v>
      </c>
      <c r="D3841" s="100" t="s">
        <v>5258</v>
      </c>
      <c r="E3841" s="100" t="s">
        <v>5289</v>
      </c>
      <c r="F3841" s="57" t="s">
        <v>5290</v>
      </c>
      <c r="G3841" s="3" t="s">
        <v>11449</v>
      </c>
      <c r="H3841" s="54">
        <v>0</v>
      </c>
      <c r="I3841" s="16">
        <v>470000000</v>
      </c>
      <c r="J3841" s="16" t="s">
        <v>229</v>
      </c>
      <c r="K3841" s="57" t="s">
        <v>641</v>
      </c>
      <c r="L3841" s="57" t="s">
        <v>364</v>
      </c>
      <c r="M3841" s="162" t="s">
        <v>230</v>
      </c>
      <c r="N3841" s="8" t="s">
        <v>8898</v>
      </c>
      <c r="O3841" s="6" t="s">
        <v>622</v>
      </c>
      <c r="P3841" s="3">
        <v>796</v>
      </c>
      <c r="Q3841" s="31" t="s">
        <v>234</v>
      </c>
      <c r="R3841" s="27">
        <v>16</v>
      </c>
      <c r="S3841" s="59">
        <v>6312.19</v>
      </c>
      <c r="T3841" s="4">
        <f t="shared" si="186"/>
        <v>100995.04</v>
      </c>
      <c r="U3841" s="4">
        <f t="shared" si="185"/>
        <v>113114.4448</v>
      </c>
      <c r="V3841" s="1"/>
      <c r="W3841" s="3">
        <v>2014</v>
      </c>
      <c r="X3841" s="3"/>
    </row>
    <row r="3842" spans="1:24" ht="102">
      <c r="A3842" s="3" t="s">
        <v>10421</v>
      </c>
      <c r="B3842" s="6" t="s">
        <v>361</v>
      </c>
      <c r="C3842" s="100" t="s">
        <v>5291</v>
      </c>
      <c r="D3842" s="100" t="s">
        <v>5217</v>
      </c>
      <c r="E3842" s="100" t="s">
        <v>5292</v>
      </c>
      <c r="F3842" s="57" t="s">
        <v>5293</v>
      </c>
      <c r="G3842" s="3" t="s">
        <v>11449</v>
      </c>
      <c r="H3842" s="54">
        <v>0</v>
      </c>
      <c r="I3842" s="16">
        <v>470000000</v>
      </c>
      <c r="J3842" s="16" t="s">
        <v>229</v>
      </c>
      <c r="K3842" s="57" t="s">
        <v>641</v>
      </c>
      <c r="L3842" s="57" t="s">
        <v>364</v>
      </c>
      <c r="M3842" s="162" t="s">
        <v>230</v>
      </c>
      <c r="N3842" s="8" t="s">
        <v>8898</v>
      </c>
      <c r="O3842" s="6" t="s">
        <v>622</v>
      </c>
      <c r="P3842" s="3">
        <v>796</v>
      </c>
      <c r="Q3842" s="31" t="s">
        <v>234</v>
      </c>
      <c r="R3842" s="31">
        <v>15</v>
      </c>
      <c r="S3842" s="59">
        <v>4200</v>
      </c>
      <c r="T3842" s="4">
        <f t="shared" si="186"/>
        <v>63000</v>
      </c>
      <c r="U3842" s="4">
        <f t="shared" si="185"/>
        <v>70560</v>
      </c>
      <c r="V3842" s="1"/>
      <c r="W3842" s="3">
        <v>2014</v>
      </c>
      <c r="X3842" s="3"/>
    </row>
    <row r="3843" spans="1:24" ht="89.25">
      <c r="A3843" s="3" t="s">
        <v>10422</v>
      </c>
      <c r="B3843" s="6" t="s">
        <v>361</v>
      </c>
      <c r="C3843" s="100" t="s">
        <v>5273</v>
      </c>
      <c r="D3843" s="100" t="s">
        <v>5274</v>
      </c>
      <c r="E3843" s="100" t="s">
        <v>5275</v>
      </c>
      <c r="F3843" s="57" t="s">
        <v>5294</v>
      </c>
      <c r="G3843" s="3" t="s">
        <v>11449</v>
      </c>
      <c r="H3843" s="54">
        <v>0</v>
      </c>
      <c r="I3843" s="16">
        <v>470000000</v>
      </c>
      <c r="J3843" s="16" t="s">
        <v>229</v>
      </c>
      <c r="K3843" s="57" t="s">
        <v>641</v>
      </c>
      <c r="L3843" s="57" t="s">
        <v>364</v>
      </c>
      <c r="M3843" s="162" t="s">
        <v>230</v>
      </c>
      <c r="N3843" s="8" t="s">
        <v>8898</v>
      </c>
      <c r="O3843" s="6" t="s">
        <v>622</v>
      </c>
      <c r="P3843" s="3">
        <v>796</v>
      </c>
      <c r="Q3843" s="31" t="s">
        <v>234</v>
      </c>
      <c r="R3843" s="31">
        <v>12</v>
      </c>
      <c r="S3843" s="59">
        <v>4800</v>
      </c>
      <c r="T3843" s="4">
        <f t="shared" si="186"/>
        <v>57600</v>
      </c>
      <c r="U3843" s="4">
        <f t="shared" si="185"/>
        <v>64512.000000000007</v>
      </c>
      <c r="V3843" s="1"/>
      <c r="W3843" s="3">
        <v>2014</v>
      </c>
      <c r="X3843" s="3"/>
    </row>
    <row r="3844" spans="1:24" ht="114.75">
      <c r="A3844" s="3" t="s">
        <v>10423</v>
      </c>
      <c r="B3844" s="6" t="s">
        <v>361</v>
      </c>
      <c r="C3844" s="100" t="s">
        <v>5262</v>
      </c>
      <c r="D3844" s="100" t="s">
        <v>5217</v>
      </c>
      <c r="E3844" s="100" t="s">
        <v>5263</v>
      </c>
      <c r="F3844" s="57" t="s">
        <v>5295</v>
      </c>
      <c r="G3844" s="3" t="s">
        <v>11449</v>
      </c>
      <c r="H3844" s="54">
        <v>0</v>
      </c>
      <c r="I3844" s="16">
        <v>470000000</v>
      </c>
      <c r="J3844" s="16" t="s">
        <v>229</v>
      </c>
      <c r="K3844" s="57" t="s">
        <v>641</v>
      </c>
      <c r="L3844" s="57" t="s">
        <v>364</v>
      </c>
      <c r="M3844" s="162" t="s">
        <v>230</v>
      </c>
      <c r="N3844" s="8" t="s">
        <v>8898</v>
      </c>
      <c r="O3844" s="6" t="s">
        <v>622</v>
      </c>
      <c r="P3844" s="3">
        <v>796</v>
      </c>
      <c r="Q3844" s="31" t="s">
        <v>234</v>
      </c>
      <c r="R3844" s="31">
        <v>12</v>
      </c>
      <c r="S3844" s="59">
        <f>2000*1.07</f>
        <v>2140</v>
      </c>
      <c r="T3844" s="4">
        <f t="shared" si="186"/>
        <v>25680</v>
      </c>
      <c r="U3844" s="4">
        <f t="shared" si="185"/>
        <v>28761.600000000002</v>
      </c>
      <c r="V3844" s="1"/>
      <c r="W3844" s="3">
        <v>2014</v>
      </c>
      <c r="X3844" s="3"/>
    </row>
    <row r="3845" spans="1:24" ht="76.5">
      <c r="A3845" s="3" t="s">
        <v>10424</v>
      </c>
      <c r="B3845" s="6" t="s">
        <v>361</v>
      </c>
      <c r="C3845" s="100" t="s">
        <v>5296</v>
      </c>
      <c r="D3845" s="100" t="s">
        <v>5297</v>
      </c>
      <c r="E3845" s="100" t="s">
        <v>5298</v>
      </c>
      <c r="F3845" s="57" t="s">
        <v>5299</v>
      </c>
      <c r="G3845" s="3" t="s">
        <v>11449</v>
      </c>
      <c r="H3845" s="54">
        <v>0</v>
      </c>
      <c r="I3845" s="16">
        <v>470000000</v>
      </c>
      <c r="J3845" s="16" t="s">
        <v>229</v>
      </c>
      <c r="K3845" s="57" t="s">
        <v>641</v>
      </c>
      <c r="L3845" s="57" t="s">
        <v>364</v>
      </c>
      <c r="M3845" s="162" t="s">
        <v>230</v>
      </c>
      <c r="N3845" s="8" t="s">
        <v>8898</v>
      </c>
      <c r="O3845" s="6" t="s">
        <v>622</v>
      </c>
      <c r="P3845" s="3">
        <v>796</v>
      </c>
      <c r="Q3845" s="31" t="s">
        <v>234</v>
      </c>
      <c r="R3845" s="31">
        <v>10</v>
      </c>
      <c r="S3845" s="59">
        <f>900*1.07</f>
        <v>963</v>
      </c>
      <c r="T3845" s="4">
        <f t="shared" si="186"/>
        <v>9630</v>
      </c>
      <c r="U3845" s="4">
        <f t="shared" si="185"/>
        <v>10785.6</v>
      </c>
      <c r="V3845" s="1"/>
      <c r="W3845" s="3">
        <v>2014</v>
      </c>
      <c r="X3845" s="3"/>
    </row>
    <row r="3846" spans="1:24" ht="76.5">
      <c r="A3846" s="3" t="s">
        <v>10425</v>
      </c>
      <c r="B3846" s="6" t="s">
        <v>361</v>
      </c>
      <c r="C3846" s="100" t="s">
        <v>5300</v>
      </c>
      <c r="D3846" s="100" t="s">
        <v>5297</v>
      </c>
      <c r="E3846" s="100" t="s">
        <v>5301</v>
      </c>
      <c r="F3846" s="57" t="s">
        <v>5302</v>
      </c>
      <c r="G3846" s="3" t="s">
        <v>11449</v>
      </c>
      <c r="H3846" s="54">
        <v>0</v>
      </c>
      <c r="I3846" s="16">
        <v>470000000</v>
      </c>
      <c r="J3846" s="16" t="s">
        <v>229</v>
      </c>
      <c r="K3846" s="57" t="s">
        <v>641</v>
      </c>
      <c r="L3846" s="57" t="s">
        <v>364</v>
      </c>
      <c r="M3846" s="162" t="s">
        <v>230</v>
      </c>
      <c r="N3846" s="8" t="s">
        <v>8898</v>
      </c>
      <c r="O3846" s="6" t="s">
        <v>622</v>
      </c>
      <c r="P3846" s="3">
        <v>796</v>
      </c>
      <c r="Q3846" s="31" t="s">
        <v>234</v>
      </c>
      <c r="R3846" s="27">
        <v>10</v>
      </c>
      <c r="S3846" s="59">
        <v>6312.2</v>
      </c>
      <c r="T3846" s="4">
        <f t="shared" si="186"/>
        <v>63122</v>
      </c>
      <c r="U3846" s="4">
        <f t="shared" si="185"/>
        <v>70696.640000000014</v>
      </c>
      <c r="V3846" s="1"/>
      <c r="W3846" s="3">
        <v>2014</v>
      </c>
      <c r="X3846" s="3"/>
    </row>
    <row r="3847" spans="1:24" ht="89.25">
      <c r="A3847" s="3" t="s">
        <v>10426</v>
      </c>
      <c r="B3847" s="6" t="s">
        <v>361</v>
      </c>
      <c r="C3847" s="100" t="s">
        <v>5273</v>
      </c>
      <c r="D3847" s="100" t="s">
        <v>5274</v>
      </c>
      <c r="E3847" s="100" t="s">
        <v>5275</v>
      </c>
      <c r="F3847" s="57" t="s">
        <v>5303</v>
      </c>
      <c r="G3847" s="3" t="s">
        <v>11449</v>
      </c>
      <c r="H3847" s="54">
        <v>0</v>
      </c>
      <c r="I3847" s="16">
        <v>470000000</v>
      </c>
      <c r="J3847" s="16" t="s">
        <v>229</v>
      </c>
      <c r="K3847" s="57" t="s">
        <v>641</v>
      </c>
      <c r="L3847" s="57" t="s">
        <v>364</v>
      </c>
      <c r="M3847" s="162" t="s">
        <v>230</v>
      </c>
      <c r="N3847" s="8" t="s">
        <v>8898</v>
      </c>
      <c r="O3847" s="6" t="s">
        <v>622</v>
      </c>
      <c r="P3847" s="3">
        <v>796</v>
      </c>
      <c r="Q3847" s="31" t="s">
        <v>234</v>
      </c>
      <c r="R3847" s="27">
        <v>10</v>
      </c>
      <c r="S3847" s="59">
        <v>6310.8</v>
      </c>
      <c r="T3847" s="4">
        <f t="shared" si="186"/>
        <v>63108</v>
      </c>
      <c r="U3847" s="4">
        <f t="shared" si="185"/>
        <v>70680.960000000006</v>
      </c>
      <c r="V3847" s="1"/>
      <c r="W3847" s="3">
        <v>2014</v>
      </c>
      <c r="X3847" s="3"/>
    </row>
    <row r="3848" spans="1:24" ht="102">
      <c r="A3848" s="3" t="s">
        <v>10427</v>
      </c>
      <c r="B3848" s="6" t="s">
        <v>361</v>
      </c>
      <c r="C3848" s="100" t="s">
        <v>5190</v>
      </c>
      <c r="D3848" s="100" t="s">
        <v>5185</v>
      </c>
      <c r="E3848" s="100" t="s">
        <v>5191</v>
      </c>
      <c r="F3848" s="57" t="s">
        <v>5304</v>
      </c>
      <c r="G3848" s="3" t="s">
        <v>11449</v>
      </c>
      <c r="H3848" s="54">
        <v>0</v>
      </c>
      <c r="I3848" s="16">
        <v>470000000</v>
      </c>
      <c r="J3848" s="16" t="s">
        <v>229</v>
      </c>
      <c r="K3848" s="57" t="s">
        <v>641</v>
      </c>
      <c r="L3848" s="57" t="s">
        <v>364</v>
      </c>
      <c r="M3848" s="162" t="s">
        <v>230</v>
      </c>
      <c r="N3848" s="8" t="s">
        <v>8898</v>
      </c>
      <c r="O3848" s="6" t="s">
        <v>622</v>
      </c>
      <c r="P3848" s="3">
        <v>796</v>
      </c>
      <c r="Q3848" s="31" t="s">
        <v>234</v>
      </c>
      <c r="R3848" s="27">
        <v>10</v>
      </c>
      <c r="S3848" s="59">
        <v>1812</v>
      </c>
      <c r="T3848" s="4">
        <f t="shared" si="186"/>
        <v>18120</v>
      </c>
      <c r="U3848" s="4">
        <f t="shared" si="185"/>
        <v>20294.400000000001</v>
      </c>
      <c r="V3848" s="1"/>
      <c r="W3848" s="3">
        <v>2014</v>
      </c>
      <c r="X3848" s="3"/>
    </row>
    <row r="3849" spans="1:24" ht="102">
      <c r="A3849" s="3" t="s">
        <v>10428</v>
      </c>
      <c r="B3849" s="6" t="s">
        <v>361</v>
      </c>
      <c r="C3849" s="100" t="s">
        <v>5184</v>
      </c>
      <c r="D3849" s="100" t="s">
        <v>5185</v>
      </c>
      <c r="E3849" s="100" t="s">
        <v>5186</v>
      </c>
      <c r="F3849" s="57" t="s">
        <v>5305</v>
      </c>
      <c r="G3849" s="3" t="s">
        <v>11449</v>
      </c>
      <c r="H3849" s="54">
        <v>0</v>
      </c>
      <c r="I3849" s="16">
        <v>470000000</v>
      </c>
      <c r="J3849" s="16" t="s">
        <v>229</v>
      </c>
      <c r="K3849" s="57" t="s">
        <v>641</v>
      </c>
      <c r="L3849" s="57" t="s">
        <v>364</v>
      </c>
      <c r="M3849" s="162" t="s">
        <v>230</v>
      </c>
      <c r="N3849" s="8" t="s">
        <v>8898</v>
      </c>
      <c r="O3849" s="6" t="s">
        <v>622</v>
      </c>
      <c r="P3849" s="3">
        <v>796</v>
      </c>
      <c r="Q3849" s="31" t="s">
        <v>234</v>
      </c>
      <c r="R3849" s="31">
        <v>10</v>
      </c>
      <c r="S3849" s="59">
        <v>325.8</v>
      </c>
      <c r="T3849" s="4">
        <f t="shared" si="186"/>
        <v>3258</v>
      </c>
      <c r="U3849" s="4">
        <f t="shared" si="185"/>
        <v>3648.9600000000005</v>
      </c>
      <c r="V3849" s="1"/>
      <c r="W3849" s="3">
        <v>2014</v>
      </c>
      <c r="X3849" s="3"/>
    </row>
    <row r="3850" spans="1:24" ht="76.5">
      <c r="A3850" s="3" t="s">
        <v>10429</v>
      </c>
      <c r="B3850" s="6" t="s">
        <v>361</v>
      </c>
      <c r="C3850" s="100" t="s">
        <v>7406</v>
      </c>
      <c r="D3850" s="100" t="s">
        <v>5297</v>
      </c>
      <c r="E3850" s="100" t="s">
        <v>11527</v>
      </c>
      <c r="F3850" s="57"/>
      <c r="G3850" s="3" t="s">
        <v>11449</v>
      </c>
      <c r="H3850" s="54">
        <v>0</v>
      </c>
      <c r="I3850" s="16">
        <v>470000000</v>
      </c>
      <c r="J3850" s="16" t="s">
        <v>229</v>
      </c>
      <c r="K3850" s="57" t="s">
        <v>641</v>
      </c>
      <c r="L3850" s="57" t="s">
        <v>364</v>
      </c>
      <c r="M3850" s="162" t="s">
        <v>230</v>
      </c>
      <c r="N3850" s="8" t="s">
        <v>8898</v>
      </c>
      <c r="O3850" s="6" t="s">
        <v>622</v>
      </c>
      <c r="P3850" s="3">
        <v>796</v>
      </c>
      <c r="Q3850" s="31" t="s">
        <v>234</v>
      </c>
      <c r="R3850" s="27">
        <v>6</v>
      </c>
      <c r="S3850" s="59">
        <v>2300</v>
      </c>
      <c r="T3850" s="4">
        <f t="shared" si="186"/>
        <v>13800</v>
      </c>
      <c r="U3850" s="4">
        <f t="shared" si="185"/>
        <v>15456.000000000002</v>
      </c>
      <c r="V3850" s="1"/>
      <c r="W3850" s="3">
        <v>2014</v>
      </c>
      <c r="X3850" s="3"/>
    </row>
    <row r="3851" spans="1:24" ht="76.5">
      <c r="A3851" s="3" t="s">
        <v>10430</v>
      </c>
      <c r="B3851" s="6" t="s">
        <v>361</v>
      </c>
      <c r="C3851" s="100" t="s">
        <v>7407</v>
      </c>
      <c r="D3851" s="100" t="s">
        <v>5297</v>
      </c>
      <c r="E3851" s="100" t="s">
        <v>11528</v>
      </c>
      <c r="F3851" s="57"/>
      <c r="G3851" s="3" t="s">
        <v>11449</v>
      </c>
      <c r="H3851" s="54">
        <v>0</v>
      </c>
      <c r="I3851" s="16">
        <v>470000000</v>
      </c>
      <c r="J3851" s="16" t="s">
        <v>229</v>
      </c>
      <c r="K3851" s="57" t="s">
        <v>641</v>
      </c>
      <c r="L3851" s="57" t="s">
        <v>364</v>
      </c>
      <c r="M3851" s="162" t="s">
        <v>230</v>
      </c>
      <c r="N3851" s="8" t="s">
        <v>8898</v>
      </c>
      <c r="O3851" s="6" t="s">
        <v>622</v>
      </c>
      <c r="P3851" s="3">
        <v>796</v>
      </c>
      <c r="Q3851" s="31" t="s">
        <v>234</v>
      </c>
      <c r="R3851" s="27">
        <v>6</v>
      </c>
      <c r="S3851" s="59">
        <v>2300</v>
      </c>
      <c r="T3851" s="4">
        <f t="shared" si="186"/>
        <v>13800</v>
      </c>
      <c r="U3851" s="4">
        <f t="shared" si="185"/>
        <v>15456.000000000002</v>
      </c>
      <c r="V3851" s="1"/>
      <c r="W3851" s="3">
        <v>2014</v>
      </c>
      <c r="X3851" s="3"/>
    </row>
    <row r="3852" spans="1:24" ht="102">
      <c r="A3852" s="3" t="s">
        <v>10431</v>
      </c>
      <c r="B3852" s="6" t="s">
        <v>361</v>
      </c>
      <c r="C3852" s="100" t="s">
        <v>5184</v>
      </c>
      <c r="D3852" s="100" t="s">
        <v>5185</v>
      </c>
      <c r="E3852" s="100" t="s">
        <v>5186</v>
      </c>
      <c r="F3852" s="57" t="s">
        <v>5306</v>
      </c>
      <c r="G3852" s="3" t="s">
        <v>11449</v>
      </c>
      <c r="H3852" s="54">
        <v>0</v>
      </c>
      <c r="I3852" s="16">
        <v>470000000</v>
      </c>
      <c r="J3852" s="16" t="s">
        <v>229</v>
      </c>
      <c r="K3852" s="57" t="s">
        <v>641</v>
      </c>
      <c r="L3852" s="57" t="s">
        <v>364</v>
      </c>
      <c r="M3852" s="162" t="s">
        <v>230</v>
      </c>
      <c r="N3852" s="8" t="s">
        <v>8898</v>
      </c>
      <c r="O3852" s="6" t="s">
        <v>622</v>
      </c>
      <c r="P3852" s="3">
        <v>796</v>
      </c>
      <c r="Q3852" s="31" t="s">
        <v>234</v>
      </c>
      <c r="R3852" s="31">
        <v>10</v>
      </c>
      <c r="S3852" s="3">
        <v>639.80999999999995</v>
      </c>
      <c r="T3852" s="4">
        <f t="shared" si="186"/>
        <v>6398.0999999999995</v>
      </c>
      <c r="U3852" s="4">
        <f t="shared" si="185"/>
        <v>7165.8720000000003</v>
      </c>
      <c r="V3852" s="1"/>
      <c r="W3852" s="3">
        <v>2014</v>
      </c>
      <c r="X3852" s="3"/>
    </row>
    <row r="3853" spans="1:24" ht="102">
      <c r="A3853" s="3" t="s">
        <v>10432</v>
      </c>
      <c r="B3853" s="6" t="s">
        <v>361</v>
      </c>
      <c r="C3853" s="100" t="s">
        <v>5184</v>
      </c>
      <c r="D3853" s="100" t="s">
        <v>5185</v>
      </c>
      <c r="E3853" s="100" t="s">
        <v>5186</v>
      </c>
      <c r="F3853" s="57" t="s">
        <v>5307</v>
      </c>
      <c r="G3853" s="3" t="s">
        <v>11449</v>
      </c>
      <c r="H3853" s="54">
        <v>0</v>
      </c>
      <c r="I3853" s="16">
        <v>470000000</v>
      </c>
      <c r="J3853" s="16" t="s">
        <v>229</v>
      </c>
      <c r="K3853" s="57" t="s">
        <v>641</v>
      </c>
      <c r="L3853" s="57" t="s">
        <v>364</v>
      </c>
      <c r="M3853" s="162" t="s">
        <v>230</v>
      </c>
      <c r="N3853" s="8" t="s">
        <v>8898</v>
      </c>
      <c r="O3853" s="6" t="s">
        <v>622</v>
      </c>
      <c r="P3853" s="3">
        <v>796</v>
      </c>
      <c r="Q3853" s="31" t="s">
        <v>234</v>
      </c>
      <c r="R3853" s="31">
        <v>10</v>
      </c>
      <c r="S3853" s="59">
        <v>2300</v>
      </c>
      <c r="T3853" s="4">
        <f t="shared" si="186"/>
        <v>23000</v>
      </c>
      <c r="U3853" s="4">
        <f t="shared" si="185"/>
        <v>25760.000000000004</v>
      </c>
      <c r="V3853" s="1"/>
      <c r="W3853" s="3">
        <v>2014</v>
      </c>
      <c r="X3853" s="3"/>
    </row>
    <row r="3854" spans="1:24" ht="102">
      <c r="A3854" s="3" t="s">
        <v>10433</v>
      </c>
      <c r="B3854" s="6" t="s">
        <v>361</v>
      </c>
      <c r="C3854" s="100" t="s">
        <v>5187</v>
      </c>
      <c r="D3854" s="100" t="s">
        <v>5185</v>
      </c>
      <c r="E3854" s="100" t="s">
        <v>5188</v>
      </c>
      <c r="F3854" s="57" t="s">
        <v>5308</v>
      </c>
      <c r="G3854" s="3" t="s">
        <v>11449</v>
      </c>
      <c r="H3854" s="54">
        <v>0</v>
      </c>
      <c r="I3854" s="16">
        <v>470000000</v>
      </c>
      <c r="J3854" s="16" t="s">
        <v>229</v>
      </c>
      <c r="K3854" s="57" t="s">
        <v>641</v>
      </c>
      <c r="L3854" s="57" t="s">
        <v>364</v>
      </c>
      <c r="M3854" s="162" t="s">
        <v>230</v>
      </c>
      <c r="N3854" s="8" t="s">
        <v>8898</v>
      </c>
      <c r="O3854" s="6" t="s">
        <v>622</v>
      </c>
      <c r="P3854" s="3">
        <v>796</v>
      </c>
      <c r="Q3854" s="31" t="s">
        <v>234</v>
      </c>
      <c r="R3854" s="27">
        <v>10</v>
      </c>
      <c r="S3854" s="59">
        <v>2679</v>
      </c>
      <c r="T3854" s="4">
        <f t="shared" si="186"/>
        <v>26790</v>
      </c>
      <c r="U3854" s="4">
        <f t="shared" si="185"/>
        <v>30004.800000000003</v>
      </c>
      <c r="V3854" s="1"/>
      <c r="W3854" s="3">
        <v>2014</v>
      </c>
      <c r="X3854" s="3"/>
    </row>
    <row r="3855" spans="1:24" ht="102">
      <c r="A3855" s="3" t="s">
        <v>10434</v>
      </c>
      <c r="B3855" s="6" t="s">
        <v>361</v>
      </c>
      <c r="C3855" s="100" t="s">
        <v>5184</v>
      </c>
      <c r="D3855" s="100" t="s">
        <v>5185</v>
      </c>
      <c r="E3855" s="100" t="s">
        <v>5186</v>
      </c>
      <c r="F3855" s="57" t="s">
        <v>5309</v>
      </c>
      <c r="G3855" s="3" t="s">
        <v>11449</v>
      </c>
      <c r="H3855" s="54">
        <v>0</v>
      </c>
      <c r="I3855" s="16">
        <v>470000000</v>
      </c>
      <c r="J3855" s="16" t="s">
        <v>229</v>
      </c>
      <c r="K3855" s="57" t="s">
        <v>641</v>
      </c>
      <c r="L3855" s="57" t="s">
        <v>364</v>
      </c>
      <c r="M3855" s="162" t="s">
        <v>230</v>
      </c>
      <c r="N3855" s="8" t="s">
        <v>8898</v>
      </c>
      <c r="O3855" s="6" t="s">
        <v>622</v>
      </c>
      <c r="P3855" s="3">
        <v>796</v>
      </c>
      <c r="Q3855" s="31" t="s">
        <v>234</v>
      </c>
      <c r="R3855" s="31">
        <v>16</v>
      </c>
      <c r="S3855" s="59">
        <v>1184.3</v>
      </c>
      <c r="T3855" s="4">
        <f t="shared" si="186"/>
        <v>18948.8</v>
      </c>
      <c r="U3855" s="4">
        <f t="shared" si="185"/>
        <v>21222.656000000003</v>
      </c>
      <c r="V3855" s="1"/>
      <c r="W3855" s="3">
        <v>2014</v>
      </c>
      <c r="X3855" s="3"/>
    </row>
    <row r="3856" spans="1:24" ht="102">
      <c r="A3856" s="3" t="s">
        <v>10435</v>
      </c>
      <c r="B3856" s="6" t="s">
        <v>361</v>
      </c>
      <c r="C3856" s="100" t="s">
        <v>5257</v>
      </c>
      <c r="D3856" s="100" t="s">
        <v>5258</v>
      </c>
      <c r="E3856" s="100" t="s">
        <v>5259</v>
      </c>
      <c r="F3856" s="57" t="s">
        <v>5310</v>
      </c>
      <c r="G3856" s="3" t="s">
        <v>11449</v>
      </c>
      <c r="H3856" s="54">
        <v>0</v>
      </c>
      <c r="I3856" s="16">
        <v>470000000</v>
      </c>
      <c r="J3856" s="16" t="s">
        <v>229</v>
      </c>
      <c r="K3856" s="57" t="s">
        <v>641</v>
      </c>
      <c r="L3856" s="57" t="s">
        <v>364</v>
      </c>
      <c r="M3856" s="162" t="s">
        <v>230</v>
      </c>
      <c r="N3856" s="8" t="s">
        <v>8898</v>
      </c>
      <c r="O3856" s="6" t="s">
        <v>622</v>
      </c>
      <c r="P3856" s="3">
        <v>796</v>
      </c>
      <c r="Q3856" s="31" t="s">
        <v>234</v>
      </c>
      <c r="R3856" s="27">
        <v>16</v>
      </c>
      <c r="S3856" s="59">
        <v>5218</v>
      </c>
      <c r="T3856" s="4">
        <f t="shared" si="186"/>
        <v>83488</v>
      </c>
      <c r="U3856" s="4">
        <f t="shared" si="185"/>
        <v>93506.560000000012</v>
      </c>
      <c r="V3856" s="1"/>
      <c r="W3856" s="3">
        <v>2014</v>
      </c>
      <c r="X3856" s="3"/>
    </row>
    <row r="3857" spans="1:24" ht="127.5">
      <c r="A3857" s="3" t="s">
        <v>10436</v>
      </c>
      <c r="B3857" s="6" t="s">
        <v>361</v>
      </c>
      <c r="C3857" s="6" t="s">
        <v>3118</v>
      </c>
      <c r="D3857" s="65" t="s">
        <v>3119</v>
      </c>
      <c r="E3857" s="65" t="s">
        <v>3120</v>
      </c>
      <c r="F3857" s="9" t="s">
        <v>5314</v>
      </c>
      <c r="G3857" s="3" t="s">
        <v>11449</v>
      </c>
      <c r="H3857" s="54">
        <v>0</v>
      </c>
      <c r="I3857" s="16">
        <v>470000000</v>
      </c>
      <c r="J3857" s="16" t="s">
        <v>229</v>
      </c>
      <c r="K3857" s="57" t="s">
        <v>641</v>
      </c>
      <c r="L3857" s="57" t="s">
        <v>364</v>
      </c>
      <c r="M3857" s="162" t="s">
        <v>230</v>
      </c>
      <c r="N3857" s="8" t="s">
        <v>8899</v>
      </c>
      <c r="O3857" s="6" t="s">
        <v>622</v>
      </c>
      <c r="P3857" s="3">
        <v>796</v>
      </c>
      <c r="Q3857" s="31" t="s">
        <v>234</v>
      </c>
      <c r="R3857" s="27">
        <v>1</v>
      </c>
      <c r="S3857" s="59">
        <f>1890690*1.07</f>
        <v>2023038.3</v>
      </c>
      <c r="T3857" s="4">
        <v>0</v>
      </c>
      <c r="U3857" s="4">
        <f t="shared" si="185"/>
        <v>0</v>
      </c>
      <c r="V3857" s="3"/>
      <c r="W3857" s="3">
        <v>2014</v>
      </c>
      <c r="X3857" s="3">
        <v>11.12</v>
      </c>
    </row>
    <row r="3858" spans="1:24" ht="127.5">
      <c r="A3858" s="3" t="s">
        <v>13020</v>
      </c>
      <c r="B3858" s="6" t="s">
        <v>361</v>
      </c>
      <c r="C3858" s="6" t="s">
        <v>3118</v>
      </c>
      <c r="D3858" s="65" t="s">
        <v>3119</v>
      </c>
      <c r="E3858" s="65" t="s">
        <v>3120</v>
      </c>
      <c r="F3858" s="9" t="s">
        <v>5314</v>
      </c>
      <c r="G3858" s="3" t="s">
        <v>11449</v>
      </c>
      <c r="H3858" s="54">
        <v>0</v>
      </c>
      <c r="I3858" s="16">
        <v>470000000</v>
      </c>
      <c r="J3858" s="16" t="s">
        <v>229</v>
      </c>
      <c r="K3858" s="57" t="s">
        <v>642</v>
      </c>
      <c r="L3858" s="12" t="s">
        <v>404</v>
      </c>
      <c r="M3858" s="162" t="s">
        <v>230</v>
      </c>
      <c r="N3858" s="8" t="s">
        <v>8899</v>
      </c>
      <c r="O3858" s="6" t="s">
        <v>622</v>
      </c>
      <c r="P3858" s="3">
        <v>796</v>
      </c>
      <c r="Q3858" s="31" t="s">
        <v>234</v>
      </c>
      <c r="R3858" s="27">
        <v>1</v>
      </c>
      <c r="S3858" s="59">
        <f>1890690*1.07</f>
        <v>2023038.3</v>
      </c>
      <c r="T3858" s="4">
        <v>0</v>
      </c>
      <c r="U3858" s="4">
        <f>T3858*1.12</f>
        <v>0</v>
      </c>
      <c r="V3858" s="3"/>
      <c r="W3858" s="3">
        <v>2014</v>
      </c>
      <c r="X3858" s="3" t="s">
        <v>14785</v>
      </c>
    </row>
    <row r="3859" spans="1:24" ht="127.5">
      <c r="A3859" s="3" t="s">
        <v>16757</v>
      </c>
      <c r="B3859" s="6" t="s">
        <v>361</v>
      </c>
      <c r="C3859" s="6" t="s">
        <v>3118</v>
      </c>
      <c r="D3859" s="65" t="s">
        <v>3119</v>
      </c>
      <c r="E3859" s="65" t="s">
        <v>3120</v>
      </c>
      <c r="F3859" s="335" t="s">
        <v>5314</v>
      </c>
      <c r="G3859" s="3" t="s">
        <v>11449</v>
      </c>
      <c r="H3859" s="54">
        <v>0</v>
      </c>
      <c r="I3859" s="16">
        <v>470000000</v>
      </c>
      <c r="J3859" s="16" t="s">
        <v>229</v>
      </c>
      <c r="K3859" s="57" t="s">
        <v>8950</v>
      </c>
      <c r="L3859" s="12" t="s">
        <v>404</v>
      </c>
      <c r="M3859" s="162" t="s">
        <v>230</v>
      </c>
      <c r="N3859" s="8" t="s">
        <v>8899</v>
      </c>
      <c r="O3859" s="6" t="s">
        <v>622</v>
      </c>
      <c r="P3859" s="3">
        <v>796</v>
      </c>
      <c r="Q3859" s="327" t="s">
        <v>234</v>
      </c>
      <c r="R3859" s="336">
        <v>1</v>
      </c>
      <c r="S3859" s="59">
        <v>2427645.96</v>
      </c>
      <c r="T3859" s="4">
        <v>0</v>
      </c>
      <c r="U3859" s="4">
        <f t="shared" ref="U3859:U3860" si="187">T3859*1.12</f>
        <v>0</v>
      </c>
      <c r="V3859" s="3"/>
      <c r="W3859" s="3">
        <v>2014</v>
      </c>
      <c r="X3859" s="3" t="s">
        <v>19387</v>
      </c>
    </row>
    <row r="3860" spans="1:24" ht="127.5">
      <c r="A3860" s="3" t="s">
        <v>19101</v>
      </c>
      <c r="B3860" s="6" t="s">
        <v>361</v>
      </c>
      <c r="C3860" s="6" t="s">
        <v>3118</v>
      </c>
      <c r="D3860" s="65" t="s">
        <v>3119</v>
      </c>
      <c r="E3860" s="65" t="s">
        <v>3120</v>
      </c>
      <c r="F3860" s="335" t="s">
        <v>5314</v>
      </c>
      <c r="G3860" s="3" t="s">
        <v>11449</v>
      </c>
      <c r="H3860" s="54">
        <v>0</v>
      </c>
      <c r="I3860" s="16">
        <v>470000000</v>
      </c>
      <c r="J3860" s="16" t="s">
        <v>229</v>
      </c>
      <c r="K3860" s="57" t="s">
        <v>18437</v>
      </c>
      <c r="L3860" s="12" t="s">
        <v>404</v>
      </c>
      <c r="M3860" s="162" t="s">
        <v>230</v>
      </c>
      <c r="N3860" s="8" t="s">
        <v>19369</v>
      </c>
      <c r="O3860" s="6" t="s">
        <v>19407</v>
      </c>
      <c r="P3860" s="3">
        <v>796</v>
      </c>
      <c r="Q3860" s="327" t="s">
        <v>234</v>
      </c>
      <c r="R3860" s="336">
        <v>3</v>
      </c>
      <c r="S3860" s="59">
        <v>2427645.96</v>
      </c>
      <c r="T3860" s="4">
        <f>R3860*S3860</f>
        <v>7282937.8799999999</v>
      </c>
      <c r="U3860" s="4">
        <f t="shared" si="187"/>
        <v>8156890.4256000007</v>
      </c>
      <c r="V3860" s="3"/>
      <c r="W3860" s="3">
        <v>2014</v>
      </c>
      <c r="X3860" s="3"/>
    </row>
    <row r="3861" spans="1:24" ht="76.5">
      <c r="A3861" s="3" t="s">
        <v>10437</v>
      </c>
      <c r="B3861" s="6" t="s">
        <v>361</v>
      </c>
      <c r="C3861" s="6" t="s">
        <v>3113</v>
      </c>
      <c r="D3861" s="6" t="s">
        <v>3114</v>
      </c>
      <c r="E3861" s="65" t="s">
        <v>3115</v>
      </c>
      <c r="F3861" s="8" t="s">
        <v>7801</v>
      </c>
      <c r="G3861" s="3" t="s">
        <v>11449</v>
      </c>
      <c r="H3861" s="54">
        <v>0</v>
      </c>
      <c r="I3861" s="16">
        <v>470000000</v>
      </c>
      <c r="J3861" s="16" t="s">
        <v>229</v>
      </c>
      <c r="K3861" s="57" t="s">
        <v>641</v>
      </c>
      <c r="L3861" s="57" t="s">
        <v>364</v>
      </c>
      <c r="M3861" s="162" t="s">
        <v>230</v>
      </c>
      <c r="N3861" s="8" t="s">
        <v>8899</v>
      </c>
      <c r="O3861" s="6" t="s">
        <v>622</v>
      </c>
      <c r="P3861" s="3">
        <v>796</v>
      </c>
      <c r="Q3861" s="31" t="s">
        <v>234</v>
      </c>
      <c r="R3861" s="27">
        <v>2</v>
      </c>
      <c r="S3861" s="59">
        <f>443676*1.07</f>
        <v>474733.32</v>
      </c>
      <c r="T3861" s="4">
        <v>0</v>
      </c>
      <c r="U3861" s="4">
        <f t="shared" si="185"/>
        <v>0</v>
      </c>
      <c r="V3861" s="3"/>
      <c r="W3861" s="3">
        <v>2014</v>
      </c>
      <c r="X3861" s="3">
        <v>11.12</v>
      </c>
    </row>
    <row r="3862" spans="1:24" ht="76.5">
      <c r="A3862" s="3" t="s">
        <v>13021</v>
      </c>
      <c r="B3862" s="6" t="s">
        <v>361</v>
      </c>
      <c r="C3862" s="6" t="s">
        <v>3113</v>
      </c>
      <c r="D3862" s="6" t="s">
        <v>3114</v>
      </c>
      <c r="E3862" s="65" t="s">
        <v>3115</v>
      </c>
      <c r="F3862" s="8" t="s">
        <v>7801</v>
      </c>
      <c r="G3862" s="3" t="s">
        <v>11449</v>
      </c>
      <c r="H3862" s="54">
        <v>0</v>
      </c>
      <c r="I3862" s="16">
        <v>470000000</v>
      </c>
      <c r="J3862" s="16" t="s">
        <v>229</v>
      </c>
      <c r="K3862" s="57" t="s">
        <v>642</v>
      </c>
      <c r="L3862" s="12" t="s">
        <v>404</v>
      </c>
      <c r="M3862" s="162" t="s">
        <v>230</v>
      </c>
      <c r="N3862" s="8" t="s">
        <v>8899</v>
      </c>
      <c r="O3862" s="6" t="s">
        <v>622</v>
      </c>
      <c r="P3862" s="3">
        <v>796</v>
      </c>
      <c r="Q3862" s="31" t="s">
        <v>234</v>
      </c>
      <c r="R3862" s="27">
        <v>2</v>
      </c>
      <c r="S3862" s="59">
        <f>443676*1.07</f>
        <v>474733.32</v>
      </c>
      <c r="T3862" s="4">
        <v>0</v>
      </c>
      <c r="U3862" s="4">
        <f>T3862*1.12</f>
        <v>0</v>
      </c>
      <c r="V3862" s="3"/>
      <c r="W3862" s="3">
        <v>2014</v>
      </c>
      <c r="X3862" s="3" t="s">
        <v>14785</v>
      </c>
    </row>
    <row r="3863" spans="1:24" ht="76.5">
      <c r="A3863" s="3" t="s">
        <v>16758</v>
      </c>
      <c r="B3863" s="6" t="s">
        <v>361</v>
      </c>
      <c r="C3863" s="6" t="s">
        <v>3113</v>
      </c>
      <c r="D3863" s="6" t="s">
        <v>3114</v>
      </c>
      <c r="E3863" s="65" t="s">
        <v>3115</v>
      </c>
      <c r="F3863" s="8" t="s">
        <v>7801</v>
      </c>
      <c r="G3863" s="3" t="s">
        <v>11449</v>
      </c>
      <c r="H3863" s="54">
        <v>0</v>
      </c>
      <c r="I3863" s="16">
        <v>470000000</v>
      </c>
      <c r="J3863" s="16" t="s">
        <v>229</v>
      </c>
      <c r="K3863" s="57" t="s">
        <v>8950</v>
      </c>
      <c r="L3863" s="12" t="s">
        <v>404</v>
      </c>
      <c r="M3863" s="162" t="s">
        <v>230</v>
      </c>
      <c r="N3863" s="8" t="s">
        <v>8899</v>
      </c>
      <c r="O3863" s="6" t="s">
        <v>622</v>
      </c>
      <c r="P3863" s="3">
        <v>796</v>
      </c>
      <c r="Q3863" s="31" t="s">
        <v>234</v>
      </c>
      <c r="R3863" s="27">
        <v>2</v>
      </c>
      <c r="S3863" s="59">
        <v>569679.98399999994</v>
      </c>
      <c r="T3863" s="4">
        <f>R3863*S3863</f>
        <v>1139359.9679999999</v>
      </c>
      <c r="U3863" s="4">
        <f>T3863*1.12</f>
        <v>1276083.1641599999</v>
      </c>
      <c r="V3863" s="3"/>
      <c r="W3863" s="3">
        <v>2014</v>
      </c>
      <c r="X3863" s="3"/>
    </row>
    <row r="3864" spans="1:24" ht="76.5">
      <c r="A3864" s="3" t="s">
        <v>10438</v>
      </c>
      <c r="B3864" s="6" t="s">
        <v>361</v>
      </c>
      <c r="C3864" s="6" t="s">
        <v>3116</v>
      </c>
      <c r="D3864" s="6" t="s">
        <v>3117</v>
      </c>
      <c r="E3864" s="65" t="s">
        <v>3115</v>
      </c>
      <c r="F3864" s="8" t="s">
        <v>7802</v>
      </c>
      <c r="G3864" s="3" t="s">
        <v>11449</v>
      </c>
      <c r="H3864" s="54">
        <v>0</v>
      </c>
      <c r="I3864" s="16">
        <v>470000000</v>
      </c>
      <c r="J3864" s="16" t="s">
        <v>229</v>
      </c>
      <c r="K3864" s="57" t="s">
        <v>641</v>
      </c>
      <c r="L3864" s="57" t="s">
        <v>364</v>
      </c>
      <c r="M3864" s="162" t="s">
        <v>230</v>
      </c>
      <c r="N3864" s="8" t="s">
        <v>8899</v>
      </c>
      <c r="O3864" s="6" t="s">
        <v>622</v>
      </c>
      <c r="P3864" s="3">
        <v>796</v>
      </c>
      <c r="Q3864" s="31" t="s">
        <v>234</v>
      </c>
      <c r="R3864" s="27">
        <v>2</v>
      </c>
      <c r="S3864" s="59">
        <f>285262*1.07</f>
        <v>305230.34000000003</v>
      </c>
      <c r="T3864" s="4">
        <v>0</v>
      </c>
      <c r="U3864" s="4">
        <f t="shared" si="185"/>
        <v>0</v>
      </c>
      <c r="V3864" s="3"/>
      <c r="W3864" s="3">
        <v>2014</v>
      </c>
      <c r="X3864" s="3">
        <v>11.12</v>
      </c>
    </row>
    <row r="3865" spans="1:24" ht="76.5">
      <c r="A3865" s="3" t="s">
        <v>13022</v>
      </c>
      <c r="B3865" s="6" t="s">
        <v>361</v>
      </c>
      <c r="C3865" s="6" t="s">
        <v>3116</v>
      </c>
      <c r="D3865" s="6" t="s">
        <v>3117</v>
      </c>
      <c r="E3865" s="65" t="s">
        <v>3115</v>
      </c>
      <c r="F3865" s="8" t="s">
        <v>7802</v>
      </c>
      <c r="G3865" s="3" t="s">
        <v>11449</v>
      </c>
      <c r="H3865" s="54">
        <v>0</v>
      </c>
      <c r="I3865" s="16">
        <v>470000000</v>
      </c>
      <c r="J3865" s="16" t="s">
        <v>229</v>
      </c>
      <c r="K3865" s="57" t="s">
        <v>642</v>
      </c>
      <c r="L3865" s="12" t="s">
        <v>404</v>
      </c>
      <c r="M3865" s="162" t="s">
        <v>230</v>
      </c>
      <c r="N3865" s="8" t="s">
        <v>8899</v>
      </c>
      <c r="O3865" s="6" t="s">
        <v>622</v>
      </c>
      <c r="P3865" s="3">
        <v>796</v>
      </c>
      <c r="Q3865" s="31" t="s">
        <v>234</v>
      </c>
      <c r="R3865" s="27">
        <v>2</v>
      </c>
      <c r="S3865" s="59">
        <f>285262*1.07</f>
        <v>305230.34000000003</v>
      </c>
      <c r="T3865" s="4">
        <v>0</v>
      </c>
      <c r="U3865" s="4">
        <f>T3865*1.12</f>
        <v>0</v>
      </c>
      <c r="V3865" s="3"/>
      <c r="W3865" s="3">
        <v>2014</v>
      </c>
      <c r="X3865" s="3" t="s">
        <v>14785</v>
      </c>
    </row>
    <row r="3866" spans="1:24" ht="76.5">
      <c r="A3866" s="3" t="s">
        <v>16759</v>
      </c>
      <c r="B3866" s="6" t="s">
        <v>361</v>
      </c>
      <c r="C3866" s="6" t="s">
        <v>3116</v>
      </c>
      <c r="D3866" s="6" t="s">
        <v>3117</v>
      </c>
      <c r="E3866" s="65" t="s">
        <v>3115</v>
      </c>
      <c r="F3866" s="8" t="s">
        <v>7802</v>
      </c>
      <c r="G3866" s="3" t="s">
        <v>11449</v>
      </c>
      <c r="H3866" s="54">
        <v>0</v>
      </c>
      <c r="I3866" s="16">
        <v>470000000</v>
      </c>
      <c r="J3866" s="16" t="s">
        <v>229</v>
      </c>
      <c r="K3866" s="57" t="s">
        <v>8950</v>
      </c>
      <c r="L3866" s="12" t="s">
        <v>404</v>
      </c>
      <c r="M3866" s="162" t="s">
        <v>230</v>
      </c>
      <c r="N3866" s="8" t="s">
        <v>8899</v>
      </c>
      <c r="O3866" s="6" t="s">
        <v>622</v>
      </c>
      <c r="P3866" s="3">
        <v>796</v>
      </c>
      <c r="Q3866" s="327" t="s">
        <v>234</v>
      </c>
      <c r="R3866" s="336">
        <v>2</v>
      </c>
      <c r="S3866" s="59">
        <v>366276.408</v>
      </c>
      <c r="T3866" s="4">
        <v>0</v>
      </c>
      <c r="U3866" s="4">
        <f>T3866*1.12</f>
        <v>0</v>
      </c>
      <c r="V3866" s="3"/>
      <c r="W3866" s="3">
        <v>2014</v>
      </c>
      <c r="X3866" s="3" t="s">
        <v>19387</v>
      </c>
    </row>
    <row r="3867" spans="1:24" ht="76.5">
      <c r="A3867" s="3" t="s">
        <v>19102</v>
      </c>
      <c r="B3867" s="6" t="s">
        <v>361</v>
      </c>
      <c r="C3867" s="6" t="s">
        <v>3116</v>
      </c>
      <c r="D3867" s="6" t="s">
        <v>3117</v>
      </c>
      <c r="E3867" s="65" t="s">
        <v>3115</v>
      </c>
      <c r="F3867" s="8" t="s">
        <v>7802</v>
      </c>
      <c r="G3867" s="3" t="s">
        <v>11449</v>
      </c>
      <c r="H3867" s="54">
        <v>0</v>
      </c>
      <c r="I3867" s="16">
        <v>470000000</v>
      </c>
      <c r="J3867" s="16" t="s">
        <v>229</v>
      </c>
      <c r="K3867" s="57" t="s">
        <v>18866</v>
      </c>
      <c r="L3867" s="12" t="s">
        <v>404</v>
      </c>
      <c r="M3867" s="162" t="s">
        <v>230</v>
      </c>
      <c r="N3867" s="8" t="s">
        <v>19369</v>
      </c>
      <c r="O3867" s="6" t="s">
        <v>19407</v>
      </c>
      <c r="P3867" s="3">
        <v>796</v>
      </c>
      <c r="Q3867" s="327" t="s">
        <v>234</v>
      </c>
      <c r="R3867" s="336">
        <v>4</v>
      </c>
      <c r="S3867" s="59">
        <v>366276.408</v>
      </c>
      <c r="T3867" s="4">
        <f>R3867*S3867</f>
        <v>1465105.632</v>
      </c>
      <c r="U3867" s="4">
        <f>T3867*1.12</f>
        <v>1640918.3078400001</v>
      </c>
      <c r="V3867" s="3"/>
      <c r="W3867" s="3">
        <v>2014</v>
      </c>
      <c r="X3867" s="3"/>
    </row>
    <row r="3868" spans="1:24" ht="76.5">
      <c r="A3868" s="3" t="s">
        <v>10439</v>
      </c>
      <c r="B3868" s="6" t="s">
        <v>361</v>
      </c>
      <c r="C3868" s="6" t="s">
        <v>3121</v>
      </c>
      <c r="D3868" s="6" t="s">
        <v>3122</v>
      </c>
      <c r="E3868" s="65" t="s">
        <v>3115</v>
      </c>
      <c r="F3868" s="8" t="s">
        <v>7803</v>
      </c>
      <c r="G3868" s="3" t="s">
        <v>11449</v>
      </c>
      <c r="H3868" s="54">
        <v>0</v>
      </c>
      <c r="I3868" s="16">
        <v>470000000</v>
      </c>
      <c r="J3868" s="16" t="s">
        <v>229</v>
      </c>
      <c r="K3868" s="57" t="s">
        <v>641</v>
      </c>
      <c r="L3868" s="57" t="s">
        <v>364</v>
      </c>
      <c r="M3868" s="162" t="s">
        <v>230</v>
      </c>
      <c r="N3868" s="8" t="s">
        <v>8899</v>
      </c>
      <c r="O3868" s="6" t="s">
        <v>622</v>
      </c>
      <c r="P3868" s="58" t="s">
        <v>242</v>
      </c>
      <c r="Q3868" s="27" t="s">
        <v>7708</v>
      </c>
      <c r="R3868" s="27">
        <v>10</v>
      </c>
      <c r="S3868" s="59">
        <f>3691.5*1.07</f>
        <v>3949.9050000000002</v>
      </c>
      <c r="T3868" s="4">
        <v>0</v>
      </c>
      <c r="U3868" s="4">
        <f t="shared" si="185"/>
        <v>0</v>
      </c>
      <c r="V3868" s="3"/>
      <c r="W3868" s="3">
        <v>2014</v>
      </c>
      <c r="X3868" s="3">
        <v>11.12</v>
      </c>
    </row>
    <row r="3869" spans="1:24" ht="76.5">
      <c r="A3869" s="3" t="s">
        <v>13023</v>
      </c>
      <c r="B3869" s="6" t="s">
        <v>361</v>
      </c>
      <c r="C3869" s="6" t="s">
        <v>3121</v>
      </c>
      <c r="D3869" s="6" t="s">
        <v>3122</v>
      </c>
      <c r="E3869" s="65" t="s">
        <v>3115</v>
      </c>
      <c r="F3869" s="8" t="s">
        <v>7803</v>
      </c>
      <c r="G3869" s="3" t="s">
        <v>11449</v>
      </c>
      <c r="H3869" s="54">
        <v>0</v>
      </c>
      <c r="I3869" s="16">
        <v>470000000</v>
      </c>
      <c r="J3869" s="16" t="s">
        <v>229</v>
      </c>
      <c r="K3869" s="57" t="s">
        <v>642</v>
      </c>
      <c r="L3869" s="12" t="s">
        <v>404</v>
      </c>
      <c r="M3869" s="162" t="s">
        <v>230</v>
      </c>
      <c r="N3869" s="8" t="s">
        <v>8899</v>
      </c>
      <c r="O3869" s="6" t="s">
        <v>622</v>
      </c>
      <c r="P3869" s="58" t="s">
        <v>242</v>
      </c>
      <c r="Q3869" s="27" t="s">
        <v>7708</v>
      </c>
      <c r="R3869" s="27">
        <v>10</v>
      </c>
      <c r="S3869" s="59">
        <f>3691.5*1.07</f>
        <v>3949.9050000000002</v>
      </c>
      <c r="T3869" s="4">
        <v>0</v>
      </c>
      <c r="U3869" s="4">
        <f>T3869*1.12</f>
        <v>0</v>
      </c>
      <c r="V3869" s="3"/>
      <c r="W3869" s="3">
        <v>2014</v>
      </c>
      <c r="X3869" s="3" t="s">
        <v>14785</v>
      </c>
    </row>
    <row r="3870" spans="1:24" ht="76.5">
      <c r="A3870" s="3" t="s">
        <v>16760</v>
      </c>
      <c r="B3870" s="6" t="s">
        <v>361</v>
      </c>
      <c r="C3870" s="6" t="s">
        <v>3121</v>
      </c>
      <c r="D3870" s="6" t="s">
        <v>3122</v>
      </c>
      <c r="E3870" s="65" t="s">
        <v>3115</v>
      </c>
      <c r="F3870" s="8" t="s">
        <v>7803</v>
      </c>
      <c r="G3870" s="3" t="s">
        <v>11449</v>
      </c>
      <c r="H3870" s="54">
        <v>0</v>
      </c>
      <c r="I3870" s="16">
        <v>470000000</v>
      </c>
      <c r="J3870" s="16" t="s">
        <v>229</v>
      </c>
      <c r="K3870" s="57" t="s">
        <v>8950</v>
      </c>
      <c r="L3870" s="12" t="s">
        <v>404</v>
      </c>
      <c r="M3870" s="162" t="s">
        <v>230</v>
      </c>
      <c r="N3870" s="8" t="s">
        <v>8899</v>
      </c>
      <c r="O3870" s="6" t="s">
        <v>622</v>
      </c>
      <c r="P3870" s="58" t="s">
        <v>242</v>
      </c>
      <c r="Q3870" s="27" t="s">
        <v>7708</v>
      </c>
      <c r="R3870" s="27">
        <v>10</v>
      </c>
      <c r="S3870" s="59">
        <v>4739.8860000000004</v>
      </c>
      <c r="T3870" s="4">
        <f>R3870*S3870</f>
        <v>47398.86</v>
      </c>
      <c r="U3870" s="4">
        <f>T3870*1.12</f>
        <v>53086.723200000008</v>
      </c>
      <c r="V3870" s="3"/>
      <c r="W3870" s="3">
        <v>2014</v>
      </c>
      <c r="X3870" s="3"/>
    </row>
    <row r="3871" spans="1:24" ht="76.5">
      <c r="A3871" s="3" t="s">
        <v>10440</v>
      </c>
      <c r="B3871" s="6" t="s">
        <v>361</v>
      </c>
      <c r="C3871" s="6" t="s">
        <v>3123</v>
      </c>
      <c r="D3871" s="6" t="s">
        <v>3122</v>
      </c>
      <c r="E3871" s="65" t="s">
        <v>3115</v>
      </c>
      <c r="F3871" s="8" t="s">
        <v>7804</v>
      </c>
      <c r="G3871" s="3" t="s">
        <v>11449</v>
      </c>
      <c r="H3871" s="54">
        <v>0</v>
      </c>
      <c r="I3871" s="16">
        <v>470000000</v>
      </c>
      <c r="J3871" s="16" t="s">
        <v>229</v>
      </c>
      <c r="K3871" s="57" t="s">
        <v>641</v>
      </c>
      <c r="L3871" s="57" t="s">
        <v>364</v>
      </c>
      <c r="M3871" s="162" t="s">
        <v>230</v>
      </c>
      <c r="N3871" s="8" t="s">
        <v>8899</v>
      </c>
      <c r="O3871" s="6" t="s">
        <v>622</v>
      </c>
      <c r="P3871" s="58" t="s">
        <v>242</v>
      </c>
      <c r="Q3871" s="27" t="s">
        <v>7708</v>
      </c>
      <c r="R3871" s="27">
        <v>10</v>
      </c>
      <c r="S3871" s="59">
        <f>3691.5*1.07</f>
        <v>3949.9050000000002</v>
      </c>
      <c r="T3871" s="4">
        <v>0</v>
      </c>
      <c r="U3871" s="4">
        <f t="shared" si="185"/>
        <v>0</v>
      </c>
      <c r="V3871" s="3"/>
      <c r="W3871" s="3">
        <v>2014</v>
      </c>
      <c r="X3871" s="3">
        <v>11.12</v>
      </c>
    </row>
    <row r="3872" spans="1:24" ht="76.5">
      <c r="A3872" s="3" t="s">
        <v>13024</v>
      </c>
      <c r="B3872" s="6" t="s">
        <v>361</v>
      </c>
      <c r="C3872" s="6" t="s">
        <v>3123</v>
      </c>
      <c r="D3872" s="6" t="s">
        <v>3122</v>
      </c>
      <c r="E3872" s="65" t="s">
        <v>3115</v>
      </c>
      <c r="F3872" s="8" t="s">
        <v>7804</v>
      </c>
      <c r="G3872" s="3" t="s">
        <v>11449</v>
      </c>
      <c r="H3872" s="54">
        <v>0</v>
      </c>
      <c r="I3872" s="16">
        <v>470000000</v>
      </c>
      <c r="J3872" s="16" t="s">
        <v>229</v>
      </c>
      <c r="K3872" s="57" t="s">
        <v>642</v>
      </c>
      <c r="L3872" s="12" t="s">
        <v>404</v>
      </c>
      <c r="M3872" s="162" t="s">
        <v>230</v>
      </c>
      <c r="N3872" s="8" t="s">
        <v>8899</v>
      </c>
      <c r="O3872" s="6" t="s">
        <v>622</v>
      </c>
      <c r="P3872" s="58" t="s">
        <v>242</v>
      </c>
      <c r="Q3872" s="27" t="s">
        <v>7708</v>
      </c>
      <c r="R3872" s="27">
        <v>10</v>
      </c>
      <c r="S3872" s="59">
        <f>3691.5*1.07</f>
        <v>3949.9050000000002</v>
      </c>
      <c r="T3872" s="4">
        <v>0</v>
      </c>
      <c r="U3872" s="4">
        <f>T3872*1.12</f>
        <v>0</v>
      </c>
      <c r="V3872" s="3"/>
      <c r="W3872" s="3">
        <v>2014</v>
      </c>
      <c r="X3872" s="3" t="s">
        <v>14785</v>
      </c>
    </row>
    <row r="3873" spans="1:24" ht="76.5">
      <c r="A3873" s="3" t="s">
        <v>16761</v>
      </c>
      <c r="B3873" s="6" t="s">
        <v>361</v>
      </c>
      <c r="C3873" s="6" t="s">
        <v>3123</v>
      </c>
      <c r="D3873" s="6" t="s">
        <v>3122</v>
      </c>
      <c r="E3873" s="65" t="s">
        <v>3115</v>
      </c>
      <c r="F3873" s="8" t="s">
        <v>7804</v>
      </c>
      <c r="G3873" s="3" t="s">
        <v>11449</v>
      </c>
      <c r="H3873" s="54">
        <v>0</v>
      </c>
      <c r="I3873" s="16">
        <v>470000000</v>
      </c>
      <c r="J3873" s="16" t="s">
        <v>229</v>
      </c>
      <c r="K3873" s="57" t="s">
        <v>8950</v>
      </c>
      <c r="L3873" s="12" t="s">
        <v>404</v>
      </c>
      <c r="M3873" s="162" t="s">
        <v>230</v>
      </c>
      <c r="N3873" s="8" t="s">
        <v>8899</v>
      </c>
      <c r="O3873" s="6" t="s">
        <v>622</v>
      </c>
      <c r="P3873" s="58" t="s">
        <v>242</v>
      </c>
      <c r="Q3873" s="27" t="s">
        <v>7708</v>
      </c>
      <c r="R3873" s="27">
        <v>10</v>
      </c>
      <c r="S3873" s="59">
        <v>4739.8860000000004</v>
      </c>
      <c r="T3873" s="4">
        <f>R3873*S3873</f>
        <v>47398.86</v>
      </c>
      <c r="U3873" s="4">
        <f>T3873*1.12</f>
        <v>53086.723200000008</v>
      </c>
      <c r="V3873" s="3"/>
      <c r="W3873" s="3">
        <v>2014</v>
      </c>
      <c r="X3873" s="3"/>
    </row>
    <row r="3874" spans="1:24" ht="76.5">
      <c r="A3874" s="3" t="s">
        <v>10441</v>
      </c>
      <c r="B3874" s="6" t="s">
        <v>361</v>
      </c>
      <c r="C3874" s="6" t="s">
        <v>3124</v>
      </c>
      <c r="D3874" s="6" t="s">
        <v>3125</v>
      </c>
      <c r="E3874" s="65" t="s">
        <v>3115</v>
      </c>
      <c r="F3874" s="8" t="s">
        <v>7805</v>
      </c>
      <c r="G3874" s="3" t="s">
        <v>11449</v>
      </c>
      <c r="H3874" s="54">
        <v>0</v>
      </c>
      <c r="I3874" s="16">
        <v>470000000</v>
      </c>
      <c r="J3874" s="16" t="s">
        <v>229</v>
      </c>
      <c r="K3874" s="57" t="s">
        <v>641</v>
      </c>
      <c r="L3874" s="57" t="s">
        <v>364</v>
      </c>
      <c r="M3874" s="162" t="s">
        <v>230</v>
      </c>
      <c r="N3874" s="8" t="s">
        <v>8899</v>
      </c>
      <c r="O3874" s="6" t="s">
        <v>622</v>
      </c>
      <c r="P3874" s="58" t="s">
        <v>242</v>
      </c>
      <c r="Q3874" s="27" t="s">
        <v>7708</v>
      </c>
      <c r="R3874" s="27">
        <v>10</v>
      </c>
      <c r="S3874" s="59">
        <f>4975.5*1.07</f>
        <v>5323.7849999999999</v>
      </c>
      <c r="T3874" s="4">
        <v>0</v>
      </c>
      <c r="U3874" s="4">
        <f t="shared" ref="U3874:U4050" si="188">T3874*1.12</f>
        <v>0</v>
      </c>
      <c r="V3874" s="3"/>
      <c r="W3874" s="3">
        <v>2014</v>
      </c>
      <c r="X3874" s="3">
        <v>11.12</v>
      </c>
    </row>
    <row r="3875" spans="1:24" ht="76.5">
      <c r="A3875" s="3" t="s">
        <v>13025</v>
      </c>
      <c r="B3875" s="6" t="s">
        <v>361</v>
      </c>
      <c r="C3875" s="6" t="s">
        <v>3124</v>
      </c>
      <c r="D3875" s="6" t="s">
        <v>3125</v>
      </c>
      <c r="E3875" s="65" t="s">
        <v>3115</v>
      </c>
      <c r="F3875" s="8" t="s">
        <v>7805</v>
      </c>
      <c r="G3875" s="3" t="s">
        <v>11449</v>
      </c>
      <c r="H3875" s="54">
        <v>0</v>
      </c>
      <c r="I3875" s="16">
        <v>470000000</v>
      </c>
      <c r="J3875" s="16" t="s">
        <v>229</v>
      </c>
      <c r="K3875" s="57" t="s">
        <v>642</v>
      </c>
      <c r="L3875" s="12" t="s">
        <v>404</v>
      </c>
      <c r="M3875" s="162" t="s">
        <v>230</v>
      </c>
      <c r="N3875" s="8" t="s">
        <v>8899</v>
      </c>
      <c r="O3875" s="6" t="s">
        <v>622</v>
      </c>
      <c r="P3875" s="58" t="s">
        <v>242</v>
      </c>
      <c r="Q3875" s="27" t="s">
        <v>7708</v>
      </c>
      <c r="R3875" s="27">
        <v>10</v>
      </c>
      <c r="S3875" s="59">
        <f>4975.5*1.07</f>
        <v>5323.7849999999999</v>
      </c>
      <c r="T3875" s="4">
        <v>0</v>
      </c>
      <c r="U3875" s="4">
        <f>T3875*1.12</f>
        <v>0</v>
      </c>
      <c r="V3875" s="3"/>
      <c r="W3875" s="3">
        <v>2014</v>
      </c>
      <c r="X3875" s="3" t="s">
        <v>14785</v>
      </c>
    </row>
    <row r="3876" spans="1:24" ht="76.5">
      <c r="A3876" s="3" t="s">
        <v>16762</v>
      </c>
      <c r="B3876" s="6" t="s">
        <v>361</v>
      </c>
      <c r="C3876" s="6" t="s">
        <v>3124</v>
      </c>
      <c r="D3876" s="6" t="s">
        <v>3125</v>
      </c>
      <c r="E3876" s="65" t="s">
        <v>3115</v>
      </c>
      <c r="F3876" s="8" t="s">
        <v>7805</v>
      </c>
      <c r="G3876" s="3" t="s">
        <v>11449</v>
      </c>
      <c r="H3876" s="54">
        <v>0</v>
      </c>
      <c r="I3876" s="16">
        <v>470000000</v>
      </c>
      <c r="J3876" s="16" t="s">
        <v>229</v>
      </c>
      <c r="K3876" s="57" t="s">
        <v>8950</v>
      </c>
      <c r="L3876" s="12" t="s">
        <v>404</v>
      </c>
      <c r="M3876" s="162" t="s">
        <v>230</v>
      </c>
      <c r="N3876" s="8" t="s">
        <v>8899</v>
      </c>
      <c r="O3876" s="6" t="s">
        <v>622</v>
      </c>
      <c r="P3876" s="58" t="s">
        <v>242</v>
      </c>
      <c r="Q3876" s="27" t="s">
        <v>7708</v>
      </c>
      <c r="R3876" s="27">
        <v>10</v>
      </c>
      <c r="S3876" s="59">
        <v>6388.5419999999995</v>
      </c>
      <c r="T3876" s="4">
        <f>R3876*S3876</f>
        <v>63885.42</v>
      </c>
      <c r="U3876" s="4">
        <f>T3876*1.12</f>
        <v>71551.670400000003</v>
      </c>
      <c r="V3876" s="3"/>
      <c r="W3876" s="3">
        <v>2014</v>
      </c>
      <c r="X3876" s="3"/>
    </row>
    <row r="3877" spans="1:24" ht="76.5">
      <c r="A3877" s="3" t="s">
        <v>10442</v>
      </c>
      <c r="B3877" s="6" t="s">
        <v>361</v>
      </c>
      <c r="C3877" s="6" t="s">
        <v>3126</v>
      </c>
      <c r="D3877" s="6" t="s">
        <v>3125</v>
      </c>
      <c r="E3877" s="65" t="s">
        <v>3115</v>
      </c>
      <c r="F3877" s="8" t="s">
        <v>7806</v>
      </c>
      <c r="G3877" s="3" t="s">
        <v>11449</v>
      </c>
      <c r="H3877" s="54">
        <v>0</v>
      </c>
      <c r="I3877" s="16">
        <v>470000000</v>
      </c>
      <c r="J3877" s="16" t="s">
        <v>229</v>
      </c>
      <c r="K3877" s="57" t="s">
        <v>641</v>
      </c>
      <c r="L3877" s="57" t="s">
        <v>364</v>
      </c>
      <c r="M3877" s="162" t="s">
        <v>230</v>
      </c>
      <c r="N3877" s="8" t="s">
        <v>8899</v>
      </c>
      <c r="O3877" s="6" t="s">
        <v>622</v>
      </c>
      <c r="P3877" s="58" t="s">
        <v>242</v>
      </c>
      <c r="Q3877" s="27" t="s">
        <v>7708</v>
      </c>
      <c r="R3877" s="27">
        <v>10</v>
      </c>
      <c r="S3877" s="59">
        <f>4975.5*1.07</f>
        <v>5323.7849999999999</v>
      </c>
      <c r="T3877" s="4">
        <v>0</v>
      </c>
      <c r="U3877" s="4">
        <f t="shared" si="188"/>
        <v>0</v>
      </c>
      <c r="V3877" s="3"/>
      <c r="W3877" s="3">
        <v>2014</v>
      </c>
      <c r="X3877" s="3">
        <v>11.12</v>
      </c>
    </row>
    <row r="3878" spans="1:24" ht="76.5">
      <c r="A3878" s="3" t="s">
        <v>13026</v>
      </c>
      <c r="B3878" s="6" t="s">
        <v>361</v>
      </c>
      <c r="C3878" s="6" t="s">
        <v>3126</v>
      </c>
      <c r="D3878" s="6" t="s">
        <v>3125</v>
      </c>
      <c r="E3878" s="65" t="s">
        <v>3115</v>
      </c>
      <c r="F3878" s="8" t="s">
        <v>7806</v>
      </c>
      <c r="G3878" s="3" t="s">
        <v>11449</v>
      </c>
      <c r="H3878" s="54">
        <v>0</v>
      </c>
      <c r="I3878" s="16">
        <v>470000000</v>
      </c>
      <c r="J3878" s="16" t="s">
        <v>229</v>
      </c>
      <c r="K3878" s="57" t="s">
        <v>642</v>
      </c>
      <c r="L3878" s="12" t="s">
        <v>404</v>
      </c>
      <c r="M3878" s="162" t="s">
        <v>230</v>
      </c>
      <c r="N3878" s="8" t="s">
        <v>8899</v>
      </c>
      <c r="O3878" s="6" t="s">
        <v>622</v>
      </c>
      <c r="P3878" s="58" t="s">
        <v>242</v>
      </c>
      <c r="Q3878" s="27" t="s">
        <v>7708</v>
      </c>
      <c r="R3878" s="27">
        <v>10</v>
      </c>
      <c r="S3878" s="59">
        <f>4975.5*1.07</f>
        <v>5323.7849999999999</v>
      </c>
      <c r="T3878" s="4">
        <v>0</v>
      </c>
      <c r="U3878" s="4">
        <f>T3878*1.12</f>
        <v>0</v>
      </c>
      <c r="V3878" s="3"/>
      <c r="W3878" s="3">
        <v>2014</v>
      </c>
      <c r="X3878" s="3" t="s">
        <v>14785</v>
      </c>
    </row>
    <row r="3879" spans="1:24" ht="76.5">
      <c r="A3879" s="3" t="s">
        <v>16763</v>
      </c>
      <c r="B3879" s="6" t="s">
        <v>361</v>
      </c>
      <c r="C3879" s="6" t="s">
        <v>3126</v>
      </c>
      <c r="D3879" s="6" t="s">
        <v>3125</v>
      </c>
      <c r="E3879" s="65" t="s">
        <v>3115</v>
      </c>
      <c r="F3879" s="8" t="s">
        <v>7806</v>
      </c>
      <c r="G3879" s="3" t="s">
        <v>11449</v>
      </c>
      <c r="H3879" s="54">
        <v>0</v>
      </c>
      <c r="I3879" s="16">
        <v>470000000</v>
      </c>
      <c r="J3879" s="16" t="s">
        <v>229</v>
      </c>
      <c r="K3879" s="57" t="s">
        <v>8950</v>
      </c>
      <c r="L3879" s="12" t="s">
        <v>404</v>
      </c>
      <c r="M3879" s="162" t="s">
        <v>230</v>
      </c>
      <c r="N3879" s="8" t="s">
        <v>8899</v>
      </c>
      <c r="O3879" s="6" t="s">
        <v>622</v>
      </c>
      <c r="P3879" s="58" t="s">
        <v>242</v>
      </c>
      <c r="Q3879" s="27" t="s">
        <v>7708</v>
      </c>
      <c r="R3879" s="27">
        <v>10</v>
      </c>
      <c r="S3879" s="59">
        <v>6388.5419999999995</v>
      </c>
      <c r="T3879" s="4">
        <f>R3879*S3879</f>
        <v>63885.42</v>
      </c>
      <c r="U3879" s="4">
        <f>T3879*1.12</f>
        <v>71551.670400000003</v>
      </c>
      <c r="V3879" s="3"/>
      <c r="W3879" s="3">
        <v>2014</v>
      </c>
      <c r="X3879" s="3"/>
    </row>
    <row r="3880" spans="1:24" ht="76.5">
      <c r="A3880" s="3" t="s">
        <v>10443</v>
      </c>
      <c r="B3880" s="6" t="s">
        <v>361</v>
      </c>
      <c r="C3880" s="179" t="s">
        <v>5315</v>
      </c>
      <c r="D3880" s="180" t="s">
        <v>473</v>
      </c>
      <c r="E3880" s="181" t="s">
        <v>5316</v>
      </c>
      <c r="F3880" s="8" t="s">
        <v>11789</v>
      </c>
      <c r="G3880" s="3" t="s">
        <v>11449</v>
      </c>
      <c r="H3880" s="54">
        <v>0</v>
      </c>
      <c r="I3880" s="16">
        <v>470000000</v>
      </c>
      <c r="J3880" s="16" t="s">
        <v>229</v>
      </c>
      <c r="K3880" s="57" t="s">
        <v>641</v>
      </c>
      <c r="L3880" s="57" t="s">
        <v>364</v>
      </c>
      <c r="M3880" s="162" t="s">
        <v>230</v>
      </c>
      <c r="N3880" s="8" t="s">
        <v>8899</v>
      </c>
      <c r="O3880" s="6" t="s">
        <v>622</v>
      </c>
      <c r="P3880" s="58" t="s">
        <v>242</v>
      </c>
      <c r="Q3880" s="27" t="s">
        <v>7708</v>
      </c>
      <c r="R3880" s="27">
        <v>16</v>
      </c>
      <c r="S3880" s="59">
        <v>12452.64</v>
      </c>
      <c r="T3880" s="4">
        <v>0</v>
      </c>
      <c r="U3880" s="4">
        <f t="shared" si="188"/>
        <v>0</v>
      </c>
      <c r="V3880" s="3"/>
      <c r="W3880" s="3">
        <v>2014</v>
      </c>
      <c r="X3880" s="3">
        <v>11.12</v>
      </c>
    </row>
    <row r="3881" spans="1:24" ht="76.5">
      <c r="A3881" s="3" t="s">
        <v>13027</v>
      </c>
      <c r="B3881" s="6" t="s">
        <v>361</v>
      </c>
      <c r="C3881" s="179" t="s">
        <v>5315</v>
      </c>
      <c r="D3881" s="180" t="s">
        <v>473</v>
      </c>
      <c r="E3881" s="181" t="s">
        <v>5316</v>
      </c>
      <c r="F3881" s="8" t="s">
        <v>11789</v>
      </c>
      <c r="G3881" s="3" t="s">
        <v>11449</v>
      </c>
      <c r="H3881" s="54">
        <v>0</v>
      </c>
      <c r="I3881" s="16">
        <v>470000000</v>
      </c>
      <c r="J3881" s="16" t="s">
        <v>229</v>
      </c>
      <c r="K3881" s="57" t="s">
        <v>642</v>
      </c>
      <c r="L3881" s="12" t="s">
        <v>404</v>
      </c>
      <c r="M3881" s="162" t="s">
        <v>230</v>
      </c>
      <c r="N3881" s="8" t="s">
        <v>8899</v>
      </c>
      <c r="O3881" s="6" t="s">
        <v>622</v>
      </c>
      <c r="P3881" s="58" t="s">
        <v>242</v>
      </c>
      <c r="Q3881" s="27" t="s">
        <v>7708</v>
      </c>
      <c r="R3881" s="27">
        <v>16</v>
      </c>
      <c r="S3881" s="59">
        <v>12452.64</v>
      </c>
      <c r="T3881" s="4">
        <v>0</v>
      </c>
      <c r="U3881" s="4">
        <f>T3881*1.12</f>
        <v>0</v>
      </c>
      <c r="V3881" s="3"/>
      <c r="W3881" s="3">
        <v>2014</v>
      </c>
      <c r="X3881" s="3" t="s">
        <v>14785</v>
      </c>
    </row>
    <row r="3882" spans="1:24" ht="76.5">
      <c r="A3882" s="3" t="s">
        <v>16764</v>
      </c>
      <c r="B3882" s="6" t="s">
        <v>361</v>
      </c>
      <c r="C3882" s="179" t="s">
        <v>5315</v>
      </c>
      <c r="D3882" s="180" t="s">
        <v>473</v>
      </c>
      <c r="E3882" s="181" t="s">
        <v>5316</v>
      </c>
      <c r="F3882" s="8" t="s">
        <v>11789</v>
      </c>
      <c r="G3882" s="3" t="s">
        <v>11449</v>
      </c>
      <c r="H3882" s="54">
        <v>0</v>
      </c>
      <c r="I3882" s="16">
        <v>470000000</v>
      </c>
      <c r="J3882" s="16" t="s">
        <v>229</v>
      </c>
      <c r="K3882" s="57" t="s">
        <v>8950</v>
      </c>
      <c r="L3882" s="12" t="s">
        <v>404</v>
      </c>
      <c r="M3882" s="162" t="s">
        <v>230</v>
      </c>
      <c r="N3882" s="8" t="s">
        <v>8899</v>
      </c>
      <c r="O3882" s="6" t="s">
        <v>622</v>
      </c>
      <c r="P3882" s="58" t="s">
        <v>242</v>
      </c>
      <c r="Q3882" s="27" t="s">
        <v>7708</v>
      </c>
      <c r="R3882" s="27">
        <v>16</v>
      </c>
      <c r="S3882" s="59">
        <v>15250.068000000001</v>
      </c>
      <c r="T3882" s="4">
        <f>R3882*S3882</f>
        <v>244001.08800000002</v>
      </c>
      <c r="U3882" s="4">
        <f>T3882*1.12</f>
        <v>273281.21856000007</v>
      </c>
      <c r="V3882" s="3"/>
      <c r="W3882" s="3">
        <v>2014</v>
      </c>
      <c r="X3882" s="3"/>
    </row>
    <row r="3883" spans="1:24" ht="89.25">
      <c r="A3883" s="3" t="s">
        <v>10444</v>
      </c>
      <c r="B3883" s="6" t="s">
        <v>361</v>
      </c>
      <c r="C3883" s="179" t="s">
        <v>5317</v>
      </c>
      <c r="D3883" s="180" t="s">
        <v>473</v>
      </c>
      <c r="E3883" s="181" t="s">
        <v>5318</v>
      </c>
      <c r="F3883" s="8" t="s">
        <v>11790</v>
      </c>
      <c r="G3883" s="3" t="s">
        <v>11449</v>
      </c>
      <c r="H3883" s="54">
        <v>0</v>
      </c>
      <c r="I3883" s="16">
        <v>470000000</v>
      </c>
      <c r="J3883" s="16" t="s">
        <v>229</v>
      </c>
      <c r="K3883" s="57" t="s">
        <v>641</v>
      </c>
      <c r="L3883" s="57" t="s">
        <v>364</v>
      </c>
      <c r="M3883" s="162" t="s">
        <v>230</v>
      </c>
      <c r="N3883" s="8" t="s">
        <v>8899</v>
      </c>
      <c r="O3883" s="6" t="s">
        <v>622</v>
      </c>
      <c r="P3883" s="58" t="s">
        <v>242</v>
      </c>
      <c r="Q3883" s="27" t="s">
        <v>7708</v>
      </c>
      <c r="R3883" s="27">
        <v>16</v>
      </c>
      <c r="S3883" s="59">
        <v>14986</v>
      </c>
      <c r="T3883" s="4">
        <v>0</v>
      </c>
      <c r="U3883" s="4">
        <f t="shared" si="188"/>
        <v>0</v>
      </c>
      <c r="V3883" s="3"/>
      <c r="W3883" s="3">
        <v>2014</v>
      </c>
      <c r="X3883" s="3">
        <v>11.12</v>
      </c>
    </row>
    <row r="3884" spans="1:24" ht="89.25">
      <c r="A3884" s="3" t="s">
        <v>13028</v>
      </c>
      <c r="B3884" s="6" t="s">
        <v>361</v>
      </c>
      <c r="C3884" s="179" t="s">
        <v>5317</v>
      </c>
      <c r="D3884" s="180" t="s">
        <v>473</v>
      </c>
      <c r="E3884" s="181" t="s">
        <v>5318</v>
      </c>
      <c r="F3884" s="8" t="s">
        <v>11790</v>
      </c>
      <c r="G3884" s="3" t="s">
        <v>11449</v>
      </c>
      <c r="H3884" s="54">
        <v>0</v>
      </c>
      <c r="I3884" s="16">
        <v>470000000</v>
      </c>
      <c r="J3884" s="16" t="s">
        <v>229</v>
      </c>
      <c r="K3884" s="57" t="s">
        <v>642</v>
      </c>
      <c r="L3884" s="12" t="s">
        <v>404</v>
      </c>
      <c r="M3884" s="162" t="s">
        <v>230</v>
      </c>
      <c r="N3884" s="8" t="s">
        <v>8899</v>
      </c>
      <c r="O3884" s="6" t="s">
        <v>622</v>
      </c>
      <c r="P3884" s="58" t="s">
        <v>242</v>
      </c>
      <c r="Q3884" s="27" t="s">
        <v>7708</v>
      </c>
      <c r="R3884" s="27">
        <v>16</v>
      </c>
      <c r="S3884" s="59">
        <v>14986</v>
      </c>
      <c r="T3884" s="4">
        <v>0</v>
      </c>
      <c r="U3884" s="4">
        <f>T3884*1.12</f>
        <v>0</v>
      </c>
      <c r="V3884" s="3"/>
      <c r="W3884" s="3">
        <v>2014</v>
      </c>
      <c r="X3884" s="3" t="s">
        <v>14785</v>
      </c>
    </row>
    <row r="3885" spans="1:24" ht="89.25">
      <c r="A3885" s="3" t="s">
        <v>16765</v>
      </c>
      <c r="B3885" s="6" t="s">
        <v>361</v>
      </c>
      <c r="C3885" s="179" t="s">
        <v>5317</v>
      </c>
      <c r="D3885" s="180" t="s">
        <v>473</v>
      </c>
      <c r="E3885" s="181" t="s">
        <v>5318</v>
      </c>
      <c r="F3885" s="8" t="s">
        <v>11790</v>
      </c>
      <c r="G3885" s="3" t="s">
        <v>11449</v>
      </c>
      <c r="H3885" s="54">
        <v>0</v>
      </c>
      <c r="I3885" s="16">
        <v>470000000</v>
      </c>
      <c r="J3885" s="16" t="s">
        <v>229</v>
      </c>
      <c r="K3885" s="57" t="s">
        <v>8950</v>
      </c>
      <c r="L3885" s="12" t="s">
        <v>404</v>
      </c>
      <c r="M3885" s="162" t="s">
        <v>230</v>
      </c>
      <c r="N3885" s="8" t="s">
        <v>8899</v>
      </c>
      <c r="O3885" s="6" t="s">
        <v>622</v>
      </c>
      <c r="P3885" s="58" t="s">
        <v>242</v>
      </c>
      <c r="Q3885" s="336" t="s">
        <v>7708</v>
      </c>
      <c r="R3885" s="336">
        <v>16</v>
      </c>
      <c r="S3885" s="59">
        <v>26653.272000000001</v>
      </c>
      <c r="T3885" s="4">
        <v>0</v>
      </c>
      <c r="U3885" s="4">
        <f>T3885*1.12</f>
        <v>0</v>
      </c>
      <c r="V3885" s="3"/>
      <c r="W3885" s="3">
        <v>2014</v>
      </c>
      <c r="X3885" s="3" t="s">
        <v>19387</v>
      </c>
    </row>
    <row r="3886" spans="1:24" ht="89.25">
      <c r="A3886" s="3" t="s">
        <v>19103</v>
      </c>
      <c r="B3886" s="6" t="s">
        <v>361</v>
      </c>
      <c r="C3886" s="179" t="s">
        <v>5317</v>
      </c>
      <c r="D3886" s="180" t="s">
        <v>473</v>
      </c>
      <c r="E3886" s="181" t="s">
        <v>5318</v>
      </c>
      <c r="F3886" s="8" t="s">
        <v>11790</v>
      </c>
      <c r="G3886" s="3" t="s">
        <v>11449</v>
      </c>
      <c r="H3886" s="54">
        <v>0</v>
      </c>
      <c r="I3886" s="16">
        <v>470000000</v>
      </c>
      <c r="J3886" s="16" t="s">
        <v>229</v>
      </c>
      <c r="K3886" s="57" t="s">
        <v>18866</v>
      </c>
      <c r="L3886" s="12" t="s">
        <v>404</v>
      </c>
      <c r="M3886" s="162" t="s">
        <v>230</v>
      </c>
      <c r="N3886" s="8" t="s">
        <v>19369</v>
      </c>
      <c r="O3886" s="6" t="s">
        <v>19407</v>
      </c>
      <c r="P3886" s="58" t="s">
        <v>242</v>
      </c>
      <c r="Q3886" s="336" t="s">
        <v>7708</v>
      </c>
      <c r="R3886" s="336">
        <v>48</v>
      </c>
      <c r="S3886" s="59">
        <v>26653.272000000001</v>
      </c>
      <c r="T3886" s="4">
        <f>R3886*S3886</f>
        <v>1279357.0560000001</v>
      </c>
      <c r="U3886" s="4">
        <f>T3886*1.12</f>
        <v>1432879.9027200004</v>
      </c>
      <c r="V3886" s="3"/>
      <c r="W3886" s="3">
        <v>2014</v>
      </c>
      <c r="X3886" s="3"/>
    </row>
    <row r="3887" spans="1:24" ht="76.5">
      <c r="A3887" s="3" t="s">
        <v>10445</v>
      </c>
      <c r="B3887" s="6" t="s">
        <v>361</v>
      </c>
      <c r="C3887" s="179" t="s">
        <v>5319</v>
      </c>
      <c r="D3887" s="180" t="s">
        <v>5320</v>
      </c>
      <c r="E3887" s="181" t="s">
        <v>5321</v>
      </c>
      <c r="F3887" s="8" t="s">
        <v>7807</v>
      </c>
      <c r="G3887" s="3" t="s">
        <v>11449</v>
      </c>
      <c r="H3887" s="54">
        <v>0</v>
      </c>
      <c r="I3887" s="16">
        <v>470000000</v>
      </c>
      <c r="J3887" s="16" t="s">
        <v>229</v>
      </c>
      <c r="K3887" s="57" t="s">
        <v>641</v>
      </c>
      <c r="L3887" s="57" t="s">
        <v>364</v>
      </c>
      <c r="M3887" s="162" t="s">
        <v>230</v>
      </c>
      <c r="N3887" s="8" t="s">
        <v>8899</v>
      </c>
      <c r="O3887" s="6" t="s">
        <v>622</v>
      </c>
      <c r="P3887" s="58" t="s">
        <v>241</v>
      </c>
      <c r="Q3887" s="27" t="s">
        <v>234</v>
      </c>
      <c r="R3887" s="27">
        <v>24</v>
      </c>
      <c r="S3887" s="59">
        <v>6734.68</v>
      </c>
      <c r="T3887" s="4">
        <v>0</v>
      </c>
      <c r="U3887" s="4">
        <f t="shared" si="188"/>
        <v>0</v>
      </c>
      <c r="V3887" s="3"/>
      <c r="W3887" s="3">
        <v>2014</v>
      </c>
      <c r="X3887" s="3">
        <v>11.12</v>
      </c>
    </row>
    <row r="3888" spans="1:24" ht="76.5">
      <c r="A3888" s="3" t="s">
        <v>13029</v>
      </c>
      <c r="B3888" s="6" t="s">
        <v>361</v>
      </c>
      <c r="C3888" s="179" t="s">
        <v>5319</v>
      </c>
      <c r="D3888" s="180" t="s">
        <v>5320</v>
      </c>
      <c r="E3888" s="181" t="s">
        <v>5321</v>
      </c>
      <c r="F3888" s="8" t="s">
        <v>7807</v>
      </c>
      <c r="G3888" s="3" t="s">
        <v>11449</v>
      </c>
      <c r="H3888" s="54">
        <v>0</v>
      </c>
      <c r="I3888" s="16">
        <v>470000000</v>
      </c>
      <c r="J3888" s="16" t="s">
        <v>229</v>
      </c>
      <c r="K3888" s="57" t="s">
        <v>642</v>
      </c>
      <c r="L3888" s="12" t="s">
        <v>404</v>
      </c>
      <c r="M3888" s="162" t="s">
        <v>230</v>
      </c>
      <c r="N3888" s="8" t="s">
        <v>8899</v>
      </c>
      <c r="O3888" s="6" t="s">
        <v>622</v>
      </c>
      <c r="P3888" s="58" t="s">
        <v>241</v>
      </c>
      <c r="Q3888" s="27" t="s">
        <v>234</v>
      </c>
      <c r="R3888" s="27">
        <v>24</v>
      </c>
      <c r="S3888" s="59">
        <v>6734.68</v>
      </c>
      <c r="T3888" s="4">
        <v>0</v>
      </c>
      <c r="U3888" s="4">
        <f>T3888*1.12</f>
        <v>0</v>
      </c>
      <c r="V3888" s="3"/>
      <c r="W3888" s="3">
        <v>2014</v>
      </c>
      <c r="X3888" s="3" t="s">
        <v>14785</v>
      </c>
    </row>
    <row r="3889" spans="1:24" ht="76.5">
      <c r="A3889" s="3" t="s">
        <v>16768</v>
      </c>
      <c r="B3889" s="6" t="s">
        <v>361</v>
      </c>
      <c r="C3889" s="179" t="s">
        <v>5319</v>
      </c>
      <c r="D3889" s="180" t="s">
        <v>5320</v>
      </c>
      <c r="E3889" s="181" t="s">
        <v>5321</v>
      </c>
      <c r="F3889" s="8" t="s">
        <v>7807</v>
      </c>
      <c r="G3889" s="3" t="s">
        <v>11449</v>
      </c>
      <c r="H3889" s="54">
        <v>0</v>
      </c>
      <c r="I3889" s="16">
        <v>470000000</v>
      </c>
      <c r="J3889" s="16" t="s">
        <v>229</v>
      </c>
      <c r="K3889" s="57" t="s">
        <v>8950</v>
      </c>
      <c r="L3889" s="12" t="s">
        <v>404</v>
      </c>
      <c r="M3889" s="162" t="s">
        <v>230</v>
      </c>
      <c r="N3889" s="8" t="s">
        <v>8899</v>
      </c>
      <c r="O3889" s="6" t="s">
        <v>622</v>
      </c>
      <c r="P3889" s="58" t="s">
        <v>241</v>
      </c>
      <c r="Q3889" s="336" t="s">
        <v>234</v>
      </c>
      <c r="R3889" s="336">
        <v>24</v>
      </c>
      <c r="S3889" s="59">
        <v>16761.335999999999</v>
      </c>
      <c r="T3889" s="4">
        <v>0</v>
      </c>
      <c r="U3889" s="4">
        <f t="shared" ref="U3889:U3890" si="189">T3889*1.12</f>
        <v>0</v>
      </c>
      <c r="V3889" s="3"/>
      <c r="W3889" s="3">
        <v>2014</v>
      </c>
      <c r="X3889" s="3" t="s">
        <v>14265</v>
      </c>
    </row>
    <row r="3890" spans="1:24" ht="76.5">
      <c r="A3890" s="3" t="s">
        <v>19104</v>
      </c>
      <c r="B3890" s="6" t="s">
        <v>361</v>
      </c>
      <c r="C3890" s="179" t="s">
        <v>5319</v>
      </c>
      <c r="D3890" s="180" t="s">
        <v>5320</v>
      </c>
      <c r="E3890" s="181" t="s">
        <v>5321</v>
      </c>
      <c r="F3890" s="8" t="s">
        <v>7807</v>
      </c>
      <c r="G3890" s="3" t="s">
        <v>11449</v>
      </c>
      <c r="H3890" s="54">
        <v>0</v>
      </c>
      <c r="I3890" s="16">
        <v>470000000</v>
      </c>
      <c r="J3890" s="16" t="s">
        <v>229</v>
      </c>
      <c r="K3890" s="57" t="s">
        <v>18437</v>
      </c>
      <c r="L3890" s="12" t="s">
        <v>404</v>
      </c>
      <c r="M3890" s="162" t="s">
        <v>230</v>
      </c>
      <c r="N3890" s="8" t="s">
        <v>19369</v>
      </c>
      <c r="O3890" s="6" t="s">
        <v>19407</v>
      </c>
      <c r="P3890" s="58" t="s">
        <v>241</v>
      </c>
      <c r="Q3890" s="336" t="s">
        <v>234</v>
      </c>
      <c r="R3890" s="336">
        <v>24</v>
      </c>
      <c r="S3890" s="59">
        <v>16761.335999999999</v>
      </c>
      <c r="T3890" s="4">
        <f>R3890*S3890</f>
        <v>402272.06400000001</v>
      </c>
      <c r="U3890" s="4">
        <f t="shared" si="189"/>
        <v>450544.71168000007</v>
      </c>
      <c r="V3890" s="3"/>
      <c r="W3890" s="3">
        <v>2014</v>
      </c>
      <c r="X3890" s="3"/>
    </row>
    <row r="3891" spans="1:24" ht="76.5">
      <c r="A3891" s="3" t="s">
        <v>10446</v>
      </c>
      <c r="B3891" s="6" t="s">
        <v>361</v>
      </c>
      <c r="C3891" s="179" t="s">
        <v>5322</v>
      </c>
      <c r="D3891" s="180" t="s">
        <v>5323</v>
      </c>
      <c r="E3891" s="181" t="s">
        <v>5324</v>
      </c>
      <c r="F3891" s="8" t="s">
        <v>11791</v>
      </c>
      <c r="G3891" s="3" t="s">
        <v>11449</v>
      </c>
      <c r="H3891" s="54">
        <v>0</v>
      </c>
      <c r="I3891" s="16">
        <v>470000000</v>
      </c>
      <c r="J3891" s="16" t="s">
        <v>229</v>
      </c>
      <c r="K3891" s="57" t="s">
        <v>641</v>
      </c>
      <c r="L3891" s="57" t="s">
        <v>364</v>
      </c>
      <c r="M3891" s="162" t="s">
        <v>230</v>
      </c>
      <c r="N3891" s="8" t="s">
        <v>8899</v>
      </c>
      <c r="O3891" s="6" t="s">
        <v>622</v>
      </c>
      <c r="P3891" s="58" t="s">
        <v>242</v>
      </c>
      <c r="Q3891" s="27" t="s">
        <v>7708</v>
      </c>
      <c r="R3891" s="27">
        <v>16</v>
      </c>
      <c r="S3891" s="59">
        <f>1284*1.07</f>
        <v>1373.88</v>
      </c>
      <c r="T3891" s="4">
        <v>0</v>
      </c>
      <c r="U3891" s="4">
        <f t="shared" si="188"/>
        <v>0</v>
      </c>
      <c r="V3891" s="3"/>
      <c r="W3891" s="3">
        <v>2014</v>
      </c>
      <c r="X3891" s="3">
        <v>11.12</v>
      </c>
    </row>
    <row r="3892" spans="1:24" ht="76.5">
      <c r="A3892" s="3" t="s">
        <v>13030</v>
      </c>
      <c r="B3892" s="6" t="s">
        <v>361</v>
      </c>
      <c r="C3892" s="179" t="s">
        <v>5322</v>
      </c>
      <c r="D3892" s="180" t="s">
        <v>5323</v>
      </c>
      <c r="E3892" s="181" t="s">
        <v>5324</v>
      </c>
      <c r="F3892" s="8" t="s">
        <v>11791</v>
      </c>
      <c r="G3892" s="3" t="s">
        <v>11449</v>
      </c>
      <c r="H3892" s="54">
        <v>0</v>
      </c>
      <c r="I3892" s="16">
        <v>470000000</v>
      </c>
      <c r="J3892" s="16" t="s">
        <v>229</v>
      </c>
      <c r="K3892" s="57" t="s">
        <v>642</v>
      </c>
      <c r="L3892" s="12" t="s">
        <v>404</v>
      </c>
      <c r="M3892" s="162" t="s">
        <v>230</v>
      </c>
      <c r="N3892" s="8" t="s">
        <v>8899</v>
      </c>
      <c r="O3892" s="6" t="s">
        <v>622</v>
      </c>
      <c r="P3892" s="58" t="s">
        <v>242</v>
      </c>
      <c r="Q3892" s="27" t="s">
        <v>7708</v>
      </c>
      <c r="R3892" s="27">
        <v>16</v>
      </c>
      <c r="S3892" s="59">
        <f>1284*1.07</f>
        <v>1373.88</v>
      </c>
      <c r="T3892" s="4">
        <f>R3892*S3892</f>
        <v>21982.080000000002</v>
      </c>
      <c r="U3892" s="4">
        <f>T3892*1.12</f>
        <v>24619.929600000003</v>
      </c>
      <c r="V3892" s="3"/>
      <c r="W3892" s="3">
        <v>2014</v>
      </c>
      <c r="X3892" s="3"/>
    </row>
    <row r="3893" spans="1:24" ht="76.5">
      <c r="A3893" s="3" t="s">
        <v>10447</v>
      </c>
      <c r="B3893" s="6" t="s">
        <v>361</v>
      </c>
      <c r="C3893" s="179" t="s">
        <v>5325</v>
      </c>
      <c r="D3893" s="180" t="s">
        <v>5323</v>
      </c>
      <c r="E3893" s="181" t="s">
        <v>5326</v>
      </c>
      <c r="F3893" s="8" t="s">
        <v>11792</v>
      </c>
      <c r="G3893" s="3" t="s">
        <v>11449</v>
      </c>
      <c r="H3893" s="54">
        <v>0</v>
      </c>
      <c r="I3893" s="16">
        <v>470000000</v>
      </c>
      <c r="J3893" s="16" t="s">
        <v>229</v>
      </c>
      <c r="K3893" s="57" t="s">
        <v>641</v>
      </c>
      <c r="L3893" s="57" t="s">
        <v>364</v>
      </c>
      <c r="M3893" s="162" t="s">
        <v>230</v>
      </c>
      <c r="N3893" s="8" t="s">
        <v>8899</v>
      </c>
      <c r="O3893" s="6" t="s">
        <v>622</v>
      </c>
      <c r="P3893" s="58" t="s">
        <v>242</v>
      </c>
      <c r="Q3893" s="27" t="s">
        <v>7708</v>
      </c>
      <c r="R3893" s="27">
        <v>16</v>
      </c>
      <c r="S3893" s="1">
        <v>2097</v>
      </c>
      <c r="T3893" s="4">
        <v>0</v>
      </c>
      <c r="U3893" s="4">
        <f t="shared" si="188"/>
        <v>0</v>
      </c>
      <c r="V3893" s="3"/>
      <c r="W3893" s="3">
        <v>2014</v>
      </c>
      <c r="X3893" s="3">
        <v>11.12</v>
      </c>
    </row>
    <row r="3894" spans="1:24" ht="76.5">
      <c r="A3894" s="3" t="s">
        <v>13031</v>
      </c>
      <c r="B3894" s="6" t="s">
        <v>361</v>
      </c>
      <c r="C3894" s="179" t="s">
        <v>5325</v>
      </c>
      <c r="D3894" s="180" t="s">
        <v>5323</v>
      </c>
      <c r="E3894" s="181" t="s">
        <v>5326</v>
      </c>
      <c r="F3894" s="8" t="s">
        <v>11792</v>
      </c>
      <c r="G3894" s="3" t="s">
        <v>11449</v>
      </c>
      <c r="H3894" s="54">
        <v>0</v>
      </c>
      <c r="I3894" s="16">
        <v>470000000</v>
      </c>
      <c r="J3894" s="16" t="s">
        <v>229</v>
      </c>
      <c r="K3894" s="57" t="s">
        <v>642</v>
      </c>
      <c r="L3894" s="12" t="s">
        <v>404</v>
      </c>
      <c r="M3894" s="162" t="s">
        <v>230</v>
      </c>
      <c r="N3894" s="8" t="s">
        <v>8899</v>
      </c>
      <c r="O3894" s="6" t="s">
        <v>622</v>
      </c>
      <c r="P3894" s="58" t="s">
        <v>242</v>
      </c>
      <c r="Q3894" s="27" t="s">
        <v>7708</v>
      </c>
      <c r="R3894" s="27">
        <v>16</v>
      </c>
      <c r="S3894" s="1">
        <v>2097</v>
      </c>
      <c r="T3894" s="4">
        <v>0</v>
      </c>
      <c r="U3894" s="4">
        <f>T3894*1.12</f>
        <v>0</v>
      </c>
      <c r="V3894" s="3"/>
      <c r="W3894" s="3">
        <v>2014</v>
      </c>
      <c r="X3894" s="3" t="s">
        <v>14785</v>
      </c>
    </row>
    <row r="3895" spans="1:24" ht="76.5">
      <c r="A3895" s="3" t="s">
        <v>16769</v>
      </c>
      <c r="B3895" s="6" t="s">
        <v>361</v>
      </c>
      <c r="C3895" s="179" t="s">
        <v>5325</v>
      </c>
      <c r="D3895" s="180" t="s">
        <v>5323</v>
      </c>
      <c r="E3895" s="181" t="s">
        <v>5326</v>
      </c>
      <c r="F3895" s="8" t="s">
        <v>11792</v>
      </c>
      <c r="G3895" s="3" t="s">
        <v>11449</v>
      </c>
      <c r="H3895" s="54">
        <v>0</v>
      </c>
      <c r="I3895" s="16">
        <v>470000000</v>
      </c>
      <c r="J3895" s="16" t="s">
        <v>229</v>
      </c>
      <c r="K3895" s="57" t="s">
        <v>8950</v>
      </c>
      <c r="L3895" s="12" t="s">
        <v>404</v>
      </c>
      <c r="M3895" s="162" t="s">
        <v>230</v>
      </c>
      <c r="N3895" s="8" t="s">
        <v>8899</v>
      </c>
      <c r="O3895" s="6" t="s">
        <v>622</v>
      </c>
      <c r="P3895" s="58" t="s">
        <v>242</v>
      </c>
      <c r="Q3895" s="336" t="s">
        <v>7708</v>
      </c>
      <c r="R3895" s="336">
        <v>16</v>
      </c>
      <c r="S3895" s="1">
        <v>2844.06</v>
      </c>
      <c r="T3895" s="4">
        <v>0</v>
      </c>
      <c r="U3895" s="4">
        <f t="shared" ref="U3895:U3896" si="190">T3895*1.12</f>
        <v>0</v>
      </c>
      <c r="V3895" s="3"/>
      <c r="W3895" s="3">
        <v>2014</v>
      </c>
      <c r="X3895" s="3" t="s">
        <v>14265</v>
      </c>
    </row>
    <row r="3896" spans="1:24" ht="76.5">
      <c r="A3896" s="3" t="s">
        <v>19113</v>
      </c>
      <c r="B3896" s="6" t="s">
        <v>361</v>
      </c>
      <c r="C3896" s="179" t="s">
        <v>5325</v>
      </c>
      <c r="D3896" s="180" t="s">
        <v>5323</v>
      </c>
      <c r="E3896" s="181" t="s">
        <v>5326</v>
      </c>
      <c r="F3896" s="8" t="s">
        <v>11792</v>
      </c>
      <c r="G3896" s="3" t="s">
        <v>11449</v>
      </c>
      <c r="H3896" s="54">
        <v>0</v>
      </c>
      <c r="I3896" s="16">
        <v>470000000</v>
      </c>
      <c r="J3896" s="16" t="s">
        <v>229</v>
      </c>
      <c r="K3896" s="57" t="s">
        <v>18437</v>
      </c>
      <c r="L3896" s="12" t="s">
        <v>404</v>
      </c>
      <c r="M3896" s="162" t="s">
        <v>230</v>
      </c>
      <c r="N3896" s="8" t="s">
        <v>19369</v>
      </c>
      <c r="O3896" s="6" t="s">
        <v>19407</v>
      </c>
      <c r="P3896" s="58" t="s">
        <v>242</v>
      </c>
      <c r="Q3896" s="336" t="s">
        <v>7708</v>
      </c>
      <c r="R3896" s="336">
        <v>16</v>
      </c>
      <c r="S3896" s="1">
        <v>2844.06</v>
      </c>
      <c r="T3896" s="4">
        <f>R3896*S3896</f>
        <v>45504.959999999999</v>
      </c>
      <c r="U3896" s="4">
        <f t="shared" si="190"/>
        <v>50965.555200000003</v>
      </c>
      <c r="V3896" s="3"/>
      <c r="W3896" s="3">
        <v>2014</v>
      </c>
      <c r="X3896" s="3"/>
    </row>
    <row r="3897" spans="1:24" ht="76.5">
      <c r="A3897" s="3" t="s">
        <v>10448</v>
      </c>
      <c r="B3897" s="6" t="s">
        <v>361</v>
      </c>
      <c r="C3897" s="100" t="s">
        <v>5327</v>
      </c>
      <c r="D3897" s="100" t="s">
        <v>5328</v>
      </c>
      <c r="E3897" s="101" t="s">
        <v>5329</v>
      </c>
      <c r="F3897" s="8" t="s">
        <v>7808</v>
      </c>
      <c r="G3897" s="3" t="s">
        <v>11449</v>
      </c>
      <c r="H3897" s="54">
        <v>0</v>
      </c>
      <c r="I3897" s="16">
        <v>470000000</v>
      </c>
      <c r="J3897" s="16" t="s">
        <v>229</v>
      </c>
      <c r="K3897" s="57" t="s">
        <v>641</v>
      </c>
      <c r="L3897" s="57" t="s">
        <v>364</v>
      </c>
      <c r="M3897" s="162" t="s">
        <v>230</v>
      </c>
      <c r="N3897" s="8" t="s">
        <v>8899</v>
      </c>
      <c r="O3897" s="6" t="s">
        <v>622</v>
      </c>
      <c r="P3897" s="58" t="s">
        <v>241</v>
      </c>
      <c r="Q3897" s="27" t="s">
        <v>234</v>
      </c>
      <c r="R3897" s="27">
        <v>16</v>
      </c>
      <c r="S3897" s="59">
        <f>17441*1.07</f>
        <v>18661.870000000003</v>
      </c>
      <c r="T3897" s="4">
        <v>0</v>
      </c>
      <c r="U3897" s="4">
        <f t="shared" si="188"/>
        <v>0</v>
      </c>
      <c r="V3897" s="3"/>
      <c r="W3897" s="3">
        <v>2014</v>
      </c>
      <c r="X3897" s="3">
        <v>11.12</v>
      </c>
    </row>
    <row r="3898" spans="1:24" ht="76.5">
      <c r="A3898" s="3" t="s">
        <v>13032</v>
      </c>
      <c r="B3898" s="6" t="s">
        <v>361</v>
      </c>
      <c r="C3898" s="100" t="s">
        <v>5327</v>
      </c>
      <c r="D3898" s="100" t="s">
        <v>5328</v>
      </c>
      <c r="E3898" s="101" t="s">
        <v>5329</v>
      </c>
      <c r="F3898" s="8" t="s">
        <v>7808</v>
      </c>
      <c r="G3898" s="3" t="s">
        <v>11449</v>
      </c>
      <c r="H3898" s="54">
        <v>0</v>
      </c>
      <c r="I3898" s="16">
        <v>470000000</v>
      </c>
      <c r="J3898" s="16" t="s">
        <v>229</v>
      </c>
      <c r="K3898" s="57" t="s">
        <v>642</v>
      </c>
      <c r="L3898" s="12" t="s">
        <v>404</v>
      </c>
      <c r="M3898" s="162" t="s">
        <v>230</v>
      </c>
      <c r="N3898" s="8" t="s">
        <v>8899</v>
      </c>
      <c r="O3898" s="6" t="s">
        <v>622</v>
      </c>
      <c r="P3898" s="58" t="s">
        <v>241</v>
      </c>
      <c r="Q3898" s="27" t="s">
        <v>234</v>
      </c>
      <c r="R3898" s="27">
        <v>16</v>
      </c>
      <c r="S3898" s="59">
        <f>17441*1.07</f>
        <v>18661.870000000003</v>
      </c>
      <c r="T3898" s="4">
        <v>0</v>
      </c>
      <c r="U3898" s="4">
        <f>T3898*1.12</f>
        <v>0</v>
      </c>
      <c r="V3898" s="3"/>
      <c r="W3898" s="3">
        <v>2014</v>
      </c>
      <c r="X3898" s="3" t="s">
        <v>14785</v>
      </c>
    </row>
    <row r="3899" spans="1:24" ht="76.5">
      <c r="A3899" s="3" t="s">
        <v>16770</v>
      </c>
      <c r="B3899" s="6" t="s">
        <v>361</v>
      </c>
      <c r="C3899" s="100" t="s">
        <v>5327</v>
      </c>
      <c r="D3899" s="100" t="s">
        <v>5328</v>
      </c>
      <c r="E3899" s="101" t="s">
        <v>5329</v>
      </c>
      <c r="F3899" s="8" t="s">
        <v>7808</v>
      </c>
      <c r="G3899" s="3" t="s">
        <v>11449</v>
      </c>
      <c r="H3899" s="54">
        <v>0</v>
      </c>
      <c r="I3899" s="16">
        <v>470000000</v>
      </c>
      <c r="J3899" s="16" t="s">
        <v>229</v>
      </c>
      <c r="K3899" s="57" t="s">
        <v>8950</v>
      </c>
      <c r="L3899" s="12" t="s">
        <v>404</v>
      </c>
      <c r="M3899" s="162" t="s">
        <v>230</v>
      </c>
      <c r="N3899" s="8" t="s">
        <v>8899</v>
      </c>
      <c r="O3899" s="6" t="s">
        <v>622</v>
      </c>
      <c r="P3899" s="58" t="s">
        <v>241</v>
      </c>
      <c r="Q3899" s="27" t="s">
        <v>234</v>
      </c>
      <c r="R3899" s="27">
        <v>16</v>
      </c>
      <c r="S3899" s="59">
        <v>22394.244000000002</v>
      </c>
      <c r="T3899" s="4">
        <f>R3899*S3899</f>
        <v>358307.90400000004</v>
      </c>
      <c r="U3899" s="4">
        <f>T3899*1.12</f>
        <v>401304.85248000006</v>
      </c>
      <c r="V3899" s="3"/>
      <c r="W3899" s="3">
        <v>2014</v>
      </c>
      <c r="X3899" s="3"/>
    </row>
    <row r="3900" spans="1:24" ht="76.5">
      <c r="A3900" s="3" t="s">
        <v>10449</v>
      </c>
      <c r="B3900" s="6" t="s">
        <v>361</v>
      </c>
      <c r="C3900" s="124" t="s">
        <v>5330</v>
      </c>
      <c r="D3900" s="126" t="s">
        <v>5331</v>
      </c>
      <c r="E3900" s="125" t="s">
        <v>5332</v>
      </c>
      <c r="F3900" s="9" t="s">
        <v>7809</v>
      </c>
      <c r="G3900" s="3" t="s">
        <v>11449</v>
      </c>
      <c r="H3900" s="54">
        <v>0</v>
      </c>
      <c r="I3900" s="16">
        <v>470000000</v>
      </c>
      <c r="J3900" s="16" t="s">
        <v>229</v>
      </c>
      <c r="K3900" s="57" t="s">
        <v>641</v>
      </c>
      <c r="L3900" s="57" t="s">
        <v>364</v>
      </c>
      <c r="M3900" s="162" t="s">
        <v>230</v>
      </c>
      <c r="N3900" s="8" t="s">
        <v>8899</v>
      </c>
      <c r="O3900" s="6" t="s">
        <v>622</v>
      </c>
      <c r="P3900" s="58" t="s">
        <v>241</v>
      </c>
      <c r="Q3900" s="27" t="s">
        <v>234</v>
      </c>
      <c r="R3900" s="27">
        <v>40</v>
      </c>
      <c r="S3900" s="59">
        <f>150*1.07</f>
        <v>160.5</v>
      </c>
      <c r="T3900" s="4">
        <v>0</v>
      </c>
      <c r="U3900" s="4">
        <f t="shared" si="188"/>
        <v>0</v>
      </c>
      <c r="V3900" s="3"/>
      <c r="W3900" s="3">
        <v>2014</v>
      </c>
      <c r="X3900" s="3">
        <v>11.12</v>
      </c>
    </row>
    <row r="3901" spans="1:24" ht="76.5">
      <c r="A3901" s="3" t="s">
        <v>13033</v>
      </c>
      <c r="B3901" s="6" t="s">
        <v>361</v>
      </c>
      <c r="C3901" s="124" t="s">
        <v>5330</v>
      </c>
      <c r="D3901" s="126" t="s">
        <v>5331</v>
      </c>
      <c r="E3901" s="125" t="s">
        <v>5332</v>
      </c>
      <c r="F3901" s="9" t="s">
        <v>7809</v>
      </c>
      <c r="G3901" s="3" t="s">
        <v>11449</v>
      </c>
      <c r="H3901" s="54">
        <v>0</v>
      </c>
      <c r="I3901" s="16">
        <v>470000000</v>
      </c>
      <c r="J3901" s="16" t="s">
        <v>229</v>
      </c>
      <c r="K3901" s="57" t="s">
        <v>642</v>
      </c>
      <c r="L3901" s="12" t="s">
        <v>404</v>
      </c>
      <c r="M3901" s="162" t="s">
        <v>230</v>
      </c>
      <c r="N3901" s="8" t="s">
        <v>8899</v>
      </c>
      <c r="O3901" s="6" t="s">
        <v>622</v>
      </c>
      <c r="P3901" s="58" t="s">
        <v>241</v>
      </c>
      <c r="Q3901" s="27" t="s">
        <v>234</v>
      </c>
      <c r="R3901" s="27">
        <v>40</v>
      </c>
      <c r="S3901" s="59">
        <f>150*1.07</f>
        <v>160.5</v>
      </c>
      <c r="T3901" s="4">
        <v>0</v>
      </c>
      <c r="U3901" s="4">
        <f>T3901*1.12</f>
        <v>0</v>
      </c>
      <c r="V3901" s="3"/>
      <c r="W3901" s="3">
        <v>2014</v>
      </c>
      <c r="X3901" s="3" t="s">
        <v>14785</v>
      </c>
    </row>
    <row r="3902" spans="1:24" ht="76.5">
      <c r="A3902" s="3" t="s">
        <v>16771</v>
      </c>
      <c r="B3902" s="6" t="s">
        <v>361</v>
      </c>
      <c r="C3902" s="124" t="s">
        <v>5330</v>
      </c>
      <c r="D3902" s="126" t="s">
        <v>5331</v>
      </c>
      <c r="E3902" s="125" t="s">
        <v>5332</v>
      </c>
      <c r="F3902" s="9" t="s">
        <v>7809</v>
      </c>
      <c r="G3902" s="3" t="s">
        <v>11449</v>
      </c>
      <c r="H3902" s="54">
        <v>0</v>
      </c>
      <c r="I3902" s="16">
        <v>470000000</v>
      </c>
      <c r="J3902" s="16" t="s">
        <v>229</v>
      </c>
      <c r="K3902" s="57" t="s">
        <v>8950</v>
      </c>
      <c r="L3902" s="12" t="s">
        <v>404</v>
      </c>
      <c r="M3902" s="162" t="s">
        <v>230</v>
      </c>
      <c r="N3902" s="8" t="s">
        <v>8899</v>
      </c>
      <c r="O3902" s="6" t="s">
        <v>622</v>
      </c>
      <c r="P3902" s="58" t="s">
        <v>241</v>
      </c>
      <c r="Q3902" s="27" t="s">
        <v>234</v>
      </c>
      <c r="R3902" s="27">
        <v>40</v>
      </c>
      <c r="S3902" s="59">
        <v>192.6</v>
      </c>
      <c r="T3902" s="4">
        <f>R3902*S3902</f>
        <v>7704</v>
      </c>
      <c r="U3902" s="4">
        <f>T3902*1.12</f>
        <v>8628.4800000000014</v>
      </c>
      <c r="V3902" s="3"/>
      <c r="W3902" s="3">
        <v>2014</v>
      </c>
      <c r="X3902" s="3"/>
    </row>
    <row r="3903" spans="1:24" ht="76.5">
      <c r="A3903" s="3" t="s">
        <v>10450</v>
      </c>
      <c r="B3903" s="6" t="s">
        <v>361</v>
      </c>
      <c r="C3903" s="179" t="s">
        <v>5333</v>
      </c>
      <c r="D3903" s="3" t="s">
        <v>5334</v>
      </c>
      <c r="E3903" s="81" t="s">
        <v>5335</v>
      </c>
      <c r="F3903" s="9" t="s">
        <v>7810</v>
      </c>
      <c r="G3903" s="3" t="s">
        <v>11449</v>
      </c>
      <c r="H3903" s="54">
        <v>0</v>
      </c>
      <c r="I3903" s="16">
        <v>470000000</v>
      </c>
      <c r="J3903" s="16" t="s">
        <v>229</v>
      </c>
      <c r="K3903" s="57" t="s">
        <v>641</v>
      </c>
      <c r="L3903" s="57" t="s">
        <v>364</v>
      </c>
      <c r="M3903" s="162" t="s">
        <v>230</v>
      </c>
      <c r="N3903" s="8" t="s">
        <v>8899</v>
      </c>
      <c r="O3903" s="6" t="s">
        <v>622</v>
      </c>
      <c r="P3903" s="58" t="s">
        <v>241</v>
      </c>
      <c r="Q3903" s="27" t="s">
        <v>234</v>
      </c>
      <c r="R3903" s="27">
        <v>48</v>
      </c>
      <c r="S3903" s="59">
        <f>140*1.07</f>
        <v>149.80000000000001</v>
      </c>
      <c r="T3903" s="4">
        <v>0</v>
      </c>
      <c r="U3903" s="4">
        <f t="shared" si="188"/>
        <v>0</v>
      </c>
      <c r="V3903" s="3"/>
      <c r="W3903" s="3">
        <v>2014</v>
      </c>
      <c r="X3903" s="3">
        <v>11.12</v>
      </c>
    </row>
    <row r="3904" spans="1:24" ht="76.5">
      <c r="A3904" s="3" t="s">
        <v>13034</v>
      </c>
      <c r="B3904" s="6" t="s">
        <v>361</v>
      </c>
      <c r="C3904" s="179" t="s">
        <v>5333</v>
      </c>
      <c r="D3904" s="3" t="s">
        <v>5334</v>
      </c>
      <c r="E3904" s="81" t="s">
        <v>5335</v>
      </c>
      <c r="F3904" s="9" t="s">
        <v>7810</v>
      </c>
      <c r="G3904" s="3" t="s">
        <v>11449</v>
      </c>
      <c r="H3904" s="54">
        <v>0</v>
      </c>
      <c r="I3904" s="16">
        <v>470000000</v>
      </c>
      <c r="J3904" s="16" t="s">
        <v>229</v>
      </c>
      <c r="K3904" s="57" t="s">
        <v>642</v>
      </c>
      <c r="L3904" s="12" t="s">
        <v>404</v>
      </c>
      <c r="M3904" s="162" t="s">
        <v>230</v>
      </c>
      <c r="N3904" s="8" t="s">
        <v>8899</v>
      </c>
      <c r="O3904" s="6" t="s">
        <v>622</v>
      </c>
      <c r="P3904" s="58" t="s">
        <v>241</v>
      </c>
      <c r="Q3904" s="27" t="s">
        <v>234</v>
      </c>
      <c r="R3904" s="27">
        <v>48</v>
      </c>
      <c r="S3904" s="59">
        <f>140*1.07</f>
        <v>149.80000000000001</v>
      </c>
      <c r="T3904" s="4">
        <v>0</v>
      </c>
      <c r="U3904" s="4">
        <f>T3904*1.12</f>
        <v>0</v>
      </c>
      <c r="V3904" s="3"/>
      <c r="W3904" s="3">
        <v>2014</v>
      </c>
      <c r="X3904" s="3" t="s">
        <v>14785</v>
      </c>
    </row>
    <row r="3905" spans="1:24" ht="76.5">
      <c r="A3905" s="3" t="s">
        <v>16772</v>
      </c>
      <c r="B3905" s="6" t="s">
        <v>361</v>
      </c>
      <c r="C3905" s="179" t="s">
        <v>5333</v>
      </c>
      <c r="D3905" s="3" t="s">
        <v>5334</v>
      </c>
      <c r="E3905" s="81" t="s">
        <v>5335</v>
      </c>
      <c r="F3905" s="9" t="s">
        <v>7810</v>
      </c>
      <c r="G3905" s="3" t="s">
        <v>11449</v>
      </c>
      <c r="H3905" s="54">
        <v>0</v>
      </c>
      <c r="I3905" s="16">
        <v>470000000</v>
      </c>
      <c r="J3905" s="16" t="s">
        <v>229</v>
      </c>
      <c r="K3905" s="57" t="s">
        <v>8950</v>
      </c>
      <c r="L3905" s="12" t="s">
        <v>404</v>
      </c>
      <c r="M3905" s="162" t="s">
        <v>230</v>
      </c>
      <c r="N3905" s="8" t="s">
        <v>8899</v>
      </c>
      <c r="O3905" s="6" t="s">
        <v>622</v>
      </c>
      <c r="P3905" s="58" t="s">
        <v>241</v>
      </c>
      <c r="Q3905" s="27" t="s">
        <v>234</v>
      </c>
      <c r="R3905" s="27">
        <v>48</v>
      </c>
      <c r="S3905" s="59">
        <v>179.76000000000002</v>
      </c>
      <c r="T3905" s="4">
        <f>R3905*S3905</f>
        <v>8628.4800000000014</v>
      </c>
      <c r="U3905" s="4">
        <f>T3905*1.12</f>
        <v>9663.8976000000021</v>
      </c>
      <c r="V3905" s="3"/>
      <c r="W3905" s="3">
        <v>2014</v>
      </c>
      <c r="X3905" s="3"/>
    </row>
    <row r="3906" spans="1:24" ht="89.25">
      <c r="A3906" s="3" t="s">
        <v>10451</v>
      </c>
      <c r="B3906" s="6" t="s">
        <v>361</v>
      </c>
      <c r="C3906" s="126" t="s">
        <v>5336</v>
      </c>
      <c r="D3906" s="126" t="s">
        <v>5337</v>
      </c>
      <c r="E3906" s="65" t="s">
        <v>5338</v>
      </c>
      <c r="F3906" s="9" t="s">
        <v>7811</v>
      </c>
      <c r="G3906" s="3" t="s">
        <v>11449</v>
      </c>
      <c r="H3906" s="54">
        <v>0</v>
      </c>
      <c r="I3906" s="16">
        <v>470000000</v>
      </c>
      <c r="J3906" s="16" t="s">
        <v>229</v>
      </c>
      <c r="K3906" s="57" t="s">
        <v>641</v>
      </c>
      <c r="L3906" s="57" t="s">
        <v>364</v>
      </c>
      <c r="M3906" s="162" t="s">
        <v>230</v>
      </c>
      <c r="N3906" s="8" t="s">
        <v>8899</v>
      </c>
      <c r="O3906" s="6" t="s">
        <v>622</v>
      </c>
      <c r="P3906" s="58" t="s">
        <v>241</v>
      </c>
      <c r="Q3906" s="27" t="s">
        <v>234</v>
      </c>
      <c r="R3906" s="27">
        <v>30</v>
      </c>
      <c r="S3906" s="59">
        <f>321*1.07</f>
        <v>343.47</v>
      </c>
      <c r="T3906" s="4">
        <v>0</v>
      </c>
      <c r="U3906" s="4">
        <f t="shared" si="188"/>
        <v>0</v>
      </c>
      <c r="V3906" s="3"/>
      <c r="W3906" s="3">
        <v>2014</v>
      </c>
      <c r="X3906" s="3">
        <v>11.12</v>
      </c>
    </row>
    <row r="3907" spans="1:24" ht="89.25">
      <c r="A3907" s="3" t="s">
        <v>13035</v>
      </c>
      <c r="B3907" s="6" t="s">
        <v>361</v>
      </c>
      <c r="C3907" s="126" t="s">
        <v>5336</v>
      </c>
      <c r="D3907" s="126" t="s">
        <v>5337</v>
      </c>
      <c r="E3907" s="65" t="s">
        <v>5338</v>
      </c>
      <c r="F3907" s="9" t="s">
        <v>7811</v>
      </c>
      <c r="G3907" s="3" t="s">
        <v>11449</v>
      </c>
      <c r="H3907" s="54">
        <v>0</v>
      </c>
      <c r="I3907" s="16">
        <v>470000000</v>
      </c>
      <c r="J3907" s="16" t="s">
        <v>229</v>
      </c>
      <c r="K3907" s="57" t="s">
        <v>642</v>
      </c>
      <c r="L3907" s="12" t="s">
        <v>404</v>
      </c>
      <c r="M3907" s="162" t="s">
        <v>230</v>
      </c>
      <c r="N3907" s="8" t="s">
        <v>8899</v>
      </c>
      <c r="O3907" s="6" t="s">
        <v>622</v>
      </c>
      <c r="P3907" s="58" t="s">
        <v>241</v>
      </c>
      <c r="Q3907" s="27" t="s">
        <v>234</v>
      </c>
      <c r="R3907" s="27">
        <v>30</v>
      </c>
      <c r="S3907" s="59">
        <f>321*1.07</f>
        <v>343.47</v>
      </c>
      <c r="T3907" s="4">
        <f>R3907*S3907</f>
        <v>10304.1</v>
      </c>
      <c r="U3907" s="4">
        <f>T3907*1.12</f>
        <v>11540.592000000002</v>
      </c>
      <c r="V3907" s="3"/>
      <c r="W3907" s="3">
        <v>2014</v>
      </c>
      <c r="X3907" s="3"/>
    </row>
    <row r="3908" spans="1:24" ht="76.5">
      <c r="A3908" s="3" t="s">
        <v>10452</v>
      </c>
      <c r="B3908" s="6" t="s">
        <v>361</v>
      </c>
      <c r="C3908" s="6" t="s">
        <v>5339</v>
      </c>
      <c r="D3908" s="3" t="s">
        <v>5340</v>
      </c>
      <c r="E3908" s="9" t="s">
        <v>5183</v>
      </c>
      <c r="F3908" s="9" t="s">
        <v>7812</v>
      </c>
      <c r="G3908" s="3" t="s">
        <v>11449</v>
      </c>
      <c r="H3908" s="54">
        <v>0</v>
      </c>
      <c r="I3908" s="16">
        <v>470000000</v>
      </c>
      <c r="J3908" s="16" t="s">
        <v>229</v>
      </c>
      <c r="K3908" s="57" t="s">
        <v>641</v>
      </c>
      <c r="L3908" s="57" t="s">
        <v>364</v>
      </c>
      <c r="M3908" s="162" t="s">
        <v>230</v>
      </c>
      <c r="N3908" s="8" t="s">
        <v>8899</v>
      </c>
      <c r="O3908" s="6" t="s">
        <v>622</v>
      </c>
      <c r="P3908" s="58" t="s">
        <v>242</v>
      </c>
      <c r="Q3908" s="27" t="s">
        <v>239</v>
      </c>
      <c r="R3908" s="27">
        <v>60</v>
      </c>
      <c r="S3908" s="1">
        <v>4353</v>
      </c>
      <c r="T3908" s="4">
        <v>0</v>
      </c>
      <c r="U3908" s="4">
        <f t="shared" si="188"/>
        <v>0</v>
      </c>
      <c r="V3908" s="3"/>
      <c r="W3908" s="3">
        <v>2014</v>
      </c>
      <c r="X3908" s="3">
        <v>11.12</v>
      </c>
    </row>
    <row r="3909" spans="1:24" ht="76.5">
      <c r="A3909" s="3" t="s">
        <v>13036</v>
      </c>
      <c r="B3909" s="6" t="s">
        <v>361</v>
      </c>
      <c r="C3909" s="6" t="s">
        <v>5339</v>
      </c>
      <c r="D3909" s="3" t="s">
        <v>5340</v>
      </c>
      <c r="E3909" s="9" t="s">
        <v>5183</v>
      </c>
      <c r="F3909" s="9" t="s">
        <v>7812</v>
      </c>
      <c r="G3909" s="3" t="s">
        <v>11449</v>
      </c>
      <c r="H3909" s="54">
        <v>0</v>
      </c>
      <c r="I3909" s="16">
        <v>470000000</v>
      </c>
      <c r="J3909" s="16" t="s">
        <v>229</v>
      </c>
      <c r="K3909" s="57" t="s">
        <v>642</v>
      </c>
      <c r="L3909" s="12" t="s">
        <v>404</v>
      </c>
      <c r="M3909" s="162" t="s">
        <v>230</v>
      </c>
      <c r="N3909" s="8" t="s">
        <v>8899</v>
      </c>
      <c r="O3909" s="6" t="s">
        <v>622</v>
      </c>
      <c r="P3909" s="58" t="s">
        <v>242</v>
      </c>
      <c r="Q3909" s="27" t="s">
        <v>239</v>
      </c>
      <c r="R3909" s="27">
        <v>60</v>
      </c>
      <c r="S3909" s="1">
        <v>4353</v>
      </c>
      <c r="T3909" s="4">
        <f>R3909*S3909</f>
        <v>261180</v>
      </c>
      <c r="U3909" s="4">
        <f>T3909*1.12</f>
        <v>292521.60000000003</v>
      </c>
      <c r="V3909" s="3"/>
      <c r="W3909" s="3">
        <v>2014</v>
      </c>
      <c r="X3909" s="3"/>
    </row>
    <row r="3910" spans="1:24" ht="76.5">
      <c r="A3910" s="3" t="s">
        <v>10453</v>
      </c>
      <c r="B3910" s="6" t="s">
        <v>361</v>
      </c>
      <c r="C3910" s="179" t="s">
        <v>5341</v>
      </c>
      <c r="D3910" s="180" t="s">
        <v>5342</v>
      </c>
      <c r="E3910" s="181" t="s">
        <v>5343</v>
      </c>
      <c r="F3910" s="9" t="s">
        <v>7813</v>
      </c>
      <c r="G3910" s="3" t="s">
        <v>11449</v>
      </c>
      <c r="H3910" s="54">
        <v>0</v>
      </c>
      <c r="I3910" s="16">
        <v>470000000</v>
      </c>
      <c r="J3910" s="16" t="s">
        <v>229</v>
      </c>
      <c r="K3910" s="57" t="s">
        <v>641</v>
      </c>
      <c r="L3910" s="57" t="s">
        <v>364</v>
      </c>
      <c r="M3910" s="162" t="s">
        <v>230</v>
      </c>
      <c r="N3910" s="8" t="s">
        <v>8899</v>
      </c>
      <c r="O3910" s="6" t="s">
        <v>622</v>
      </c>
      <c r="P3910" s="58" t="s">
        <v>241</v>
      </c>
      <c r="Q3910" s="27" t="s">
        <v>234</v>
      </c>
      <c r="R3910" s="27">
        <v>6</v>
      </c>
      <c r="S3910" s="59">
        <f>23112*1.07</f>
        <v>24729.84</v>
      </c>
      <c r="T3910" s="4">
        <v>0</v>
      </c>
      <c r="U3910" s="4">
        <f t="shared" si="188"/>
        <v>0</v>
      </c>
      <c r="V3910" s="3"/>
      <c r="W3910" s="3">
        <v>2014</v>
      </c>
      <c r="X3910" s="3">
        <v>11.12</v>
      </c>
    </row>
    <row r="3911" spans="1:24" ht="76.5">
      <c r="A3911" s="3" t="s">
        <v>13037</v>
      </c>
      <c r="B3911" s="6" t="s">
        <v>361</v>
      </c>
      <c r="C3911" s="179" t="s">
        <v>5341</v>
      </c>
      <c r="D3911" s="180" t="s">
        <v>5342</v>
      </c>
      <c r="E3911" s="181" t="s">
        <v>5343</v>
      </c>
      <c r="F3911" s="9" t="s">
        <v>7813</v>
      </c>
      <c r="G3911" s="3" t="s">
        <v>11449</v>
      </c>
      <c r="H3911" s="54">
        <v>0</v>
      </c>
      <c r="I3911" s="16">
        <v>470000000</v>
      </c>
      <c r="J3911" s="16" t="s">
        <v>229</v>
      </c>
      <c r="K3911" s="57" t="s">
        <v>642</v>
      </c>
      <c r="L3911" s="12" t="s">
        <v>404</v>
      </c>
      <c r="M3911" s="162" t="s">
        <v>230</v>
      </c>
      <c r="N3911" s="8" t="s">
        <v>8899</v>
      </c>
      <c r="O3911" s="6" t="s">
        <v>622</v>
      </c>
      <c r="P3911" s="58" t="s">
        <v>241</v>
      </c>
      <c r="Q3911" s="27" t="s">
        <v>234</v>
      </c>
      <c r="R3911" s="27">
        <v>6</v>
      </c>
      <c r="S3911" s="59">
        <f>23112*1.07</f>
        <v>24729.84</v>
      </c>
      <c r="T3911" s="4">
        <f>R3911*S3911</f>
        <v>148379.04</v>
      </c>
      <c r="U3911" s="4">
        <f>T3911*1.12</f>
        <v>166184.52480000001</v>
      </c>
      <c r="V3911" s="3"/>
      <c r="W3911" s="3">
        <v>2014</v>
      </c>
      <c r="X3911" s="3"/>
    </row>
    <row r="3912" spans="1:24" ht="76.5">
      <c r="A3912" s="3" t="s">
        <v>10454</v>
      </c>
      <c r="B3912" s="6" t="s">
        <v>361</v>
      </c>
      <c r="C3912" s="179" t="s">
        <v>5341</v>
      </c>
      <c r="D3912" s="180" t="s">
        <v>5342</v>
      </c>
      <c r="E3912" s="181" t="s">
        <v>5343</v>
      </c>
      <c r="F3912" s="8" t="s">
        <v>7814</v>
      </c>
      <c r="G3912" s="3" t="s">
        <v>11449</v>
      </c>
      <c r="H3912" s="54">
        <v>0</v>
      </c>
      <c r="I3912" s="16">
        <v>470000000</v>
      </c>
      <c r="J3912" s="16" t="s">
        <v>229</v>
      </c>
      <c r="K3912" s="57" t="s">
        <v>641</v>
      </c>
      <c r="L3912" s="57" t="s">
        <v>364</v>
      </c>
      <c r="M3912" s="162" t="s">
        <v>230</v>
      </c>
      <c r="N3912" s="8" t="s">
        <v>8899</v>
      </c>
      <c r="O3912" s="6" t="s">
        <v>622</v>
      </c>
      <c r="P3912" s="58" t="s">
        <v>241</v>
      </c>
      <c r="Q3912" s="27" t="s">
        <v>234</v>
      </c>
      <c r="R3912" s="27">
        <v>6</v>
      </c>
      <c r="S3912" s="59">
        <f>21775*1.07</f>
        <v>23299.25</v>
      </c>
      <c r="T3912" s="4">
        <v>0</v>
      </c>
      <c r="U3912" s="4">
        <f t="shared" si="188"/>
        <v>0</v>
      </c>
      <c r="V3912" s="3"/>
      <c r="W3912" s="3">
        <v>2014</v>
      </c>
      <c r="X3912" s="3">
        <v>11.12</v>
      </c>
    </row>
    <row r="3913" spans="1:24" ht="76.5">
      <c r="A3913" s="3" t="s">
        <v>13038</v>
      </c>
      <c r="B3913" s="6" t="s">
        <v>361</v>
      </c>
      <c r="C3913" s="179" t="s">
        <v>5341</v>
      </c>
      <c r="D3913" s="180" t="s">
        <v>5342</v>
      </c>
      <c r="E3913" s="181" t="s">
        <v>5343</v>
      </c>
      <c r="F3913" s="8" t="s">
        <v>7814</v>
      </c>
      <c r="G3913" s="3" t="s">
        <v>11449</v>
      </c>
      <c r="H3913" s="54">
        <v>0</v>
      </c>
      <c r="I3913" s="16">
        <v>470000000</v>
      </c>
      <c r="J3913" s="16" t="s">
        <v>229</v>
      </c>
      <c r="K3913" s="57" t="s">
        <v>642</v>
      </c>
      <c r="L3913" s="12" t="s">
        <v>404</v>
      </c>
      <c r="M3913" s="162" t="s">
        <v>230</v>
      </c>
      <c r="N3913" s="8" t="s">
        <v>8899</v>
      </c>
      <c r="O3913" s="6" t="s">
        <v>622</v>
      </c>
      <c r="P3913" s="58" t="s">
        <v>241</v>
      </c>
      <c r="Q3913" s="27" t="s">
        <v>234</v>
      </c>
      <c r="R3913" s="27">
        <v>6</v>
      </c>
      <c r="S3913" s="59">
        <f>21775*1.07</f>
        <v>23299.25</v>
      </c>
      <c r="T3913" s="4">
        <f>R3913*S3913</f>
        <v>139795.5</v>
      </c>
      <c r="U3913" s="4">
        <f>T3913*1.12</f>
        <v>156570.96000000002</v>
      </c>
      <c r="V3913" s="3"/>
      <c r="W3913" s="3">
        <v>2014</v>
      </c>
      <c r="X3913" s="3"/>
    </row>
    <row r="3914" spans="1:24" ht="76.5">
      <c r="A3914" s="3" t="s">
        <v>10455</v>
      </c>
      <c r="B3914" s="6" t="s">
        <v>361</v>
      </c>
      <c r="C3914" s="6" t="s">
        <v>5344</v>
      </c>
      <c r="D3914" s="6" t="s">
        <v>460</v>
      </c>
      <c r="E3914" s="65" t="s">
        <v>5345</v>
      </c>
      <c r="F3914" s="8" t="s">
        <v>7815</v>
      </c>
      <c r="G3914" s="3" t="s">
        <v>11449</v>
      </c>
      <c r="H3914" s="54">
        <v>0</v>
      </c>
      <c r="I3914" s="16">
        <v>470000000</v>
      </c>
      <c r="J3914" s="16" t="s">
        <v>229</v>
      </c>
      <c r="K3914" s="57" t="s">
        <v>641</v>
      </c>
      <c r="L3914" s="57" t="s">
        <v>364</v>
      </c>
      <c r="M3914" s="162" t="s">
        <v>230</v>
      </c>
      <c r="N3914" s="8" t="s">
        <v>8899</v>
      </c>
      <c r="O3914" s="6" t="s">
        <v>622</v>
      </c>
      <c r="P3914" s="58" t="s">
        <v>241</v>
      </c>
      <c r="Q3914" s="27" t="s">
        <v>234</v>
      </c>
      <c r="R3914" s="27">
        <v>200</v>
      </c>
      <c r="S3914" s="59">
        <v>267.14999999999998</v>
      </c>
      <c r="T3914" s="4">
        <v>0</v>
      </c>
      <c r="U3914" s="4">
        <f t="shared" si="188"/>
        <v>0</v>
      </c>
      <c r="V3914" s="3"/>
      <c r="W3914" s="3">
        <v>2014</v>
      </c>
      <c r="X3914" s="3">
        <v>11.12</v>
      </c>
    </row>
    <row r="3915" spans="1:24" ht="76.5">
      <c r="A3915" s="3" t="s">
        <v>13039</v>
      </c>
      <c r="B3915" s="6" t="s">
        <v>361</v>
      </c>
      <c r="C3915" s="6" t="s">
        <v>5344</v>
      </c>
      <c r="D3915" s="6" t="s">
        <v>460</v>
      </c>
      <c r="E3915" s="65" t="s">
        <v>5345</v>
      </c>
      <c r="F3915" s="8" t="s">
        <v>7815</v>
      </c>
      <c r="G3915" s="3" t="s">
        <v>11449</v>
      </c>
      <c r="H3915" s="54">
        <v>0</v>
      </c>
      <c r="I3915" s="16">
        <v>470000000</v>
      </c>
      <c r="J3915" s="16" t="s">
        <v>229</v>
      </c>
      <c r="K3915" s="57" t="s">
        <v>642</v>
      </c>
      <c r="L3915" s="12" t="s">
        <v>404</v>
      </c>
      <c r="M3915" s="162" t="s">
        <v>230</v>
      </c>
      <c r="N3915" s="8" t="s">
        <v>8899</v>
      </c>
      <c r="O3915" s="6" t="s">
        <v>622</v>
      </c>
      <c r="P3915" s="58" t="s">
        <v>241</v>
      </c>
      <c r="Q3915" s="27" t="s">
        <v>234</v>
      </c>
      <c r="R3915" s="27">
        <v>200</v>
      </c>
      <c r="S3915" s="59">
        <v>267.14999999999998</v>
      </c>
      <c r="T3915" s="4">
        <v>0</v>
      </c>
      <c r="U3915" s="4">
        <f>T3915*1.12</f>
        <v>0</v>
      </c>
      <c r="V3915" s="3"/>
      <c r="W3915" s="3">
        <v>2014</v>
      </c>
      <c r="X3915" s="3" t="s">
        <v>14785</v>
      </c>
    </row>
    <row r="3916" spans="1:24" ht="76.5">
      <c r="A3916" s="3" t="s">
        <v>16773</v>
      </c>
      <c r="B3916" s="6" t="s">
        <v>361</v>
      </c>
      <c r="C3916" s="6" t="s">
        <v>5344</v>
      </c>
      <c r="D3916" s="6" t="s">
        <v>460</v>
      </c>
      <c r="E3916" s="65" t="s">
        <v>5345</v>
      </c>
      <c r="F3916" s="8" t="s">
        <v>7815</v>
      </c>
      <c r="G3916" s="3" t="s">
        <v>11449</v>
      </c>
      <c r="H3916" s="54">
        <v>0</v>
      </c>
      <c r="I3916" s="16">
        <v>470000000</v>
      </c>
      <c r="J3916" s="16" t="s">
        <v>229</v>
      </c>
      <c r="K3916" s="57" t="s">
        <v>8950</v>
      </c>
      <c r="L3916" s="12" t="s">
        <v>404</v>
      </c>
      <c r="M3916" s="162" t="s">
        <v>230</v>
      </c>
      <c r="N3916" s="8" t="s">
        <v>8899</v>
      </c>
      <c r="O3916" s="6" t="s">
        <v>622</v>
      </c>
      <c r="P3916" s="58" t="s">
        <v>241</v>
      </c>
      <c r="Q3916" s="27" t="s">
        <v>234</v>
      </c>
      <c r="R3916" s="27">
        <v>200</v>
      </c>
      <c r="S3916" s="59">
        <v>536.71199999999999</v>
      </c>
      <c r="T3916" s="4">
        <f>R3916*S3916</f>
        <v>107342.39999999999</v>
      </c>
      <c r="U3916" s="4">
        <f>T3916*1.12</f>
        <v>120223.48800000001</v>
      </c>
      <c r="V3916" s="3"/>
      <c r="W3916" s="3">
        <v>2014</v>
      </c>
      <c r="X3916" s="3"/>
    </row>
    <row r="3917" spans="1:24" ht="76.5">
      <c r="A3917" s="3" t="s">
        <v>10456</v>
      </c>
      <c r="B3917" s="6" t="s">
        <v>361</v>
      </c>
      <c r="C3917" s="6" t="s">
        <v>5346</v>
      </c>
      <c r="D3917" s="6" t="s">
        <v>5347</v>
      </c>
      <c r="E3917" s="65" t="s">
        <v>5348</v>
      </c>
      <c r="F3917" s="8" t="s">
        <v>7816</v>
      </c>
      <c r="G3917" s="3" t="s">
        <v>11449</v>
      </c>
      <c r="H3917" s="54">
        <v>0</v>
      </c>
      <c r="I3917" s="16">
        <v>470000000</v>
      </c>
      <c r="J3917" s="16" t="s">
        <v>229</v>
      </c>
      <c r="K3917" s="57" t="s">
        <v>641</v>
      </c>
      <c r="L3917" s="57" t="s">
        <v>364</v>
      </c>
      <c r="M3917" s="162" t="s">
        <v>230</v>
      </c>
      <c r="N3917" s="8" t="s">
        <v>8899</v>
      </c>
      <c r="O3917" s="6" t="s">
        <v>622</v>
      </c>
      <c r="P3917" s="58" t="s">
        <v>241</v>
      </c>
      <c r="Q3917" s="27" t="s">
        <v>234</v>
      </c>
      <c r="R3917" s="27">
        <v>200</v>
      </c>
      <c r="S3917" s="59">
        <v>344.22</v>
      </c>
      <c r="T3917" s="4">
        <v>0</v>
      </c>
      <c r="U3917" s="4">
        <f t="shared" si="188"/>
        <v>0</v>
      </c>
      <c r="V3917" s="3"/>
      <c r="W3917" s="3">
        <v>2014</v>
      </c>
      <c r="X3917" s="3">
        <v>11.12</v>
      </c>
    </row>
    <row r="3918" spans="1:24" ht="76.5">
      <c r="A3918" s="3" t="s">
        <v>13040</v>
      </c>
      <c r="B3918" s="6" t="s">
        <v>361</v>
      </c>
      <c r="C3918" s="6" t="s">
        <v>5346</v>
      </c>
      <c r="D3918" s="6" t="s">
        <v>5347</v>
      </c>
      <c r="E3918" s="65" t="s">
        <v>5348</v>
      </c>
      <c r="F3918" s="8" t="s">
        <v>7816</v>
      </c>
      <c r="G3918" s="3" t="s">
        <v>11449</v>
      </c>
      <c r="H3918" s="54">
        <v>0</v>
      </c>
      <c r="I3918" s="16">
        <v>470000000</v>
      </c>
      <c r="J3918" s="16" t="s">
        <v>229</v>
      </c>
      <c r="K3918" s="57" t="s">
        <v>642</v>
      </c>
      <c r="L3918" s="12" t="s">
        <v>404</v>
      </c>
      <c r="M3918" s="162" t="s">
        <v>230</v>
      </c>
      <c r="N3918" s="8" t="s">
        <v>8899</v>
      </c>
      <c r="O3918" s="6" t="s">
        <v>622</v>
      </c>
      <c r="P3918" s="58" t="s">
        <v>241</v>
      </c>
      <c r="Q3918" s="27" t="s">
        <v>234</v>
      </c>
      <c r="R3918" s="27">
        <v>200</v>
      </c>
      <c r="S3918" s="59">
        <v>344.22</v>
      </c>
      <c r="T3918" s="4">
        <v>0</v>
      </c>
      <c r="U3918" s="4">
        <f>T3918*1.12</f>
        <v>0</v>
      </c>
      <c r="V3918" s="3"/>
      <c r="W3918" s="3">
        <v>2014</v>
      </c>
      <c r="X3918" s="3" t="s">
        <v>14785</v>
      </c>
    </row>
    <row r="3919" spans="1:24" ht="76.5">
      <c r="A3919" s="3" t="s">
        <v>16774</v>
      </c>
      <c r="B3919" s="6" t="s">
        <v>361</v>
      </c>
      <c r="C3919" s="6" t="s">
        <v>5346</v>
      </c>
      <c r="D3919" s="6" t="s">
        <v>5347</v>
      </c>
      <c r="E3919" s="65" t="s">
        <v>5348</v>
      </c>
      <c r="F3919" s="8" t="s">
        <v>7816</v>
      </c>
      <c r="G3919" s="3" t="s">
        <v>11449</v>
      </c>
      <c r="H3919" s="54">
        <v>0</v>
      </c>
      <c r="I3919" s="16">
        <v>470000000</v>
      </c>
      <c r="J3919" s="16" t="s">
        <v>229</v>
      </c>
      <c r="K3919" s="57" t="s">
        <v>8950</v>
      </c>
      <c r="L3919" s="12" t="s">
        <v>404</v>
      </c>
      <c r="M3919" s="162" t="s">
        <v>230</v>
      </c>
      <c r="N3919" s="8" t="s">
        <v>8899</v>
      </c>
      <c r="O3919" s="6" t="s">
        <v>622</v>
      </c>
      <c r="P3919" s="58" t="s">
        <v>241</v>
      </c>
      <c r="Q3919" s="336" t="s">
        <v>234</v>
      </c>
      <c r="R3919" s="336">
        <v>200</v>
      </c>
      <c r="S3919" s="59">
        <v>1004.088</v>
      </c>
      <c r="T3919" s="4">
        <v>0</v>
      </c>
      <c r="U3919" s="4">
        <f t="shared" ref="U3919:U3920" si="191">T3919*1.12</f>
        <v>0</v>
      </c>
      <c r="V3919" s="3"/>
      <c r="W3919" s="3">
        <v>2014</v>
      </c>
      <c r="X3919" s="3" t="s">
        <v>14265</v>
      </c>
    </row>
    <row r="3920" spans="1:24" ht="76.5">
      <c r="A3920" s="3" t="s">
        <v>19114</v>
      </c>
      <c r="B3920" s="6" t="s">
        <v>361</v>
      </c>
      <c r="C3920" s="6" t="s">
        <v>5346</v>
      </c>
      <c r="D3920" s="6" t="s">
        <v>5347</v>
      </c>
      <c r="E3920" s="65" t="s">
        <v>5348</v>
      </c>
      <c r="F3920" s="8" t="s">
        <v>7816</v>
      </c>
      <c r="G3920" s="3" t="s">
        <v>11449</v>
      </c>
      <c r="H3920" s="54">
        <v>0</v>
      </c>
      <c r="I3920" s="16">
        <v>470000000</v>
      </c>
      <c r="J3920" s="16" t="s">
        <v>229</v>
      </c>
      <c r="K3920" s="57" t="s">
        <v>18437</v>
      </c>
      <c r="L3920" s="12" t="s">
        <v>404</v>
      </c>
      <c r="M3920" s="162" t="s">
        <v>230</v>
      </c>
      <c r="N3920" s="8" t="s">
        <v>19369</v>
      </c>
      <c r="O3920" s="6" t="s">
        <v>19407</v>
      </c>
      <c r="P3920" s="58" t="s">
        <v>241</v>
      </c>
      <c r="Q3920" s="336" t="s">
        <v>234</v>
      </c>
      <c r="R3920" s="336">
        <v>200</v>
      </c>
      <c r="S3920" s="59">
        <v>1004.088</v>
      </c>
      <c r="T3920" s="4">
        <f>R3920*S3920</f>
        <v>200817.6</v>
      </c>
      <c r="U3920" s="4">
        <f t="shared" si="191"/>
        <v>224915.71200000003</v>
      </c>
      <c r="V3920" s="3"/>
      <c r="W3920" s="3">
        <v>2014</v>
      </c>
      <c r="X3920" s="3"/>
    </row>
    <row r="3921" spans="1:24" ht="76.5">
      <c r="A3921" s="3" t="s">
        <v>10457</v>
      </c>
      <c r="B3921" s="6" t="s">
        <v>361</v>
      </c>
      <c r="C3921" s="179" t="s">
        <v>5349</v>
      </c>
      <c r="D3921" s="180" t="s">
        <v>459</v>
      </c>
      <c r="E3921" s="181" t="s">
        <v>5350</v>
      </c>
      <c r="F3921" s="8" t="s">
        <v>7817</v>
      </c>
      <c r="G3921" s="3" t="s">
        <v>11449</v>
      </c>
      <c r="H3921" s="54">
        <v>0</v>
      </c>
      <c r="I3921" s="16">
        <v>470000000</v>
      </c>
      <c r="J3921" s="16" t="s">
        <v>229</v>
      </c>
      <c r="K3921" s="57" t="s">
        <v>641</v>
      </c>
      <c r="L3921" s="57" t="s">
        <v>364</v>
      </c>
      <c r="M3921" s="162" t="s">
        <v>230</v>
      </c>
      <c r="N3921" s="8" t="s">
        <v>8899</v>
      </c>
      <c r="O3921" s="6" t="s">
        <v>622</v>
      </c>
      <c r="P3921" s="58" t="s">
        <v>241</v>
      </c>
      <c r="Q3921" s="27" t="s">
        <v>234</v>
      </c>
      <c r="R3921" s="27">
        <v>140</v>
      </c>
      <c r="S3921" s="59">
        <f>134*1.07</f>
        <v>143.38</v>
      </c>
      <c r="T3921" s="4">
        <v>0</v>
      </c>
      <c r="U3921" s="4">
        <f t="shared" si="188"/>
        <v>0</v>
      </c>
      <c r="V3921" s="3"/>
      <c r="W3921" s="3">
        <v>2014</v>
      </c>
      <c r="X3921" s="3">
        <v>11.12</v>
      </c>
    </row>
    <row r="3922" spans="1:24" ht="76.5">
      <c r="A3922" s="3" t="s">
        <v>13041</v>
      </c>
      <c r="B3922" s="6" t="s">
        <v>361</v>
      </c>
      <c r="C3922" s="179" t="s">
        <v>5349</v>
      </c>
      <c r="D3922" s="180" t="s">
        <v>459</v>
      </c>
      <c r="E3922" s="181" t="s">
        <v>5350</v>
      </c>
      <c r="F3922" s="8" t="s">
        <v>7817</v>
      </c>
      <c r="G3922" s="3" t="s">
        <v>11449</v>
      </c>
      <c r="H3922" s="54">
        <v>0</v>
      </c>
      <c r="I3922" s="16">
        <v>470000000</v>
      </c>
      <c r="J3922" s="16" t="s">
        <v>229</v>
      </c>
      <c r="K3922" s="57" t="s">
        <v>642</v>
      </c>
      <c r="L3922" s="12" t="s">
        <v>404</v>
      </c>
      <c r="M3922" s="162" t="s">
        <v>230</v>
      </c>
      <c r="N3922" s="8" t="s">
        <v>8899</v>
      </c>
      <c r="O3922" s="6" t="s">
        <v>622</v>
      </c>
      <c r="P3922" s="58" t="s">
        <v>241</v>
      </c>
      <c r="Q3922" s="27" t="s">
        <v>234</v>
      </c>
      <c r="R3922" s="27">
        <v>140</v>
      </c>
      <c r="S3922" s="59">
        <f>134*1.07</f>
        <v>143.38</v>
      </c>
      <c r="T3922" s="4">
        <v>0</v>
      </c>
      <c r="U3922" s="4">
        <f>T3922*1.12</f>
        <v>0</v>
      </c>
      <c r="V3922" s="3"/>
      <c r="W3922" s="3">
        <v>2014</v>
      </c>
      <c r="X3922" s="3" t="s">
        <v>14785</v>
      </c>
    </row>
    <row r="3923" spans="1:24" ht="76.5">
      <c r="A3923" s="3" t="s">
        <v>16775</v>
      </c>
      <c r="B3923" s="6" t="s">
        <v>361</v>
      </c>
      <c r="C3923" s="179" t="s">
        <v>5349</v>
      </c>
      <c r="D3923" s="180" t="s">
        <v>459</v>
      </c>
      <c r="E3923" s="181" t="s">
        <v>5350</v>
      </c>
      <c r="F3923" s="8" t="s">
        <v>7817</v>
      </c>
      <c r="G3923" s="3" t="s">
        <v>11449</v>
      </c>
      <c r="H3923" s="54">
        <v>0</v>
      </c>
      <c r="I3923" s="16">
        <v>470000000</v>
      </c>
      <c r="J3923" s="16" t="s">
        <v>229</v>
      </c>
      <c r="K3923" s="57" t="s">
        <v>8950</v>
      </c>
      <c r="L3923" s="12" t="s">
        <v>404</v>
      </c>
      <c r="M3923" s="162" t="s">
        <v>230</v>
      </c>
      <c r="N3923" s="8" t="s">
        <v>8899</v>
      </c>
      <c r="O3923" s="6" t="s">
        <v>622</v>
      </c>
      <c r="P3923" s="58" t="s">
        <v>241</v>
      </c>
      <c r="Q3923" s="27" t="s">
        <v>234</v>
      </c>
      <c r="R3923" s="27">
        <v>140</v>
      </c>
      <c r="S3923" s="59">
        <v>172.05599999999998</v>
      </c>
      <c r="T3923" s="4">
        <f>R3923*S3923</f>
        <v>24087.839999999997</v>
      </c>
      <c r="U3923" s="4">
        <f>T3923*1.12</f>
        <v>26978.380799999999</v>
      </c>
      <c r="V3923" s="3"/>
      <c r="W3923" s="3">
        <v>2014</v>
      </c>
      <c r="X3923" s="3"/>
    </row>
    <row r="3924" spans="1:24" ht="76.5">
      <c r="A3924" s="3" t="s">
        <v>10458</v>
      </c>
      <c r="B3924" s="6" t="s">
        <v>361</v>
      </c>
      <c r="C3924" s="179" t="s">
        <v>5351</v>
      </c>
      <c r="D3924" s="180" t="s">
        <v>389</v>
      </c>
      <c r="E3924" s="181" t="s">
        <v>5183</v>
      </c>
      <c r="F3924" s="8" t="s">
        <v>7818</v>
      </c>
      <c r="G3924" s="3" t="s">
        <v>11449</v>
      </c>
      <c r="H3924" s="54">
        <v>0</v>
      </c>
      <c r="I3924" s="16">
        <v>470000000</v>
      </c>
      <c r="J3924" s="16" t="s">
        <v>229</v>
      </c>
      <c r="K3924" s="57" t="s">
        <v>641</v>
      </c>
      <c r="L3924" s="57" t="s">
        <v>364</v>
      </c>
      <c r="M3924" s="162" t="s">
        <v>230</v>
      </c>
      <c r="N3924" s="8" t="s">
        <v>8899</v>
      </c>
      <c r="O3924" s="6" t="s">
        <v>622</v>
      </c>
      <c r="P3924" s="58" t="s">
        <v>241</v>
      </c>
      <c r="Q3924" s="27" t="s">
        <v>234</v>
      </c>
      <c r="R3924" s="27">
        <v>140</v>
      </c>
      <c r="S3924" s="59">
        <f>1766*1.07</f>
        <v>1889.6200000000001</v>
      </c>
      <c r="T3924" s="4">
        <v>0</v>
      </c>
      <c r="U3924" s="4">
        <f t="shared" si="188"/>
        <v>0</v>
      </c>
      <c r="V3924" s="3"/>
      <c r="W3924" s="3">
        <v>2014</v>
      </c>
      <c r="X3924" s="3">
        <v>11.12</v>
      </c>
    </row>
    <row r="3925" spans="1:24" ht="76.5">
      <c r="A3925" s="3" t="s">
        <v>13042</v>
      </c>
      <c r="B3925" s="6" t="s">
        <v>361</v>
      </c>
      <c r="C3925" s="179" t="s">
        <v>5351</v>
      </c>
      <c r="D3925" s="180" t="s">
        <v>389</v>
      </c>
      <c r="E3925" s="181" t="s">
        <v>5183</v>
      </c>
      <c r="F3925" s="8" t="s">
        <v>7818</v>
      </c>
      <c r="G3925" s="3" t="s">
        <v>11449</v>
      </c>
      <c r="H3925" s="54">
        <v>0</v>
      </c>
      <c r="I3925" s="16">
        <v>470000000</v>
      </c>
      <c r="J3925" s="16" t="s">
        <v>229</v>
      </c>
      <c r="K3925" s="57" t="s">
        <v>642</v>
      </c>
      <c r="L3925" s="12" t="s">
        <v>404</v>
      </c>
      <c r="M3925" s="162" t="s">
        <v>230</v>
      </c>
      <c r="N3925" s="8" t="s">
        <v>8899</v>
      </c>
      <c r="O3925" s="6" t="s">
        <v>622</v>
      </c>
      <c r="P3925" s="58" t="s">
        <v>241</v>
      </c>
      <c r="Q3925" s="27" t="s">
        <v>234</v>
      </c>
      <c r="R3925" s="27">
        <v>140</v>
      </c>
      <c r="S3925" s="59">
        <f>1766*1.07</f>
        <v>1889.6200000000001</v>
      </c>
      <c r="T3925" s="4">
        <v>0</v>
      </c>
      <c r="U3925" s="4">
        <f>T3925*1.12</f>
        <v>0</v>
      </c>
      <c r="V3925" s="3"/>
      <c r="W3925" s="3">
        <v>2014</v>
      </c>
      <c r="X3925" s="3" t="s">
        <v>14785</v>
      </c>
    </row>
    <row r="3926" spans="1:24" ht="76.5">
      <c r="A3926" s="3" t="s">
        <v>16776</v>
      </c>
      <c r="B3926" s="6" t="s">
        <v>361</v>
      </c>
      <c r="C3926" s="179" t="s">
        <v>5351</v>
      </c>
      <c r="D3926" s="180" t="s">
        <v>389</v>
      </c>
      <c r="E3926" s="181" t="s">
        <v>5183</v>
      </c>
      <c r="F3926" s="8" t="s">
        <v>7818</v>
      </c>
      <c r="G3926" s="3" t="s">
        <v>11449</v>
      </c>
      <c r="H3926" s="54">
        <v>0</v>
      </c>
      <c r="I3926" s="16">
        <v>470000000</v>
      </c>
      <c r="J3926" s="16" t="s">
        <v>229</v>
      </c>
      <c r="K3926" s="57" t="s">
        <v>8950</v>
      </c>
      <c r="L3926" s="12" t="s">
        <v>404</v>
      </c>
      <c r="M3926" s="162" t="s">
        <v>230</v>
      </c>
      <c r="N3926" s="8" t="s">
        <v>8899</v>
      </c>
      <c r="O3926" s="6" t="s">
        <v>622</v>
      </c>
      <c r="P3926" s="58" t="s">
        <v>241</v>
      </c>
      <c r="Q3926" s="27" t="s">
        <v>234</v>
      </c>
      <c r="R3926" s="27">
        <v>140</v>
      </c>
      <c r="S3926" s="59">
        <v>2267.5439999999999</v>
      </c>
      <c r="T3926" s="4">
        <f>R3926*S3926</f>
        <v>317456.15999999997</v>
      </c>
      <c r="U3926" s="4">
        <f>T3926*1.12</f>
        <v>355550.89919999999</v>
      </c>
      <c r="V3926" s="3"/>
      <c r="W3926" s="3">
        <v>2014</v>
      </c>
      <c r="X3926" s="3"/>
    </row>
    <row r="3927" spans="1:24" ht="76.5">
      <c r="A3927" s="3" t="s">
        <v>10459</v>
      </c>
      <c r="B3927" s="6" t="s">
        <v>361</v>
      </c>
      <c r="C3927" s="179" t="s">
        <v>5352</v>
      </c>
      <c r="D3927" s="180" t="s">
        <v>5353</v>
      </c>
      <c r="E3927" s="181" t="s">
        <v>5354</v>
      </c>
      <c r="F3927" s="8" t="s">
        <v>7819</v>
      </c>
      <c r="G3927" s="3" t="s">
        <v>11449</v>
      </c>
      <c r="H3927" s="54">
        <v>0</v>
      </c>
      <c r="I3927" s="16">
        <v>470000000</v>
      </c>
      <c r="J3927" s="16" t="s">
        <v>229</v>
      </c>
      <c r="K3927" s="57" t="s">
        <v>641</v>
      </c>
      <c r="L3927" s="57" t="s">
        <v>364</v>
      </c>
      <c r="M3927" s="162" t="s">
        <v>230</v>
      </c>
      <c r="N3927" s="8" t="s">
        <v>8899</v>
      </c>
      <c r="O3927" s="6" t="s">
        <v>622</v>
      </c>
      <c r="P3927" s="58" t="s">
        <v>241</v>
      </c>
      <c r="Q3927" s="27" t="s">
        <v>234</v>
      </c>
      <c r="R3927" s="27">
        <v>3</v>
      </c>
      <c r="S3927" s="59">
        <f>108365*1.07</f>
        <v>115950.55</v>
      </c>
      <c r="T3927" s="4">
        <v>0</v>
      </c>
      <c r="U3927" s="4">
        <f t="shared" si="188"/>
        <v>0</v>
      </c>
      <c r="V3927" s="3"/>
      <c r="W3927" s="3">
        <v>2014</v>
      </c>
      <c r="X3927" s="3">
        <v>11.12</v>
      </c>
    </row>
    <row r="3928" spans="1:24" ht="76.5">
      <c r="A3928" s="3" t="s">
        <v>13043</v>
      </c>
      <c r="B3928" s="6" t="s">
        <v>361</v>
      </c>
      <c r="C3928" s="179" t="s">
        <v>5352</v>
      </c>
      <c r="D3928" s="180" t="s">
        <v>5353</v>
      </c>
      <c r="E3928" s="181" t="s">
        <v>5354</v>
      </c>
      <c r="F3928" s="8" t="s">
        <v>7819</v>
      </c>
      <c r="G3928" s="3" t="s">
        <v>11449</v>
      </c>
      <c r="H3928" s="54">
        <v>0</v>
      </c>
      <c r="I3928" s="16">
        <v>470000000</v>
      </c>
      <c r="J3928" s="16" t="s">
        <v>229</v>
      </c>
      <c r="K3928" s="57" t="s">
        <v>642</v>
      </c>
      <c r="L3928" s="12" t="s">
        <v>404</v>
      </c>
      <c r="M3928" s="162" t="s">
        <v>230</v>
      </c>
      <c r="N3928" s="8" t="s">
        <v>8899</v>
      </c>
      <c r="O3928" s="6" t="s">
        <v>622</v>
      </c>
      <c r="P3928" s="58" t="s">
        <v>241</v>
      </c>
      <c r="Q3928" s="27" t="s">
        <v>234</v>
      </c>
      <c r="R3928" s="27">
        <v>3</v>
      </c>
      <c r="S3928" s="59">
        <f>108365*1.07</f>
        <v>115950.55</v>
      </c>
      <c r="T3928" s="4">
        <f>R3928*S3928</f>
        <v>347851.65</v>
      </c>
      <c r="U3928" s="4">
        <f>T3928*1.12</f>
        <v>389593.84800000006</v>
      </c>
      <c r="V3928" s="3"/>
      <c r="W3928" s="3">
        <v>2014</v>
      </c>
      <c r="X3928" s="3"/>
    </row>
    <row r="3929" spans="1:24" ht="76.5">
      <c r="A3929" s="3" t="s">
        <v>10460</v>
      </c>
      <c r="B3929" s="6" t="s">
        <v>361</v>
      </c>
      <c r="C3929" s="179" t="s">
        <v>5355</v>
      </c>
      <c r="D3929" s="180" t="s">
        <v>5353</v>
      </c>
      <c r="E3929" s="181" t="s">
        <v>5354</v>
      </c>
      <c r="F3929" s="8" t="s">
        <v>7820</v>
      </c>
      <c r="G3929" s="3" t="s">
        <v>11449</v>
      </c>
      <c r="H3929" s="54">
        <v>0</v>
      </c>
      <c r="I3929" s="16">
        <v>470000000</v>
      </c>
      <c r="J3929" s="16" t="s">
        <v>229</v>
      </c>
      <c r="K3929" s="57" t="s">
        <v>641</v>
      </c>
      <c r="L3929" s="57" t="s">
        <v>364</v>
      </c>
      <c r="M3929" s="162" t="s">
        <v>230</v>
      </c>
      <c r="N3929" s="8" t="s">
        <v>8899</v>
      </c>
      <c r="O3929" s="6" t="s">
        <v>622</v>
      </c>
      <c r="P3929" s="58" t="s">
        <v>241</v>
      </c>
      <c r="Q3929" s="27" t="s">
        <v>234</v>
      </c>
      <c r="R3929" s="27">
        <v>3</v>
      </c>
      <c r="S3929" s="59">
        <f>159008*1.07</f>
        <v>170138.56</v>
      </c>
      <c r="T3929" s="4">
        <v>0</v>
      </c>
      <c r="U3929" s="4">
        <f t="shared" si="188"/>
        <v>0</v>
      </c>
      <c r="V3929" s="3"/>
      <c r="W3929" s="3">
        <v>2014</v>
      </c>
      <c r="X3929" s="3">
        <v>11.12</v>
      </c>
    </row>
    <row r="3930" spans="1:24" ht="76.5">
      <c r="A3930" s="3" t="s">
        <v>13044</v>
      </c>
      <c r="B3930" s="6" t="s">
        <v>361</v>
      </c>
      <c r="C3930" s="179" t="s">
        <v>5355</v>
      </c>
      <c r="D3930" s="180" t="s">
        <v>5353</v>
      </c>
      <c r="E3930" s="181" t="s">
        <v>5354</v>
      </c>
      <c r="F3930" s="8" t="s">
        <v>7820</v>
      </c>
      <c r="G3930" s="3" t="s">
        <v>11449</v>
      </c>
      <c r="H3930" s="54">
        <v>0</v>
      </c>
      <c r="I3930" s="16">
        <v>470000000</v>
      </c>
      <c r="J3930" s="16" t="s">
        <v>229</v>
      </c>
      <c r="K3930" s="57" t="s">
        <v>642</v>
      </c>
      <c r="L3930" s="12" t="s">
        <v>404</v>
      </c>
      <c r="M3930" s="162" t="s">
        <v>230</v>
      </c>
      <c r="N3930" s="8" t="s">
        <v>8899</v>
      </c>
      <c r="O3930" s="6" t="s">
        <v>622</v>
      </c>
      <c r="P3930" s="58" t="s">
        <v>241</v>
      </c>
      <c r="Q3930" s="27" t="s">
        <v>234</v>
      </c>
      <c r="R3930" s="27">
        <v>3</v>
      </c>
      <c r="S3930" s="59">
        <f>159008*1.07</f>
        <v>170138.56</v>
      </c>
      <c r="T3930" s="4">
        <v>0</v>
      </c>
      <c r="U3930" s="4">
        <f>T3930*1.12</f>
        <v>0</v>
      </c>
      <c r="V3930" s="3"/>
      <c r="W3930" s="3">
        <v>2014</v>
      </c>
      <c r="X3930" s="3" t="s">
        <v>14785</v>
      </c>
    </row>
    <row r="3931" spans="1:24" ht="76.5">
      <c r="A3931" s="3" t="s">
        <v>16777</v>
      </c>
      <c r="B3931" s="6" t="s">
        <v>361</v>
      </c>
      <c r="C3931" s="179" t="s">
        <v>5355</v>
      </c>
      <c r="D3931" s="180" t="s">
        <v>5353</v>
      </c>
      <c r="E3931" s="181" t="s">
        <v>5354</v>
      </c>
      <c r="F3931" s="8" t="s">
        <v>7820</v>
      </c>
      <c r="G3931" s="3" t="s">
        <v>11449</v>
      </c>
      <c r="H3931" s="54">
        <v>0</v>
      </c>
      <c r="I3931" s="16">
        <v>470000000</v>
      </c>
      <c r="J3931" s="16" t="s">
        <v>229</v>
      </c>
      <c r="K3931" s="57" t="s">
        <v>8950</v>
      </c>
      <c r="L3931" s="12" t="s">
        <v>404</v>
      </c>
      <c r="M3931" s="162" t="s">
        <v>230</v>
      </c>
      <c r="N3931" s="8" t="s">
        <v>8899</v>
      </c>
      <c r="O3931" s="6" t="s">
        <v>622</v>
      </c>
      <c r="P3931" s="58" t="s">
        <v>241</v>
      </c>
      <c r="Q3931" s="336" t="s">
        <v>234</v>
      </c>
      <c r="R3931" s="336">
        <v>3</v>
      </c>
      <c r="S3931" s="59">
        <v>204166.272</v>
      </c>
      <c r="T3931" s="4">
        <v>0</v>
      </c>
      <c r="U3931" s="4">
        <f t="shared" ref="U3931:U3932" si="192">T3931*1.12</f>
        <v>0</v>
      </c>
      <c r="V3931" s="3"/>
      <c r="W3931" s="3">
        <v>2014</v>
      </c>
      <c r="X3931" s="3" t="s">
        <v>14265</v>
      </c>
    </row>
    <row r="3932" spans="1:24" ht="76.5">
      <c r="A3932" s="3" t="s">
        <v>19115</v>
      </c>
      <c r="B3932" s="6" t="s">
        <v>361</v>
      </c>
      <c r="C3932" s="179" t="s">
        <v>5355</v>
      </c>
      <c r="D3932" s="180" t="s">
        <v>5353</v>
      </c>
      <c r="E3932" s="181" t="s">
        <v>5354</v>
      </c>
      <c r="F3932" s="8" t="s">
        <v>7820</v>
      </c>
      <c r="G3932" s="3" t="s">
        <v>11449</v>
      </c>
      <c r="H3932" s="54">
        <v>0</v>
      </c>
      <c r="I3932" s="16">
        <v>470000000</v>
      </c>
      <c r="J3932" s="16" t="s">
        <v>229</v>
      </c>
      <c r="K3932" s="57" t="s">
        <v>18437</v>
      </c>
      <c r="L3932" s="12" t="s">
        <v>404</v>
      </c>
      <c r="M3932" s="162" t="s">
        <v>230</v>
      </c>
      <c r="N3932" s="8" t="s">
        <v>19369</v>
      </c>
      <c r="O3932" s="6" t="s">
        <v>19407</v>
      </c>
      <c r="P3932" s="58" t="s">
        <v>241</v>
      </c>
      <c r="Q3932" s="336" t="s">
        <v>234</v>
      </c>
      <c r="R3932" s="336">
        <v>3</v>
      </c>
      <c r="S3932" s="59">
        <v>204166.272</v>
      </c>
      <c r="T3932" s="4">
        <f>R3932*S3932</f>
        <v>612498.81599999999</v>
      </c>
      <c r="U3932" s="4">
        <f t="shared" si="192"/>
        <v>685998.67392000009</v>
      </c>
      <c r="V3932" s="3"/>
      <c r="W3932" s="3">
        <v>2014</v>
      </c>
      <c r="X3932" s="3"/>
    </row>
    <row r="3933" spans="1:24" ht="76.5">
      <c r="A3933" s="3" t="s">
        <v>10461</v>
      </c>
      <c r="B3933" s="6" t="s">
        <v>361</v>
      </c>
      <c r="C3933" s="6" t="s">
        <v>5356</v>
      </c>
      <c r="D3933" s="6" t="s">
        <v>5357</v>
      </c>
      <c r="E3933" s="65" t="s">
        <v>5358</v>
      </c>
      <c r="F3933" s="8" t="s">
        <v>7821</v>
      </c>
      <c r="G3933" s="3" t="s">
        <v>11449</v>
      </c>
      <c r="H3933" s="54">
        <v>0</v>
      </c>
      <c r="I3933" s="16">
        <v>470000000</v>
      </c>
      <c r="J3933" s="16" t="s">
        <v>229</v>
      </c>
      <c r="K3933" s="57" t="s">
        <v>641</v>
      </c>
      <c r="L3933" s="57" t="s">
        <v>364</v>
      </c>
      <c r="M3933" s="162" t="s">
        <v>230</v>
      </c>
      <c r="N3933" s="8" t="s">
        <v>8899</v>
      </c>
      <c r="O3933" s="6" t="s">
        <v>622</v>
      </c>
      <c r="P3933" s="58" t="s">
        <v>242</v>
      </c>
      <c r="Q3933" s="27" t="s">
        <v>239</v>
      </c>
      <c r="R3933" s="27">
        <v>40</v>
      </c>
      <c r="S3933" s="59">
        <f>1060*1.07</f>
        <v>1134.2</v>
      </c>
      <c r="T3933" s="4">
        <v>0</v>
      </c>
      <c r="U3933" s="4">
        <f t="shared" si="188"/>
        <v>0</v>
      </c>
      <c r="V3933" s="3"/>
      <c r="W3933" s="3">
        <v>2014</v>
      </c>
      <c r="X3933" s="3">
        <v>11.12</v>
      </c>
    </row>
    <row r="3934" spans="1:24" ht="76.5">
      <c r="A3934" s="3" t="s">
        <v>13045</v>
      </c>
      <c r="B3934" s="6" t="s">
        <v>361</v>
      </c>
      <c r="C3934" s="6" t="s">
        <v>5356</v>
      </c>
      <c r="D3934" s="6" t="s">
        <v>5357</v>
      </c>
      <c r="E3934" s="65" t="s">
        <v>5358</v>
      </c>
      <c r="F3934" s="8" t="s">
        <v>7821</v>
      </c>
      <c r="G3934" s="3" t="s">
        <v>11449</v>
      </c>
      <c r="H3934" s="54">
        <v>0</v>
      </c>
      <c r="I3934" s="16">
        <v>470000000</v>
      </c>
      <c r="J3934" s="16" t="s">
        <v>229</v>
      </c>
      <c r="K3934" s="57" t="s">
        <v>642</v>
      </c>
      <c r="L3934" s="12" t="s">
        <v>404</v>
      </c>
      <c r="M3934" s="162" t="s">
        <v>230</v>
      </c>
      <c r="N3934" s="8" t="s">
        <v>8899</v>
      </c>
      <c r="O3934" s="6" t="s">
        <v>622</v>
      </c>
      <c r="P3934" s="58" t="s">
        <v>242</v>
      </c>
      <c r="Q3934" s="27" t="s">
        <v>239</v>
      </c>
      <c r="R3934" s="27">
        <v>40</v>
      </c>
      <c r="S3934" s="59">
        <f>1060*1.07</f>
        <v>1134.2</v>
      </c>
      <c r="T3934" s="4">
        <v>0</v>
      </c>
      <c r="U3934" s="4">
        <f>T3934*1.12</f>
        <v>0</v>
      </c>
      <c r="V3934" s="3"/>
      <c r="W3934" s="3">
        <v>2014</v>
      </c>
      <c r="X3934" s="3" t="s">
        <v>14785</v>
      </c>
    </row>
    <row r="3935" spans="1:24" ht="76.5">
      <c r="A3935" s="3" t="s">
        <v>16778</v>
      </c>
      <c r="B3935" s="6" t="s">
        <v>361</v>
      </c>
      <c r="C3935" s="6" t="s">
        <v>5356</v>
      </c>
      <c r="D3935" s="6" t="s">
        <v>5357</v>
      </c>
      <c r="E3935" s="65" t="s">
        <v>5358</v>
      </c>
      <c r="F3935" s="8" t="s">
        <v>7821</v>
      </c>
      <c r="G3935" s="3" t="s">
        <v>11449</v>
      </c>
      <c r="H3935" s="54">
        <v>0</v>
      </c>
      <c r="I3935" s="16">
        <v>470000000</v>
      </c>
      <c r="J3935" s="16" t="s">
        <v>229</v>
      </c>
      <c r="K3935" s="57" t="s">
        <v>8950</v>
      </c>
      <c r="L3935" s="12" t="s">
        <v>404</v>
      </c>
      <c r="M3935" s="162" t="s">
        <v>230</v>
      </c>
      <c r="N3935" s="8" t="s">
        <v>8899</v>
      </c>
      <c r="O3935" s="6" t="s">
        <v>622</v>
      </c>
      <c r="P3935" s="58" t="s">
        <v>242</v>
      </c>
      <c r="Q3935" s="336" t="s">
        <v>239</v>
      </c>
      <c r="R3935" s="336">
        <v>40</v>
      </c>
      <c r="S3935" s="59">
        <v>1361.04</v>
      </c>
      <c r="T3935" s="4">
        <v>0</v>
      </c>
      <c r="U3935" s="4">
        <f t="shared" ref="U3935:U3936" si="193">T3935*1.12</f>
        <v>0</v>
      </c>
      <c r="V3935" s="3"/>
      <c r="W3935" s="3">
        <v>2014</v>
      </c>
      <c r="X3935" s="3" t="s">
        <v>14265</v>
      </c>
    </row>
    <row r="3936" spans="1:24" ht="76.5">
      <c r="A3936" s="3" t="s">
        <v>19116</v>
      </c>
      <c r="B3936" s="6" t="s">
        <v>361</v>
      </c>
      <c r="C3936" s="6" t="s">
        <v>5356</v>
      </c>
      <c r="D3936" s="6" t="s">
        <v>5357</v>
      </c>
      <c r="E3936" s="65" t="s">
        <v>5358</v>
      </c>
      <c r="F3936" s="8" t="s">
        <v>7821</v>
      </c>
      <c r="G3936" s="3" t="s">
        <v>11449</v>
      </c>
      <c r="H3936" s="54">
        <v>0</v>
      </c>
      <c r="I3936" s="16">
        <v>470000000</v>
      </c>
      <c r="J3936" s="16" t="s">
        <v>229</v>
      </c>
      <c r="K3936" s="57" t="s">
        <v>18437</v>
      </c>
      <c r="L3936" s="12" t="s">
        <v>404</v>
      </c>
      <c r="M3936" s="162" t="s">
        <v>230</v>
      </c>
      <c r="N3936" s="8" t="s">
        <v>19369</v>
      </c>
      <c r="O3936" s="6" t="s">
        <v>19407</v>
      </c>
      <c r="P3936" s="58" t="s">
        <v>242</v>
      </c>
      <c r="Q3936" s="336" t="s">
        <v>239</v>
      </c>
      <c r="R3936" s="336">
        <v>40</v>
      </c>
      <c r="S3936" s="59">
        <v>1361.04</v>
      </c>
      <c r="T3936" s="4">
        <f>R3936*S3936</f>
        <v>54441.599999999999</v>
      </c>
      <c r="U3936" s="4">
        <f t="shared" si="193"/>
        <v>60974.592000000004</v>
      </c>
      <c r="V3936" s="3"/>
      <c r="W3936" s="3">
        <v>2014</v>
      </c>
      <c r="X3936" s="3"/>
    </row>
    <row r="3937" spans="1:24" ht="76.5">
      <c r="A3937" s="3" t="s">
        <v>10462</v>
      </c>
      <c r="B3937" s="6" t="s">
        <v>361</v>
      </c>
      <c r="C3937" s="179" t="s">
        <v>5359</v>
      </c>
      <c r="D3937" s="180" t="s">
        <v>405</v>
      </c>
      <c r="E3937" s="181" t="s">
        <v>5183</v>
      </c>
      <c r="F3937" s="8" t="s">
        <v>7822</v>
      </c>
      <c r="G3937" s="3" t="s">
        <v>11449</v>
      </c>
      <c r="H3937" s="54">
        <v>0</v>
      </c>
      <c r="I3937" s="16">
        <v>470000000</v>
      </c>
      <c r="J3937" s="16" t="s">
        <v>229</v>
      </c>
      <c r="K3937" s="57" t="s">
        <v>641</v>
      </c>
      <c r="L3937" s="57" t="s">
        <v>364</v>
      </c>
      <c r="M3937" s="162" t="s">
        <v>230</v>
      </c>
      <c r="N3937" s="8" t="s">
        <v>8899</v>
      </c>
      <c r="O3937" s="6" t="s">
        <v>622</v>
      </c>
      <c r="P3937" s="58" t="s">
        <v>241</v>
      </c>
      <c r="Q3937" s="27" t="s">
        <v>234</v>
      </c>
      <c r="R3937" s="27">
        <v>100</v>
      </c>
      <c r="S3937" s="59">
        <f>1547*1.07</f>
        <v>1655.2900000000002</v>
      </c>
      <c r="T3937" s="4">
        <v>0</v>
      </c>
      <c r="U3937" s="4">
        <f t="shared" si="188"/>
        <v>0</v>
      </c>
      <c r="V3937" s="3"/>
      <c r="W3937" s="3">
        <v>2014</v>
      </c>
      <c r="X3937" s="3">
        <v>11.12</v>
      </c>
    </row>
    <row r="3938" spans="1:24" ht="76.5">
      <c r="A3938" s="3" t="s">
        <v>13046</v>
      </c>
      <c r="B3938" s="6" t="s">
        <v>361</v>
      </c>
      <c r="C3938" s="179" t="s">
        <v>5359</v>
      </c>
      <c r="D3938" s="180" t="s">
        <v>405</v>
      </c>
      <c r="E3938" s="181" t="s">
        <v>5183</v>
      </c>
      <c r="F3938" s="8" t="s">
        <v>7822</v>
      </c>
      <c r="G3938" s="3" t="s">
        <v>11449</v>
      </c>
      <c r="H3938" s="54">
        <v>0</v>
      </c>
      <c r="I3938" s="16">
        <v>470000000</v>
      </c>
      <c r="J3938" s="16" t="s">
        <v>229</v>
      </c>
      <c r="K3938" s="57" t="s">
        <v>642</v>
      </c>
      <c r="L3938" s="12" t="s">
        <v>404</v>
      </c>
      <c r="M3938" s="162" t="s">
        <v>230</v>
      </c>
      <c r="N3938" s="8" t="s">
        <v>8899</v>
      </c>
      <c r="O3938" s="6" t="s">
        <v>622</v>
      </c>
      <c r="P3938" s="58" t="s">
        <v>241</v>
      </c>
      <c r="Q3938" s="27" t="s">
        <v>234</v>
      </c>
      <c r="R3938" s="27">
        <v>100</v>
      </c>
      <c r="S3938" s="59">
        <f>1547*1.07</f>
        <v>1655.2900000000002</v>
      </c>
      <c r="T3938" s="4">
        <v>0</v>
      </c>
      <c r="U3938" s="4">
        <f>T3938*1.12</f>
        <v>0</v>
      </c>
      <c r="V3938" s="3"/>
      <c r="W3938" s="3">
        <v>2014</v>
      </c>
      <c r="X3938" s="3" t="s">
        <v>14785</v>
      </c>
    </row>
    <row r="3939" spans="1:24" ht="76.5">
      <c r="A3939" s="3" t="s">
        <v>16779</v>
      </c>
      <c r="B3939" s="6" t="s">
        <v>361</v>
      </c>
      <c r="C3939" s="179" t="s">
        <v>5359</v>
      </c>
      <c r="D3939" s="180" t="s">
        <v>405</v>
      </c>
      <c r="E3939" s="181" t="s">
        <v>5183</v>
      </c>
      <c r="F3939" s="8" t="s">
        <v>7822</v>
      </c>
      <c r="G3939" s="3" t="s">
        <v>11449</v>
      </c>
      <c r="H3939" s="54">
        <v>0</v>
      </c>
      <c r="I3939" s="16">
        <v>470000000</v>
      </c>
      <c r="J3939" s="16" t="s">
        <v>229</v>
      </c>
      <c r="K3939" s="57" t="s">
        <v>8950</v>
      </c>
      <c r="L3939" s="12" t="s">
        <v>404</v>
      </c>
      <c r="M3939" s="162" t="s">
        <v>230</v>
      </c>
      <c r="N3939" s="8" t="s">
        <v>8899</v>
      </c>
      <c r="O3939" s="6" t="s">
        <v>622</v>
      </c>
      <c r="P3939" s="58" t="s">
        <v>241</v>
      </c>
      <c r="Q3939" s="27" t="s">
        <v>234</v>
      </c>
      <c r="R3939" s="27">
        <v>100</v>
      </c>
      <c r="S3939" s="59">
        <v>1986.3480000000002</v>
      </c>
      <c r="T3939" s="4">
        <f>R3939*S3939</f>
        <v>198634.80000000002</v>
      </c>
      <c r="U3939" s="4">
        <f>T3939*1.12</f>
        <v>222470.97600000005</v>
      </c>
      <c r="V3939" s="3"/>
      <c r="W3939" s="3">
        <v>2014</v>
      </c>
      <c r="X3939" s="3"/>
    </row>
    <row r="3940" spans="1:24" ht="76.5">
      <c r="A3940" s="3" t="s">
        <v>10463</v>
      </c>
      <c r="B3940" s="6" t="s">
        <v>361</v>
      </c>
      <c r="C3940" s="179" t="s">
        <v>5359</v>
      </c>
      <c r="D3940" s="180" t="s">
        <v>405</v>
      </c>
      <c r="E3940" s="181" t="s">
        <v>5183</v>
      </c>
      <c r="F3940" s="8" t="s">
        <v>7823</v>
      </c>
      <c r="G3940" s="3" t="s">
        <v>11449</v>
      </c>
      <c r="H3940" s="54">
        <v>0</v>
      </c>
      <c r="I3940" s="16">
        <v>470000000</v>
      </c>
      <c r="J3940" s="16" t="s">
        <v>229</v>
      </c>
      <c r="K3940" s="57" t="s">
        <v>641</v>
      </c>
      <c r="L3940" s="57" t="s">
        <v>364</v>
      </c>
      <c r="M3940" s="162" t="s">
        <v>230</v>
      </c>
      <c r="N3940" s="8" t="s">
        <v>8899</v>
      </c>
      <c r="O3940" s="6" t="s">
        <v>622</v>
      </c>
      <c r="P3940" s="58" t="s">
        <v>241</v>
      </c>
      <c r="Q3940" s="27" t="s">
        <v>234</v>
      </c>
      <c r="R3940" s="27">
        <v>100</v>
      </c>
      <c r="S3940" s="59">
        <v>1998</v>
      </c>
      <c r="T3940" s="4">
        <v>0</v>
      </c>
      <c r="U3940" s="4">
        <f t="shared" si="188"/>
        <v>0</v>
      </c>
      <c r="V3940" s="3"/>
      <c r="W3940" s="3">
        <v>2014</v>
      </c>
      <c r="X3940" s="3">
        <v>11.12</v>
      </c>
    </row>
    <row r="3941" spans="1:24" ht="76.5">
      <c r="A3941" s="3" t="s">
        <v>13047</v>
      </c>
      <c r="B3941" s="6" t="s">
        <v>361</v>
      </c>
      <c r="C3941" s="179" t="s">
        <v>5359</v>
      </c>
      <c r="D3941" s="180" t="s">
        <v>405</v>
      </c>
      <c r="E3941" s="181" t="s">
        <v>5183</v>
      </c>
      <c r="F3941" s="8" t="s">
        <v>7823</v>
      </c>
      <c r="G3941" s="3" t="s">
        <v>11449</v>
      </c>
      <c r="H3941" s="54">
        <v>0</v>
      </c>
      <c r="I3941" s="16">
        <v>470000000</v>
      </c>
      <c r="J3941" s="16" t="s">
        <v>229</v>
      </c>
      <c r="K3941" s="57" t="s">
        <v>642</v>
      </c>
      <c r="L3941" s="12" t="s">
        <v>404</v>
      </c>
      <c r="M3941" s="162" t="s">
        <v>230</v>
      </c>
      <c r="N3941" s="8" t="s">
        <v>8899</v>
      </c>
      <c r="O3941" s="6" t="s">
        <v>622</v>
      </c>
      <c r="P3941" s="58" t="s">
        <v>241</v>
      </c>
      <c r="Q3941" s="27" t="s">
        <v>234</v>
      </c>
      <c r="R3941" s="27">
        <v>100</v>
      </c>
      <c r="S3941" s="59">
        <v>1998</v>
      </c>
      <c r="T3941" s="4">
        <v>0</v>
      </c>
      <c r="U3941" s="4">
        <f>T3941*1.12</f>
        <v>0</v>
      </c>
      <c r="V3941" s="3"/>
      <c r="W3941" s="3">
        <v>2014</v>
      </c>
      <c r="X3941" s="3" t="s">
        <v>14785</v>
      </c>
    </row>
    <row r="3942" spans="1:24" ht="76.5">
      <c r="A3942" s="3" t="s">
        <v>16780</v>
      </c>
      <c r="B3942" s="6" t="s">
        <v>361</v>
      </c>
      <c r="C3942" s="179" t="s">
        <v>5359</v>
      </c>
      <c r="D3942" s="180" t="s">
        <v>405</v>
      </c>
      <c r="E3942" s="181" t="s">
        <v>5183</v>
      </c>
      <c r="F3942" s="8" t="s">
        <v>7823</v>
      </c>
      <c r="G3942" s="3" t="s">
        <v>11449</v>
      </c>
      <c r="H3942" s="54">
        <v>0</v>
      </c>
      <c r="I3942" s="16">
        <v>470000000</v>
      </c>
      <c r="J3942" s="16" t="s">
        <v>229</v>
      </c>
      <c r="K3942" s="57" t="s">
        <v>8950</v>
      </c>
      <c r="L3942" s="12" t="s">
        <v>404</v>
      </c>
      <c r="M3942" s="162" t="s">
        <v>230</v>
      </c>
      <c r="N3942" s="8" t="s">
        <v>8899</v>
      </c>
      <c r="O3942" s="6" t="s">
        <v>622</v>
      </c>
      <c r="P3942" s="58" t="s">
        <v>241</v>
      </c>
      <c r="Q3942" s="27" t="s">
        <v>234</v>
      </c>
      <c r="R3942" s="27">
        <v>100</v>
      </c>
      <c r="S3942" s="59">
        <v>3331.98</v>
      </c>
      <c r="T3942" s="4">
        <f>R3942*S3942</f>
        <v>333198</v>
      </c>
      <c r="U3942" s="4">
        <f>T3942*1.12</f>
        <v>373181.76</v>
      </c>
      <c r="V3942" s="3"/>
      <c r="W3942" s="3">
        <v>2014</v>
      </c>
      <c r="X3942" s="3"/>
    </row>
    <row r="3943" spans="1:24" ht="76.5">
      <c r="A3943" s="3" t="s">
        <v>10464</v>
      </c>
      <c r="B3943" s="6" t="s">
        <v>361</v>
      </c>
      <c r="C3943" s="64" t="s">
        <v>5360</v>
      </c>
      <c r="D3943" s="100" t="s">
        <v>463</v>
      </c>
      <c r="E3943" s="101" t="s">
        <v>3115</v>
      </c>
      <c r="F3943" s="8" t="s">
        <v>7824</v>
      </c>
      <c r="G3943" s="3" t="s">
        <v>11449</v>
      </c>
      <c r="H3943" s="54">
        <v>0</v>
      </c>
      <c r="I3943" s="16">
        <v>470000000</v>
      </c>
      <c r="J3943" s="16" t="s">
        <v>229</v>
      </c>
      <c r="K3943" s="57" t="s">
        <v>641</v>
      </c>
      <c r="L3943" s="57" t="s">
        <v>364</v>
      </c>
      <c r="M3943" s="162" t="s">
        <v>230</v>
      </c>
      <c r="N3943" s="8" t="s">
        <v>8899</v>
      </c>
      <c r="O3943" s="6" t="s">
        <v>622</v>
      </c>
      <c r="P3943" s="58" t="s">
        <v>241</v>
      </c>
      <c r="Q3943" s="27" t="s">
        <v>234</v>
      </c>
      <c r="R3943" s="27">
        <v>32</v>
      </c>
      <c r="S3943" s="59">
        <f>2177*1.07</f>
        <v>2329.3900000000003</v>
      </c>
      <c r="T3943" s="4">
        <v>0</v>
      </c>
      <c r="U3943" s="4">
        <f t="shared" si="188"/>
        <v>0</v>
      </c>
      <c r="V3943" s="3"/>
      <c r="W3943" s="3">
        <v>2014</v>
      </c>
      <c r="X3943" s="3">
        <v>11.12</v>
      </c>
    </row>
    <row r="3944" spans="1:24" ht="76.5">
      <c r="A3944" s="3" t="s">
        <v>13048</v>
      </c>
      <c r="B3944" s="6" t="s">
        <v>361</v>
      </c>
      <c r="C3944" s="64" t="s">
        <v>5360</v>
      </c>
      <c r="D3944" s="100" t="s">
        <v>463</v>
      </c>
      <c r="E3944" s="101" t="s">
        <v>3115</v>
      </c>
      <c r="F3944" s="8" t="s">
        <v>7824</v>
      </c>
      <c r="G3944" s="3" t="s">
        <v>11449</v>
      </c>
      <c r="H3944" s="54">
        <v>0</v>
      </c>
      <c r="I3944" s="16">
        <v>470000000</v>
      </c>
      <c r="J3944" s="16" t="s">
        <v>229</v>
      </c>
      <c r="K3944" s="57" t="s">
        <v>642</v>
      </c>
      <c r="L3944" s="12" t="s">
        <v>404</v>
      </c>
      <c r="M3944" s="162" t="s">
        <v>230</v>
      </c>
      <c r="N3944" s="8" t="s">
        <v>8899</v>
      </c>
      <c r="O3944" s="6" t="s">
        <v>622</v>
      </c>
      <c r="P3944" s="58" t="s">
        <v>241</v>
      </c>
      <c r="Q3944" s="27" t="s">
        <v>234</v>
      </c>
      <c r="R3944" s="27">
        <v>32</v>
      </c>
      <c r="S3944" s="59">
        <f>2177*1.07</f>
        <v>2329.3900000000003</v>
      </c>
      <c r="T3944" s="4">
        <v>0</v>
      </c>
      <c r="U3944" s="4">
        <f>T3944*1.12</f>
        <v>0</v>
      </c>
      <c r="V3944" s="3"/>
      <c r="W3944" s="3">
        <v>2014</v>
      </c>
      <c r="X3944" s="3" t="s">
        <v>14785</v>
      </c>
    </row>
    <row r="3945" spans="1:24" ht="76.5">
      <c r="A3945" s="3" t="s">
        <v>16781</v>
      </c>
      <c r="B3945" s="6" t="s">
        <v>361</v>
      </c>
      <c r="C3945" s="64" t="s">
        <v>5360</v>
      </c>
      <c r="D3945" s="100" t="s">
        <v>463</v>
      </c>
      <c r="E3945" s="101" t="s">
        <v>3115</v>
      </c>
      <c r="F3945" s="8" t="s">
        <v>7824</v>
      </c>
      <c r="G3945" s="3" t="s">
        <v>11449</v>
      </c>
      <c r="H3945" s="54">
        <v>0</v>
      </c>
      <c r="I3945" s="16">
        <v>470000000</v>
      </c>
      <c r="J3945" s="16" t="s">
        <v>229</v>
      </c>
      <c r="K3945" s="57" t="s">
        <v>8950</v>
      </c>
      <c r="L3945" s="12" t="s">
        <v>404</v>
      </c>
      <c r="M3945" s="162" t="s">
        <v>230</v>
      </c>
      <c r="N3945" s="8" t="s">
        <v>8899</v>
      </c>
      <c r="O3945" s="6" t="s">
        <v>622</v>
      </c>
      <c r="P3945" s="58" t="s">
        <v>241</v>
      </c>
      <c r="Q3945" s="336" t="s">
        <v>234</v>
      </c>
      <c r="R3945" s="336">
        <v>32</v>
      </c>
      <c r="S3945" s="59">
        <v>2795.2680000000005</v>
      </c>
      <c r="T3945" s="4">
        <v>0</v>
      </c>
      <c r="U3945" s="4">
        <f t="shared" ref="U3945:U3946" si="194">T3945*1.12</f>
        <v>0</v>
      </c>
      <c r="V3945" s="3"/>
      <c r="W3945" s="3">
        <v>2014</v>
      </c>
      <c r="X3945" s="3" t="s">
        <v>14265</v>
      </c>
    </row>
    <row r="3946" spans="1:24" ht="76.5">
      <c r="A3946" s="3" t="s">
        <v>19117</v>
      </c>
      <c r="B3946" s="6" t="s">
        <v>361</v>
      </c>
      <c r="C3946" s="64" t="s">
        <v>5360</v>
      </c>
      <c r="D3946" s="100" t="s">
        <v>463</v>
      </c>
      <c r="E3946" s="101" t="s">
        <v>3115</v>
      </c>
      <c r="F3946" s="8" t="s">
        <v>7824</v>
      </c>
      <c r="G3946" s="3" t="s">
        <v>11449</v>
      </c>
      <c r="H3946" s="54">
        <v>0</v>
      </c>
      <c r="I3946" s="16">
        <v>470000000</v>
      </c>
      <c r="J3946" s="16" t="s">
        <v>229</v>
      </c>
      <c r="K3946" s="57" t="s">
        <v>18437</v>
      </c>
      <c r="L3946" s="12" t="s">
        <v>404</v>
      </c>
      <c r="M3946" s="162" t="s">
        <v>230</v>
      </c>
      <c r="N3946" s="8" t="s">
        <v>19369</v>
      </c>
      <c r="O3946" s="6" t="s">
        <v>19407</v>
      </c>
      <c r="P3946" s="58" t="s">
        <v>241</v>
      </c>
      <c r="Q3946" s="336" t="s">
        <v>234</v>
      </c>
      <c r="R3946" s="336">
        <v>32</v>
      </c>
      <c r="S3946" s="59">
        <v>2795.2680000000005</v>
      </c>
      <c r="T3946" s="4">
        <f>R3946*S3946</f>
        <v>89448.576000000015</v>
      </c>
      <c r="U3946" s="4">
        <f t="shared" si="194"/>
        <v>100182.40512000002</v>
      </c>
      <c r="V3946" s="3"/>
      <c r="W3946" s="3">
        <v>2014</v>
      </c>
      <c r="X3946" s="3"/>
    </row>
    <row r="3947" spans="1:24" ht="76.5">
      <c r="A3947" s="3" t="s">
        <v>10465</v>
      </c>
      <c r="B3947" s="6" t="s">
        <v>361</v>
      </c>
      <c r="C3947" s="100" t="s">
        <v>5361</v>
      </c>
      <c r="D3947" s="100" t="s">
        <v>463</v>
      </c>
      <c r="E3947" s="182" t="s">
        <v>5362</v>
      </c>
      <c r="F3947" s="8" t="s">
        <v>7825</v>
      </c>
      <c r="G3947" s="3" t="s">
        <v>11449</v>
      </c>
      <c r="H3947" s="54">
        <v>0</v>
      </c>
      <c r="I3947" s="16">
        <v>470000000</v>
      </c>
      <c r="J3947" s="16" t="s">
        <v>229</v>
      </c>
      <c r="K3947" s="57" t="s">
        <v>641</v>
      </c>
      <c r="L3947" s="57" t="s">
        <v>364</v>
      </c>
      <c r="M3947" s="162" t="s">
        <v>230</v>
      </c>
      <c r="N3947" s="8" t="s">
        <v>8899</v>
      </c>
      <c r="O3947" s="6" t="s">
        <v>622</v>
      </c>
      <c r="P3947" s="58" t="s">
        <v>241</v>
      </c>
      <c r="Q3947" s="27" t="s">
        <v>234</v>
      </c>
      <c r="R3947" s="27">
        <v>32</v>
      </c>
      <c r="S3947" s="59">
        <f>2515*1.07</f>
        <v>2691.05</v>
      </c>
      <c r="T3947" s="4">
        <v>0</v>
      </c>
      <c r="U3947" s="4">
        <f t="shared" si="188"/>
        <v>0</v>
      </c>
      <c r="V3947" s="3"/>
      <c r="W3947" s="3">
        <v>2014</v>
      </c>
      <c r="X3947" s="3">
        <v>11.12</v>
      </c>
    </row>
    <row r="3948" spans="1:24" ht="76.5">
      <c r="A3948" s="3" t="s">
        <v>13049</v>
      </c>
      <c r="B3948" s="6" t="s">
        <v>361</v>
      </c>
      <c r="C3948" s="100" t="s">
        <v>5361</v>
      </c>
      <c r="D3948" s="100" t="s">
        <v>463</v>
      </c>
      <c r="E3948" s="182" t="s">
        <v>5362</v>
      </c>
      <c r="F3948" s="8" t="s">
        <v>7825</v>
      </c>
      <c r="G3948" s="3" t="s">
        <v>11449</v>
      </c>
      <c r="H3948" s="54">
        <v>0</v>
      </c>
      <c r="I3948" s="16">
        <v>470000000</v>
      </c>
      <c r="J3948" s="16" t="s">
        <v>229</v>
      </c>
      <c r="K3948" s="57" t="s">
        <v>642</v>
      </c>
      <c r="L3948" s="12" t="s">
        <v>404</v>
      </c>
      <c r="M3948" s="162" t="s">
        <v>230</v>
      </c>
      <c r="N3948" s="8" t="s">
        <v>8899</v>
      </c>
      <c r="O3948" s="6" t="s">
        <v>622</v>
      </c>
      <c r="P3948" s="58" t="s">
        <v>241</v>
      </c>
      <c r="Q3948" s="27" t="s">
        <v>234</v>
      </c>
      <c r="R3948" s="27">
        <v>32</v>
      </c>
      <c r="S3948" s="59">
        <f>2515*1.07</f>
        <v>2691.05</v>
      </c>
      <c r="T3948" s="4">
        <v>0</v>
      </c>
      <c r="U3948" s="4">
        <f>T3948*1.12</f>
        <v>0</v>
      </c>
      <c r="V3948" s="3"/>
      <c r="W3948" s="3">
        <v>2014</v>
      </c>
      <c r="X3948" s="3" t="s">
        <v>14785</v>
      </c>
    </row>
    <row r="3949" spans="1:24" ht="76.5">
      <c r="A3949" s="3" t="s">
        <v>16782</v>
      </c>
      <c r="B3949" s="6" t="s">
        <v>361</v>
      </c>
      <c r="C3949" s="100" t="s">
        <v>5361</v>
      </c>
      <c r="D3949" s="100" t="s">
        <v>463</v>
      </c>
      <c r="E3949" s="182" t="s">
        <v>5362</v>
      </c>
      <c r="F3949" s="8" t="s">
        <v>7825</v>
      </c>
      <c r="G3949" s="3" t="s">
        <v>11449</v>
      </c>
      <c r="H3949" s="54">
        <v>0</v>
      </c>
      <c r="I3949" s="16">
        <v>470000000</v>
      </c>
      <c r="J3949" s="16" t="s">
        <v>229</v>
      </c>
      <c r="K3949" s="57" t="s">
        <v>8950</v>
      </c>
      <c r="L3949" s="12" t="s">
        <v>404</v>
      </c>
      <c r="M3949" s="162" t="s">
        <v>230</v>
      </c>
      <c r="N3949" s="8" t="s">
        <v>8899</v>
      </c>
      <c r="O3949" s="6" t="s">
        <v>622</v>
      </c>
      <c r="P3949" s="58" t="s">
        <v>241</v>
      </c>
      <c r="Q3949" s="336" t="s">
        <v>234</v>
      </c>
      <c r="R3949" s="336">
        <v>32</v>
      </c>
      <c r="S3949" s="59">
        <v>3229.26</v>
      </c>
      <c r="T3949" s="4">
        <v>0</v>
      </c>
      <c r="U3949" s="4">
        <f t="shared" ref="U3949:U3950" si="195">T3949*1.12</f>
        <v>0</v>
      </c>
      <c r="V3949" s="3"/>
      <c r="W3949" s="3">
        <v>2014</v>
      </c>
      <c r="X3949" s="3" t="s">
        <v>14265</v>
      </c>
    </row>
    <row r="3950" spans="1:24" ht="76.5">
      <c r="A3950" s="3" t="s">
        <v>19118</v>
      </c>
      <c r="B3950" s="6" t="s">
        <v>361</v>
      </c>
      <c r="C3950" s="100" t="s">
        <v>5361</v>
      </c>
      <c r="D3950" s="100" t="s">
        <v>463</v>
      </c>
      <c r="E3950" s="182" t="s">
        <v>5362</v>
      </c>
      <c r="F3950" s="8" t="s">
        <v>7825</v>
      </c>
      <c r="G3950" s="3" t="s">
        <v>11449</v>
      </c>
      <c r="H3950" s="54">
        <v>0</v>
      </c>
      <c r="I3950" s="16">
        <v>470000000</v>
      </c>
      <c r="J3950" s="16" t="s">
        <v>229</v>
      </c>
      <c r="K3950" s="57" t="s">
        <v>18437</v>
      </c>
      <c r="L3950" s="12" t="s">
        <v>404</v>
      </c>
      <c r="M3950" s="162" t="s">
        <v>230</v>
      </c>
      <c r="N3950" s="8" t="s">
        <v>19369</v>
      </c>
      <c r="O3950" s="6" t="s">
        <v>19407</v>
      </c>
      <c r="P3950" s="58" t="s">
        <v>241</v>
      </c>
      <c r="Q3950" s="336" t="s">
        <v>234</v>
      </c>
      <c r="R3950" s="336">
        <v>32</v>
      </c>
      <c r="S3950" s="59">
        <v>3229.26</v>
      </c>
      <c r="T3950" s="4">
        <f>R3950*S3950</f>
        <v>103336.32000000001</v>
      </c>
      <c r="U3950" s="4">
        <f t="shared" si="195"/>
        <v>115736.67840000002</v>
      </c>
      <c r="V3950" s="3"/>
      <c r="W3950" s="3">
        <v>2014</v>
      </c>
      <c r="X3950" s="3"/>
    </row>
    <row r="3951" spans="1:24" ht="76.5">
      <c r="A3951" s="3" t="s">
        <v>10466</v>
      </c>
      <c r="B3951" s="6" t="s">
        <v>361</v>
      </c>
      <c r="C3951" s="179" t="s">
        <v>5363</v>
      </c>
      <c r="D3951" s="3" t="s">
        <v>406</v>
      </c>
      <c r="E3951" s="181" t="s">
        <v>5364</v>
      </c>
      <c r="F3951" s="8" t="s">
        <v>7826</v>
      </c>
      <c r="G3951" s="3" t="s">
        <v>11449</v>
      </c>
      <c r="H3951" s="54">
        <v>0</v>
      </c>
      <c r="I3951" s="16">
        <v>470000000</v>
      </c>
      <c r="J3951" s="16" t="s">
        <v>229</v>
      </c>
      <c r="K3951" s="57" t="s">
        <v>641</v>
      </c>
      <c r="L3951" s="57" t="s">
        <v>364</v>
      </c>
      <c r="M3951" s="162" t="s">
        <v>230</v>
      </c>
      <c r="N3951" s="8" t="s">
        <v>8899</v>
      </c>
      <c r="O3951" s="6" t="s">
        <v>622</v>
      </c>
      <c r="P3951" s="58" t="s">
        <v>241</v>
      </c>
      <c r="Q3951" s="27" t="s">
        <v>234</v>
      </c>
      <c r="R3951" s="27">
        <v>200</v>
      </c>
      <c r="S3951" s="59">
        <f>653*1.07</f>
        <v>698.71</v>
      </c>
      <c r="T3951" s="4">
        <v>0</v>
      </c>
      <c r="U3951" s="4">
        <f t="shared" si="188"/>
        <v>0</v>
      </c>
      <c r="V3951" s="3"/>
      <c r="W3951" s="3">
        <v>2014</v>
      </c>
      <c r="X3951" s="3">
        <v>11.12</v>
      </c>
    </row>
    <row r="3952" spans="1:24" ht="76.5">
      <c r="A3952" s="3" t="s">
        <v>13050</v>
      </c>
      <c r="B3952" s="6" t="s">
        <v>361</v>
      </c>
      <c r="C3952" s="179" t="s">
        <v>5363</v>
      </c>
      <c r="D3952" s="3" t="s">
        <v>406</v>
      </c>
      <c r="E3952" s="181" t="s">
        <v>5364</v>
      </c>
      <c r="F3952" s="8" t="s">
        <v>7826</v>
      </c>
      <c r="G3952" s="3" t="s">
        <v>11449</v>
      </c>
      <c r="H3952" s="54">
        <v>0</v>
      </c>
      <c r="I3952" s="16">
        <v>470000000</v>
      </c>
      <c r="J3952" s="16" t="s">
        <v>229</v>
      </c>
      <c r="K3952" s="57" t="s">
        <v>642</v>
      </c>
      <c r="L3952" s="12" t="s">
        <v>404</v>
      </c>
      <c r="M3952" s="162" t="s">
        <v>230</v>
      </c>
      <c r="N3952" s="8" t="s">
        <v>8899</v>
      </c>
      <c r="O3952" s="6" t="s">
        <v>622</v>
      </c>
      <c r="P3952" s="58" t="s">
        <v>241</v>
      </c>
      <c r="Q3952" s="27" t="s">
        <v>234</v>
      </c>
      <c r="R3952" s="27">
        <v>200</v>
      </c>
      <c r="S3952" s="59">
        <f>653*1.07</f>
        <v>698.71</v>
      </c>
      <c r="T3952" s="4">
        <f>R3952*S3952</f>
        <v>139742</v>
      </c>
      <c r="U3952" s="4">
        <f>T3952*1.12</f>
        <v>156511.04000000001</v>
      </c>
      <c r="V3952" s="3"/>
      <c r="W3952" s="3">
        <v>2014</v>
      </c>
      <c r="X3952" s="3"/>
    </row>
    <row r="3953" spans="1:24" ht="76.5">
      <c r="A3953" s="3" t="s">
        <v>10467</v>
      </c>
      <c r="B3953" s="6" t="s">
        <v>361</v>
      </c>
      <c r="C3953" s="179" t="s">
        <v>5363</v>
      </c>
      <c r="D3953" s="3" t="s">
        <v>406</v>
      </c>
      <c r="E3953" s="81" t="s">
        <v>5364</v>
      </c>
      <c r="F3953" s="8" t="s">
        <v>7827</v>
      </c>
      <c r="G3953" s="3" t="s">
        <v>11449</v>
      </c>
      <c r="H3953" s="54">
        <v>0</v>
      </c>
      <c r="I3953" s="16">
        <v>470000000</v>
      </c>
      <c r="J3953" s="16" t="s">
        <v>229</v>
      </c>
      <c r="K3953" s="57" t="s">
        <v>641</v>
      </c>
      <c r="L3953" s="57" t="s">
        <v>364</v>
      </c>
      <c r="M3953" s="162" t="s">
        <v>230</v>
      </c>
      <c r="N3953" s="8" t="s">
        <v>8899</v>
      </c>
      <c r="O3953" s="6" t="s">
        <v>622</v>
      </c>
      <c r="P3953" s="58" t="s">
        <v>241</v>
      </c>
      <c r="Q3953" s="27" t="s">
        <v>234</v>
      </c>
      <c r="R3953" s="27">
        <v>200</v>
      </c>
      <c r="S3953" s="59">
        <f>771*1.07</f>
        <v>824.97</v>
      </c>
      <c r="T3953" s="4">
        <v>0</v>
      </c>
      <c r="U3953" s="4">
        <f t="shared" si="188"/>
        <v>0</v>
      </c>
      <c r="V3953" s="3"/>
      <c r="W3953" s="3">
        <v>2014</v>
      </c>
      <c r="X3953" s="3">
        <v>11.12</v>
      </c>
    </row>
    <row r="3954" spans="1:24" ht="76.5">
      <c r="A3954" s="3" t="s">
        <v>13051</v>
      </c>
      <c r="B3954" s="6" t="s">
        <v>361</v>
      </c>
      <c r="C3954" s="179" t="s">
        <v>5363</v>
      </c>
      <c r="D3954" s="3" t="s">
        <v>406</v>
      </c>
      <c r="E3954" s="81" t="s">
        <v>5364</v>
      </c>
      <c r="F3954" s="8" t="s">
        <v>7827</v>
      </c>
      <c r="G3954" s="3" t="s">
        <v>11449</v>
      </c>
      <c r="H3954" s="54">
        <v>0</v>
      </c>
      <c r="I3954" s="16">
        <v>470000000</v>
      </c>
      <c r="J3954" s="16" t="s">
        <v>229</v>
      </c>
      <c r="K3954" s="57" t="s">
        <v>642</v>
      </c>
      <c r="L3954" s="12" t="s">
        <v>404</v>
      </c>
      <c r="M3954" s="162" t="s">
        <v>230</v>
      </c>
      <c r="N3954" s="8" t="s">
        <v>8899</v>
      </c>
      <c r="O3954" s="6" t="s">
        <v>622</v>
      </c>
      <c r="P3954" s="58" t="s">
        <v>241</v>
      </c>
      <c r="Q3954" s="27" t="s">
        <v>234</v>
      </c>
      <c r="R3954" s="27">
        <v>200</v>
      </c>
      <c r="S3954" s="59">
        <f>771*1.07</f>
        <v>824.97</v>
      </c>
      <c r="T3954" s="4">
        <v>0</v>
      </c>
      <c r="U3954" s="4">
        <f>T3954*1.12</f>
        <v>0</v>
      </c>
      <c r="V3954" s="3"/>
      <c r="W3954" s="3">
        <v>2014</v>
      </c>
      <c r="X3954" s="3" t="s">
        <v>14785</v>
      </c>
    </row>
    <row r="3955" spans="1:24" ht="76.5">
      <c r="A3955" s="3" t="s">
        <v>16783</v>
      </c>
      <c r="B3955" s="6" t="s">
        <v>361</v>
      </c>
      <c r="C3955" s="179" t="s">
        <v>5363</v>
      </c>
      <c r="D3955" s="3" t="s">
        <v>406</v>
      </c>
      <c r="E3955" s="81" t="s">
        <v>5364</v>
      </c>
      <c r="F3955" s="8" t="s">
        <v>7827</v>
      </c>
      <c r="G3955" s="3" t="s">
        <v>11449</v>
      </c>
      <c r="H3955" s="54">
        <v>0</v>
      </c>
      <c r="I3955" s="16">
        <v>470000000</v>
      </c>
      <c r="J3955" s="16" t="s">
        <v>229</v>
      </c>
      <c r="K3955" s="57" t="s">
        <v>8950</v>
      </c>
      <c r="L3955" s="12" t="s">
        <v>404</v>
      </c>
      <c r="M3955" s="162" t="s">
        <v>230</v>
      </c>
      <c r="N3955" s="8" t="s">
        <v>8899</v>
      </c>
      <c r="O3955" s="6" t="s">
        <v>622</v>
      </c>
      <c r="P3955" s="58" t="s">
        <v>241</v>
      </c>
      <c r="Q3955" s="336" t="s">
        <v>234</v>
      </c>
      <c r="R3955" s="336">
        <v>200</v>
      </c>
      <c r="S3955" s="59">
        <v>989.96399999999994</v>
      </c>
      <c r="T3955" s="4">
        <v>0</v>
      </c>
      <c r="U3955" s="4">
        <f t="shared" ref="U3955:U3956" si="196">T3955*1.12</f>
        <v>0</v>
      </c>
      <c r="V3955" s="3"/>
      <c r="W3955" s="3">
        <v>2014</v>
      </c>
      <c r="X3955" s="3" t="s">
        <v>14265</v>
      </c>
    </row>
    <row r="3956" spans="1:24" ht="76.5">
      <c r="A3956" s="3" t="s">
        <v>19119</v>
      </c>
      <c r="B3956" s="6" t="s">
        <v>361</v>
      </c>
      <c r="C3956" s="179" t="s">
        <v>5363</v>
      </c>
      <c r="D3956" s="3" t="s">
        <v>406</v>
      </c>
      <c r="E3956" s="81" t="s">
        <v>5364</v>
      </c>
      <c r="F3956" s="8" t="s">
        <v>7827</v>
      </c>
      <c r="G3956" s="3" t="s">
        <v>11449</v>
      </c>
      <c r="H3956" s="54">
        <v>0</v>
      </c>
      <c r="I3956" s="16">
        <v>470000000</v>
      </c>
      <c r="J3956" s="16" t="s">
        <v>229</v>
      </c>
      <c r="K3956" s="57" t="s">
        <v>18437</v>
      </c>
      <c r="L3956" s="12" t="s">
        <v>404</v>
      </c>
      <c r="M3956" s="162" t="s">
        <v>230</v>
      </c>
      <c r="N3956" s="8" t="s">
        <v>19369</v>
      </c>
      <c r="O3956" s="6" t="s">
        <v>19407</v>
      </c>
      <c r="P3956" s="58" t="s">
        <v>241</v>
      </c>
      <c r="Q3956" s="336" t="s">
        <v>234</v>
      </c>
      <c r="R3956" s="336">
        <v>200</v>
      </c>
      <c r="S3956" s="59">
        <v>989.96399999999994</v>
      </c>
      <c r="T3956" s="4">
        <f>R3956*S3956</f>
        <v>197992.8</v>
      </c>
      <c r="U3956" s="4">
        <f t="shared" si="196"/>
        <v>221751.93600000002</v>
      </c>
      <c r="V3956" s="3"/>
      <c r="W3956" s="3">
        <v>2014</v>
      </c>
      <c r="X3956" s="3"/>
    </row>
    <row r="3957" spans="1:24" ht="76.5">
      <c r="A3957" s="3" t="s">
        <v>10468</v>
      </c>
      <c r="B3957" s="6" t="s">
        <v>361</v>
      </c>
      <c r="C3957" s="126" t="s">
        <v>5365</v>
      </c>
      <c r="D3957" s="126" t="s">
        <v>5366</v>
      </c>
      <c r="E3957" s="125" t="s">
        <v>5367</v>
      </c>
      <c r="F3957" s="30" t="s">
        <v>7828</v>
      </c>
      <c r="G3957" s="3" t="s">
        <v>11449</v>
      </c>
      <c r="H3957" s="54">
        <v>0</v>
      </c>
      <c r="I3957" s="16">
        <v>470000000</v>
      </c>
      <c r="J3957" s="16" t="s">
        <v>229</v>
      </c>
      <c r="K3957" s="57" t="s">
        <v>641</v>
      </c>
      <c r="L3957" s="57" t="s">
        <v>364</v>
      </c>
      <c r="M3957" s="162" t="s">
        <v>230</v>
      </c>
      <c r="N3957" s="8" t="s">
        <v>8899</v>
      </c>
      <c r="O3957" s="6" t="s">
        <v>622</v>
      </c>
      <c r="P3957" s="58" t="s">
        <v>241</v>
      </c>
      <c r="Q3957" s="27" t="s">
        <v>234</v>
      </c>
      <c r="R3957" s="27">
        <v>20</v>
      </c>
      <c r="S3957" s="1">
        <v>5690</v>
      </c>
      <c r="T3957" s="4">
        <v>0</v>
      </c>
      <c r="U3957" s="4">
        <f t="shared" si="188"/>
        <v>0</v>
      </c>
      <c r="V3957" s="3"/>
      <c r="W3957" s="3">
        <v>2014</v>
      </c>
      <c r="X3957" s="3">
        <v>11.12</v>
      </c>
    </row>
    <row r="3958" spans="1:24" ht="76.5">
      <c r="A3958" s="3" t="s">
        <v>13052</v>
      </c>
      <c r="B3958" s="6" t="s">
        <v>361</v>
      </c>
      <c r="C3958" s="126" t="s">
        <v>5365</v>
      </c>
      <c r="D3958" s="126" t="s">
        <v>5366</v>
      </c>
      <c r="E3958" s="125" t="s">
        <v>5367</v>
      </c>
      <c r="F3958" s="30" t="s">
        <v>7828</v>
      </c>
      <c r="G3958" s="3" t="s">
        <v>11449</v>
      </c>
      <c r="H3958" s="54">
        <v>0</v>
      </c>
      <c r="I3958" s="16">
        <v>470000000</v>
      </c>
      <c r="J3958" s="16" t="s">
        <v>229</v>
      </c>
      <c r="K3958" s="57" t="s">
        <v>642</v>
      </c>
      <c r="L3958" s="12" t="s">
        <v>404</v>
      </c>
      <c r="M3958" s="162" t="s">
        <v>230</v>
      </c>
      <c r="N3958" s="8" t="s">
        <v>8899</v>
      </c>
      <c r="O3958" s="6" t="s">
        <v>622</v>
      </c>
      <c r="P3958" s="58" t="s">
        <v>241</v>
      </c>
      <c r="Q3958" s="27" t="s">
        <v>234</v>
      </c>
      <c r="R3958" s="27">
        <v>20</v>
      </c>
      <c r="S3958" s="1">
        <v>5690</v>
      </c>
      <c r="T3958" s="4">
        <v>0</v>
      </c>
      <c r="U3958" s="4">
        <f>T3958*1.12</f>
        <v>0</v>
      </c>
      <c r="V3958" s="3"/>
      <c r="W3958" s="3">
        <v>2014</v>
      </c>
      <c r="X3958" s="3" t="s">
        <v>14785</v>
      </c>
    </row>
    <row r="3959" spans="1:24" ht="76.5">
      <c r="A3959" s="3" t="s">
        <v>16784</v>
      </c>
      <c r="B3959" s="6" t="s">
        <v>361</v>
      </c>
      <c r="C3959" s="43" t="s">
        <v>5365</v>
      </c>
      <c r="D3959" s="43" t="s">
        <v>5366</v>
      </c>
      <c r="E3959" s="337" t="s">
        <v>5367</v>
      </c>
      <c r="F3959" s="30" t="s">
        <v>7828</v>
      </c>
      <c r="G3959" s="3" t="s">
        <v>11449</v>
      </c>
      <c r="H3959" s="54">
        <v>0</v>
      </c>
      <c r="I3959" s="16">
        <v>470000000</v>
      </c>
      <c r="J3959" s="16" t="s">
        <v>229</v>
      </c>
      <c r="K3959" s="57" t="s">
        <v>8950</v>
      </c>
      <c r="L3959" s="12" t="s">
        <v>404</v>
      </c>
      <c r="M3959" s="162" t="s">
        <v>230</v>
      </c>
      <c r="N3959" s="8" t="s">
        <v>8899</v>
      </c>
      <c r="O3959" s="6" t="s">
        <v>622</v>
      </c>
      <c r="P3959" s="58" t="s">
        <v>241</v>
      </c>
      <c r="Q3959" s="336" t="s">
        <v>234</v>
      </c>
      <c r="R3959" s="336">
        <v>20</v>
      </c>
      <c r="S3959" s="1">
        <v>8498.16</v>
      </c>
      <c r="T3959" s="4">
        <v>0</v>
      </c>
      <c r="U3959" s="4">
        <f t="shared" ref="U3959:U3960" si="197">T3959*1.12</f>
        <v>0</v>
      </c>
      <c r="V3959" s="3"/>
      <c r="W3959" s="3">
        <v>2014</v>
      </c>
      <c r="X3959" s="3" t="s">
        <v>14265</v>
      </c>
    </row>
    <row r="3960" spans="1:24" ht="76.5">
      <c r="A3960" s="3" t="s">
        <v>19120</v>
      </c>
      <c r="B3960" s="6" t="s">
        <v>361</v>
      </c>
      <c r="C3960" s="43" t="s">
        <v>5365</v>
      </c>
      <c r="D3960" s="43" t="s">
        <v>5366</v>
      </c>
      <c r="E3960" s="337" t="s">
        <v>5367</v>
      </c>
      <c r="F3960" s="30" t="s">
        <v>7828</v>
      </c>
      <c r="G3960" s="3" t="s">
        <v>11449</v>
      </c>
      <c r="H3960" s="54">
        <v>0</v>
      </c>
      <c r="I3960" s="16">
        <v>470000000</v>
      </c>
      <c r="J3960" s="16" t="s">
        <v>229</v>
      </c>
      <c r="K3960" s="57" t="s">
        <v>18437</v>
      </c>
      <c r="L3960" s="12" t="s">
        <v>404</v>
      </c>
      <c r="M3960" s="162" t="s">
        <v>230</v>
      </c>
      <c r="N3960" s="8" t="s">
        <v>19369</v>
      </c>
      <c r="O3960" s="6" t="s">
        <v>19407</v>
      </c>
      <c r="P3960" s="58" t="s">
        <v>241</v>
      </c>
      <c r="Q3960" s="336" t="s">
        <v>234</v>
      </c>
      <c r="R3960" s="336">
        <v>20</v>
      </c>
      <c r="S3960" s="1">
        <v>8498.16</v>
      </c>
      <c r="T3960" s="4">
        <f>R3960*S3960</f>
        <v>169963.2</v>
      </c>
      <c r="U3960" s="4">
        <f t="shared" si="197"/>
        <v>190358.78400000004</v>
      </c>
      <c r="V3960" s="3"/>
      <c r="W3960" s="3">
        <v>2014</v>
      </c>
      <c r="X3960" s="3"/>
    </row>
    <row r="3961" spans="1:24" ht="76.5">
      <c r="A3961" s="3" t="s">
        <v>10469</v>
      </c>
      <c r="B3961" s="6" t="s">
        <v>361</v>
      </c>
      <c r="C3961" s="179" t="s">
        <v>5368</v>
      </c>
      <c r="D3961" s="180" t="s">
        <v>5369</v>
      </c>
      <c r="E3961" s="181" t="s">
        <v>5183</v>
      </c>
      <c r="F3961" s="8" t="s">
        <v>7829</v>
      </c>
      <c r="G3961" s="3" t="s">
        <v>11449</v>
      </c>
      <c r="H3961" s="54">
        <v>0</v>
      </c>
      <c r="I3961" s="16">
        <v>470000000</v>
      </c>
      <c r="J3961" s="16" t="s">
        <v>229</v>
      </c>
      <c r="K3961" s="57" t="s">
        <v>641</v>
      </c>
      <c r="L3961" s="57" t="s">
        <v>364</v>
      </c>
      <c r="M3961" s="162" t="s">
        <v>230</v>
      </c>
      <c r="N3961" s="8" t="s">
        <v>8899</v>
      </c>
      <c r="O3961" s="6" t="s">
        <v>622</v>
      </c>
      <c r="P3961" s="58" t="s">
        <v>241</v>
      </c>
      <c r="Q3961" s="27" t="s">
        <v>234</v>
      </c>
      <c r="R3961" s="27">
        <v>8</v>
      </c>
      <c r="S3961" s="59">
        <f>46652*1.07</f>
        <v>49917.64</v>
      </c>
      <c r="T3961" s="4">
        <v>0</v>
      </c>
      <c r="U3961" s="4">
        <f t="shared" si="188"/>
        <v>0</v>
      </c>
      <c r="V3961" s="3"/>
      <c r="W3961" s="3">
        <v>2014</v>
      </c>
      <c r="X3961" s="3">
        <v>11.12</v>
      </c>
    </row>
    <row r="3962" spans="1:24" ht="76.5">
      <c r="A3962" s="3" t="s">
        <v>13053</v>
      </c>
      <c r="B3962" s="6" t="s">
        <v>361</v>
      </c>
      <c r="C3962" s="179" t="s">
        <v>5368</v>
      </c>
      <c r="D3962" s="180" t="s">
        <v>5369</v>
      </c>
      <c r="E3962" s="181" t="s">
        <v>5183</v>
      </c>
      <c r="F3962" s="8" t="s">
        <v>7829</v>
      </c>
      <c r="G3962" s="3" t="s">
        <v>11449</v>
      </c>
      <c r="H3962" s="54">
        <v>0</v>
      </c>
      <c r="I3962" s="16">
        <v>470000000</v>
      </c>
      <c r="J3962" s="16" t="s">
        <v>229</v>
      </c>
      <c r="K3962" s="57" t="s">
        <v>642</v>
      </c>
      <c r="L3962" s="12" t="s">
        <v>404</v>
      </c>
      <c r="M3962" s="162" t="s">
        <v>230</v>
      </c>
      <c r="N3962" s="8" t="s">
        <v>8899</v>
      </c>
      <c r="O3962" s="6" t="s">
        <v>622</v>
      </c>
      <c r="P3962" s="58" t="s">
        <v>241</v>
      </c>
      <c r="Q3962" s="27" t="s">
        <v>234</v>
      </c>
      <c r="R3962" s="27">
        <v>8</v>
      </c>
      <c r="S3962" s="59">
        <f>46652*1.07</f>
        <v>49917.64</v>
      </c>
      <c r="T3962" s="4">
        <v>0</v>
      </c>
      <c r="U3962" s="4">
        <f>T3962*1.12</f>
        <v>0</v>
      </c>
      <c r="V3962" s="3"/>
      <c r="W3962" s="3">
        <v>2014</v>
      </c>
      <c r="X3962" s="3" t="s">
        <v>14785</v>
      </c>
    </row>
    <row r="3963" spans="1:24" ht="76.5">
      <c r="A3963" s="3" t="s">
        <v>16785</v>
      </c>
      <c r="B3963" s="6" t="s">
        <v>361</v>
      </c>
      <c r="C3963" s="179" t="s">
        <v>5368</v>
      </c>
      <c r="D3963" s="180" t="s">
        <v>5369</v>
      </c>
      <c r="E3963" s="181" t="s">
        <v>5183</v>
      </c>
      <c r="F3963" s="8" t="s">
        <v>7829</v>
      </c>
      <c r="G3963" s="3" t="s">
        <v>11449</v>
      </c>
      <c r="H3963" s="54">
        <v>0</v>
      </c>
      <c r="I3963" s="16">
        <v>470000000</v>
      </c>
      <c r="J3963" s="16" t="s">
        <v>229</v>
      </c>
      <c r="K3963" s="57" t="s">
        <v>8950</v>
      </c>
      <c r="L3963" s="12" t="s">
        <v>404</v>
      </c>
      <c r="M3963" s="162" t="s">
        <v>230</v>
      </c>
      <c r="N3963" s="8" t="s">
        <v>8899</v>
      </c>
      <c r="O3963" s="6" t="s">
        <v>622</v>
      </c>
      <c r="P3963" s="58" t="s">
        <v>241</v>
      </c>
      <c r="Q3963" s="27" t="s">
        <v>234</v>
      </c>
      <c r="R3963" s="27">
        <v>8</v>
      </c>
      <c r="S3963" s="59">
        <v>59901.167999999998</v>
      </c>
      <c r="T3963" s="4">
        <f>R3963*S3963</f>
        <v>479209.34399999998</v>
      </c>
      <c r="U3963" s="4">
        <f>T3963*1.12</f>
        <v>536714.46528</v>
      </c>
      <c r="V3963" s="3"/>
      <c r="W3963" s="3">
        <v>2014</v>
      </c>
      <c r="X3963" s="3"/>
    </row>
    <row r="3964" spans="1:24" ht="76.5">
      <c r="A3964" s="3" t="s">
        <v>10470</v>
      </c>
      <c r="B3964" s="6" t="s">
        <v>361</v>
      </c>
      <c r="C3964" s="179" t="s">
        <v>5370</v>
      </c>
      <c r="D3964" s="180" t="s">
        <v>5371</v>
      </c>
      <c r="E3964" s="181" t="s">
        <v>5372</v>
      </c>
      <c r="F3964" s="128" t="s">
        <v>7830</v>
      </c>
      <c r="G3964" s="3" t="s">
        <v>11449</v>
      </c>
      <c r="H3964" s="54">
        <v>0</v>
      </c>
      <c r="I3964" s="16">
        <v>470000000</v>
      </c>
      <c r="J3964" s="16" t="s">
        <v>229</v>
      </c>
      <c r="K3964" s="57" t="s">
        <v>641</v>
      </c>
      <c r="L3964" s="57" t="s">
        <v>364</v>
      </c>
      <c r="M3964" s="162" t="s">
        <v>230</v>
      </c>
      <c r="N3964" s="8" t="s">
        <v>8899</v>
      </c>
      <c r="O3964" s="6" t="s">
        <v>622</v>
      </c>
      <c r="P3964" s="58" t="s">
        <v>241</v>
      </c>
      <c r="Q3964" s="27" t="s">
        <v>234</v>
      </c>
      <c r="R3964" s="29">
        <v>80</v>
      </c>
      <c r="S3964" s="59">
        <f>439*1.07</f>
        <v>469.73</v>
      </c>
      <c r="T3964" s="4">
        <v>0</v>
      </c>
      <c r="U3964" s="4">
        <f t="shared" si="188"/>
        <v>0</v>
      </c>
      <c r="V3964" s="3"/>
      <c r="W3964" s="3">
        <v>2014</v>
      </c>
      <c r="X3964" s="3">
        <v>11.12</v>
      </c>
    </row>
    <row r="3965" spans="1:24" ht="76.5">
      <c r="A3965" s="3" t="s">
        <v>16786</v>
      </c>
      <c r="B3965" s="6" t="s">
        <v>361</v>
      </c>
      <c r="C3965" s="179" t="s">
        <v>5370</v>
      </c>
      <c r="D3965" s="180" t="s">
        <v>5371</v>
      </c>
      <c r="E3965" s="181" t="s">
        <v>5372</v>
      </c>
      <c r="F3965" s="128" t="s">
        <v>7830</v>
      </c>
      <c r="G3965" s="3" t="s">
        <v>11449</v>
      </c>
      <c r="H3965" s="54">
        <v>0</v>
      </c>
      <c r="I3965" s="16">
        <v>470000000</v>
      </c>
      <c r="J3965" s="16" t="s">
        <v>229</v>
      </c>
      <c r="K3965" s="57" t="s">
        <v>642</v>
      </c>
      <c r="L3965" s="12" t="s">
        <v>404</v>
      </c>
      <c r="M3965" s="162" t="s">
        <v>230</v>
      </c>
      <c r="N3965" s="8" t="s">
        <v>8899</v>
      </c>
      <c r="O3965" s="6" t="s">
        <v>622</v>
      </c>
      <c r="P3965" s="58" t="s">
        <v>241</v>
      </c>
      <c r="Q3965" s="27" t="s">
        <v>234</v>
      </c>
      <c r="R3965" s="29">
        <v>80</v>
      </c>
      <c r="S3965" s="59">
        <f>439*1.07</f>
        <v>469.73</v>
      </c>
      <c r="T3965" s="4">
        <v>0</v>
      </c>
      <c r="U3965" s="4">
        <f>T3965*1.12</f>
        <v>0</v>
      </c>
      <c r="V3965" s="3"/>
      <c r="W3965" s="3">
        <v>2014</v>
      </c>
      <c r="X3965" s="3" t="s">
        <v>14785</v>
      </c>
    </row>
    <row r="3966" spans="1:24" ht="76.5">
      <c r="A3966" s="3" t="s">
        <v>16787</v>
      </c>
      <c r="B3966" s="6" t="s">
        <v>361</v>
      </c>
      <c r="C3966" s="179" t="s">
        <v>5370</v>
      </c>
      <c r="D3966" s="180" t="s">
        <v>5371</v>
      </c>
      <c r="E3966" s="181" t="s">
        <v>5372</v>
      </c>
      <c r="F3966" s="128" t="s">
        <v>7830</v>
      </c>
      <c r="G3966" s="3" t="s">
        <v>11449</v>
      </c>
      <c r="H3966" s="54">
        <v>0</v>
      </c>
      <c r="I3966" s="16">
        <v>470000000</v>
      </c>
      <c r="J3966" s="16" t="s">
        <v>229</v>
      </c>
      <c r="K3966" s="57" t="s">
        <v>8950</v>
      </c>
      <c r="L3966" s="12" t="s">
        <v>404</v>
      </c>
      <c r="M3966" s="162" t="s">
        <v>230</v>
      </c>
      <c r="N3966" s="8" t="s">
        <v>8899</v>
      </c>
      <c r="O3966" s="6" t="s">
        <v>622</v>
      </c>
      <c r="P3966" s="58" t="s">
        <v>241</v>
      </c>
      <c r="Q3966" s="27" t="s">
        <v>234</v>
      </c>
      <c r="R3966" s="29">
        <v>80</v>
      </c>
      <c r="S3966" s="59">
        <v>563.67600000000004</v>
      </c>
      <c r="T3966" s="4">
        <f>R3966*S3966</f>
        <v>45094.080000000002</v>
      </c>
      <c r="U3966" s="4">
        <f>T3966*1.12</f>
        <v>50505.369600000005</v>
      </c>
      <c r="V3966" s="3"/>
      <c r="W3966" s="3">
        <v>2014</v>
      </c>
      <c r="X3966" s="3"/>
    </row>
    <row r="3967" spans="1:24" ht="76.5">
      <c r="A3967" s="3" t="s">
        <v>10471</v>
      </c>
      <c r="B3967" s="6" t="s">
        <v>361</v>
      </c>
      <c r="C3967" s="179" t="s">
        <v>5373</v>
      </c>
      <c r="D3967" s="180" t="s">
        <v>5371</v>
      </c>
      <c r="E3967" s="181" t="s">
        <v>5374</v>
      </c>
      <c r="F3967" s="128" t="s">
        <v>7831</v>
      </c>
      <c r="G3967" s="3" t="s">
        <v>11449</v>
      </c>
      <c r="H3967" s="54">
        <v>0</v>
      </c>
      <c r="I3967" s="16">
        <v>470000000</v>
      </c>
      <c r="J3967" s="16" t="s">
        <v>229</v>
      </c>
      <c r="K3967" s="57" t="s">
        <v>641</v>
      </c>
      <c r="L3967" s="57" t="s">
        <v>364</v>
      </c>
      <c r="M3967" s="162" t="s">
        <v>230</v>
      </c>
      <c r="N3967" s="8" t="s">
        <v>8899</v>
      </c>
      <c r="O3967" s="6" t="s">
        <v>622</v>
      </c>
      <c r="P3967" s="58" t="s">
        <v>241</v>
      </c>
      <c r="Q3967" s="27" t="s">
        <v>234</v>
      </c>
      <c r="R3967" s="29">
        <v>80</v>
      </c>
      <c r="S3967" s="59">
        <f>461*1.07</f>
        <v>493.27000000000004</v>
      </c>
      <c r="T3967" s="4">
        <v>0</v>
      </c>
      <c r="U3967" s="4">
        <f t="shared" si="188"/>
        <v>0</v>
      </c>
      <c r="V3967" s="3"/>
      <c r="W3967" s="3">
        <v>2014</v>
      </c>
      <c r="X3967" s="3">
        <v>11.12</v>
      </c>
    </row>
    <row r="3968" spans="1:24" ht="76.5">
      <c r="A3968" s="3" t="s">
        <v>13054</v>
      </c>
      <c r="B3968" s="6" t="s">
        <v>361</v>
      </c>
      <c r="C3968" s="179" t="s">
        <v>5373</v>
      </c>
      <c r="D3968" s="180" t="s">
        <v>5371</v>
      </c>
      <c r="E3968" s="181" t="s">
        <v>5374</v>
      </c>
      <c r="F3968" s="128" t="s">
        <v>7831</v>
      </c>
      <c r="G3968" s="3" t="s">
        <v>11449</v>
      </c>
      <c r="H3968" s="54">
        <v>0</v>
      </c>
      <c r="I3968" s="16">
        <v>470000000</v>
      </c>
      <c r="J3968" s="16" t="s">
        <v>229</v>
      </c>
      <c r="K3968" s="57" t="s">
        <v>642</v>
      </c>
      <c r="L3968" s="12" t="s">
        <v>404</v>
      </c>
      <c r="M3968" s="162" t="s">
        <v>230</v>
      </c>
      <c r="N3968" s="8" t="s">
        <v>8899</v>
      </c>
      <c r="O3968" s="6" t="s">
        <v>622</v>
      </c>
      <c r="P3968" s="58" t="s">
        <v>241</v>
      </c>
      <c r="Q3968" s="27" t="s">
        <v>234</v>
      </c>
      <c r="R3968" s="29">
        <v>80</v>
      </c>
      <c r="S3968" s="59">
        <f>461*1.07</f>
        <v>493.27000000000004</v>
      </c>
      <c r="T3968" s="4">
        <v>0</v>
      </c>
      <c r="U3968" s="4">
        <f>T3968*1.12</f>
        <v>0</v>
      </c>
      <c r="V3968" s="3"/>
      <c r="W3968" s="3">
        <v>2014</v>
      </c>
      <c r="X3968" s="3" t="s">
        <v>14785</v>
      </c>
    </row>
    <row r="3969" spans="1:24" ht="76.5">
      <c r="A3969" s="3" t="s">
        <v>16788</v>
      </c>
      <c r="B3969" s="6" t="s">
        <v>361</v>
      </c>
      <c r="C3969" s="179" t="s">
        <v>5373</v>
      </c>
      <c r="D3969" s="180" t="s">
        <v>5371</v>
      </c>
      <c r="E3969" s="181" t="s">
        <v>5374</v>
      </c>
      <c r="F3969" s="128" t="s">
        <v>7831</v>
      </c>
      <c r="G3969" s="3" t="s">
        <v>11449</v>
      </c>
      <c r="H3969" s="54">
        <v>0</v>
      </c>
      <c r="I3969" s="16">
        <v>470000000</v>
      </c>
      <c r="J3969" s="16" t="s">
        <v>229</v>
      </c>
      <c r="K3969" s="57" t="s">
        <v>8950</v>
      </c>
      <c r="L3969" s="12" t="s">
        <v>404</v>
      </c>
      <c r="M3969" s="162" t="s">
        <v>230</v>
      </c>
      <c r="N3969" s="8" t="s">
        <v>8899</v>
      </c>
      <c r="O3969" s="6" t="s">
        <v>622</v>
      </c>
      <c r="P3969" s="58" t="s">
        <v>241</v>
      </c>
      <c r="Q3969" s="27" t="s">
        <v>234</v>
      </c>
      <c r="R3969" s="29">
        <v>80</v>
      </c>
      <c r="S3969" s="59">
        <v>591.92399999999998</v>
      </c>
      <c r="T3969" s="4">
        <f>R3969*S3969</f>
        <v>47353.919999999998</v>
      </c>
      <c r="U3969" s="4">
        <f>T3969*1.12</f>
        <v>53036.390400000004</v>
      </c>
      <c r="V3969" s="3"/>
      <c r="W3969" s="3">
        <v>2014</v>
      </c>
      <c r="X3969" s="3"/>
    </row>
    <row r="3970" spans="1:24" ht="76.5">
      <c r="A3970" s="3" t="s">
        <v>10472</v>
      </c>
      <c r="B3970" s="6" t="s">
        <v>361</v>
      </c>
      <c r="C3970" s="179" t="s">
        <v>5375</v>
      </c>
      <c r="D3970" s="180" t="s">
        <v>5376</v>
      </c>
      <c r="E3970" s="181" t="s">
        <v>5321</v>
      </c>
      <c r="F3970" s="8" t="s">
        <v>7832</v>
      </c>
      <c r="G3970" s="3" t="s">
        <v>11449</v>
      </c>
      <c r="H3970" s="54">
        <v>0</v>
      </c>
      <c r="I3970" s="16">
        <v>470000000</v>
      </c>
      <c r="J3970" s="16" t="s">
        <v>229</v>
      </c>
      <c r="K3970" s="57" t="s">
        <v>641</v>
      </c>
      <c r="L3970" s="57" t="s">
        <v>364</v>
      </c>
      <c r="M3970" s="162" t="s">
        <v>230</v>
      </c>
      <c r="N3970" s="8" t="s">
        <v>8899</v>
      </c>
      <c r="O3970" s="6" t="s">
        <v>622</v>
      </c>
      <c r="P3970" s="58" t="s">
        <v>241</v>
      </c>
      <c r="Q3970" s="27" t="s">
        <v>234</v>
      </c>
      <c r="R3970" s="27">
        <v>6</v>
      </c>
      <c r="S3970" s="59">
        <f>17120*1.07</f>
        <v>18318.400000000001</v>
      </c>
      <c r="T3970" s="4">
        <v>0</v>
      </c>
      <c r="U3970" s="4">
        <f t="shared" si="188"/>
        <v>0</v>
      </c>
      <c r="V3970" s="3"/>
      <c r="W3970" s="3">
        <v>2014</v>
      </c>
      <c r="X3970" s="3">
        <v>11.12</v>
      </c>
    </row>
    <row r="3971" spans="1:24" ht="76.5">
      <c r="A3971" s="3" t="s">
        <v>13055</v>
      </c>
      <c r="B3971" s="6" t="s">
        <v>361</v>
      </c>
      <c r="C3971" s="179" t="s">
        <v>5375</v>
      </c>
      <c r="D3971" s="180" t="s">
        <v>5376</v>
      </c>
      <c r="E3971" s="181" t="s">
        <v>5321</v>
      </c>
      <c r="F3971" s="8" t="s">
        <v>7832</v>
      </c>
      <c r="G3971" s="3" t="s">
        <v>11449</v>
      </c>
      <c r="H3971" s="54">
        <v>0</v>
      </c>
      <c r="I3971" s="16">
        <v>470000000</v>
      </c>
      <c r="J3971" s="16" t="s">
        <v>229</v>
      </c>
      <c r="K3971" s="57" t="s">
        <v>642</v>
      </c>
      <c r="L3971" s="12" t="s">
        <v>404</v>
      </c>
      <c r="M3971" s="162" t="s">
        <v>230</v>
      </c>
      <c r="N3971" s="8" t="s">
        <v>8899</v>
      </c>
      <c r="O3971" s="6" t="s">
        <v>622</v>
      </c>
      <c r="P3971" s="58" t="s">
        <v>241</v>
      </c>
      <c r="Q3971" s="27" t="s">
        <v>234</v>
      </c>
      <c r="R3971" s="27">
        <v>6</v>
      </c>
      <c r="S3971" s="59">
        <f>17120*1.07</f>
        <v>18318.400000000001</v>
      </c>
      <c r="T3971" s="4">
        <v>0</v>
      </c>
      <c r="U3971" s="4">
        <f>T3971*1.12</f>
        <v>0</v>
      </c>
      <c r="V3971" s="3"/>
      <c r="W3971" s="3">
        <v>2014</v>
      </c>
      <c r="X3971" s="3" t="s">
        <v>14785</v>
      </c>
    </row>
    <row r="3972" spans="1:24" ht="76.5">
      <c r="A3972" s="3" t="s">
        <v>16790</v>
      </c>
      <c r="B3972" s="6" t="s">
        <v>361</v>
      </c>
      <c r="C3972" s="179" t="s">
        <v>5375</v>
      </c>
      <c r="D3972" s="180" t="s">
        <v>5376</v>
      </c>
      <c r="E3972" s="181" t="s">
        <v>5321</v>
      </c>
      <c r="F3972" s="8" t="s">
        <v>7832</v>
      </c>
      <c r="G3972" s="3" t="s">
        <v>11449</v>
      </c>
      <c r="H3972" s="54">
        <v>0</v>
      </c>
      <c r="I3972" s="16">
        <v>470000000</v>
      </c>
      <c r="J3972" s="16" t="s">
        <v>229</v>
      </c>
      <c r="K3972" s="57" t="s">
        <v>8950</v>
      </c>
      <c r="L3972" s="12" t="s">
        <v>404</v>
      </c>
      <c r="M3972" s="162" t="s">
        <v>230</v>
      </c>
      <c r="N3972" s="8" t="s">
        <v>8899</v>
      </c>
      <c r="O3972" s="6" t="s">
        <v>622</v>
      </c>
      <c r="P3972" s="58" t="s">
        <v>241</v>
      </c>
      <c r="Q3972" s="27" t="s">
        <v>234</v>
      </c>
      <c r="R3972" s="27">
        <v>6</v>
      </c>
      <c r="S3972" s="59">
        <v>21982.080000000002</v>
      </c>
      <c r="T3972" s="4">
        <f>R3972*S3972</f>
        <v>131892.48000000001</v>
      </c>
      <c r="U3972" s="4">
        <f>T3972*1.12</f>
        <v>147719.57760000002</v>
      </c>
      <c r="V3972" s="3"/>
      <c r="W3972" s="3">
        <v>2014</v>
      </c>
      <c r="X3972" s="3"/>
    </row>
    <row r="3973" spans="1:24" ht="76.5">
      <c r="A3973" s="3" t="s">
        <v>10473</v>
      </c>
      <c r="B3973" s="6" t="s">
        <v>361</v>
      </c>
      <c r="C3973" s="179" t="s">
        <v>5375</v>
      </c>
      <c r="D3973" s="180" t="s">
        <v>5376</v>
      </c>
      <c r="E3973" s="181" t="s">
        <v>5321</v>
      </c>
      <c r="F3973" s="129" t="s">
        <v>7833</v>
      </c>
      <c r="G3973" s="3" t="s">
        <v>11449</v>
      </c>
      <c r="H3973" s="54">
        <v>0</v>
      </c>
      <c r="I3973" s="16">
        <v>470000000</v>
      </c>
      <c r="J3973" s="16" t="s">
        <v>229</v>
      </c>
      <c r="K3973" s="57" t="s">
        <v>641</v>
      </c>
      <c r="L3973" s="57" t="s">
        <v>364</v>
      </c>
      <c r="M3973" s="162" t="s">
        <v>230</v>
      </c>
      <c r="N3973" s="8" t="s">
        <v>8899</v>
      </c>
      <c r="O3973" s="6" t="s">
        <v>622</v>
      </c>
      <c r="P3973" s="58" t="s">
        <v>241</v>
      </c>
      <c r="Q3973" s="27" t="s">
        <v>234</v>
      </c>
      <c r="R3973" s="31">
        <v>6</v>
      </c>
      <c r="S3973" s="59">
        <f>12209*1.07</f>
        <v>13063.630000000001</v>
      </c>
      <c r="T3973" s="4">
        <v>0</v>
      </c>
      <c r="U3973" s="4">
        <f t="shared" si="188"/>
        <v>0</v>
      </c>
      <c r="V3973" s="3"/>
      <c r="W3973" s="3">
        <v>2014</v>
      </c>
      <c r="X3973" s="3">
        <v>11.12</v>
      </c>
    </row>
    <row r="3974" spans="1:24" ht="76.5">
      <c r="A3974" s="3" t="s">
        <v>13056</v>
      </c>
      <c r="B3974" s="6" t="s">
        <v>361</v>
      </c>
      <c r="C3974" s="179" t="s">
        <v>5375</v>
      </c>
      <c r="D3974" s="180" t="s">
        <v>5376</v>
      </c>
      <c r="E3974" s="181" t="s">
        <v>5321</v>
      </c>
      <c r="F3974" s="129" t="s">
        <v>7833</v>
      </c>
      <c r="G3974" s="3" t="s">
        <v>11449</v>
      </c>
      <c r="H3974" s="54">
        <v>0</v>
      </c>
      <c r="I3974" s="16">
        <v>470000000</v>
      </c>
      <c r="J3974" s="16" t="s">
        <v>229</v>
      </c>
      <c r="K3974" s="57" t="s">
        <v>642</v>
      </c>
      <c r="L3974" s="12" t="s">
        <v>404</v>
      </c>
      <c r="M3974" s="162" t="s">
        <v>230</v>
      </c>
      <c r="N3974" s="8" t="s">
        <v>8899</v>
      </c>
      <c r="O3974" s="6" t="s">
        <v>622</v>
      </c>
      <c r="P3974" s="58" t="s">
        <v>241</v>
      </c>
      <c r="Q3974" s="27" t="s">
        <v>234</v>
      </c>
      <c r="R3974" s="31">
        <v>6</v>
      </c>
      <c r="S3974" s="59">
        <f>12209*1.07</f>
        <v>13063.630000000001</v>
      </c>
      <c r="T3974" s="4">
        <v>0</v>
      </c>
      <c r="U3974" s="4">
        <f>T3974*1.12</f>
        <v>0</v>
      </c>
      <c r="V3974" s="3"/>
      <c r="W3974" s="3">
        <v>2014</v>
      </c>
      <c r="X3974" s="3" t="s">
        <v>14785</v>
      </c>
    </row>
    <row r="3975" spans="1:24" ht="76.5">
      <c r="A3975" s="3" t="s">
        <v>16789</v>
      </c>
      <c r="B3975" s="6" t="s">
        <v>361</v>
      </c>
      <c r="C3975" s="179" t="s">
        <v>5375</v>
      </c>
      <c r="D3975" s="180" t="s">
        <v>5376</v>
      </c>
      <c r="E3975" s="181" t="s">
        <v>5321</v>
      </c>
      <c r="F3975" s="129" t="s">
        <v>7833</v>
      </c>
      <c r="G3975" s="3" t="s">
        <v>11449</v>
      </c>
      <c r="H3975" s="54">
        <v>0</v>
      </c>
      <c r="I3975" s="16">
        <v>470000000</v>
      </c>
      <c r="J3975" s="16" t="s">
        <v>229</v>
      </c>
      <c r="K3975" s="57" t="s">
        <v>8950</v>
      </c>
      <c r="L3975" s="12" t="s">
        <v>404</v>
      </c>
      <c r="M3975" s="162" t="s">
        <v>230</v>
      </c>
      <c r="N3975" s="8" t="s">
        <v>8899</v>
      </c>
      <c r="O3975" s="6" t="s">
        <v>622</v>
      </c>
      <c r="P3975" s="58" t="s">
        <v>241</v>
      </c>
      <c r="Q3975" s="336" t="s">
        <v>234</v>
      </c>
      <c r="R3975" s="327">
        <v>6</v>
      </c>
      <c r="S3975" s="59">
        <v>15676.356</v>
      </c>
      <c r="T3975" s="4">
        <v>0</v>
      </c>
      <c r="U3975" s="4">
        <f t="shared" ref="U3975:U3976" si="198">T3975*1.12</f>
        <v>0</v>
      </c>
      <c r="V3975" s="3"/>
      <c r="W3975" s="3">
        <v>2014</v>
      </c>
      <c r="X3975" s="3" t="s">
        <v>14265</v>
      </c>
    </row>
    <row r="3976" spans="1:24" ht="76.5">
      <c r="A3976" s="3" t="s">
        <v>19121</v>
      </c>
      <c r="B3976" s="6" t="s">
        <v>361</v>
      </c>
      <c r="C3976" s="179" t="s">
        <v>5375</v>
      </c>
      <c r="D3976" s="180" t="s">
        <v>5376</v>
      </c>
      <c r="E3976" s="181" t="s">
        <v>5321</v>
      </c>
      <c r="F3976" s="129" t="s">
        <v>7833</v>
      </c>
      <c r="G3976" s="3" t="s">
        <v>11449</v>
      </c>
      <c r="H3976" s="54">
        <v>0</v>
      </c>
      <c r="I3976" s="16">
        <v>470000000</v>
      </c>
      <c r="J3976" s="16" t="s">
        <v>229</v>
      </c>
      <c r="K3976" s="57" t="s">
        <v>18437</v>
      </c>
      <c r="L3976" s="12" t="s">
        <v>404</v>
      </c>
      <c r="M3976" s="162" t="s">
        <v>230</v>
      </c>
      <c r="N3976" s="8" t="s">
        <v>19369</v>
      </c>
      <c r="O3976" s="6" t="s">
        <v>19407</v>
      </c>
      <c r="P3976" s="58" t="s">
        <v>241</v>
      </c>
      <c r="Q3976" s="336" t="s">
        <v>234</v>
      </c>
      <c r="R3976" s="327">
        <v>6</v>
      </c>
      <c r="S3976" s="59">
        <v>15676.356</v>
      </c>
      <c r="T3976" s="4">
        <f>R3976*S3976</f>
        <v>94058.135999999999</v>
      </c>
      <c r="U3976" s="4">
        <f t="shared" si="198"/>
        <v>105345.11232000001</v>
      </c>
      <c r="V3976" s="3"/>
      <c r="W3976" s="3">
        <v>2014</v>
      </c>
      <c r="X3976" s="3"/>
    </row>
    <row r="3977" spans="1:24" ht="76.5">
      <c r="A3977" s="3" t="s">
        <v>10474</v>
      </c>
      <c r="B3977" s="6" t="s">
        <v>361</v>
      </c>
      <c r="C3977" s="6" t="s">
        <v>5377</v>
      </c>
      <c r="D3977" s="6" t="s">
        <v>5357</v>
      </c>
      <c r="E3977" s="65" t="s">
        <v>5378</v>
      </c>
      <c r="F3977" s="8" t="s">
        <v>7834</v>
      </c>
      <c r="G3977" s="3" t="s">
        <v>11449</v>
      </c>
      <c r="H3977" s="54">
        <v>0</v>
      </c>
      <c r="I3977" s="16">
        <v>470000000</v>
      </c>
      <c r="J3977" s="16" t="s">
        <v>229</v>
      </c>
      <c r="K3977" s="57" t="s">
        <v>641</v>
      </c>
      <c r="L3977" s="57" t="s">
        <v>364</v>
      </c>
      <c r="M3977" s="162" t="s">
        <v>230</v>
      </c>
      <c r="N3977" s="8" t="s">
        <v>8899</v>
      </c>
      <c r="O3977" s="6" t="s">
        <v>622</v>
      </c>
      <c r="P3977" s="58" t="s">
        <v>242</v>
      </c>
      <c r="Q3977" s="29" t="s">
        <v>239</v>
      </c>
      <c r="R3977" s="29">
        <v>40</v>
      </c>
      <c r="S3977" s="59">
        <f>1975*1.07</f>
        <v>2113.25</v>
      </c>
      <c r="T3977" s="4">
        <v>0</v>
      </c>
      <c r="U3977" s="4">
        <f t="shared" si="188"/>
        <v>0</v>
      </c>
      <c r="V3977" s="3"/>
      <c r="W3977" s="3">
        <v>2014</v>
      </c>
      <c r="X3977" s="3">
        <v>11.12</v>
      </c>
    </row>
    <row r="3978" spans="1:24" ht="76.5">
      <c r="A3978" s="3" t="s">
        <v>13057</v>
      </c>
      <c r="B3978" s="6" t="s">
        <v>361</v>
      </c>
      <c r="C3978" s="6" t="s">
        <v>5377</v>
      </c>
      <c r="D3978" s="6" t="s">
        <v>5357</v>
      </c>
      <c r="E3978" s="65" t="s">
        <v>5378</v>
      </c>
      <c r="F3978" s="8" t="s">
        <v>7834</v>
      </c>
      <c r="G3978" s="3" t="s">
        <v>11449</v>
      </c>
      <c r="H3978" s="54">
        <v>0</v>
      </c>
      <c r="I3978" s="16">
        <v>470000000</v>
      </c>
      <c r="J3978" s="16" t="s">
        <v>229</v>
      </c>
      <c r="K3978" s="57" t="s">
        <v>642</v>
      </c>
      <c r="L3978" s="12" t="s">
        <v>404</v>
      </c>
      <c r="M3978" s="162" t="s">
        <v>230</v>
      </c>
      <c r="N3978" s="8" t="s">
        <v>8899</v>
      </c>
      <c r="O3978" s="6" t="s">
        <v>622</v>
      </c>
      <c r="P3978" s="58" t="s">
        <v>242</v>
      </c>
      <c r="Q3978" s="29" t="s">
        <v>239</v>
      </c>
      <c r="R3978" s="29">
        <v>40</v>
      </c>
      <c r="S3978" s="59">
        <f>1975*1.07</f>
        <v>2113.25</v>
      </c>
      <c r="T3978" s="4">
        <v>0</v>
      </c>
      <c r="U3978" s="4">
        <f>T3978*1.12</f>
        <v>0</v>
      </c>
      <c r="V3978" s="3"/>
      <c r="W3978" s="3">
        <v>2014</v>
      </c>
      <c r="X3978" s="3" t="s">
        <v>14785</v>
      </c>
    </row>
    <row r="3979" spans="1:24" ht="76.5">
      <c r="A3979" s="3" t="s">
        <v>16791</v>
      </c>
      <c r="B3979" s="6" t="s">
        <v>361</v>
      </c>
      <c r="C3979" s="6" t="s">
        <v>5377</v>
      </c>
      <c r="D3979" s="6" t="s">
        <v>5357</v>
      </c>
      <c r="E3979" s="65" t="s">
        <v>5378</v>
      </c>
      <c r="F3979" s="8" t="s">
        <v>7834</v>
      </c>
      <c r="G3979" s="3" t="s">
        <v>11449</v>
      </c>
      <c r="H3979" s="54">
        <v>0</v>
      </c>
      <c r="I3979" s="16">
        <v>470000000</v>
      </c>
      <c r="J3979" s="16" t="s">
        <v>229</v>
      </c>
      <c r="K3979" s="57" t="s">
        <v>8950</v>
      </c>
      <c r="L3979" s="12" t="s">
        <v>404</v>
      </c>
      <c r="M3979" s="162" t="s">
        <v>230</v>
      </c>
      <c r="N3979" s="8" t="s">
        <v>8899</v>
      </c>
      <c r="O3979" s="6" t="s">
        <v>622</v>
      </c>
      <c r="P3979" s="58" t="s">
        <v>242</v>
      </c>
      <c r="Q3979" s="29" t="s">
        <v>239</v>
      </c>
      <c r="R3979" s="29">
        <v>40</v>
      </c>
      <c r="S3979" s="59">
        <v>2535.9</v>
      </c>
      <c r="T3979" s="4">
        <f>R3979*S3979</f>
        <v>101436</v>
      </c>
      <c r="U3979" s="4">
        <f>T3979*1.12</f>
        <v>113608.32000000001</v>
      </c>
      <c r="V3979" s="3"/>
      <c r="W3979" s="3">
        <v>2014</v>
      </c>
      <c r="X3979" s="3"/>
    </row>
    <row r="3980" spans="1:24" ht="76.5">
      <c r="A3980" s="3" t="s">
        <v>10475</v>
      </c>
      <c r="B3980" s="6" t="s">
        <v>361</v>
      </c>
      <c r="C3980" s="179" t="s">
        <v>5379</v>
      </c>
      <c r="D3980" s="180" t="s">
        <v>5380</v>
      </c>
      <c r="E3980" s="181" t="s">
        <v>5183</v>
      </c>
      <c r="F3980" s="30" t="s">
        <v>7835</v>
      </c>
      <c r="G3980" s="3" t="s">
        <v>11449</v>
      </c>
      <c r="H3980" s="54">
        <v>0</v>
      </c>
      <c r="I3980" s="16">
        <v>470000000</v>
      </c>
      <c r="J3980" s="16" t="s">
        <v>229</v>
      </c>
      <c r="K3980" s="57" t="s">
        <v>641</v>
      </c>
      <c r="L3980" s="57" t="s">
        <v>364</v>
      </c>
      <c r="M3980" s="162" t="s">
        <v>230</v>
      </c>
      <c r="N3980" s="8" t="s">
        <v>8899</v>
      </c>
      <c r="O3980" s="6" t="s">
        <v>622</v>
      </c>
      <c r="P3980" s="58" t="s">
        <v>241</v>
      </c>
      <c r="Q3980" s="27" t="s">
        <v>234</v>
      </c>
      <c r="R3980" s="28">
        <v>16</v>
      </c>
      <c r="S3980" s="59">
        <f>1017*1.07</f>
        <v>1088.19</v>
      </c>
      <c r="T3980" s="4">
        <v>0</v>
      </c>
      <c r="U3980" s="4">
        <f t="shared" si="188"/>
        <v>0</v>
      </c>
      <c r="V3980" s="3"/>
      <c r="W3980" s="3">
        <v>2014</v>
      </c>
      <c r="X3980" s="3">
        <v>11.12</v>
      </c>
    </row>
    <row r="3981" spans="1:24" ht="76.5">
      <c r="A3981" s="3" t="s">
        <v>13058</v>
      </c>
      <c r="B3981" s="6" t="s">
        <v>361</v>
      </c>
      <c r="C3981" s="179" t="s">
        <v>5379</v>
      </c>
      <c r="D3981" s="180" t="s">
        <v>5380</v>
      </c>
      <c r="E3981" s="181" t="s">
        <v>5183</v>
      </c>
      <c r="F3981" s="30" t="s">
        <v>7835</v>
      </c>
      <c r="G3981" s="3" t="s">
        <v>11449</v>
      </c>
      <c r="H3981" s="54">
        <v>0</v>
      </c>
      <c r="I3981" s="16">
        <v>470000000</v>
      </c>
      <c r="J3981" s="16" t="s">
        <v>229</v>
      </c>
      <c r="K3981" s="57" t="s">
        <v>642</v>
      </c>
      <c r="L3981" s="12" t="s">
        <v>404</v>
      </c>
      <c r="M3981" s="162" t="s">
        <v>230</v>
      </c>
      <c r="N3981" s="8" t="s">
        <v>8899</v>
      </c>
      <c r="O3981" s="6" t="s">
        <v>622</v>
      </c>
      <c r="P3981" s="58" t="s">
        <v>241</v>
      </c>
      <c r="Q3981" s="27" t="s">
        <v>234</v>
      </c>
      <c r="R3981" s="28">
        <v>16</v>
      </c>
      <c r="S3981" s="59">
        <f>1017*1.07</f>
        <v>1088.19</v>
      </c>
      <c r="T3981" s="4">
        <v>0</v>
      </c>
      <c r="U3981" s="4">
        <f>T3981*1.12</f>
        <v>0</v>
      </c>
      <c r="V3981" s="3"/>
      <c r="W3981" s="3">
        <v>2014</v>
      </c>
      <c r="X3981" s="3" t="s">
        <v>14785</v>
      </c>
    </row>
    <row r="3982" spans="1:24" ht="76.5">
      <c r="A3982" s="3" t="s">
        <v>16792</v>
      </c>
      <c r="B3982" s="6" t="s">
        <v>361</v>
      </c>
      <c r="C3982" s="179" t="s">
        <v>5379</v>
      </c>
      <c r="D3982" s="180" t="s">
        <v>5380</v>
      </c>
      <c r="E3982" s="181" t="s">
        <v>5183</v>
      </c>
      <c r="F3982" s="30" t="s">
        <v>7835</v>
      </c>
      <c r="G3982" s="3" t="s">
        <v>11449</v>
      </c>
      <c r="H3982" s="54">
        <v>0</v>
      </c>
      <c r="I3982" s="16">
        <v>470000000</v>
      </c>
      <c r="J3982" s="16" t="s">
        <v>229</v>
      </c>
      <c r="K3982" s="57" t="s">
        <v>8950</v>
      </c>
      <c r="L3982" s="12" t="s">
        <v>404</v>
      </c>
      <c r="M3982" s="162" t="s">
        <v>230</v>
      </c>
      <c r="N3982" s="8" t="s">
        <v>8899</v>
      </c>
      <c r="O3982" s="6" t="s">
        <v>622</v>
      </c>
      <c r="P3982" s="58" t="s">
        <v>241</v>
      </c>
      <c r="Q3982" s="27" t="s">
        <v>234</v>
      </c>
      <c r="R3982" s="28">
        <v>16</v>
      </c>
      <c r="S3982" s="59">
        <v>1305.828</v>
      </c>
      <c r="T3982" s="4">
        <f>R3982*S3982</f>
        <v>20893.248</v>
      </c>
      <c r="U3982" s="4">
        <f>T3982*1.12</f>
        <v>23400.437760000001</v>
      </c>
      <c r="V3982" s="3"/>
      <c r="W3982" s="3">
        <v>2014</v>
      </c>
      <c r="X3982" s="3"/>
    </row>
    <row r="3983" spans="1:24" ht="76.5">
      <c r="A3983" s="3" t="s">
        <v>10476</v>
      </c>
      <c r="B3983" s="6" t="s">
        <v>361</v>
      </c>
      <c r="C3983" s="179" t="s">
        <v>5381</v>
      </c>
      <c r="D3983" s="3" t="s">
        <v>5382</v>
      </c>
      <c r="E3983" s="65" t="s">
        <v>5383</v>
      </c>
      <c r="F3983" s="9" t="s">
        <v>7836</v>
      </c>
      <c r="G3983" s="3" t="s">
        <v>11449</v>
      </c>
      <c r="H3983" s="54">
        <v>0</v>
      </c>
      <c r="I3983" s="16">
        <v>470000000</v>
      </c>
      <c r="J3983" s="16" t="s">
        <v>229</v>
      </c>
      <c r="K3983" s="57" t="s">
        <v>641</v>
      </c>
      <c r="L3983" s="57" t="s">
        <v>364</v>
      </c>
      <c r="M3983" s="162" t="s">
        <v>230</v>
      </c>
      <c r="N3983" s="8" t="s">
        <v>8899</v>
      </c>
      <c r="O3983" s="6" t="s">
        <v>622</v>
      </c>
      <c r="P3983" s="58" t="s">
        <v>241</v>
      </c>
      <c r="Q3983" s="27" t="s">
        <v>234</v>
      </c>
      <c r="R3983" s="29">
        <v>20</v>
      </c>
      <c r="S3983" s="59">
        <f>1884*1.07</f>
        <v>2015.88</v>
      </c>
      <c r="T3983" s="4">
        <v>0</v>
      </c>
      <c r="U3983" s="4">
        <f t="shared" si="188"/>
        <v>0</v>
      </c>
      <c r="V3983" s="3"/>
      <c r="W3983" s="3">
        <v>2014</v>
      </c>
      <c r="X3983" s="3">
        <v>11.12</v>
      </c>
    </row>
    <row r="3984" spans="1:24" ht="76.5">
      <c r="A3984" s="3" t="s">
        <v>13059</v>
      </c>
      <c r="B3984" s="6" t="s">
        <v>361</v>
      </c>
      <c r="C3984" s="179" t="s">
        <v>5381</v>
      </c>
      <c r="D3984" s="3" t="s">
        <v>5382</v>
      </c>
      <c r="E3984" s="65" t="s">
        <v>5383</v>
      </c>
      <c r="F3984" s="9" t="s">
        <v>7836</v>
      </c>
      <c r="G3984" s="3" t="s">
        <v>11449</v>
      </c>
      <c r="H3984" s="54">
        <v>0</v>
      </c>
      <c r="I3984" s="16">
        <v>470000000</v>
      </c>
      <c r="J3984" s="16" t="s">
        <v>229</v>
      </c>
      <c r="K3984" s="57" t="s">
        <v>642</v>
      </c>
      <c r="L3984" s="12" t="s">
        <v>404</v>
      </c>
      <c r="M3984" s="162" t="s">
        <v>230</v>
      </c>
      <c r="N3984" s="8" t="s">
        <v>8899</v>
      </c>
      <c r="O3984" s="6" t="s">
        <v>622</v>
      </c>
      <c r="P3984" s="58" t="s">
        <v>241</v>
      </c>
      <c r="Q3984" s="27" t="s">
        <v>234</v>
      </c>
      <c r="R3984" s="29">
        <v>20</v>
      </c>
      <c r="S3984" s="59">
        <f>1884*1.07</f>
        <v>2015.88</v>
      </c>
      <c r="T3984" s="4">
        <f>R3984*S3984</f>
        <v>40317.600000000006</v>
      </c>
      <c r="U3984" s="4">
        <f>T3984*1.12</f>
        <v>45155.712000000014</v>
      </c>
      <c r="V3984" s="3"/>
      <c r="W3984" s="3">
        <v>2014</v>
      </c>
      <c r="X3984" s="3"/>
    </row>
    <row r="3985" spans="1:24" ht="76.5">
      <c r="A3985" s="3" t="s">
        <v>10477</v>
      </c>
      <c r="B3985" s="6" t="s">
        <v>361</v>
      </c>
      <c r="C3985" s="179" t="s">
        <v>5384</v>
      </c>
      <c r="D3985" s="180" t="s">
        <v>407</v>
      </c>
      <c r="E3985" s="181" t="s">
        <v>5385</v>
      </c>
      <c r="F3985" s="128" t="s">
        <v>7837</v>
      </c>
      <c r="G3985" s="3" t="s">
        <v>11449</v>
      </c>
      <c r="H3985" s="54">
        <v>0</v>
      </c>
      <c r="I3985" s="16">
        <v>470000000</v>
      </c>
      <c r="J3985" s="16" t="s">
        <v>229</v>
      </c>
      <c r="K3985" s="57" t="s">
        <v>641</v>
      </c>
      <c r="L3985" s="57" t="s">
        <v>364</v>
      </c>
      <c r="M3985" s="162" t="s">
        <v>230</v>
      </c>
      <c r="N3985" s="8" t="s">
        <v>8899</v>
      </c>
      <c r="O3985" s="6" t="s">
        <v>622</v>
      </c>
      <c r="P3985" s="58" t="s">
        <v>241</v>
      </c>
      <c r="Q3985" s="27" t="s">
        <v>234</v>
      </c>
      <c r="R3985" s="29">
        <v>16</v>
      </c>
      <c r="S3985" s="59">
        <f>58422*1.07</f>
        <v>62511.54</v>
      </c>
      <c r="T3985" s="4">
        <v>0</v>
      </c>
      <c r="U3985" s="4">
        <f t="shared" si="188"/>
        <v>0</v>
      </c>
      <c r="V3985" s="3"/>
      <c r="W3985" s="3">
        <v>2014</v>
      </c>
      <c r="X3985" s="3">
        <v>11.12</v>
      </c>
    </row>
    <row r="3986" spans="1:24" ht="76.5">
      <c r="A3986" s="3" t="s">
        <v>13060</v>
      </c>
      <c r="B3986" s="6" t="s">
        <v>361</v>
      </c>
      <c r="C3986" s="179" t="s">
        <v>5384</v>
      </c>
      <c r="D3986" s="180" t="s">
        <v>407</v>
      </c>
      <c r="E3986" s="181" t="s">
        <v>5385</v>
      </c>
      <c r="F3986" s="128" t="s">
        <v>7837</v>
      </c>
      <c r="G3986" s="3" t="s">
        <v>11449</v>
      </c>
      <c r="H3986" s="54">
        <v>0</v>
      </c>
      <c r="I3986" s="16">
        <v>470000000</v>
      </c>
      <c r="J3986" s="16" t="s">
        <v>229</v>
      </c>
      <c r="K3986" s="57" t="s">
        <v>642</v>
      </c>
      <c r="L3986" s="12" t="s">
        <v>404</v>
      </c>
      <c r="M3986" s="162" t="s">
        <v>230</v>
      </c>
      <c r="N3986" s="8" t="s">
        <v>8899</v>
      </c>
      <c r="O3986" s="6" t="s">
        <v>622</v>
      </c>
      <c r="P3986" s="58" t="s">
        <v>241</v>
      </c>
      <c r="Q3986" s="27" t="s">
        <v>234</v>
      </c>
      <c r="R3986" s="29">
        <v>16</v>
      </c>
      <c r="S3986" s="59">
        <f>58422*1.07</f>
        <v>62511.54</v>
      </c>
      <c r="T3986" s="4">
        <v>0</v>
      </c>
      <c r="U3986" s="4">
        <f>T3986*1.12</f>
        <v>0</v>
      </c>
      <c r="V3986" s="3"/>
      <c r="W3986" s="3">
        <v>2014</v>
      </c>
      <c r="X3986" s="3" t="s">
        <v>14785</v>
      </c>
    </row>
    <row r="3987" spans="1:24" ht="76.5">
      <c r="A3987" s="3" t="s">
        <v>16793</v>
      </c>
      <c r="B3987" s="6" t="s">
        <v>361</v>
      </c>
      <c r="C3987" s="179" t="s">
        <v>5384</v>
      </c>
      <c r="D3987" s="180" t="s">
        <v>407</v>
      </c>
      <c r="E3987" s="181" t="s">
        <v>5385</v>
      </c>
      <c r="F3987" s="128" t="s">
        <v>7837</v>
      </c>
      <c r="G3987" s="3" t="s">
        <v>11449</v>
      </c>
      <c r="H3987" s="54">
        <v>0</v>
      </c>
      <c r="I3987" s="16">
        <v>470000000</v>
      </c>
      <c r="J3987" s="16" t="s">
        <v>229</v>
      </c>
      <c r="K3987" s="57" t="s">
        <v>8950</v>
      </c>
      <c r="L3987" s="12" t="s">
        <v>404</v>
      </c>
      <c r="M3987" s="162" t="s">
        <v>230</v>
      </c>
      <c r="N3987" s="8" t="s">
        <v>8899</v>
      </c>
      <c r="O3987" s="6" t="s">
        <v>622</v>
      </c>
      <c r="P3987" s="58" t="s">
        <v>241</v>
      </c>
      <c r="Q3987" s="27" t="s">
        <v>234</v>
      </c>
      <c r="R3987" s="29">
        <v>16</v>
      </c>
      <c r="S3987" s="59">
        <v>75013.847999999998</v>
      </c>
      <c r="T3987" s="4">
        <f>R3987*S3987</f>
        <v>1200221.568</v>
      </c>
      <c r="U3987" s="4">
        <f>T3987*1.12</f>
        <v>1344248.15616</v>
      </c>
      <c r="V3987" s="3"/>
      <c r="W3987" s="3">
        <v>2014</v>
      </c>
      <c r="X3987" s="3"/>
    </row>
    <row r="3988" spans="1:24" ht="76.5">
      <c r="A3988" s="3" t="s">
        <v>10478</v>
      </c>
      <c r="B3988" s="6" t="s">
        <v>361</v>
      </c>
      <c r="C3988" s="179" t="s">
        <v>5386</v>
      </c>
      <c r="D3988" s="180" t="s">
        <v>408</v>
      </c>
      <c r="E3988" s="181" t="s">
        <v>5183</v>
      </c>
      <c r="F3988" s="8" t="s">
        <v>7838</v>
      </c>
      <c r="G3988" s="3" t="s">
        <v>11449</v>
      </c>
      <c r="H3988" s="54">
        <v>0</v>
      </c>
      <c r="I3988" s="16">
        <v>470000000</v>
      </c>
      <c r="J3988" s="16" t="s">
        <v>229</v>
      </c>
      <c r="K3988" s="57" t="s">
        <v>641</v>
      </c>
      <c r="L3988" s="57" t="s">
        <v>364</v>
      </c>
      <c r="M3988" s="162" t="s">
        <v>230</v>
      </c>
      <c r="N3988" s="8" t="s">
        <v>8899</v>
      </c>
      <c r="O3988" s="6" t="s">
        <v>622</v>
      </c>
      <c r="P3988" s="58" t="s">
        <v>241</v>
      </c>
      <c r="Q3988" s="27" t="s">
        <v>234</v>
      </c>
      <c r="R3988" s="27">
        <v>16</v>
      </c>
      <c r="S3988" s="59">
        <v>4938.7700000000004</v>
      </c>
      <c r="T3988" s="4">
        <v>0</v>
      </c>
      <c r="U3988" s="4">
        <f t="shared" si="188"/>
        <v>0</v>
      </c>
      <c r="V3988" s="3"/>
      <c r="W3988" s="3">
        <v>2014</v>
      </c>
      <c r="X3988" s="3">
        <v>11.12</v>
      </c>
    </row>
    <row r="3989" spans="1:24" ht="76.5">
      <c r="A3989" s="3" t="s">
        <v>13061</v>
      </c>
      <c r="B3989" s="6" t="s">
        <v>361</v>
      </c>
      <c r="C3989" s="179" t="s">
        <v>5386</v>
      </c>
      <c r="D3989" s="180" t="s">
        <v>408</v>
      </c>
      <c r="E3989" s="181" t="s">
        <v>5183</v>
      </c>
      <c r="F3989" s="8" t="s">
        <v>7838</v>
      </c>
      <c r="G3989" s="3" t="s">
        <v>11449</v>
      </c>
      <c r="H3989" s="54">
        <v>0</v>
      </c>
      <c r="I3989" s="16">
        <v>470000000</v>
      </c>
      <c r="J3989" s="16" t="s">
        <v>229</v>
      </c>
      <c r="K3989" s="57" t="s">
        <v>642</v>
      </c>
      <c r="L3989" s="12" t="s">
        <v>404</v>
      </c>
      <c r="M3989" s="162" t="s">
        <v>230</v>
      </c>
      <c r="N3989" s="8" t="s">
        <v>8899</v>
      </c>
      <c r="O3989" s="6" t="s">
        <v>622</v>
      </c>
      <c r="P3989" s="58" t="s">
        <v>241</v>
      </c>
      <c r="Q3989" s="27" t="s">
        <v>234</v>
      </c>
      <c r="R3989" s="27">
        <v>16</v>
      </c>
      <c r="S3989" s="59">
        <v>4938.7700000000004</v>
      </c>
      <c r="T3989" s="4">
        <v>0</v>
      </c>
      <c r="U3989" s="4">
        <f>T3989*1.12</f>
        <v>0</v>
      </c>
      <c r="V3989" s="3"/>
      <c r="W3989" s="3">
        <v>2014</v>
      </c>
      <c r="X3989" s="3" t="s">
        <v>14785</v>
      </c>
    </row>
    <row r="3990" spans="1:24" ht="76.5">
      <c r="A3990" s="3" t="s">
        <v>16794</v>
      </c>
      <c r="B3990" s="6" t="s">
        <v>361</v>
      </c>
      <c r="C3990" s="179" t="s">
        <v>5386</v>
      </c>
      <c r="D3990" s="180" t="s">
        <v>408</v>
      </c>
      <c r="E3990" s="181" t="s">
        <v>5183</v>
      </c>
      <c r="F3990" s="8" t="s">
        <v>7838</v>
      </c>
      <c r="G3990" s="3" t="s">
        <v>11449</v>
      </c>
      <c r="H3990" s="54">
        <v>0</v>
      </c>
      <c r="I3990" s="16">
        <v>470000000</v>
      </c>
      <c r="J3990" s="16" t="s">
        <v>229</v>
      </c>
      <c r="K3990" s="57" t="s">
        <v>8950</v>
      </c>
      <c r="L3990" s="12" t="s">
        <v>404</v>
      </c>
      <c r="M3990" s="162" t="s">
        <v>230</v>
      </c>
      <c r="N3990" s="8" t="s">
        <v>8899</v>
      </c>
      <c r="O3990" s="6" t="s">
        <v>622</v>
      </c>
      <c r="P3990" s="58" t="s">
        <v>241</v>
      </c>
      <c r="Q3990" s="27" t="s">
        <v>234</v>
      </c>
      <c r="R3990" s="27">
        <v>16</v>
      </c>
      <c r="S3990" s="59">
        <v>9823.884</v>
      </c>
      <c r="T3990" s="4">
        <f>R3990*S3990</f>
        <v>157182.144</v>
      </c>
      <c r="U3990" s="4">
        <f>T3990*1.12</f>
        <v>176044.00128000003</v>
      </c>
      <c r="V3990" s="3"/>
      <c r="W3990" s="3">
        <v>2014</v>
      </c>
      <c r="X3990" s="3"/>
    </row>
    <row r="3991" spans="1:24" ht="76.5">
      <c r="A3991" s="3" t="s">
        <v>10479</v>
      </c>
      <c r="B3991" s="6" t="s">
        <v>361</v>
      </c>
      <c r="C3991" s="6" t="s">
        <v>5387</v>
      </c>
      <c r="D3991" s="6" t="s">
        <v>5388</v>
      </c>
      <c r="E3991" s="65" t="s">
        <v>5183</v>
      </c>
      <c r="F3991" s="8" t="s">
        <v>7839</v>
      </c>
      <c r="G3991" s="3" t="s">
        <v>11449</v>
      </c>
      <c r="H3991" s="54">
        <v>0</v>
      </c>
      <c r="I3991" s="16">
        <v>470000000</v>
      </c>
      <c r="J3991" s="16" t="s">
        <v>229</v>
      </c>
      <c r="K3991" s="57" t="s">
        <v>641</v>
      </c>
      <c r="L3991" s="57" t="s">
        <v>364</v>
      </c>
      <c r="M3991" s="162" t="s">
        <v>230</v>
      </c>
      <c r="N3991" s="8" t="s">
        <v>8899</v>
      </c>
      <c r="O3991" s="6" t="s">
        <v>622</v>
      </c>
      <c r="P3991" s="58" t="s">
        <v>241</v>
      </c>
      <c r="Q3991" s="27" t="s">
        <v>234</v>
      </c>
      <c r="R3991" s="27">
        <v>6</v>
      </c>
      <c r="S3991" s="59">
        <f>4066*1.07</f>
        <v>4350.62</v>
      </c>
      <c r="T3991" s="4">
        <v>0</v>
      </c>
      <c r="U3991" s="4">
        <f t="shared" si="188"/>
        <v>0</v>
      </c>
      <c r="V3991" s="3"/>
      <c r="W3991" s="3">
        <v>2014</v>
      </c>
      <c r="X3991" s="3">
        <v>11.12</v>
      </c>
    </row>
    <row r="3992" spans="1:24" ht="76.5">
      <c r="A3992" s="3" t="s">
        <v>13062</v>
      </c>
      <c r="B3992" s="6" t="s">
        <v>361</v>
      </c>
      <c r="C3992" s="6" t="s">
        <v>5387</v>
      </c>
      <c r="D3992" s="6" t="s">
        <v>5388</v>
      </c>
      <c r="E3992" s="65" t="s">
        <v>5183</v>
      </c>
      <c r="F3992" s="8" t="s">
        <v>7839</v>
      </c>
      <c r="G3992" s="3" t="s">
        <v>11449</v>
      </c>
      <c r="H3992" s="54">
        <v>0</v>
      </c>
      <c r="I3992" s="16">
        <v>470000000</v>
      </c>
      <c r="J3992" s="16" t="s">
        <v>229</v>
      </c>
      <c r="K3992" s="57" t="s">
        <v>642</v>
      </c>
      <c r="L3992" s="12" t="s">
        <v>404</v>
      </c>
      <c r="M3992" s="162" t="s">
        <v>230</v>
      </c>
      <c r="N3992" s="8" t="s">
        <v>8899</v>
      </c>
      <c r="O3992" s="6" t="s">
        <v>622</v>
      </c>
      <c r="P3992" s="58" t="s">
        <v>241</v>
      </c>
      <c r="Q3992" s="27" t="s">
        <v>234</v>
      </c>
      <c r="R3992" s="27">
        <v>6</v>
      </c>
      <c r="S3992" s="59">
        <f>4066*1.07</f>
        <v>4350.62</v>
      </c>
      <c r="T3992" s="4">
        <v>0</v>
      </c>
      <c r="U3992" s="4">
        <f>T3992*1.12</f>
        <v>0</v>
      </c>
      <c r="V3992" s="3"/>
      <c r="W3992" s="3">
        <v>2014</v>
      </c>
      <c r="X3992" s="3" t="s">
        <v>14785</v>
      </c>
    </row>
    <row r="3993" spans="1:24" ht="76.5">
      <c r="A3993" s="3" t="s">
        <v>16795</v>
      </c>
      <c r="B3993" s="6" t="s">
        <v>361</v>
      </c>
      <c r="C3993" s="6" t="s">
        <v>5387</v>
      </c>
      <c r="D3993" s="6" t="s">
        <v>5388</v>
      </c>
      <c r="E3993" s="65" t="s">
        <v>5183</v>
      </c>
      <c r="F3993" s="8" t="s">
        <v>7839</v>
      </c>
      <c r="G3993" s="3" t="s">
        <v>11449</v>
      </c>
      <c r="H3993" s="54">
        <v>0</v>
      </c>
      <c r="I3993" s="16">
        <v>470000000</v>
      </c>
      <c r="J3993" s="16" t="s">
        <v>229</v>
      </c>
      <c r="K3993" s="57" t="s">
        <v>8950</v>
      </c>
      <c r="L3993" s="12" t="s">
        <v>404</v>
      </c>
      <c r="M3993" s="162" t="s">
        <v>230</v>
      </c>
      <c r="N3993" s="8" t="s">
        <v>8899</v>
      </c>
      <c r="O3993" s="6" t="s">
        <v>622</v>
      </c>
      <c r="P3993" s="58" t="s">
        <v>241</v>
      </c>
      <c r="Q3993" s="27" t="s">
        <v>234</v>
      </c>
      <c r="R3993" s="27">
        <v>6</v>
      </c>
      <c r="S3993" s="59">
        <v>5220.7439999999997</v>
      </c>
      <c r="T3993" s="4">
        <f>R3993*S3993</f>
        <v>31324.464</v>
      </c>
      <c r="U3993" s="4">
        <f>T3993*1.12</f>
        <v>35083.399680000002</v>
      </c>
      <c r="V3993" s="3"/>
      <c r="W3993" s="3">
        <v>2014</v>
      </c>
      <c r="X3993" s="3"/>
    </row>
    <row r="3994" spans="1:24" ht="76.5">
      <c r="A3994" s="3" t="s">
        <v>10480</v>
      </c>
      <c r="B3994" s="6" t="s">
        <v>361</v>
      </c>
      <c r="C3994" s="179" t="s">
        <v>5387</v>
      </c>
      <c r="D3994" s="180" t="s">
        <v>5388</v>
      </c>
      <c r="E3994" s="181" t="s">
        <v>5183</v>
      </c>
      <c r="F3994" s="8" t="s">
        <v>7840</v>
      </c>
      <c r="G3994" s="3" t="s">
        <v>11449</v>
      </c>
      <c r="H3994" s="54">
        <v>0</v>
      </c>
      <c r="I3994" s="16">
        <v>470000000</v>
      </c>
      <c r="J3994" s="16" t="s">
        <v>229</v>
      </c>
      <c r="K3994" s="57" t="s">
        <v>641</v>
      </c>
      <c r="L3994" s="57" t="s">
        <v>364</v>
      </c>
      <c r="M3994" s="162" t="s">
        <v>230</v>
      </c>
      <c r="N3994" s="8" t="s">
        <v>8899</v>
      </c>
      <c r="O3994" s="6" t="s">
        <v>622</v>
      </c>
      <c r="P3994" s="58" t="s">
        <v>241</v>
      </c>
      <c r="Q3994" s="27" t="s">
        <v>234</v>
      </c>
      <c r="R3994" s="27">
        <v>10</v>
      </c>
      <c r="S3994" s="59">
        <f>20437*1.07</f>
        <v>21867.59</v>
      </c>
      <c r="T3994" s="4">
        <v>0</v>
      </c>
      <c r="U3994" s="4">
        <f t="shared" si="188"/>
        <v>0</v>
      </c>
      <c r="V3994" s="3"/>
      <c r="W3994" s="3">
        <v>2014</v>
      </c>
      <c r="X3994" s="3">
        <v>11.12</v>
      </c>
    </row>
    <row r="3995" spans="1:24" ht="76.5">
      <c r="A3995" s="3" t="s">
        <v>13063</v>
      </c>
      <c r="B3995" s="6" t="s">
        <v>361</v>
      </c>
      <c r="C3995" s="179" t="s">
        <v>5387</v>
      </c>
      <c r="D3995" s="180" t="s">
        <v>5388</v>
      </c>
      <c r="E3995" s="181" t="s">
        <v>5183</v>
      </c>
      <c r="F3995" s="8" t="s">
        <v>7840</v>
      </c>
      <c r="G3995" s="3" t="s">
        <v>11449</v>
      </c>
      <c r="H3995" s="54">
        <v>0</v>
      </c>
      <c r="I3995" s="16">
        <v>470000000</v>
      </c>
      <c r="J3995" s="16" t="s">
        <v>229</v>
      </c>
      <c r="K3995" s="57" t="s">
        <v>642</v>
      </c>
      <c r="L3995" s="12" t="s">
        <v>404</v>
      </c>
      <c r="M3995" s="162" t="s">
        <v>230</v>
      </c>
      <c r="N3995" s="8" t="s">
        <v>8899</v>
      </c>
      <c r="O3995" s="6" t="s">
        <v>622</v>
      </c>
      <c r="P3995" s="58" t="s">
        <v>241</v>
      </c>
      <c r="Q3995" s="27" t="s">
        <v>234</v>
      </c>
      <c r="R3995" s="27">
        <v>10</v>
      </c>
      <c r="S3995" s="59">
        <f>20437*1.07</f>
        <v>21867.59</v>
      </c>
      <c r="T3995" s="4">
        <v>0</v>
      </c>
      <c r="U3995" s="4">
        <f>T3995*1.12</f>
        <v>0</v>
      </c>
      <c r="V3995" s="3"/>
      <c r="W3995" s="3">
        <v>2014</v>
      </c>
      <c r="X3995" s="3" t="s">
        <v>14785</v>
      </c>
    </row>
    <row r="3996" spans="1:24" ht="76.5">
      <c r="A3996" s="3" t="s">
        <v>16796</v>
      </c>
      <c r="B3996" s="6" t="s">
        <v>361</v>
      </c>
      <c r="C3996" s="179" t="s">
        <v>5387</v>
      </c>
      <c r="D3996" s="180" t="s">
        <v>5388</v>
      </c>
      <c r="E3996" s="181" t="s">
        <v>5183</v>
      </c>
      <c r="F3996" s="8" t="s">
        <v>7840</v>
      </c>
      <c r="G3996" s="3" t="s">
        <v>11449</v>
      </c>
      <c r="H3996" s="54">
        <v>0</v>
      </c>
      <c r="I3996" s="16">
        <v>470000000</v>
      </c>
      <c r="J3996" s="16" t="s">
        <v>229</v>
      </c>
      <c r="K3996" s="57" t="s">
        <v>8950</v>
      </c>
      <c r="L3996" s="12" t="s">
        <v>404</v>
      </c>
      <c r="M3996" s="162" t="s">
        <v>230</v>
      </c>
      <c r="N3996" s="8" t="s">
        <v>8899</v>
      </c>
      <c r="O3996" s="6" t="s">
        <v>622</v>
      </c>
      <c r="P3996" s="58" t="s">
        <v>241</v>
      </c>
      <c r="Q3996" s="27" t="s">
        <v>234</v>
      </c>
      <c r="R3996" s="27">
        <v>10</v>
      </c>
      <c r="S3996" s="59">
        <v>26241.108</v>
      </c>
      <c r="T3996" s="4">
        <f>R3996*S3996</f>
        <v>262411.08</v>
      </c>
      <c r="U3996" s="4">
        <f>T3996*1.12</f>
        <v>293900.40960000007</v>
      </c>
      <c r="V3996" s="3"/>
      <c r="W3996" s="3">
        <v>2014</v>
      </c>
      <c r="X3996" s="3"/>
    </row>
    <row r="3997" spans="1:24" ht="76.5">
      <c r="A3997" s="3" t="s">
        <v>10481</v>
      </c>
      <c r="B3997" s="6" t="s">
        <v>361</v>
      </c>
      <c r="C3997" s="100" t="s">
        <v>5389</v>
      </c>
      <c r="D3997" s="100" t="s">
        <v>5390</v>
      </c>
      <c r="E3997" s="101" t="s">
        <v>5391</v>
      </c>
      <c r="F3997" s="8" t="s">
        <v>7841</v>
      </c>
      <c r="G3997" s="3" t="s">
        <v>11449</v>
      </c>
      <c r="H3997" s="54">
        <v>0</v>
      </c>
      <c r="I3997" s="16">
        <v>470000000</v>
      </c>
      <c r="J3997" s="16" t="s">
        <v>229</v>
      </c>
      <c r="K3997" s="57" t="s">
        <v>641</v>
      </c>
      <c r="L3997" s="57" t="s">
        <v>364</v>
      </c>
      <c r="M3997" s="162" t="s">
        <v>230</v>
      </c>
      <c r="N3997" s="8" t="s">
        <v>8899</v>
      </c>
      <c r="O3997" s="6" t="s">
        <v>622</v>
      </c>
      <c r="P3997" s="58" t="s">
        <v>242</v>
      </c>
      <c r="Q3997" s="27" t="s">
        <v>239</v>
      </c>
      <c r="R3997" s="27">
        <v>10</v>
      </c>
      <c r="S3997" s="59">
        <v>3767.43</v>
      </c>
      <c r="T3997" s="4">
        <v>0</v>
      </c>
      <c r="U3997" s="4">
        <f t="shared" si="188"/>
        <v>0</v>
      </c>
      <c r="V3997" s="3"/>
      <c r="W3997" s="3">
        <v>2014</v>
      </c>
      <c r="X3997" s="3">
        <v>11.12</v>
      </c>
    </row>
    <row r="3998" spans="1:24" ht="76.5">
      <c r="A3998" s="3" t="s">
        <v>13064</v>
      </c>
      <c r="B3998" s="6" t="s">
        <v>361</v>
      </c>
      <c r="C3998" s="100" t="s">
        <v>5389</v>
      </c>
      <c r="D3998" s="100" t="s">
        <v>5390</v>
      </c>
      <c r="E3998" s="101" t="s">
        <v>5391</v>
      </c>
      <c r="F3998" s="8" t="s">
        <v>7841</v>
      </c>
      <c r="G3998" s="3" t="s">
        <v>11449</v>
      </c>
      <c r="H3998" s="54">
        <v>0</v>
      </c>
      <c r="I3998" s="16">
        <v>470000000</v>
      </c>
      <c r="J3998" s="16" t="s">
        <v>229</v>
      </c>
      <c r="K3998" s="57" t="s">
        <v>642</v>
      </c>
      <c r="L3998" s="12" t="s">
        <v>404</v>
      </c>
      <c r="M3998" s="162" t="s">
        <v>230</v>
      </c>
      <c r="N3998" s="8" t="s">
        <v>8899</v>
      </c>
      <c r="O3998" s="6" t="s">
        <v>622</v>
      </c>
      <c r="P3998" s="58" t="s">
        <v>242</v>
      </c>
      <c r="Q3998" s="27" t="s">
        <v>239</v>
      </c>
      <c r="R3998" s="27">
        <v>10</v>
      </c>
      <c r="S3998" s="59">
        <v>3767.43</v>
      </c>
      <c r="T3998" s="4">
        <v>0</v>
      </c>
      <c r="U3998" s="4">
        <f>T3998*1.12</f>
        <v>0</v>
      </c>
      <c r="V3998" s="3"/>
      <c r="W3998" s="3">
        <v>2014</v>
      </c>
      <c r="X3998" s="3" t="s">
        <v>14785</v>
      </c>
    </row>
    <row r="3999" spans="1:24" ht="76.5">
      <c r="A3999" s="3" t="s">
        <v>16797</v>
      </c>
      <c r="B3999" s="6" t="s">
        <v>361</v>
      </c>
      <c r="C3999" s="100" t="s">
        <v>5389</v>
      </c>
      <c r="D3999" s="100" t="s">
        <v>5390</v>
      </c>
      <c r="E3999" s="101" t="s">
        <v>5391</v>
      </c>
      <c r="F3999" s="8" t="s">
        <v>7841</v>
      </c>
      <c r="G3999" s="3" t="s">
        <v>11449</v>
      </c>
      <c r="H3999" s="54">
        <v>0</v>
      </c>
      <c r="I3999" s="16">
        <v>470000000</v>
      </c>
      <c r="J3999" s="16" t="s">
        <v>229</v>
      </c>
      <c r="K3999" s="57" t="s">
        <v>8950</v>
      </c>
      <c r="L3999" s="12" t="s">
        <v>404</v>
      </c>
      <c r="M3999" s="162" t="s">
        <v>230</v>
      </c>
      <c r="N3999" s="8" t="s">
        <v>8899</v>
      </c>
      <c r="O3999" s="6" t="s">
        <v>622</v>
      </c>
      <c r="P3999" s="58" t="s">
        <v>242</v>
      </c>
      <c r="Q3999" s="27" t="s">
        <v>239</v>
      </c>
      <c r="R3999" s="27">
        <v>10</v>
      </c>
      <c r="S3999" s="59">
        <v>6663.96</v>
      </c>
      <c r="T3999" s="4">
        <f>R3999*S3999</f>
        <v>66639.600000000006</v>
      </c>
      <c r="U3999" s="4">
        <f>T3999*1.12</f>
        <v>74636.352000000014</v>
      </c>
      <c r="V3999" s="3"/>
      <c r="W3999" s="3">
        <v>2014</v>
      </c>
      <c r="X3999" s="3"/>
    </row>
    <row r="4000" spans="1:24" ht="76.5">
      <c r="A4000" s="3" t="s">
        <v>10482</v>
      </c>
      <c r="B4000" s="6" t="s">
        <v>361</v>
      </c>
      <c r="C4000" s="179" t="s">
        <v>5392</v>
      </c>
      <c r="D4000" s="180" t="s">
        <v>439</v>
      </c>
      <c r="E4000" s="181" t="s">
        <v>5183</v>
      </c>
      <c r="F4000" s="9" t="s">
        <v>7842</v>
      </c>
      <c r="G4000" s="3" t="s">
        <v>11449</v>
      </c>
      <c r="H4000" s="54">
        <v>0</v>
      </c>
      <c r="I4000" s="16">
        <v>470000000</v>
      </c>
      <c r="J4000" s="16" t="s">
        <v>229</v>
      </c>
      <c r="K4000" s="57" t="s">
        <v>641</v>
      </c>
      <c r="L4000" s="57" t="s">
        <v>364</v>
      </c>
      <c r="M4000" s="162" t="s">
        <v>230</v>
      </c>
      <c r="N4000" s="8" t="s">
        <v>8899</v>
      </c>
      <c r="O4000" s="6" t="s">
        <v>622</v>
      </c>
      <c r="P4000" s="58" t="s">
        <v>241</v>
      </c>
      <c r="Q4000" s="27" t="s">
        <v>234</v>
      </c>
      <c r="R4000" s="27">
        <v>10</v>
      </c>
      <c r="S4000" s="59">
        <f>6046*1.07</f>
        <v>6469.22</v>
      </c>
      <c r="T4000" s="4">
        <v>0</v>
      </c>
      <c r="U4000" s="4">
        <f t="shared" si="188"/>
        <v>0</v>
      </c>
      <c r="V4000" s="3"/>
      <c r="W4000" s="3">
        <v>2014</v>
      </c>
      <c r="X4000" s="3">
        <v>11.12</v>
      </c>
    </row>
    <row r="4001" spans="1:24" ht="76.5">
      <c r="A4001" s="3" t="s">
        <v>13065</v>
      </c>
      <c r="B4001" s="6" t="s">
        <v>361</v>
      </c>
      <c r="C4001" s="179" t="s">
        <v>5392</v>
      </c>
      <c r="D4001" s="180" t="s">
        <v>439</v>
      </c>
      <c r="E4001" s="181" t="s">
        <v>5183</v>
      </c>
      <c r="F4001" s="9" t="s">
        <v>7842</v>
      </c>
      <c r="G4001" s="3" t="s">
        <v>11449</v>
      </c>
      <c r="H4001" s="54">
        <v>0</v>
      </c>
      <c r="I4001" s="16">
        <v>470000000</v>
      </c>
      <c r="J4001" s="16" t="s">
        <v>229</v>
      </c>
      <c r="K4001" s="57" t="s">
        <v>642</v>
      </c>
      <c r="L4001" s="12" t="s">
        <v>404</v>
      </c>
      <c r="M4001" s="162" t="s">
        <v>230</v>
      </c>
      <c r="N4001" s="8" t="s">
        <v>8899</v>
      </c>
      <c r="O4001" s="6" t="s">
        <v>622</v>
      </c>
      <c r="P4001" s="58" t="s">
        <v>241</v>
      </c>
      <c r="Q4001" s="27" t="s">
        <v>234</v>
      </c>
      <c r="R4001" s="27">
        <v>10</v>
      </c>
      <c r="S4001" s="59">
        <f>6046*1.07</f>
        <v>6469.22</v>
      </c>
      <c r="T4001" s="4">
        <f>R4001*S4001</f>
        <v>64692.200000000004</v>
      </c>
      <c r="U4001" s="4">
        <f>T4001*1.12</f>
        <v>72455.26400000001</v>
      </c>
      <c r="V4001" s="3"/>
      <c r="W4001" s="3">
        <v>2014</v>
      </c>
      <c r="X4001" s="3"/>
    </row>
    <row r="4002" spans="1:24" ht="76.5">
      <c r="A4002" s="3" t="s">
        <v>1803</v>
      </c>
      <c r="B4002" s="6" t="s">
        <v>361</v>
      </c>
      <c r="C4002" s="179" t="s">
        <v>5393</v>
      </c>
      <c r="D4002" s="180" t="s">
        <v>5394</v>
      </c>
      <c r="E4002" s="181" t="s">
        <v>5395</v>
      </c>
      <c r="F4002" s="8" t="s">
        <v>7843</v>
      </c>
      <c r="G4002" s="3" t="s">
        <v>11449</v>
      </c>
      <c r="H4002" s="54">
        <v>0</v>
      </c>
      <c r="I4002" s="16">
        <v>470000000</v>
      </c>
      <c r="J4002" s="16" t="s">
        <v>229</v>
      </c>
      <c r="K4002" s="57" t="s">
        <v>641</v>
      </c>
      <c r="L4002" s="57" t="s">
        <v>364</v>
      </c>
      <c r="M4002" s="162" t="s">
        <v>230</v>
      </c>
      <c r="N4002" s="8" t="s">
        <v>8899</v>
      </c>
      <c r="O4002" s="6" t="s">
        <v>622</v>
      </c>
      <c r="P4002" s="58" t="s">
        <v>241</v>
      </c>
      <c r="Q4002" s="27" t="s">
        <v>234</v>
      </c>
      <c r="R4002" s="27">
        <v>10</v>
      </c>
      <c r="S4002" s="59">
        <f>16478*1.07</f>
        <v>17631.460000000003</v>
      </c>
      <c r="T4002" s="4">
        <v>0</v>
      </c>
      <c r="U4002" s="4">
        <f t="shared" si="188"/>
        <v>0</v>
      </c>
      <c r="V4002" s="3"/>
      <c r="W4002" s="3">
        <v>2014</v>
      </c>
      <c r="X4002" s="3">
        <v>11.12</v>
      </c>
    </row>
    <row r="4003" spans="1:24" ht="76.5">
      <c r="A4003" s="3" t="s">
        <v>13066</v>
      </c>
      <c r="B4003" s="6" t="s">
        <v>361</v>
      </c>
      <c r="C4003" s="179" t="s">
        <v>5393</v>
      </c>
      <c r="D4003" s="180" t="s">
        <v>5394</v>
      </c>
      <c r="E4003" s="181" t="s">
        <v>5395</v>
      </c>
      <c r="F4003" s="8" t="s">
        <v>7843</v>
      </c>
      <c r="G4003" s="3" t="s">
        <v>11449</v>
      </c>
      <c r="H4003" s="54">
        <v>0</v>
      </c>
      <c r="I4003" s="16">
        <v>470000000</v>
      </c>
      <c r="J4003" s="16" t="s">
        <v>229</v>
      </c>
      <c r="K4003" s="57" t="s">
        <v>642</v>
      </c>
      <c r="L4003" s="12" t="s">
        <v>404</v>
      </c>
      <c r="M4003" s="162" t="s">
        <v>230</v>
      </c>
      <c r="N4003" s="8" t="s">
        <v>8899</v>
      </c>
      <c r="O4003" s="6" t="s">
        <v>622</v>
      </c>
      <c r="P4003" s="58" t="s">
        <v>241</v>
      </c>
      <c r="Q4003" s="27" t="s">
        <v>234</v>
      </c>
      <c r="R4003" s="27">
        <v>10</v>
      </c>
      <c r="S4003" s="59">
        <f>16478*1.07</f>
        <v>17631.460000000003</v>
      </c>
      <c r="T4003" s="4">
        <v>0</v>
      </c>
      <c r="U4003" s="4">
        <f>T4003*1.12</f>
        <v>0</v>
      </c>
      <c r="V4003" s="3"/>
      <c r="W4003" s="3">
        <v>2014</v>
      </c>
      <c r="X4003" s="3" t="s">
        <v>14785</v>
      </c>
    </row>
    <row r="4004" spans="1:24" ht="76.5">
      <c r="A4004" s="3" t="s">
        <v>16798</v>
      </c>
      <c r="B4004" s="6" t="s">
        <v>361</v>
      </c>
      <c r="C4004" s="179" t="s">
        <v>5393</v>
      </c>
      <c r="D4004" s="180" t="s">
        <v>5394</v>
      </c>
      <c r="E4004" s="181" t="s">
        <v>5395</v>
      </c>
      <c r="F4004" s="8" t="s">
        <v>7843</v>
      </c>
      <c r="G4004" s="3" t="s">
        <v>11449</v>
      </c>
      <c r="H4004" s="54">
        <v>0</v>
      </c>
      <c r="I4004" s="16">
        <v>470000000</v>
      </c>
      <c r="J4004" s="16" t="s">
        <v>229</v>
      </c>
      <c r="K4004" s="57" t="s">
        <v>8950</v>
      </c>
      <c r="L4004" s="12" t="s">
        <v>404</v>
      </c>
      <c r="M4004" s="162" t="s">
        <v>230</v>
      </c>
      <c r="N4004" s="8" t="s">
        <v>8899</v>
      </c>
      <c r="O4004" s="6" t="s">
        <v>622</v>
      </c>
      <c r="P4004" s="58" t="s">
        <v>241</v>
      </c>
      <c r="Q4004" s="27" t="s">
        <v>234</v>
      </c>
      <c r="R4004" s="27">
        <v>10</v>
      </c>
      <c r="S4004" s="59">
        <v>21157.752000000004</v>
      </c>
      <c r="T4004" s="4">
        <f>R4004*S4004</f>
        <v>211577.52000000005</v>
      </c>
      <c r="U4004" s="4">
        <f>T4004*1.12</f>
        <v>236966.82240000006</v>
      </c>
      <c r="V4004" s="3"/>
      <c r="W4004" s="3">
        <v>2014</v>
      </c>
      <c r="X4004" s="3"/>
    </row>
    <row r="4005" spans="1:24" ht="76.5">
      <c r="A4005" s="3" t="s">
        <v>1804</v>
      </c>
      <c r="B4005" s="6" t="s">
        <v>361</v>
      </c>
      <c r="C4005" s="6" t="s">
        <v>5396</v>
      </c>
      <c r="D4005" s="6" t="s">
        <v>5397</v>
      </c>
      <c r="E4005" s="65" t="s">
        <v>5398</v>
      </c>
      <c r="F4005" s="8" t="s">
        <v>7844</v>
      </c>
      <c r="G4005" s="3" t="s">
        <v>11449</v>
      </c>
      <c r="H4005" s="54">
        <v>0</v>
      </c>
      <c r="I4005" s="16">
        <v>470000000</v>
      </c>
      <c r="J4005" s="16" t="s">
        <v>229</v>
      </c>
      <c r="K4005" s="57" t="s">
        <v>641</v>
      </c>
      <c r="L4005" s="57" t="s">
        <v>364</v>
      </c>
      <c r="M4005" s="162" t="s">
        <v>230</v>
      </c>
      <c r="N4005" s="8" t="s">
        <v>8899</v>
      </c>
      <c r="O4005" s="6" t="s">
        <v>622</v>
      </c>
      <c r="P4005" s="58" t="s">
        <v>242</v>
      </c>
      <c r="Q4005" s="27" t="s">
        <v>239</v>
      </c>
      <c r="R4005" s="29">
        <v>30</v>
      </c>
      <c r="S4005" s="59">
        <f>978*1.07</f>
        <v>1046.46</v>
      </c>
      <c r="T4005" s="4">
        <v>0</v>
      </c>
      <c r="U4005" s="4">
        <f t="shared" si="188"/>
        <v>0</v>
      </c>
      <c r="V4005" s="3"/>
      <c r="W4005" s="3">
        <v>2014</v>
      </c>
      <c r="X4005" s="3">
        <v>11.12</v>
      </c>
    </row>
    <row r="4006" spans="1:24" ht="76.5">
      <c r="A4006" s="3" t="s">
        <v>13067</v>
      </c>
      <c r="B4006" s="6" t="s">
        <v>361</v>
      </c>
      <c r="C4006" s="6" t="s">
        <v>5396</v>
      </c>
      <c r="D4006" s="6" t="s">
        <v>5397</v>
      </c>
      <c r="E4006" s="65" t="s">
        <v>5398</v>
      </c>
      <c r="F4006" s="8" t="s">
        <v>7844</v>
      </c>
      <c r="G4006" s="3" t="s">
        <v>11449</v>
      </c>
      <c r="H4006" s="54">
        <v>0</v>
      </c>
      <c r="I4006" s="16">
        <v>470000000</v>
      </c>
      <c r="J4006" s="16" t="s">
        <v>229</v>
      </c>
      <c r="K4006" s="57" t="s">
        <v>642</v>
      </c>
      <c r="L4006" s="12" t="s">
        <v>404</v>
      </c>
      <c r="M4006" s="162" t="s">
        <v>230</v>
      </c>
      <c r="N4006" s="8" t="s">
        <v>8899</v>
      </c>
      <c r="O4006" s="6" t="s">
        <v>622</v>
      </c>
      <c r="P4006" s="58" t="s">
        <v>242</v>
      </c>
      <c r="Q4006" s="27" t="s">
        <v>239</v>
      </c>
      <c r="R4006" s="29">
        <v>30</v>
      </c>
      <c r="S4006" s="59">
        <f>978*1.07</f>
        <v>1046.46</v>
      </c>
      <c r="T4006" s="4">
        <v>0</v>
      </c>
      <c r="U4006" s="4">
        <f>T4006*1.12</f>
        <v>0</v>
      </c>
      <c r="V4006" s="3"/>
      <c r="W4006" s="3">
        <v>2014</v>
      </c>
      <c r="X4006" s="3" t="s">
        <v>14785</v>
      </c>
    </row>
    <row r="4007" spans="1:24" ht="76.5">
      <c r="A4007" s="3" t="s">
        <v>16799</v>
      </c>
      <c r="B4007" s="6" t="s">
        <v>361</v>
      </c>
      <c r="C4007" s="6" t="s">
        <v>5396</v>
      </c>
      <c r="D4007" s="6" t="s">
        <v>5397</v>
      </c>
      <c r="E4007" s="65" t="s">
        <v>5398</v>
      </c>
      <c r="F4007" s="8" t="s">
        <v>7844</v>
      </c>
      <c r="G4007" s="3" t="s">
        <v>11449</v>
      </c>
      <c r="H4007" s="54">
        <v>0</v>
      </c>
      <c r="I4007" s="16">
        <v>470000000</v>
      </c>
      <c r="J4007" s="16" t="s">
        <v>229</v>
      </c>
      <c r="K4007" s="57" t="s">
        <v>8950</v>
      </c>
      <c r="L4007" s="12" t="s">
        <v>404</v>
      </c>
      <c r="M4007" s="162" t="s">
        <v>230</v>
      </c>
      <c r="N4007" s="8" t="s">
        <v>8899</v>
      </c>
      <c r="O4007" s="6" t="s">
        <v>622</v>
      </c>
      <c r="P4007" s="58" t="s">
        <v>242</v>
      </c>
      <c r="Q4007" s="27" t="s">
        <v>239</v>
      </c>
      <c r="R4007" s="29">
        <v>30</v>
      </c>
      <c r="S4007" s="59">
        <v>1255.752</v>
      </c>
      <c r="T4007" s="4">
        <f>R4007*S4007</f>
        <v>37672.559999999998</v>
      </c>
      <c r="U4007" s="4">
        <f>T4007*1.12</f>
        <v>42193.267200000002</v>
      </c>
      <c r="V4007" s="3"/>
      <c r="W4007" s="3">
        <v>2014</v>
      </c>
      <c r="X4007" s="3"/>
    </row>
    <row r="4008" spans="1:24" ht="76.5">
      <c r="A4008" s="3" t="s">
        <v>1805</v>
      </c>
      <c r="B4008" s="6" t="s">
        <v>361</v>
      </c>
      <c r="C4008" s="6" t="s">
        <v>11655</v>
      </c>
      <c r="D4008" s="6" t="s">
        <v>5399</v>
      </c>
      <c r="E4008" s="65" t="s">
        <v>6024</v>
      </c>
      <c r="F4008" s="8" t="s">
        <v>7845</v>
      </c>
      <c r="G4008" s="3" t="s">
        <v>11449</v>
      </c>
      <c r="H4008" s="54">
        <v>0</v>
      </c>
      <c r="I4008" s="16">
        <v>470000000</v>
      </c>
      <c r="J4008" s="16" t="s">
        <v>229</v>
      </c>
      <c r="K4008" s="57" t="s">
        <v>641</v>
      </c>
      <c r="L4008" s="57" t="s">
        <v>364</v>
      </c>
      <c r="M4008" s="162" t="s">
        <v>230</v>
      </c>
      <c r="N4008" s="8" t="s">
        <v>8899</v>
      </c>
      <c r="O4008" s="6" t="s">
        <v>622</v>
      </c>
      <c r="P4008" s="58" t="s">
        <v>241</v>
      </c>
      <c r="Q4008" s="27" t="s">
        <v>234</v>
      </c>
      <c r="R4008" s="27">
        <v>8</v>
      </c>
      <c r="S4008" s="59">
        <f>10700*1.07</f>
        <v>11449</v>
      </c>
      <c r="T4008" s="4">
        <v>0</v>
      </c>
      <c r="U4008" s="4">
        <f t="shared" si="188"/>
        <v>0</v>
      </c>
      <c r="V4008" s="3"/>
      <c r="W4008" s="3">
        <v>2014</v>
      </c>
      <c r="X4008" s="3">
        <v>11.12</v>
      </c>
    </row>
    <row r="4009" spans="1:24" ht="76.5">
      <c r="A4009" s="3" t="s">
        <v>13068</v>
      </c>
      <c r="B4009" s="6" t="s">
        <v>361</v>
      </c>
      <c r="C4009" s="6" t="s">
        <v>11655</v>
      </c>
      <c r="D4009" s="6" t="s">
        <v>5399</v>
      </c>
      <c r="E4009" s="65" t="s">
        <v>6024</v>
      </c>
      <c r="F4009" s="8" t="s">
        <v>7845</v>
      </c>
      <c r="G4009" s="3" t="s">
        <v>11449</v>
      </c>
      <c r="H4009" s="54">
        <v>0</v>
      </c>
      <c r="I4009" s="16">
        <v>470000000</v>
      </c>
      <c r="J4009" s="16" t="s">
        <v>229</v>
      </c>
      <c r="K4009" s="57" t="s">
        <v>642</v>
      </c>
      <c r="L4009" s="12" t="s">
        <v>404</v>
      </c>
      <c r="M4009" s="162" t="s">
        <v>230</v>
      </c>
      <c r="N4009" s="8" t="s">
        <v>8899</v>
      </c>
      <c r="O4009" s="6" t="s">
        <v>622</v>
      </c>
      <c r="P4009" s="58" t="s">
        <v>241</v>
      </c>
      <c r="Q4009" s="27" t="s">
        <v>234</v>
      </c>
      <c r="R4009" s="27">
        <v>8</v>
      </c>
      <c r="S4009" s="59">
        <f>10700*1.07</f>
        <v>11449</v>
      </c>
      <c r="T4009" s="4">
        <v>0</v>
      </c>
      <c r="U4009" s="4">
        <f>T4009*1.12</f>
        <v>0</v>
      </c>
      <c r="V4009" s="3"/>
      <c r="W4009" s="3">
        <v>2014</v>
      </c>
      <c r="X4009" s="3" t="s">
        <v>14785</v>
      </c>
    </row>
    <row r="4010" spans="1:24" ht="76.5">
      <c r="A4010" s="3" t="s">
        <v>16800</v>
      </c>
      <c r="B4010" s="6" t="s">
        <v>361</v>
      </c>
      <c r="C4010" s="6" t="s">
        <v>11655</v>
      </c>
      <c r="D4010" s="6" t="s">
        <v>5399</v>
      </c>
      <c r="E4010" s="65" t="s">
        <v>6024</v>
      </c>
      <c r="F4010" s="8" t="s">
        <v>7845</v>
      </c>
      <c r="G4010" s="3" t="s">
        <v>11449</v>
      </c>
      <c r="H4010" s="54">
        <v>0</v>
      </c>
      <c r="I4010" s="16">
        <v>470000000</v>
      </c>
      <c r="J4010" s="16" t="s">
        <v>229</v>
      </c>
      <c r="K4010" s="57" t="s">
        <v>8950</v>
      </c>
      <c r="L4010" s="12" t="s">
        <v>404</v>
      </c>
      <c r="M4010" s="162" t="s">
        <v>230</v>
      </c>
      <c r="N4010" s="8" t="s">
        <v>8899</v>
      </c>
      <c r="O4010" s="6" t="s">
        <v>622</v>
      </c>
      <c r="P4010" s="58" t="s">
        <v>241</v>
      </c>
      <c r="Q4010" s="27" t="s">
        <v>234</v>
      </c>
      <c r="R4010" s="27">
        <v>8</v>
      </c>
      <c r="S4010" s="59">
        <v>13738.8</v>
      </c>
      <c r="T4010" s="4">
        <f>R4010*S4010</f>
        <v>109910.39999999999</v>
      </c>
      <c r="U4010" s="4">
        <f>T4010*1.12</f>
        <v>123099.648</v>
      </c>
      <c r="V4010" s="3"/>
      <c r="W4010" s="3">
        <v>2014</v>
      </c>
      <c r="X4010" s="3"/>
    </row>
    <row r="4011" spans="1:24" ht="76.5">
      <c r="A4011" s="3" t="s">
        <v>1806</v>
      </c>
      <c r="B4011" s="6" t="s">
        <v>361</v>
      </c>
      <c r="C4011" s="179" t="s">
        <v>5400</v>
      </c>
      <c r="D4011" s="3" t="s">
        <v>5401</v>
      </c>
      <c r="E4011" s="65" t="s">
        <v>5402</v>
      </c>
      <c r="F4011" s="8" t="s">
        <v>7846</v>
      </c>
      <c r="G4011" s="3" t="s">
        <v>11449</v>
      </c>
      <c r="H4011" s="54">
        <v>0</v>
      </c>
      <c r="I4011" s="16">
        <v>470000000</v>
      </c>
      <c r="J4011" s="16" t="s">
        <v>229</v>
      </c>
      <c r="K4011" s="57" t="s">
        <v>641</v>
      </c>
      <c r="L4011" s="57" t="s">
        <v>364</v>
      </c>
      <c r="M4011" s="162" t="s">
        <v>230</v>
      </c>
      <c r="N4011" s="8" t="s">
        <v>8899</v>
      </c>
      <c r="O4011" s="6" t="s">
        <v>622</v>
      </c>
      <c r="P4011" s="58" t="s">
        <v>241</v>
      </c>
      <c r="Q4011" s="27" t="s">
        <v>234</v>
      </c>
      <c r="R4011" s="27">
        <v>8</v>
      </c>
      <c r="S4011" s="59">
        <f>11770*1.07</f>
        <v>12593.900000000001</v>
      </c>
      <c r="T4011" s="4">
        <v>0</v>
      </c>
      <c r="U4011" s="4">
        <f t="shared" si="188"/>
        <v>0</v>
      </c>
      <c r="V4011" s="3"/>
      <c r="W4011" s="3">
        <v>2014</v>
      </c>
      <c r="X4011" s="3">
        <v>11.12</v>
      </c>
    </row>
    <row r="4012" spans="1:24" ht="76.5">
      <c r="A4012" s="3" t="s">
        <v>13069</v>
      </c>
      <c r="B4012" s="6" t="s">
        <v>361</v>
      </c>
      <c r="C4012" s="179" t="s">
        <v>5400</v>
      </c>
      <c r="D4012" s="3" t="s">
        <v>5401</v>
      </c>
      <c r="E4012" s="65" t="s">
        <v>5402</v>
      </c>
      <c r="F4012" s="8" t="s">
        <v>7846</v>
      </c>
      <c r="G4012" s="3" t="s">
        <v>11449</v>
      </c>
      <c r="H4012" s="54">
        <v>0</v>
      </c>
      <c r="I4012" s="16">
        <v>470000000</v>
      </c>
      <c r="J4012" s="16" t="s">
        <v>229</v>
      </c>
      <c r="K4012" s="57" t="s">
        <v>642</v>
      </c>
      <c r="L4012" s="12" t="s">
        <v>404</v>
      </c>
      <c r="M4012" s="162" t="s">
        <v>230</v>
      </c>
      <c r="N4012" s="8" t="s">
        <v>8899</v>
      </c>
      <c r="O4012" s="6" t="s">
        <v>622</v>
      </c>
      <c r="P4012" s="58" t="s">
        <v>241</v>
      </c>
      <c r="Q4012" s="27" t="s">
        <v>234</v>
      </c>
      <c r="R4012" s="27">
        <v>8</v>
      </c>
      <c r="S4012" s="59">
        <f>11770*1.07</f>
        <v>12593.900000000001</v>
      </c>
      <c r="T4012" s="4">
        <f>R4012*S4012</f>
        <v>100751.20000000001</v>
      </c>
      <c r="U4012" s="4">
        <f>T4012*1.12</f>
        <v>112841.34400000003</v>
      </c>
      <c r="V4012" s="3"/>
      <c r="W4012" s="3">
        <v>2014</v>
      </c>
      <c r="X4012" s="3"/>
    </row>
    <row r="4013" spans="1:24" ht="76.5">
      <c r="A4013" s="3" t="s">
        <v>1807</v>
      </c>
      <c r="B4013" s="6" t="s">
        <v>361</v>
      </c>
      <c r="C4013" s="179" t="s">
        <v>5403</v>
      </c>
      <c r="D4013" s="3" t="s">
        <v>5401</v>
      </c>
      <c r="E4013" s="65" t="s">
        <v>5402</v>
      </c>
      <c r="F4013" s="8" t="s">
        <v>7847</v>
      </c>
      <c r="G4013" s="3" t="s">
        <v>11449</v>
      </c>
      <c r="H4013" s="54">
        <v>0</v>
      </c>
      <c r="I4013" s="16">
        <v>470000000</v>
      </c>
      <c r="J4013" s="16" t="s">
        <v>229</v>
      </c>
      <c r="K4013" s="57" t="s">
        <v>641</v>
      </c>
      <c r="L4013" s="57" t="s">
        <v>364</v>
      </c>
      <c r="M4013" s="162" t="s">
        <v>230</v>
      </c>
      <c r="N4013" s="8" t="s">
        <v>8899</v>
      </c>
      <c r="O4013" s="6" t="s">
        <v>622</v>
      </c>
      <c r="P4013" s="58" t="s">
        <v>241</v>
      </c>
      <c r="Q4013" s="27" t="s">
        <v>234</v>
      </c>
      <c r="R4013" s="29">
        <v>8</v>
      </c>
      <c r="S4013" s="59">
        <f>10914*1.07</f>
        <v>11677.980000000001</v>
      </c>
      <c r="T4013" s="4">
        <v>0</v>
      </c>
      <c r="U4013" s="4">
        <f t="shared" si="188"/>
        <v>0</v>
      </c>
      <c r="V4013" s="3"/>
      <c r="W4013" s="3">
        <v>2014</v>
      </c>
      <c r="X4013" s="3">
        <v>11.12</v>
      </c>
    </row>
    <row r="4014" spans="1:24" ht="76.5">
      <c r="A4014" s="3" t="s">
        <v>13070</v>
      </c>
      <c r="B4014" s="6" t="s">
        <v>361</v>
      </c>
      <c r="C4014" s="179" t="s">
        <v>5403</v>
      </c>
      <c r="D4014" s="3" t="s">
        <v>5401</v>
      </c>
      <c r="E4014" s="65" t="s">
        <v>5402</v>
      </c>
      <c r="F4014" s="8" t="s">
        <v>7847</v>
      </c>
      <c r="G4014" s="3" t="s">
        <v>11449</v>
      </c>
      <c r="H4014" s="54">
        <v>0</v>
      </c>
      <c r="I4014" s="16">
        <v>470000000</v>
      </c>
      <c r="J4014" s="16" t="s">
        <v>229</v>
      </c>
      <c r="K4014" s="57" t="s">
        <v>642</v>
      </c>
      <c r="L4014" s="12" t="s">
        <v>404</v>
      </c>
      <c r="M4014" s="162" t="s">
        <v>230</v>
      </c>
      <c r="N4014" s="8" t="s">
        <v>8899</v>
      </c>
      <c r="O4014" s="6" t="s">
        <v>622</v>
      </c>
      <c r="P4014" s="58" t="s">
        <v>241</v>
      </c>
      <c r="Q4014" s="27" t="s">
        <v>234</v>
      </c>
      <c r="R4014" s="29">
        <v>8</v>
      </c>
      <c r="S4014" s="59">
        <f>10914*1.07</f>
        <v>11677.980000000001</v>
      </c>
      <c r="T4014" s="4">
        <v>0</v>
      </c>
      <c r="U4014" s="4">
        <f>T4014*1.12</f>
        <v>0</v>
      </c>
      <c r="V4014" s="3"/>
      <c r="W4014" s="3">
        <v>2014</v>
      </c>
      <c r="X4014" s="3" t="s">
        <v>14785</v>
      </c>
    </row>
    <row r="4015" spans="1:24" ht="76.5">
      <c r="A4015" s="3" t="s">
        <v>16801</v>
      </c>
      <c r="B4015" s="6" t="s">
        <v>361</v>
      </c>
      <c r="C4015" s="179" t="s">
        <v>5403</v>
      </c>
      <c r="D4015" s="3" t="s">
        <v>5401</v>
      </c>
      <c r="E4015" s="65" t="s">
        <v>5402</v>
      </c>
      <c r="F4015" s="8" t="s">
        <v>7847</v>
      </c>
      <c r="G4015" s="3" t="s">
        <v>11449</v>
      </c>
      <c r="H4015" s="54">
        <v>0</v>
      </c>
      <c r="I4015" s="16">
        <v>470000000</v>
      </c>
      <c r="J4015" s="16" t="s">
        <v>229</v>
      </c>
      <c r="K4015" s="57" t="s">
        <v>8950</v>
      </c>
      <c r="L4015" s="12" t="s">
        <v>404</v>
      </c>
      <c r="M4015" s="162" t="s">
        <v>230</v>
      </c>
      <c r="N4015" s="8" t="s">
        <v>8899</v>
      </c>
      <c r="O4015" s="6" t="s">
        <v>622</v>
      </c>
      <c r="P4015" s="58" t="s">
        <v>241</v>
      </c>
      <c r="Q4015" s="27" t="s">
        <v>234</v>
      </c>
      <c r="R4015" s="29">
        <v>8</v>
      </c>
      <c r="S4015" s="59">
        <v>14013.576000000001</v>
      </c>
      <c r="T4015" s="4">
        <f>R4015*S4015</f>
        <v>112108.60800000001</v>
      </c>
      <c r="U4015" s="4">
        <f>T4015*1.12</f>
        <v>125561.64096000002</v>
      </c>
      <c r="V4015" s="3"/>
      <c r="W4015" s="3">
        <v>2014</v>
      </c>
      <c r="X4015" s="3"/>
    </row>
    <row r="4016" spans="1:24" ht="76.5">
      <c r="A4016" s="3" t="s">
        <v>1808</v>
      </c>
      <c r="B4016" s="6" t="s">
        <v>361</v>
      </c>
      <c r="C4016" s="179" t="s">
        <v>5404</v>
      </c>
      <c r="D4016" s="3" t="s">
        <v>415</v>
      </c>
      <c r="E4016" s="81" t="s">
        <v>5405</v>
      </c>
      <c r="F4016" s="8" t="s">
        <v>7848</v>
      </c>
      <c r="G4016" s="3" t="s">
        <v>11449</v>
      </c>
      <c r="H4016" s="54">
        <v>0</v>
      </c>
      <c r="I4016" s="16">
        <v>470000000</v>
      </c>
      <c r="J4016" s="16" t="s">
        <v>229</v>
      </c>
      <c r="K4016" s="57" t="s">
        <v>641</v>
      </c>
      <c r="L4016" s="57" t="s">
        <v>364</v>
      </c>
      <c r="M4016" s="162" t="s">
        <v>230</v>
      </c>
      <c r="N4016" s="8" t="s">
        <v>8899</v>
      </c>
      <c r="O4016" s="6" t="s">
        <v>622</v>
      </c>
      <c r="P4016" s="58" t="s">
        <v>241</v>
      </c>
      <c r="Q4016" s="27" t="s">
        <v>234</v>
      </c>
      <c r="R4016" s="29">
        <v>8</v>
      </c>
      <c r="S4016" s="59">
        <f>9095*1.07</f>
        <v>9731.6500000000015</v>
      </c>
      <c r="T4016" s="4">
        <v>0</v>
      </c>
      <c r="U4016" s="4">
        <f t="shared" si="188"/>
        <v>0</v>
      </c>
      <c r="V4016" s="3"/>
      <c r="W4016" s="3">
        <v>2014</v>
      </c>
      <c r="X4016" s="3">
        <v>11.12</v>
      </c>
    </row>
    <row r="4017" spans="1:24" ht="76.5">
      <c r="A4017" s="3" t="s">
        <v>13071</v>
      </c>
      <c r="B4017" s="6" t="s">
        <v>361</v>
      </c>
      <c r="C4017" s="179" t="s">
        <v>5404</v>
      </c>
      <c r="D4017" s="3" t="s">
        <v>415</v>
      </c>
      <c r="E4017" s="81" t="s">
        <v>5405</v>
      </c>
      <c r="F4017" s="8" t="s">
        <v>7848</v>
      </c>
      <c r="G4017" s="3" t="s">
        <v>11449</v>
      </c>
      <c r="H4017" s="54">
        <v>0</v>
      </c>
      <c r="I4017" s="16">
        <v>470000000</v>
      </c>
      <c r="J4017" s="16" t="s">
        <v>229</v>
      </c>
      <c r="K4017" s="57" t="s">
        <v>642</v>
      </c>
      <c r="L4017" s="12" t="s">
        <v>404</v>
      </c>
      <c r="M4017" s="162" t="s">
        <v>230</v>
      </c>
      <c r="N4017" s="8" t="s">
        <v>8899</v>
      </c>
      <c r="O4017" s="6" t="s">
        <v>622</v>
      </c>
      <c r="P4017" s="58" t="s">
        <v>241</v>
      </c>
      <c r="Q4017" s="27" t="s">
        <v>234</v>
      </c>
      <c r="R4017" s="29">
        <v>8</v>
      </c>
      <c r="S4017" s="59">
        <f>9095*1.07</f>
        <v>9731.6500000000015</v>
      </c>
      <c r="T4017" s="4">
        <v>0</v>
      </c>
      <c r="U4017" s="4">
        <f>T4017*1.12</f>
        <v>0</v>
      </c>
      <c r="V4017" s="3"/>
      <c r="W4017" s="3">
        <v>2014</v>
      </c>
      <c r="X4017" s="3" t="s">
        <v>14785</v>
      </c>
    </row>
    <row r="4018" spans="1:24" ht="76.5">
      <c r="A4018" s="3" t="s">
        <v>16802</v>
      </c>
      <c r="B4018" s="6" t="s">
        <v>361</v>
      </c>
      <c r="C4018" s="179" t="s">
        <v>5404</v>
      </c>
      <c r="D4018" s="3" t="s">
        <v>415</v>
      </c>
      <c r="E4018" s="81" t="s">
        <v>5405</v>
      </c>
      <c r="F4018" s="8" t="s">
        <v>7848</v>
      </c>
      <c r="G4018" s="3" t="s">
        <v>11449</v>
      </c>
      <c r="H4018" s="54">
        <v>0</v>
      </c>
      <c r="I4018" s="16">
        <v>470000000</v>
      </c>
      <c r="J4018" s="16" t="s">
        <v>229</v>
      </c>
      <c r="K4018" s="57" t="s">
        <v>8950</v>
      </c>
      <c r="L4018" s="12" t="s">
        <v>404</v>
      </c>
      <c r="M4018" s="162" t="s">
        <v>230</v>
      </c>
      <c r="N4018" s="8" t="s">
        <v>8899</v>
      </c>
      <c r="O4018" s="6" t="s">
        <v>622</v>
      </c>
      <c r="P4018" s="58" t="s">
        <v>241</v>
      </c>
      <c r="Q4018" s="27" t="s">
        <v>234</v>
      </c>
      <c r="R4018" s="29">
        <v>8</v>
      </c>
      <c r="S4018" s="59">
        <v>11677.980000000001</v>
      </c>
      <c r="T4018" s="4">
        <f>R4018*S4018</f>
        <v>93423.840000000011</v>
      </c>
      <c r="U4018" s="4">
        <f>T4018*1.12</f>
        <v>104634.70080000002</v>
      </c>
      <c r="V4018" s="3"/>
      <c r="W4018" s="3">
        <v>2014</v>
      </c>
      <c r="X4018" s="3"/>
    </row>
    <row r="4019" spans="1:24" ht="76.5">
      <c r="A4019" s="3" t="s">
        <v>1809</v>
      </c>
      <c r="B4019" s="6" t="s">
        <v>361</v>
      </c>
      <c r="C4019" s="179" t="s">
        <v>5406</v>
      </c>
      <c r="D4019" s="6" t="s">
        <v>416</v>
      </c>
      <c r="E4019" s="181" t="s">
        <v>5407</v>
      </c>
      <c r="F4019" s="30" t="s">
        <v>7849</v>
      </c>
      <c r="G4019" s="3" t="s">
        <v>11449</v>
      </c>
      <c r="H4019" s="54">
        <v>0</v>
      </c>
      <c r="I4019" s="16">
        <v>470000000</v>
      </c>
      <c r="J4019" s="16" t="s">
        <v>229</v>
      </c>
      <c r="K4019" s="57" t="s">
        <v>641</v>
      </c>
      <c r="L4019" s="57" t="s">
        <v>364</v>
      </c>
      <c r="M4019" s="162" t="s">
        <v>230</v>
      </c>
      <c r="N4019" s="8" t="s">
        <v>8899</v>
      </c>
      <c r="O4019" s="6" t="s">
        <v>622</v>
      </c>
      <c r="P4019" s="58" t="s">
        <v>241</v>
      </c>
      <c r="Q4019" s="27" t="s">
        <v>234</v>
      </c>
      <c r="R4019" s="28">
        <v>20</v>
      </c>
      <c r="S4019" s="59">
        <f>428*1.07</f>
        <v>457.96000000000004</v>
      </c>
      <c r="T4019" s="4">
        <v>0</v>
      </c>
      <c r="U4019" s="4">
        <f t="shared" si="188"/>
        <v>0</v>
      </c>
      <c r="V4019" s="3"/>
      <c r="W4019" s="3">
        <v>2014</v>
      </c>
      <c r="X4019" s="3">
        <v>11.12</v>
      </c>
    </row>
    <row r="4020" spans="1:24" ht="76.5">
      <c r="A4020" s="3" t="s">
        <v>13072</v>
      </c>
      <c r="B4020" s="6" t="s">
        <v>361</v>
      </c>
      <c r="C4020" s="179" t="s">
        <v>5406</v>
      </c>
      <c r="D4020" s="6" t="s">
        <v>416</v>
      </c>
      <c r="E4020" s="181" t="s">
        <v>5407</v>
      </c>
      <c r="F4020" s="30" t="s">
        <v>7849</v>
      </c>
      <c r="G4020" s="3" t="s">
        <v>11449</v>
      </c>
      <c r="H4020" s="54">
        <v>0</v>
      </c>
      <c r="I4020" s="16">
        <v>470000000</v>
      </c>
      <c r="J4020" s="16" t="s">
        <v>229</v>
      </c>
      <c r="K4020" s="57" t="s">
        <v>642</v>
      </c>
      <c r="L4020" s="12" t="s">
        <v>404</v>
      </c>
      <c r="M4020" s="162" t="s">
        <v>230</v>
      </c>
      <c r="N4020" s="8" t="s">
        <v>8899</v>
      </c>
      <c r="O4020" s="6" t="s">
        <v>622</v>
      </c>
      <c r="P4020" s="58" t="s">
        <v>241</v>
      </c>
      <c r="Q4020" s="27" t="s">
        <v>234</v>
      </c>
      <c r="R4020" s="28">
        <v>20</v>
      </c>
      <c r="S4020" s="59">
        <f>428*1.07</f>
        <v>457.96000000000004</v>
      </c>
      <c r="T4020" s="4">
        <v>0</v>
      </c>
      <c r="U4020" s="4">
        <f>T4020*1.12</f>
        <v>0</v>
      </c>
      <c r="V4020" s="3"/>
      <c r="W4020" s="3">
        <v>2014</v>
      </c>
      <c r="X4020" s="3" t="s">
        <v>14785</v>
      </c>
    </row>
    <row r="4021" spans="1:24" ht="76.5">
      <c r="A4021" s="3" t="s">
        <v>16803</v>
      </c>
      <c r="B4021" s="6" t="s">
        <v>361</v>
      </c>
      <c r="C4021" s="179" t="s">
        <v>5406</v>
      </c>
      <c r="D4021" s="6" t="s">
        <v>416</v>
      </c>
      <c r="E4021" s="181" t="s">
        <v>5407</v>
      </c>
      <c r="F4021" s="30" t="s">
        <v>7849</v>
      </c>
      <c r="G4021" s="3" t="s">
        <v>11449</v>
      </c>
      <c r="H4021" s="54">
        <v>0</v>
      </c>
      <c r="I4021" s="16">
        <v>470000000</v>
      </c>
      <c r="J4021" s="16" t="s">
        <v>229</v>
      </c>
      <c r="K4021" s="57" t="s">
        <v>8950</v>
      </c>
      <c r="L4021" s="12" t="s">
        <v>404</v>
      </c>
      <c r="M4021" s="162" t="s">
        <v>230</v>
      </c>
      <c r="N4021" s="8" t="s">
        <v>8899</v>
      </c>
      <c r="O4021" s="6" t="s">
        <v>622</v>
      </c>
      <c r="P4021" s="58" t="s">
        <v>241</v>
      </c>
      <c r="Q4021" s="27" t="s">
        <v>234</v>
      </c>
      <c r="R4021" s="28">
        <v>20</v>
      </c>
      <c r="S4021" s="59">
        <v>549.55200000000002</v>
      </c>
      <c r="T4021" s="4">
        <f>R4021*S4021</f>
        <v>10991.04</v>
      </c>
      <c r="U4021" s="4">
        <f>T4021*1.12</f>
        <v>12309.964800000002</v>
      </c>
      <c r="V4021" s="3"/>
      <c r="W4021" s="3">
        <v>2014</v>
      </c>
      <c r="X4021" s="3"/>
    </row>
    <row r="4022" spans="1:24" ht="76.5">
      <c r="A4022" s="3" t="s">
        <v>1810</v>
      </c>
      <c r="B4022" s="6" t="s">
        <v>361</v>
      </c>
      <c r="C4022" s="179" t="s">
        <v>5406</v>
      </c>
      <c r="D4022" s="6" t="s">
        <v>416</v>
      </c>
      <c r="E4022" s="181" t="s">
        <v>5407</v>
      </c>
      <c r="F4022" s="30" t="s">
        <v>7850</v>
      </c>
      <c r="G4022" s="3" t="s">
        <v>11449</v>
      </c>
      <c r="H4022" s="54">
        <v>0</v>
      </c>
      <c r="I4022" s="16">
        <v>470000000</v>
      </c>
      <c r="J4022" s="16" t="s">
        <v>229</v>
      </c>
      <c r="K4022" s="57" t="s">
        <v>641</v>
      </c>
      <c r="L4022" s="57" t="s">
        <v>364</v>
      </c>
      <c r="M4022" s="162" t="s">
        <v>230</v>
      </c>
      <c r="N4022" s="8" t="s">
        <v>8899</v>
      </c>
      <c r="O4022" s="6" t="s">
        <v>622</v>
      </c>
      <c r="P4022" s="58" t="s">
        <v>241</v>
      </c>
      <c r="Q4022" s="27" t="s">
        <v>234</v>
      </c>
      <c r="R4022" s="28">
        <v>20</v>
      </c>
      <c r="S4022" s="59">
        <f>236*1.07</f>
        <v>252.52</v>
      </c>
      <c r="T4022" s="4">
        <v>0</v>
      </c>
      <c r="U4022" s="4">
        <f t="shared" si="188"/>
        <v>0</v>
      </c>
      <c r="V4022" s="3"/>
      <c r="W4022" s="3">
        <v>2014</v>
      </c>
      <c r="X4022" s="3">
        <v>11.12</v>
      </c>
    </row>
    <row r="4023" spans="1:24" ht="76.5">
      <c r="A4023" s="3" t="s">
        <v>13073</v>
      </c>
      <c r="B4023" s="6" t="s">
        <v>361</v>
      </c>
      <c r="C4023" s="179" t="s">
        <v>5406</v>
      </c>
      <c r="D4023" s="6" t="s">
        <v>416</v>
      </c>
      <c r="E4023" s="181" t="s">
        <v>5407</v>
      </c>
      <c r="F4023" s="30" t="s">
        <v>7850</v>
      </c>
      <c r="G4023" s="3" t="s">
        <v>11449</v>
      </c>
      <c r="H4023" s="54">
        <v>0</v>
      </c>
      <c r="I4023" s="16">
        <v>470000000</v>
      </c>
      <c r="J4023" s="16" t="s">
        <v>229</v>
      </c>
      <c r="K4023" s="57" t="s">
        <v>642</v>
      </c>
      <c r="L4023" s="12" t="s">
        <v>404</v>
      </c>
      <c r="M4023" s="162" t="s">
        <v>230</v>
      </c>
      <c r="N4023" s="8" t="s">
        <v>8899</v>
      </c>
      <c r="O4023" s="6" t="s">
        <v>622</v>
      </c>
      <c r="P4023" s="58" t="s">
        <v>241</v>
      </c>
      <c r="Q4023" s="27" t="s">
        <v>234</v>
      </c>
      <c r="R4023" s="28">
        <v>20</v>
      </c>
      <c r="S4023" s="59">
        <f>236*1.07</f>
        <v>252.52</v>
      </c>
      <c r="T4023" s="4">
        <v>0</v>
      </c>
      <c r="U4023" s="4">
        <f>T4023*1.12</f>
        <v>0</v>
      </c>
      <c r="V4023" s="3"/>
      <c r="W4023" s="3">
        <v>2014</v>
      </c>
      <c r="X4023" s="3" t="s">
        <v>14785</v>
      </c>
    </row>
    <row r="4024" spans="1:24" ht="76.5">
      <c r="A4024" s="3" t="s">
        <v>16804</v>
      </c>
      <c r="B4024" s="6" t="s">
        <v>361</v>
      </c>
      <c r="C4024" s="179" t="s">
        <v>5406</v>
      </c>
      <c r="D4024" s="6" t="s">
        <v>416</v>
      </c>
      <c r="E4024" s="181" t="s">
        <v>5407</v>
      </c>
      <c r="F4024" s="30" t="s">
        <v>7850</v>
      </c>
      <c r="G4024" s="3" t="s">
        <v>11449</v>
      </c>
      <c r="H4024" s="54">
        <v>0</v>
      </c>
      <c r="I4024" s="16">
        <v>470000000</v>
      </c>
      <c r="J4024" s="16" t="s">
        <v>229</v>
      </c>
      <c r="K4024" s="57" t="s">
        <v>8950</v>
      </c>
      <c r="L4024" s="12" t="s">
        <v>404</v>
      </c>
      <c r="M4024" s="162" t="s">
        <v>230</v>
      </c>
      <c r="N4024" s="8" t="s">
        <v>8899</v>
      </c>
      <c r="O4024" s="6" t="s">
        <v>622</v>
      </c>
      <c r="P4024" s="58" t="s">
        <v>241</v>
      </c>
      <c r="Q4024" s="27" t="s">
        <v>234</v>
      </c>
      <c r="R4024" s="28">
        <v>20</v>
      </c>
      <c r="S4024" s="59">
        <v>303.024</v>
      </c>
      <c r="T4024" s="4">
        <f>R4024*S4024</f>
        <v>6060.48</v>
      </c>
      <c r="U4024" s="4">
        <f>T4024*1.12</f>
        <v>6787.7376000000004</v>
      </c>
      <c r="V4024" s="3"/>
      <c r="W4024" s="3">
        <v>2014</v>
      </c>
      <c r="X4024" s="3"/>
    </row>
    <row r="4025" spans="1:24" ht="76.5">
      <c r="A4025" s="3" t="s">
        <v>1811</v>
      </c>
      <c r="B4025" s="6" t="s">
        <v>361</v>
      </c>
      <c r="C4025" s="179" t="s">
        <v>5406</v>
      </c>
      <c r="D4025" s="6" t="s">
        <v>416</v>
      </c>
      <c r="E4025" s="181" t="s">
        <v>5407</v>
      </c>
      <c r="F4025" s="30" t="s">
        <v>7851</v>
      </c>
      <c r="G4025" s="3" t="s">
        <v>11449</v>
      </c>
      <c r="H4025" s="54">
        <v>0</v>
      </c>
      <c r="I4025" s="16">
        <v>470000000</v>
      </c>
      <c r="J4025" s="16" t="s">
        <v>229</v>
      </c>
      <c r="K4025" s="57" t="s">
        <v>641</v>
      </c>
      <c r="L4025" s="57" t="s">
        <v>364</v>
      </c>
      <c r="M4025" s="162" t="s">
        <v>230</v>
      </c>
      <c r="N4025" s="8" t="s">
        <v>8899</v>
      </c>
      <c r="O4025" s="6" t="s">
        <v>622</v>
      </c>
      <c r="P4025" s="58" t="s">
        <v>241</v>
      </c>
      <c r="Q4025" s="27" t="s">
        <v>234</v>
      </c>
      <c r="R4025" s="28">
        <v>30</v>
      </c>
      <c r="S4025" s="59">
        <f>1284*1.07</f>
        <v>1373.88</v>
      </c>
      <c r="T4025" s="4">
        <v>0</v>
      </c>
      <c r="U4025" s="4">
        <f t="shared" si="188"/>
        <v>0</v>
      </c>
      <c r="V4025" s="3"/>
      <c r="W4025" s="3">
        <v>2014</v>
      </c>
      <c r="X4025" s="3">
        <v>11.12</v>
      </c>
    </row>
    <row r="4026" spans="1:24" ht="76.5">
      <c r="A4026" s="3" t="s">
        <v>13074</v>
      </c>
      <c r="B4026" s="6" t="s">
        <v>361</v>
      </c>
      <c r="C4026" s="179" t="s">
        <v>5406</v>
      </c>
      <c r="D4026" s="6" t="s">
        <v>416</v>
      </c>
      <c r="E4026" s="181" t="s">
        <v>5407</v>
      </c>
      <c r="F4026" s="30" t="s">
        <v>7851</v>
      </c>
      <c r="G4026" s="3" t="s">
        <v>11449</v>
      </c>
      <c r="H4026" s="54">
        <v>0</v>
      </c>
      <c r="I4026" s="16">
        <v>470000000</v>
      </c>
      <c r="J4026" s="16" t="s">
        <v>229</v>
      </c>
      <c r="K4026" s="57" t="s">
        <v>642</v>
      </c>
      <c r="L4026" s="12" t="s">
        <v>404</v>
      </c>
      <c r="M4026" s="162" t="s">
        <v>230</v>
      </c>
      <c r="N4026" s="8" t="s">
        <v>8899</v>
      </c>
      <c r="O4026" s="6" t="s">
        <v>622</v>
      </c>
      <c r="P4026" s="58" t="s">
        <v>241</v>
      </c>
      <c r="Q4026" s="27" t="s">
        <v>234</v>
      </c>
      <c r="R4026" s="28">
        <v>30</v>
      </c>
      <c r="S4026" s="59">
        <f>1284*1.07</f>
        <v>1373.88</v>
      </c>
      <c r="T4026" s="4">
        <v>0</v>
      </c>
      <c r="U4026" s="4">
        <f>T4026*1.12</f>
        <v>0</v>
      </c>
      <c r="V4026" s="3"/>
      <c r="W4026" s="3">
        <v>2014</v>
      </c>
      <c r="X4026" s="3" t="s">
        <v>14785</v>
      </c>
    </row>
    <row r="4027" spans="1:24" ht="76.5">
      <c r="A4027" s="3" t="s">
        <v>16805</v>
      </c>
      <c r="B4027" s="6" t="s">
        <v>361</v>
      </c>
      <c r="C4027" s="179" t="s">
        <v>5406</v>
      </c>
      <c r="D4027" s="6" t="s">
        <v>416</v>
      </c>
      <c r="E4027" s="181" t="s">
        <v>5407</v>
      </c>
      <c r="F4027" s="30" t="s">
        <v>7851</v>
      </c>
      <c r="G4027" s="3" t="s">
        <v>11449</v>
      </c>
      <c r="H4027" s="54">
        <v>0</v>
      </c>
      <c r="I4027" s="16">
        <v>470000000</v>
      </c>
      <c r="J4027" s="16" t="s">
        <v>229</v>
      </c>
      <c r="K4027" s="57" t="s">
        <v>8950</v>
      </c>
      <c r="L4027" s="12" t="s">
        <v>404</v>
      </c>
      <c r="M4027" s="162" t="s">
        <v>230</v>
      </c>
      <c r="N4027" s="8" t="s">
        <v>8899</v>
      </c>
      <c r="O4027" s="6" t="s">
        <v>622</v>
      </c>
      <c r="P4027" s="58" t="s">
        <v>241</v>
      </c>
      <c r="Q4027" s="27" t="s">
        <v>234</v>
      </c>
      <c r="R4027" s="28">
        <v>30</v>
      </c>
      <c r="S4027" s="59">
        <v>1648.6560000000002</v>
      </c>
      <c r="T4027" s="4">
        <f>R4027*S4027</f>
        <v>49459.680000000008</v>
      </c>
      <c r="U4027" s="4">
        <f>T4027*1.12</f>
        <v>55394.841600000014</v>
      </c>
      <c r="V4027" s="3"/>
      <c r="W4027" s="3">
        <v>2014</v>
      </c>
      <c r="X4027" s="3"/>
    </row>
    <row r="4028" spans="1:24" ht="76.5">
      <c r="A4028" s="3" t="s">
        <v>1812</v>
      </c>
      <c r="B4028" s="6" t="s">
        <v>361</v>
      </c>
      <c r="C4028" s="179" t="s">
        <v>5406</v>
      </c>
      <c r="D4028" s="6" t="s">
        <v>416</v>
      </c>
      <c r="E4028" s="181" t="s">
        <v>5407</v>
      </c>
      <c r="F4028" s="30" t="s">
        <v>7852</v>
      </c>
      <c r="G4028" s="3" t="s">
        <v>11449</v>
      </c>
      <c r="H4028" s="54">
        <v>0</v>
      </c>
      <c r="I4028" s="16">
        <v>470000000</v>
      </c>
      <c r="J4028" s="16" t="s">
        <v>229</v>
      </c>
      <c r="K4028" s="57" t="s">
        <v>641</v>
      </c>
      <c r="L4028" s="57" t="s">
        <v>364</v>
      </c>
      <c r="M4028" s="162" t="s">
        <v>230</v>
      </c>
      <c r="N4028" s="8" t="s">
        <v>8899</v>
      </c>
      <c r="O4028" s="6" t="s">
        <v>622</v>
      </c>
      <c r="P4028" s="58" t="s">
        <v>241</v>
      </c>
      <c r="Q4028" s="27" t="s">
        <v>234</v>
      </c>
      <c r="R4028" s="28">
        <v>30</v>
      </c>
      <c r="S4028" s="59">
        <f>610*1.07</f>
        <v>652.70000000000005</v>
      </c>
      <c r="T4028" s="4">
        <v>0</v>
      </c>
      <c r="U4028" s="4">
        <f t="shared" si="188"/>
        <v>0</v>
      </c>
      <c r="V4028" s="3"/>
      <c r="W4028" s="3">
        <v>2014</v>
      </c>
      <c r="X4028" s="3">
        <v>11.12</v>
      </c>
    </row>
    <row r="4029" spans="1:24" ht="76.5">
      <c r="A4029" s="3" t="s">
        <v>13075</v>
      </c>
      <c r="B4029" s="6" t="s">
        <v>361</v>
      </c>
      <c r="C4029" s="179" t="s">
        <v>5406</v>
      </c>
      <c r="D4029" s="6" t="s">
        <v>416</v>
      </c>
      <c r="E4029" s="181" t="s">
        <v>5407</v>
      </c>
      <c r="F4029" s="30" t="s">
        <v>7852</v>
      </c>
      <c r="G4029" s="3" t="s">
        <v>11449</v>
      </c>
      <c r="H4029" s="54">
        <v>0</v>
      </c>
      <c r="I4029" s="16">
        <v>470000000</v>
      </c>
      <c r="J4029" s="16" t="s">
        <v>229</v>
      </c>
      <c r="K4029" s="57" t="s">
        <v>642</v>
      </c>
      <c r="L4029" s="12" t="s">
        <v>404</v>
      </c>
      <c r="M4029" s="162" t="s">
        <v>230</v>
      </c>
      <c r="N4029" s="8" t="s">
        <v>8899</v>
      </c>
      <c r="O4029" s="6" t="s">
        <v>622</v>
      </c>
      <c r="P4029" s="58" t="s">
        <v>241</v>
      </c>
      <c r="Q4029" s="27" t="s">
        <v>234</v>
      </c>
      <c r="R4029" s="28">
        <v>30</v>
      </c>
      <c r="S4029" s="59">
        <f>610*1.07</f>
        <v>652.70000000000005</v>
      </c>
      <c r="T4029" s="4">
        <v>0</v>
      </c>
      <c r="U4029" s="4">
        <f>T4029*1.12</f>
        <v>0</v>
      </c>
      <c r="V4029" s="3"/>
      <c r="W4029" s="3">
        <v>2014</v>
      </c>
      <c r="X4029" s="3" t="s">
        <v>14785</v>
      </c>
    </row>
    <row r="4030" spans="1:24" ht="76.5">
      <c r="A4030" s="3" t="s">
        <v>16806</v>
      </c>
      <c r="B4030" s="6" t="s">
        <v>361</v>
      </c>
      <c r="C4030" s="179" t="s">
        <v>5406</v>
      </c>
      <c r="D4030" s="6" t="s">
        <v>416</v>
      </c>
      <c r="E4030" s="181" t="s">
        <v>5407</v>
      </c>
      <c r="F4030" s="30" t="s">
        <v>7852</v>
      </c>
      <c r="G4030" s="3" t="s">
        <v>11449</v>
      </c>
      <c r="H4030" s="54">
        <v>0</v>
      </c>
      <c r="I4030" s="16">
        <v>470000000</v>
      </c>
      <c r="J4030" s="16" t="s">
        <v>229</v>
      </c>
      <c r="K4030" s="57" t="s">
        <v>8950</v>
      </c>
      <c r="L4030" s="12" t="s">
        <v>404</v>
      </c>
      <c r="M4030" s="162" t="s">
        <v>230</v>
      </c>
      <c r="N4030" s="8" t="s">
        <v>8899</v>
      </c>
      <c r="O4030" s="6" t="s">
        <v>622</v>
      </c>
      <c r="P4030" s="58" t="s">
        <v>241</v>
      </c>
      <c r="Q4030" s="27" t="s">
        <v>234</v>
      </c>
      <c r="R4030" s="28">
        <v>30</v>
      </c>
      <c r="S4030" s="59">
        <v>783.24</v>
      </c>
      <c r="T4030" s="4">
        <f>R4030*S4030</f>
        <v>23497.200000000001</v>
      </c>
      <c r="U4030" s="4">
        <f>T4030*1.12</f>
        <v>26316.864000000005</v>
      </c>
      <c r="V4030" s="3"/>
      <c r="W4030" s="3">
        <v>2014</v>
      </c>
      <c r="X4030" s="3"/>
    </row>
    <row r="4031" spans="1:24" ht="76.5">
      <c r="A4031" s="3" t="s">
        <v>1813</v>
      </c>
      <c r="B4031" s="6" t="s">
        <v>361</v>
      </c>
      <c r="C4031" s="6" t="s">
        <v>5408</v>
      </c>
      <c r="D4031" s="6" t="s">
        <v>5409</v>
      </c>
      <c r="E4031" s="65" t="s">
        <v>5183</v>
      </c>
      <c r="F4031" s="8" t="s">
        <v>5410</v>
      </c>
      <c r="G4031" s="3" t="s">
        <v>11449</v>
      </c>
      <c r="H4031" s="54">
        <v>0</v>
      </c>
      <c r="I4031" s="16">
        <v>470000000</v>
      </c>
      <c r="J4031" s="16" t="s">
        <v>229</v>
      </c>
      <c r="K4031" s="57" t="s">
        <v>641</v>
      </c>
      <c r="L4031" s="57" t="s">
        <v>364</v>
      </c>
      <c r="M4031" s="162" t="s">
        <v>230</v>
      </c>
      <c r="N4031" s="8" t="s">
        <v>8899</v>
      </c>
      <c r="O4031" s="6" t="s">
        <v>622</v>
      </c>
      <c r="P4031" s="58" t="s">
        <v>241</v>
      </c>
      <c r="Q4031" s="27" t="s">
        <v>234</v>
      </c>
      <c r="R4031" s="29">
        <v>4</v>
      </c>
      <c r="S4031" s="59">
        <v>33044.39</v>
      </c>
      <c r="T4031" s="4">
        <v>0</v>
      </c>
      <c r="U4031" s="4">
        <f t="shared" si="188"/>
        <v>0</v>
      </c>
      <c r="V4031" s="3"/>
      <c r="W4031" s="3">
        <v>2014</v>
      </c>
      <c r="X4031" s="3">
        <v>11.12</v>
      </c>
    </row>
    <row r="4032" spans="1:24" ht="76.5">
      <c r="A4032" s="3" t="s">
        <v>13076</v>
      </c>
      <c r="B4032" s="6" t="s">
        <v>361</v>
      </c>
      <c r="C4032" s="6" t="s">
        <v>5408</v>
      </c>
      <c r="D4032" s="6" t="s">
        <v>5409</v>
      </c>
      <c r="E4032" s="65" t="s">
        <v>5183</v>
      </c>
      <c r="F4032" s="8" t="s">
        <v>5410</v>
      </c>
      <c r="G4032" s="3" t="s">
        <v>11449</v>
      </c>
      <c r="H4032" s="54">
        <v>0</v>
      </c>
      <c r="I4032" s="16">
        <v>470000000</v>
      </c>
      <c r="J4032" s="16" t="s">
        <v>229</v>
      </c>
      <c r="K4032" s="57" t="s">
        <v>642</v>
      </c>
      <c r="L4032" s="12" t="s">
        <v>404</v>
      </c>
      <c r="M4032" s="162" t="s">
        <v>230</v>
      </c>
      <c r="N4032" s="8" t="s">
        <v>8899</v>
      </c>
      <c r="O4032" s="6" t="s">
        <v>622</v>
      </c>
      <c r="P4032" s="58" t="s">
        <v>241</v>
      </c>
      <c r="Q4032" s="27" t="s">
        <v>234</v>
      </c>
      <c r="R4032" s="29">
        <v>4</v>
      </c>
      <c r="S4032" s="59">
        <v>33044.39</v>
      </c>
      <c r="T4032" s="4">
        <v>0</v>
      </c>
      <c r="U4032" s="4">
        <f>T4032*1.12</f>
        <v>0</v>
      </c>
      <c r="V4032" s="3"/>
      <c r="W4032" s="3">
        <v>2014</v>
      </c>
      <c r="X4032" s="3" t="s">
        <v>14785</v>
      </c>
    </row>
    <row r="4033" spans="1:24" ht="76.5">
      <c r="A4033" s="3" t="s">
        <v>16807</v>
      </c>
      <c r="B4033" s="6" t="s">
        <v>361</v>
      </c>
      <c r="C4033" s="6" t="s">
        <v>5408</v>
      </c>
      <c r="D4033" s="6" t="s">
        <v>5409</v>
      </c>
      <c r="E4033" s="65" t="s">
        <v>5183</v>
      </c>
      <c r="F4033" s="8" t="s">
        <v>5410</v>
      </c>
      <c r="G4033" s="3" t="s">
        <v>11449</v>
      </c>
      <c r="H4033" s="54">
        <v>0</v>
      </c>
      <c r="I4033" s="16">
        <v>470000000</v>
      </c>
      <c r="J4033" s="16" t="s">
        <v>229</v>
      </c>
      <c r="K4033" s="57" t="s">
        <v>8950</v>
      </c>
      <c r="L4033" s="12" t="s">
        <v>404</v>
      </c>
      <c r="M4033" s="162" t="s">
        <v>230</v>
      </c>
      <c r="N4033" s="8" t="s">
        <v>8899</v>
      </c>
      <c r="O4033" s="6" t="s">
        <v>622</v>
      </c>
      <c r="P4033" s="58" t="s">
        <v>241</v>
      </c>
      <c r="Q4033" s="336" t="s">
        <v>234</v>
      </c>
      <c r="R4033" s="29">
        <v>4</v>
      </c>
      <c r="S4033" s="59">
        <v>90263.916000000012</v>
      </c>
      <c r="T4033" s="4">
        <v>0</v>
      </c>
      <c r="U4033" s="4">
        <f t="shared" ref="U4033:U4034" si="199">T4033*1.12</f>
        <v>0</v>
      </c>
      <c r="V4033" s="3"/>
      <c r="W4033" s="3">
        <v>2014</v>
      </c>
      <c r="X4033" s="3" t="s">
        <v>14265</v>
      </c>
    </row>
    <row r="4034" spans="1:24" ht="76.5">
      <c r="A4034" s="3" t="s">
        <v>19122</v>
      </c>
      <c r="B4034" s="6" t="s">
        <v>361</v>
      </c>
      <c r="C4034" s="6" t="s">
        <v>5408</v>
      </c>
      <c r="D4034" s="6" t="s">
        <v>5409</v>
      </c>
      <c r="E4034" s="65" t="s">
        <v>5183</v>
      </c>
      <c r="F4034" s="8" t="s">
        <v>5410</v>
      </c>
      <c r="G4034" s="3" t="s">
        <v>11449</v>
      </c>
      <c r="H4034" s="54">
        <v>0</v>
      </c>
      <c r="I4034" s="16">
        <v>470000000</v>
      </c>
      <c r="J4034" s="16" t="s">
        <v>229</v>
      </c>
      <c r="K4034" s="57" t="s">
        <v>18437</v>
      </c>
      <c r="L4034" s="12" t="s">
        <v>404</v>
      </c>
      <c r="M4034" s="162" t="s">
        <v>230</v>
      </c>
      <c r="N4034" s="8" t="s">
        <v>19369</v>
      </c>
      <c r="O4034" s="6" t="s">
        <v>19407</v>
      </c>
      <c r="P4034" s="58" t="s">
        <v>241</v>
      </c>
      <c r="Q4034" s="336" t="s">
        <v>234</v>
      </c>
      <c r="R4034" s="29">
        <v>4</v>
      </c>
      <c r="S4034" s="59">
        <v>90263.916000000012</v>
      </c>
      <c r="T4034" s="4">
        <f>R4034*S4034</f>
        <v>361055.66400000005</v>
      </c>
      <c r="U4034" s="4">
        <f t="shared" si="199"/>
        <v>404382.34368000011</v>
      </c>
      <c r="V4034" s="3"/>
      <c r="W4034" s="3">
        <v>2014</v>
      </c>
      <c r="X4034" s="3"/>
    </row>
    <row r="4035" spans="1:24" ht="76.5">
      <c r="A4035" s="3" t="s">
        <v>1814</v>
      </c>
      <c r="B4035" s="6" t="s">
        <v>361</v>
      </c>
      <c r="C4035" s="6" t="s">
        <v>5408</v>
      </c>
      <c r="D4035" s="6" t="s">
        <v>5409</v>
      </c>
      <c r="E4035" s="65" t="s">
        <v>5183</v>
      </c>
      <c r="F4035" s="8" t="s">
        <v>5411</v>
      </c>
      <c r="G4035" s="3" t="s">
        <v>11449</v>
      </c>
      <c r="H4035" s="54">
        <v>0</v>
      </c>
      <c r="I4035" s="16">
        <v>470000000</v>
      </c>
      <c r="J4035" s="16" t="s">
        <v>229</v>
      </c>
      <c r="K4035" s="57" t="s">
        <v>641</v>
      </c>
      <c r="L4035" s="57" t="s">
        <v>364</v>
      </c>
      <c r="M4035" s="162" t="s">
        <v>230</v>
      </c>
      <c r="N4035" s="8" t="s">
        <v>8899</v>
      </c>
      <c r="O4035" s="6" t="s">
        <v>622</v>
      </c>
      <c r="P4035" s="58" t="s">
        <v>241</v>
      </c>
      <c r="Q4035" s="27" t="s">
        <v>234</v>
      </c>
      <c r="R4035" s="29">
        <v>4</v>
      </c>
      <c r="S4035" s="59">
        <f>61632*1.07</f>
        <v>65946.240000000005</v>
      </c>
      <c r="T4035" s="4">
        <v>0</v>
      </c>
      <c r="U4035" s="4">
        <f t="shared" si="188"/>
        <v>0</v>
      </c>
      <c r="V4035" s="3"/>
      <c r="W4035" s="3">
        <v>2014</v>
      </c>
      <c r="X4035" s="3">
        <v>11.12</v>
      </c>
    </row>
    <row r="4036" spans="1:24" ht="76.5">
      <c r="A4036" s="3" t="s">
        <v>13077</v>
      </c>
      <c r="B4036" s="6" t="s">
        <v>361</v>
      </c>
      <c r="C4036" s="6" t="s">
        <v>5408</v>
      </c>
      <c r="D4036" s="6" t="s">
        <v>5409</v>
      </c>
      <c r="E4036" s="65" t="s">
        <v>5183</v>
      </c>
      <c r="F4036" s="8" t="s">
        <v>5411</v>
      </c>
      <c r="G4036" s="3" t="s">
        <v>11449</v>
      </c>
      <c r="H4036" s="54">
        <v>0</v>
      </c>
      <c r="I4036" s="16">
        <v>470000000</v>
      </c>
      <c r="J4036" s="16" t="s">
        <v>229</v>
      </c>
      <c r="K4036" s="57" t="s">
        <v>642</v>
      </c>
      <c r="L4036" s="12" t="s">
        <v>404</v>
      </c>
      <c r="M4036" s="162" t="s">
        <v>230</v>
      </c>
      <c r="N4036" s="8" t="s">
        <v>8899</v>
      </c>
      <c r="O4036" s="6" t="s">
        <v>622</v>
      </c>
      <c r="P4036" s="58" t="s">
        <v>241</v>
      </c>
      <c r="Q4036" s="27" t="s">
        <v>234</v>
      </c>
      <c r="R4036" s="29">
        <v>4</v>
      </c>
      <c r="S4036" s="59">
        <f>61632*1.07</f>
        <v>65946.240000000005</v>
      </c>
      <c r="T4036" s="4">
        <v>0</v>
      </c>
      <c r="U4036" s="4">
        <f>T4036*1.12</f>
        <v>0</v>
      </c>
      <c r="V4036" s="3"/>
      <c r="W4036" s="3">
        <v>2014</v>
      </c>
      <c r="X4036" s="3" t="s">
        <v>14785</v>
      </c>
    </row>
    <row r="4037" spans="1:24" ht="76.5">
      <c r="A4037" s="3" t="s">
        <v>16808</v>
      </c>
      <c r="B4037" s="6" t="s">
        <v>361</v>
      </c>
      <c r="C4037" s="6" t="s">
        <v>5408</v>
      </c>
      <c r="D4037" s="6" t="s">
        <v>5409</v>
      </c>
      <c r="E4037" s="65" t="s">
        <v>5183</v>
      </c>
      <c r="F4037" s="8" t="s">
        <v>5411</v>
      </c>
      <c r="G4037" s="3" t="s">
        <v>11449</v>
      </c>
      <c r="H4037" s="54">
        <v>0</v>
      </c>
      <c r="I4037" s="16">
        <v>470000000</v>
      </c>
      <c r="J4037" s="16" t="s">
        <v>229</v>
      </c>
      <c r="K4037" s="57" t="s">
        <v>8950</v>
      </c>
      <c r="L4037" s="12" t="s">
        <v>404</v>
      </c>
      <c r="M4037" s="162" t="s">
        <v>230</v>
      </c>
      <c r="N4037" s="8" t="s">
        <v>8899</v>
      </c>
      <c r="O4037" s="6" t="s">
        <v>622</v>
      </c>
      <c r="P4037" s="58" t="s">
        <v>241</v>
      </c>
      <c r="Q4037" s="27" t="s">
        <v>234</v>
      </c>
      <c r="R4037" s="29">
        <v>4</v>
      </c>
      <c r="S4037" s="59">
        <v>79135.487999999998</v>
      </c>
      <c r="T4037" s="4">
        <f>R4037*S4037</f>
        <v>316541.95199999999</v>
      </c>
      <c r="U4037" s="4">
        <f>T4037*1.12</f>
        <v>354526.98624</v>
      </c>
      <c r="V4037" s="3"/>
      <c r="W4037" s="3">
        <v>2014</v>
      </c>
      <c r="X4037" s="3"/>
    </row>
    <row r="4038" spans="1:24" ht="76.5">
      <c r="A4038" s="3" t="s">
        <v>1815</v>
      </c>
      <c r="B4038" s="6" t="s">
        <v>361</v>
      </c>
      <c r="C4038" s="6" t="s">
        <v>5412</v>
      </c>
      <c r="D4038" s="6" t="s">
        <v>5413</v>
      </c>
      <c r="E4038" s="65" t="s">
        <v>5183</v>
      </c>
      <c r="F4038" s="8" t="s">
        <v>7853</v>
      </c>
      <c r="G4038" s="3" t="s">
        <v>11449</v>
      </c>
      <c r="H4038" s="54">
        <v>0</v>
      </c>
      <c r="I4038" s="16">
        <v>470000000</v>
      </c>
      <c r="J4038" s="16" t="s">
        <v>229</v>
      </c>
      <c r="K4038" s="57" t="s">
        <v>641</v>
      </c>
      <c r="L4038" s="57" t="s">
        <v>364</v>
      </c>
      <c r="M4038" s="162" t="s">
        <v>230</v>
      </c>
      <c r="N4038" s="8" t="s">
        <v>8899</v>
      </c>
      <c r="O4038" s="6" t="s">
        <v>622</v>
      </c>
      <c r="P4038" s="58" t="s">
        <v>241</v>
      </c>
      <c r="Q4038" s="27" t="s">
        <v>234</v>
      </c>
      <c r="R4038" s="29">
        <v>4</v>
      </c>
      <c r="S4038" s="59">
        <v>29181.87</v>
      </c>
      <c r="T4038" s="4">
        <v>0</v>
      </c>
      <c r="U4038" s="4">
        <f t="shared" si="188"/>
        <v>0</v>
      </c>
      <c r="V4038" s="3"/>
      <c r="W4038" s="3">
        <v>2014</v>
      </c>
      <c r="X4038" s="3">
        <v>11.12</v>
      </c>
    </row>
    <row r="4039" spans="1:24" ht="76.5">
      <c r="A4039" s="3" t="s">
        <v>13078</v>
      </c>
      <c r="B4039" s="6" t="s">
        <v>361</v>
      </c>
      <c r="C4039" s="6" t="s">
        <v>5412</v>
      </c>
      <c r="D4039" s="6" t="s">
        <v>5413</v>
      </c>
      <c r="E4039" s="65" t="s">
        <v>5183</v>
      </c>
      <c r="F4039" s="8" t="s">
        <v>7853</v>
      </c>
      <c r="G4039" s="3" t="s">
        <v>11449</v>
      </c>
      <c r="H4039" s="54">
        <v>0</v>
      </c>
      <c r="I4039" s="16">
        <v>470000000</v>
      </c>
      <c r="J4039" s="16" t="s">
        <v>229</v>
      </c>
      <c r="K4039" s="57" t="s">
        <v>642</v>
      </c>
      <c r="L4039" s="12" t="s">
        <v>404</v>
      </c>
      <c r="M4039" s="162" t="s">
        <v>230</v>
      </c>
      <c r="N4039" s="8" t="s">
        <v>8899</v>
      </c>
      <c r="O4039" s="6" t="s">
        <v>622</v>
      </c>
      <c r="P4039" s="58" t="s">
        <v>241</v>
      </c>
      <c r="Q4039" s="27" t="s">
        <v>234</v>
      </c>
      <c r="R4039" s="29">
        <v>4</v>
      </c>
      <c r="S4039" s="59">
        <v>29181.87</v>
      </c>
      <c r="T4039" s="4">
        <v>0</v>
      </c>
      <c r="U4039" s="4">
        <f>T4039*1.12</f>
        <v>0</v>
      </c>
      <c r="V4039" s="3"/>
      <c r="W4039" s="3">
        <v>2014</v>
      </c>
      <c r="X4039" s="3" t="s">
        <v>14785</v>
      </c>
    </row>
    <row r="4040" spans="1:24" ht="76.5">
      <c r="A4040" s="3" t="s">
        <v>16809</v>
      </c>
      <c r="B4040" s="6" t="s">
        <v>361</v>
      </c>
      <c r="C4040" s="6" t="s">
        <v>5412</v>
      </c>
      <c r="D4040" s="6" t="s">
        <v>5413</v>
      </c>
      <c r="E4040" s="65" t="s">
        <v>5183</v>
      </c>
      <c r="F4040" s="8" t="s">
        <v>7853</v>
      </c>
      <c r="G4040" s="3" t="s">
        <v>11449</v>
      </c>
      <c r="H4040" s="54">
        <v>0</v>
      </c>
      <c r="I4040" s="16">
        <v>470000000</v>
      </c>
      <c r="J4040" s="16" t="s">
        <v>229</v>
      </c>
      <c r="K4040" s="57" t="s">
        <v>8950</v>
      </c>
      <c r="L4040" s="12" t="s">
        <v>404</v>
      </c>
      <c r="M4040" s="162" t="s">
        <v>230</v>
      </c>
      <c r="N4040" s="8" t="s">
        <v>8899</v>
      </c>
      <c r="O4040" s="6" t="s">
        <v>622</v>
      </c>
      <c r="P4040" s="58" t="s">
        <v>241</v>
      </c>
      <c r="Q4040" s="27" t="s">
        <v>234</v>
      </c>
      <c r="R4040" s="29">
        <v>4</v>
      </c>
      <c r="S4040" s="59">
        <v>45887.592000000004</v>
      </c>
      <c r="T4040" s="4">
        <f>R4040*S4040</f>
        <v>183550.36800000002</v>
      </c>
      <c r="U4040" s="4">
        <f>T4040*1.12</f>
        <v>205576.41216000004</v>
      </c>
      <c r="V4040" s="3"/>
      <c r="W4040" s="3">
        <v>2014</v>
      </c>
      <c r="X4040" s="3"/>
    </row>
    <row r="4041" spans="1:24" ht="76.5">
      <c r="A4041" s="3" t="s">
        <v>1816</v>
      </c>
      <c r="B4041" s="6" t="s">
        <v>361</v>
      </c>
      <c r="C4041" s="179" t="s">
        <v>5414</v>
      </c>
      <c r="D4041" s="3" t="s">
        <v>508</v>
      </c>
      <c r="E4041" s="181" t="s">
        <v>5183</v>
      </c>
      <c r="F4041" s="8" t="s">
        <v>7854</v>
      </c>
      <c r="G4041" s="3" t="s">
        <v>11449</v>
      </c>
      <c r="H4041" s="54">
        <v>0</v>
      </c>
      <c r="I4041" s="16">
        <v>470000000</v>
      </c>
      <c r="J4041" s="16" t="s">
        <v>229</v>
      </c>
      <c r="K4041" s="57" t="s">
        <v>641</v>
      </c>
      <c r="L4041" s="57" t="s">
        <v>364</v>
      </c>
      <c r="M4041" s="162" t="s">
        <v>230</v>
      </c>
      <c r="N4041" s="8" t="s">
        <v>8899</v>
      </c>
      <c r="O4041" s="6" t="s">
        <v>622</v>
      </c>
      <c r="P4041" s="58" t="s">
        <v>241</v>
      </c>
      <c r="Q4041" s="27" t="s">
        <v>234</v>
      </c>
      <c r="R4041" s="29">
        <v>20</v>
      </c>
      <c r="S4041" s="59">
        <f>5404*1.07</f>
        <v>5782.2800000000007</v>
      </c>
      <c r="T4041" s="4">
        <v>0</v>
      </c>
      <c r="U4041" s="4">
        <f t="shared" si="188"/>
        <v>0</v>
      </c>
      <c r="V4041" s="3"/>
      <c r="W4041" s="3">
        <v>2014</v>
      </c>
      <c r="X4041" s="3">
        <v>11.12</v>
      </c>
    </row>
    <row r="4042" spans="1:24" ht="76.5">
      <c r="A4042" s="3" t="s">
        <v>13079</v>
      </c>
      <c r="B4042" s="6" t="s">
        <v>361</v>
      </c>
      <c r="C4042" s="179" t="s">
        <v>5414</v>
      </c>
      <c r="D4042" s="3" t="s">
        <v>508</v>
      </c>
      <c r="E4042" s="181" t="s">
        <v>5183</v>
      </c>
      <c r="F4042" s="8" t="s">
        <v>7854</v>
      </c>
      <c r="G4042" s="3" t="s">
        <v>11449</v>
      </c>
      <c r="H4042" s="54">
        <v>0</v>
      </c>
      <c r="I4042" s="16">
        <v>470000000</v>
      </c>
      <c r="J4042" s="16" t="s">
        <v>229</v>
      </c>
      <c r="K4042" s="57" t="s">
        <v>642</v>
      </c>
      <c r="L4042" s="12" t="s">
        <v>404</v>
      </c>
      <c r="M4042" s="162" t="s">
        <v>230</v>
      </c>
      <c r="N4042" s="8" t="s">
        <v>8899</v>
      </c>
      <c r="O4042" s="6" t="s">
        <v>622</v>
      </c>
      <c r="P4042" s="58" t="s">
        <v>241</v>
      </c>
      <c r="Q4042" s="27" t="s">
        <v>234</v>
      </c>
      <c r="R4042" s="29">
        <v>20</v>
      </c>
      <c r="S4042" s="59">
        <f>5404*1.07</f>
        <v>5782.2800000000007</v>
      </c>
      <c r="T4042" s="4">
        <v>0</v>
      </c>
      <c r="U4042" s="4">
        <f>T4042*1.12</f>
        <v>0</v>
      </c>
      <c r="V4042" s="3"/>
      <c r="W4042" s="3">
        <v>2014</v>
      </c>
      <c r="X4042" s="3" t="s">
        <v>14785</v>
      </c>
    </row>
    <row r="4043" spans="1:24" ht="76.5">
      <c r="A4043" s="3" t="s">
        <v>16810</v>
      </c>
      <c r="B4043" s="6" t="s">
        <v>361</v>
      </c>
      <c r="C4043" s="179" t="s">
        <v>5414</v>
      </c>
      <c r="D4043" s="3" t="s">
        <v>508</v>
      </c>
      <c r="E4043" s="181" t="s">
        <v>5183</v>
      </c>
      <c r="F4043" s="8" t="s">
        <v>7854</v>
      </c>
      <c r="G4043" s="3" t="s">
        <v>11449</v>
      </c>
      <c r="H4043" s="54">
        <v>0</v>
      </c>
      <c r="I4043" s="16">
        <v>470000000</v>
      </c>
      <c r="J4043" s="16" t="s">
        <v>229</v>
      </c>
      <c r="K4043" s="57" t="s">
        <v>8950</v>
      </c>
      <c r="L4043" s="12" t="s">
        <v>404</v>
      </c>
      <c r="M4043" s="162" t="s">
        <v>230</v>
      </c>
      <c r="N4043" s="8" t="s">
        <v>8899</v>
      </c>
      <c r="O4043" s="6" t="s">
        <v>622</v>
      </c>
      <c r="P4043" s="58" t="s">
        <v>241</v>
      </c>
      <c r="Q4043" s="27" t="s">
        <v>234</v>
      </c>
      <c r="R4043" s="29">
        <v>20</v>
      </c>
      <c r="S4043" s="59">
        <v>6938.7360000000008</v>
      </c>
      <c r="T4043" s="4">
        <f>R4043*S4043</f>
        <v>138774.72000000003</v>
      </c>
      <c r="U4043" s="4">
        <f>T4043*1.12</f>
        <v>155427.68640000004</v>
      </c>
      <c r="V4043" s="3"/>
      <c r="W4043" s="3">
        <v>2014</v>
      </c>
      <c r="X4043" s="3"/>
    </row>
    <row r="4044" spans="1:24" ht="76.5">
      <c r="A4044" s="3" t="s">
        <v>1817</v>
      </c>
      <c r="B4044" s="6" t="s">
        <v>361</v>
      </c>
      <c r="C4044" s="179" t="s">
        <v>5414</v>
      </c>
      <c r="D4044" s="3" t="s">
        <v>508</v>
      </c>
      <c r="E4044" s="181" t="s">
        <v>5183</v>
      </c>
      <c r="F4044" s="9" t="s">
        <v>7855</v>
      </c>
      <c r="G4044" s="3" t="s">
        <v>11449</v>
      </c>
      <c r="H4044" s="54">
        <v>0</v>
      </c>
      <c r="I4044" s="16">
        <v>470000000</v>
      </c>
      <c r="J4044" s="16" t="s">
        <v>229</v>
      </c>
      <c r="K4044" s="57" t="s">
        <v>641</v>
      </c>
      <c r="L4044" s="57" t="s">
        <v>364</v>
      </c>
      <c r="M4044" s="162" t="s">
        <v>230</v>
      </c>
      <c r="N4044" s="8" t="s">
        <v>8899</v>
      </c>
      <c r="O4044" s="6" t="s">
        <v>622</v>
      </c>
      <c r="P4044" s="58" t="s">
        <v>241</v>
      </c>
      <c r="Q4044" s="27" t="s">
        <v>234</v>
      </c>
      <c r="R4044" s="29">
        <v>20</v>
      </c>
      <c r="S4044" s="59">
        <f>4762*1.07</f>
        <v>5095.34</v>
      </c>
      <c r="T4044" s="4">
        <v>0</v>
      </c>
      <c r="U4044" s="4">
        <f t="shared" si="188"/>
        <v>0</v>
      </c>
      <c r="V4044" s="3"/>
      <c r="W4044" s="3">
        <v>2014</v>
      </c>
      <c r="X4044" s="3">
        <v>11.12</v>
      </c>
    </row>
    <row r="4045" spans="1:24" ht="76.5">
      <c r="A4045" s="3" t="s">
        <v>13080</v>
      </c>
      <c r="B4045" s="6" t="s">
        <v>361</v>
      </c>
      <c r="C4045" s="179" t="s">
        <v>5414</v>
      </c>
      <c r="D4045" s="3" t="s">
        <v>508</v>
      </c>
      <c r="E4045" s="181" t="s">
        <v>5183</v>
      </c>
      <c r="F4045" s="9" t="s">
        <v>7855</v>
      </c>
      <c r="G4045" s="3" t="s">
        <v>11449</v>
      </c>
      <c r="H4045" s="54">
        <v>0</v>
      </c>
      <c r="I4045" s="16">
        <v>470000000</v>
      </c>
      <c r="J4045" s="16" t="s">
        <v>229</v>
      </c>
      <c r="K4045" s="57" t="s">
        <v>642</v>
      </c>
      <c r="L4045" s="12" t="s">
        <v>404</v>
      </c>
      <c r="M4045" s="162" t="s">
        <v>230</v>
      </c>
      <c r="N4045" s="8" t="s">
        <v>8899</v>
      </c>
      <c r="O4045" s="6" t="s">
        <v>622</v>
      </c>
      <c r="P4045" s="58" t="s">
        <v>241</v>
      </c>
      <c r="Q4045" s="27" t="s">
        <v>234</v>
      </c>
      <c r="R4045" s="29">
        <v>20</v>
      </c>
      <c r="S4045" s="59">
        <f>4762*1.07</f>
        <v>5095.34</v>
      </c>
      <c r="T4045" s="4">
        <v>0</v>
      </c>
      <c r="U4045" s="4">
        <f>T4045*1.12</f>
        <v>0</v>
      </c>
      <c r="V4045" s="3"/>
      <c r="W4045" s="3">
        <v>2014</v>
      </c>
      <c r="X4045" s="3" t="s">
        <v>14785</v>
      </c>
    </row>
    <row r="4046" spans="1:24" ht="76.5">
      <c r="A4046" s="3" t="s">
        <v>16811</v>
      </c>
      <c r="B4046" s="6" t="s">
        <v>361</v>
      </c>
      <c r="C4046" s="179" t="s">
        <v>5414</v>
      </c>
      <c r="D4046" s="3" t="s">
        <v>508</v>
      </c>
      <c r="E4046" s="181" t="s">
        <v>5183</v>
      </c>
      <c r="F4046" s="9" t="s">
        <v>7855</v>
      </c>
      <c r="G4046" s="3" t="s">
        <v>11449</v>
      </c>
      <c r="H4046" s="54">
        <v>0</v>
      </c>
      <c r="I4046" s="16">
        <v>470000000</v>
      </c>
      <c r="J4046" s="16" t="s">
        <v>229</v>
      </c>
      <c r="K4046" s="57" t="s">
        <v>8950</v>
      </c>
      <c r="L4046" s="12" t="s">
        <v>404</v>
      </c>
      <c r="M4046" s="162" t="s">
        <v>230</v>
      </c>
      <c r="N4046" s="8" t="s">
        <v>8899</v>
      </c>
      <c r="O4046" s="6" t="s">
        <v>622</v>
      </c>
      <c r="P4046" s="58" t="s">
        <v>241</v>
      </c>
      <c r="Q4046" s="27" t="s">
        <v>234</v>
      </c>
      <c r="R4046" s="29">
        <v>20</v>
      </c>
      <c r="S4046" s="59">
        <v>6114.4080000000004</v>
      </c>
      <c r="T4046" s="4">
        <f>R4046*S4046</f>
        <v>122288.16</v>
      </c>
      <c r="U4046" s="4">
        <f>T4046*1.12</f>
        <v>136962.73920000001</v>
      </c>
      <c r="V4046" s="3"/>
      <c r="W4046" s="3">
        <v>2014</v>
      </c>
      <c r="X4046" s="3"/>
    </row>
    <row r="4047" spans="1:24" ht="76.5">
      <c r="A4047" s="3" t="s">
        <v>1818</v>
      </c>
      <c r="B4047" s="6" t="s">
        <v>361</v>
      </c>
      <c r="C4047" s="179" t="s">
        <v>11656</v>
      </c>
      <c r="D4047" s="3" t="s">
        <v>410</v>
      </c>
      <c r="E4047" s="181" t="s">
        <v>11657</v>
      </c>
      <c r="F4047" s="8" t="s">
        <v>7856</v>
      </c>
      <c r="G4047" s="3" t="s">
        <v>11449</v>
      </c>
      <c r="H4047" s="54">
        <v>0</v>
      </c>
      <c r="I4047" s="16">
        <v>470000000</v>
      </c>
      <c r="J4047" s="16" t="s">
        <v>229</v>
      </c>
      <c r="K4047" s="57" t="s">
        <v>641</v>
      </c>
      <c r="L4047" s="57" t="s">
        <v>364</v>
      </c>
      <c r="M4047" s="162" t="s">
        <v>230</v>
      </c>
      <c r="N4047" s="8" t="s">
        <v>8899</v>
      </c>
      <c r="O4047" s="6" t="s">
        <v>622</v>
      </c>
      <c r="P4047" s="58" t="s">
        <v>241</v>
      </c>
      <c r="Q4047" s="27" t="s">
        <v>234</v>
      </c>
      <c r="R4047" s="29">
        <v>2</v>
      </c>
      <c r="S4047" s="59">
        <v>293300</v>
      </c>
      <c r="T4047" s="4">
        <v>0</v>
      </c>
      <c r="U4047" s="4">
        <f t="shared" si="188"/>
        <v>0</v>
      </c>
      <c r="V4047" s="3"/>
      <c r="W4047" s="3">
        <v>2014</v>
      </c>
      <c r="X4047" s="3">
        <v>11.12</v>
      </c>
    </row>
    <row r="4048" spans="1:24" ht="76.5">
      <c r="A4048" s="3" t="s">
        <v>13081</v>
      </c>
      <c r="B4048" s="6" t="s">
        <v>361</v>
      </c>
      <c r="C4048" s="179" t="s">
        <v>11656</v>
      </c>
      <c r="D4048" s="3" t="s">
        <v>410</v>
      </c>
      <c r="E4048" s="181" t="s">
        <v>11657</v>
      </c>
      <c r="F4048" s="8" t="s">
        <v>7856</v>
      </c>
      <c r="G4048" s="3" t="s">
        <v>11449</v>
      </c>
      <c r="H4048" s="54">
        <v>0</v>
      </c>
      <c r="I4048" s="16">
        <v>470000000</v>
      </c>
      <c r="J4048" s="16" t="s">
        <v>229</v>
      </c>
      <c r="K4048" s="57" t="s">
        <v>642</v>
      </c>
      <c r="L4048" s="12" t="s">
        <v>404</v>
      </c>
      <c r="M4048" s="162" t="s">
        <v>230</v>
      </c>
      <c r="N4048" s="8" t="s">
        <v>8899</v>
      </c>
      <c r="O4048" s="6" t="s">
        <v>622</v>
      </c>
      <c r="P4048" s="58" t="s">
        <v>241</v>
      </c>
      <c r="Q4048" s="27" t="s">
        <v>234</v>
      </c>
      <c r="R4048" s="29">
        <v>2</v>
      </c>
      <c r="S4048" s="59">
        <v>293300</v>
      </c>
      <c r="T4048" s="4">
        <v>0</v>
      </c>
      <c r="U4048" s="4">
        <f>T4048*1.12</f>
        <v>0</v>
      </c>
      <c r="V4048" s="3"/>
      <c r="W4048" s="3">
        <v>2014</v>
      </c>
      <c r="X4048" s="3" t="s">
        <v>14785</v>
      </c>
    </row>
    <row r="4049" spans="1:24" ht="76.5">
      <c r="A4049" s="3" t="s">
        <v>16812</v>
      </c>
      <c r="B4049" s="6" t="s">
        <v>361</v>
      </c>
      <c r="C4049" s="179" t="s">
        <v>11656</v>
      </c>
      <c r="D4049" s="3" t="s">
        <v>410</v>
      </c>
      <c r="E4049" s="181" t="s">
        <v>11657</v>
      </c>
      <c r="F4049" s="8" t="s">
        <v>7856</v>
      </c>
      <c r="G4049" s="3" t="s">
        <v>11449</v>
      </c>
      <c r="H4049" s="54">
        <v>0</v>
      </c>
      <c r="I4049" s="16">
        <v>470000000</v>
      </c>
      <c r="J4049" s="16" t="s">
        <v>229</v>
      </c>
      <c r="K4049" s="57" t="s">
        <v>8950</v>
      </c>
      <c r="L4049" s="12" t="s">
        <v>404</v>
      </c>
      <c r="M4049" s="162" t="s">
        <v>230</v>
      </c>
      <c r="N4049" s="8" t="s">
        <v>8899</v>
      </c>
      <c r="O4049" s="6" t="s">
        <v>622</v>
      </c>
      <c r="P4049" s="58" t="s">
        <v>241</v>
      </c>
      <c r="Q4049" s="27" t="s">
        <v>234</v>
      </c>
      <c r="R4049" s="29">
        <v>2</v>
      </c>
      <c r="S4049" s="59">
        <v>365177.30400000006</v>
      </c>
      <c r="T4049" s="4">
        <f>R4049*S4049</f>
        <v>730354.60800000012</v>
      </c>
      <c r="U4049" s="4">
        <f>T4049*1.12</f>
        <v>817997.16096000024</v>
      </c>
      <c r="V4049" s="3"/>
      <c r="W4049" s="3">
        <v>2014</v>
      </c>
      <c r="X4049" s="3"/>
    </row>
    <row r="4050" spans="1:24" ht="76.5">
      <c r="A4050" s="3" t="s">
        <v>1819</v>
      </c>
      <c r="B4050" s="6" t="s">
        <v>361</v>
      </c>
      <c r="C4050" s="179" t="s">
        <v>11656</v>
      </c>
      <c r="D4050" s="3" t="s">
        <v>410</v>
      </c>
      <c r="E4050" s="181" t="s">
        <v>11657</v>
      </c>
      <c r="F4050" s="8" t="s">
        <v>7857</v>
      </c>
      <c r="G4050" s="3" t="s">
        <v>11449</v>
      </c>
      <c r="H4050" s="54">
        <v>0</v>
      </c>
      <c r="I4050" s="16">
        <v>470000000</v>
      </c>
      <c r="J4050" s="16" t="s">
        <v>229</v>
      </c>
      <c r="K4050" s="57" t="s">
        <v>641</v>
      </c>
      <c r="L4050" s="57" t="s">
        <v>364</v>
      </c>
      <c r="M4050" s="162" t="s">
        <v>230</v>
      </c>
      <c r="N4050" s="8" t="s">
        <v>8899</v>
      </c>
      <c r="O4050" s="6" t="s">
        <v>622</v>
      </c>
      <c r="P4050" s="58" t="s">
        <v>241</v>
      </c>
      <c r="Q4050" s="27" t="s">
        <v>234</v>
      </c>
      <c r="R4050" s="27">
        <v>2</v>
      </c>
      <c r="S4050" s="59">
        <v>172108.57</v>
      </c>
      <c r="T4050" s="4">
        <v>0</v>
      </c>
      <c r="U4050" s="4">
        <f t="shared" si="188"/>
        <v>0</v>
      </c>
      <c r="V4050" s="3"/>
      <c r="W4050" s="3">
        <v>2014</v>
      </c>
      <c r="X4050" s="3">
        <v>11.12</v>
      </c>
    </row>
    <row r="4051" spans="1:24" ht="76.5">
      <c r="A4051" s="3" t="s">
        <v>13082</v>
      </c>
      <c r="B4051" s="6" t="s">
        <v>361</v>
      </c>
      <c r="C4051" s="179" t="s">
        <v>11656</v>
      </c>
      <c r="D4051" s="3" t="s">
        <v>410</v>
      </c>
      <c r="E4051" s="181" t="s">
        <v>11657</v>
      </c>
      <c r="F4051" s="8" t="s">
        <v>7857</v>
      </c>
      <c r="G4051" s="3" t="s">
        <v>11449</v>
      </c>
      <c r="H4051" s="54">
        <v>0</v>
      </c>
      <c r="I4051" s="16">
        <v>470000000</v>
      </c>
      <c r="J4051" s="16" t="s">
        <v>229</v>
      </c>
      <c r="K4051" s="57" t="s">
        <v>642</v>
      </c>
      <c r="L4051" s="12" t="s">
        <v>404</v>
      </c>
      <c r="M4051" s="162" t="s">
        <v>230</v>
      </c>
      <c r="N4051" s="8" t="s">
        <v>8899</v>
      </c>
      <c r="O4051" s="6" t="s">
        <v>622</v>
      </c>
      <c r="P4051" s="58" t="s">
        <v>241</v>
      </c>
      <c r="Q4051" s="27" t="s">
        <v>234</v>
      </c>
      <c r="R4051" s="27">
        <v>2</v>
      </c>
      <c r="S4051" s="59">
        <v>172108.57</v>
      </c>
      <c r="T4051" s="4">
        <v>0</v>
      </c>
      <c r="U4051" s="4">
        <f>T4051*1.12</f>
        <v>0</v>
      </c>
      <c r="V4051" s="3"/>
      <c r="W4051" s="3">
        <v>2014</v>
      </c>
      <c r="X4051" s="3" t="s">
        <v>14785</v>
      </c>
    </row>
    <row r="4052" spans="1:24" ht="76.5">
      <c r="A4052" s="3" t="s">
        <v>16813</v>
      </c>
      <c r="B4052" s="6" t="s">
        <v>361</v>
      </c>
      <c r="C4052" s="179" t="s">
        <v>11656</v>
      </c>
      <c r="D4052" s="3" t="s">
        <v>410</v>
      </c>
      <c r="E4052" s="181" t="s">
        <v>11657</v>
      </c>
      <c r="F4052" s="8" t="s">
        <v>7857</v>
      </c>
      <c r="G4052" s="3" t="s">
        <v>11449</v>
      </c>
      <c r="H4052" s="54">
        <v>0</v>
      </c>
      <c r="I4052" s="16">
        <v>470000000</v>
      </c>
      <c r="J4052" s="16" t="s">
        <v>229</v>
      </c>
      <c r="K4052" s="57" t="s">
        <v>8950</v>
      </c>
      <c r="L4052" s="12" t="s">
        <v>404</v>
      </c>
      <c r="M4052" s="162" t="s">
        <v>230</v>
      </c>
      <c r="N4052" s="8" t="s">
        <v>8899</v>
      </c>
      <c r="O4052" s="6" t="s">
        <v>622</v>
      </c>
      <c r="P4052" s="58" t="s">
        <v>241</v>
      </c>
      <c r="Q4052" s="27" t="s">
        <v>234</v>
      </c>
      <c r="R4052" s="27">
        <v>2</v>
      </c>
      <c r="S4052" s="59">
        <v>301361.21999999997</v>
      </c>
      <c r="T4052" s="4">
        <f>R4052*S4052</f>
        <v>602722.43999999994</v>
      </c>
      <c r="U4052" s="4">
        <f>T4052*1.12</f>
        <v>675049.13280000002</v>
      </c>
      <c r="V4052" s="3"/>
      <c r="W4052" s="3">
        <v>2014</v>
      </c>
      <c r="X4052" s="3"/>
    </row>
    <row r="4053" spans="1:24" ht="76.5">
      <c r="A4053" s="3" t="s">
        <v>1820</v>
      </c>
      <c r="B4053" s="6" t="s">
        <v>361</v>
      </c>
      <c r="C4053" s="179" t="s">
        <v>5415</v>
      </c>
      <c r="D4053" s="180" t="s">
        <v>5416</v>
      </c>
      <c r="E4053" s="181" t="s">
        <v>5183</v>
      </c>
      <c r="F4053" s="9" t="s">
        <v>7858</v>
      </c>
      <c r="G4053" s="3" t="s">
        <v>11449</v>
      </c>
      <c r="H4053" s="54">
        <v>0</v>
      </c>
      <c r="I4053" s="16">
        <v>470000000</v>
      </c>
      <c r="J4053" s="16" t="s">
        <v>229</v>
      </c>
      <c r="K4053" s="57" t="s">
        <v>641</v>
      </c>
      <c r="L4053" s="57" t="s">
        <v>364</v>
      </c>
      <c r="M4053" s="162" t="s">
        <v>230</v>
      </c>
      <c r="N4053" s="8" t="s">
        <v>8899</v>
      </c>
      <c r="O4053" s="6" t="s">
        <v>622</v>
      </c>
      <c r="P4053" s="58" t="s">
        <v>241</v>
      </c>
      <c r="Q4053" s="27" t="s">
        <v>234</v>
      </c>
      <c r="R4053" s="27">
        <v>10</v>
      </c>
      <c r="S4053" s="59">
        <f>6592*1.07</f>
        <v>7053.4400000000005</v>
      </c>
      <c r="T4053" s="4">
        <v>0</v>
      </c>
      <c r="U4053" s="4">
        <f t="shared" ref="U4053:U4240" si="200">T4053*1.12</f>
        <v>0</v>
      </c>
      <c r="V4053" s="3"/>
      <c r="W4053" s="3">
        <v>2014</v>
      </c>
      <c r="X4053" s="3">
        <v>11.12</v>
      </c>
    </row>
    <row r="4054" spans="1:24" ht="76.5">
      <c r="A4054" s="3" t="s">
        <v>13083</v>
      </c>
      <c r="B4054" s="6" t="s">
        <v>361</v>
      </c>
      <c r="C4054" s="179" t="s">
        <v>5415</v>
      </c>
      <c r="D4054" s="180" t="s">
        <v>5416</v>
      </c>
      <c r="E4054" s="181" t="s">
        <v>5183</v>
      </c>
      <c r="F4054" s="9" t="s">
        <v>7858</v>
      </c>
      <c r="G4054" s="3" t="s">
        <v>11449</v>
      </c>
      <c r="H4054" s="54">
        <v>0</v>
      </c>
      <c r="I4054" s="16">
        <v>470000000</v>
      </c>
      <c r="J4054" s="16" t="s">
        <v>229</v>
      </c>
      <c r="K4054" s="57" t="s">
        <v>642</v>
      </c>
      <c r="L4054" s="12" t="s">
        <v>404</v>
      </c>
      <c r="M4054" s="162" t="s">
        <v>230</v>
      </c>
      <c r="N4054" s="8" t="s">
        <v>8899</v>
      </c>
      <c r="O4054" s="6" t="s">
        <v>622</v>
      </c>
      <c r="P4054" s="58" t="s">
        <v>241</v>
      </c>
      <c r="Q4054" s="27" t="s">
        <v>234</v>
      </c>
      <c r="R4054" s="27">
        <v>10</v>
      </c>
      <c r="S4054" s="59">
        <f>6592*1.07</f>
        <v>7053.4400000000005</v>
      </c>
      <c r="T4054" s="4">
        <v>0</v>
      </c>
      <c r="U4054" s="4">
        <f>T4054*1.12</f>
        <v>0</v>
      </c>
      <c r="V4054" s="3"/>
      <c r="W4054" s="3">
        <v>2014</v>
      </c>
      <c r="X4054" s="3" t="s">
        <v>14785</v>
      </c>
    </row>
    <row r="4055" spans="1:24" ht="76.5">
      <c r="A4055" s="3" t="s">
        <v>16814</v>
      </c>
      <c r="B4055" s="6" t="s">
        <v>361</v>
      </c>
      <c r="C4055" s="179" t="s">
        <v>5415</v>
      </c>
      <c r="D4055" s="180" t="s">
        <v>5416</v>
      </c>
      <c r="E4055" s="181" t="s">
        <v>5183</v>
      </c>
      <c r="F4055" s="9" t="s">
        <v>7858</v>
      </c>
      <c r="G4055" s="3" t="s">
        <v>11449</v>
      </c>
      <c r="H4055" s="54">
        <v>0</v>
      </c>
      <c r="I4055" s="16">
        <v>470000000</v>
      </c>
      <c r="J4055" s="16" t="s">
        <v>229</v>
      </c>
      <c r="K4055" s="57" t="s">
        <v>8950</v>
      </c>
      <c r="L4055" s="12" t="s">
        <v>404</v>
      </c>
      <c r="M4055" s="162" t="s">
        <v>230</v>
      </c>
      <c r="N4055" s="8" t="s">
        <v>8899</v>
      </c>
      <c r="O4055" s="6" t="s">
        <v>622</v>
      </c>
      <c r="P4055" s="58" t="s">
        <v>241</v>
      </c>
      <c r="Q4055" s="27" t="s">
        <v>234</v>
      </c>
      <c r="R4055" s="27">
        <v>10</v>
      </c>
      <c r="S4055" s="59">
        <v>8464.1280000000006</v>
      </c>
      <c r="T4055" s="4">
        <f>R4055*S4055</f>
        <v>84641.279999999999</v>
      </c>
      <c r="U4055" s="4">
        <f>T4055*1.12</f>
        <v>94798.233600000007</v>
      </c>
      <c r="V4055" s="3"/>
      <c r="W4055" s="3">
        <v>2014</v>
      </c>
      <c r="X4055" s="3"/>
    </row>
    <row r="4056" spans="1:24" ht="76.5">
      <c r="A4056" s="3" t="s">
        <v>1821</v>
      </c>
      <c r="B4056" s="6" t="s">
        <v>361</v>
      </c>
      <c r="C4056" s="179" t="s">
        <v>5417</v>
      </c>
      <c r="D4056" s="180" t="s">
        <v>5418</v>
      </c>
      <c r="E4056" s="181" t="s">
        <v>5183</v>
      </c>
      <c r="F4056" s="8" t="s">
        <v>7859</v>
      </c>
      <c r="G4056" s="3" t="s">
        <v>11449</v>
      </c>
      <c r="H4056" s="54">
        <v>0</v>
      </c>
      <c r="I4056" s="16">
        <v>470000000</v>
      </c>
      <c r="J4056" s="16" t="s">
        <v>229</v>
      </c>
      <c r="K4056" s="57" t="s">
        <v>641</v>
      </c>
      <c r="L4056" s="57" t="s">
        <v>364</v>
      </c>
      <c r="M4056" s="162" t="s">
        <v>230</v>
      </c>
      <c r="N4056" s="8" t="s">
        <v>8899</v>
      </c>
      <c r="O4056" s="6" t="s">
        <v>622</v>
      </c>
      <c r="P4056" s="58" t="s">
        <v>241</v>
      </c>
      <c r="Q4056" s="27" t="s">
        <v>234</v>
      </c>
      <c r="R4056" s="27">
        <v>6</v>
      </c>
      <c r="S4056" s="59">
        <f>25573*1.07</f>
        <v>27363.11</v>
      </c>
      <c r="T4056" s="4">
        <v>0</v>
      </c>
      <c r="U4056" s="4">
        <f t="shared" si="200"/>
        <v>0</v>
      </c>
      <c r="V4056" s="3"/>
      <c r="W4056" s="3">
        <v>2014</v>
      </c>
      <c r="X4056" s="3">
        <v>11.12</v>
      </c>
    </row>
    <row r="4057" spans="1:24" ht="76.5">
      <c r="A4057" s="3" t="s">
        <v>13084</v>
      </c>
      <c r="B4057" s="6" t="s">
        <v>361</v>
      </c>
      <c r="C4057" s="179" t="s">
        <v>5417</v>
      </c>
      <c r="D4057" s="180" t="s">
        <v>5418</v>
      </c>
      <c r="E4057" s="181" t="s">
        <v>5183</v>
      </c>
      <c r="F4057" s="8" t="s">
        <v>7859</v>
      </c>
      <c r="G4057" s="3" t="s">
        <v>11449</v>
      </c>
      <c r="H4057" s="54">
        <v>0</v>
      </c>
      <c r="I4057" s="16">
        <v>470000000</v>
      </c>
      <c r="J4057" s="16" t="s">
        <v>229</v>
      </c>
      <c r="K4057" s="57" t="s">
        <v>642</v>
      </c>
      <c r="L4057" s="12" t="s">
        <v>404</v>
      </c>
      <c r="M4057" s="162" t="s">
        <v>230</v>
      </c>
      <c r="N4057" s="8" t="s">
        <v>8899</v>
      </c>
      <c r="O4057" s="6" t="s">
        <v>622</v>
      </c>
      <c r="P4057" s="58" t="s">
        <v>241</v>
      </c>
      <c r="Q4057" s="27" t="s">
        <v>234</v>
      </c>
      <c r="R4057" s="27">
        <v>6</v>
      </c>
      <c r="S4057" s="59">
        <f>25573*1.07</f>
        <v>27363.11</v>
      </c>
      <c r="T4057" s="4">
        <v>0</v>
      </c>
      <c r="U4057" s="4">
        <f>T4057*1.12</f>
        <v>0</v>
      </c>
      <c r="V4057" s="3"/>
      <c r="W4057" s="3">
        <v>2014</v>
      </c>
      <c r="X4057" s="3" t="s">
        <v>14785</v>
      </c>
    </row>
    <row r="4058" spans="1:24" ht="76.5">
      <c r="A4058" s="3" t="s">
        <v>16815</v>
      </c>
      <c r="B4058" s="6" t="s">
        <v>361</v>
      </c>
      <c r="C4058" s="179" t="s">
        <v>5417</v>
      </c>
      <c r="D4058" s="180" t="s">
        <v>5418</v>
      </c>
      <c r="E4058" s="181" t="s">
        <v>5183</v>
      </c>
      <c r="F4058" s="8" t="s">
        <v>7859</v>
      </c>
      <c r="G4058" s="3" t="s">
        <v>11449</v>
      </c>
      <c r="H4058" s="54">
        <v>0</v>
      </c>
      <c r="I4058" s="16">
        <v>470000000</v>
      </c>
      <c r="J4058" s="16" t="s">
        <v>229</v>
      </c>
      <c r="K4058" s="57" t="s">
        <v>8950</v>
      </c>
      <c r="L4058" s="12" t="s">
        <v>404</v>
      </c>
      <c r="M4058" s="162" t="s">
        <v>230</v>
      </c>
      <c r="N4058" s="8" t="s">
        <v>8899</v>
      </c>
      <c r="O4058" s="6" t="s">
        <v>622</v>
      </c>
      <c r="P4058" s="58" t="s">
        <v>241</v>
      </c>
      <c r="Q4058" s="27" t="s">
        <v>234</v>
      </c>
      <c r="R4058" s="27">
        <v>6</v>
      </c>
      <c r="S4058" s="59">
        <v>32835.731999999996</v>
      </c>
      <c r="T4058" s="4">
        <f>R4058*S4058</f>
        <v>197014.39199999999</v>
      </c>
      <c r="U4058" s="4">
        <f>T4058*1.12</f>
        <v>220656.11904000002</v>
      </c>
      <c r="V4058" s="3"/>
      <c r="W4058" s="3">
        <v>2014</v>
      </c>
      <c r="X4058" s="3"/>
    </row>
    <row r="4059" spans="1:24" ht="76.5">
      <c r="A4059" s="3" t="s">
        <v>1822</v>
      </c>
      <c r="B4059" s="6" t="s">
        <v>361</v>
      </c>
      <c r="C4059" s="179" t="s">
        <v>5419</v>
      </c>
      <c r="D4059" s="180" t="s">
        <v>5420</v>
      </c>
      <c r="E4059" s="181" t="s">
        <v>5183</v>
      </c>
      <c r="F4059" s="8" t="s">
        <v>7860</v>
      </c>
      <c r="G4059" s="3" t="s">
        <v>11449</v>
      </c>
      <c r="H4059" s="54">
        <v>0</v>
      </c>
      <c r="I4059" s="16">
        <v>470000000</v>
      </c>
      <c r="J4059" s="16" t="s">
        <v>229</v>
      </c>
      <c r="K4059" s="57" t="s">
        <v>641</v>
      </c>
      <c r="L4059" s="57" t="s">
        <v>364</v>
      </c>
      <c r="M4059" s="162" t="s">
        <v>230</v>
      </c>
      <c r="N4059" s="8" t="s">
        <v>8899</v>
      </c>
      <c r="O4059" s="6" t="s">
        <v>622</v>
      </c>
      <c r="P4059" s="58" t="s">
        <v>241</v>
      </c>
      <c r="Q4059" s="27" t="s">
        <v>234</v>
      </c>
      <c r="R4059" s="27">
        <v>6</v>
      </c>
      <c r="S4059" s="59">
        <f>41249*1.07</f>
        <v>44136.43</v>
      </c>
      <c r="T4059" s="4">
        <v>0</v>
      </c>
      <c r="U4059" s="4">
        <f t="shared" si="200"/>
        <v>0</v>
      </c>
      <c r="V4059" s="3"/>
      <c r="W4059" s="3">
        <v>2014</v>
      </c>
      <c r="X4059" s="3">
        <v>11.12</v>
      </c>
    </row>
    <row r="4060" spans="1:24" ht="76.5">
      <c r="A4060" s="3" t="s">
        <v>13085</v>
      </c>
      <c r="B4060" s="6" t="s">
        <v>361</v>
      </c>
      <c r="C4060" s="179" t="s">
        <v>5419</v>
      </c>
      <c r="D4060" s="180" t="s">
        <v>5420</v>
      </c>
      <c r="E4060" s="181" t="s">
        <v>5183</v>
      </c>
      <c r="F4060" s="8" t="s">
        <v>7860</v>
      </c>
      <c r="G4060" s="3" t="s">
        <v>11449</v>
      </c>
      <c r="H4060" s="54">
        <v>0</v>
      </c>
      <c r="I4060" s="16">
        <v>470000000</v>
      </c>
      <c r="J4060" s="16" t="s">
        <v>229</v>
      </c>
      <c r="K4060" s="57" t="s">
        <v>642</v>
      </c>
      <c r="L4060" s="12" t="s">
        <v>404</v>
      </c>
      <c r="M4060" s="162" t="s">
        <v>230</v>
      </c>
      <c r="N4060" s="8" t="s">
        <v>8899</v>
      </c>
      <c r="O4060" s="6" t="s">
        <v>622</v>
      </c>
      <c r="P4060" s="58" t="s">
        <v>241</v>
      </c>
      <c r="Q4060" s="27" t="s">
        <v>234</v>
      </c>
      <c r="R4060" s="27">
        <v>6</v>
      </c>
      <c r="S4060" s="59">
        <f>41249*1.07</f>
        <v>44136.43</v>
      </c>
      <c r="T4060" s="4">
        <v>0</v>
      </c>
      <c r="U4060" s="4">
        <f>T4060*1.12</f>
        <v>0</v>
      </c>
      <c r="V4060" s="3"/>
      <c r="W4060" s="3">
        <v>2014</v>
      </c>
      <c r="X4060" s="3" t="s">
        <v>14785</v>
      </c>
    </row>
    <row r="4061" spans="1:24" ht="76.5">
      <c r="A4061" s="3" t="s">
        <v>16816</v>
      </c>
      <c r="B4061" s="6" t="s">
        <v>361</v>
      </c>
      <c r="C4061" s="179" t="s">
        <v>5419</v>
      </c>
      <c r="D4061" s="180" t="s">
        <v>5420</v>
      </c>
      <c r="E4061" s="181" t="s">
        <v>5183</v>
      </c>
      <c r="F4061" s="8" t="s">
        <v>7860</v>
      </c>
      <c r="G4061" s="3" t="s">
        <v>11449</v>
      </c>
      <c r="H4061" s="54">
        <v>0</v>
      </c>
      <c r="I4061" s="16">
        <v>470000000</v>
      </c>
      <c r="J4061" s="16" t="s">
        <v>229</v>
      </c>
      <c r="K4061" s="57" t="s">
        <v>8950</v>
      </c>
      <c r="L4061" s="12" t="s">
        <v>404</v>
      </c>
      <c r="M4061" s="162" t="s">
        <v>230</v>
      </c>
      <c r="N4061" s="8" t="s">
        <v>8899</v>
      </c>
      <c r="O4061" s="6" t="s">
        <v>622</v>
      </c>
      <c r="P4061" s="58" t="s">
        <v>241</v>
      </c>
      <c r="Q4061" s="27" t="s">
        <v>234</v>
      </c>
      <c r="R4061" s="27">
        <v>6</v>
      </c>
      <c r="S4061" s="59">
        <v>52963.716</v>
      </c>
      <c r="T4061" s="4">
        <f>R4061*S4061</f>
        <v>317782.29599999997</v>
      </c>
      <c r="U4061" s="4">
        <f>T4061*1.12</f>
        <v>355916.17152000003</v>
      </c>
      <c r="V4061" s="3"/>
      <c r="W4061" s="3">
        <v>2014</v>
      </c>
      <c r="X4061" s="3"/>
    </row>
    <row r="4062" spans="1:24" ht="76.5">
      <c r="A4062" s="3" t="s">
        <v>1823</v>
      </c>
      <c r="B4062" s="6" t="s">
        <v>361</v>
      </c>
      <c r="C4062" s="179" t="s">
        <v>5421</v>
      </c>
      <c r="D4062" s="3" t="s">
        <v>421</v>
      </c>
      <c r="E4062" s="181" t="s">
        <v>5422</v>
      </c>
      <c r="F4062" s="8" t="s">
        <v>5423</v>
      </c>
      <c r="G4062" s="3" t="s">
        <v>11449</v>
      </c>
      <c r="H4062" s="54">
        <v>0</v>
      </c>
      <c r="I4062" s="16">
        <v>470000000</v>
      </c>
      <c r="J4062" s="16" t="s">
        <v>229</v>
      </c>
      <c r="K4062" s="57" t="s">
        <v>641</v>
      </c>
      <c r="L4062" s="57" t="s">
        <v>364</v>
      </c>
      <c r="M4062" s="162" t="s">
        <v>230</v>
      </c>
      <c r="N4062" s="8" t="s">
        <v>8899</v>
      </c>
      <c r="O4062" s="6" t="s">
        <v>622</v>
      </c>
      <c r="P4062" s="58" t="s">
        <v>241</v>
      </c>
      <c r="Q4062" s="27" t="s">
        <v>234</v>
      </c>
      <c r="R4062" s="27">
        <v>24</v>
      </c>
      <c r="S4062" s="59">
        <f>9737*1.07</f>
        <v>10418.59</v>
      </c>
      <c r="T4062" s="4">
        <v>0</v>
      </c>
      <c r="U4062" s="4">
        <f t="shared" si="200"/>
        <v>0</v>
      </c>
      <c r="V4062" s="3"/>
      <c r="W4062" s="3">
        <v>2014</v>
      </c>
      <c r="X4062" s="3">
        <v>11.12</v>
      </c>
    </row>
    <row r="4063" spans="1:24" ht="76.5">
      <c r="A4063" s="3" t="s">
        <v>13086</v>
      </c>
      <c r="B4063" s="6" t="s">
        <v>361</v>
      </c>
      <c r="C4063" s="179" t="s">
        <v>5421</v>
      </c>
      <c r="D4063" s="3" t="s">
        <v>421</v>
      </c>
      <c r="E4063" s="181" t="s">
        <v>5422</v>
      </c>
      <c r="F4063" s="8" t="s">
        <v>5423</v>
      </c>
      <c r="G4063" s="3" t="s">
        <v>11449</v>
      </c>
      <c r="H4063" s="54">
        <v>0</v>
      </c>
      <c r="I4063" s="16">
        <v>470000000</v>
      </c>
      <c r="J4063" s="16" t="s">
        <v>229</v>
      </c>
      <c r="K4063" s="57" t="s">
        <v>642</v>
      </c>
      <c r="L4063" s="12" t="s">
        <v>404</v>
      </c>
      <c r="M4063" s="162" t="s">
        <v>230</v>
      </c>
      <c r="N4063" s="8" t="s">
        <v>8899</v>
      </c>
      <c r="O4063" s="6" t="s">
        <v>622</v>
      </c>
      <c r="P4063" s="58" t="s">
        <v>241</v>
      </c>
      <c r="Q4063" s="27" t="s">
        <v>234</v>
      </c>
      <c r="R4063" s="27">
        <v>24</v>
      </c>
      <c r="S4063" s="59">
        <f>9737*1.07</f>
        <v>10418.59</v>
      </c>
      <c r="T4063" s="4">
        <v>0</v>
      </c>
      <c r="U4063" s="4">
        <f>T4063*1.12</f>
        <v>0</v>
      </c>
      <c r="V4063" s="3"/>
      <c r="W4063" s="3">
        <v>2014</v>
      </c>
      <c r="X4063" s="3" t="s">
        <v>14785</v>
      </c>
    </row>
    <row r="4064" spans="1:24" ht="76.5">
      <c r="A4064" s="3" t="s">
        <v>16817</v>
      </c>
      <c r="B4064" s="6" t="s">
        <v>361</v>
      </c>
      <c r="C4064" s="179" t="s">
        <v>5421</v>
      </c>
      <c r="D4064" s="3" t="s">
        <v>421</v>
      </c>
      <c r="E4064" s="181" t="s">
        <v>5422</v>
      </c>
      <c r="F4064" s="8" t="s">
        <v>5423</v>
      </c>
      <c r="G4064" s="3" t="s">
        <v>11449</v>
      </c>
      <c r="H4064" s="54">
        <v>0</v>
      </c>
      <c r="I4064" s="16">
        <v>470000000</v>
      </c>
      <c r="J4064" s="16" t="s">
        <v>229</v>
      </c>
      <c r="K4064" s="57" t="s">
        <v>8950</v>
      </c>
      <c r="L4064" s="12" t="s">
        <v>404</v>
      </c>
      <c r="M4064" s="162" t="s">
        <v>230</v>
      </c>
      <c r="N4064" s="8" t="s">
        <v>8899</v>
      </c>
      <c r="O4064" s="6" t="s">
        <v>622</v>
      </c>
      <c r="P4064" s="58" t="s">
        <v>241</v>
      </c>
      <c r="Q4064" s="27" t="s">
        <v>234</v>
      </c>
      <c r="R4064" s="27">
        <v>24</v>
      </c>
      <c r="S4064" s="59">
        <v>12502.307999999999</v>
      </c>
      <c r="T4064" s="4">
        <f>R4064*S4064</f>
        <v>300055.39199999999</v>
      </c>
      <c r="U4064" s="4">
        <f>T4064*1.12</f>
        <v>336062.03904</v>
      </c>
      <c r="V4064" s="3"/>
      <c r="W4064" s="3">
        <v>2014</v>
      </c>
      <c r="X4064" s="3"/>
    </row>
    <row r="4065" spans="1:24" ht="76.5">
      <c r="A4065" s="3" t="s">
        <v>1824</v>
      </c>
      <c r="B4065" s="6" t="s">
        <v>361</v>
      </c>
      <c r="C4065" s="179" t="s">
        <v>5424</v>
      </c>
      <c r="D4065" s="3" t="s">
        <v>421</v>
      </c>
      <c r="E4065" s="181" t="s">
        <v>5425</v>
      </c>
      <c r="F4065" s="8" t="s">
        <v>5426</v>
      </c>
      <c r="G4065" s="3" t="s">
        <v>11449</v>
      </c>
      <c r="H4065" s="54">
        <v>0</v>
      </c>
      <c r="I4065" s="16">
        <v>470000000</v>
      </c>
      <c r="J4065" s="16" t="s">
        <v>229</v>
      </c>
      <c r="K4065" s="57" t="s">
        <v>641</v>
      </c>
      <c r="L4065" s="57" t="s">
        <v>364</v>
      </c>
      <c r="M4065" s="162" t="s">
        <v>230</v>
      </c>
      <c r="N4065" s="8" t="s">
        <v>8899</v>
      </c>
      <c r="O4065" s="6" t="s">
        <v>622</v>
      </c>
      <c r="P4065" s="58" t="s">
        <v>241</v>
      </c>
      <c r="Q4065" s="27" t="s">
        <v>234</v>
      </c>
      <c r="R4065" s="27">
        <v>24</v>
      </c>
      <c r="S4065" s="59">
        <f>10326*1.07</f>
        <v>11048.820000000002</v>
      </c>
      <c r="T4065" s="4">
        <v>0</v>
      </c>
      <c r="U4065" s="4">
        <f t="shared" si="200"/>
        <v>0</v>
      </c>
      <c r="V4065" s="3"/>
      <c r="W4065" s="3">
        <v>2014</v>
      </c>
      <c r="X4065" s="3">
        <v>11.12</v>
      </c>
    </row>
    <row r="4066" spans="1:24" ht="76.5">
      <c r="A4066" s="3" t="s">
        <v>13087</v>
      </c>
      <c r="B4066" s="6" t="s">
        <v>361</v>
      </c>
      <c r="C4066" s="179" t="s">
        <v>5424</v>
      </c>
      <c r="D4066" s="3" t="s">
        <v>421</v>
      </c>
      <c r="E4066" s="181" t="s">
        <v>5425</v>
      </c>
      <c r="F4066" s="8" t="s">
        <v>5426</v>
      </c>
      <c r="G4066" s="3" t="s">
        <v>11449</v>
      </c>
      <c r="H4066" s="54">
        <v>0</v>
      </c>
      <c r="I4066" s="16">
        <v>470000000</v>
      </c>
      <c r="J4066" s="16" t="s">
        <v>229</v>
      </c>
      <c r="K4066" s="57" t="s">
        <v>642</v>
      </c>
      <c r="L4066" s="12" t="s">
        <v>404</v>
      </c>
      <c r="M4066" s="162" t="s">
        <v>230</v>
      </c>
      <c r="N4066" s="8" t="s">
        <v>8899</v>
      </c>
      <c r="O4066" s="6" t="s">
        <v>622</v>
      </c>
      <c r="P4066" s="58" t="s">
        <v>241</v>
      </c>
      <c r="Q4066" s="27" t="s">
        <v>234</v>
      </c>
      <c r="R4066" s="27">
        <v>24</v>
      </c>
      <c r="S4066" s="59">
        <f>10326*1.07</f>
        <v>11048.820000000002</v>
      </c>
      <c r="T4066" s="4">
        <v>0</v>
      </c>
      <c r="U4066" s="4">
        <f>T4066*1.12</f>
        <v>0</v>
      </c>
      <c r="V4066" s="3"/>
      <c r="W4066" s="3">
        <v>2014</v>
      </c>
      <c r="X4066" s="3" t="s">
        <v>14785</v>
      </c>
    </row>
    <row r="4067" spans="1:24" ht="76.5">
      <c r="A4067" s="3" t="s">
        <v>16818</v>
      </c>
      <c r="B4067" s="6" t="s">
        <v>361</v>
      </c>
      <c r="C4067" s="179" t="s">
        <v>5424</v>
      </c>
      <c r="D4067" s="3" t="s">
        <v>421</v>
      </c>
      <c r="E4067" s="181" t="s">
        <v>5425</v>
      </c>
      <c r="F4067" s="8" t="s">
        <v>5426</v>
      </c>
      <c r="G4067" s="3" t="s">
        <v>11449</v>
      </c>
      <c r="H4067" s="54">
        <v>0</v>
      </c>
      <c r="I4067" s="16">
        <v>470000000</v>
      </c>
      <c r="J4067" s="16" t="s">
        <v>229</v>
      </c>
      <c r="K4067" s="57" t="s">
        <v>8950</v>
      </c>
      <c r="L4067" s="12" t="s">
        <v>404</v>
      </c>
      <c r="M4067" s="162" t="s">
        <v>230</v>
      </c>
      <c r="N4067" s="8" t="s">
        <v>8899</v>
      </c>
      <c r="O4067" s="6" t="s">
        <v>622</v>
      </c>
      <c r="P4067" s="58" t="s">
        <v>241</v>
      </c>
      <c r="Q4067" s="27" t="s">
        <v>234</v>
      </c>
      <c r="R4067" s="27">
        <v>24</v>
      </c>
      <c r="S4067" s="59">
        <v>13258.584000000001</v>
      </c>
      <c r="T4067" s="4">
        <f>R4067*S4067</f>
        <v>318206.016</v>
      </c>
      <c r="U4067" s="4">
        <f>T4067*1.12</f>
        <v>356390.73792000004</v>
      </c>
      <c r="V4067" s="3"/>
      <c r="W4067" s="3">
        <v>2014</v>
      </c>
      <c r="X4067" s="3"/>
    </row>
    <row r="4068" spans="1:24" ht="76.5">
      <c r="A4068" s="3" t="s">
        <v>1825</v>
      </c>
      <c r="B4068" s="6" t="s">
        <v>361</v>
      </c>
      <c r="C4068" s="179" t="s">
        <v>5427</v>
      </c>
      <c r="D4068" s="180" t="s">
        <v>444</v>
      </c>
      <c r="E4068" s="181" t="s">
        <v>5183</v>
      </c>
      <c r="F4068" s="9" t="s">
        <v>7861</v>
      </c>
      <c r="G4068" s="3" t="s">
        <v>11449</v>
      </c>
      <c r="H4068" s="54">
        <v>0</v>
      </c>
      <c r="I4068" s="16">
        <v>470000000</v>
      </c>
      <c r="J4068" s="16" t="s">
        <v>229</v>
      </c>
      <c r="K4068" s="57" t="s">
        <v>641</v>
      </c>
      <c r="L4068" s="57" t="s">
        <v>364</v>
      </c>
      <c r="M4068" s="162" t="s">
        <v>230</v>
      </c>
      <c r="N4068" s="8" t="s">
        <v>8899</v>
      </c>
      <c r="O4068" s="6" t="s">
        <v>622</v>
      </c>
      <c r="P4068" s="58" t="s">
        <v>241</v>
      </c>
      <c r="Q4068" s="27" t="s">
        <v>234</v>
      </c>
      <c r="R4068" s="27">
        <v>3</v>
      </c>
      <c r="S4068" s="59">
        <v>21579</v>
      </c>
      <c r="T4068" s="4">
        <v>0</v>
      </c>
      <c r="U4068" s="4">
        <f t="shared" si="200"/>
        <v>0</v>
      </c>
      <c r="V4068" s="3"/>
      <c r="W4068" s="3">
        <v>2014</v>
      </c>
      <c r="X4068" s="3">
        <v>11.12</v>
      </c>
    </row>
    <row r="4069" spans="1:24" ht="76.5">
      <c r="A4069" s="3" t="s">
        <v>13088</v>
      </c>
      <c r="B4069" s="6" t="s">
        <v>361</v>
      </c>
      <c r="C4069" s="179" t="s">
        <v>5427</v>
      </c>
      <c r="D4069" s="180" t="s">
        <v>444</v>
      </c>
      <c r="E4069" s="181" t="s">
        <v>5183</v>
      </c>
      <c r="F4069" s="9" t="s">
        <v>7861</v>
      </c>
      <c r="G4069" s="3" t="s">
        <v>11449</v>
      </c>
      <c r="H4069" s="54">
        <v>0</v>
      </c>
      <c r="I4069" s="16">
        <v>470000000</v>
      </c>
      <c r="J4069" s="16" t="s">
        <v>229</v>
      </c>
      <c r="K4069" s="57" t="s">
        <v>642</v>
      </c>
      <c r="L4069" s="12" t="s">
        <v>404</v>
      </c>
      <c r="M4069" s="162" t="s">
        <v>230</v>
      </c>
      <c r="N4069" s="8" t="s">
        <v>8899</v>
      </c>
      <c r="O4069" s="6" t="s">
        <v>622</v>
      </c>
      <c r="P4069" s="58" t="s">
        <v>241</v>
      </c>
      <c r="Q4069" s="27" t="s">
        <v>234</v>
      </c>
      <c r="R4069" s="27">
        <v>3</v>
      </c>
      <c r="S4069" s="59">
        <v>21579</v>
      </c>
      <c r="T4069" s="4">
        <v>0</v>
      </c>
      <c r="U4069" s="4">
        <f>T4069*1.12</f>
        <v>0</v>
      </c>
      <c r="V4069" s="3"/>
      <c r="W4069" s="3">
        <v>2014</v>
      </c>
      <c r="X4069" s="3" t="s">
        <v>14785</v>
      </c>
    </row>
    <row r="4070" spans="1:24" ht="76.5">
      <c r="A4070" s="3" t="s">
        <v>16819</v>
      </c>
      <c r="B4070" s="6" t="s">
        <v>361</v>
      </c>
      <c r="C4070" s="179" t="s">
        <v>5427</v>
      </c>
      <c r="D4070" s="180" t="s">
        <v>444</v>
      </c>
      <c r="E4070" s="181" t="s">
        <v>5183</v>
      </c>
      <c r="F4070" s="9" t="s">
        <v>7861</v>
      </c>
      <c r="G4070" s="3" t="s">
        <v>11449</v>
      </c>
      <c r="H4070" s="54">
        <v>0</v>
      </c>
      <c r="I4070" s="16">
        <v>470000000</v>
      </c>
      <c r="J4070" s="16" t="s">
        <v>229</v>
      </c>
      <c r="K4070" s="57" t="s">
        <v>8950</v>
      </c>
      <c r="L4070" s="12" t="s">
        <v>404</v>
      </c>
      <c r="M4070" s="162" t="s">
        <v>230</v>
      </c>
      <c r="N4070" s="8" t="s">
        <v>8899</v>
      </c>
      <c r="O4070" s="6" t="s">
        <v>622</v>
      </c>
      <c r="P4070" s="58" t="s">
        <v>241</v>
      </c>
      <c r="Q4070" s="27" t="s">
        <v>234</v>
      </c>
      <c r="R4070" s="27">
        <v>3</v>
      </c>
      <c r="S4070" s="59">
        <v>28164.54</v>
      </c>
      <c r="T4070" s="4">
        <f>R4070*S4070</f>
        <v>84493.62</v>
      </c>
      <c r="U4070" s="4">
        <f>T4070*1.12</f>
        <v>94632.854399999997</v>
      </c>
      <c r="V4070" s="3"/>
      <c r="W4070" s="3">
        <v>2014</v>
      </c>
      <c r="X4070" s="3"/>
    </row>
    <row r="4071" spans="1:24" ht="76.5">
      <c r="A4071" s="3" t="s">
        <v>1826</v>
      </c>
      <c r="B4071" s="6" t="s">
        <v>361</v>
      </c>
      <c r="C4071" s="179" t="s">
        <v>5427</v>
      </c>
      <c r="D4071" s="180" t="s">
        <v>444</v>
      </c>
      <c r="E4071" s="181" t="s">
        <v>5183</v>
      </c>
      <c r="F4071" s="9" t="s">
        <v>7862</v>
      </c>
      <c r="G4071" s="3" t="s">
        <v>11449</v>
      </c>
      <c r="H4071" s="54">
        <v>0</v>
      </c>
      <c r="I4071" s="16">
        <v>470000000</v>
      </c>
      <c r="J4071" s="16" t="s">
        <v>229</v>
      </c>
      <c r="K4071" s="57" t="s">
        <v>641</v>
      </c>
      <c r="L4071" s="57" t="s">
        <v>364</v>
      </c>
      <c r="M4071" s="162" t="s">
        <v>230</v>
      </c>
      <c r="N4071" s="8" t="s">
        <v>8899</v>
      </c>
      <c r="O4071" s="6" t="s">
        <v>622</v>
      </c>
      <c r="P4071" s="58" t="s">
        <v>241</v>
      </c>
      <c r="Q4071" s="27" t="s">
        <v>234</v>
      </c>
      <c r="R4071" s="27">
        <v>3</v>
      </c>
      <c r="S4071" s="59">
        <f>19528*1.07</f>
        <v>20894.960000000003</v>
      </c>
      <c r="T4071" s="4">
        <v>0</v>
      </c>
      <c r="U4071" s="4">
        <f t="shared" si="200"/>
        <v>0</v>
      </c>
      <c r="V4071" s="3"/>
      <c r="W4071" s="3">
        <v>2014</v>
      </c>
      <c r="X4071" s="3">
        <v>11.12</v>
      </c>
    </row>
    <row r="4072" spans="1:24" ht="76.5">
      <c r="A4072" s="3" t="s">
        <v>13089</v>
      </c>
      <c r="B4072" s="6" t="s">
        <v>361</v>
      </c>
      <c r="C4072" s="179" t="s">
        <v>5427</v>
      </c>
      <c r="D4072" s="180" t="s">
        <v>444</v>
      </c>
      <c r="E4072" s="181" t="s">
        <v>5183</v>
      </c>
      <c r="F4072" s="9" t="s">
        <v>7862</v>
      </c>
      <c r="G4072" s="3" t="s">
        <v>11449</v>
      </c>
      <c r="H4072" s="54">
        <v>0</v>
      </c>
      <c r="I4072" s="16">
        <v>470000000</v>
      </c>
      <c r="J4072" s="16" t="s">
        <v>229</v>
      </c>
      <c r="K4072" s="57" t="s">
        <v>642</v>
      </c>
      <c r="L4072" s="12" t="s">
        <v>404</v>
      </c>
      <c r="M4072" s="162" t="s">
        <v>230</v>
      </c>
      <c r="N4072" s="8" t="s">
        <v>8899</v>
      </c>
      <c r="O4072" s="6" t="s">
        <v>622</v>
      </c>
      <c r="P4072" s="58" t="s">
        <v>241</v>
      </c>
      <c r="Q4072" s="27" t="s">
        <v>234</v>
      </c>
      <c r="R4072" s="27">
        <v>3</v>
      </c>
      <c r="S4072" s="59">
        <f>19528*1.07</f>
        <v>20894.960000000003</v>
      </c>
      <c r="T4072" s="4">
        <v>0</v>
      </c>
      <c r="U4072" s="4">
        <f>T4072*1.12</f>
        <v>0</v>
      </c>
      <c r="V4072" s="3"/>
      <c r="W4072" s="3">
        <v>2014</v>
      </c>
      <c r="X4072" s="3" t="s">
        <v>14785</v>
      </c>
    </row>
    <row r="4073" spans="1:24" ht="76.5">
      <c r="A4073" s="3" t="s">
        <v>16820</v>
      </c>
      <c r="B4073" s="6" t="s">
        <v>361</v>
      </c>
      <c r="C4073" s="179" t="s">
        <v>5427</v>
      </c>
      <c r="D4073" s="180" t="s">
        <v>444</v>
      </c>
      <c r="E4073" s="181" t="s">
        <v>5183</v>
      </c>
      <c r="F4073" s="9" t="s">
        <v>7862</v>
      </c>
      <c r="G4073" s="3" t="s">
        <v>11449</v>
      </c>
      <c r="H4073" s="54">
        <v>0</v>
      </c>
      <c r="I4073" s="16">
        <v>470000000</v>
      </c>
      <c r="J4073" s="16" t="s">
        <v>229</v>
      </c>
      <c r="K4073" s="57" t="s">
        <v>8950</v>
      </c>
      <c r="L4073" s="12" t="s">
        <v>404</v>
      </c>
      <c r="M4073" s="162" t="s">
        <v>230</v>
      </c>
      <c r="N4073" s="8" t="s">
        <v>8899</v>
      </c>
      <c r="O4073" s="6" t="s">
        <v>622</v>
      </c>
      <c r="P4073" s="58" t="s">
        <v>241</v>
      </c>
      <c r="Q4073" s="27" t="s">
        <v>234</v>
      </c>
      <c r="R4073" s="27">
        <v>3</v>
      </c>
      <c r="S4073" s="59">
        <v>25073.952000000001</v>
      </c>
      <c r="T4073" s="4">
        <f>R4073*S4073</f>
        <v>75221.856</v>
      </c>
      <c r="U4073" s="4">
        <f>T4073*1.12</f>
        <v>84248.478720000014</v>
      </c>
      <c r="V4073" s="3"/>
      <c r="W4073" s="3">
        <v>2014</v>
      </c>
      <c r="X4073" s="3"/>
    </row>
    <row r="4074" spans="1:24" ht="76.5">
      <c r="A4074" s="3" t="s">
        <v>1827</v>
      </c>
      <c r="B4074" s="6" t="s">
        <v>361</v>
      </c>
      <c r="C4074" s="6" t="s">
        <v>5428</v>
      </c>
      <c r="D4074" s="6" t="s">
        <v>416</v>
      </c>
      <c r="E4074" s="65" t="s">
        <v>5429</v>
      </c>
      <c r="F4074" s="9" t="s">
        <v>7863</v>
      </c>
      <c r="G4074" s="3" t="s">
        <v>11449</v>
      </c>
      <c r="H4074" s="54">
        <v>0</v>
      </c>
      <c r="I4074" s="16">
        <v>470000000</v>
      </c>
      <c r="J4074" s="16" t="s">
        <v>229</v>
      </c>
      <c r="K4074" s="57" t="s">
        <v>641</v>
      </c>
      <c r="L4074" s="57" t="s">
        <v>364</v>
      </c>
      <c r="M4074" s="162" t="s">
        <v>230</v>
      </c>
      <c r="N4074" s="8" t="s">
        <v>8899</v>
      </c>
      <c r="O4074" s="6" t="s">
        <v>622</v>
      </c>
      <c r="P4074" s="58" t="s">
        <v>241</v>
      </c>
      <c r="Q4074" s="27" t="s">
        <v>234</v>
      </c>
      <c r="R4074" s="27">
        <v>40</v>
      </c>
      <c r="S4074" s="59">
        <v>681.27</v>
      </c>
      <c r="T4074" s="4">
        <v>0</v>
      </c>
      <c r="U4074" s="4">
        <f t="shared" si="200"/>
        <v>0</v>
      </c>
      <c r="V4074" s="3"/>
      <c r="W4074" s="3">
        <v>2014</v>
      </c>
      <c r="X4074" s="3">
        <v>11.12</v>
      </c>
    </row>
    <row r="4075" spans="1:24" ht="76.5">
      <c r="A4075" s="3" t="s">
        <v>13090</v>
      </c>
      <c r="B4075" s="6" t="s">
        <v>361</v>
      </c>
      <c r="C4075" s="6" t="s">
        <v>5428</v>
      </c>
      <c r="D4075" s="6" t="s">
        <v>416</v>
      </c>
      <c r="E4075" s="65" t="s">
        <v>5429</v>
      </c>
      <c r="F4075" s="9" t="s">
        <v>7863</v>
      </c>
      <c r="G4075" s="3" t="s">
        <v>11449</v>
      </c>
      <c r="H4075" s="54">
        <v>0</v>
      </c>
      <c r="I4075" s="16">
        <v>470000000</v>
      </c>
      <c r="J4075" s="16" t="s">
        <v>229</v>
      </c>
      <c r="K4075" s="57" t="s">
        <v>642</v>
      </c>
      <c r="L4075" s="12" t="s">
        <v>404</v>
      </c>
      <c r="M4075" s="162" t="s">
        <v>230</v>
      </c>
      <c r="N4075" s="8" t="s">
        <v>8899</v>
      </c>
      <c r="O4075" s="6" t="s">
        <v>622</v>
      </c>
      <c r="P4075" s="58" t="s">
        <v>241</v>
      </c>
      <c r="Q4075" s="27" t="s">
        <v>234</v>
      </c>
      <c r="R4075" s="27">
        <v>40</v>
      </c>
      <c r="S4075" s="59">
        <v>681.27</v>
      </c>
      <c r="T4075" s="4">
        <v>0</v>
      </c>
      <c r="U4075" s="4">
        <f>T4075*1.12</f>
        <v>0</v>
      </c>
      <c r="V4075" s="3"/>
      <c r="W4075" s="3">
        <v>2014</v>
      </c>
      <c r="X4075" s="3" t="s">
        <v>14785</v>
      </c>
    </row>
    <row r="4076" spans="1:24" ht="76.5">
      <c r="A4076" s="3" t="s">
        <v>16821</v>
      </c>
      <c r="B4076" s="6" t="s">
        <v>361</v>
      </c>
      <c r="C4076" s="6" t="s">
        <v>5428</v>
      </c>
      <c r="D4076" s="6" t="s">
        <v>416</v>
      </c>
      <c r="E4076" s="65" t="s">
        <v>5429</v>
      </c>
      <c r="F4076" s="9" t="s">
        <v>7863</v>
      </c>
      <c r="G4076" s="3" t="s">
        <v>11449</v>
      </c>
      <c r="H4076" s="54">
        <v>0</v>
      </c>
      <c r="I4076" s="16">
        <v>470000000</v>
      </c>
      <c r="J4076" s="16" t="s">
        <v>229</v>
      </c>
      <c r="K4076" s="57" t="s">
        <v>8950</v>
      </c>
      <c r="L4076" s="12" t="s">
        <v>404</v>
      </c>
      <c r="M4076" s="162" t="s">
        <v>230</v>
      </c>
      <c r="N4076" s="8" t="s">
        <v>8899</v>
      </c>
      <c r="O4076" s="6" t="s">
        <v>622</v>
      </c>
      <c r="P4076" s="58" t="s">
        <v>241</v>
      </c>
      <c r="Q4076" s="27" t="s">
        <v>234</v>
      </c>
      <c r="R4076" s="27">
        <v>40</v>
      </c>
      <c r="S4076" s="59">
        <v>852.57600000000002</v>
      </c>
      <c r="T4076" s="4">
        <f>R4076*S4076</f>
        <v>34103.040000000001</v>
      </c>
      <c r="U4076" s="4">
        <f>T4076*1.12</f>
        <v>38195.404800000004</v>
      </c>
      <c r="V4076" s="3"/>
      <c r="W4076" s="3">
        <v>2014</v>
      </c>
      <c r="X4076" s="3"/>
    </row>
    <row r="4077" spans="1:24" ht="76.5">
      <c r="A4077" s="3" t="s">
        <v>1828</v>
      </c>
      <c r="B4077" s="6" t="s">
        <v>361</v>
      </c>
      <c r="C4077" s="6" t="s">
        <v>5428</v>
      </c>
      <c r="D4077" s="6" t="s">
        <v>416</v>
      </c>
      <c r="E4077" s="65" t="s">
        <v>5429</v>
      </c>
      <c r="F4077" s="9" t="s">
        <v>7864</v>
      </c>
      <c r="G4077" s="3" t="s">
        <v>11449</v>
      </c>
      <c r="H4077" s="54">
        <v>0</v>
      </c>
      <c r="I4077" s="16">
        <v>470000000</v>
      </c>
      <c r="J4077" s="16" t="s">
        <v>229</v>
      </c>
      <c r="K4077" s="57" t="s">
        <v>641</v>
      </c>
      <c r="L4077" s="57" t="s">
        <v>364</v>
      </c>
      <c r="M4077" s="162" t="s">
        <v>230</v>
      </c>
      <c r="N4077" s="8" t="s">
        <v>8899</v>
      </c>
      <c r="O4077" s="6" t="s">
        <v>622</v>
      </c>
      <c r="P4077" s="58" t="s">
        <v>241</v>
      </c>
      <c r="Q4077" s="27" t="s">
        <v>234</v>
      </c>
      <c r="R4077" s="27">
        <v>60</v>
      </c>
      <c r="S4077" s="59">
        <f>375*1.07</f>
        <v>401.25</v>
      </c>
      <c r="T4077" s="4">
        <v>0</v>
      </c>
      <c r="U4077" s="4">
        <f t="shared" si="200"/>
        <v>0</v>
      </c>
      <c r="V4077" s="3"/>
      <c r="W4077" s="3">
        <v>2014</v>
      </c>
      <c r="X4077" s="3">
        <v>11.12</v>
      </c>
    </row>
    <row r="4078" spans="1:24" ht="76.5">
      <c r="A4078" s="3" t="s">
        <v>13091</v>
      </c>
      <c r="B4078" s="6" t="s">
        <v>361</v>
      </c>
      <c r="C4078" s="6" t="s">
        <v>5428</v>
      </c>
      <c r="D4078" s="6" t="s">
        <v>416</v>
      </c>
      <c r="E4078" s="65" t="s">
        <v>5429</v>
      </c>
      <c r="F4078" s="9" t="s">
        <v>7864</v>
      </c>
      <c r="G4078" s="3" t="s">
        <v>11449</v>
      </c>
      <c r="H4078" s="54">
        <v>0</v>
      </c>
      <c r="I4078" s="16">
        <v>470000000</v>
      </c>
      <c r="J4078" s="16" t="s">
        <v>229</v>
      </c>
      <c r="K4078" s="57" t="s">
        <v>642</v>
      </c>
      <c r="L4078" s="12" t="s">
        <v>404</v>
      </c>
      <c r="M4078" s="162" t="s">
        <v>230</v>
      </c>
      <c r="N4078" s="8" t="s">
        <v>8899</v>
      </c>
      <c r="O4078" s="6" t="s">
        <v>622</v>
      </c>
      <c r="P4078" s="58" t="s">
        <v>241</v>
      </c>
      <c r="Q4078" s="27" t="s">
        <v>234</v>
      </c>
      <c r="R4078" s="27">
        <v>60</v>
      </c>
      <c r="S4078" s="59">
        <f>375*1.07</f>
        <v>401.25</v>
      </c>
      <c r="T4078" s="4">
        <f>R4078*S4078</f>
        <v>24075</v>
      </c>
      <c r="U4078" s="4">
        <f>T4078*1.12</f>
        <v>26964.000000000004</v>
      </c>
      <c r="V4078" s="3"/>
      <c r="W4078" s="3">
        <v>2014</v>
      </c>
      <c r="X4078" s="3"/>
    </row>
    <row r="4079" spans="1:24" ht="76.5">
      <c r="A4079" s="3" t="s">
        <v>1829</v>
      </c>
      <c r="B4079" s="6" t="s">
        <v>361</v>
      </c>
      <c r="C4079" s="6" t="s">
        <v>11529</v>
      </c>
      <c r="D4079" s="6" t="s">
        <v>5430</v>
      </c>
      <c r="E4079" s="65" t="s">
        <v>5732</v>
      </c>
      <c r="F4079" s="9" t="s">
        <v>7865</v>
      </c>
      <c r="G4079" s="3" t="s">
        <v>11449</v>
      </c>
      <c r="H4079" s="54">
        <v>0</v>
      </c>
      <c r="I4079" s="16">
        <v>470000000</v>
      </c>
      <c r="J4079" s="16" t="s">
        <v>229</v>
      </c>
      <c r="K4079" s="57" t="s">
        <v>641</v>
      </c>
      <c r="L4079" s="57" t="s">
        <v>364</v>
      </c>
      <c r="M4079" s="162" t="s">
        <v>230</v>
      </c>
      <c r="N4079" s="8" t="s">
        <v>8899</v>
      </c>
      <c r="O4079" s="6" t="s">
        <v>622</v>
      </c>
      <c r="P4079" s="58" t="s">
        <v>241</v>
      </c>
      <c r="Q4079" s="27" t="s">
        <v>234</v>
      </c>
      <c r="R4079" s="27">
        <v>3</v>
      </c>
      <c r="S4079" s="59">
        <f>122087*1.07</f>
        <v>130633.09000000001</v>
      </c>
      <c r="T4079" s="4">
        <v>0</v>
      </c>
      <c r="U4079" s="4">
        <f t="shared" si="200"/>
        <v>0</v>
      </c>
      <c r="V4079" s="3"/>
      <c r="W4079" s="3">
        <v>2014</v>
      </c>
      <c r="X4079" s="3">
        <v>11.12</v>
      </c>
    </row>
    <row r="4080" spans="1:24" ht="76.5">
      <c r="A4080" s="3" t="s">
        <v>13092</v>
      </c>
      <c r="B4080" s="6" t="s">
        <v>361</v>
      </c>
      <c r="C4080" s="6" t="s">
        <v>11529</v>
      </c>
      <c r="D4080" s="6" t="s">
        <v>5430</v>
      </c>
      <c r="E4080" s="65" t="s">
        <v>5732</v>
      </c>
      <c r="F4080" s="9" t="s">
        <v>7865</v>
      </c>
      <c r="G4080" s="3" t="s">
        <v>11449</v>
      </c>
      <c r="H4080" s="54">
        <v>0</v>
      </c>
      <c r="I4080" s="16">
        <v>470000000</v>
      </c>
      <c r="J4080" s="16" t="s">
        <v>229</v>
      </c>
      <c r="K4080" s="57" t="s">
        <v>642</v>
      </c>
      <c r="L4080" s="12" t="s">
        <v>404</v>
      </c>
      <c r="M4080" s="162" t="s">
        <v>230</v>
      </c>
      <c r="N4080" s="8" t="s">
        <v>8899</v>
      </c>
      <c r="O4080" s="6" t="s">
        <v>622</v>
      </c>
      <c r="P4080" s="58" t="s">
        <v>241</v>
      </c>
      <c r="Q4080" s="27" t="s">
        <v>234</v>
      </c>
      <c r="R4080" s="27">
        <v>3</v>
      </c>
      <c r="S4080" s="59">
        <f>122087*1.07</f>
        <v>130633.09000000001</v>
      </c>
      <c r="T4080" s="4">
        <v>0</v>
      </c>
      <c r="U4080" s="4">
        <f>T4080*1.12</f>
        <v>0</v>
      </c>
      <c r="V4080" s="3"/>
      <c r="W4080" s="3">
        <v>2014</v>
      </c>
      <c r="X4080" s="3" t="s">
        <v>14785</v>
      </c>
    </row>
    <row r="4081" spans="1:24" ht="76.5">
      <c r="A4081" s="3" t="s">
        <v>16822</v>
      </c>
      <c r="B4081" s="6" t="s">
        <v>361</v>
      </c>
      <c r="C4081" s="6" t="s">
        <v>11529</v>
      </c>
      <c r="D4081" s="6" t="s">
        <v>5430</v>
      </c>
      <c r="E4081" s="65" t="s">
        <v>5732</v>
      </c>
      <c r="F4081" s="9" t="s">
        <v>7865</v>
      </c>
      <c r="G4081" s="3" t="s">
        <v>11449</v>
      </c>
      <c r="H4081" s="54">
        <v>0</v>
      </c>
      <c r="I4081" s="16">
        <v>470000000</v>
      </c>
      <c r="J4081" s="16" t="s">
        <v>229</v>
      </c>
      <c r="K4081" s="57" t="s">
        <v>8950</v>
      </c>
      <c r="L4081" s="12" t="s">
        <v>404</v>
      </c>
      <c r="M4081" s="162" t="s">
        <v>230</v>
      </c>
      <c r="N4081" s="8" t="s">
        <v>8899</v>
      </c>
      <c r="O4081" s="6" t="s">
        <v>622</v>
      </c>
      <c r="P4081" s="58" t="s">
        <v>241</v>
      </c>
      <c r="Q4081" s="27" t="s">
        <v>234</v>
      </c>
      <c r="R4081" s="27">
        <v>3</v>
      </c>
      <c r="S4081" s="59">
        <v>156759.70800000001</v>
      </c>
      <c r="T4081" s="4">
        <f>R4081*S4081</f>
        <v>470279.12400000007</v>
      </c>
      <c r="U4081" s="4">
        <f>T4081*1.12</f>
        <v>526712.61888000008</v>
      </c>
      <c r="V4081" s="3"/>
      <c r="W4081" s="3">
        <v>2014</v>
      </c>
      <c r="X4081" s="3"/>
    </row>
    <row r="4082" spans="1:24" ht="76.5">
      <c r="A4082" s="3" t="s">
        <v>1830</v>
      </c>
      <c r="B4082" s="6" t="s">
        <v>361</v>
      </c>
      <c r="C4082" s="6" t="s">
        <v>5431</v>
      </c>
      <c r="D4082" s="6" t="s">
        <v>5357</v>
      </c>
      <c r="E4082" s="65" t="s">
        <v>5432</v>
      </c>
      <c r="F4082" s="8" t="s">
        <v>7866</v>
      </c>
      <c r="G4082" s="3" t="s">
        <v>11449</v>
      </c>
      <c r="H4082" s="54">
        <v>0</v>
      </c>
      <c r="I4082" s="16">
        <v>470000000</v>
      </c>
      <c r="J4082" s="16" t="s">
        <v>229</v>
      </c>
      <c r="K4082" s="57" t="s">
        <v>641</v>
      </c>
      <c r="L4082" s="57" t="s">
        <v>364</v>
      </c>
      <c r="M4082" s="162" t="s">
        <v>230</v>
      </c>
      <c r="N4082" s="8" t="s">
        <v>8899</v>
      </c>
      <c r="O4082" s="6" t="s">
        <v>622</v>
      </c>
      <c r="P4082" s="58" t="s">
        <v>242</v>
      </c>
      <c r="Q4082" s="27" t="s">
        <v>239</v>
      </c>
      <c r="R4082" s="27">
        <v>10</v>
      </c>
      <c r="S4082" s="59">
        <f>295*1.07</f>
        <v>315.65000000000003</v>
      </c>
      <c r="T4082" s="4">
        <v>0</v>
      </c>
      <c r="U4082" s="4">
        <f t="shared" si="200"/>
        <v>0</v>
      </c>
      <c r="V4082" s="3"/>
      <c r="W4082" s="3">
        <v>2014</v>
      </c>
      <c r="X4082" s="3">
        <v>11.12</v>
      </c>
    </row>
    <row r="4083" spans="1:24" ht="76.5">
      <c r="A4083" s="3" t="s">
        <v>13093</v>
      </c>
      <c r="B4083" s="6" t="s">
        <v>361</v>
      </c>
      <c r="C4083" s="6" t="s">
        <v>5431</v>
      </c>
      <c r="D4083" s="6" t="s">
        <v>5357</v>
      </c>
      <c r="E4083" s="65" t="s">
        <v>5432</v>
      </c>
      <c r="F4083" s="8" t="s">
        <v>7866</v>
      </c>
      <c r="G4083" s="3" t="s">
        <v>11449</v>
      </c>
      <c r="H4083" s="54">
        <v>0</v>
      </c>
      <c r="I4083" s="16">
        <v>470000000</v>
      </c>
      <c r="J4083" s="16" t="s">
        <v>229</v>
      </c>
      <c r="K4083" s="57" t="s">
        <v>642</v>
      </c>
      <c r="L4083" s="12" t="s">
        <v>404</v>
      </c>
      <c r="M4083" s="162" t="s">
        <v>230</v>
      </c>
      <c r="N4083" s="8" t="s">
        <v>8899</v>
      </c>
      <c r="O4083" s="6" t="s">
        <v>622</v>
      </c>
      <c r="P4083" s="58" t="s">
        <v>242</v>
      </c>
      <c r="Q4083" s="27" t="s">
        <v>239</v>
      </c>
      <c r="R4083" s="27">
        <v>10</v>
      </c>
      <c r="S4083" s="59">
        <f>295*1.07</f>
        <v>315.65000000000003</v>
      </c>
      <c r="T4083" s="4">
        <f>R4083*S4083</f>
        <v>3156.5000000000005</v>
      </c>
      <c r="U4083" s="4">
        <f>T4083*1.12</f>
        <v>3535.2800000000007</v>
      </c>
      <c r="V4083" s="3"/>
      <c r="W4083" s="3">
        <v>2014</v>
      </c>
      <c r="X4083" s="3"/>
    </row>
    <row r="4084" spans="1:24" ht="76.5">
      <c r="A4084" s="3" t="s">
        <v>1831</v>
      </c>
      <c r="B4084" s="6" t="s">
        <v>361</v>
      </c>
      <c r="C4084" s="179" t="s">
        <v>5433</v>
      </c>
      <c r="D4084" s="3" t="s">
        <v>5434</v>
      </c>
      <c r="E4084" s="181" t="s">
        <v>5183</v>
      </c>
      <c r="F4084" s="9" t="s">
        <v>7867</v>
      </c>
      <c r="G4084" s="3" t="s">
        <v>11449</v>
      </c>
      <c r="H4084" s="54">
        <v>0</v>
      </c>
      <c r="I4084" s="16">
        <v>470000000</v>
      </c>
      <c r="J4084" s="16" t="s">
        <v>229</v>
      </c>
      <c r="K4084" s="57" t="s">
        <v>641</v>
      </c>
      <c r="L4084" s="57" t="s">
        <v>364</v>
      </c>
      <c r="M4084" s="162" t="s">
        <v>230</v>
      </c>
      <c r="N4084" s="8" t="s">
        <v>8899</v>
      </c>
      <c r="O4084" s="6" t="s">
        <v>622</v>
      </c>
      <c r="P4084" s="58" t="s">
        <v>241</v>
      </c>
      <c r="Q4084" s="27" t="s">
        <v>234</v>
      </c>
      <c r="R4084" s="27">
        <v>4</v>
      </c>
      <c r="S4084" s="59">
        <f>19688*1.07</f>
        <v>21066.16</v>
      </c>
      <c r="T4084" s="4">
        <v>0</v>
      </c>
      <c r="U4084" s="4">
        <f t="shared" si="200"/>
        <v>0</v>
      </c>
      <c r="V4084" s="3"/>
      <c r="W4084" s="3">
        <v>2014</v>
      </c>
      <c r="X4084" s="3">
        <v>11.12</v>
      </c>
    </row>
    <row r="4085" spans="1:24" ht="76.5">
      <c r="A4085" s="3" t="s">
        <v>13094</v>
      </c>
      <c r="B4085" s="6" t="s">
        <v>361</v>
      </c>
      <c r="C4085" s="179" t="s">
        <v>5433</v>
      </c>
      <c r="D4085" s="3" t="s">
        <v>5434</v>
      </c>
      <c r="E4085" s="181" t="s">
        <v>5183</v>
      </c>
      <c r="F4085" s="9" t="s">
        <v>7867</v>
      </c>
      <c r="G4085" s="3" t="s">
        <v>11449</v>
      </c>
      <c r="H4085" s="54">
        <v>0</v>
      </c>
      <c r="I4085" s="16">
        <v>470000000</v>
      </c>
      <c r="J4085" s="16" t="s">
        <v>229</v>
      </c>
      <c r="K4085" s="57" t="s">
        <v>642</v>
      </c>
      <c r="L4085" s="12" t="s">
        <v>404</v>
      </c>
      <c r="M4085" s="162" t="s">
        <v>230</v>
      </c>
      <c r="N4085" s="8" t="s">
        <v>8899</v>
      </c>
      <c r="O4085" s="6" t="s">
        <v>622</v>
      </c>
      <c r="P4085" s="58" t="s">
        <v>241</v>
      </c>
      <c r="Q4085" s="27" t="s">
        <v>234</v>
      </c>
      <c r="R4085" s="27">
        <v>4</v>
      </c>
      <c r="S4085" s="59">
        <f>19688*1.07</f>
        <v>21066.16</v>
      </c>
      <c r="T4085" s="4">
        <v>0</v>
      </c>
      <c r="U4085" s="4">
        <f>T4085*1.12</f>
        <v>0</v>
      </c>
      <c r="V4085" s="3"/>
      <c r="W4085" s="3">
        <v>2014</v>
      </c>
      <c r="X4085" s="3" t="s">
        <v>14785</v>
      </c>
    </row>
    <row r="4086" spans="1:24" ht="76.5">
      <c r="A4086" s="3" t="s">
        <v>16823</v>
      </c>
      <c r="B4086" s="6" t="s">
        <v>361</v>
      </c>
      <c r="C4086" s="179" t="s">
        <v>5433</v>
      </c>
      <c r="D4086" s="3" t="s">
        <v>5434</v>
      </c>
      <c r="E4086" s="181" t="s">
        <v>5183</v>
      </c>
      <c r="F4086" s="9" t="s">
        <v>7867</v>
      </c>
      <c r="G4086" s="3" t="s">
        <v>11449</v>
      </c>
      <c r="H4086" s="54">
        <v>0</v>
      </c>
      <c r="I4086" s="16">
        <v>470000000</v>
      </c>
      <c r="J4086" s="16" t="s">
        <v>229</v>
      </c>
      <c r="K4086" s="57" t="s">
        <v>8950</v>
      </c>
      <c r="L4086" s="12" t="s">
        <v>404</v>
      </c>
      <c r="M4086" s="162" t="s">
        <v>230</v>
      </c>
      <c r="N4086" s="8" t="s">
        <v>8899</v>
      </c>
      <c r="O4086" s="6" t="s">
        <v>622</v>
      </c>
      <c r="P4086" s="58" t="s">
        <v>241</v>
      </c>
      <c r="Q4086" s="27" t="s">
        <v>234</v>
      </c>
      <c r="R4086" s="27">
        <v>4</v>
      </c>
      <c r="S4086" s="59">
        <v>25279.392</v>
      </c>
      <c r="T4086" s="4">
        <f>R4086*S4086</f>
        <v>101117.568</v>
      </c>
      <c r="U4086" s="4">
        <f>T4086*1.12</f>
        <v>113251.67616000002</v>
      </c>
      <c r="V4086" s="3"/>
      <c r="W4086" s="3">
        <v>2014</v>
      </c>
      <c r="X4086" s="3"/>
    </row>
    <row r="4087" spans="1:24" ht="76.5">
      <c r="A4087" s="3" t="s">
        <v>1832</v>
      </c>
      <c r="B4087" s="6" t="s">
        <v>361</v>
      </c>
      <c r="C4087" s="6" t="s">
        <v>5435</v>
      </c>
      <c r="D4087" s="6" t="s">
        <v>5436</v>
      </c>
      <c r="E4087" s="65" t="s">
        <v>5183</v>
      </c>
      <c r="F4087" s="9" t="s">
        <v>7868</v>
      </c>
      <c r="G4087" s="3" t="s">
        <v>11449</v>
      </c>
      <c r="H4087" s="54">
        <v>0</v>
      </c>
      <c r="I4087" s="16">
        <v>470000000</v>
      </c>
      <c r="J4087" s="16" t="s">
        <v>229</v>
      </c>
      <c r="K4087" s="57" t="s">
        <v>641</v>
      </c>
      <c r="L4087" s="57" t="s">
        <v>364</v>
      </c>
      <c r="M4087" s="162" t="s">
        <v>230</v>
      </c>
      <c r="N4087" s="8" t="s">
        <v>8899</v>
      </c>
      <c r="O4087" s="6" t="s">
        <v>622</v>
      </c>
      <c r="P4087" s="58" t="s">
        <v>242</v>
      </c>
      <c r="Q4087" s="27" t="s">
        <v>239</v>
      </c>
      <c r="R4087" s="27">
        <v>12</v>
      </c>
      <c r="S4087" s="59">
        <v>6438.42</v>
      </c>
      <c r="T4087" s="4">
        <v>0</v>
      </c>
      <c r="U4087" s="4">
        <f t="shared" si="200"/>
        <v>0</v>
      </c>
      <c r="V4087" s="3"/>
      <c r="W4087" s="3">
        <v>2014</v>
      </c>
      <c r="X4087" s="3">
        <v>11.12</v>
      </c>
    </row>
    <row r="4088" spans="1:24" ht="76.5">
      <c r="A4088" s="3" t="s">
        <v>13095</v>
      </c>
      <c r="B4088" s="6" t="s">
        <v>361</v>
      </c>
      <c r="C4088" s="6" t="s">
        <v>5435</v>
      </c>
      <c r="D4088" s="6" t="s">
        <v>5436</v>
      </c>
      <c r="E4088" s="65" t="s">
        <v>5183</v>
      </c>
      <c r="F4088" s="9" t="s">
        <v>7868</v>
      </c>
      <c r="G4088" s="3" t="s">
        <v>11449</v>
      </c>
      <c r="H4088" s="54">
        <v>0</v>
      </c>
      <c r="I4088" s="16">
        <v>470000000</v>
      </c>
      <c r="J4088" s="16" t="s">
        <v>229</v>
      </c>
      <c r="K4088" s="57" t="s">
        <v>642</v>
      </c>
      <c r="L4088" s="12" t="s">
        <v>404</v>
      </c>
      <c r="M4088" s="162" t="s">
        <v>230</v>
      </c>
      <c r="N4088" s="8" t="s">
        <v>8899</v>
      </c>
      <c r="O4088" s="6" t="s">
        <v>622</v>
      </c>
      <c r="P4088" s="58" t="s">
        <v>242</v>
      </c>
      <c r="Q4088" s="27" t="s">
        <v>239</v>
      </c>
      <c r="R4088" s="27">
        <v>12</v>
      </c>
      <c r="S4088" s="59">
        <v>6438.42</v>
      </c>
      <c r="T4088" s="4">
        <v>0</v>
      </c>
      <c r="U4088" s="4">
        <f>T4088*1.12</f>
        <v>0</v>
      </c>
      <c r="V4088" s="3"/>
      <c r="W4088" s="3">
        <v>2014</v>
      </c>
      <c r="X4088" s="3" t="s">
        <v>14785</v>
      </c>
    </row>
    <row r="4089" spans="1:24" ht="76.5">
      <c r="A4089" s="3" t="s">
        <v>16824</v>
      </c>
      <c r="B4089" s="6" t="s">
        <v>361</v>
      </c>
      <c r="C4089" s="6" t="s">
        <v>5435</v>
      </c>
      <c r="D4089" s="6" t="s">
        <v>5436</v>
      </c>
      <c r="E4089" s="65" t="s">
        <v>5183</v>
      </c>
      <c r="F4089" s="9" t="s">
        <v>7868</v>
      </c>
      <c r="G4089" s="3" t="s">
        <v>11449</v>
      </c>
      <c r="H4089" s="54">
        <v>0</v>
      </c>
      <c r="I4089" s="16">
        <v>470000000</v>
      </c>
      <c r="J4089" s="16" t="s">
        <v>229</v>
      </c>
      <c r="K4089" s="57" t="s">
        <v>8950</v>
      </c>
      <c r="L4089" s="12" t="s">
        <v>404</v>
      </c>
      <c r="M4089" s="162" t="s">
        <v>230</v>
      </c>
      <c r="N4089" s="8" t="s">
        <v>8899</v>
      </c>
      <c r="O4089" s="6" t="s">
        <v>622</v>
      </c>
      <c r="P4089" s="58" t="s">
        <v>242</v>
      </c>
      <c r="Q4089" s="27" t="s">
        <v>239</v>
      </c>
      <c r="R4089" s="27">
        <v>12</v>
      </c>
      <c r="S4089" s="59">
        <v>10469.736000000001</v>
      </c>
      <c r="T4089" s="4">
        <f>R4089*S4089</f>
        <v>125636.83200000001</v>
      </c>
      <c r="U4089" s="4">
        <f>T4089*1.12</f>
        <v>140713.25184000001</v>
      </c>
      <c r="V4089" s="3"/>
      <c r="W4089" s="3">
        <v>2014</v>
      </c>
      <c r="X4089" s="3"/>
    </row>
    <row r="4090" spans="1:24" ht="76.5">
      <c r="A4090" s="3" t="s">
        <v>1833</v>
      </c>
      <c r="B4090" s="6" t="s">
        <v>361</v>
      </c>
      <c r="C4090" s="126" t="s">
        <v>5437</v>
      </c>
      <c r="D4090" s="126" t="s">
        <v>5438</v>
      </c>
      <c r="E4090" s="127" t="s">
        <v>5439</v>
      </c>
      <c r="F4090" s="30" t="s">
        <v>7869</v>
      </c>
      <c r="G4090" s="3" t="s">
        <v>11449</v>
      </c>
      <c r="H4090" s="54">
        <v>0</v>
      </c>
      <c r="I4090" s="16">
        <v>470000000</v>
      </c>
      <c r="J4090" s="16" t="s">
        <v>229</v>
      </c>
      <c r="K4090" s="57" t="s">
        <v>641</v>
      </c>
      <c r="L4090" s="57" t="s">
        <v>364</v>
      </c>
      <c r="M4090" s="162" t="s">
        <v>230</v>
      </c>
      <c r="N4090" s="8" t="s">
        <v>8899</v>
      </c>
      <c r="O4090" s="6" t="s">
        <v>622</v>
      </c>
      <c r="P4090" s="58" t="s">
        <v>241</v>
      </c>
      <c r="Q4090" s="27" t="s">
        <v>234</v>
      </c>
      <c r="R4090" s="28">
        <v>12</v>
      </c>
      <c r="S4090" s="59">
        <f>3103*1.07</f>
        <v>3320.21</v>
      </c>
      <c r="T4090" s="4">
        <v>0</v>
      </c>
      <c r="U4090" s="4">
        <f t="shared" si="200"/>
        <v>0</v>
      </c>
      <c r="V4090" s="3"/>
      <c r="W4090" s="3">
        <v>2014</v>
      </c>
      <c r="X4090" s="3">
        <v>11.12</v>
      </c>
    </row>
    <row r="4091" spans="1:24" ht="76.5">
      <c r="A4091" s="3" t="s">
        <v>13096</v>
      </c>
      <c r="B4091" s="6" t="s">
        <v>361</v>
      </c>
      <c r="C4091" s="126" t="s">
        <v>5437</v>
      </c>
      <c r="D4091" s="126" t="s">
        <v>5438</v>
      </c>
      <c r="E4091" s="127" t="s">
        <v>5439</v>
      </c>
      <c r="F4091" s="30" t="s">
        <v>7869</v>
      </c>
      <c r="G4091" s="3" t="s">
        <v>11449</v>
      </c>
      <c r="H4091" s="54">
        <v>0</v>
      </c>
      <c r="I4091" s="16">
        <v>470000000</v>
      </c>
      <c r="J4091" s="16" t="s">
        <v>229</v>
      </c>
      <c r="K4091" s="57" t="s">
        <v>642</v>
      </c>
      <c r="L4091" s="12" t="s">
        <v>404</v>
      </c>
      <c r="M4091" s="162" t="s">
        <v>230</v>
      </c>
      <c r="N4091" s="8" t="s">
        <v>8899</v>
      </c>
      <c r="O4091" s="6" t="s">
        <v>622</v>
      </c>
      <c r="P4091" s="58" t="s">
        <v>241</v>
      </c>
      <c r="Q4091" s="27" t="s">
        <v>234</v>
      </c>
      <c r="R4091" s="28">
        <v>12</v>
      </c>
      <c r="S4091" s="59">
        <f>3103*1.07</f>
        <v>3320.21</v>
      </c>
      <c r="T4091" s="4">
        <v>0</v>
      </c>
      <c r="U4091" s="4">
        <f>T4091*1.12</f>
        <v>0</v>
      </c>
      <c r="V4091" s="3"/>
      <c r="W4091" s="3">
        <v>2014</v>
      </c>
      <c r="X4091" s="3" t="s">
        <v>14785</v>
      </c>
    </row>
    <row r="4092" spans="1:24" ht="76.5">
      <c r="A4092" s="3" t="s">
        <v>16825</v>
      </c>
      <c r="B4092" s="6" t="s">
        <v>361</v>
      </c>
      <c r="C4092" s="126" t="s">
        <v>5437</v>
      </c>
      <c r="D4092" s="126" t="s">
        <v>5438</v>
      </c>
      <c r="E4092" s="127" t="s">
        <v>5439</v>
      </c>
      <c r="F4092" s="30" t="s">
        <v>7869</v>
      </c>
      <c r="G4092" s="3" t="s">
        <v>11449</v>
      </c>
      <c r="H4092" s="54">
        <v>0</v>
      </c>
      <c r="I4092" s="16">
        <v>470000000</v>
      </c>
      <c r="J4092" s="16" t="s">
        <v>229</v>
      </c>
      <c r="K4092" s="57" t="s">
        <v>8950</v>
      </c>
      <c r="L4092" s="12" t="s">
        <v>404</v>
      </c>
      <c r="M4092" s="162" t="s">
        <v>230</v>
      </c>
      <c r="N4092" s="8" t="s">
        <v>8899</v>
      </c>
      <c r="O4092" s="6" t="s">
        <v>622</v>
      </c>
      <c r="P4092" s="58" t="s">
        <v>241</v>
      </c>
      <c r="Q4092" s="27" t="s">
        <v>234</v>
      </c>
      <c r="R4092" s="28">
        <v>12</v>
      </c>
      <c r="S4092" s="59">
        <v>3984.252</v>
      </c>
      <c r="T4092" s="4">
        <f>R4092*S4092</f>
        <v>47811.023999999998</v>
      </c>
      <c r="U4092" s="4">
        <f>T4092*1.12</f>
        <v>53548.346880000005</v>
      </c>
      <c r="V4092" s="3"/>
      <c r="W4092" s="3">
        <v>2014</v>
      </c>
      <c r="X4092" s="3"/>
    </row>
    <row r="4093" spans="1:24" ht="76.5">
      <c r="A4093" s="3" t="s">
        <v>1834</v>
      </c>
      <c r="B4093" s="6" t="s">
        <v>361</v>
      </c>
      <c r="C4093" s="6" t="s">
        <v>5431</v>
      </c>
      <c r="D4093" s="6" t="s">
        <v>5357</v>
      </c>
      <c r="E4093" s="65" t="s">
        <v>5432</v>
      </c>
      <c r="F4093" s="8" t="s">
        <v>7870</v>
      </c>
      <c r="G4093" s="3" t="s">
        <v>11449</v>
      </c>
      <c r="H4093" s="54">
        <v>0</v>
      </c>
      <c r="I4093" s="16">
        <v>470000000</v>
      </c>
      <c r="J4093" s="16" t="s">
        <v>229</v>
      </c>
      <c r="K4093" s="57" t="s">
        <v>641</v>
      </c>
      <c r="L4093" s="57" t="s">
        <v>364</v>
      </c>
      <c r="M4093" s="162" t="s">
        <v>230</v>
      </c>
      <c r="N4093" s="8" t="s">
        <v>8899</v>
      </c>
      <c r="O4093" s="6" t="s">
        <v>622</v>
      </c>
      <c r="P4093" s="58" t="s">
        <v>242</v>
      </c>
      <c r="Q4093" s="27" t="s">
        <v>239</v>
      </c>
      <c r="R4093" s="27">
        <v>25</v>
      </c>
      <c r="S4093" s="59">
        <f>256.8*1.07</f>
        <v>274.77600000000001</v>
      </c>
      <c r="T4093" s="4">
        <v>0</v>
      </c>
      <c r="U4093" s="4">
        <f t="shared" si="200"/>
        <v>0</v>
      </c>
      <c r="V4093" s="3"/>
      <c r="W4093" s="3">
        <v>2014</v>
      </c>
      <c r="X4093" s="3">
        <v>11.12</v>
      </c>
    </row>
    <row r="4094" spans="1:24" ht="76.5">
      <c r="A4094" s="3" t="s">
        <v>13097</v>
      </c>
      <c r="B4094" s="6" t="s">
        <v>361</v>
      </c>
      <c r="C4094" s="6" t="s">
        <v>5431</v>
      </c>
      <c r="D4094" s="6" t="s">
        <v>5357</v>
      </c>
      <c r="E4094" s="65" t="s">
        <v>5432</v>
      </c>
      <c r="F4094" s="8" t="s">
        <v>7870</v>
      </c>
      <c r="G4094" s="3" t="s">
        <v>11449</v>
      </c>
      <c r="H4094" s="54">
        <v>0</v>
      </c>
      <c r="I4094" s="16">
        <v>470000000</v>
      </c>
      <c r="J4094" s="16" t="s">
        <v>229</v>
      </c>
      <c r="K4094" s="57" t="s">
        <v>642</v>
      </c>
      <c r="L4094" s="12" t="s">
        <v>404</v>
      </c>
      <c r="M4094" s="162" t="s">
        <v>230</v>
      </c>
      <c r="N4094" s="8" t="s">
        <v>8899</v>
      </c>
      <c r="O4094" s="6" t="s">
        <v>622</v>
      </c>
      <c r="P4094" s="58" t="s">
        <v>242</v>
      </c>
      <c r="Q4094" s="27" t="s">
        <v>239</v>
      </c>
      <c r="R4094" s="27">
        <v>25</v>
      </c>
      <c r="S4094" s="59">
        <f>256.8*1.07</f>
        <v>274.77600000000001</v>
      </c>
      <c r="T4094" s="4">
        <f>R4094*S4094</f>
        <v>6869.4000000000005</v>
      </c>
      <c r="U4094" s="4">
        <f>T4094*1.12</f>
        <v>7693.728000000001</v>
      </c>
      <c r="V4094" s="3"/>
      <c r="W4094" s="3">
        <v>2014</v>
      </c>
      <c r="X4094" s="3"/>
    </row>
    <row r="4095" spans="1:24" ht="76.5">
      <c r="A4095" s="3" t="s">
        <v>1835</v>
      </c>
      <c r="B4095" s="6" t="s">
        <v>361</v>
      </c>
      <c r="C4095" s="6" t="s">
        <v>7292</v>
      </c>
      <c r="D4095" s="6" t="s">
        <v>7293</v>
      </c>
      <c r="E4095" s="65" t="s">
        <v>7294</v>
      </c>
      <c r="F4095" s="9" t="s">
        <v>7871</v>
      </c>
      <c r="G4095" s="3" t="s">
        <v>11449</v>
      </c>
      <c r="H4095" s="54">
        <v>0</v>
      </c>
      <c r="I4095" s="16">
        <v>470000000</v>
      </c>
      <c r="J4095" s="16" t="s">
        <v>229</v>
      </c>
      <c r="K4095" s="57" t="s">
        <v>641</v>
      </c>
      <c r="L4095" s="57" t="s">
        <v>364</v>
      </c>
      <c r="M4095" s="162" t="s">
        <v>230</v>
      </c>
      <c r="N4095" s="8" t="s">
        <v>8899</v>
      </c>
      <c r="O4095" s="6" t="s">
        <v>622</v>
      </c>
      <c r="P4095" s="58" t="s">
        <v>241</v>
      </c>
      <c r="Q4095" s="27" t="s">
        <v>234</v>
      </c>
      <c r="R4095" s="27">
        <v>20</v>
      </c>
      <c r="S4095" s="59">
        <f>3584.5*1.07</f>
        <v>3835.4150000000004</v>
      </c>
      <c r="T4095" s="4">
        <v>0</v>
      </c>
      <c r="U4095" s="4">
        <f t="shared" si="200"/>
        <v>0</v>
      </c>
      <c r="V4095" s="3"/>
      <c r="W4095" s="3">
        <v>2014</v>
      </c>
      <c r="X4095" s="3">
        <v>11.12</v>
      </c>
    </row>
    <row r="4096" spans="1:24" ht="76.5">
      <c r="A4096" s="3" t="s">
        <v>13098</v>
      </c>
      <c r="B4096" s="6" t="s">
        <v>361</v>
      </c>
      <c r="C4096" s="6" t="s">
        <v>7292</v>
      </c>
      <c r="D4096" s="6" t="s">
        <v>7293</v>
      </c>
      <c r="E4096" s="65" t="s">
        <v>7294</v>
      </c>
      <c r="F4096" s="9" t="s">
        <v>7871</v>
      </c>
      <c r="G4096" s="3" t="s">
        <v>11449</v>
      </c>
      <c r="H4096" s="54">
        <v>0</v>
      </c>
      <c r="I4096" s="16">
        <v>470000000</v>
      </c>
      <c r="J4096" s="16" t="s">
        <v>229</v>
      </c>
      <c r="K4096" s="57" t="s">
        <v>642</v>
      </c>
      <c r="L4096" s="12" t="s">
        <v>404</v>
      </c>
      <c r="M4096" s="162" t="s">
        <v>230</v>
      </c>
      <c r="N4096" s="8" t="s">
        <v>8899</v>
      </c>
      <c r="O4096" s="6" t="s">
        <v>622</v>
      </c>
      <c r="P4096" s="58" t="s">
        <v>241</v>
      </c>
      <c r="Q4096" s="27" t="s">
        <v>234</v>
      </c>
      <c r="R4096" s="27">
        <v>20</v>
      </c>
      <c r="S4096" s="59">
        <f>3584.5*1.07</f>
        <v>3835.4150000000004</v>
      </c>
      <c r="T4096" s="4">
        <v>0</v>
      </c>
      <c r="U4096" s="4">
        <f>T4096*1.12</f>
        <v>0</v>
      </c>
      <c r="V4096" s="3"/>
      <c r="W4096" s="3">
        <v>2014</v>
      </c>
      <c r="X4096" s="3" t="s">
        <v>14785</v>
      </c>
    </row>
    <row r="4097" spans="1:24" ht="76.5">
      <c r="A4097" s="3" t="s">
        <v>16826</v>
      </c>
      <c r="B4097" s="6" t="s">
        <v>361</v>
      </c>
      <c r="C4097" s="6" t="s">
        <v>7292</v>
      </c>
      <c r="D4097" s="6" t="s">
        <v>7293</v>
      </c>
      <c r="E4097" s="65" t="s">
        <v>7294</v>
      </c>
      <c r="F4097" s="9" t="s">
        <v>7871</v>
      </c>
      <c r="G4097" s="3" t="s">
        <v>11449</v>
      </c>
      <c r="H4097" s="54">
        <v>0</v>
      </c>
      <c r="I4097" s="16">
        <v>470000000</v>
      </c>
      <c r="J4097" s="16" t="s">
        <v>229</v>
      </c>
      <c r="K4097" s="57" t="s">
        <v>8950</v>
      </c>
      <c r="L4097" s="12" t="s">
        <v>404</v>
      </c>
      <c r="M4097" s="162" t="s">
        <v>230</v>
      </c>
      <c r="N4097" s="8" t="s">
        <v>8899</v>
      </c>
      <c r="O4097" s="6" t="s">
        <v>622</v>
      </c>
      <c r="P4097" s="58" t="s">
        <v>241</v>
      </c>
      <c r="Q4097" s="27" t="s">
        <v>234</v>
      </c>
      <c r="R4097" s="27">
        <v>20</v>
      </c>
      <c r="S4097" s="59">
        <v>4602.4980000000005</v>
      </c>
      <c r="T4097" s="4">
        <f>R4097*S4097</f>
        <v>92049.96</v>
      </c>
      <c r="U4097" s="4">
        <f>T4097*1.12</f>
        <v>103095.95520000001</v>
      </c>
      <c r="V4097" s="3"/>
      <c r="W4097" s="3">
        <v>2014</v>
      </c>
      <c r="X4097" s="3"/>
    </row>
    <row r="4098" spans="1:24" ht="76.5">
      <c r="A4098" s="3" t="s">
        <v>1836</v>
      </c>
      <c r="B4098" s="6" t="s">
        <v>361</v>
      </c>
      <c r="C4098" s="6" t="s">
        <v>5440</v>
      </c>
      <c r="D4098" s="6" t="s">
        <v>5441</v>
      </c>
      <c r="E4098" s="65" t="s">
        <v>5442</v>
      </c>
      <c r="F4098" s="9" t="s">
        <v>7872</v>
      </c>
      <c r="G4098" s="3" t="s">
        <v>11449</v>
      </c>
      <c r="H4098" s="54">
        <v>0</v>
      </c>
      <c r="I4098" s="16">
        <v>470000000</v>
      </c>
      <c r="J4098" s="16" t="s">
        <v>229</v>
      </c>
      <c r="K4098" s="57" t="s">
        <v>641</v>
      </c>
      <c r="L4098" s="57" t="s">
        <v>364</v>
      </c>
      <c r="M4098" s="162" t="s">
        <v>230</v>
      </c>
      <c r="N4098" s="8" t="s">
        <v>8899</v>
      </c>
      <c r="O4098" s="6" t="s">
        <v>622</v>
      </c>
      <c r="P4098" s="58" t="s">
        <v>241</v>
      </c>
      <c r="Q4098" s="27" t="s">
        <v>234</v>
      </c>
      <c r="R4098" s="27">
        <v>20</v>
      </c>
      <c r="S4098" s="59">
        <f>107*1.07</f>
        <v>114.49000000000001</v>
      </c>
      <c r="T4098" s="4">
        <v>0</v>
      </c>
      <c r="U4098" s="4">
        <f t="shared" si="200"/>
        <v>0</v>
      </c>
      <c r="V4098" s="3"/>
      <c r="W4098" s="3">
        <v>2014</v>
      </c>
      <c r="X4098" s="3">
        <v>11.12</v>
      </c>
    </row>
    <row r="4099" spans="1:24" ht="76.5">
      <c r="A4099" s="3" t="s">
        <v>13100</v>
      </c>
      <c r="B4099" s="6" t="s">
        <v>361</v>
      </c>
      <c r="C4099" s="6" t="s">
        <v>5440</v>
      </c>
      <c r="D4099" s="6" t="s">
        <v>5441</v>
      </c>
      <c r="E4099" s="65" t="s">
        <v>5442</v>
      </c>
      <c r="F4099" s="9" t="s">
        <v>7872</v>
      </c>
      <c r="G4099" s="3" t="s">
        <v>11449</v>
      </c>
      <c r="H4099" s="54">
        <v>0</v>
      </c>
      <c r="I4099" s="16">
        <v>470000000</v>
      </c>
      <c r="J4099" s="16" t="s">
        <v>229</v>
      </c>
      <c r="K4099" s="57" t="s">
        <v>642</v>
      </c>
      <c r="L4099" s="12" t="s">
        <v>404</v>
      </c>
      <c r="M4099" s="162" t="s">
        <v>230</v>
      </c>
      <c r="N4099" s="8" t="s">
        <v>8899</v>
      </c>
      <c r="O4099" s="6" t="s">
        <v>622</v>
      </c>
      <c r="P4099" s="58" t="s">
        <v>241</v>
      </c>
      <c r="Q4099" s="27" t="s">
        <v>234</v>
      </c>
      <c r="R4099" s="27">
        <v>20</v>
      </c>
      <c r="S4099" s="59">
        <f>107*1.07</f>
        <v>114.49000000000001</v>
      </c>
      <c r="T4099" s="4">
        <v>0</v>
      </c>
      <c r="U4099" s="4">
        <f>T4099*1.12</f>
        <v>0</v>
      </c>
      <c r="V4099" s="3"/>
      <c r="W4099" s="3">
        <v>2014</v>
      </c>
      <c r="X4099" s="3" t="s">
        <v>14785</v>
      </c>
    </row>
    <row r="4100" spans="1:24" ht="76.5">
      <c r="A4100" s="3" t="s">
        <v>16827</v>
      </c>
      <c r="B4100" s="6" t="s">
        <v>361</v>
      </c>
      <c r="C4100" s="6" t="s">
        <v>5440</v>
      </c>
      <c r="D4100" s="6" t="s">
        <v>5441</v>
      </c>
      <c r="E4100" s="65" t="s">
        <v>5442</v>
      </c>
      <c r="F4100" s="335" t="s">
        <v>7872</v>
      </c>
      <c r="G4100" s="3" t="s">
        <v>11449</v>
      </c>
      <c r="H4100" s="54">
        <v>0</v>
      </c>
      <c r="I4100" s="16">
        <v>470000000</v>
      </c>
      <c r="J4100" s="16" t="s">
        <v>229</v>
      </c>
      <c r="K4100" s="57" t="s">
        <v>8950</v>
      </c>
      <c r="L4100" s="12" t="s">
        <v>404</v>
      </c>
      <c r="M4100" s="162" t="s">
        <v>230</v>
      </c>
      <c r="N4100" s="8" t="s">
        <v>8899</v>
      </c>
      <c r="O4100" s="6" t="s">
        <v>622</v>
      </c>
      <c r="P4100" s="58" t="s">
        <v>241</v>
      </c>
      <c r="Q4100" s="336" t="s">
        <v>234</v>
      </c>
      <c r="R4100" s="336">
        <v>20</v>
      </c>
      <c r="S4100" s="59">
        <v>137.38800000000001</v>
      </c>
      <c r="T4100" s="4">
        <v>0</v>
      </c>
      <c r="U4100" s="4">
        <f t="shared" ref="U4100:U4101" si="201">T4100*1.12</f>
        <v>0</v>
      </c>
      <c r="V4100" s="3"/>
      <c r="W4100" s="3">
        <v>2014</v>
      </c>
      <c r="X4100" s="3" t="s">
        <v>14265</v>
      </c>
    </row>
    <row r="4101" spans="1:24" ht="76.5">
      <c r="A4101" s="3" t="s">
        <v>19123</v>
      </c>
      <c r="B4101" s="6" t="s">
        <v>361</v>
      </c>
      <c r="C4101" s="6" t="s">
        <v>5440</v>
      </c>
      <c r="D4101" s="6" t="s">
        <v>5441</v>
      </c>
      <c r="E4101" s="65" t="s">
        <v>5442</v>
      </c>
      <c r="F4101" s="335" t="s">
        <v>7872</v>
      </c>
      <c r="G4101" s="3" t="s">
        <v>11449</v>
      </c>
      <c r="H4101" s="54">
        <v>0</v>
      </c>
      <c r="I4101" s="16">
        <v>470000000</v>
      </c>
      <c r="J4101" s="16" t="s">
        <v>229</v>
      </c>
      <c r="K4101" s="57" t="s">
        <v>18437</v>
      </c>
      <c r="L4101" s="12" t="s">
        <v>404</v>
      </c>
      <c r="M4101" s="162" t="s">
        <v>230</v>
      </c>
      <c r="N4101" s="8" t="s">
        <v>19369</v>
      </c>
      <c r="O4101" s="6" t="s">
        <v>19407</v>
      </c>
      <c r="P4101" s="58" t="s">
        <v>241</v>
      </c>
      <c r="Q4101" s="336" t="s">
        <v>234</v>
      </c>
      <c r="R4101" s="336">
        <v>20</v>
      </c>
      <c r="S4101" s="59">
        <v>137.38800000000001</v>
      </c>
      <c r="T4101" s="4">
        <f>R4101*S4101</f>
        <v>2747.76</v>
      </c>
      <c r="U4101" s="4">
        <f t="shared" si="201"/>
        <v>3077.4912000000004</v>
      </c>
      <c r="V4101" s="3"/>
      <c r="W4101" s="3">
        <v>2014</v>
      </c>
      <c r="X4101" s="3"/>
    </row>
    <row r="4102" spans="1:24" ht="76.5">
      <c r="A4102" s="3" t="s">
        <v>1837</v>
      </c>
      <c r="B4102" s="6" t="s">
        <v>361</v>
      </c>
      <c r="C4102" s="6" t="s">
        <v>5443</v>
      </c>
      <c r="D4102" s="6" t="s">
        <v>5444</v>
      </c>
      <c r="E4102" s="65" t="s">
        <v>5445</v>
      </c>
      <c r="F4102" s="30" t="s">
        <v>7873</v>
      </c>
      <c r="G4102" s="3" t="s">
        <v>11449</v>
      </c>
      <c r="H4102" s="54">
        <v>0</v>
      </c>
      <c r="I4102" s="16">
        <v>470000000</v>
      </c>
      <c r="J4102" s="16" t="s">
        <v>229</v>
      </c>
      <c r="K4102" s="57" t="s">
        <v>641</v>
      </c>
      <c r="L4102" s="57" t="s">
        <v>364</v>
      </c>
      <c r="M4102" s="162" t="s">
        <v>230</v>
      </c>
      <c r="N4102" s="8" t="s">
        <v>8899</v>
      </c>
      <c r="O4102" s="6" t="s">
        <v>622</v>
      </c>
      <c r="P4102" s="58" t="s">
        <v>241</v>
      </c>
      <c r="Q4102" s="27" t="s">
        <v>234</v>
      </c>
      <c r="R4102" s="27">
        <v>8</v>
      </c>
      <c r="S4102" s="59">
        <f>3852*1.07</f>
        <v>4121.6400000000003</v>
      </c>
      <c r="T4102" s="4">
        <v>0</v>
      </c>
      <c r="U4102" s="4">
        <f t="shared" si="200"/>
        <v>0</v>
      </c>
      <c r="V4102" s="3"/>
      <c r="W4102" s="3">
        <v>2014</v>
      </c>
      <c r="X4102" s="3">
        <v>11.12</v>
      </c>
    </row>
    <row r="4103" spans="1:24" ht="76.5">
      <c r="A4103" s="3" t="s">
        <v>13099</v>
      </c>
      <c r="B4103" s="6" t="s">
        <v>361</v>
      </c>
      <c r="C4103" s="6" t="s">
        <v>5443</v>
      </c>
      <c r="D4103" s="6" t="s">
        <v>5444</v>
      </c>
      <c r="E4103" s="65" t="s">
        <v>5445</v>
      </c>
      <c r="F4103" s="30" t="s">
        <v>7873</v>
      </c>
      <c r="G4103" s="3" t="s">
        <v>11449</v>
      </c>
      <c r="H4103" s="54">
        <v>0</v>
      </c>
      <c r="I4103" s="16">
        <v>470000000</v>
      </c>
      <c r="J4103" s="16" t="s">
        <v>229</v>
      </c>
      <c r="K4103" s="57" t="s">
        <v>642</v>
      </c>
      <c r="L4103" s="12" t="s">
        <v>404</v>
      </c>
      <c r="M4103" s="162" t="s">
        <v>230</v>
      </c>
      <c r="N4103" s="8" t="s">
        <v>8899</v>
      </c>
      <c r="O4103" s="6" t="s">
        <v>622</v>
      </c>
      <c r="P4103" s="58" t="s">
        <v>241</v>
      </c>
      <c r="Q4103" s="27" t="s">
        <v>234</v>
      </c>
      <c r="R4103" s="27">
        <v>8</v>
      </c>
      <c r="S4103" s="59">
        <f>3852*1.07</f>
        <v>4121.6400000000003</v>
      </c>
      <c r="T4103" s="4">
        <v>0</v>
      </c>
      <c r="U4103" s="4">
        <f>T4103*1.12</f>
        <v>0</v>
      </c>
      <c r="V4103" s="3"/>
      <c r="W4103" s="3">
        <v>2014</v>
      </c>
      <c r="X4103" s="3" t="s">
        <v>14785</v>
      </c>
    </row>
    <row r="4104" spans="1:24" ht="76.5">
      <c r="A4104" s="3" t="s">
        <v>16828</v>
      </c>
      <c r="B4104" s="6" t="s">
        <v>361</v>
      </c>
      <c r="C4104" s="6" t="s">
        <v>5443</v>
      </c>
      <c r="D4104" s="6" t="s">
        <v>5444</v>
      </c>
      <c r="E4104" s="65" t="s">
        <v>5445</v>
      </c>
      <c r="F4104" s="30" t="s">
        <v>7873</v>
      </c>
      <c r="G4104" s="3" t="s">
        <v>11449</v>
      </c>
      <c r="H4104" s="54">
        <v>0</v>
      </c>
      <c r="I4104" s="16">
        <v>470000000</v>
      </c>
      <c r="J4104" s="16" t="s">
        <v>229</v>
      </c>
      <c r="K4104" s="57" t="s">
        <v>8950</v>
      </c>
      <c r="L4104" s="12" t="s">
        <v>404</v>
      </c>
      <c r="M4104" s="162" t="s">
        <v>230</v>
      </c>
      <c r="N4104" s="8" t="s">
        <v>8899</v>
      </c>
      <c r="O4104" s="6" t="s">
        <v>622</v>
      </c>
      <c r="P4104" s="58" t="s">
        <v>241</v>
      </c>
      <c r="Q4104" s="27" t="s">
        <v>234</v>
      </c>
      <c r="R4104" s="27">
        <v>8</v>
      </c>
      <c r="S4104" s="59">
        <v>4945.9679999999998</v>
      </c>
      <c r="T4104" s="4">
        <f>R4104*S4104</f>
        <v>39567.743999999999</v>
      </c>
      <c r="U4104" s="4">
        <f>T4104*1.12</f>
        <v>44315.87328</v>
      </c>
      <c r="V4104" s="3"/>
      <c r="W4104" s="3">
        <v>2014</v>
      </c>
      <c r="X4104" s="3"/>
    </row>
    <row r="4105" spans="1:24" ht="76.5">
      <c r="A4105" s="3" t="s">
        <v>1838</v>
      </c>
      <c r="B4105" s="6" t="s">
        <v>361</v>
      </c>
      <c r="C4105" s="6" t="s">
        <v>5446</v>
      </c>
      <c r="D4105" s="6" t="s">
        <v>5447</v>
      </c>
      <c r="E4105" s="65" t="s">
        <v>5448</v>
      </c>
      <c r="F4105" s="30" t="s">
        <v>7874</v>
      </c>
      <c r="G4105" s="3" t="s">
        <v>11449</v>
      </c>
      <c r="H4105" s="54">
        <v>0</v>
      </c>
      <c r="I4105" s="16">
        <v>470000000</v>
      </c>
      <c r="J4105" s="16" t="s">
        <v>229</v>
      </c>
      <c r="K4105" s="57" t="s">
        <v>641</v>
      </c>
      <c r="L4105" s="57" t="s">
        <v>364</v>
      </c>
      <c r="M4105" s="162" t="s">
        <v>230</v>
      </c>
      <c r="N4105" s="8" t="s">
        <v>8899</v>
      </c>
      <c r="O4105" s="6" t="s">
        <v>622</v>
      </c>
      <c r="P4105" s="58" t="s">
        <v>241</v>
      </c>
      <c r="Q4105" s="27" t="s">
        <v>234</v>
      </c>
      <c r="R4105" s="27">
        <v>8</v>
      </c>
      <c r="S4105" s="59">
        <f>3852*1.07</f>
        <v>4121.6400000000003</v>
      </c>
      <c r="T4105" s="4">
        <v>0</v>
      </c>
      <c r="U4105" s="4">
        <f t="shared" si="200"/>
        <v>0</v>
      </c>
      <c r="V4105" s="3"/>
      <c r="W4105" s="3">
        <v>2014</v>
      </c>
      <c r="X4105" s="3">
        <v>11.12</v>
      </c>
    </row>
    <row r="4106" spans="1:24" ht="76.5">
      <c r="A4106" s="3" t="s">
        <v>13101</v>
      </c>
      <c r="B4106" s="6" t="s">
        <v>361</v>
      </c>
      <c r="C4106" s="6" t="s">
        <v>5446</v>
      </c>
      <c r="D4106" s="6" t="s">
        <v>5447</v>
      </c>
      <c r="E4106" s="65" t="s">
        <v>5448</v>
      </c>
      <c r="F4106" s="30" t="s">
        <v>7874</v>
      </c>
      <c r="G4106" s="3" t="s">
        <v>11449</v>
      </c>
      <c r="H4106" s="54">
        <v>0</v>
      </c>
      <c r="I4106" s="16">
        <v>470000000</v>
      </c>
      <c r="J4106" s="16" t="s">
        <v>229</v>
      </c>
      <c r="K4106" s="57" t="s">
        <v>642</v>
      </c>
      <c r="L4106" s="12" t="s">
        <v>404</v>
      </c>
      <c r="M4106" s="162" t="s">
        <v>230</v>
      </c>
      <c r="N4106" s="8" t="s">
        <v>8899</v>
      </c>
      <c r="O4106" s="6" t="s">
        <v>622</v>
      </c>
      <c r="P4106" s="58" t="s">
        <v>241</v>
      </c>
      <c r="Q4106" s="27" t="s">
        <v>234</v>
      </c>
      <c r="R4106" s="27">
        <v>8</v>
      </c>
      <c r="S4106" s="59">
        <f>3852*1.07</f>
        <v>4121.6400000000003</v>
      </c>
      <c r="T4106" s="4">
        <v>0</v>
      </c>
      <c r="U4106" s="4">
        <f>T4106*1.12</f>
        <v>0</v>
      </c>
      <c r="V4106" s="3"/>
      <c r="W4106" s="3">
        <v>2014</v>
      </c>
      <c r="X4106" s="3" t="s">
        <v>14785</v>
      </c>
    </row>
    <row r="4107" spans="1:24" ht="76.5">
      <c r="A4107" s="3" t="s">
        <v>16829</v>
      </c>
      <c r="B4107" s="6" t="s">
        <v>361</v>
      </c>
      <c r="C4107" s="6" t="s">
        <v>5446</v>
      </c>
      <c r="D4107" s="6" t="s">
        <v>5447</v>
      </c>
      <c r="E4107" s="65" t="s">
        <v>5448</v>
      </c>
      <c r="F4107" s="30" t="s">
        <v>7874</v>
      </c>
      <c r="G4107" s="3" t="s">
        <v>11449</v>
      </c>
      <c r="H4107" s="54">
        <v>0</v>
      </c>
      <c r="I4107" s="16">
        <v>470000000</v>
      </c>
      <c r="J4107" s="16" t="s">
        <v>229</v>
      </c>
      <c r="K4107" s="57" t="s">
        <v>8950</v>
      </c>
      <c r="L4107" s="12" t="s">
        <v>404</v>
      </c>
      <c r="M4107" s="162" t="s">
        <v>230</v>
      </c>
      <c r="N4107" s="8" t="s">
        <v>8899</v>
      </c>
      <c r="O4107" s="6" t="s">
        <v>622</v>
      </c>
      <c r="P4107" s="58" t="s">
        <v>241</v>
      </c>
      <c r="Q4107" s="27" t="s">
        <v>234</v>
      </c>
      <c r="R4107" s="27">
        <v>8</v>
      </c>
      <c r="S4107" s="59">
        <v>4945.9679999999998</v>
      </c>
      <c r="T4107" s="4">
        <f>R4107*S4107</f>
        <v>39567.743999999999</v>
      </c>
      <c r="U4107" s="4">
        <f>T4107*1.12</f>
        <v>44315.87328</v>
      </c>
      <c r="V4107" s="3"/>
      <c r="W4107" s="3">
        <v>2014</v>
      </c>
      <c r="X4107" s="3"/>
    </row>
    <row r="4108" spans="1:24" ht="76.5">
      <c r="A4108" s="3" t="s">
        <v>1839</v>
      </c>
      <c r="B4108" s="6" t="s">
        <v>361</v>
      </c>
      <c r="C4108" s="6" t="s">
        <v>5449</v>
      </c>
      <c r="D4108" s="6" t="s">
        <v>5450</v>
      </c>
      <c r="E4108" s="65" t="s">
        <v>5451</v>
      </c>
      <c r="F4108" s="8" t="s">
        <v>7875</v>
      </c>
      <c r="G4108" s="3" t="s">
        <v>11449</v>
      </c>
      <c r="H4108" s="54">
        <v>0</v>
      </c>
      <c r="I4108" s="16">
        <v>470000000</v>
      </c>
      <c r="J4108" s="16" t="s">
        <v>229</v>
      </c>
      <c r="K4108" s="57" t="s">
        <v>641</v>
      </c>
      <c r="L4108" s="57" t="s">
        <v>364</v>
      </c>
      <c r="M4108" s="162" t="s">
        <v>230</v>
      </c>
      <c r="N4108" s="8" t="s">
        <v>8899</v>
      </c>
      <c r="O4108" s="6" t="s">
        <v>622</v>
      </c>
      <c r="P4108" s="58" t="s">
        <v>241</v>
      </c>
      <c r="Q4108" s="27" t="s">
        <v>234</v>
      </c>
      <c r="R4108" s="27">
        <v>4</v>
      </c>
      <c r="S4108" s="59">
        <v>28741.46</v>
      </c>
      <c r="T4108" s="4">
        <v>0</v>
      </c>
      <c r="U4108" s="4">
        <f t="shared" si="200"/>
        <v>0</v>
      </c>
      <c r="V4108" s="3"/>
      <c r="W4108" s="3">
        <v>2014</v>
      </c>
      <c r="X4108" s="3">
        <v>11.12</v>
      </c>
    </row>
    <row r="4109" spans="1:24" ht="76.5">
      <c r="A4109" s="3" t="s">
        <v>13102</v>
      </c>
      <c r="B4109" s="6" t="s">
        <v>361</v>
      </c>
      <c r="C4109" s="6" t="s">
        <v>5449</v>
      </c>
      <c r="D4109" s="6" t="s">
        <v>5450</v>
      </c>
      <c r="E4109" s="65" t="s">
        <v>5451</v>
      </c>
      <c r="F4109" s="8" t="s">
        <v>7875</v>
      </c>
      <c r="G4109" s="3" t="s">
        <v>11449</v>
      </c>
      <c r="H4109" s="54">
        <v>0</v>
      </c>
      <c r="I4109" s="16">
        <v>470000000</v>
      </c>
      <c r="J4109" s="16" t="s">
        <v>229</v>
      </c>
      <c r="K4109" s="57" t="s">
        <v>642</v>
      </c>
      <c r="L4109" s="12" t="s">
        <v>404</v>
      </c>
      <c r="M4109" s="162" t="s">
        <v>230</v>
      </c>
      <c r="N4109" s="8" t="s">
        <v>8899</v>
      </c>
      <c r="O4109" s="6" t="s">
        <v>622</v>
      </c>
      <c r="P4109" s="58" t="s">
        <v>241</v>
      </c>
      <c r="Q4109" s="27" t="s">
        <v>234</v>
      </c>
      <c r="R4109" s="27">
        <v>4</v>
      </c>
      <c r="S4109" s="59">
        <v>28741.46</v>
      </c>
      <c r="T4109" s="4">
        <v>0</v>
      </c>
      <c r="U4109" s="4">
        <f>T4109*1.12</f>
        <v>0</v>
      </c>
      <c r="V4109" s="3"/>
      <c r="W4109" s="3">
        <v>2014</v>
      </c>
      <c r="X4109" s="3" t="s">
        <v>14785</v>
      </c>
    </row>
    <row r="4110" spans="1:24" ht="76.5">
      <c r="A4110" s="3" t="s">
        <v>16830</v>
      </c>
      <c r="B4110" s="6" t="s">
        <v>361</v>
      </c>
      <c r="C4110" s="6" t="s">
        <v>5449</v>
      </c>
      <c r="D4110" s="6" t="s">
        <v>5450</v>
      </c>
      <c r="E4110" s="65" t="s">
        <v>5451</v>
      </c>
      <c r="F4110" s="8" t="s">
        <v>7875</v>
      </c>
      <c r="G4110" s="3" t="s">
        <v>11449</v>
      </c>
      <c r="H4110" s="54">
        <v>0</v>
      </c>
      <c r="I4110" s="16">
        <v>470000000</v>
      </c>
      <c r="J4110" s="16" t="s">
        <v>229</v>
      </c>
      <c r="K4110" s="57" t="s">
        <v>8950</v>
      </c>
      <c r="L4110" s="12" t="s">
        <v>404</v>
      </c>
      <c r="M4110" s="162" t="s">
        <v>230</v>
      </c>
      <c r="N4110" s="8" t="s">
        <v>8899</v>
      </c>
      <c r="O4110" s="6" t="s">
        <v>622</v>
      </c>
      <c r="P4110" s="58" t="s">
        <v>241</v>
      </c>
      <c r="Q4110" s="27" t="s">
        <v>234</v>
      </c>
      <c r="R4110" s="27">
        <v>4</v>
      </c>
      <c r="S4110" s="59">
        <v>35515.440000000002</v>
      </c>
      <c r="T4110" s="4">
        <f>R4110*S4110</f>
        <v>142061.76000000001</v>
      </c>
      <c r="U4110" s="4">
        <f>T4110*1.12</f>
        <v>159109.17120000001</v>
      </c>
      <c r="V4110" s="3"/>
      <c r="W4110" s="3">
        <v>2014</v>
      </c>
      <c r="X4110" s="3"/>
    </row>
    <row r="4111" spans="1:24" ht="76.5">
      <c r="A4111" s="3" t="s">
        <v>1840</v>
      </c>
      <c r="B4111" s="6" t="s">
        <v>361</v>
      </c>
      <c r="C4111" s="6" t="s">
        <v>5452</v>
      </c>
      <c r="D4111" s="6" t="s">
        <v>393</v>
      </c>
      <c r="E4111" s="65" t="s">
        <v>5453</v>
      </c>
      <c r="F4111" s="8" t="s">
        <v>5454</v>
      </c>
      <c r="G4111" s="3" t="s">
        <v>11449</v>
      </c>
      <c r="H4111" s="54">
        <v>0</v>
      </c>
      <c r="I4111" s="16">
        <v>470000000</v>
      </c>
      <c r="J4111" s="16" t="s">
        <v>229</v>
      </c>
      <c r="K4111" s="57" t="s">
        <v>641</v>
      </c>
      <c r="L4111" s="57" t="s">
        <v>364</v>
      </c>
      <c r="M4111" s="162" t="s">
        <v>230</v>
      </c>
      <c r="N4111" s="8" t="s">
        <v>8899</v>
      </c>
      <c r="O4111" s="6" t="s">
        <v>622</v>
      </c>
      <c r="P4111" s="58" t="s">
        <v>241</v>
      </c>
      <c r="Q4111" s="27" t="s">
        <v>234</v>
      </c>
      <c r="R4111" s="27">
        <v>6</v>
      </c>
      <c r="S4111" s="59">
        <v>369.25</v>
      </c>
      <c r="T4111" s="4">
        <v>0</v>
      </c>
      <c r="U4111" s="4">
        <f t="shared" si="200"/>
        <v>0</v>
      </c>
      <c r="V4111" s="3"/>
      <c r="W4111" s="3">
        <v>2014</v>
      </c>
      <c r="X4111" s="3">
        <v>11.12</v>
      </c>
    </row>
    <row r="4112" spans="1:24" ht="76.5">
      <c r="A4112" s="3" t="s">
        <v>13103</v>
      </c>
      <c r="B4112" s="6" t="s">
        <v>361</v>
      </c>
      <c r="C4112" s="6" t="s">
        <v>5452</v>
      </c>
      <c r="D4112" s="6" t="s">
        <v>393</v>
      </c>
      <c r="E4112" s="65" t="s">
        <v>5453</v>
      </c>
      <c r="F4112" s="8" t="s">
        <v>5454</v>
      </c>
      <c r="G4112" s="3" t="s">
        <v>11449</v>
      </c>
      <c r="H4112" s="54">
        <v>0</v>
      </c>
      <c r="I4112" s="16">
        <v>470000000</v>
      </c>
      <c r="J4112" s="16" t="s">
        <v>229</v>
      </c>
      <c r="K4112" s="57" t="s">
        <v>642</v>
      </c>
      <c r="L4112" s="12" t="s">
        <v>404</v>
      </c>
      <c r="M4112" s="162" t="s">
        <v>230</v>
      </c>
      <c r="N4112" s="8" t="s">
        <v>8899</v>
      </c>
      <c r="O4112" s="6" t="s">
        <v>622</v>
      </c>
      <c r="P4112" s="58" t="s">
        <v>241</v>
      </c>
      <c r="Q4112" s="27" t="s">
        <v>234</v>
      </c>
      <c r="R4112" s="27">
        <v>6</v>
      </c>
      <c r="S4112" s="59">
        <v>369.25</v>
      </c>
      <c r="T4112" s="4">
        <v>0</v>
      </c>
      <c r="U4112" s="4">
        <f>T4112*1.12</f>
        <v>0</v>
      </c>
      <c r="V4112" s="3"/>
      <c r="W4112" s="3">
        <v>2014</v>
      </c>
      <c r="X4112" s="3" t="s">
        <v>14785</v>
      </c>
    </row>
    <row r="4113" spans="1:24" ht="76.5">
      <c r="A4113" s="3" t="s">
        <v>16831</v>
      </c>
      <c r="B4113" s="6" t="s">
        <v>361</v>
      </c>
      <c r="C4113" s="6" t="s">
        <v>5452</v>
      </c>
      <c r="D4113" s="6" t="s">
        <v>393</v>
      </c>
      <c r="E4113" s="65" t="s">
        <v>5453</v>
      </c>
      <c r="F4113" s="8" t="s">
        <v>5454</v>
      </c>
      <c r="G4113" s="3" t="s">
        <v>11449</v>
      </c>
      <c r="H4113" s="54">
        <v>0</v>
      </c>
      <c r="I4113" s="16">
        <v>470000000</v>
      </c>
      <c r="J4113" s="16" t="s">
        <v>229</v>
      </c>
      <c r="K4113" s="57" t="s">
        <v>8950</v>
      </c>
      <c r="L4113" s="12" t="s">
        <v>404</v>
      </c>
      <c r="M4113" s="162" t="s">
        <v>230</v>
      </c>
      <c r="N4113" s="8" t="s">
        <v>8899</v>
      </c>
      <c r="O4113" s="6" t="s">
        <v>622</v>
      </c>
      <c r="P4113" s="58" t="s">
        <v>241</v>
      </c>
      <c r="Q4113" s="336" t="s">
        <v>234</v>
      </c>
      <c r="R4113" s="336">
        <v>6</v>
      </c>
      <c r="S4113" s="59">
        <v>1786.0440000000001</v>
      </c>
      <c r="T4113" s="4">
        <v>0</v>
      </c>
      <c r="U4113" s="4">
        <f t="shared" ref="U4113:U4114" si="202">T4113*1.12</f>
        <v>0</v>
      </c>
      <c r="V4113" s="3"/>
      <c r="W4113" s="3">
        <v>2014</v>
      </c>
      <c r="X4113" s="3" t="s">
        <v>14265</v>
      </c>
    </row>
    <row r="4114" spans="1:24" ht="76.5">
      <c r="A4114" s="3" t="s">
        <v>19124</v>
      </c>
      <c r="B4114" s="6" t="s">
        <v>361</v>
      </c>
      <c r="C4114" s="6" t="s">
        <v>5452</v>
      </c>
      <c r="D4114" s="6" t="s">
        <v>393</v>
      </c>
      <c r="E4114" s="65" t="s">
        <v>5453</v>
      </c>
      <c r="F4114" s="8" t="s">
        <v>5454</v>
      </c>
      <c r="G4114" s="3" t="s">
        <v>11449</v>
      </c>
      <c r="H4114" s="54">
        <v>0</v>
      </c>
      <c r="I4114" s="16">
        <v>470000000</v>
      </c>
      <c r="J4114" s="16" t="s">
        <v>229</v>
      </c>
      <c r="K4114" s="57" t="s">
        <v>18437</v>
      </c>
      <c r="L4114" s="12" t="s">
        <v>404</v>
      </c>
      <c r="M4114" s="162" t="s">
        <v>230</v>
      </c>
      <c r="N4114" s="8" t="s">
        <v>19369</v>
      </c>
      <c r="O4114" s="6" t="s">
        <v>19407</v>
      </c>
      <c r="P4114" s="58" t="s">
        <v>241</v>
      </c>
      <c r="Q4114" s="336" t="s">
        <v>234</v>
      </c>
      <c r="R4114" s="336">
        <v>6</v>
      </c>
      <c r="S4114" s="59">
        <v>1786.0440000000001</v>
      </c>
      <c r="T4114" s="4">
        <f>R4114*S4114</f>
        <v>10716.264000000001</v>
      </c>
      <c r="U4114" s="4">
        <f t="shared" si="202"/>
        <v>12002.215680000003</v>
      </c>
      <c r="V4114" s="3"/>
      <c r="W4114" s="3">
        <v>2014</v>
      </c>
      <c r="X4114" s="3"/>
    </row>
    <row r="4115" spans="1:24" ht="76.5">
      <c r="A4115" s="3" t="s">
        <v>1841</v>
      </c>
      <c r="B4115" s="6" t="s">
        <v>361</v>
      </c>
      <c r="C4115" s="6" t="s">
        <v>5455</v>
      </c>
      <c r="D4115" s="6" t="s">
        <v>428</v>
      </c>
      <c r="E4115" s="65" t="s">
        <v>5456</v>
      </c>
      <c r="F4115" s="9" t="s">
        <v>5457</v>
      </c>
      <c r="G4115" s="3" t="s">
        <v>11449</v>
      </c>
      <c r="H4115" s="54">
        <v>0</v>
      </c>
      <c r="I4115" s="16">
        <v>470000000</v>
      </c>
      <c r="J4115" s="16" t="s">
        <v>229</v>
      </c>
      <c r="K4115" s="57" t="s">
        <v>641</v>
      </c>
      <c r="L4115" s="57" t="s">
        <v>364</v>
      </c>
      <c r="M4115" s="162" t="s">
        <v>230</v>
      </c>
      <c r="N4115" s="8" t="s">
        <v>8899</v>
      </c>
      <c r="O4115" s="6" t="s">
        <v>622</v>
      </c>
      <c r="P4115" s="58" t="s">
        <v>242</v>
      </c>
      <c r="Q4115" s="27" t="s">
        <v>239</v>
      </c>
      <c r="R4115" s="27">
        <v>20</v>
      </c>
      <c r="S4115" s="59">
        <v>899</v>
      </c>
      <c r="T4115" s="4">
        <v>0</v>
      </c>
      <c r="U4115" s="4">
        <f t="shared" si="200"/>
        <v>0</v>
      </c>
      <c r="V4115" s="3"/>
      <c r="W4115" s="3">
        <v>2014</v>
      </c>
      <c r="X4115" s="3">
        <v>11.12</v>
      </c>
    </row>
    <row r="4116" spans="1:24" ht="76.5">
      <c r="A4116" s="3" t="s">
        <v>13104</v>
      </c>
      <c r="B4116" s="6" t="s">
        <v>361</v>
      </c>
      <c r="C4116" s="6" t="s">
        <v>5455</v>
      </c>
      <c r="D4116" s="6" t="s">
        <v>428</v>
      </c>
      <c r="E4116" s="65" t="s">
        <v>5456</v>
      </c>
      <c r="F4116" s="9" t="s">
        <v>5457</v>
      </c>
      <c r="G4116" s="3" t="s">
        <v>11449</v>
      </c>
      <c r="H4116" s="54">
        <v>0</v>
      </c>
      <c r="I4116" s="16">
        <v>470000000</v>
      </c>
      <c r="J4116" s="16" t="s">
        <v>229</v>
      </c>
      <c r="K4116" s="57" t="s">
        <v>642</v>
      </c>
      <c r="L4116" s="12" t="s">
        <v>404</v>
      </c>
      <c r="M4116" s="162" t="s">
        <v>230</v>
      </c>
      <c r="N4116" s="8" t="s">
        <v>8899</v>
      </c>
      <c r="O4116" s="6" t="s">
        <v>622</v>
      </c>
      <c r="P4116" s="58" t="s">
        <v>242</v>
      </c>
      <c r="Q4116" s="27" t="s">
        <v>239</v>
      </c>
      <c r="R4116" s="27">
        <v>20</v>
      </c>
      <c r="S4116" s="59">
        <v>899</v>
      </c>
      <c r="T4116" s="4">
        <v>0</v>
      </c>
      <c r="U4116" s="4">
        <f>T4116*1.12</f>
        <v>0</v>
      </c>
      <c r="V4116" s="3"/>
      <c r="W4116" s="3">
        <v>2014</v>
      </c>
      <c r="X4116" s="3" t="s">
        <v>14785</v>
      </c>
    </row>
    <row r="4117" spans="1:24" ht="76.5">
      <c r="A4117" s="3" t="s">
        <v>16832</v>
      </c>
      <c r="B4117" s="6" t="s">
        <v>361</v>
      </c>
      <c r="C4117" s="6" t="s">
        <v>5455</v>
      </c>
      <c r="D4117" s="6" t="s">
        <v>428</v>
      </c>
      <c r="E4117" s="65" t="s">
        <v>5456</v>
      </c>
      <c r="F4117" s="335" t="s">
        <v>5457</v>
      </c>
      <c r="G4117" s="3" t="s">
        <v>11449</v>
      </c>
      <c r="H4117" s="54">
        <v>0</v>
      </c>
      <c r="I4117" s="16">
        <v>470000000</v>
      </c>
      <c r="J4117" s="16" t="s">
        <v>229</v>
      </c>
      <c r="K4117" s="57" t="s">
        <v>8950</v>
      </c>
      <c r="L4117" s="12" t="s">
        <v>404</v>
      </c>
      <c r="M4117" s="162" t="s">
        <v>230</v>
      </c>
      <c r="N4117" s="8" t="s">
        <v>8899</v>
      </c>
      <c r="O4117" s="6" t="s">
        <v>622</v>
      </c>
      <c r="P4117" s="58" t="s">
        <v>242</v>
      </c>
      <c r="Q4117" s="336" t="s">
        <v>239</v>
      </c>
      <c r="R4117" s="336">
        <v>20</v>
      </c>
      <c r="S4117" s="59">
        <v>1373.88</v>
      </c>
      <c r="T4117" s="4">
        <v>0</v>
      </c>
      <c r="U4117" s="4">
        <f t="shared" ref="U4117:U4118" si="203">T4117*1.12</f>
        <v>0</v>
      </c>
      <c r="V4117" s="3"/>
      <c r="W4117" s="3">
        <v>2014</v>
      </c>
      <c r="X4117" s="3" t="s">
        <v>14265</v>
      </c>
    </row>
    <row r="4118" spans="1:24" ht="76.5">
      <c r="A4118" s="3" t="s">
        <v>19125</v>
      </c>
      <c r="B4118" s="6" t="s">
        <v>361</v>
      </c>
      <c r="C4118" s="6" t="s">
        <v>5455</v>
      </c>
      <c r="D4118" s="6" t="s">
        <v>428</v>
      </c>
      <c r="E4118" s="65" t="s">
        <v>5456</v>
      </c>
      <c r="F4118" s="335" t="s">
        <v>5457</v>
      </c>
      <c r="G4118" s="3" t="s">
        <v>11449</v>
      </c>
      <c r="H4118" s="54">
        <v>0</v>
      </c>
      <c r="I4118" s="16">
        <v>470000000</v>
      </c>
      <c r="J4118" s="16" t="s">
        <v>229</v>
      </c>
      <c r="K4118" s="57" t="s">
        <v>18437</v>
      </c>
      <c r="L4118" s="12" t="s">
        <v>404</v>
      </c>
      <c r="M4118" s="162" t="s">
        <v>230</v>
      </c>
      <c r="N4118" s="8" t="s">
        <v>19369</v>
      </c>
      <c r="O4118" s="6" t="s">
        <v>19407</v>
      </c>
      <c r="P4118" s="58" t="s">
        <v>242</v>
      </c>
      <c r="Q4118" s="336" t="s">
        <v>239</v>
      </c>
      <c r="R4118" s="336">
        <v>20</v>
      </c>
      <c r="S4118" s="59">
        <v>1373.88</v>
      </c>
      <c r="T4118" s="4">
        <f>R4118*S4118</f>
        <v>27477.600000000002</v>
      </c>
      <c r="U4118" s="4">
        <f t="shared" si="203"/>
        <v>30774.912000000004</v>
      </c>
      <c r="V4118" s="3"/>
      <c r="W4118" s="3">
        <v>2014</v>
      </c>
      <c r="X4118" s="3"/>
    </row>
    <row r="4119" spans="1:24" ht="76.5">
      <c r="A4119" s="3" t="s">
        <v>1842</v>
      </c>
      <c r="B4119" s="6" t="s">
        <v>361</v>
      </c>
      <c r="C4119" s="6" t="s">
        <v>5455</v>
      </c>
      <c r="D4119" s="6" t="s">
        <v>428</v>
      </c>
      <c r="E4119" s="65" t="s">
        <v>5456</v>
      </c>
      <c r="F4119" s="8" t="s">
        <v>7876</v>
      </c>
      <c r="G4119" s="3" t="s">
        <v>11449</v>
      </c>
      <c r="H4119" s="54">
        <v>0</v>
      </c>
      <c r="I4119" s="16">
        <v>470000000</v>
      </c>
      <c r="J4119" s="16" t="s">
        <v>229</v>
      </c>
      <c r="K4119" s="57" t="s">
        <v>641</v>
      </c>
      <c r="L4119" s="57" t="s">
        <v>364</v>
      </c>
      <c r="M4119" s="162" t="s">
        <v>230</v>
      </c>
      <c r="N4119" s="8" t="s">
        <v>8899</v>
      </c>
      <c r="O4119" s="6" t="s">
        <v>622</v>
      </c>
      <c r="P4119" s="58" t="s">
        <v>242</v>
      </c>
      <c r="Q4119" s="27" t="s">
        <v>239</v>
      </c>
      <c r="R4119" s="29">
        <v>20</v>
      </c>
      <c r="S4119" s="59">
        <f>75*1.07</f>
        <v>80.25</v>
      </c>
      <c r="T4119" s="4">
        <v>0</v>
      </c>
      <c r="U4119" s="4">
        <f t="shared" si="200"/>
        <v>0</v>
      </c>
      <c r="V4119" s="3"/>
      <c r="W4119" s="3">
        <v>2014</v>
      </c>
      <c r="X4119" s="3">
        <v>11.12</v>
      </c>
    </row>
    <row r="4120" spans="1:24" ht="76.5">
      <c r="A4120" s="3" t="s">
        <v>13105</v>
      </c>
      <c r="B4120" s="6" t="s">
        <v>361</v>
      </c>
      <c r="C4120" s="6" t="s">
        <v>5455</v>
      </c>
      <c r="D4120" s="6" t="s">
        <v>428</v>
      </c>
      <c r="E4120" s="65" t="s">
        <v>5456</v>
      </c>
      <c r="F4120" s="8" t="s">
        <v>7876</v>
      </c>
      <c r="G4120" s="3" t="s">
        <v>11449</v>
      </c>
      <c r="H4120" s="54">
        <v>0</v>
      </c>
      <c r="I4120" s="16">
        <v>470000000</v>
      </c>
      <c r="J4120" s="16" t="s">
        <v>229</v>
      </c>
      <c r="K4120" s="57" t="s">
        <v>642</v>
      </c>
      <c r="L4120" s="12" t="s">
        <v>404</v>
      </c>
      <c r="M4120" s="162" t="s">
        <v>230</v>
      </c>
      <c r="N4120" s="8" t="s">
        <v>8899</v>
      </c>
      <c r="O4120" s="6" t="s">
        <v>622</v>
      </c>
      <c r="P4120" s="58" t="s">
        <v>242</v>
      </c>
      <c r="Q4120" s="27" t="s">
        <v>239</v>
      </c>
      <c r="R4120" s="29">
        <v>20</v>
      </c>
      <c r="S4120" s="59">
        <f>75*1.07</f>
        <v>80.25</v>
      </c>
      <c r="T4120" s="4">
        <v>0</v>
      </c>
      <c r="U4120" s="4">
        <f>T4120*1.12</f>
        <v>0</v>
      </c>
      <c r="V4120" s="3"/>
      <c r="W4120" s="3">
        <v>2014</v>
      </c>
      <c r="X4120" s="3" t="s">
        <v>14785</v>
      </c>
    </row>
    <row r="4121" spans="1:24" ht="76.5">
      <c r="A4121" s="3" t="s">
        <v>16833</v>
      </c>
      <c r="B4121" s="6" t="s">
        <v>361</v>
      </c>
      <c r="C4121" s="6" t="s">
        <v>5455</v>
      </c>
      <c r="D4121" s="6" t="s">
        <v>428</v>
      </c>
      <c r="E4121" s="65" t="s">
        <v>5456</v>
      </c>
      <c r="F4121" s="8" t="s">
        <v>7876</v>
      </c>
      <c r="G4121" s="3" t="s">
        <v>11449</v>
      </c>
      <c r="H4121" s="54">
        <v>0</v>
      </c>
      <c r="I4121" s="16">
        <v>470000000</v>
      </c>
      <c r="J4121" s="16" t="s">
        <v>229</v>
      </c>
      <c r="K4121" s="57" t="s">
        <v>8950</v>
      </c>
      <c r="L4121" s="12" t="s">
        <v>404</v>
      </c>
      <c r="M4121" s="162" t="s">
        <v>230</v>
      </c>
      <c r="N4121" s="8" t="s">
        <v>8899</v>
      </c>
      <c r="O4121" s="6" t="s">
        <v>622</v>
      </c>
      <c r="P4121" s="58" t="s">
        <v>242</v>
      </c>
      <c r="Q4121" s="27" t="s">
        <v>239</v>
      </c>
      <c r="R4121" s="29">
        <v>20</v>
      </c>
      <c r="S4121" s="59">
        <v>96.3</v>
      </c>
      <c r="T4121" s="4">
        <f>R4121*S4121</f>
        <v>1926</v>
      </c>
      <c r="U4121" s="4">
        <f>T4121*1.12</f>
        <v>2157.1200000000003</v>
      </c>
      <c r="V4121" s="3"/>
      <c r="W4121" s="3">
        <v>2014</v>
      </c>
      <c r="X4121" s="3"/>
    </row>
    <row r="4122" spans="1:24" ht="76.5">
      <c r="A4122" s="3" t="s">
        <v>1843</v>
      </c>
      <c r="B4122" s="6" t="s">
        <v>361</v>
      </c>
      <c r="C4122" s="6" t="s">
        <v>5455</v>
      </c>
      <c r="D4122" s="6" t="s">
        <v>428</v>
      </c>
      <c r="E4122" s="65" t="s">
        <v>5456</v>
      </c>
      <c r="F4122" s="8" t="s">
        <v>7877</v>
      </c>
      <c r="G4122" s="3" t="s">
        <v>11449</v>
      </c>
      <c r="H4122" s="54">
        <v>0</v>
      </c>
      <c r="I4122" s="16">
        <v>470000000</v>
      </c>
      <c r="J4122" s="16" t="s">
        <v>229</v>
      </c>
      <c r="K4122" s="57" t="s">
        <v>641</v>
      </c>
      <c r="L4122" s="57" t="s">
        <v>364</v>
      </c>
      <c r="M4122" s="162" t="s">
        <v>230</v>
      </c>
      <c r="N4122" s="8" t="s">
        <v>8899</v>
      </c>
      <c r="O4122" s="6" t="s">
        <v>622</v>
      </c>
      <c r="P4122" s="58" t="s">
        <v>242</v>
      </c>
      <c r="Q4122" s="27" t="s">
        <v>239</v>
      </c>
      <c r="R4122" s="29">
        <v>20</v>
      </c>
      <c r="S4122" s="59">
        <v>1198</v>
      </c>
      <c r="T4122" s="4">
        <v>0</v>
      </c>
      <c r="U4122" s="4">
        <f t="shared" si="200"/>
        <v>0</v>
      </c>
      <c r="V4122" s="3"/>
      <c r="W4122" s="3">
        <v>2014</v>
      </c>
      <c r="X4122" s="3">
        <v>11.12</v>
      </c>
    </row>
    <row r="4123" spans="1:24" ht="76.5">
      <c r="A4123" s="3" t="s">
        <v>13106</v>
      </c>
      <c r="B4123" s="6" t="s">
        <v>361</v>
      </c>
      <c r="C4123" s="6" t="s">
        <v>5455</v>
      </c>
      <c r="D4123" s="6" t="s">
        <v>428</v>
      </c>
      <c r="E4123" s="65" t="s">
        <v>5456</v>
      </c>
      <c r="F4123" s="8" t="s">
        <v>7877</v>
      </c>
      <c r="G4123" s="3" t="s">
        <v>11449</v>
      </c>
      <c r="H4123" s="54">
        <v>0</v>
      </c>
      <c r="I4123" s="16">
        <v>470000000</v>
      </c>
      <c r="J4123" s="16" t="s">
        <v>229</v>
      </c>
      <c r="K4123" s="57" t="s">
        <v>642</v>
      </c>
      <c r="L4123" s="12" t="s">
        <v>404</v>
      </c>
      <c r="M4123" s="162" t="s">
        <v>230</v>
      </c>
      <c r="N4123" s="8" t="s">
        <v>8899</v>
      </c>
      <c r="O4123" s="6" t="s">
        <v>622</v>
      </c>
      <c r="P4123" s="58" t="s">
        <v>242</v>
      </c>
      <c r="Q4123" s="27" t="s">
        <v>239</v>
      </c>
      <c r="R4123" s="29">
        <v>20</v>
      </c>
      <c r="S4123" s="59">
        <v>1198</v>
      </c>
      <c r="T4123" s="4">
        <v>0</v>
      </c>
      <c r="U4123" s="4">
        <f>T4123*1.12</f>
        <v>0</v>
      </c>
      <c r="V4123" s="3"/>
      <c r="W4123" s="3">
        <v>2014</v>
      </c>
      <c r="X4123" s="3" t="s">
        <v>14785</v>
      </c>
    </row>
    <row r="4124" spans="1:24" ht="76.5">
      <c r="A4124" s="3" t="s">
        <v>16834</v>
      </c>
      <c r="B4124" s="6" t="s">
        <v>361</v>
      </c>
      <c r="C4124" s="6" t="s">
        <v>5455</v>
      </c>
      <c r="D4124" s="6" t="s">
        <v>428</v>
      </c>
      <c r="E4124" s="65" t="s">
        <v>5456</v>
      </c>
      <c r="F4124" s="8" t="s">
        <v>7877</v>
      </c>
      <c r="G4124" s="3" t="s">
        <v>11449</v>
      </c>
      <c r="H4124" s="54">
        <v>0</v>
      </c>
      <c r="I4124" s="16">
        <v>470000000</v>
      </c>
      <c r="J4124" s="16" t="s">
        <v>229</v>
      </c>
      <c r="K4124" s="57" t="s">
        <v>8950</v>
      </c>
      <c r="L4124" s="12" t="s">
        <v>404</v>
      </c>
      <c r="M4124" s="162" t="s">
        <v>230</v>
      </c>
      <c r="N4124" s="8" t="s">
        <v>8899</v>
      </c>
      <c r="O4124" s="6" t="s">
        <v>622</v>
      </c>
      <c r="P4124" s="58" t="s">
        <v>242</v>
      </c>
      <c r="Q4124" s="336" t="s">
        <v>239</v>
      </c>
      <c r="R4124" s="29">
        <v>20</v>
      </c>
      <c r="S4124" s="59">
        <v>1958.1</v>
      </c>
      <c r="T4124" s="4">
        <v>0</v>
      </c>
      <c r="U4124" s="4">
        <f t="shared" ref="U4124:U4125" si="204">T4124*1.12</f>
        <v>0</v>
      </c>
      <c r="V4124" s="3"/>
      <c r="W4124" s="3">
        <v>2014</v>
      </c>
      <c r="X4124" s="3" t="s">
        <v>14265</v>
      </c>
    </row>
    <row r="4125" spans="1:24" ht="76.5">
      <c r="A4125" s="3" t="s">
        <v>19126</v>
      </c>
      <c r="B4125" s="6" t="s">
        <v>361</v>
      </c>
      <c r="C4125" s="6" t="s">
        <v>5455</v>
      </c>
      <c r="D4125" s="6" t="s">
        <v>428</v>
      </c>
      <c r="E4125" s="65" t="s">
        <v>5456</v>
      </c>
      <c r="F4125" s="8" t="s">
        <v>7877</v>
      </c>
      <c r="G4125" s="3" t="s">
        <v>11449</v>
      </c>
      <c r="H4125" s="54">
        <v>0</v>
      </c>
      <c r="I4125" s="16">
        <v>470000000</v>
      </c>
      <c r="J4125" s="16" t="s">
        <v>229</v>
      </c>
      <c r="K4125" s="57" t="s">
        <v>18437</v>
      </c>
      <c r="L4125" s="12" t="s">
        <v>404</v>
      </c>
      <c r="M4125" s="162" t="s">
        <v>230</v>
      </c>
      <c r="N4125" s="8" t="s">
        <v>19369</v>
      </c>
      <c r="O4125" s="6" t="s">
        <v>19407</v>
      </c>
      <c r="P4125" s="58" t="s">
        <v>242</v>
      </c>
      <c r="Q4125" s="336" t="s">
        <v>239</v>
      </c>
      <c r="R4125" s="29">
        <v>20</v>
      </c>
      <c r="S4125" s="59">
        <v>1958.1</v>
      </c>
      <c r="T4125" s="4">
        <f>R4125*S4125</f>
        <v>39162</v>
      </c>
      <c r="U4125" s="4">
        <f t="shared" si="204"/>
        <v>43861.440000000002</v>
      </c>
      <c r="V4125" s="3"/>
      <c r="W4125" s="3">
        <v>2014</v>
      </c>
      <c r="X4125" s="3"/>
    </row>
    <row r="4126" spans="1:24" ht="76.5">
      <c r="A4126" s="3" t="s">
        <v>1844</v>
      </c>
      <c r="B4126" s="6" t="s">
        <v>361</v>
      </c>
      <c r="C4126" s="6" t="s">
        <v>5458</v>
      </c>
      <c r="D4126" s="6" t="s">
        <v>412</v>
      </c>
      <c r="E4126" s="65" t="s">
        <v>412</v>
      </c>
      <c r="F4126" s="30" t="s">
        <v>7878</v>
      </c>
      <c r="G4126" s="3" t="s">
        <v>11449</v>
      </c>
      <c r="H4126" s="54">
        <v>0</v>
      </c>
      <c r="I4126" s="16">
        <v>470000000</v>
      </c>
      <c r="J4126" s="16" t="s">
        <v>229</v>
      </c>
      <c r="K4126" s="57" t="s">
        <v>641</v>
      </c>
      <c r="L4126" s="57" t="s">
        <v>364</v>
      </c>
      <c r="M4126" s="162" t="s">
        <v>230</v>
      </c>
      <c r="N4126" s="8" t="s">
        <v>8899</v>
      </c>
      <c r="O4126" s="6" t="s">
        <v>622</v>
      </c>
      <c r="P4126" s="58" t="s">
        <v>241</v>
      </c>
      <c r="Q4126" s="27" t="s">
        <v>234</v>
      </c>
      <c r="R4126" s="28">
        <v>14</v>
      </c>
      <c r="S4126" s="59">
        <f>11877*1.07</f>
        <v>12708.390000000001</v>
      </c>
      <c r="T4126" s="4">
        <v>0</v>
      </c>
      <c r="U4126" s="4">
        <f t="shared" si="200"/>
        <v>0</v>
      </c>
      <c r="V4126" s="3"/>
      <c r="W4126" s="3">
        <v>2014</v>
      </c>
      <c r="X4126" s="3">
        <v>11.12</v>
      </c>
    </row>
    <row r="4127" spans="1:24" ht="76.5">
      <c r="A4127" s="3" t="s">
        <v>13107</v>
      </c>
      <c r="B4127" s="6" t="s">
        <v>361</v>
      </c>
      <c r="C4127" s="6" t="s">
        <v>5458</v>
      </c>
      <c r="D4127" s="6" t="s">
        <v>412</v>
      </c>
      <c r="E4127" s="65" t="s">
        <v>412</v>
      </c>
      <c r="F4127" s="30" t="s">
        <v>7878</v>
      </c>
      <c r="G4127" s="3" t="s">
        <v>11449</v>
      </c>
      <c r="H4127" s="54">
        <v>0</v>
      </c>
      <c r="I4127" s="16">
        <v>470000000</v>
      </c>
      <c r="J4127" s="16" t="s">
        <v>229</v>
      </c>
      <c r="K4127" s="57" t="s">
        <v>642</v>
      </c>
      <c r="L4127" s="12" t="s">
        <v>404</v>
      </c>
      <c r="M4127" s="162" t="s">
        <v>230</v>
      </c>
      <c r="N4127" s="8" t="s">
        <v>8899</v>
      </c>
      <c r="O4127" s="6" t="s">
        <v>622</v>
      </c>
      <c r="P4127" s="58" t="s">
        <v>241</v>
      </c>
      <c r="Q4127" s="27" t="s">
        <v>234</v>
      </c>
      <c r="R4127" s="28">
        <v>14</v>
      </c>
      <c r="S4127" s="59">
        <f>11877*1.07</f>
        <v>12708.390000000001</v>
      </c>
      <c r="T4127" s="4">
        <f>R4127*S4127</f>
        <v>177917.46000000002</v>
      </c>
      <c r="U4127" s="4">
        <f>T4127*1.12</f>
        <v>199267.55520000003</v>
      </c>
      <c r="V4127" s="3"/>
      <c r="W4127" s="3">
        <v>2014</v>
      </c>
      <c r="X4127" s="3"/>
    </row>
    <row r="4128" spans="1:24" ht="76.5">
      <c r="A4128" s="3" t="s">
        <v>1845</v>
      </c>
      <c r="B4128" s="6" t="s">
        <v>361</v>
      </c>
      <c r="C4128" s="6" t="s">
        <v>5459</v>
      </c>
      <c r="D4128" s="6" t="s">
        <v>5460</v>
      </c>
      <c r="E4128" s="65" t="s">
        <v>5183</v>
      </c>
      <c r="F4128" s="9" t="s">
        <v>7882</v>
      </c>
      <c r="G4128" s="3" t="s">
        <v>11449</v>
      </c>
      <c r="H4128" s="54">
        <v>0</v>
      </c>
      <c r="I4128" s="16">
        <v>470000000</v>
      </c>
      <c r="J4128" s="16" t="s">
        <v>229</v>
      </c>
      <c r="K4128" s="57" t="s">
        <v>641</v>
      </c>
      <c r="L4128" s="57" t="s">
        <v>364</v>
      </c>
      <c r="M4128" s="162" t="s">
        <v>230</v>
      </c>
      <c r="N4128" s="8" t="s">
        <v>8899</v>
      </c>
      <c r="O4128" s="6" t="s">
        <v>622</v>
      </c>
      <c r="P4128" s="58" t="s">
        <v>241</v>
      </c>
      <c r="Q4128" s="27" t="s">
        <v>234</v>
      </c>
      <c r="R4128" s="27">
        <v>20</v>
      </c>
      <c r="S4128" s="59">
        <v>3142.85</v>
      </c>
      <c r="T4128" s="4">
        <v>0</v>
      </c>
      <c r="U4128" s="4">
        <f t="shared" si="200"/>
        <v>0</v>
      </c>
      <c r="V4128" s="3"/>
      <c r="W4128" s="3">
        <v>2014</v>
      </c>
      <c r="X4128" s="3">
        <v>11.12</v>
      </c>
    </row>
    <row r="4129" spans="1:24" ht="76.5">
      <c r="A4129" s="3" t="s">
        <v>13108</v>
      </c>
      <c r="B4129" s="6" t="s">
        <v>361</v>
      </c>
      <c r="C4129" s="6" t="s">
        <v>5459</v>
      </c>
      <c r="D4129" s="6" t="s">
        <v>5460</v>
      </c>
      <c r="E4129" s="65" t="s">
        <v>5183</v>
      </c>
      <c r="F4129" s="9" t="s">
        <v>7882</v>
      </c>
      <c r="G4129" s="3" t="s">
        <v>11449</v>
      </c>
      <c r="H4129" s="54">
        <v>0</v>
      </c>
      <c r="I4129" s="16">
        <v>470000000</v>
      </c>
      <c r="J4129" s="16" t="s">
        <v>229</v>
      </c>
      <c r="K4129" s="57" t="s">
        <v>642</v>
      </c>
      <c r="L4129" s="12" t="s">
        <v>404</v>
      </c>
      <c r="M4129" s="162" t="s">
        <v>230</v>
      </c>
      <c r="N4129" s="8" t="s">
        <v>8899</v>
      </c>
      <c r="O4129" s="6" t="s">
        <v>622</v>
      </c>
      <c r="P4129" s="58" t="s">
        <v>241</v>
      </c>
      <c r="Q4129" s="27" t="s">
        <v>234</v>
      </c>
      <c r="R4129" s="27">
        <v>20</v>
      </c>
      <c r="S4129" s="59">
        <v>3142.85</v>
      </c>
      <c r="T4129" s="4">
        <v>0</v>
      </c>
      <c r="U4129" s="4">
        <f>T4129*1.12</f>
        <v>0</v>
      </c>
      <c r="V4129" s="3"/>
      <c r="W4129" s="3">
        <v>2014</v>
      </c>
      <c r="X4129" s="3" t="s">
        <v>14785</v>
      </c>
    </row>
    <row r="4130" spans="1:24" ht="76.5">
      <c r="A4130" s="3" t="s">
        <v>16835</v>
      </c>
      <c r="B4130" s="6" t="s">
        <v>361</v>
      </c>
      <c r="C4130" s="6" t="s">
        <v>5459</v>
      </c>
      <c r="D4130" s="6" t="s">
        <v>5460</v>
      </c>
      <c r="E4130" s="65" t="s">
        <v>5183</v>
      </c>
      <c r="F4130" s="9" t="s">
        <v>7882</v>
      </c>
      <c r="G4130" s="3" t="s">
        <v>11449</v>
      </c>
      <c r="H4130" s="54">
        <v>0</v>
      </c>
      <c r="I4130" s="16">
        <v>470000000</v>
      </c>
      <c r="J4130" s="16" t="s">
        <v>229</v>
      </c>
      <c r="K4130" s="57" t="s">
        <v>8950</v>
      </c>
      <c r="L4130" s="12" t="s">
        <v>404</v>
      </c>
      <c r="M4130" s="162" t="s">
        <v>230</v>
      </c>
      <c r="N4130" s="8" t="s">
        <v>8899</v>
      </c>
      <c r="O4130" s="6" t="s">
        <v>622</v>
      </c>
      <c r="P4130" s="58" t="s">
        <v>241</v>
      </c>
      <c r="Q4130" s="27" t="s">
        <v>234</v>
      </c>
      <c r="R4130" s="27">
        <v>20</v>
      </c>
      <c r="S4130" s="59">
        <v>14013.576000000001</v>
      </c>
      <c r="T4130" s="4">
        <f>R4130*S4130</f>
        <v>280271.52</v>
      </c>
      <c r="U4130" s="4">
        <f>T4130*1.12</f>
        <v>313904.10240000003</v>
      </c>
      <c r="V4130" s="3"/>
      <c r="W4130" s="3">
        <v>2014</v>
      </c>
      <c r="X4130" s="3"/>
    </row>
    <row r="4131" spans="1:24" ht="76.5">
      <c r="A4131" s="3" t="s">
        <v>1846</v>
      </c>
      <c r="B4131" s="6" t="s">
        <v>361</v>
      </c>
      <c r="C4131" s="6" t="s">
        <v>5461</v>
      </c>
      <c r="D4131" s="6" t="s">
        <v>5357</v>
      </c>
      <c r="E4131" s="65" t="s">
        <v>5462</v>
      </c>
      <c r="F4131" s="8" t="s">
        <v>7879</v>
      </c>
      <c r="G4131" s="3" t="s">
        <v>11449</v>
      </c>
      <c r="H4131" s="54">
        <v>0</v>
      </c>
      <c r="I4131" s="16">
        <v>470000000</v>
      </c>
      <c r="J4131" s="16" t="s">
        <v>229</v>
      </c>
      <c r="K4131" s="57" t="s">
        <v>641</v>
      </c>
      <c r="L4131" s="57" t="s">
        <v>364</v>
      </c>
      <c r="M4131" s="162" t="s">
        <v>230</v>
      </c>
      <c r="N4131" s="8" t="s">
        <v>8899</v>
      </c>
      <c r="O4131" s="6" t="s">
        <v>622</v>
      </c>
      <c r="P4131" s="58" t="s">
        <v>241</v>
      </c>
      <c r="Q4131" s="27" t="s">
        <v>234</v>
      </c>
      <c r="R4131" s="27">
        <v>30</v>
      </c>
      <c r="S4131" s="59">
        <f>461*1.07</f>
        <v>493.27000000000004</v>
      </c>
      <c r="T4131" s="4">
        <v>0</v>
      </c>
      <c r="U4131" s="4">
        <f t="shared" si="200"/>
        <v>0</v>
      </c>
      <c r="V4131" s="3"/>
      <c r="W4131" s="3">
        <v>2014</v>
      </c>
      <c r="X4131" s="3">
        <v>11.12</v>
      </c>
    </row>
    <row r="4132" spans="1:24" ht="76.5">
      <c r="A4132" s="3" t="s">
        <v>13109</v>
      </c>
      <c r="B4132" s="6" t="s">
        <v>361</v>
      </c>
      <c r="C4132" s="6" t="s">
        <v>5461</v>
      </c>
      <c r="D4132" s="6" t="s">
        <v>5357</v>
      </c>
      <c r="E4132" s="65" t="s">
        <v>5462</v>
      </c>
      <c r="F4132" s="8" t="s">
        <v>7879</v>
      </c>
      <c r="G4132" s="3" t="s">
        <v>11449</v>
      </c>
      <c r="H4132" s="54">
        <v>0</v>
      </c>
      <c r="I4132" s="16">
        <v>470000000</v>
      </c>
      <c r="J4132" s="16" t="s">
        <v>229</v>
      </c>
      <c r="K4132" s="57" t="s">
        <v>642</v>
      </c>
      <c r="L4132" s="12" t="s">
        <v>404</v>
      </c>
      <c r="M4132" s="162" t="s">
        <v>230</v>
      </c>
      <c r="N4132" s="8" t="s">
        <v>8899</v>
      </c>
      <c r="O4132" s="6" t="s">
        <v>622</v>
      </c>
      <c r="P4132" s="58" t="s">
        <v>241</v>
      </c>
      <c r="Q4132" s="27" t="s">
        <v>234</v>
      </c>
      <c r="R4132" s="27">
        <v>30</v>
      </c>
      <c r="S4132" s="59">
        <f>461*1.07</f>
        <v>493.27000000000004</v>
      </c>
      <c r="T4132" s="4">
        <v>0</v>
      </c>
      <c r="U4132" s="4">
        <f>T4132*1.12</f>
        <v>0</v>
      </c>
      <c r="V4132" s="3"/>
      <c r="W4132" s="3">
        <v>2014</v>
      </c>
      <c r="X4132" s="3" t="s">
        <v>14785</v>
      </c>
    </row>
    <row r="4133" spans="1:24" ht="76.5">
      <c r="A4133" s="3" t="s">
        <v>16836</v>
      </c>
      <c r="B4133" s="6" t="s">
        <v>361</v>
      </c>
      <c r="C4133" s="6" t="s">
        <v>5461</v>
      </c>
      <c r="D4133" s="6" t="s">
        <v>5357</v>
      </c>
      <c r="E4133" s="65" t="s">
        <v>5462</v>
      </c>
      <c r="F4133" s="8" t="s">
        <v>7879</v>
      </c>
      <c r="G4133" s="3" t="s">
        <v>11449</v>
      </c>
      <c r="H4133" s="54">
        <v>0</v>
      </c>
      <c r="I4133" s="16">
        <v>470000000</v>
      </c>
      <c r="J4133" s="16" t="s">
        <v>229</v>
      </c>
      <c r="K4133" s="57" t="s">
        <v>8950</v>
      </c>
      <c r="L4133" s="12" t="s">
        <v>404</v>
      </c>
      <c r="M4133" s="162" t="s">
        <v>230</v>
      </c>
      <c r="N4133" s="8" t="s">
        <v>8899</v>
      </c>
      <c r="O4133" s="6" t="s">
        <v>622</v>
      </c>
      <c r="P4133" s="58" t="s">
        <v>241</v>
      </c>
      <c r="Q4133" s="27" t="s">
        <v>234</v>
      </c>
      <c r="R4133" s="27">
        <v>30</v>
      </c>
      <c r="S4133" s="59">
        <v>591.92399999999998</v>
      </c>
      <c r="T4133" s="4">
        <f>R4133*S4133</f>
        <v>17757.72</v>
      </c>
      <c r="U4133" s="4">
        <f>T4133*1.12</f>
        <v>19888.646400000001</v>
      </c>
      <c r="V4133" s="3"/>
      <c r="W4133" s="3">
        <v>2014</v>
      </c>
      <c r="X4133" s="3"/>
    </row>
    <row r="4134" spans="1:24" ht="76.5">
      <c r="A4134" s="3" t="s">
        <v>1847</v>
      </c>
      <c r="B4134" s="6" t="s">
        <v>361</v>
      </c>
      <c r="C4134" s="6" t="s">
        <v>5461</v>
      </c>
      <c r="D4134" s="6" t="s">
        <v>5357</v>
      </c>
      <c r="E4134" s="65" t="s">
        <v>5462</v>
      </c>
      <c r="F4134" s="8" t="s">
        <v>7880</v>
      </c>
      <c r="G4134" s="3" t="s">
        <v>11449</v>
      </c>
      <c r="H4134" s="54">
        <v>0</v>
      </c>
      <c r="I4134" s="16">
        <v>470000000</v>
      </c>
      <c r="J4134" s="16" t="s">
        <v>229</v>
      </c>
      <c r="K4134" s="57" t="s">
        <v>641</v>
      </c>
      <c r="L4134" s="57" t="s">
        <v>364</v>
      </c>
      <c r="M4134" s="162" t="s">
        <v>230</v>
      </c>
      <c r="N4134" s="8" t="s">
        <v>8899</v>
      </c>
      <c r="O4134" s="6" t="s">
        <v>622</v>
      </c>
      <c r="P4134" s="58" t="s">
        <v>242</v>
      </c>
      <c r="Q4134" s="27" t="s">
        <v>239</v>
      </c>
      <c r="R4134" s="27">
        <v>24</v>
      </c>
      <c r="S4134" s="59">
        <f>749*1.07</f>
        <v>801.43000000000006</v>
      </c>
      <c r="T4134" s="4">
        <v>0</v>
      </c>
      <c r="U4134" s="4">
        <f t="shared" si="200"/>
        <v>0</v>
      </c>
      <c r="V4134" s="3"/>
      <c r="W4134" s="3">
        <v>2014</v>
      </c>
      <c r="X4134" s="3">
        <v>11.12</v>
      </c>
    </row>
    <row r="4135" spans="1:24" ht="76.5">
      <c r="A4135" s="3" t="s">
        <v>13110</v>
      </c>
      <c r="B4135" s="6" t="s">
        <v>361</v>
      </c>
      <c r="C4135" s="6" t="s">
        <v>5461</v>
      </c>
      <c r="D4135" s="6" t="s">
        <v>5357</v>
      </c>
      <c r="E4135" s="65" t="s">
        <v>5462</v>
      </c>
      <c r="F4135" s="8" t="s">
        <v>7880</v>
      </c>
      <c r="G4135" s="3" t="s">
        <v>11449</v>
      </c>
      <c r="H4135" s="54">
        <v>0</v>
      </c>
      <c r="I4135" s="16">
        <v>470000000</v>
      </c>
      <c r="J4135" s="16" t="s">
        <v>229</v>
      </c>
      <c r="K4135" s="57" t="s">
        <v>642</v>
      </c>
      <c r="L4135" s="12" t="s">
        <v>404</v>
      </c>
      <c r="M4135" s="162" t="s">
        <v>230</v>
      </c>
      <c r="N4135" s="8" t="s">
        <v>8899</v>
      </c>
      <c r="O4135" s="6" t="s">
        <v>622</v>
      </c>
      <c r="P4135" s="58" t="s">
        <v>242</v>
      </c>
      <c r="Q4135" s="27" t="s">
        <v>239</v>
      </c>
      <c r="R4135" s="27">
        <v>24</v>
      </c>
      <c r="S4135" s="59">
        <f>749*1.07</f>
        <v>801.43000000000006</v>
      </c>
      <c r="T4135" s="4">
        <v>0</v>
      </c>
      <c r="U4135" s="4">
        <f>T4135*1.12</f>
        <v>0</v>
      </c>
      <c r="V4135" s="3"/>
      <c r="W4135" s="3">
        <v>2014</v>
      </c>
      <c r="X4135" s="3" t="s">
        <v>14785</v>
      </c>
    </row>
    <row r="4136" spans="1:24" ht="76.5">
      <c r="A4136" s="3" t="s">
        <v>16837</v>
      </c>
      <c r="B4136" s="6" t="s">
        <v>361</v>
      </c>
      <c r="C4136" s="6" t="s">
        <v>5461</v>
      </c>
      <c r="D4136" s="6" t="s">
        <v>5357</v>
      </c>
      <c r="E4136" s="65" t="s">
        <v>5462</v>
      </c>
      <c r="F4136" s="8" t="s">
        <v>7880</v>
      </c>
      <c r="G4136" s="3" t="s">
        <v>11449</v>
      </c>
      <c r="H4136" s="54">
        <v>0</v>
      </c>
      <c r="I4136" s="16">
        <v>470000000</v>
      </c>
      <c r="J4136" s="16" t="s">
        <v>229</v>
      </c>
      <c r="K4136" s="57" t="s">
        <v>8950</v>
      </c>
      <c r="L4136" s="12" t="s">
        <v>404</v>
      </c>
      <c r="M4136" s="162" t="s">
        <v>230</v>
      </c>
      <c r="N4136" s="8" t="s">
        <v>8899</v>
      </c>
      <c r="O4136" s="6" t="s">
        <v>622</v>
      </c>
      <c r="P4136" s="58" t="s">
        <v>242</v>
      </c>
      <c r="Q4136" s="27" t="s">
        <v>239</v>
      </c>
      <c r="R4136" s="27">
        <v>24</v>
      </c>
      <c r="S4136" s="59">
        <v>961.71600000000001</v>
      </c>
      <c r="T4136" s="4">
        <f>R4136*S4136</f>
        <v>23081.184000000001</v>
      </c>
      <c r="U4136" s="4">
        <f>T4136*1.12</f>
        <v>25850.926080000005</v>
      </c>
      <c r="V4136" s="3"/>
      <c r="W4136" s="3">
        <v>2014</v>
      </c>
      <c r="X4136" s="3"/>
    </row>
    <row r="4137" spans="1:24" ht="76.5">
      <c r="A4137" s="3" t="s">
        <v>1848</v>
      </c>
      <c r="B4137" s="6" t="s">
        <v>361</v>
      </c>
      <c r="C4137" s="6" t="s">
        <v>5461</v>
      </c>
      <c r="D4137" s="6" t="s">
        <v>5357</v>
      </c>
      <c r="E4137" s="65" t="s">
        <v>5462</v>
      </c>
      <c r="F4137" s="8" t="s">
        <v>7881</v>
      </c>
      <c r="G4137" s="3" t="s">
        <v>11449</v>
      </c>
      <c r="H4137" s="54">
        <v>0</v>
      </c>
      <c r="I4137" s="16">
        <v>470000000</v>
      </c>
      <c r="J4137" s="16" t="s">
        <v>229</v>
      </c>
      <c r="K4137" s="57" t="s">
        <v>641</v>
      </c>
      <c r="L4137" s="57" t="s">
        <v>364</v>
      </c>
      <c r="M4137" s="162" t="s">
        <v>230</v>
      </c>
      <c r="N4137" s="8" t="s">
        <v>8899</v>
      </c>
      <c r="O4137" s="6" t="s">
        <v>622</v>
      </c>
      <c r="P4137" s="58" t="s">
        <v>242</v>
      </c>
      <c r="Q4137" s="27" t="s">
        <v>239</v>
      </c>
      <c r="R4137" s="27">
        <v>20</v>
      </c>
      <c r="S4137" s="59">
        <f>321*1.07</f>
        <v>343.47</v>
      </c>
      <c r="T4137" s="4">
        <v>0</v>
      </c>
      <c r="U4137" s="4">
        <f t="shared" si="200"/>
        <v>0</v>
      </c>
      <c r="V4137" s="3"/>
      <c r="W4137" s="3">
        <v>2014</v>
      </c>
      <c r="X4137" s="3">
        <v>11.12</v>
      </c>
    </row>
    <row r="4138" spans="1:24" ht="76.5">
      <c r="A4138" s="3" t="s">
        <v>13111</v>
      </c>
      <c r="B4138" s="6" t="s">
        <v>361</v>
      </c>
      <c r="C4138" s="6" t="s">
        <v>5461</v>
      </c>
      <c r="D4138" s="6" t="s">
        <v>5357</v>
      </c>
      <c r="E4138" s="65" t="s">
        <v>5462</v>
      </c>
      <c r="F4138" s="8" t="s">
        <v>7881</v>
      </c>
      <c r="G4138" s="3" t="s">
        <v>11449</v>
      </c>
      <c r="H4138" s="54">
        <v>0</v>
      </c>
      <c r="I4138" s="16">
        <v>470000000</v>
      </c>
      <c r="J4138" s="16" t="s">
        <v>229</v>
      </c>
      <c r="K4138" s="57" t="s">
        <v>642</v>
      </c>
      <c r="L4138" s="12" t="s">
        <v>404</v>
      </c>
      <c r="M4138" s="162" t="s">
        <v>230</v>
      </c>
      <c r="N4138" s="8" t="s">
        <v>8899</v>
      </c>
      <c r="O4138" s="6" t="s">
        <v>622</v>
      </c>
      <c r="P4138" s="58" t="s">
        <v>242</v>
      </c>
      <c r="Q4138" s="27" t="s">
        <v>239</v>
      </c>
      <c r="R4138" s="27">
        <v>20</v>
      </c>
      <c r="S4138" s="59">
        <f>321*1.07</f>
        <v>343.47</v>
      </c>
      <c r="T4138" s="4">
        <v>0</v>
      </c>
      <c r="U4138" s="4">
        <f>T4138*1.12</f>
        <v>0</v>
      </c>
      <c r="V4138" s="3"/>
      <c r="W4138" s="3">
        <v>2014</v>
      </c>
      <c r="X4138" s="3" t="s">
        <v>14785</v>
      </c>
    </row>
    <row r="4139" spans="1:24" ht="76.5">
      <c r="A4139" s="3" t="s">
        <v>16838</v>
      </c>
      <c r="B4139" s="6" t="s">
        <v>361</v>
      </c>
      <c r="C4139" s="6" t="s">
        <v>5461</v>
      </c>
      <c r="D4139" s="6" t="s">
        <v>5357</v>
      </c>
      <c r="E4139" s="65" t="s">
        <v>5462</v>
      </c>
      <c r="F4139" s="8" t="s">
        <v>7881</v>
      </c>
      <c r="G4139" s="3" t="s">
        <v>11449</v>
      </c>
      <c r="H4139" s="54">
        <v>0</v>
      </c>
      <c r="I4139" s="16">
        <v>470000000</v>
      </c>
      <c r="J4139" s="16" t="s">
        <v>229</v>
      </c>
      <c r="K4139" s="57" t="s">
        <v>8950</v>
      </c>
      <c r="L4139" s="12" t="s">
        <v>404</v>
      </c>
      <c r="M4139" s="162" t="s">
        <v>230</v>
      </c>
      <c r="N4139" s="8" t="s">
        <v>8899</v>
      </c>
      <c r="O4139" s="6" t="s">
        <v>622</v>
      </c>
      <c r="P4139" s="58" t="s">
        <v>242</v>
      </c>
      <c r="Q4139" s="27" t="s">
        <v>239</v>
      </c>
      <c r="R4139" s="27">
        <v>20</v>
      </c>
      <c r="S4139" s="59">
        <v>412.16400000000004</v>
      </c>
      <c r="T4139" s="4">
        <f>R4139*S4139</f>
        <v>8243.2800000000007</v>
      </c>
      <c r="U4139" s="4">
        <f>T4139*1.12</f>
        <v>9232.4736000000012</v>
      </c>
      <c r="V4139" s="3"/>
      <c r="W4139" s="3">
        <v>2014</v>
      </c>
      <c r="X4139" s="3"/>
    </row>
    <row r="4140" spans="1:24" ht="76.5">
      <c r="A4140" s="3" t="s">
        <v>1849</v>
      </c>
      <c r="B4140" s="6" t="s">
        <v>361</v>
      </c>
      <c r="C4140" s="6" t="s">
        <v>5463</v>
      </c>
      <c r="D4140" s="6" t="s">
        <v>5464</v>
      </c>
      <c r="E4140" s="65" t="s">
        <v>5465</v>
      </c>
      <c r="F4140" s="8" t="s">
        <v>7883</v>
      </c>
      <c r="G4140" s="3" t="s">
        <v>11449</v>
      </c>
      <c r="H4140" s="54">
        <v>0</v>
      </c>
      <c r="I4140" s="16">
        <v>470000000</v>
      </c>
      <c r="J4140" s="16" t="s">
        <v>229</v>
      </c>
      <c r="K4140" s="57" t="s">
        <v>641</v>
      </c>
      <c r="L4140" s="57" t="s">
        <v>364</v>
      </c>
      <c r="M4140" s="162" t="s">
        <v>230</v>
      </c>
      <c r="N4140" s="8" t="s">
        <v>8899</v>
      </c>
      <c r="O4140" s="6" t="s">
        <v>622</v>
      </c>
      <c r="P4140" s="58" t="s">
        <v>241</v>
      </c>
      <c r="Q4140" s="27" t="s">
        <v>234</v>
      </c>
      <c r="R4140" s="27">
        <v>6</v>
      </c>
      <c r="S4140" s="59">
        <v>1870.74</v>
      </c>
      <c r="T4140" s="4">
        <v>0</v>
      </c>
      <c r="U4140" s="4">
        <f t="shared" si="200"/>
        <v>0</v>
      </c>
      <c r="V4140" s="3"/>
      <c r="W4140" s="3">
        <v>2014</v>
      </c>
      <c r="X4140" s="3">
        <v>11.12</v>
      </c>
    </row>
    <row r="4141" spans="1:24" ht="76.5">
      <c r="A4141" s="3" t="s">
        <v>13112</v>
      </c>
      <c r="B4141" s="6" t="s">
        <v>361</v>
      </c>
      <c r="C4141" s="6" t="s">
        <v>5463</v>
      </c>
      <c r="D4141" s="6" t="s">
        <v>5464</v>
      </c>
      <c r="E4141" s="65" t="s">
        <v>5465</v>
      </c>
      <c r="F4141" s="8" t="s">
        <v>7883</v>
      </c>
      <c r="G4141" s="3" t="s">
        <v>11449</v>
      </c>
      <c r="H4141" s="54">
        <v>0</v>
      </c>
      <c r="I4141" s="16">
        <v>470000000</v>
      </c>
      <c r="J4141" s="16" t="s">
        <v>229</v>
      </c>
      <c r="K4141" s="57" t="s">
        <v>642</v>
      </c>
      <c r="L4141" s="12" t="s">
        <v>404</v>
      </c>
      <c r="M4141" s="162" t="s">
        <v>230</v>
      </c>
      <c r="N4141" s="8" t="s">
        <v>8899</v>
      </c>
      <c r="O4141" s="6" t="s">
        <v>622</v>
      </c>
      <c r="P4141" s="58" t="s">
        <v>241</v>
      </c>
      <c r="Q4141" s="27" t="s">
        <v>234</v>
      </c>
      <c r="R4141" s="27">
        <v>6</v>
      </c>
      <c r="S4141" s="59">
        <v>1870.74</v>
      </c>
      <c r="T4141" s="4">
        <v>0</v>
      </c>
      <c r="U4141" s="4">
        <f>T4141*1.12</f>
        <v>0</v>
      </c>
      <c r="V4141" s="3"/>
      <c r="W4141" s="3">
        <v>2014</v>
      </c>
      <c r="X4141" s="3" t="s">
        <v>14785</v>
      </c>
    </row>
    <row r="4142" spans="1:24" ht="76.5">
      <c r="A4142" s="3" t="s">
        <v>16839</v>
      </c>
      <c r="B4142" s="6" t="s">
        <v>361</v>
      </c>
      <c r="C4142" s="6" t="s">
        <v>5463</v>
      </c>
      <c r="D4142" s="6" t="s">
        <v>5464</v>
      </c>
      <c r="E4142" s="65" t="s">
        <v>5465</v>
      </c>
      <c r="F4142" s="8" t="s">
        <v>7883</v>
      </c>
      <c r="G4142" s="3" t="s">
        <v>11449</v>
      </c>
      <c r="H4142" s="54">
        <v>0</v>
      </c>
      <c r="I4142" s="16">
        <v>470000000</v>
      </c>
      <c r="J4142" s="16" t="s">
        <v>229</v>
      </c>
      <c r="K4142" s="57" t="s">
        <v>8950</v>
      </c>
      <c r="L4142" s="12" t="s">
        <v>404</v>
      </c>
      <c r="M4142" s="162" t="s">
        <v>230</v>
      </c>
      <c r="N4142" s="8" t="s">
        <v>8899</v>
      </c>
      <c r="O4142" s="6" t="s">
        <v>622</v>
      </c>
      <c r="P4142" s="58" t="s">
        <v>241</v>
      </c>
      <c r="Q4142" s="336" t="s">
        <v>234</v>
      </c>
      <c r="R4142" s="336">
        <v>6</v>
      </c>
      <c r="S4142" s="59">
        <v>6457.2360000000008</v>
      </c>
      <c r="T4142" s="4">
        <v>0</v>
      </c>
      <c r="U4142" s="4">
        <f t="shared" ref="U4142:U4143" si="205">T4142*1.12</f>
        <v>0</v>
      </c>
      <c r="V4142" s="3"/>
      <c r="W4142" s="3">
        <v>2014</v>
      </c>
      <c r="X4142" s="3" t="s">
        <v>14265</v>
      </c>
    </row>
    <row r="4143" spans="1:24" ht="76.5">
      <c r="A4143" s="3" t="s">
        <v>19127</v>
      </c>
      <c r="B4143" s="6" t="s">
        <v>361</v>
      </c>
      <c r="C4143" s="6" t="s">
        <v>5463</v>
      </c>
      <c r="D4143" s="6" t="s">
        <v>5464</v>
      </c>
      <c r="E4143" s="65" t="s">
        <v>5465</v>
      </c>
      <c r="F4143" s="8" t="s">
        <v>7883</v>
      </c>
      <c r="G4143" s="3" t="s">
        <v>11449</v>
      </c>
      <c r="H4143" s="54">
        <v>0</v>
      </c>
      <c r="I4143" s="16">
        <v>470000000</v>
      </c>
      <c r="J4143" s="16" t="s">
        <v>229</v>
      </c>
      <c r="K4143" s="57" t="s">
        <v>18437</v>
      </c>
      <c r="L4143" s="12" t="s">
        <v>404</v>
      </c>
      <c r="M4143" s="162" t="s">
        <v>230</v>
      </c>
      <c r="N4143" s="8" t="s">
        <v>19369</v>
      </c>
      <c r="O4143" s="6" t="s">
        <v>19407</v>
      </c>
      <c r="P4143" s="58" t="s">
        <v>241</v>
      </c>
      <c r="Q4143" s="336" t="s">
        <v>234</v>
      </c>
      <c r="R4143" s="336">
        <v>6</v>
      </c>
      <c r="S4143" s="59">
        <v>6457.2360000000008</v>
      </c>
      <c r="T4143" s="4">
        <f>R4143*S4143</f>
        <v>38743.416000000005</v>
      </c>
      <c r="U4143" s="4">
        <f t="shared" si="205"/>
        <v>43392.625920000006</v>
      </c>
      <c r="V4143" s="3"/>
      <c r="W4143" s="3">
        <v>2014</v>
      </c>
      <c r="X4143" s="3"/>
    </row>
    <row r="4144" spans="1:24" ht="76.5">
      <c r="A4144" s="3" t="s">
        <v>1850</v>
      </c>
      <c r="B4144" s="6" t="s">
        <v>361</v>
      </c>
      <c r="C4144" s="6" t="s">
        <v>5466</v>
      </c>
      <c r="D4144" s="6" t="s">
        <v>5467</v>
      </c>
      <c r="E4144" s="65" t="s">
        <v>3115</v>
      </c>
      <c r="F4144" s="129" t="s">
        <v>7884</v>
      </c>
      <c r="G4144" s="3" t="s">
        <v>11449</v>
      </c>
      <c r="H4144" s="54">
        <v>0</v>
      </c>
      <c r="I4144" s="16">
        <v>470000000</v>
      </c>
      <c r="J4144" s="16" t="s">
        <v>229</v>
      </c>
      <c r="K4144" s="57" t="s">
        <v>641</v>
      </c>
      <c r="L4144" s="57" t="s">
        <v>364</v>
      </c>
      <c r="M4144" s="162" t="s">
        <v>230</v>
      </c>
      <c r="N4144" s="8" t="s">
        <v>8899</v>
      </c>
      <c r="O4144" s="6" t="s">
        <v>622</v>
      </c>
      <c r="P4144" s="58" t="s">
        <v>241</v>
      </c>
      <c r="Q4144" s="27" t="s">
        <v>234</v>
      </c>
      <c r="R4144" s="31">
        <v>10</v>
      </c>
      <c r="S4144" s="59">
        <f>2354*1.07</f>
        <v>2518.7800000000002</v>
      </c>
      <c r="T4144" s="4">
        <v>0</v>
      </c>
      <c r="U4144" s="4">
        <f t="shared" si="200"/>
        <v>0</v>
      </c>
      <c r="V4144" s="3"/>
      <c r="W4144" s="3">
        <v>2014</v>
      </c>
      <c r="X4144" s="3">
        <v>11.12</v>
      </c>
    </row>
    <row r="4145" spans="1:24" ht="76.5">
      <c r="A4145" s="3" t="s">
        <v>13113</v>
      </c>
      <c r="B4145" s="6" t="s">
        <v>361</v>
      </c>
      <c r="C4145" s="6" t="s">
        <v>5466</v>
      </c>
      <c r="D4145" s="6" t="s">
        <v>5467</v>
      </c>
      <c r="E4145" s="65" t="s">
        <v>3115</v>
      </c>
      <c r="F4145" s="129" t="s">
        <v>7884</v>
      </c>
      <c r="G4145" s="3" t="s">
        <v>11449</v>
      </c>
      <c r="H4145" s="54">
        <v>0</v>
      </c>
      <c r="I4145" s="16">
        <v>470000000</v>
      </c>
      <c r="J4145" s="16" t="s">
        <v>229</v>
      </c>
      <c r="K4145" s="57" t="s">
        <v>642</v>
      </c>
      <c r="L4145" s="12" t="s">
        <v>404</v>
      </c>
      <c r="M4145" s="162" t="s">
        <v>230</v>
      </c>
      <c r="N4145" s="8" t="s">
        <v>8899</v>
      </c>
      <c r="O4145" s="6" t="s">
        <v>622</v>
      </c>
      <c r="P4145" s="58" t="s">
        <v>241</v>
      </c>
      <c r="Q4145" s="27" t="s">
        <v>234</v>
      </c>
      <c r="R4145" s="31">
        <v>10</v>
      </c>
      <c r="S4145" s="59">
        <f>2354*1.07</f>
        <v>2518.7800000000002</v>
      </c>
      <c r="T4145" s="4">
        <v>0</v>
      </c>
      <c r="U4145" s="4">
        <f>T4145*1.12</f>
        <v>0</v>
      </c>
      <c r="V4145" s="3"/>
      <c r="W4145" s="3">
        <v>2014</v>
      </c>
      <c r="X4145" s="3" t="s">
        <v>14785</v>
      </c>
    </row>
    <row r="4146" spans="1:24" ht="76.5">
      <c r="A4146" s="3" t="s">
        <v>16840</v>
      </c>
      <c r="B4146" s="6" t="s">
        <v>361</v>
      </c>
      <c r="C4146" s="6" t="s">
        <v>5466</v>
      </c>
      <c r="D4146" s="6" t="s">
        <v>5467</v>
      </c>
      <c r="E4146" s="65" t="s">
        <v>3115</v>
      </c>
      <c r="F4146" s="129" t="s">
        <v>7884</v>
      </c>
      <c r="G4146" s="3" t="s">
        <v>11449</v>
      </c>
      <c r="H4146" s="54">
        <v>0</v>
      </c>
      <c r="I4146" s="16">
        <v>470000000</v>
      </c>
      <c r="J4146" s="16" t="s">
        <v>229</v>
      </c>
      <c r="K4146" s="57" t="s">
        <v>8950</v>
      </c>
      <c r="L4146" s="12" t="s">
        <v>404</v>
      </c>
      <c r="M4146" s="162" t="s">
        <v>230</v>
      </c>
      <c r="N4146" s="8" t="s">
        <v>8899</v>
      </c>
      <c r="O4146" s="6" t="s">
        <v>622</v>
      </c>
      <c r="P4146" s="58" t="s">
        <v>241</v>
      </c>
      <c r="Q4146" s="27" t="s">
        <v>234</v>
      </c>
      <c r="R4146" s="31">
        <v>10</v>
      </c>
      <c r="S4146" s="59">
        <v>3022.5360000000001</v>
      </c>
      <c r="T4146" s="4">
        <f>R4146*S4146</f>
        <v>30225.360000000001</v>
      </c>
      <c r="U4146" s="4">
        <f>T4146*1.12</f>
        <v>33852.403200000001</v>
      </c>
      <c r="V4146" s="3"/>
      <c r="W4146" s="3">
        <v>2014</v>
      </c>
      <c r="X4146" s="3"/>
    </row>
    <row r="4147" spans="1:24" ht="76.5">
      <c r="A4147" s="3" t="s">
        <v>1851</v>
      </c>
      <c r="B4147" s="6" t="s">
        <v>361</v>
      </c>
      <c r="C4147" s="6" t="s">
        <v>5461</v>
      </c>
      <c r="D4147" s="6" t="s">
        <v>5357</v>
      </c>
      <c r="E4147" s="65" t="s">
        <v>5462</v>
      </c>
      <c r="F4147" s="8" t="s">
        <v>7885</v>
      </c>
      <c r="G4147" s="3" t="s">
        <v>11449</v>
      </c>
      <c r="H4147" s="54">
        <v>0</v>
      </c>
      <c r="I4147" s="16">
        <v>470000000</v>
      </c>
      <c r="J4147" s="16" t="s">
        <v>229</v>
      </c>
      <c r="K4147" s="57" t="s">
        <v>641</v>
      </c>
      <c r="L4147" s="57" t="s">
        <v>364</v>
      </c>
      <c r="M4147" s="162" t="s">
        <v>230</v>
      </c>
      <c r="N4147" s="8" t="s">
        <v>8899</v>
      </c>
      <c r="O4147" s="6" t="s">
        <v>622</v>
      </c>
      <c r="P4147" s="58" t="s">
        <v>242</v>
      </c>
      <c r="Q4147" s="27" t="s">
        <v>239</v>
      </c>
      <c r="R4147" s="27">
        <v>20</v>
      </c>
      <c r="S4147" s="59">
        <f>338*1.07</f>
        <v>361.66</v>
      </c>
      <c r="T4147" s="4">
        <v>0</v>
      </c>
      <c r="U4147" s="4">
        <f t="shared" si="200"/>
        <v>0</v>
      </c>
      <c r="V4147" s="3"/>
      <c r="W4147" s="3">
        <v>2014</v>
      </c>
      <c r="X4147" s="3">
        <v>11.12</v>
      </c>
    </row>
    <row r="4148" spans="1:24" ht="76.5">
      <c r="A4148" s="3" t="s">
        <v>13114</v>
      </c>
      <c r="B4148" s="6" t="s">
        <v>361</v>
      </c>
      <c r="C4148" s="6" t="s">
        <v>5461</v>
      </c>
      <c r="D4148" s="6" t="s">
        <v>5357</v>
      </c>
      <c r="E4148" s="65" t="s">
        <v>5462</v>
      </c>
      <c r="F4148" s="8" t="s">
        <v>7885</v>
      </c>
      <c r="G4148" s="3" t="s">
        <v>11449</v>
      </c>
      <c r="H4148" s="54">
        <v>0</v>
      </c>
      <c r="I4148" s="16">
        <v>470000000</v>
      </c>
      <c r="J4148" s="16" t="s">
        <v>229</v>
      </c>
      <c r="K4148" s="57" t="s">
        <v>642</v>
      </c>
      <c r="L4148" s="12" t="s">
        <v>404</v>
      </c>
      <c r="M4148" s="162" t="s">
        <v>230</v>
      </c>
      <c r="N4148" s="8" t="s">
        <v>8899</v>
      </c>
      <c r="O4148" s="6" t="s">
        <v>622</v>
      </c>
      <c r="P4148" s="58" t="s">
        <v>242</v>
      </c>
      <c r="Q4148" s="27" t="s">
        <v>239</v>
      </c>
      <c r="R4148" s="27">
        <v>20</v>
      </c>
      <c r="S4148" s="59">
        <f>338*1.07</f>
        <v>361.66</v>
      </c>
      <c r="T4148" s="4">
        <v>0</v>
      </c>
      <c r="U4148" s="4">
        <f>T4148*1.12</f>
        <v>0</v>
      </c>
      <c r="V4148" s="3"/>
      <c r="W4148" s="3">
        <v>2014</v>
      </c>
      <c r="X4148" s="3" t="s">
        <v>14785</v>
      </c>
    </row>
    <row r="4149" spans="1:24" ht="76.5">
      <c r="A4149" s="3" t="s">
        <v>16841</v>
      </c>
      <c r="B4149" s="6" t="s">
        <v>361</v>
      </c>
      <c r="C4149" s="6" t="s">
        <v>5461</v>
      </c>
      <c r="D4149" s="6" t="s">
        <v>5357</v>
      </c>
      <c r="E4149" s="65" t="s">
        <v>5462</v>
      </c>
      <c r="F4149" s="8" t="s">
        <v>7885</v>
      </c>
      <c r="G4149" s="3" t="s">
        <v>11449</v>
      </c>
      <c r="H4149" s="54">
        <v>0</v>
      </c>
      <c r="I4149" s="16">
        <v>470000000</v>
      </c>
      <c r="J4149" s="16" t="s">
        <v>229</v>
      </c>
      <c r="K4149" s="57" t="s">
        <v>8950</v>
      </c>
      <c r="L4149" s="12" t="s">
        <v>404</v>
      </c>
      <c r="M4149" s="162" t="s">
        <v>230</v>
      </c>
      <c r="N4149" s="8" t="s">
        <v>8899</v>
      </c>
      <c r="O4149" s="6" t="s">
        <v>622</v>
      </c>
      <c r="P4149" s="58" t="s">
        <v>242</v>
      </c>
      <c r="Q4149" s="27" t="s">
        <v>239</v>
      </c>
      <c r="R4149" s="27">
        <v>20</v>
      </c>
      <c r="S4149" s="59">
        <v>433.99200000000002</v>
      </c>
      <c r="T4149" s="4">
        <f>R4149*S4149</f>
        <v>8679.84</v>
      </c>
      <c r="U4149" s="4">
        <f>T4149*1.12</f>
        <v>9721.4208000000017</v>
      </c>
      <c r="V4149" s="3"/>
      <c r="W4149" s="3">
        <v>2014</v>
      </c>
      <c r="X4149" s="3"/>
    </row>
    <row r="4150" spans="1:24" ht="89.25">
      <c r="A4150" s="3" t="s">
        <v>1852</v>
      </c>
      <c r="B4150" s="6" t="s">
        <v>361</v>
      </c>
      <c r="C4150" s="6" t="s">
        <v>5468</v>
      </c>
      <c r="D4150" s="6" t="s">
        <v>5469</v>
      </c>
      <c r="E4150" s="65" t="s">
        <v>5470</v>
      </c>
      <c r="F4150" s="9" t="s">
        <v>7886</v>
      </c>
      <c r="G4150" s="3" t="s">
        <v>11449</v>
      </c>
      <c r="H4150" s="54">
        <v>0</v>
      </c>
      <c r="I4150" s="16">
        <v>470000000</v>
      </c>
      <c r="J4150" s="16" t="s">
        <v>229</v>
      </c>
      <c r="K4150" s="57" t="s">
        <v>641</v>
      </c>
      <c r="L4150" s="57" t="s">
        <v>364</v>
      </c>
      <c r="M4150" s="162" t="s">
        <v>230</v>
      </c>
      <c r="N4150" s="8" t="s">
        <v>8899</v>
      </c>
      <c r="O4150" s="6" t="s">
        <v>622</v>
      </c>
      <c r="P4150" s="58" t="s">
        <v>241</v>
      </c>
      <c r="Q4150" s="27" t="s">
        <v>234</v>
      </c>
      <c r="R4150" s="27">
        <v>20</v>
      </c>
      <c r="S4150" s="59">
        <v>16206.38</v>
      </c>
      <c r="T4150" s="4">
        <v>0</v>
      </c>
      <c r="U4150" s="4">
        <f t="shared" si="200"/>
        <v>0</v>
      </c>
      <c r="V4150" s="3"/>
      <c r="W4150" s="3">
        <v>2014</v>
      </c>
      <c r="X4150" s="3">
        <v>11.12</v>
      </c>
    </row>
    <row r="4151" spans="1:24" ht="89.25">
      <c r="A4151" s="3" t="s">
        <v>13115</v>
      </c>
      <c r="B4151" s="6" t="s">
        <v>361</v>
      </c>
      <c r="C4151" s="6" t="s">
        <v>5468</v>
      </c>
      <c r="D4151" s="6" t="s">
        <v>5469</v>
      </c>
      <c r="E4151" s="65" t="s">
        <v>5470</v>
      </c>
      <c r="F4151" s="9" t="s">
        <v>7886</v>
      </c>
      <c r="G4151" s="3" t="s">
        <v>11449</v>
      </c>
      <c r="H4151" s="54">
        <v>0</v>
      </c>
      <c r="I4151" s="16">
        <v>470000000</v>
      </c>
      <c r="J4151" s="16" t="s">
        <v>229</v>
      </c>
      <c r="K4151" s="57" t="s">
        <v>642</v>
      </c>
      <c r="L4151" s="12" t="s">
        <v>404</v>
      </c>
      <c r="M4151" s="162" t="s">
        <v>230</v>
      </c>
      <c r="N4151" s="8" t="s">
        <v>8899</v>
      </c>
      <c r="O4151" s="6" t="s">
        <v>622</v>
      </c>
      <c r="P4151" s="58" t="s">
        <v>241</v>
      </c>
      <c r="Q4151" s="27" t="s">
        <v>234</v>
      </c>
      <c r="R4151" s="27">
        <v>20</v>
      </c>
      <c r="S4151" s="59">
        <v>16206.38</v>
      </c>
      <c r="T4151" s="4">
        <v>0</v>
      </c>
      <c r="U4151" s="4">
        <f>T4151*1.12</f>
        <v>0</v>
      </c>
      <c r="V4151" s="3"/>
      <c r="W4151" s="3">
        <v>2014</v>
      </c>
      <c r="X4151" s="3" t="s">
        <v>14785</v>
      </c>
    </row>
    <row r="4152" spans="1:24" ht="89.25">
      <c r="A4152" s="3" t="s">
        <v>16842</v>
      </c>
      <c r="B4152" s="6" t="s">
        <v>361</v>
      </c>
      <c r="C4152" s="6" t="s">
        <v>5468</v>
      </c>
      <c r="D4152" s="6" t="s">
        <v>5469</v>
      </c>
      <c r="E4152" s="65" t="s">
        <v>5470</v>
      </c>
      <c r="F4152" s="9" t="s">
        <v>7886</v>
      </c>
      <c r="G4152" s="3" t="s">
        <v>11449</v>
      </c>
      <c r="H4152" s="54">
        <v>0</v>
      </c>
      <c r="I4152" s="16">
        <v>470000000</v>
      </c>
      <c r="J4152" s="16" t="s">
        <v>229</v>
      </c>
      <c r="K4152" s="57" t="s">
        <v>8950</v>
      </c>
      <c r="L4152" s="12" t="s">
        <v>404</v>
      </c>
      <c r="M4152" s="162" t="s">
        <v>230</v>
      </c>
      <c r="N4152" s="8" t="s">
        <v>8899</v>
      </c>
      <c r="O4152" s="6" t="s">
        <v>622</v>
      </c>
      <c r="P4152" s="58" t="s">
        <v>241</v>
      </c>
      <c r="Q4152" s="27" t="s">
        <v>234</v>
      </c>
      <c r="R4152" s="27">
        <v>20</v>
      </c>
      <c r="S4152" s="59">
        <v>19646.484</v>
      </c>
      <c r="T4152" s="4">
        <f>R4152*S4152</f>
        <v>392929.68</v>
      </c>
      <c r="U4152" s="4">
        <f>T4152*1.12</f>
        <v>440081.24160000001</v>
      </c>
      <c r="V4152" s="3"/>
      <c r="W4152" s="3">
        <v>2014</v>
      </c>
      <c r="X4152" s="3"/>
    </row>
    <row r="4153" spans="1:24" ht="76.5">
      <c r="A4153" s="3" t="s">
        <v>1853</v>
      </c>
      <c r="B4153" s="6" t="s">
        <v>361</v>
      </c>
      <c r="C4153" s="6" t="s">
        <v>5471</v>
      </c>
      <c r="D4153" s="6" t="s">
        <v>413</v>
      </c>
      <c r="E4153" s="65" t="s">
        <v>5472</v>
      </c>
      <c r="F4153" s="129" t="s">
        <v>7887</v>
      </c>
      <c r="G4153" s="3" t="s">
        <v>11449</v>
      </c>
      <c r="H4153" s="54">
        <v>0</v>
      </c>
      <c r="I4153" s="16">
        <v>470000000</v>
      </c>
      <c r="J4153" s="16" t="s">
        <v>229</v>
      </c>
      <c r="K4153" s="57" t="s">
        <v>641</v>
      </c>
      <c r="L4153" s="57" t="s">
        <v>364</v>
      </c>
      <c r="M4153" s="162" t="s">
        <v>230</v>
      </c>
      <c r="N4153" s="8" t="s">
        <v>8899</v>
      </c>
      <c r="O4153" s="6" t="s">
        <v>622</v>
      </c>
      <c r="P4153" s="58" t="s">
        <v>241</v>
      </c>
      <c r="Q4153" s="27" t="s">
        <v>234</v>
      </c>
      <c r="R4153" s="27">
        <v>30</v>
      </c>
      <c r="S4153" s="59">
        <f>589*1.07</f>
        <v>630.23</v>
      </c>
      <c r="T4153" s="4">
        <v>0</v>
      </c>
      <c r="U4153" s="4">
        <f t="shared" si="200"/>
        <v>0</v>
      </c>
      <c r="V4153" s="3"/>
      <c r="W4153" s="3">
        <v>2014</v>
      </c>
      <c r="X4153" s="3">
        <v>11.12</v>
      </c>
    </row>
    <row r="4154" spans="1:24" ht="76.5">
      <c r="A4154" s="3" t="s">
        <v>13116</v>
      </c>
      <c r="B4154" s="6" t="s">
        <v>361</v>
      </c>
      <c r="C4154" s="6" t="s">
        <v>5471</v>
      </c>
      <c r="D4154" s="6" t="s">
        <v>413</v>
      </c>
      <c r="E4154" s="65" t="s">
        <v>5472</v>
      </c>
      <c r="F4154" s="129" t="s">
        <v>7887</v>
      </c>
      <c r="G4154" s="3" t="s">
        <v>11449</v>
      </c>
      <c r="H4154" s="54">
        <v>0</v>
      </c>
      <c r="I4154" s="16">
        <v>470000000</v>
      </c>
      <c r="J4154" s="16" t="s">
        <v>229</v>
      </c>
      <c r="K4154" s="57" t="s">
        <v>642</v>
      </c>
      <c r="L4154" s="12" t="s">
        <v>404</v>
      </c>
      <c r="M4154" s="162" t="s">
        <v>230</v>
      </c>
      <c r="N4154" s="8" t="s">
        <v>8899</v>
      </c>
      <c r="O4154" s="6" t="s">
        <v>622</v>
      </c>
      <c r="P4154" s="58" t="s">
        <v>241</v>
      </c>
      <c r="Q4154" s="27" t="s">
        <v>234</v>
      </c>
      <c r="R4154" s="27">
        <v>30</v>
      </c>
      <c r="S4154" s="59">
        <f>589*1.07</f>
        <v>630.23</v>
      </c>
      <c r="T4154" s="4">
        <v>0</v>
      </c>
      <c r="U4154" s="4">
        <f>T4154*1.12</f>
        <v>0</v>
      </c>
      <c r="V4154" s="3"/>
      <c r="W4154" s="3">
        <v>2014</v>
      </c>
      <c r="X4154" s="3" t="s">
        <v>14785</v>
      </c>
    </row>
    <row r="4155" spans="1:24" ht="76.5">
      <c r="A4155" s="3" t="s">
        <v>16843</v>
      </c>
      <c r="B4155" s="6" t="s">
        <v>361</v>
      </c>
      <c r="C4155" s="6" t="s">
        <v>5471</v>
      </c>
      <c r="D4155" s="6" t="s">
        <v>413</v>
      </c>
      <c r="E4155" s="65" t="s">
        <v>5472</v>
      </c>
      <c r="F4155" s="129" t="s">
        <v>7887</v>
      </c>
      <c r="G4155" s="3" t="s">
        <v>11449</v>
      </c>
      <c r="H4155" s="54">
        <v>0</v>
      </c>
      <c r="I4155" s="16">
        <v>470000000</v>
      </c>
      <c r="J4155" s="16" t="s">
        <v>229</v>
      </c>
      <c r="K4155" s="57" t="s">
        <v>8950</v>
      </c>
      <c r="L4155" s="12" t="s">
        <v>404</v>
      </c>
      <c r="M4155" s="162" t="s">
        <v>230</v>
      </c>
      <c r="N4155" s="8" t="s">
        <v>8899</v>
      </c>
      <c r="O4155" s="6" t="s">
        <v>622</v>
      </c>
      <c r="P4155" s="58" t="s">
        <v>241</v>
      </c>
      <c r="Q4155" s="27" t="s">
        <v>234</v>
      </c>
      <c r="R4155" s="27">
        <v>30</v>
      </c>
      <c r="S4155" s="59">
        <v>756.27599999999995</v>
      </c>
      <c r="T4155" s="4">
        <f>R4155*S4155</f>
        <v>22688.28</v>
      </c>
      <c r="U4155" s="4">
        <f>T4155*1.12</f>
        <v>25410.873600000003</v>
      </c>
      <c r="V4155" s="3"/>
      <c r="W4155" s="3">
        <v>2014</v>
      </c>
      <c r="X4155" s="3"/>
    </row>
    <row r="4156" spans="1:24" ht="76.5">
      <c r="A4156" s="3" t="s">
        <v>1854</v>
      </c>
      <c r="B4156" s="6" t="s">
        <v>361</v>
      </c>
      <c r="C4156" s="6" t="s">
        <v>5473</v>
      </c>
      <c r="D4156" s="6" t="s">
        <v>413</v>
      </c>
      <c r="E4156" s="65" t="s">
        <v>5183</v>
      </c>
      <c r="F4156" s="9" t="s">
        <v>7888</v>
      </c>
      <c r="G4156" s="3" t="s">
        <v>11449</v>
      </c>
      <c r="H4156" s="54">
        <v>0</v>
      </c>
      <c r="I4156" s="16">
        <v>470000000</v>
      </c>
      <c r="J4156" s="16" t="s">
        <v>229</v>
      </c>
      <c r="K4156" s="57" t="s">
        <v>641</v>
      </c>
      <c r="L4156" s="57" t="s">
        <v>364</v>
      </c>
      <c r="M4156" s="162" t="s">
        <v>230</v>
      </c>
      <c r="N4156" s="8" t="s">
        <v>8899</v>
      </c>
      <c r="O4156" s="6" t="s">
        <v>622</v>
      </c>
      <c r="P4156" s="58" t="s">
        <v>241</v>
      </c>
      <c r="Q4156" s="27" t="s">
        <v>234</v>
      </c>
      <c r="R4156" s="27">
        <v>20</v>
      </c>
      <c r="S4156" s="59">
        <v>599</v>
      </c>
      <c r="T4156" s="4">
        <v>0</v>
      </c>
      <c r="U4156" s="4">
        <f t="shared" si="200"/>
        <v>0</v>
      </c>
      <c r="V4156" s="3"/>
      <c r="W4156" s="3">
        <v>2014</v>
      </c>
      <c r="X4156" s="3">
        <v>11.12</v>
      </c>
    </row>
    <row r="4157" spans="1:24" ht="76.5">
      <c r="A4157" s="3" t="s">
        <v>13117</v>
      </c>
      <c r="B4157" s="6" t="s">
        <v>361</v>
      </c>
      <c r="C4157" s="6" t="s">
        <v>5473</v>
      </c>
      <c r="D4157" s="6" t="s">
        <v>413</v>
      </c>
      <c r="E4157" s="65" t="s">
        <v>5183</v>
      </c>
      <c r="F4157" s="9" t="s">
        <v>7888</v>
      </c>
      <c r="G4157" s="3" t="s">
        <v>11449</v>
      </c>
      <c r="H4157" s="54">
        <v>0</v>
      </c>
      <c r="I4157" s="16">
        <v>470000000</v>
      </c>
      <c r="J4157" s="16" t="s">
        <v>229</v>
      </c>
      <c r="K4157" s="57" t="s">
        <v>642</v>
      </c>
      <c r="L4157" s="12" t="s">
        <v>404</v>
      </c>
      <c r="M4157" s="162" t="s">
        <v>230</v>
      </c>
      <c r="N4157" s="8" t="s">
        <v>8899</v>
      </c>
      <c r="O4157" s="6" t="s">
        <v>622</v>
      </c>
      <c r="P4157" s="58" t="s">
        <v>241</v>
      </c>
      <c r="Q4157" s="27" t="s">
        <v>234</v>
      </c>
      <c r="R4157" s="27">
        <v>20</v>
      </c>
      <c r="S4157" s="59">
        <v>599</v>
      </c>
      <c r="T4157" s="4">
        <f>R4157*S4157</f>
        <v>11980</v>
      </c>
      <c r="U4157" s="4">
        <f>T4157*1.12</f>
        <v>13417.600000000002</v>
      </c>
      <c r="V4157" s="3"/>
      <c r="W4157" s="3">
        <v>2014</v>
      </c>
      <c r="X4157" s="3"/>
    </row>
    <row r="4158" spans="1:24" ht="76.5">
      <c r="A4158" s="3" t="s">
        <v>1855</v>
      </c>
      <c r="B4158" s="6" t="s">
        <v>361</v>
      </c>
      <c r="C4158" s="6" t="s">
        <v>7295</v>
      </c>
      <c r="D4158" s="6" t="s">
        <v>5357</v>
      </c>
      <c r="E4158" s="65" t="s">
        <v>7296</v>
      </c>
      <c r="F4158" s="8" t="s">
        <v>7889</v>
      </c>
      <c r="G4158" s="3" t="s">
        <v>11449</v>
      </c>
      <c r="H4158" s="54">
        <v>0</v>
      </c>
      <c r="I4158" s="16">
        <v>470000000</v>
      </c>
      <c r="J4158" s="16" t="s">
        <v>229</v>
      </c>
      <c r="K4158" s="57" t="s">
        <v>641</v>
      </c>
      <c r="L4158" s="57" t="s">
        <v>364</v>
      </c>
      <c r="M4158" s="162" t="s">
        <v>230</v>
      </c>
      <c r="N4158" s="8" t="s">
        <v>8899</v>
      </c>
      <c r="O4158" s="6" t="s">
        <v>622</v>
      </c>
      <c r="P4158" s="58" t="s">
        <v>242</v>
      </c>
      <c r="Q4158" s="27" t="s">
        <v>239</v>
      </c>
      <c r="R4158" s="27">
        <v>30</v>
      </c>
      <c r="S4158" s="59">
        <f>963*1.07</f>
        <v>1030.4100000000001</v>
      </c>
      <c r="T4158" s="4">
        <v>0</v>
      </c>
      <c r="U4158" s="4">
        <f t="shared" si="200"/>
        <v>0</v>
      </c>
      <c r="V4158" s="3"/>
      <c r="W4158" s="3">
        <v>2014</v>
      </c>
      <c r="X4158" s="3">
        <v>11.12</v>
      </c>
    </row>
    <row r="4159" spans="1:24" ht="76.5">
      <c r="A4159" s="3" t="s">
        <v>13118</v>
      </c>
      <c r="B4159" s="6" t="s">
        <v>361</v>
      </c>
      <c r="C4159" s="6" t="s">
        <v>7295</v>
      </c>
      <c r="D4159" s="6" t="s">
        <v>5357</v>
      </c>
      <c r="E4159" s="65" t="s">
        <v>7296</v>
      </c>
      <c r="F4159" s="8" t="s">
        <v>7889</v>
      </c>
      <c r="G4159" s="3" t="s">
        <v>11449</v>
      </c>
      <c r="H4159" s="54">
        <v>0</v>
      </c>
      <c r="I4159" s="16">
        <v>470000000</v>
      </c>
      <c r="J4159" s="16" t="s">
        <v>229</v>
      </c>
      <c r="K4159" s="57" t="s">
        <v>642</v>
      </c>
      <c r="L4159" s="12" t="s">
        <v>404</v>
      </c>
      <c r="M4159" s="162" t="s">
        <v>230</v>
      </c>
      <c r="N4159" s="8" t="s">
        <v>8899</v>
      </c>
      <c r="O4159" s="6" t="s">
        <v>622</v>
      </c>
      <c r="P4159" s="58" t="s">
        <v>242</v>
      </c>
      <c r="Q4159" s="27" t="s">
        <v>239</v>
      </c>
      <c r="R4159" s="27">
        <v>30</v>
      </c>
      <c r="S4159" s="59">
        <f>963*1.07</f>
        <v>1030.4100000000001</v>
      </c>
      <c r="T4159" s="4">
        <v>0</v>
      </c>
      <c r="U4159" s="4">
        <f>T4159*1.12</f>
        <v>0</v>
      </c>
      <c r="V4159" s="3"/>
      <c r="W4159" s="3">
        <v>2014</v>
      </c>
      <c r="X4159" s="3" t="s">
        <v>14785</v>
      </c>
    </row>
    <row r="4160" spans="1:24" ht="76.5">
      <c r="A4160" s="3" t="s">
        <v>16844</v>
      </c>
      <c r="B4160" s="6" t="s">
        <v>361</v>
      </c>
      <c r="C4160" s="6" t="s">
        <v>7295</v>
      </c>
      <c r="D4160" s="6" t="s">
        <v>5357</v>
      </c>
      <c r="E4160" s="65" t="s">
        <v>7296</v>
      </c>
      <c r="F4160" s="8" t="s">
        <v>7889</v>
      </c>
      <c r="G4160" s="3" t="s">
        <v>11449</v>
      </c>
      <c r="H4160" s="54">
        <v>0</v>
      </c>
      <c r="I4160" s="16">
        <v>470000000</v>
      </c>
      <c r="J4160" s="16" t="s">
        <v>229</v>
      </c>
      <c r="K4160" s="57" t="s">
        <v>8950</v>
      </c>
      <c r="L4160" s="12" t="s">
        <v>404</v>
      </c>
      <c r="M4160" s="162" t="s">
        <v>230</v>
      </c>
      <c r="N4160" s="8" t="s">
        <v>8899</v>
      </c>
      <c r="O4160" s="6" t="s">
        <v>622</v>
      </c>
      <c r="P4160" s="58" t="s">
        <v>242</v>
      </c>
      <c r="Q4160" s="27" t="s">
        <v>239</v>
      </c>
      <c r="R4160" s="27">
        <v>30</v>
      </c>
      <c r="S4160" s="59">
        <v>1236.492</v>
      </c>
      <c r="T4160" s="4">
        <f>R4160*S4160</f>
        <v>37094.76</v>
      </c>
      <c r="U4160" s="4">
        <f>T4160*1.12</f>
        <v>41546.131200000003</v>
      </c>
      <c r="V4160" s="3"/>
      <c r="W4160" s="3">
        <v>2014</v>
      </c>
      <c r="X4160" s="3"/>
    </row>
    <row r="4161" spans="1:24" ht="76.5">
      <c r="A4161" s="3" t="s">
        <v>1856</v>
      </c>
      <c r="B4161" s="6" t="s">
        <v>361</v>
      </c>
      <c r="C4161" s="6" t="s">
        <v>5474</v>
      </c>
      <c r="D4161" s="6" t="s">
        <v>441</v>
      </c>
      <c r="E4161" s="65" t="s">
        <v>5475</v>
      </c>
      <c r="F4161" s="8" t="s">
        <v>7890</v>
      </c>
      <c r="G4161" s="3" t="s">
        <v>11449</v>
      </c>
      <c r="H4161" s="54">
        <v>0</v>
      </c>
      <c r="I4161" s="16">
        <v>470000000</v>
      </c>
      <c r="J4161" s="16" t="s">
        <v>229</v>
      </c>
      <c r="K4161" s="57" t="s">
        <v>641</v>
      </c>
      <c r="L4161" s="57" t="s">
        <v>364</v>
      </c>
      <c r="M4161" s="162" t="s">
        <v>230</v>
      </c>
      <c r="N4161" s="8" t="s">
        <v>8899</v>
      </c>
      <c r="O4161" s="6" t="s">
        <v>622</v>
      </c>
      <c r="P4161" s="58" t="s">
        <v>241</v>
      </c>
      <c r="Q4161" s="27" t="s">
        <v>234</v>
      </c>
      <c r="R4161" s="27">
        <v>6</v>
      </c>
      <c r="S4161" s="59">
        <v>29732.21</v>
      </c>
      <c r="T4161" s="4">
        <v>0</v>
      </c>
      <c r="U4161" s="4">
        <f t="shared" si="200"/>
        <v>0</v>
      </c>
      <c r="V4161" s="3"/>
      <c r="W4161" s="3">
        <v>2014</v>
      </c>
      <c r="X4161" s="3">
        <v>1.1200000000000001</v>
      </c>
    </row>
    <row r="4162" spans="1:24" ht="76.5">
      <c r="A4162" s="3" t="s">
        <v>13119</v>
      </c>
      <c r="B4162" s="6" t="s">
        <v>361</v>
      </c>
      <c r="C4162" s="6" t="s">
        <v>5474</v>
      </c>
      <c r="D4162" s="6" t="s">
        <v>441</v>
      </c>
      <c r="E4162" s="65" t="s">
        <v>5475</v>
      </c>
      <c r="F4162" s="8" t="s">
        <v>7890</v>
      </c>
      <c r="G4162" s="3" t="s">
        <v>11449</v>
      </c>
      <c r="H4162" s="54">
        <v>0</v>
      </c>
      <c r="I4162" s="16">
        <v>470000000</v>
      </c>
      <c r="J4162" s="16" t="s">
        <v>229</v>
      </c>
      <c r="K4162" s="57" t="s">
        <v>642</v>
      </c>
      <c r="L4162" s="12" t="s">
        <v>404</v>
      </c>
      <c r="M4162" s="162" t="s">
        <v>230</v>
      </c>
      <c r="N4162" s="8" t="s">
        <v>8899</v>
      </c>
      <c r="O4162" s="6" t="s">
        <v>622</v>
      </c>
      <c r="P4162" s="58" t="s">
        <v>241</v>
      </c>
      <c r="Q4162" s="27" t="s">
        <v>234</v>
      </c>
      <c r="R4162" s="27">
        <v>6</v>
      </c>
      <c r="S4162" s="59">
        <v>29732.21</v>
      </c>
      <c r="T4162" s="4">
        <v>0</v>
      </c>
      <c r="U4162" s="4">
        <f>T4162*1.12</f>
        <v>0</v>
      </c>
      <c r="V4162" s="3"/>
      <c r="W4162" s="3">
        <v>2014</v>
      </c>
      <c r="X4162" s="3" t="s">
        <v>14785</v>
      </c>
    </row>
    <row r="4163" spans="1:24" ht="76.5">
      <c r="A4163" s="3" t="s">
        <v>16845</v>
      </c>
      <c r="B4163" s="6" t="s">
        <v>361</v>
      </c>
      <c r="C4163" s="6" t="s">
        <v>5474</v>
      </c>
      <c r="D4163" s="6" t="s">
        <v>441</v>
      </c>
      <c r="E4163" s="65" t="s">
        <v>5475</v>
      </c>
      <c r="F4163" s="8" t="s">
        <v>7890</v>
      </c>
      <c r="G4163" s="3" t="s">
        <v>11449</v>
      </c>
      <c r="H4163" s="54">
        <v>0</v>
      </c>
      <c r="I4163" s="16">
        <v>470000000</v>
      </c>
      <c r="J4163" s="16" t="s">
        <v>229</v>
      </c>
      <c r="K4163" s="57" t="s">
        <v>8950</v>
      </c>
      <c r="L4163" s="12" t="s">
        <v>404</v>
      </c>
      <c r="M4163" s="162" t="s">
        <v>230</v>
      </c>
      <c r="N4163" s="8" t="s">
        <v>8899</v>
      </c>
      <c r="O4163" s="6" t="s">
        <v>622</v>
      </c>
      <c r="P4163" s="58" t="s">
        <v>241</v>
      </c>
      <c r="Q4163" s="336" t="s">
        <v>234</v>
      </c>
      <c r="R4163" s="336">
        <v>6</v>
      </c>
      <c r="S4163" s="59">
        <v>42590.28</v>
      </c>
      <c r="T4163" s="4">
        <v>0</v>
      </c>
      <c r="U4163" s="4">
        <f t="shared" ref="U4163:U4164" si="206">T4163*1.12</f>
        <v>0</v>
      </c>
      <c r="V4163" s="3"/>
      <c r="W4163" s="3">
        <v>2014</v>
      </c>
      <c r="X4163" s="3" t="s">
        <v>14265</v>
      </c>
    </row>
    <row r="4164" spans="1:24" ht="76.5">
      <c r="A4164" s="3" t="s">
        <v>19128</v>
      </c>
      <c r="B4164" s="6" t="s">
        <v>361</v>
      </c>
      <c r="C4164" s="6" t="s">
        <v>5474</v>
      </c>
      <c r="D4164" s="6" t="s">
        <v>441</v>
      </c>
      <c r="E4164" s="65" t="s">
        <v>5475</v>
      </c>
      <c r="F4164" s="8" t="s">
        <v>7890</v>
      </c>
      <c r="G4164" s="3" t="s">
        <v>11449</v>
      </c>
      <c r="H4164" s="54">
        <v>0</v>
      </c>
      <c r="I4164" s="16">
        <v>470000000</v>
      </c>
      <c r="J4164" s="16" t="s">
        <v>229</v>
      </c>
      <c r="K4164" s="57" t="s">
        <v>18437</v>
      </c>
      <c r="L4164" s="12" t="s">
        <v>404</v>
      </c>
      <c r="M4164" s="162" t="s">
        <v>230</v>
      </c>
      <c r="N4164" s="8" t="s">
        <v>19369</v>
      </c>
      <c r="O4164" s="6" t="s">
        <v>19407</v>
      </c>
      <c r="P4164" s="58" t="s">
        <v>241</v>
      </c>
      <c r="Q4164" s="336" t="s">
        <v>234</v>
      </c>
      <c r="R4164" s="336">
        <v>6</v>
      </c>
      <c r="S4164" s="59">
        <v>42590.28</v>
      </c>
      <c r="T4164" s="4">
        <f>R4164*S4164</f>
        <v>255541.68</v>
      </c>
      <c r="U4164" s="4">
        <f t="shared" si="206"/>
        <v>286206.68160000001</v>
      </c>
      <c r="V4164" s="3"/>
      <c r="W4164" s="3">
        <v>2014</v>
      </c>
      <c r="X4164" s="3"/>
    </row>
    <row r="4165" spans="1:24" ht="76.5">
      <c r="A4165" s="3" t="s">
        <v>1857</v>
      </c>
      <c r="B4165" s="6" t="s">
        <v>361</v>
      </c>
      <c r="C4165" s="6" t="s">
        <v>5476</v>
      </c>
      <c r="D4165" s="6" t="s">
        <v>5477</v>
      </c>
      <c r="E4165" s="65" t="s">
        <v>5478</v>
      </c>
      <c r="F4165" s="8" t="s">
        <v>7891</v>
      </c>
      <c r="G4165" s="3" t="s">
        <v>11449</v>
      </c>
      <c r="H4165" s="54">
        <v>0</v>
      </c>
      <c r="I4165" s="16">
        <v>470000000</v>
      </c>
      <c r="J4165" s="16" t="s">
        <v>229</v>
      </c>
      <c r="K4165" s="57" t="s">
        <v>641</v>
      </c>
      <c r="L4165" s="57" t="s">
        <v>364</v>
      </c>
      <c r="M4165" s="162" t="s">
        <v>230</v>
      </c>
      <c r="N4165" s="8" t="s">
        <v>8899</v>
      </c>
      <c r="O4165" s="6" t="s">
        <v>622</v>
      </c>
      <c r="P4165" s="58" t="s">
        <v>241</v>
      </c>
      <c r="Q4165" s="27" t="s">
        <v>234</v>
      </c>
      <c r="R4165" s="27">
        <v>12</v>
      </c>
      <c r="S4165" s="59">
        <v>2981.97</v>
      </c>
      <c r="T4165" s="4">
        <v>0</v>
      </c>
      <c r="U4165" s="4">
        <f t="shared" si="200"/>
        <v>0</v>
      </c>
      <c r="V4165" s="3"/>
      <c r="W4165" s="3">
        <v>2014</v>
      </c>
      <c r="X4165" s="3">
        <v>11.12</v>
      </c>
    </row>
    <row r="4166" spans="1:24" ht="76.5">
      <c r="A4166" s="3" t="s">
        <v>13120</v>
      </c>
      <c r="B4166" s="6" t="s">
        <v>361</v>
      </c>
      <c r="C4166" s="6" t="s">
        <v>5476</v>
      </c>
      <c r="D4166" s="6" t="s">
        <v>5477</v>
      </c>
      <c r="E4166" s="65" t="s">
        <v>5478</v>
      </c>
      <c r="F4166" s="8" t="s">
        <v>7891</v>
      </c>
      <c r="G4166" s="3" t="s">
        <v>11449</v>
      </c>
      <c r="H4166" s="54">
        <v>0</v>
      </c>
      <c r="I4166" s="16">
        <v>470000000</v>
      </c>
      <c r="J4166" s="16" t="s">
        <v>229</v>
      </c>
      <c r="K4166" s="57" t="s">
        <v>642</v>
      </c>
      <c r="L4166" s="12" t="s">
        <v>404</v>
      </c>
      <c r="M4166" s="162" t="s">
        <v>230</v>
      </c>
      <c r="N4166" s="8" t="s">
        <v>8899</v>
      </c>
      <c r="O4166" s="6" t="s">
        <v>622</v>
      </c>
      <c r="P4166" s="58" t="s">
        <v>241</v>
      </c>
      <c r="Q4166" s="27" t="s">
        <v>234</v>
      </c>
      <c r="R4166" s="27">
        <v>12</v>
      </c>
      <c r="S4166" s="59">
        <v>2981.97</v>
      </c>
      <c r="T4166" s="4">
        <v>0</v>
      </c>
      <c r="U4166" s="4">
        <f>T4166*1.12</f>
        <v>0</v>
      </c>
      <c r="V4166" s="3"/>
      <c r="W4166" s="3">
        <v>2014</v>
      </c>
      <c r="X4166" s="3" t="s">
        <v>14785</v>
      </c>
    </row>
    <row r="4167" spans="1:24" ht="76.5">
      <c r="A4167" s="3" t="s">
        <v>16846</v>
      </c>
      <c r="B4167" s="6" t="s">
        <v>361</v>
      </c>
      <c r="C4167" s="6" t="s">
        <v>5476</v>
      </c>
      <c r="D4167" s="6" t="s">
        <v>5477</v>
      </c>
      <c r="E4167" s="65" t="s">
        <v>5478</v>
      </c>
      <c r="F4167" s="8" t="s">
        <v>7891</v>
      </c>
      <c r="G4167" s="3" t="s">
        <v>11449</v>
      </c>
      <c r="H4167" s="54">
        <v>0</v>
      </c>
      <c r="I4167" s="16">
        <v>470000000</v>
      </c>
      <c r="J4167" s="16" t="s">
        <v>229</v>
      </c>
      <c r="K4167" s="57" t="s">
        <v>8950</v>
      </c>
      <c r="L4167" s="12" t="s">
        <v>404</v>
      </c>
      <c r="M4167" s="162" t="s">
        <v>230</v>
      </c>
      <c r="N4167" s="8" t="s">
        <v>8899</v>
      </c>
      <c r="O4167" s="6" t="s">
        <v>622</v>
      </c>
      <c r="P4167" s="58" t="s">
        <v>241</v>
      </c>
      <c r="Q4167" s="27" t="s">
        <v>234</v>
      </c>
      <c r="R4167" s="27">
        <v>12</v>
      </c>
      <c r="S4167" s="59">
        <v>3984.252</v>
      </c>
      <c r="T4167" s="4">
        <f>R4167*S4167</f>
        <v>47811.023999999998</v>
      </c>
      <c r="U4167" s="4">
        <f>T4167*1.12</f>
        <v>53548.346880000005</v>
      </c>
      <c r="V4167" s="3"/>
      <c r="W4167" s="3">
        <v>2014</v>
      </c>
      <c r="X4167" s="3"/>
    </row>
    <row r="4168" spans="1:24" ht="76.5">
      <c r="A4168" s="3" t="s">
        <v>1858</v>
      </c>
      <c r="B4168" s="6" t="s">
        <v>361</v>
      </c>
      <c r="C4168" s="6" t="s">
        <v>5479</v>
      </c>
      <c r="D4168" s="6" t="s">
        <v>5480</v>
      </c>
      <c r="E4168" s="65" t="s">
        <v>5481</v>
      </c>
      <c r="F4168" s="8" t="s">
        <v>7892</v>
      </c>
      <c r="G4168" s="3" t="s">
        <v>11449</v>
      </c>
      <c r="H4168" s="54">
        <v>0</v>
      </c>
      <c r="I4168" s="16">
        <v>470000000</v>
      </c>
      <c r="J4168" s="16" t="s">
        <v>229</v>
      </c>
      <c r="K4168" s="57" t="s">
        <v>641</v>
      </c>
      <c r="L4168" s="57" t="s">
        <v>364</v>
      </c>
      <c r="M4168" s="162" t="s">
        <v>230</v>
      </c>
      <c r="N4168" s="8" t="s">
        <v>8899</v>
      </c>
      <c r="O4168" s="6" t="s">
        <v>622</v>
      </c>
      <c r="P4168" s="58" t="s">
        <v>241</v>
      </c>
      <c r="Q4168" s="27" t="s">
        <v>234</v>
      </c>
      <c r="R4168" s="27">
        <v>30</v>
      </c>
      <c r="S4168" s="59">
        <v>289.39999999999998</v>
      </c>
      <c r="T4168" s="4">
        <v>0</v>
      </c>
      <c r="U4168" s="4">
        <f t="shared" si="200"/>
        <v>0</v>
      </c>
      <c r="V4168" s="3"/>
      <c r="W4168" s="3">
        <v>2014</v>
      </c>
      <c r="X4168" s="3">
        <v>11.12</v>
      </c>
    </row>
    <row r="4169" spans="1:24" ht="76.5">
      <c r="A4169" s="3" t="s">
        <v>13121</v>
      </c>
      <c r="B4169" s="6" t="s">
        <v>361</v>
      </c>
      <c r="C4169" s="6" t="s">
        <v>5479</v>
      </c>
      <c r="D4169" s="6" t="s">
        <v>5480</v>
      </c>
      <c r="E4169" s="65" t="s">
        <v>5481</v>
      </c>
      <c r="F4169" s="8" t="s">
        <v>7892</v>
      </c>
      <c r="G4169" s="3" t="s">
        <v>11449</v>
      </c>
      <c r="H4169" s="54">
        <v>0</v>
      </c>
      <c r="I4169" s="16">
        <v>470000000</v>
      </c>
      <c r="J4169" s="16" t="s">
        <v>229</v>
      </c>
      <c r="K4169" s="57" t="s">
        <v>642</v>
      </c>
      <c r="L4169" s="12" t="s">
        <v>404</v>
      </c>
      <c r="M4169" s="162" t="s">
        <v>230</v>
      </c>
      <c r="N4169" s="8" t="s">
        <v>8899</v>
      </c>
      <c r="O4169" s="6" t="s">
        <v>622</v>
      </c>
      <c r="P4169" s="58" t="s">
        <v>241</v>
      </c>
      <c r="Q4169" s="27" t="s">
        <v>234</v>
      </c>
      <c r="R4169" s="27">
        <v>30</v>
      </c>
      <c r="S4169" s="59">
        <v>289.39999999999998</v>
      </c>
      <c r="T4169" s="4">
        <v>0</v>
      </c>
      <c r="U4169" s="4">
        <f>T4169*1.12</f>
        <v>0</v>
      </c>
      <c r="V4169" s="3"/>
      <c r="W4169" s="3">
        <v>2014</v>
      </c>
      <c r="X4169" s="3" t="s">
        <v>14785</v>
      </c>
    </row>
    <row r="4170" spans="1:24" ht="76.5">
      <c r="A4170" s="3" t="s">
        <v>16847</v>
      </c>
      <c r="B4170" s="6" t="s">
        <v>361</v>
      </c>
      <c r="C4170" s="6" t="s">
        <v>5479</v>
      </c>
      <c r="D4170" s="6" t="s">
        <v>5480</v>
      </c>
      <c r="E4170" s="65" t="s">
        <v>5481</v>
      </c>
      <c r="F4170" s="8" t="s">
        <v>7892</v>
      </c>
      <c r="G4170" s="3" t="s">
        <v>11449</v>
      </c>
      <c r="H4170" s="54">
        <v>0</v>
      </c>
      <c r="I4170" s="16">
        <v>470000000</v>
      </c>
      <c r="J4170" s="16" t="s">
        <v>229</v>
      </c>
      <c r="K4170" s="57" t="s">
        <v>8950</v>
      </c>
      <c r="L4170" s="12" t="s">
        <v>404</v>
      </c>
      <c r="M4170" s="162" t="s">
        <v>230</v>
      </c>
      <c r="N4170" s="8" t="s">
        <v>8899</v>
      </c>
      <c r="O4170" s="6" t="s">
        <v>622</v>
      </c>
      <c r="P4170" s="58" t="s">
        <v>241</v>
      </c>
      <c r="Q4170" s="336" t="s">
        <v>234</v>
      </c>
      <c r="R4170" s="336">
        <v>30</v>
      </c>
      <c r="S4170" s="59">
        <v>2164.8240000000001</v>
      </c>
      <c r="T4170" s="4">
        <v>0</v>
      </c>
      <c r="U4170" s="4">
        <f t="shared" ref="U4170:U4171" si="207">T4170*1.12</f>
        <v>0</v>
      </c>
      <c r="V4170" s="3"/>
      <c r="W4170" s="3">
        <v>2014</v>
      </c>
      <c r="X4170" s="3" t="s">
        <v>14265</v>
      </c>
    </row>
    <row r="4171" spans="1:24" ht="76.5">
      <c r="A4171" s="3" t="s">
        <v>19129</v>
      </c>
      <c r="B4171" s="6" t="s">
        <v>361</v>
      </c>
      <c r="C4171" s="6" t="s">
        <v>5479</v>
      </c>
      <c r="D4171" s="6" t="s">
        <v>5480</v>
      </c>
      <c r="E4171" s="65" t="s">
        <v>5481</v>
      </c>
      <c r="F4171" s="8" t="s">
        <v>7892</v>
      </c>
      <c r="G4171" s="3" t="s">
        <v>11449</v>
      </c>
      <c r="H4171" s="54">
        <v>0</v>
      </c>
      <c r="I4171" s="16">
        <v>470000000</v>
      </c>
      <c r="J4171" s="16" t="s">
        <v>229</v>
      </c>
      <c r="K4171" s="57" t="s">
        <v>18437</v>
      </c>
      <c r="L4171" s="12" t="s">
        <v>404</v>
      </c>
      <c r="M4171" s="162" t="s">
        <v>230</v>
      </c>
      <c r="N4171" s="8" t="s">
        <v>19369</v>
      </c>
      <c r="O4171" s="6" t="s">
        <v>19407</v>
      </c>
      <c r="P4171" s="58" t="s">
        <v>241</v>
      </c>
      <c r="Q4171" s="336" t="s">
        <v>234</v>
      </c>
      <c r="R4171" s="336">
        <v>30</v>
      </c>
      <c r="S4171" s="59">
        <v>2164.8240000000001</v>
      </c>
      <c r="T4171" s="4">
        <f>R4171*S4171</f>
        <v>64944.72</v>
      </c>
      <c r="U4171" s="4">
        <f t="shared" si="207"/>
        <v>72738.086400000015</v>
      </c>
      <c r="V4171" s="3"/>
      <c r="W4171" s="3">
        <v>2014</v>
      </c>
      <c r="X4171" s="3"/>
    </row>
    <row r="4172" spans="1:24" ht="76.5">
      <c r="A4172" s="3" t="s">
        <v>1859</v>
      </c>
      <c r="B4172" s="6" t="s">
        <v>361</v>
      </c>
      <c r="C4172" s="6" t="s">
        <v>5482</v>
      </c>
      <c r="D4172" s="6" t="s">
        <v>5483</v>
      </c>
      <c r="E4172" s="65" t="s">
        <v>5478</v>
      </c>
      <c r="F4172" s="9" t="s">
        <v>7893</v>
      </c>
      <c r="G4172" s="3" t="s">
        <v>11449</v>
      </c>
      <c r="H4172" s="54">
        <v>0</v>
      </c>
      <c r="I4172" s="16">
        <v>470000000</v>
      </c>
      <c r="J4172" s="16" t="s">
        <v>229</v>
      </c>
      <c r="K4172" s="57" t="s">
        <v>641</v>
      </c>
      <c r="L4172" s="57" t="s">
        <v>364</v>
      </c>
      <c r="M4172" s="162" t="s">
        <v>230</v>
      </c>
      <c r="N4172" s="8" t="s">
        <v>8899</v>
      </c>
      <c r="O4172" s="6" t="s">
        <v>622</v>
      </c>
      <c r="P4172" s="58" t="s">
        <v>241</v>
      </c>
      <c r="Q4172" s="27" t="s">
        <v>234</v>
      </c>
      <c r="R4172" s="27">
        <v>8</v>
      </c>
      <c r="S4172" s="59">
        <f>12423*1.07</f>
        <v>13292.61</v>
      </c>
      <c r="T4172" s="4">
        <v>0</v>
      </c>
      <c r="U4172" s="4">
        <f t="shared" si="200"/>
        <v>0</v>
      </c>
      <c r="V4172" s="3"/>
      <c r="W4172" s="3">
        <v>2014</v>
      </c>
      <c r="X4172" s="3">
        <v>11.12</v>
      </c>
    </row>
    <row r="4173" spans="1:24" ht="76.5">
      <c r="A4173" s="3" t="s">
        <v>13122</v>
      </c>
      <c r="B4173" s="6" t="s">
        <v>361</v>
      </c>
      <c r="C4173" s="6" t="s">
        <v>5482</v>
      </c>
      <c r="D4173" s="6" t="s">
        <v>5483</v>
      </c>
      <c r="E4173" s="65" t="s">
        <v>5478</v>
      </c>
      <c r="F4173" s="9" t="s">
        <v>7893</v>
      </c>
      <c r="G4173" s="3" t="s">
        <v>11449</v>
      </c>
      <c r="H4173" s="54">
        <v>0</v>
      </c>
      <c r="I4173" s="16">
        <v>470000000</v>
      </c>
      <c r="J4173" s="16" t="s">
        <v>229</v>
      </c>
      <c r="K4173" s="57" t="s">
        <v>642</v>
      </c>
      <c r="L4173" s="12" t="s">
        <v>404</v>
      </c>
      <c r="M4173" s="162" t="s">
        <v>230</v>
      </c>
      <c r="N4173" s="8" t="s">
        <v>8899</v>
      </c>
      <c r="O4173" s="6" t="s">
        <v>622</v>
      </c>
      <c r="P4173" s="58" t="s">
        <v>241</v>
      </c>
      <c r="Q4173" s="27" t="s">
        <v>234</v>
      </c>
      <c r="R4173" s="27">
        <v>8</v>
      </c>
      <c r="S4173" s="59">
        <f>12423*1.07</f>
        <v>13292.61</v>
      </c>
      <c r="T4173" s="4">
        <f>R4173*S4173</f>
        <v>106340.88</v>
      </c>
      <c r="U4173" s="4">
        <f>T4173*1.12</f>
        <v>119101.78560000002</v>
      </c>
      <c r="V4173" s="3"/>
      <c r="W4173" s="3">
        <v>2014</v>
      </c>
      <c r="X4173" s="3"/>
    </row>
    <row r="4174" spans="1:24" ht="76.5">
      <c r="A4174" s="3" t="s">
        <v>1860</v>
      </c>
      <c r="B4174" s="6" t="s">
        <v>361</v>
      </c>
      <c r="C4174" s="6" t="s">
        <v>5484</v>
      </c>
      <c r="D4174" s="6" t="s">
        <v>5485</v>
      </c>
      <c r="E4174" s="65" t="s">
        <v>5478</v>
      </c>
      <c r="F4174" s="8" t="s">
        <v>7894</v>
      </c>
      <c r="G4174" s="3" t="s">
        <v>11449</v>
      </c>
      <c r="H4174" s="54">
        <v>0</v>
      </c>
      <c r="I4174" s="16">
        <v>470000000</v>
      </c>
      <c r="J4174" s="16" t="s">
        <v>229</v>
      </c>
      <c r="K4174" s="57" t="s">
        <v>641</v>
      </c>
      <c r="L4174" s="57" t="s">
        <v>364</v>
      </c>
      <c r="M4174" s="162" t="s">
        <v>230</v>
      </c>
      <c r="N4174" s="8" t="s">
        <v>8899</v>
      </c>
      <c r="O4174" s="6" t="s">
        <v>622</v>
      </c>
      <c r="P4174" s="58" t="s">
        <v>241</v>
      </c>
      <c r="Q4174" s="27" t="s">
        <v>234</v>
      </c>
      <c r="R4174" s="27">
        <v>12</v>
      </c>
      <c r="S4174" s="59">
        <v>4938.7700000000004</v>
      </c>
      <c r="T4174" s="4">
        <v>0</v>
      </c>
      <c r="U4174" s="4">
        <f t="shared" si="200"/>
        <v>0</v>
      </c>
      <c r="V4174" s="3"/>
      <c r="W4174" s="3">
        <v>2014</v>
      </c>
      <c r="X4174" s="3">
        <v>11.12</v>
      </c>
    </row>
    <row r="4175" spans="1:24" ht="76.5">
      <c r="A4175" s="3" t="s">
        <v>13123</v>
      </c>
      <c r="B4175" s="6" t="s">
        <v>361</v>
      </c>
      <c r="C4175" s="6" t="s">
        <v>5484</v>
      </c>
      <c r="D4175" s="6" t="s">
        <v>5485</v>
      </c>
      <c r="E4175" s="65" t="s">
        <v>5478</v>
      </c>
      <c r="F4175" s="8" t="s">
        <v>7894</v>
      </c>
      <c r="G4175" s="3" t="s">
        <v>11449</v>
      </c>
      <c r="H4175" s="54">
        <v>0</v>
      </c>
      <c r="I4175" s="16">
        <v>470000000</v>
      </c>
      <c r="J4175" s="16" t="s">
        <v>229</v>
      </c>
      <c r="K4175" s="57" t="s">
        <v>642</v>
      </c>
      <c r="L4175" s="12" t="s">
        <v>404</v>
      </c>
      <c r="M4175" s="162" t="s">
        <v>230</v>
      </c>
      <c r="N4175" s="8" t="s">
        <v>8899</v>
      </c>
      <c r="O4175" s="6" t="s">
        <v>622</v>
      </c>
      <c r="P4175" s="58" t="s">
        <v>241</v>
      </c>
      <c r="Q4175" s="27" t="s">
        <v>234</v>
      </c>
      <c r="R4175" s="27">
        <v>12</v>
      </c>
      <c r="S4175" s="59">
        <v>4938.7700000000004</v>
      </c>
      <c r="T4175" s="4">
        <v>0</v>
      </c>
      <c r="U4175" s="4">
        <f>T4175*1.12</f>
        <v>0</v>
      </c>
      <c r="V4175" s="3"/>
      <c r="W4175" s="3">
        <v>2014</v>
      </c>
      <c r="X4175" s="3" t="s">
        <v>14785</v>
      </c>
    </row>
    <row r="4176" spans="1:24" ht="76.5">
      <c r="A4176" s="3" t="s">
        <v>16848</v>
      </c>
      <c r="B4176" s="6" t="s">
        <v>361</v>
      </c>
      <c r="C4176" s="6" t="s">
        <v>5484</v>
      </c>
      <c r="D4176" s="6" t="s">
        <v>5485</v>
      </c>
      <c r="E4176" s="65" t="s">
        <v>5478</v>
      </c>
      <c r="F4176" s="8" t="s">
        <v>7894</v>
      </c>
      <c r="G4176" s="3" t="s">
        <v>11449</v>
      </c>
      <c r="H4176" s="54">
        <v>0</v>
      </c>
      <c r="I4176" s="16">
        <v>470000000</v>
      </c>
      <c r="J4176" s="16" t="s">
        <v>229</v>
      </c>
      <c r="K4176" s="57" t="s">
        <v>8950</v>
      </c>
      <c r="L4176" s="12" t="s">
        <v>404</v>
      </c>
      <c r="M4176" s="162" t="s">
        <v>230</v>
      </c>
      <c r="N4176" s="8" t="s">
        <v>8899</v>
      </c>
      <c r="O4176" s="6" t="s">
        <v>622</v>
      </c>
      <c r="P4176" s="58" t="s">
        <v>241</v>
      </c>
      <c r="Q4176" s="27" t="s">
        <v>234</v>
      </c>
      <c r="R4176" s="27">
        <v>12</v>
      </c>
      <c r="S4176" s="59">
        <v>7075.4820000000009</v>
      </c>
      <c r="T4176" s="4">
        <f>R4176*S4176</f>
        <v>84905.784000000014</v>
      </c>
      <c r="U4176" s="4">
        <f>T4176*1.12</f>
        <v>95094.47808000003</v>
      </c>
      <c r="V4176" s="3"/>
      <c r="W4176" s="3">
        <v>2014</v>
      </c>
      <c r="X4176" s="3"/>
    </row>
    <row r="4177" spans="1:24" ht="114.75">
      <c r="A4177" s="3" t="s">
        <v>1861</v>
      </c>
      <c r="B4177" s="6" t="s">
        <v>361</v>
      </c>
      <c r="C4177" s="6" t="s">
        <v>7297</v>
      </c>
      <c r="D4177" s="6" t="s">
        <v>7298</v>
      </c>
      <c r="E4177" s="65" t="s">
        <v>7299</v>
      </c>
      <c r="F4177" s="8" t="s">
        <v>7895</v>
      </c>
      <c r="G4177" s="3" t="s">
        <v>11449</v>
      </c>
      <c r="H4177" s="54">
        <v>0</v>
      </c>
      <c r="I4177" s="16">
        <v>470000000</v>
      </c>
      <c r="J4177" s="16" t="s">
        <v>229</v>
      </c>
      <c r="K4177" s="57" t="s">
        <v>641</v>
      </c>
      <c r="L4177" s="57" t="s">
        <v>364</v>
      </c>
      <c r="M4177" s="162" t="s">
        <v>230</v>
      </c>
      <c r="N4177" s="8" t="s">
        <v>8899</v>
      </c>
      <c r="O4177" s="6" t="s">
        <v>622</v>
      </c>
      <c r="P4177" s="58" t="s">
        <v>241</v>
      </c>
      <c r="Q4177" s="27" t="s">
        <v>234</v>
      </c>
      <c r="R4177" s="27">
        <v>6</v>
      </c>
      <c r="S4177" s="59">
        <f>9085*1.07</f>
        <v>9720.9500000000007</v>
      </c>
      <c r="T4177" s="4">
        <v>0</v>
      </c>
      <c r="U4177" s="4">
        <f t="shared" si="200"/>
        <v>0</v>
      </c>
      <c r="V4177" s="3"/>
      <c r="W4177" s="3">
        <v>2014</v>
      </c>
      <c r="X4177" s="3">
        <v>11.12</v>
      </c>
    </row>
    <row r="4178" spans="1:24" ht="114.75">
      <c r="A4178" s="3" t="s">
        <v>13124</v>
      </c>
      <c r="B4178" s="6" t="s">
        <v>361</v>
      </c>
      <c r="C4178" s="6" t="s">
        <v>7297</v>
      </c>
      <c r="D4178" s="6" t="s">
        <v>7298</v>
      </c>
      <c r="E4178" s="65" t="s">
        <v>7299</v>
      </c>
      <c r="F4178" s="8" t="s">
        <v>7895</v>
      </c>
      <c r="G4178" s="3" t="s">
        <v>11449</v>
      </c>
      <c r="H4178" s="54">
        <v>0</v>
      </c>
      <c r="I4178" s="16">
        <v>470000000</v>
      </c>
      <c r="J4178" s="16" t="s">
        <v>229</v>
      </c>
      <c r="K4178" s="57" t="s">
        <v>642</v>
      </c>
      <c r="L4178" s="12" t="s">
        <v>404</v>
      </c>
      <c r="M4178" s="162" t="s">
        <v>230</v>
      </c>
      <c r="N4178" s="8" t="s">
        <v>8899</v>
      </c>
      <c r="O4178" s="6" t="s">
        <v>622</v>
      </c>
      <c r="P4178" s="58" t="s">
        <v>241</v>
      </c>
      <c r="Q4178" s="27" t="s">
        <v>234</v>
      </c>
      <c r="R4178" s="27">
        <v>6</v>
      </c>
      <c r="S4178" s="59">
        <f>9085*1.07</f>
        <v>9720.9500000000007</v>
      </c>
      <c r="T4178" s="4">
        <v>0</v>
      </c>
      <c r="U4178" s="4">
        <f>T4178*1.12</f>
        <v>0</v>
      </c>
      <c r="V4178" s="3"/>
      <c r="W4178" s="3">
        <v>2014</v>
      </c>
      <c r="X4178" s="3" t="s">
        <v>14785</v>
      </c>
    </row>
    <row r="4179" spans="1:24" ht="114.75">
      <c r="A4179" s="3" t="s">
        <v>16849</v>
      </c>
      <c r="B4179" s="6" t="s">
        <v>361</v>
      </c>
      <c r="C4179" s="6" t="s">
        <v>7297</v>
      </c>
      <c r="D4179" s="6" t="s">
        <v>7298</v>
      </c>
      <c r="E4179" s="65" t="s">
        <v>7299</v>
      </c>
      <c r="F4179" s="8" t="s">
        <v>7895</v>
      </c>
      <c r="G4179" s="3" t="s">
        <v>11449</v>
      </c>
      <c r="H4179" s="54">
        <v>0</v>
      </c>
      <c r="I4179" s="16">
        <v>470000000</v>
      </c>
      <c r="J4179" s="16" t="s">
        <v>229</v>
      </c>
      <c r="K4179" s="57" t="s">
        <v>8950</v>
      </c>
      <c r="L4179" s="12" t="s">
        <v>404</v>
      </c>
      <c r="M4179" s="162" t="s">
        <v>230</v>
      </c>
      <c r="N4179" s="8" t="s">
        <v>8899</v>
      </c>
      <c r="O4179" s="6" t="s">
        <v>622</v>
      </c>
      <c r="P4179" s="58" t="s">
        <v>241</v>
      </c>
      <c r="Q4179" s="336" t="s">
        <v>234</v>
      </c>
      <c r="R4179" s="336">
        <v>6</v>
      </c>
      <c r="S4179" s="59">
        <v>11665.140000000001</v>
      </c>
      <c r="T4179" s="4">
        <v>0</v>
      </c>
      <c r="U4179" s="4">
        <f t="shared" ref="U4179:U4180" si="208">T4179*1.12</f>
        <v>0</v>
      </c>
      <c r="V4179" s="3"/>
      <c r="W4179" s="3">
        <v>2014</v>
      </c>
      <c r="X4179" s="3" t="s">
        <v>14265</v>
      </c>
    </row>
    <row r="4180" spans="1:24" ht="114.75">
      <c r="A4180" s="3" t="s">
        <v>19130</v>
      </c>
      <c r="B4180" s="6" t="s">
        <v>361</v>
      </c>
      <c r="C4180" s="6" t="s">
        <v>7297</v>
      </c>
      <c r="D4180" s="6" t="s">
        <v>7298</v>
      </c>
      <c r="E4180" s="65" t="s">
        <v>7299</v>
      </c>
      <c r="F4180" s="8" t="s">
        <v>7895</v>
      </c>
      <c r="G4180" s="3" t="s">
        <v>11449</v>
      </c>
      <c r="H4180" s="54">
        <v>0</v>
      </c>
      <c r="I4180" s="16">
        <v>470000000</v>
      </c>
      <c r="J4180" s="16" t="s">
        <v>229</v>
      </c>
      <c r="K4180" s="57" t="s">
        <v>18437</v>
      </c>
      <c r="L4180" s="12" t="s">
        <v>404</v>
      </c>
      <c r="M4180" s="162" t="s">
        <v>230</v>
      </c>
      <c r="N4180" s="8" t="s">
        <v>19369</v>
      </c>
      <c r="O4180" s="6" t="s">
        <v>19407</v>
      </c>
      <c r="P4180" s="58" t="s">
        <v>241</v>
      </c>
      <c r="Q4180" s="336" t="s">
        <v>234</v>
      </c>
      <c r="R4180" s="336">
        <v>6</v>
      </c>
      <c r="S4180" s="59">
        <v>11665.140000000001</v>
      </c>
      <c r="T4180" s="4">
        <f>R4180*S4180</f>
        <v>69990.840000000011</v>
      </c>
      <c r="U4180" s="4">
        <f t="shared" si="208"/>
        <v>78389.740800000014</v>
      </c>
      <c r="V4180" s="3"/>
      <c r="W4180" s="3">
        <v>2014</v>
      </c>
      <c r="X4180" s="3"/>
    </row>
    <row r="4181" spans="1:24" ht="114.75">
      <c r="A4181" s="3" t="s">
        <v>1862</v>
      </c>
      <c r="B4181" s="6" t="s">
        <v>361</v>
      </c>
      <c r="C4181" s="6" t="s">
        <v>7297</v>
      </c>
      <c r="D4181" s="6" t="s">
        <v>7298</v>
      </c>
      <c r="E4181" s="65" t="s">
        <v>7299</v>
      </c>
      <c r="F4181" s="129" t="s">
        <v>7896</v>
      </c>
      <c r="G4181" s="3" t="s">
        <v>11449</v>
      </c>
      <c r="H4181" s="54">
        <v>0</v>
      </c>
      <c r="I4181" s="16">
        <v>470000000</v>
      </c>
      <c r="J4181" s="16" t="s">
        <v>229</v>
      </c>
      <c r="K4181" s="57" t="s">
        <v>641</v>
      </c>
      <c r="L4181" s="57" t="s">
        <v>364</v>
      </c>
      <c r="M4181" s="162" t="s">
        <v>230</v>
      </c>
      <c r="N4181" s="8" t="s">
        <v>8899</v>
      </c>
      <c r="O4181" s="6" t="s">
        <v>622</v>
      </c>
      <c r="P4181" s="58" t="s">
        <v>241</v>
      </c>
      <c r="Q4181" s="27" t="s">
        <v>234</v>
      </c>
      <c r="R4181" s="31">
        <v>6</v>
      </c>
      <c r="S4181" s="59">
        <v>13987</v>
      </c>
      <c r="T4181" s="4">
        <v>0</v>
      </c>
      <c r="U4181" s="4">
        <f t="shared" si="200"/>
        <v>0</v>
      </c>
      <c r="V4181" s="3"/>
      <c r="W4181" s="3">
        <v>2014</v>
      </c>
      <c r="X4181" s="3">
        <v>11.12</v>
      </c>
    </row>
    <row r="4182" spans="1:24" ht="114.75">
      <c r="A4182" s="3" t="s">
        <v>13125</v>
      </c>
      <c r="B4182" s="6" t="s">
        <v>361</v>
      </c>
      <c r="C4182" s="6" t="s">
        <v>7297</v>
      </c>
      <c r="D4182" s="6" t="s">
        <v>7298</v>
      </c>
      <c r="E4182" s="65" t="s">
        <v>7299</v>
      </c>
      <c r="F4182" s="129" t="s">
        <v>7896</v>
      </c>
      <c r="G4182" s="3" t="s">
        <v>11449</v>
      </c>
      <c r="H4182" s="54">
        <v>0</v>
      </c>
      <c r="I4182" s="16">
        <v>470000000</v>
      </c>
      <c r="J4182" s="16" t="s">
        <v>229</v>
      </c>
      <c r="K4182" s="57" t="s">
        <v>642</v>
      </c>
      <c r="L4182" s="12" t="s">
        <v>404</v>
      </c>
      <c r="M4182" s="162" t="s">
        <v>230</v>
      </c>
      <c r="N4182" s="8" t="s">
        <v>8899</v>
      </c>
      <c r="O4182" s="6" t="s">
        <v>622</v>
      </c>
      <c r="P4182" s="58" t="s">
        <v>241</v>
      </c>
      <c r="Q4182" s="27" t="s">
        <v>234</v>
      </c>
      <c r="R4182" s="31">
        <v>6</v>
      </c>
      <c r="S4182" s="59">
        <v>13987</v>
      </c>
      <c r="T4182" s="4">
        <v>0</v>
      </c>
      <c r="U4182" s="4">
        <f>T4182*1.12</f>
        <v>0</v>
      </c>
      <c r="V4182" s="3"/>
      <c r="W4182" s="3">
        <v>2014</v>
      </c>
      <c r="X4182" s="3" t="s">
        <v>14785</v>
      </c>
    </row>
    <row r="4183" spans="1:24" ht="114.75">
      <c r="A4183" s="3" t="s">
        <v>16850</v>
      </c>
      <c r="B4183" s="6" t="s">
        <v>361</v>
      </c>
      <c r="C4183" s="6" t="s">
        <v>7297</v>
      </c>
      <c r="D4183" s="6" t="s">
        <v>7298</v>
      </c>
      <c r="E4183" s="65" t="s">
        <v>7299</v>
      </c>
      <c r="F4183" s="129" t="s">
        <v>7896</v>
      </c>
      <c r="G4183" s="3" t="s">
        <v>11449</v>
      </c>
      <c r="H4183" s="54">
        <v>0</v>
      </c>
      <c r="I4183" s="16">
        <v>470000000</v>
      </c>
      <c r="J4183" s="16" t="s">
        <v>229</v>
      </c>
      <c r="K4183" s="57" t="s">
        <v>8950</v>
      </c>
      <c r="L4183" s="12" t="s">
        <v>404</v>
      </c>
      <c r="M4183" s="162" t="s">
        <v>230</v>
      </c>
      <c r="N4183" s="8" t="s">
        <v>8899</v>
      </c>
      <c r="O4183" s="6" t="s">
        <v>622</v>
      </c>
      <c r="P4183" s="58" t="s">
        <v>241</v>
      </c>
      <c r="Q4183" s="336" t="s">
        <v>234</v>
      </c>
      <c r="R4183" s="327">
        <v>6</v>
      </c>
      <c r="S4183" s="59">
        <v>25416.780000000002</v>
      </c>
      <c r="T4183" s="4">
        <v>0</v>
      </c>
      <c r="U4183" s="4">
        <f t="shared" ref="U4183:U4184" si="209">T4183*1.12</f>
        <v>0</v>
      </c>
      <c r="V4183" s="3"/>
      <c r="W4183" s="3">
        <v>2014</v>
      </c>
      <c r="X4183" s="3" t="s">
        <v>14265</v>
      </c>
    </row>
    <row r="4184" spans="1:24" ht="114.75">
      <c r="A4184" s="3" t="s">
        <v>19131</v>
      </c>
      <c r="B4184" s="6" t="s">
        <v>361</v>
      </c>
      <c r="C4184" s="6" t="s">
        <v>7297</v>
      </c>
      <c r="D4184" s="6" t="s">
        <v>7298</v>
      </c>
      <c r="E4184" s="65" t="s">
        <v>7299</v>
      </c>
      <c r="F4184" s="129" t="s">
        <v>7896</v>
      </c>
      <c r="G4184" s="3" t="s">
        <v>11449</v>
      </c>
      <c r="H4184" s="54">
        <v>0</v>
      </c>
      <c r="I4184" s="16">
        <v>470000000</v>
      </c>
      <c r="J4184" s="16" t="s">
        <v>229</v>
      </c>
      <c r="K4184" s="57" t="s">
        <v>18437</v>
      </c>
      <c r="L4184" s="12" t="s">
        <v>404</v>
      </c>
      <c r="M4184" s="162" t="s">
        <v>230</v>
      </c>
      <c r="N4184" s="8" t="s">
        <v>19369</v>
      </c>
      <c r="O4184" s="6" t="s">
        <v>19407</v>
      </c>
      <c r="P4184" s="58" t="s">
        <v>241</v>
      </c>
      <c r="Q4184" s="336" t="s">
        <v>234</v>
      </c>
      <c r="R4184" s="327">
        <v>6</v>
      </c>
      <c r="S4184" s="59">
        <v>25416.780000000002</v>
      </c>
      <c r="T4184" s="4">
        <f>R4184*S4184</f>
        <v>152500.68000000002</v>
      </c>
      <c r="U4184" s="4">
        <f t="shared" si="209"/>
        <v>170800.76160000003</v>
      </c>
      <c r="V4184" s="3"/>
      <c r="W4184" s="3">
        <v>2014</v>
      </c>
      <c r="X4184" s="3"/>
    </row>
    <row r="4185" spans="1:24" ht="76.5">
      <c r="A4185" s="3" t="s">
        <v>1863</v>
      </c>
      <c r="B4185" s="6" t="s">
        <v>361</v>
      </c>
      <c r="C4185" s="6" t="s">
        <v>5486</v>
      </c>
      <c r="D4185" s="6" t="s">
        <v>5487</v>
      </c>
      <c r="E4185" s="65" t="s">
        <v>5488</v>
      </c>
      <c r="F4185" s="8" t="s">
        <v>7897</v>
      </c>
      <c r="G4185" s="3" t="s">
        <v>11449</v>
      </c>
      <c r="H4185" s="54">
        <v>0</v>
      </c>
      <c r="I4185" s="16">
        <v>470000000</v>
      </c>
      <c r="J4185" s="16" t="s">
        <v>229</v>
      </c>
      <c r="K4185" s="57" t="s">
        <v>641</v>
      </c>
      <c r="L4185" s="57" t="s">
        <v>364</v>
      </c>
      <c r="M4185" s="162" t="s">
        <v>230</v>
      </c>
      <c r="N4185" s="8" t="s">
        <v>8899</v>
      </c>
      <c r="O4185" s="6" t="s">
        <v>622</v>
      </c>
      <c r="P4185" s="58" t="s">
        <v>241</v>
      </c>
      <c r="Q4185" s="27" t="s">
        <v>234</v>
      </c>
      <c r="R4185" s="27">
        <v>30</v>
      </c>
      <c r="S4185" s="59">
        <f>150*1.07</f>
        <v>160.5</v>
      </c>
      <c r="T4185" s="4">
        <v>0</v>
      </c>
      <c r="U4185" s="4">
        <f t="shared" si="200"/>
        <v>0</v>
      </c>
      <c r="V4185" s="3"/>
      <c r="W4185" s="3">
        <v>2014</v>
      </c>
      <c r="X4185" s="3">
        <v>11.12</v>
      </c>
    </row>
    <row r="4186" spans="1:24" ht="76.5">
      <c r="A4186" s="3" t="s">
        <v>13126</v>
      </c>
      <c r="B4186" s="6" t="s">
        <v>361</v>
      </c>
      <c r="C4186" s="6" t="s">
        <v>5486</v>
      </c>
      <c r="D4186" s="6" t="s">
        <v>5487</v>
      </c>
      <c r="E4186" s="65" t="s">
        <v>5488</v>
      </c>
      <c r="F4186" s="8" t="s">
        <v>7897</v>
      </c>
      <c r="G4186" s="3" t="s">
        <v>11449</v>
      </c>
      <c r="H4186" s="54">
        <v>0</v>
      </c>
      <c r="I4186" s="16">
        <v>470000000</v>
      </c>
      <c r="J4186" s="16" t="s">
        <v>229</v>
      </c>
      <c r="K4186" s="57" t="s">
        <v>642</v>
      </c>
      <c r="L4186" s="12" t="s">
        <v>404</v>
      </c>
      <c r="M4186" s="162" t="s">
        <v>230</v>
      </c>
      <c r="N4186" s="8" t="s">
        <v>8899</v>
      </c>
      <c r="O4186" s="6" t="s">
        <v>622</v>
      </c>
      <c r="P4186" s="58" t="s">
        <v>241</v>
      </c>
      <c r="Q4186" s="27" t="s">
        <v>234</v>
      </c>
      <c r="R4186" s="27">
        <v>30</v>
      </c>
      <c r="S4186" s="59">
        <f>150*1.07</f>
        <v>160.5</v>
      </c>
      <c r="T4186" s="4">
        <f>R4186*S4186</f>
        <v>4815</v>
      </c>
      <c r="U4186" s="4">
        <f>T4186*1.12</f>
        <v>5392.8</v>
      </c>
      <c r="V4186" s="3"/>
      <c r="W4186" s="3">
        <v>2014</v>
      </c>
      <c r="X4186" s="3"/>
    </row>
    <row r="4187" spans="1:24" ht="76.5">
      <c r="A4187" s="3" t="s">
        <v>1864</v>
      </c>
      <c r="B4187" s="6" t="s">
        <v>361</v>
      </c>
      <c r="C4187" s="6" t="s">
        <v>5489</v>
      </c>
      <c r="D4187" s="6" t="s">
        <v>5490</v>
      </c>
      <c r="E4187" s="65" t="s">
        <v>5332</v>
      </c>
      <c r="F4187" s="8" t="s">
        <v>7898</v>
      </c>
      <c r="G4187" s="3" t="s">
        <v>11449</v>
      </c>
      <c r="H4187" s="54">
        <v>0</v>
      </c>
      <c r="I4187" s="16">
        <v>470000000</v>
      </c>
      <c r="J4187" s="16" t="s">
        <v>229</v>
      </c>
      <c r="K4187" s="57" t="s">
        <v>641</v>
      </c>
      <c r="L4187" s="57" t="s">
        <v>364</v>
      </c>
      <c r="M4187" s="162" t="s">
        <v>230</v>
      </c>
      <c r="N4187" s="8" t="s">
        <v>8899</v>
      </c>
      <c r="O4187" s="6" t="s">
        <v>622</v>
      </c>
      <c r="P4187" s="58" t="s">
        <v>241</v>
      </c>
      <c r="Q4187" s="27" t="s">
        <v>234</v>
      </c>
      <c r="R4187" s="27">
        <v>6</v>
      </c>
      <c r="S4187" s="59">
        <v>673.46</v>
      </c>
      <c r="T4187" s="4">
        <v>0</v>
      </c>
      <c r="U4187" s="4">
        <f t="shared" si="200"/>
        <v>0</v>
      </c>
      <c r="V4187" s="3"/>
      <c r="W4187" s="3">
        <v>2014</v>
      </c>
      <c r="X4187" s="3">
        <v>11.12</v>
      </c>
    </row>
    <row r="4188" spans="1:24" ht="76.5">
      <c r="A4188" s="3" t="s">
        <v>13127</v>
      </c>
      <c r="B4188" s="6" t="s">
        <v>361</v>
      </c>
      <c r="C4188" s="6" t="s">
        <v>5489</v>
      </c>
      <c r="D4188" s="6" t="s">
        <v>5490</v>
      </c>
      <c r="E4188" s="65" t="s">
        <v>5332</v>
      </c>
      <c r="F4188" s="8" t="s">
        <v>7898</v>
      </c>
      <c r="G4188" s="3" t="s">
        <v>11449</v>
      </c>
      <c r="H4188" s="54">
        <v>0</v>
      </c>
      <c r="I4188" s="16">
        <v>470000000</v>
      </c>
      <c r="J4188" s="16" t="s">
        <v>229</v>
      </c>
      <c r="K4188" s="57" t="s">
        <v>642</v>
      </c>
      <c r="L4188" s="12" t="s">
        <v>404</v>
      </c>
      <c r="M4188" s="162" t="s">
        <v>230</v>
      </c>
      <c r="N4188" s="8" t="s">
        <v>8899</v>
      </c>
      <c r="O4188" s="6" t="s">
        <v>622</v>
      </c>
      <c r="P4188" s="58" t="s">
        <v>241</v>
      </c>
      <c r="Q4188" s="27" t="s">
        <v>234</v>
      </c>
      <c r="R4188" s="27">
        <v>6</v>
      </c>
      <c r="S4188" s="59">
        <v>673.46</v>
      </c>
      <c r="T4188" s="4">
        <f>R4188*S4188</f>
        <v>4040.76</v>
      </c>
      <c r="U4188" s="4">
        <f>T4188*1.12</f>
        <v>4525.6512000000002</v>
      </c>
      <c r="V4188" s="3"/>
      <c r="W4188" s="3">
        <v>2014</v>
      </c>
      <c r="X4188" s="3"/>
    </row>
    <row r="4189" spans="1:24" ht="76.5">
      <c r="A4189" s="3" t="s">
        <v>1865</v>
      </c>
      <c r="B4189" s="6" t="s">
        <v>361</v>
      </c>
      <c r="C4189" s="6" t="s">
        <v>5491</v>
      </c>
      <c r="D4189" s="6" t="s">
        <v>414</v>
      </c>
      <c r="E4189" s="65" t="s">
        <v>5492</v>
      </c>
      <c r="F4189" s="30" t="s">
        <v>7899</v>
      </c>
      <c r="G4189" s="3" t="s">
        <v>11449</v>
      </c>
      <c r="H4189" s="54">
        <v>0</v>
      </c>
      <c r="I4189" s="16">
        <v>470000000</v>
      </c>
      <c r="J4189" s="16" t="s">
        <v>229</v>
      </c>
      <c r="K4189" s="57" t="s">
        <v>641</v>
      </c>
      <c r="L4189" s="57" t="s">
        <v>364</v>
      </c>
      <c r="M4189" s="162" t="s">
        <v>230</v>
      </c>
      <c r="N4189" s="8" t="s">
        <v>8899</v>
      </c>
      <c r="O4189" s="6" t="s">
        <v>622</v>
      </c>
      <c r="P4189" s="58" t="s">
        <v>241</v>
      </c>
      <c r="Q4189" s="27" t="s">
        <v>234</v>
      </c>
      <c r="R4189" s="28">
        <v>6</v>
      </c>
      <c r="S4189" s="59">
        <v>2130.84</v>
      </c>
      <c r="T4189" s="4">
        <v>0</v>
      </c>
      <c r="U4189" s="4">
        <f t="shared" si="200"/>
        <v>0</v>
      </c>
      <c r="V4189" s="3"/>
      <c r="W4189" s="3">
        <v>2014</v>
      </c>
      <c r="X4189" s="3">
        <v>11.12</v>
      </c>
    </row>
    <row r="4190" spans="1:24" ht="76.5">
      <c r="A4190" s="3" t="s">
        <v>13128</v>
      </c>
      <c r="B4190" s="6" t="s">
        <v>361</v>
      </c>
      <c r="C4190" s="6" t="s">
        <v>5491</v>
      </c>
      <c r="D4190" s="6" t="s">
        <v>414</v>
      </c>
      <c r="E4190" s="65" t="s">
        <v>5492</v>
      </c>
      <c r="F4190" s="30" t="s">
        <v>7899</v>
      </c>
      <c r="G4190" s="3" t="s">
        <v>11449</v>
      </c>
      <c r="H4190" s="54">
        <v>0</v>
      </c>
      <c r="I4190" s="16">
        <v>470000000</v>
      </c>
      <c r="J4190" s="16" t="s">
        <v>229</v>
      </c>
      <c r="K4190" s="57" t="s">
        <v>642</v>
      </c>
      <c r="L4190" s="12" t="s">
        <v>404</v>
      </c>
      <c r="M4190" s="162" t="s">
        <v>230</v>
      </c>
      <c r="N4190" s="8" t="s">
        <v>8899</v>
      </c>
      <c r="O4190" s="6" t="s">
        <v>622</v>
      </c>
      <c r="P4190" s="58" t="s">
        <v>241</v>
      </c>
      <c r="Q4190" s="27" t="s">
        <v>234</v>
      </c>
      <c r="R4190" s="28">
        <v>6</v>
      </c>
      <c r="S4190" s="59">
        <v>2130.84</v>
      </c>
      <c r="T4190" s="4">
        <v>0</v>
      </c>
      <c r="U4190" s="4">
        <f>T4190*1.12</f>
        <v>0</v>
      </c>
      <c r="V4190" s="3"/>
      <c r="W4190" s="3">
        <v>2014</v>
      </c>
      <c r="X4190" s="3" t="s">
        <v>14785</v>
      </c>
    </row>
    <row r="4191" spans="1:24" ht="76.5">
      <c r="A4191" s="3" t="s">
        <v>16851</v>
      </c>
      <c r="B4191" s="6" t="s">
        <v>361</v>
      </c>
      <c r="C4191" s="6" t="s">
        <v>5491</v>
      </c>
      <c r="D4191" s="6" t="s">
        <v>414</v>
      </c>
      <c r="E4191" s="65" t="s">
        <v>5492</v>
      </c>
      <c r="F4191" s="30" t="s">
        <v>7899</v>
      </c>
      <c r="G4191" s="3" t="s">
        <v>11449</v>
      </c>
      <c r="H4191" s="54">
        <v>0</v>
      </c>
      <c r="I4191" s="16">
        <v>470000000</v>
      </c>
      <c r="J4191" s="16" t="s">
        <v>229</v>
      </c>
      <c r="K4191" s="57" t="s">
        <v>8950</v>
      </c>
      <c r="L4191" s="12" t="s">
        <v>404</v>
      </c>
      <c r="M4191" s="162" t="s">
        <v>230</v>
      </c>
      <c r="N4191" s="8" t="s">
        <v>8899</v>
      </c>
      <c r="O4191" s="6" t="s">
        <v>622</v>
      </c>
      <c r="P4191" s="58" t="s">
        <v>241</v>
      </c>
      <c r="Q4191" s="27" t="s">
        <v>234</v>
      </c>
      <c r="R4191" s="28">
        <v>6</v>
      </c>
      <c r="S4191" s="59">
        <v>8243.2800000000007</v>
      </c>
      <c r="T4191" s="4">
        <f>R4191*S4191</f>
        <v>49459.680000000008</v>
      </c>
      <c r="U4191" s="4">
        <f>T4191*1.12</f>
        <v>55394.841600000014</v>
      </c>
      <c r="V4191" s="3"/>
      <c r="W4191" s="3">
        <v>2014</v>
      </c>
      <c r="X4191" s="3"/>
    </row>
    <row r="4192" spans="1:24" ht="76.5">
      <c r="A4192" s="3" t="s">
        <v>1866</v>
      </c>
      <c r="B4192" s="6" t="s">
        <v>361</v>
      </c>
      <c r="C4192" s="6" t="s">
        <v>5493</v>
      </c>
      <c r="D4192" s="6" t="s">
        <v>5494</v>
      </c>
      <c r="E4192" s="65" t="s">
        <v>3115</v>
      </c>
      <c r="F4192" s="9" t="s">
        <v>7900</v>
      </c>
      <c r="G4192" s="3" t="s">
        <v>11449</v>
      </c>
      <c r="H4192" s="54">
        <v>0</v>
      </c>
      <c r="I4192" s="16">
        <v>470000000</v>
      </c>
      <c r="J4192" s="16" t="s">
        <v>229</v>
      </c>
      <c r="K4192" s="57" t="s">
        <v>641</v>
      </c>
      <c r="L4192" s="57" t="s">
        <v>364</v>
      </c>
      <c r="M4192" s="162" t="s">
        <v>230</v>
      </c>
      <c r="N4192" s="8" t="s">
        <v>8899</v>
      </c>
      <c r="O4192" s="6" t="s">
        <v>622</v>
      </c>
      <c r="P4192" s="58" t="s">
        <v>241</v>
      </c>
      <c r="Q4192" s="27" t="s">
        <v>234</v>
      </c>
      <c r="R4192" s="27">
        <v>12</v>
      </c>
      <c r="S4192" s="59">
        <f>1445*1.07</f>
        <v>1546.15</v>
      </c>
      <c r="T4192" s="4">
        <v>0</v>
      </c>
      <c r="U4192" s="4">
        <f t="shared" si="200"/>
        <v>0</v>
      </c>
      <c r="V4192" s="3"/>
      <c r="W4192" s="3">
        <v>2014</v>
      </c>
      <c r="X4192" s="3">
        <v>11.12</v>
      </c>
    </row>
    <row r="4193" spans="1:24" ht="76.5">
      <c r="A4193" s="3" t="s">
        <v>13129</v>
      </c>
      <c r="B4193" s="6" t="s">
        <v>361</v>
      </c>
      <c r="C4193" s="6" t="s">
        <v>5493</v>
      </c>
      <c r="D4193" s="6" t="s">
        <v>5494</v>
      </c>
      <c r="E4193" s="65" t="s">
        <v>3115</v>
      </c>
      <c r="F4193" s="9" t="s">
        <v>7900</v>
      </c>
      <c r="G4193" s="3" t="s">
        <v>11449</v>
      </c>
      <c r="H4193" s="54">
        <v>0</v>
      </c>
      <c r="I4193" s="16">
        <v>470000000</v>
      </c>
      <c r="J4193" s="16" t="s">
        <v>229</v>
      </c>
      <c r="K4193" s="57" t="s">
        <v>642</v>
      </c>
      <c r="L4193" s="12" t="s">
        <v>404</v>
      </c>
      <c r="M4193" s="162" t="s">
        <v>230</v>
      </c>
      <c r="N4193" s="8" t="s">
        <v>8899</v>
      </c>
      <c r="O4193" s="6" t="s">
        <v>622</v>
      </c>
      <c r="P4193" s="58" t="s">
        <v>241</v>
      </c>
      <c r="Q4193" s="27" t="s">
        <v>234</v>
      </c>
      <c r="R4193" s="27">
        <v>12</v>
      </c>
      <c r="S4193" s="59">
        <f>1445*1.07</f>
        <v>1546.15</v>
      </c>
      <c r="T4193" s="4">
        <v>0</v>
      </c>
      <c r="U4193" s="4">
        <f>T4193*1.12</f>
        <v>0</v>
      </c>
      <c r="V4193" s="3"/>
      <c r="W4193" s="3">
        <v>2014</v>
      </c>
      <c r="X4193" s="3" t="s">
        <v>14785</v>
      </c>
    </row>
    <row r="4194" spans="1:24" ht="76.5">
      <c r="A4194" s="3" t="s">
        <v>16852</v>
      </c>
      <c r="B4194" s="6" t="s">
        <v>361</v>
      </c>
      <c r="C4194" s="6" t="s">
        <v>5493</v>
      </c>
      <c r="D4194" s="6" t="s">
        <v>5494</v>
      </c>
      <c r="E4194" s="65" t="s">
        <v>3115</v>
      </c>
      <c r="F4194" s="335" t="s">
        <v>7900</v>
      </c>
      <c r="G4194" s="3" t="s">
        <v>11449</v>
      </c>
      <c r="H4194" s="54">
        <v>0</v>
      </c>
      <c r="I4194" s="16">
        <v>470000000</v>
      </c>
      <c r="J4194" s="16" t="s">
        <v>229</v>
      </c>
      <c r="K4194" s="57" t="s">
        <v>8950</v>
      </c>
      <c r="L4194" s="12" t="s">
        <v>404</v>
      </c>
      <c r="M4194" s="162" t="s">
        <v>230</v>
      </c>
      <c r="N4194" s="8" t="s">
        <v>8899</v>
      </c>
      <c r="O4194" s="6" t="s">
        <v>622</v>
      </c>
      <c r="P4194" s="58" t="s">
        <v>241</v>
      </c>
      <c r="Q4194" s="336" t="s">
        <v>234</v>
      </c>
      <c r="R4194" s="336">
        <v>12</v>
      </c>
      <c r="S4194" s="59">
        <v>1855.38</v>
      </c>
      <c r="T4194" s="4">
        <v>0</v>
      </c>
      <c r="U4194" s="4">
        <f t="shared" ref="U4194:U4195" si="210">T4194*1.12</f>
        <v>0</v>
      </c>
      <c r="V4194" s="3"/>
      <c r="W4194" s="3">
        <v>2014</v>
      </c>
      <c r="X4194" s="3" t="s">
        <v>14265</v>
      </c>
    </row>
    <row r="4195" spans="1:24" ht="76.5">
      <c r="A4195" s="3" t="s">
        <v>19132</v>
      </c>
      <c r="B4195" s="6" t="s">
        <v>361</v>
      </c>
      <c r="C4195" s="6" t="s">
        <v>5493</v>
      </c>
      <c r="D4195" s="6" t="s">
        <v>5494</v>
      </c>
      <c r="E4195" s="65" t="s">
        <v>3115</v>
      </c>
      <c r="F4195" s="335" t="s">
        <v>7900</v>
      </c>
      <c r="G4195" s="3" t="s">
        <v>11449</v>
      </c>
      <c r="H4195" s="54">
        <v>0</v>
      </c>
      <c r="I4195" s="16">
        <v>470000000</v>
      </c>
      <c r="J4195" s="16" t="s">
        <v>229</v>
      </c>
      <c r="K4195" s="57" t="s">
        <v>18437</v>
      </c>
      <c r="L4195" s="12" t="s">
        <v>404</v>
      </c>
      <c r="M4195" s="162" t="s">
        <v>230</v>
      </c>
      <c r="N4195" s="8" t="s">
        <v>19369</v>
      </c>
      <c r="O4195" s="6" t="s">
        <v>19407</v>
      </c>
      <c r="P4195" s="58" t="s">
        <v>241</v>
      </c>
      <c r="Q4195" s="336" t="s">
        <v>234</v>
      </c>
      <c r="R4195" s="336">
        <v>12</v>
      </c>
      <c r="S4195" s="59">
        <v>1855.38</v>
      </c>
      <c r="T4195" s="4">
        <f>R4195*S4195</f>
        <v>22264.560000000001</v>
      </c>
      <c r="U4195" s="4">
        <f t="shared" si="210"/>
        <v>24936.307200000003</v>
      </c>
      <c r="V4195" s="3"/>
      <c r="W4195" s="3">
        <v>2014</v>
      </c>
      <c r="X4195" s="3"/>
    </row>
    <row r="4196" spans="1:24" ht="76.5">
      <c r="A4196" s="3" t="s">
        <v>1867</v>
      </c>
      <c r="B4196" s="6" t="s">
        <v>361</v>
      </c>
      <c r="C4196" s="6" t="s">
        <v>5495</v>
      </c>
      <c r="D4196" s="6" t="s">
        <v>422</v>
      </c>
      <c r="E4196" s="65" t="s">
        <v>5496</v>
      </c>
      <c r="F4196" s="9" t="s">
        <v>7901</v>
      </c>
      <c r="G4196" s="3" t="s">
        <v>11449</v>
      </c>
      <c r="H4196" s="54">
        <v>0</v>
      </c>
      <c r="I4196" s="16">
        <v>470000000</v>
      </c>
      <c r="J4196" s="16" t="s">
        <v>229</v>
      </c>
      <c r="K4196" s="57" t="s">
        <v>641</v>
      </c>
      <c r="L4196" s="57" t="s">
        <v>364</v>
      </c>
      <c r="M4196" s="162" t="s">
        <v>230</v>
      </c>
      <c r="N4196" s="8" t="s">
        <v>8899</v>
      </c>
      <c r="O4196" s="6" t="s">
        <v>622</v>
      </c>
      <c r="P4196" s="58" t="s">
        <v>241</v>
      </c>
      <c r="Q4196" s="27" t="s">
        <v>234</v>
      </c>
      <c r="R4196" s="29">
        <v>30</v>
      </c>
      <c r="S4196" s="59">
        <f>461*1.07</f>
        <v>493.27000000000004</v>
      </c>
      <c r="T4196" s="4">
        <v>0</v>
      </c>
      <c r="U4196" s="4">
        <f t="shared" si="200"/>
        <v>0</v>
      </c>
      <c r="V4196" s="3"/>
      <c r="W4196" s="3">
        <v>2014</v>
      </c>
      <c r="X4196" s="3">
        <v>11.12</v>
      </c>
    </row>
    <row r="4197" spans="1:24" ht="76.5">
      <c r="A4197" s="3" t="s">
        <v>13130</v>
      </c>
      <c r="B4197" s="6" t="s">
        <v>361</v>
      </c>
      <c r="C4197" s="6" t="s">
        <v>5495</v>
      </c>
      <c r="D4197" s="6" t="s">
        <v>422</v>
      </c>
      <c r="E4197" s="65" t="s">
        <v>5496</v>
      </c>
      <c r="F4197" s="9" t="s">
        <v>7901</v>
      </c>
      <c r="G4197" s="3" t="s">
        <v>11449</v>
      </c>
      <c r="H4197" s="54">
        <v>0</v>
      </c>
      <c r="I4197" s="16">
        <v>470000000</v>
      </c>
      <c r="J4197" s="16" t="s">
        <v>229</v>
      </c>
      <c r="K4197" s="57" t="s">
        <v>642</v>
      </c>
      <c r="L4197" s="12" t="s">
        <v>404</v>
      </c>
      <c r="M4197" s="162" t="s">
        <v>230</v>
      </c>
      <c r="N4197" s="8" t="s">
        <v>8899</v>
      </c>
      <c r="O4197" s="6" t="s">
        <v>622</v>
      </c>
      <c r="P4197" s="58" t="s">
        <v>241</v>
      </c>
      <c r="Q4197" s="27" t="s">
        <v>234</v>
      </c>
      <c r="R4197" s="29">
        <v>30</v>
      </c>
      <c r="S4197" s="59">
        <f>461*1.07</f>
        <v>493.27000000000004</v>
      </c>
      <c r="T4197" s="4">
        <v>0</v>
      </c>
      <c r="U4197" s="4">
        <f>T4197*1.12</f>
        <v>0</v>
      </c>
      <c r="V4197" s="3"/>
      <c r="W4197" s="3">
        <v>2014</v>
      </c>
      <c r="X4197" s="3" t="s">
        <v>14785</v>
      </c>
    </row>
    <row r="4198" spans="1:24" ht="76.5">
      <c r="A4198" s="3" t="s">
        <v>16853</v>
      </c>
      <c r="B4198" s="6" t="s">
        <v>361</v>
      </c>
      <c r="C4198" s="6" t="s">
        <v>5495</v>
      </c>
      <c r="D4198" s="6" t="s">
        <v>422</v>
      </c>
      <c r="E4198" s="65" t="s">
        <v>5496</v>
      </c>
      <c r="F4198" s="9" t="s">
        <v>7901</v>
      </c>
      <c r="G4198" s="3" t="s">
        <v>11449</v>
      </c>
      <c r="H4198" s="54">
        <v>0</v>
      </c>
      <c r="I4198" s="16">
        <v>470000000</v>
      </c>
      <c r="J4198" s="16" t="s">
        <v>229</v>
      </c>
      <c r="K4198" s="57" t="s">
        <v>8950</v>
      </c>
      <c r="L4198" s="12" t="s">
        <v>404</v>
      </c>
      <c r="M4198" s="162" t="s">
        <v>230</v>
      </c>
      <c r="N4198" s="8" t="s">
        <v>8899</v>
      </c>
      <c r="O4198" s="6" t="s">
        <v>622</v>
      </c>
      <c r="P4198" s="58" t="s">
        <v>241</v>
      </c>
      <c r="Q4198" s="27" t="s">
        <v>234</v>
      </c>
      <c r="R4198" s="29">
        <v>30</v>
      </c>
      <c r="S4198" s="59">
        <v>591.92399999999998</v>
      </c>
      <c r="T4198" s="4">
        <f>R4198*S4198</f>
        <v>17757.72</v>
      </c>
      <c r="U4198" s="4">
        <f>T4198*1.12</f>
        <v>19888.646400000001</v>
      </c>
      <c r="V4198" s="3"/>
      <c r="W4198" s="3">
        <v>2014</v>
      </c>
      <c r="X4198" s="3"/>
    </row>
    <row r="4199" spans="1:24" ht="76.5">
      <c r="A4199" s="3" t="s">
        <v>1868</v>
      </c>
      <c r="B4199" s="6" t="s">
        <v>361</v>
      </c>
      <c r="C4199" s="6" t="s">
        <v>5497</v>
      </c>
      <c r="D4199" s="6" t="s">
        <v>5498</v>
      </c>
      <c r="E4199" s="65" t="s">
        <v>5498</v>
      </c>
      <c r="F4199" s="8" t="s">
        <v>7902</v>
      </c>
      <c r="G4199" s="3" t="s">
        <v>11449</v>
      </c>
      <c r="H4199" s="54">
        <v>0</v>
      </c>
      <c r="I4199" s="16">
        <v>470000000</v>
      </c>
      <c r="J4199" s="16" t="s">
        <v>229</v>
      </c>
      <c r="K4199" s="57" t="s">
        <v>641</v>
      </c>
      <c r="L4199" s="57" t="s">
        <v>364</v>
      </c>
      <c r="M4199" s="162" t="s">
        <v>230</v>
      </c>
      <c r="N4199" s="8" t="s">
        <v>8899</v>
      </c>
      <c r="O4199" s="6" t="s">
        <v>622</v>
      </c>
      <c r="P4199" s="58" t="s">
        <v>241</v>
      </c>
      <c r="Q4199" s="27" t="s">
        <v>234</v>
      </c>
      <c r="R4199" s="27">
        <v>12</v>
      </c>
      <c r="S4199" s="59">
        <f>1284*1.07</f>
        <v>1373.88</v>
      </c>
      <c r="T4199" s="4">
        <v>0</v>
      </c>
      <c r="U4199" s="4">
        <f t="shared" si="200"/>
        <v>0</v>
      </c>
      <c r="V4199" s="3"/>
      <c r="W4199" s="3">
        <v>2014</v>
      </c>
      <c r="X4199" s="3">
        <v>11.12</v>
      </c>
    </row>
    <row r="4200" spans="1:24" ht="76.5">
      <c r="A4200" s="3" t="s">
        <v>13131</v>
      </c>
      <c r="B4200" s="6" t="s">
        <v>361</v>
      </c>
      <c r="C4200" s="6" t="s">
        <v>5497</v>
      </c>
      <c r="D4200" s="6" t="s">
        <v>5498</v>
      </c>
      <c r="E4200" s="65" t="s">
        <v>5498</v>
      </c>
      <c r="F4200" s="8" t="s">
        <v>7902</v>
      </c>
      <c r="G4200" s="3" t="s">
        <v>11449</v>
      </c>
      <c r="H4200" s="54">
        <v>0</v>
      </c>
      <c r="I4200" s="16">
        <v>470000000</v>
      </c>
      <c r="J4200" s="16" t="s">
        <v>229</v>
      </c>
      <c r="K4200" s="57" t="s">
        <v>642</v>
      </c>
      <c r="L4200" s="12" t="s">
        <v>404</v>
      </c>
      <c r="M4200" s="162" t="s">
        <v>230</v>
      </c>
      <c r="N4200" s="8" t="s">
        <v>8899</v>
      </c>
      <c r="O4200" s="6" t="s">
        <v>622</v>
      </c>
      <c r="P4200" s="58" t="s">
        <v>241</v>
      </c>
      <c r="Q4200" s="27" t="s">
        <v>234</v>
      </c>
      <c r="R4200" s="27">
        <v>12</v>
      </c>
      <c r="S4200" s="59">
        <f>1284*1.07</f>
        <v>1373.88</v>
      </c>
      <c r="T4200" s="4">
        <v>0</v>
      </c>
      <c r="U4200" s="4">
        <f>T4200*1.12</f>
        <v>0</v>
      </c>
      <c r="V4200" s="3"/>
      <c r="W4200" s="3">
        <v>2014</v>
      </c>
      <c r="X4200" s="3" t="s">
        <v>14785</v>
      </c>
    </row>
    <row r="4201" spans="1:24" ht="76.5">
      <c r="A4201" s="3" t="s">
        <v>16854</v>
      </c>
      <c r="B4201" s="6" t="s">
        <v>361</v>
      </c>
      <c r="C4201" s="6" t="s">
        <v>5497</v>
      </c>
      <c r="D4201" s="6" t="s">
        <v>5498</v>
      </c>
      <c r="E4201" s="65" t="s">
        <v>5498</v>
      </c>
      <c r="F4201" s="8" t="s">
        <v>7902</v>
      </c>
      <c r="G4201" s="3" t="s">
        <v>11449</v>
      </c>
      <c r="H4201" s="54">
        <v>0</v>
      </c>
      <c r="I4201" s="16">
        <v>470000000</v>
      </c>
      <c r="J4201" s="16" t="s">
        <v>229</v>
      </c>
      <c r="K4201" s="57" t="s">
        <v>8950</v>
      </c>
      <c r="L4201" s="12" t="s">
        <v>404</v>
      </c>
      <c r="M4201" s="162" t="s">
        <v>230</v>
      </c>
      <c r="N4201" s="8" t="s">
        <v>8899</v>
      </c>
      <c r="O4201" s="6" t="s">
        <v>622</v>
      </c>
      <c r="P4201" s="58" t="s">
        <v>241</v>
      </c>
      <c r="Q4201" s="336" t="s">
        <v>234</v>
      </c>
      <c r="R4201" s="336">
        <v>12</v>
      </c>
      <c r="S4201" s="59">
        <v>1648.6560000000002</v>
      </c>
      <c r="T4201" s="4">
        <v>0</v>
      </c>
      <c r="U4201" s="4">
        <f t="shared" ref="U4201:U4202" si="211">T4201*1.12</f>
        <v>0</v>
      </c>
      <c r="V4201" s="3"/>
      <c r="W4201" s="3">
        <v>2014</v>
      </c>
      <c r="X4201" s="3" t="s">
        <v>14265</v>
      </c>
    </row>
    <row r="4202" spans="1:24" ht="76.5">
      <c r="A4202" s="3" t="s">
        <v>19133</v>
      </c>
      <c r="B4202" s="6" t="s">
        <v>361</v>
      </c>
      <c r="C4202" s="6" t="s">
        <v>5497</v>
      </c>
      <c r="D4202" s="6" t="s">
        <v>5498</v>
      </c>
      <c r="E4202" s="65" t="s">
        <v>5498</v>
      </c>
      <c r="F4202" s="8" t="s">
        <v>7902</v>
      </c>
      <c r="G4202" s="3" t="s">
        <v>11449</v>
      </c>
      <c r="H4202" s="54">
        <v>0</v>
      </c>
      <c r="I4202" s="16">
        <v>470000000</v>
      </c>
      <c r="J4202" s="16" t="s">
        <v>229</v>
      </c>
      <c r="K4202" s="57" t="s">
        <v>18437</v>
      </c>
      <c r="L4202" s="12" t="s">
        <v>404</v>
      </c>
      <c r="M4202" s="162" t="s">
        <v>230</v>
      </c>
      <c r="N4202" s="8" t="s">
        <v>19369</v>
      </c>
      <c r="O4202" s="6" t="s">
        <v>19407</v>
      </c>
      <c r="P4202" s="58" t="s">
        <v>241</v>
      </c>
      <c r="Q4202" s="336" t="s">
        <v>234</v>
      </c>
      <c r="R4202" s="336">
        <v>12</v>
      </c>
      <c r="S4202" s="59">
        <v>1648.6560000000002</v>
      </c>
      <c r="T4202" s="4">
        <f>R4202*S4202</f>
        <v>19783.872000000003</v>
      </c>
      <c r="U4202" s="4">
        <f t="shared" si="211"/>
        <v>22157.936640000007</v>
      </c>
      <c r="V4202" s="3"/>
      <c r="W4202" s="3">
        <v>2014</v>
      </c>
      <c r="X4202" s="3"/>
    </row>
    <row r="4203" spans="1:24" ht="76.5">
      <c r="A4203" s="3" t="s">
        <v>1869</v>
      </c>
      <c r="B4203" s="6" t="s">
        <v>361</v>
      </c>
      <c r="C4203" s="6" t="s">
        <v>7300</v>
      </c>
      <c r="D4203" s="6" t="s">
        <v>455</v>
      </c>
      <c r="E4203" s="65" t="s">
        <v>7101</v>
      </c>
      <c r="F4203" s="8" t="s">
        <v>7903</v>
      </c>
      <c r="G4203" s="3" t="s">
        <v>11449</v>
      </c>
      <c r="H4203" s="54">
        <v>0</v>
      </c>
      <c r="I4203" s="16">
        <v>470000000</v>
      </c>
      <c r="J4203" s="16" t="s">
        <v>229</v>
      </c>
      <c r="K4203" s="57" t="s">
        <v>641</v>
      </c>
      <c r="L4203" s="57" t="s">
        <v>364</v>
      </c>
      <c r="M4203" s="162" t="s">
        <v>230</v>
      </c>
      <c r="N4203" s="8" t="s">
        <v>8899</v>
      </c>
      <c r="O4203" s="6" t="s">
        <v>622</v>
      </c>
      <c r="P4203" s="58" t="s">
        <v>241</v>
      </c>
      <c r="Q4203" s="27" t="s">
        <v>234</v>
      </c>
      <c r="R4203" s="27">
        <v>12</v>
      </c>
      <c r="S4203" s="59">
        <v>2590.4699999999998</v>
      </c>
      <c r="T4203" s="4">
        <v>0</v>
      </c>
      <c r="U4203" s="4">
        <f t="shared" si="200"/>
        <v>0</v>
      </c>
      <c r="V4203" s="3"/>
      <c r="W4203" s="3">
        <v>2014</v>
      </c>
      <c r="X4203" s="3">
        <v>11.12</v>
      </c>
    </row>
    <row r="4204" spans="1:24" ht="76.5">
      <c r="A4204" s="3" t="s">
        <v>13132</v>
      </c>
      <c r="B4204" s="6" t="s">
        <v>361</v>
      </c>
      <c r="C4204" s="6" t="s">
        <v>7300</v>
      </c>
      <c r="D4204" s="6" t="s">
        <v>455</v>
      </c>
      <c r="E4204" s="65" t="s">
        <v>7101</v>
      </c>
      <c r="F4204" s="8" t="s">
        <v>7903</v>
      </c>
      <c r="G4204" s="3" t="s">
        <v>11449</v>
      </c>
      <c r="H4204" s="54">
        <v>0</v>
      </c>
      <c r="I4204" s="16">
        <v>470000000</v>
      </c>
      <c r="J4204" s="16" t="s">
        <v>229</v>
      </c>
      <c r="K4204" s="57" t="s">
        <v>642</v>
      </c>
      <c r="L4204" s="12" t="s">
        <v>404</v>
      </c>
      <c r="M4204" s="162" t="s">
        <v>230</v>
      </c>
      <c r="N4204" s="8" t="s">
        <v>8899</v>
      </c>
      <c r="O4204" s="6" t="s">
        <v>622</v>
      </c>
      <c r="P4204" s="58" t="s">
        <v>241</v>
      </c>
      <c r="Q4204" s="27" t="s">
        <v>234</v>
      </c>
      <c r="R4204" s="27">
        <v>12</v>
      </c>
      <c r="S4204" s="59">
        <v>2590.4699999999998</v>
      </c>
      <c r="T4204" s="4">
        <v>0</v>
      </c>
      <c r="U4204" s="4">
        <f>T4204*1.12</f>
        <v>0</v>
      </c>
      <c r="V4204" s="3"/>
      <c r="W4204" s="3">
        <v>2014</v>
      </c>
      <c r="X4204" s="3" t="s">
        <v>14785</v>
      </c>
    </row>
    <row r="4205" spans="1:24" ht="76.5">
      <c r="A4205" s="3" t="s">
        <v>16855</v>
      </c>
      <c r="B4205" s="6" t="s">
        <v>361</v>
      </c>
      <c r="C4205" s="6" t="s">
        <v>7300</v>
      </c>
      <c r="D4205" s="6" t="s">
        <v>455</v>
      </c>
      <c r="E4205" s="65" t="s">
        <v>7101</v>
      </c>
      <c r="F4205" s="8" t="s">
        <v>7903</v>
      </c>
      <c r="G4205" s="3" t="s">
        <v>11449</v>
      </c>
      <c r="H4205" s="54">
        <v>0</v>
      </c>
      <c r="I4205" s="16">
        <v>470000000</v>
      </c>
      <c r="J4205" s="16" t="s">
        <v>229</v>
      </c>
      <c r="K4205" s="57" t="s">
        <v>8950</v>
      </c>
      <c r="L4205" s="12" t="s">
        <v>404</v>
      </c>
      <c r="M4205" s="162" t="s">
        <v>230</v>
      </c>
      <c r="N4205" s="8" t="s">
        <v>8899</v>
      </c>
      <c r="O4205" s="6" t="s">
        <v>622</v>
      </c>
      <c r="P4205" s="58" t="s">
        <v>241</v>
      </c>
      <c r="Q4205" s="27" t="s">
        <v>234</v>
      </c>
      <c r="R4205" s="27">
        <v>12</v>
      </c>
      <c r="S4205" s="59">
        <v>4707.1440000000002</v>
      </c>
      <c r="T4205" s="4">
        <f>R4205*S4205</f>
        <v>56485.728000000003</v>
      </c>
      <c r="U4205" s="4">
        <f>T4205*1.12</f>
        <v>63264.015360000012</v>
      </c>
      <c r="V4205" s="3"/>
      <c r="W4205" s="3">
        <v>2014</v>
      </c>
      <c r="X4205" s="3"/>
    </row>
    <row r="4206" spans="1:24" ht="76.5">
      <c r="A4206" s="3" t="s">
        <v>1870</v>
      </c>
      <c r="B4206" s="6" t="s">
        <v>361</v>
      </c>
      <c r="C4206" s="6" t="s">
        <v>5499</v>
      </c>
      <c r="D4206" s="6" t="s">
        <v>4382</v>
      </c>
      <c r="E4206" s="65" t="s">
        <v>5500</v>
      </c>
      <c r="F4206" s="8" t="s">
        <v>7904</v>
      </c>
      <c r="G4206" s="3" t="s">
        <v>11449</v>
      </c>
      <c r="H4206" s="54">
        <v>0</v>
      </c>
      <c r="I4206" s="16">
        <v>470000000</v>
      </c>
      <c r="J4206" s="16" t="s">
        <v>229</v>
      </c>
      <c r="K4206" s="57" t="s">
        <v>641</v>
      </c>
      <c r="L4206" s="57" t="s">
        <v>364</v>
      </c>
      <c r="M4206" s="162" t="s">
        <v>230</v>
      </c>
      <c r="N4206" s="8" t="s">
        <v>8899</v>
      </c>
      <c r="O4206" s="6" t="s">
        <v>622</v>
      </c>
      <c r="P4206" s="58" t="s">
        <v>241</v>
      </c>
      <c r="Q4206" s="27" t="s">
        <v>234</v>
      </c>
      <c r="R4206" s="27">
        <v>24</v>
      </c>
      <c r="S4206" s="59">
        <v>550.48</v>
      </c>
      <c r="T4206" s="4">
        <v>0</v>
      </c>
      <c r="U4206" s="4">
        <f t="shared" si="200"/>
        <v>0</v>
      </c>
      <c r="V4206" s="3"/>
      <c r="W4206" s="3">
        <v>2014</v>
      </c>
      <c r="X4206" s="3">
        <v>11.12</v>
      </c>
    </row>
    <row r="4207" spans="1:24" ht="76.5">
      <c r="A4207" s="3" t="s">
        <v>13133</v>
      </c>
      <c r="B4207" s="6" t="s">
        <v>361</v>
      </c>
      <c r="C4207" s="6" t="s">
        <v>5499</v>
      </c>
      <c r="D4207" s="6" t="s">
        <v>4382</v>
      </c>
      <c r="E4207" s="65" t="s">
        <v>5500</v>
      </c>
      <c r="F4207" s="8" t="s">
        <v>7904</v>
      </c>
      <c r="G4207" s="3" t="s">
        <v>11449</v>
      </c>
      <c r="H4207" s="54">
        <v>0</v>
      </c>
      <c r="I4207" s="16">
        <v>470000000</v>
      </c>
      <c r="J4207" s="16" t="s">
        <v>229</v>
      </c>
      <c r="K4207" s="57" t="s">
        <v>642</v>
      </c>
      <c r="L4207" s="12" t="s">
        <v>404</v>
      </c>
      <c r="M4207" s="162" t="s">
        <v>230</v>
      </c>
      <c r="N4207" s="8" t="s">
        <v>8899</v>
      </c>
      <c r="O4207" s="6" t="s">
        <v>622</v>
      </c>
      <c r="P4207" s="58" t="s">
        <v>241</v>
      </c>
      <c r="Q4207" s="27" t="s">
        <v>234</v>
      </c>
      <c r="R4207" s="27">
        <v>24</v>
      </c>
      <c r="S4207" s="59">
        <v>550.48</v>
      </c>
      <c r="T4207" s="4">
        <v>0</v>
      </c>
      <c r="U4207" s="4">
        <f>T4207*1.12</f>
        <v>0</v>
      </c>
      <c r="V4207" s="3"/>
      <c r="W4207" s="3">
        <v>2014</v>
      </c>
      <c r="X4207" s="3" t="s">
        <v>14785</v>
      </c>
    </row>
    <row r="4208" spans="1:24" ht="76.5">
      <c r="A4208" s="3" t="s">
        <v>16856</v>
      </c>
      <c r="B4208" s="6" t="s">
        <v>361</v>
      </c>
      <c r="C4208" s="6" t="s">
        <v>5499</v>
      </c>
      <c r="D4208" s="6" t="s">
        <v>4382</v>
      </c>
      <c r="E4208" s="65" t="s">
        <v>5500</v>
      </c>
      <c r="F4208" s="8" t="s">
        <v>7904</v>
      </c>
      <c r="G4208" s="3" t="s">
        <v>11449</v>
      </c>
      <c r="H4208" s="54">
        <v>0</v>
      </c>
      <c r="I4208" s="16">
        <v>470000000</v>
      </c>
      <c r="J4208" s="16" t="s">
        <v>229</v>
      </c>
      <c r="K4208" s="57" t="s">
        <v>8950</v>
      </c>
      <c r="L4208" s="12" t="s">
        <v>404</v>
      </c>
      <c r="M4208" s="162" t="s">
        <v>230</v>
      </c>
      <c r="N4208" s="8" t="s">
        <v>8899</v>
      </c>
      <c r="O4208" s="6" t="s">
        <v>622</v>
      </c>
      <c r="P4208" s="58" t="s">
        <v>241</v>
      </c>
      <c r="Q4208" s="27" t="s">
        <v>234</v>
      </c>
      <c r="R4208" s="27">
        <v>24</v>
      </c>
      <c r="S4208" s="59">
        <v>2610.3719999999998</v>
      </c>
      <c r="T4208" s="4">
        <f>R4208*S4208</f>
        <v>62648.928</v>
      </c>
      <c r="U4208" s="4">
        <f>T4208*1.12</f>
        <v>70166.799360000005</v>
      </c>
      <c r="V4208" s="3"/>
      <c r="W4208" s="3">
        <v>2014</v>
      </c>
      <c r="X4208" s="3"/>
    </row>
    <row r="4209" spans="1:24" ht="76.5">
      <c r="A4209" s="3" t="s">
        <v>1871</v>
      </c>
      <c r="B4209" s="6" t="s">
        <v>361</v>
      </c>
      <c r="C4209" s="6" t="s">
        <v>5501</v>
      </c>
      <c r="D4209" s="6" t="s">
        <v>4382</v>
      </c>
      <c r="E4209" s="65" t="s">
        <v>5502</v>
      </c>
      <c r="F4209" s="8" t="s">
        <v>7905</v>
      </c>
      <c r="G4209" s="3" t="s">
        <v>11449</v>
      </c>
      <c r="H4209" s="54">
        <v>0</v>
      </c>
      <c r="I4209" s="16">
        <v>470000000</v>
      </c>
      <c r="J4209" s="16" t="s">
        <v>229</v>
      </c>
      <c r="K4209" s="57" t="s">
        <v>641</v>
      </c>
      <c r="L4209" s="57" t="s">
        <v>364</v>
      </c>
      <c r="M4209" s="162" t="s">
        <v>230</v>
      </c>
      <c r="N4209" s="8" t="s">
        <v>8899</v>
      </c>
      <c r="O4209" s="6" t="s">
        <v>622</v>
      </c>
      <c r="P4209" s="58" t="s">
        <v>241</v>
      </c>
      <c r="Q4209" s="27" t="s">
        <v>234</v>
      </c>
      <c r="R4209" s="27">
        <v>24</v>
      </c>
      <c r="S4209" s="59">
        <f>2033*1.07</f>
        <v>2175.31</v>
      </c>
      <c r="T4209" s="4">
        <v>0</v>
      </c>
      <c r="U4209" s="4">
        <f t="shared" si="200"/>
        <v>0</v>
      </c>
      <c r="V4209" s="3"/>
      <c r="W4209" s="3">
        <v>2014</v>
      </c>
      <c r="X4209" s="3">
        <v>11.12</v>
      </c>
    </row>
    <row r="4210" spans="1:24" ht="76.5">
      <c r="A4210" s="3" t="s">
        <v>13134</v>
      </c>
      <c r="B4210" s="6" t="s">
        <v>361</v>
      </c>
      <c r="C4210" s="6" t="s">
        <v>5501</v>
      </c>
      <c r="D4210" s="6" t="s">
        <v>4382</v>
      </c>
      <c r="E4210" s="65" t="s">
        <v>5502</v>
      </c>
      <c r="F4210" s="8" t="s">
        <v>7905</v>
      </c>
      <c r="G4210" s="3" t="s">
        <v>11449</v>
      </c>
      <c r="H4210" s="54">
        <v>0</v>
      </c>
      <c r="I4210" s="16">
        <v>470000000</v>
      </c>
      <c r="J4210" s="16" t="s">
        <v>229</v>
      </c>
      <c r="K4210" s="57" t="s">
        <v>642</v>
      </c>
      <c r="L4210" s="12" t="s">
        <v>404</v>
      </c>
      <c r="M4210" s="162" t="s">
        <v>230</v>
      </c>
      <c r="N4210" s="8" t="s">
        <v>8899</v>
      </c>
      <c r="O4210" s="6" t="s">
        <v>622</v>
      </c>
      <c r="P4210" s="58" t="s">
        <v>241</v>
      </c>
      <c r="Q4210" s="27" t="s">
        <v>234</v>
      </c>
      <c r="R4210" s="27">
        <v>24</v>
      </c>
      <c r="S4210" s="59">
        <f>2033*1.07</f>
        <v>2175.31</v>
      </c>
      <c r="T4210" s="4">
        <v>0</v>
      </c>
      <c r="U4210" s="4">
        <f>T4210*1.12</f>
        <v>0</v>
      </c>
      <c r="V4210" s="3"/>
      <c r="W4210" s="3">
        <v>2014</v>
      </c>
      <c r="X4210" s="3" t="s">
        <v>14785</v>
      </c>
    </row>
    <row r="4211" spans="1:24" ht="76.5">
      <c r="A4211" s="3" t="s">
        <v>16857</v>
      </c>
      <c r="B4211" s="6" t="s">
        <v>361</v>
      </c>
      <c r="C4211" s="6" t="s">
        <v>5501</v>
      </c>
      <c r="D4211" s="6" t="s">
        <v>4382</v>
      </c>
      <c r="E4211" s="65" t="s">
        <v>5502</v>
      </c>
      <c r="F4211" s="8" t="s">
        <v>7905</v>
      </c>
      <c r="G4211" s="3" t="s">
        <v>11449</v>
      </c>
      <c r="H4211" s="54">
        <v>0</v>
      </c>
      <c r="I4211" s="16">
        <v>470000000</v>
      </c>
      <c r="J4211" s="16" t="s">
        <v>229</v>
      </c>
      <c r="K4211" s="57" t="s">
        <v>8950</v>
      </c>
      <c r="L4211" s="12" t="s">
        <v>404</v>
      </c>
      <c r="M4211" s="162" t="s">
        <v>230</v>
      </c>
      <c r="N4211" s="8" t="s">
        <v>8899</v>
      </c>
      <c r="O4211" s="6" t="s">
        <v>622</v>
      </c>
      <c r="P4211" s="58" t="s">
        <v>241</v>
      </c>
      <c r="Q4211" s="27" t="s">
        <v>234</v>
      </c>
      <c r="R4211" s="27">
        <v>24</v>
      </c>
      <c r="S4211" s="59">
        <v>2610.3719999999998</v>
      </c>
      <c r="T4211" s="4">
        <f>R4211*S4211</f>
        <v>62648.928</v>
      </c>
      <c r="U4211" s="4">
        <f>T4211*1.12</f>
        <v>70166.799360000005</v>
      </c>
      <c r="V4211" s="3"/>
      <c r="W4211" s="3">
        <v>2014</v>
      </c>
      <c r="X4211" s="3"/>
    </row>
    <row r="4212" spans="1:24" ht="76.5">
      <c r="A4212" s="3" t="s">
        <v>1872</v>
      </c>
      <c r="B4212" s="6" t="s">
        <v>361</v>
      </c>
      <c r="C4212" s="6" t="s">
        <v>5503</v>
      </c>
      <c r="D4212" s="6" t="s">
        <v>5504</v>
      </c>
      <c r="E4212" s="65" t="s">
        <v>5505</v>
      </c>
      <c r="F4212" s="30" t="s">
        <v>7906</v>
      </c>
      <c r="G4212" s="3" t="s">
        <v>11449</v>
      </c>
      <c r="H4212" s="54">
        <v>0</v>
      </c>
      <c r="I4212" s="16">
        <v>470000000</v>
      </c>
      <c r="J4212" s="16" t="s">
        <v>229</v>
      </c>
      <c r="K4212" s="57" t="s">
        <v>641</v>
      </c>
      <c r="L4212" s="57" t="s">
        <v>364</v>
      </c>
      <c r="M4212" s="162" t="s">
        <v>230</v>
      </c>
      <c r="N4212" s="8" t="s">
        <v>8899</v>
      </c>
      <c r="O4212" s="6" t="s">
        <v>622</v>
      </c>
      <c r="P4212" s="58" t="s">
        <v>241</v>
      </c>
      <c r="Q4212" s="27" t="s">
        <v>234</v>
      </c>
      <c r="R4212" s="28">
        <v>12</v>
      </c>
      <c r="S4212" s="59">
        <f>2622*1.07</f>
        <v>2805.54</v>
      </c>
      <c r="T4212" s="4">
        <v>0</v>
      </c>
      <c r="U4212" s="4">
        <f t="shared" si="200"/>
        <v>0</v>
      </c>
      <c r="V4212" s="3"/>
      <c r="W4212" s="3">
        <v>2014</v>
      </c>
      <c r="X4212" s="3">
        <v>11.12</v>
      </c>
    </row>
    <row r="4213" spans="1:24" ht="76.5">
      <c r="A4213" s="3" t="s">
        <v>13135</v>
      </c>
      <c r="B4213" s="6" t="s">
        <v>361</v>
      </c>
      <c r="C4213" s="6" t="s">
        <v>5503</v>
      </c>
      <c r="D4213" s="6" t="s">
        <v>5504</v>
      </c>
      <c r="E4213" s="65" t="s">
        <v>5505</v>
      </c>
      <c r="F4213" s="30" t="s">
        <v>7906</v>
      </c>
      <c r="G4213" s="3" t="s">
        <v>11449</v>
      </c>
      <c r="H4213" s="54">
        <v>0</v>
      </c>
      <c r="I4213" s="16">
        <v>470000000</v>
      </c>
      <c r="J4213" s="16" t="s">
        <v>229</v>
      </c>
      <c r="K4213" s="57" t="s">
        <v>642</v>
      </c>
      <c r="L4213" s="12" t="s">
        <v>404</v>
      </c>
      <c r="M4213" s="162" t="s">
        <v>230</v>
      </c>
      <c r="N4213" s="8" t="s">
        <v>8899</v>
      </c>
      <c r="O4213" s="6" t="s">
        <v>622</v>
      </c>
      <c r="P4213" s="58" t="s">
        <v>241</v>
      </c>
      <c r="Q4213" s="27" t="s">
        <v>234</v>
      </c>
      <c r="R4213" s="28">
        <v>12</v>
      </c>
      <c r="S4213" s="59">
        <f>2622*1.07</f>
        <v>2805.54</v>
      </c>
      <c r="T4213" s="4">
        <v>0</v>
      </c>
      <c r="U4213" s="4">
        <f>T4213*1.12</f>
        <v>0</v>
      </c>
      <c r="V4213" s="3"/>
      <c r="W4213" s="3">
        <v>2014</v>
      </c>
      <c r="X4213" s="3" t="s">
        <v>14785</v>
      </c>
    </row>
    <row r="4214" spans="1:24" ht="76.5">
      <c r="A4214" s="3" t="s">
        <v>16858</v>
      </c>
      <c r="B4214" s="6" t="s">
        <v>361</v>
      </c>
      <c r="C4214" s="6" t="s">
        <v>5503</v>
      </c>
      <c r="D4214" s="6" t="s">
        <v>5504</v>
      </c>
      <c r="E4214" s="65" t="s">
        <v>5505</v>
      </c>
      <c r="F4214" s="30" t="s">
        <v>7906</v>
      </c>
      <c r="G4214" s="3" t="s">
        <v>11449</v>
      </c>
      <c r="H4214" s="54">
        <v>0</v>
      </c>
      <c r="I4214" s="16">
        <v>470000000</v>
      </c>
      <c r="J4214" s="16" t="s">
        <v>229</v>
      </c>
      <c r="K4214" s="57" t="s">
        <v>8950</v>
      </c>
      <c r="L4214" s="12" t="s">
        <v>404</v>
      </c>
      <c r="M4214" s="162" t="s">
        <v>230</v>
      </c>
      <c r="N4214" s="8" t="s">
        <v>8899</v>
      </c>
      <c r="O4214" s="6" t="s">
        <v>622</v>
      </c>
      <c r="P4214" s="58" t="s">
        <v>241</v>
      </c>
      <c r="Q4214" s="27" t="s">
        <v>234</v>
      </c>
      <c r="R4214" s="28">
        <v>12</v>
      </c>
      <c r="S4214" s="59">
        <v>3366.6479999999997</v>
      </c>
      <c r="T4214" s="4">
        <f>R4214*S4214</f>
        <v>40399.775999999998</v>
      </c>
      <c r="U4214" s="4">
        <f>T4214*1.12</f>
        <v>45247.74912</v>
      </c>
      <c r="V4214" s="3"/>
      <c r="W4214" s="3">
        <v>2014</v>
      </c>
      <c r="X4214" s="3"/>
    </row>
    <row r="4215" spans="1:24" ht="76.5">
      <c r="A4215" s="3" t="s">
        <v>1873</v>
      </c>
      <c r="B4215" s="6" t="s">
        <v>361</v>
      </c>
      <c r="C4215" s="6" t="s">
        <v>5419</v>
      </c>
      <c r="D4215" s="6" t="s">
        <v>5420</v>
      </c>
      <c r="E4215" s="65" t="s">
        <v>5183</v>
      </c>
      <c r="F4215" s="30" t="s">
        <v>7907</v>
      </c>
      <c r="G4215" s="3" t="s">
        <v>11449</v>
      </c>
      <c r="H4215" s="54">
        <v>0</v>
      </c>
      <c r="I4215" s="16">
        <v>470000000</v>
      </c>
      <c r="J4215" s="16" t="s">
        <v>229</v>
      </c>
      <c r="K4215" s="57" t="s">
        <v>641</v>
      </c>
      <c r="L4215" s="57" t="s">
        <v>364</v>
      </c>
      <c r="M4215" s="162" t="s">
        <v>230</v>
      </c>
      <c r="N4215" s="8" t="s">
        <v>8899</v>
      </c>
      <c r="O4215" s="6" t="s">
        <v>622</v>
      </c>
      <c r="P4215" s="58" t="s">
        <v>241</v>
      </c>
      <c r="Q4215" s="27" t="s">
        <v>234</v>
      </c>
      <c r="R4215" s="28">
        <v>12</v>
      </c>
      <c r="S4215" s="59">
        <f>1242*1.07</f>
        <v>1328.94</v>
      </c>
      <c r="T4215" s="4">
        <v>0</v>
      </c>
      <c r="U4215" s="4">
        <f t="shared" si="200"/>
        <v>0</v>
      </c>
      <c r="V4215" s="3"/>
      <c r="W4215" s="3">
        <v>2014</v>
      </c>
      <c r="X4215" s="3">
        <v>11.12</v>
      </c>
    </row>
    <row r="4216" spans="1:24" ht="76.5">
      <c r="A4216" s="3" t="s">
        <v>13136</v>
      </c>
      <c r="B4216" s="6" t="s">
        <v>361</v>
      </c>
      <c r="C4216" s="6" t="s">
        <v>5419</v>
      </c>
      <c r="D4216" s="6" t="s">
        <v>5420</v>
      </c>
      <c r="E4216" s="65" t="s">
        <v>5183</v>
      </c>
      <c r="F4216" s="30" t="s">
        <v>7907</v>
      </c>
      <c r="G4216" s="3" t="s">
        <v>11449</v>
      </c>
      <c r="H4216" s="54">
        <v>0</v>
      </c>
      <c r="I4216" s="16">
        <v>470000000</v>
      </c>
      <c r="J4216" s="16" t="s">
        <v>229</v>
      </c>
      <c r="K4216" s="57" t="s">
        <v>642</v>
      </c>
      <c r="L4216" s="12" t="s">
        <v>404</v>
      </c>
      <c r="M4216" s="162" t="s">
        <v>230</v>
      </c>
      <c r="N4216" s="8" t="s">
        <v>8899</v>
      </c>
      <c r="O4216" s="6" t="s">
        <v>622</v>
      </c>
      <c r="P4216" s="58" t="s">
        <v>241</v>
      </c>
      <c r="Q4216" s="27" t="s">
        <v>234</v>
      </c>
      <c r="R4216" s="28">
        <v>12</v>
      </c>
      <c r="S4216" s="59">
        <f>1242*1.07</f>
        <v>1328.94</v>
      </c>
      <c r="T4216" s="4">
        <f>R4216*S4216</f>
        <v>15947.28</v>
      </c>
      <c r="U4216" s="4">
        <f>T4216*1.12</f>
        <v>17860.953600000001</v>
      </c>
      <c r="V4216" s="3"/>
      <c r="W4216" s="3">
        <v>2014</v>
      </c>
      <c r="X4216" s="3"/>
    </row>
    <row r="4217" spans="1:24" ht="76.5">
      <c r="A4217" s="3" t="s">
        <v>1874</v>
      </c>
      <c r="B4217" s="6" t="s">
        <v>361</v>
      </c>
      <c r="C4217" s="6" t="s">
        <v>7301</v>
      </c>
      <c r="D4217" s="6" t="s">
        <v>7302</v>
      </c>
      <c r="E4217" s="65" t="s">
        <v>7303</v>
      </c>
      <c r="F4217" s="8" t="s">
        <v>7908</v>
      </c>
      <c r="G4217" s="3" t="s">
        <v>11449</v>
      </c>
      <c r="H4217" s="54">
        <v>0</v>
      </c>
      <c r="I4217" s="16">
        <v>470000000</v>
      </c>
      <c r="J4217" s="16" t="s">
        <v>229</v>
      </c>
      <c r="K4217" s="57" t="s">
        <v>641</v>
      </c>
      <c r="L4217" s="57" t="s">
        <v>364</v>
      </c>
      <c r="M4217" s="162" t="s">
        <v>230</v>
      </c>
      <c r="N4217" s="8" t="s">
        <v>8899</v>
      </c>
      <c r="O4217" s="6" t="s">
        <v>622</v>
      </c>
      <c r="P4217" s="58" t="s">
        <v>241</v>
      </c>
      <c r="Q4217" s="27" t="s">
        <v>234</v>
      </c>
      <c r="R4217" s="27">
        <v>6</v>
      </c>
      <c r="S4217" s="59">
        <f>2782*1.07</f>
        <v>2976.7400000000002</v>
      </c>
      <c r="T4217" s="4">
        <v>0</v>
      </c>
      <c r="U4217" s="4">
        <f t="shared" si="200"/>
        <v>0</v>
      </c>
      <c r="V4217" s="3"/>
      <c r="W4217" s="3">
        <v>2014</v>
      </c>
      <c r="X4217" s="3">
        <v>11.12</v>
      </c>
    </row>
    <row r="4218" spans="1:24" ht="76.5">
      <c r="A4218" s="3" t="s">
        <v>13137</v>
      </c>
      <c r="B4218" s="6" t="s">
        <v>361</v>
      </c>
      <c r="C4218" s="6" t="s">
        <v>7301</v>
      </c>
      <c r="D4218" s="6" t="s">
        <v>7302</v>
      </c>
      <c r="E4218" s="65" t="s">
        <v>7303</v>
      </c>
      <c r="F4218" s="8" t="s">
        <v>7908</v>
      </c>
      <c r="G4218" s="3" t="s">
        <v>11449</v>
      </c>
      <c r="H4218" s="54">
        <v>0</v>
      </c>
      <c r="I4218" s="16">
        <v>470000000</v>
      </c>
      <c r="J4218" s="16" t="s">
        <v>229</v>
      </c>
      <c r="K4218" s="57" t="s">
        <v>642</v>
      </c>
      <c r="L4218" s="12" t="s">
        <v>404</v>
      </c>
      <c r="M4218" s="162" t="s">
        <v>230</v>
      </c>
      <c r="N4218" s="8" t="s">
        <v>8899</v>
      </c>
      <c r="O4218" s="6" t="s">
        <v>622</v>
      </c>
      <c r="P4218" s="58" t="s">
        <v>241</v>
      </c>
      <c r="Q4218" s="27" t="s">
        <v>234</v>
      </c>
      <c r="R4218" s="27">
        <v>6</v>
      </c>
      <c r="S4218" s="59">
        <f>2782*1.07</f>
        <v>2976.7400000000002</v>
      </c>
      <c r="T4218" s="4">
        <f>R4218*S4218</f>
        <v>17860.440000000002</v>
      </c>
      <c r="U4218" s="4">
        <f>T4218*1.12</f>
        <v>20003.692800000004</v>
      </c>
      <c r="V4218" s="3"/>
      <c r="W4218" s="3">
        <v>2014</v>
      </c>
      <c r="X4218" s="3"/>
    </row>
    <row r="4219" spans="1:24" ht="76.5">
      <c r="A4219" s="3" t="s">
        <v>1875</v>
      </c>
      <c r="B4219" s="6" t="s">
        <v>361</v>
      </c>
      <c r="C4219" s="6" t="s">
        <v>5506</v>
      </c>
      <c r="D4219" s="6" t="s">
        <v>5507</v>
      </c>
      <c r="E4219" s="65" t="s">
        <v>5183</v>
      </c>
      <c r="F4219" s="37" t="s">
        <v>7909</v>
      </c>
      <c r="G4219" s="3" t="s">
        <v>11449</v>
      </c>
      <c r="H4219" s="54">
        <v>0</v>
      </c>
      <c r="I4219" s="16">
        <v>470000000</v>
      </c>
      <c r="J4219" s="16" t="s">
        <v>229</v>
      </c>
      <c r="K4219" s="57" t="s">
        <v>641</v>
      </c>
      <c r="L4219" s="57" t="s">
        <v>364</v>
      </c>
      <c r="M4219" s="162" t="s">
        <v>230</v>
      </c>
      <c r="N4219" s="8" t="s">
        <v>8899</v>
      </c>
      <c r="O4219" s="6" t="s">
        <v>622</v>
      </c>
      <c r="P4219" s="58" t="s">
        <v>241</v>
      </c>
      <c r="Q4219" s="27" t="s">
        <v>234</v>
      </c>
      <c r="R4219" s="27">
        <v>10</v>
      </c>
      <c r="S4219" s="59">
        <f>7169*1.07</f>
        <v>7670.8300000000008</v>
      </c>
      <c r="T4219" s="4">
        <v>0</v>
      </c>
      <c r="U4219" s="4">
        <f t="shared" si="200"/>
        <v>0</v>
      </c>
      <c r="V4219" s="3"/>
      <c r="W4219" s="3">
        <v>2014</v>
      </c>
      <c r="X4219" s="3">
        <v>11.12</v>
      </c>
    </row>
    <row r="4220" spans="1:24" ht="76.5">
      <c r="A4220" s="3" t="s">
        <v>13138</v>
      </c>
      <c r="B4220" s="6" t="s">
        <v>361</v>
      </c>
      <c r="C4220" s="6" t="s">
        <v>5506</v>
      </c>
      <c r="D4220" s="6" t="s">
        <v>5507</v>
      </c>
      <c r="E4220" s="65" t="s">
        <v>5183</v>
      </c>
      <c r="F4220" s="37" t="s">
        <v>7909</v>
      </c>
      <c r="G4220" s="3" t="s">
        <v>11449</v>
      </c>
      <c r="H4220" s="54">
        <v>0</v>
      </c>
      <c r="I4220" s="16">
        <v>470000000</v>
      </c>
      <c r="J4220" s="16" t="s">
        <v>229</v>
      </c>
      <c r="K4220" s="57" t="s">
        <v>642</v>
      </c>
      <c r="L4220" s="12" t="s">
        <v>404</v>
      </c>
      <c r="M4220" s="162" t="s">
        <v>230</v>
      </c>
      <c r="N4220" s="8" t="s">
        <v>8899</v>
      </c>
      <c r="O4220" s="6" t="s">
        <v>622</v>
      </c>
      <c r="P4220" s="58" t="s">
        <v>241</v>
      </c>
      <c r="Q4220" s="27" t="s">
        <v>234</v>
      </c>
      <c r="R4220" s="27">
        <v>10</v>
      </c>
      <c r="S4220" s="59">
        <f>7169*1.07</f>
        <v>7670.8300000000008</v>
      </c>
      <c r="T4220" s="4">
        <v>0</v>
      </c>
      <c r="U4220" s="4">
        <f>T4220*1.12</f>
        <v>0</v>
      </c>
      <c r="V4220" s="3"/>
      <c r="W4220" s="3">
        <v>2014</v>
      </c>
      <c r="X4220" s="3" t="s">
        <v>14785</v>
      </c>
    </row>
    <row r="4221" spans="1:24" ht="76.5">
      <c r="A4221" s="3" t="s">
        <v>16859</v>
      </c>
      <c r="B4221" s="6" t="s">
        <v>361</v>
      </c>
      <c r="C4221" s="6" t="s">
        <v>5506</v>
      </c>
      <c r="D4221" s="6" t="s">
        <v>5507</v>
      </c>
      <c r="E4221" s="65" t="s">
        <v>5183</v>
      </c>
      <c r="F4221" s="37" t="s">
        <v>7909</v>
      </c>
      <c r="G4221" s="3" t="s">
        <v>11449</v>
      </c>
      <c r="H4221" s="54">
        <v>0</v>
      </c>
      <c r="I4221" s="16">
        <v>470000000</v>
      </c>
      <c r="J4221" s="16" t="s">
        <v>229</v>
      </c>
      <c r="K4221" s="57" t="s">
        <v>8950</v>
      </c>
      <c r="L4221" s="12" t="s">
        <v>404</v>
      </c>
      <c r="M4221" s="162" t="s">
        <v>230</v>
      </c>
      <c r="N4221" s="8" t="s">
        <v>8899</v>
      </c>
      <c r="O4221" s="6" t="s">
        <v>622</v>
      </c>
      <c r="P4221" s="58" t="s">
        <v>241</v>
      </c>
      <c r="Q4221" s="27" t="s">
        <v>234</v>
      </c>
      <c r="R4221" s="27">
        <v>10</v>
      </c>
      <c r="S4221" s="59">
        <v>9204.996000000001</v>
      </c>
      <c r="T4221" s="4">
        <f>R4221*S4221</f>
        <v>92049.96</v>
      </c>
      <c r="U4221" s="4">
        <f>T4221*1.12</f>
        <v>103095.95520000001</v>
      </c>
      <c r="V4221" s="3"/>
      <c r="W4221" s="3">
        <v>2014</v>
      </c>
      <c r="X4221" s="3"/>
    </row>
    <row r="4222" spans="1:24" ht="76.5">
      <c r="A4222" s="3" t="s">
        <v>1876</v>
      </c>
      <c r="B4222" s="6" t="s">
        <v>361</v>
      </c>
      <c r="C4222" s="6" t="s">
        <v>5508</v>
      </c>
      <c r="D4222" s="6" t="s">
        <v>5509</v>
      </c>
      <c r="E4222" s="65" t="s">
        <v>5510</v>
      </c>
      <c r="F4222" s="37" t="s">
        <v>7910</v>
      </c>
      <c r="G4222" s="3" t="s">
        <v>11449</v>
      </c>
      <c r="H4222" s="54">
        <v>0</v>
      </c>
      <c r="I4222" s="16">
        <v>470000000</v>
      </c>
      <c r="J4222" s="16" t="s">
        <v>229</v>
      </c>
      <c r="K4222" s="57" t="s">
        <v>641</v>
      </c>
      <c r="L4222" s="57" t="s">
        <v>364</v>
      </c>
      <c r="M4222" s="162" t="s">
        <v>230</v>
      </c>
      <c r="N4222" s="8" t="s">
        <v>8899</v>
      </c>
      <c r="O4222" s="6" t="s">
        <v>622</v>
      </c>
      <c r="P4222" s="58" t="s">
        <v>241</v>
      </c>
      <c r="Q4222" s="27" t="s">
        <v>234</v>
      </c>
      <c r="R4222" s="27">
        <v>12</v>
      </c>
      <c r="S4222" s="59">
        <f>2943*1.07</f>
        <v>3149.01</v>
      </c>
      <c r="T4222" s="4">
        <v>0</v>
      </c>
      <c r="U4222" s="4">
        <f t="shared" si="200"/>
        <v>0</v>
      </c>
      <c r="V4222" s="3"/>
      <c r="W4222" s="3">
        <v>2014</v>
      </c>
      <c r="X4222" s="3">
        <v>11.12</v>
      </c>
    </row>
    <row r="4223" spans="1:24" ht="76.5">
      <c r="A4223" s="3" t="s">
        <v>13139</v>
      </c>
      <c r="B4223" s="6" t="s">
        <v>361</v>
      </c>
      <c r="C4223" s="6" t="s">
        <v>5508</v>
      </c>
      <c r="D4223" s="6" t="s">
        <v>5509</v>
      </c>
      <c r="E4223" s="65" t="s">
        <v>5510</v>
      </c>
      <c r="F4223" s="37" t="s">
        <v>7910</v>
      </c>
      <c r="G4223" s="3" t="s">
        <v>11449</v>
      </c>
      <c r="H4223" s="54">
        <v>0</v>
      </c>
      <c r="I4223" s="16">
        <v>470000000</v>
      </c>
      <c r="J4223" s="16" t="s">
        <v>229</v>
      </c>
      <c r="K4223" s="57" t="s">
        <v>642</v>
      </c>
      <c r="L4223" s="12" t="s">
        <v>404</v>
      </c>
      <c r="M4223" s="162" t="s">
        <v>230</v>
      </c>
      <c r="N4223" s="8" t="s">
        <v>8899</v>
      </c>
      <c r="O4223" s="6" t="s">
        <v>622</v>
      </c>
      <c r="P4223" s="58" t="s">
        <v>241</v>
      </c>
      <c r="Q4223" s="27" t="s">
        <v>234</v>
      </c>
      <c r="R4223" s="27">
        <v>12</v>
      </c>
      <c r="S4223" s="59">
        <f>2943*1.07</f>
        <v>3149.01</v>
      </c>
      <c r="T4223" s="4">
        <v>0</v>
      </c>
      <c r="U4223" s="4">
        <f>T4223*1.12</f>
        <v>0</v>
      </c>
      <c r="V4223" s="3"/>
      <c r="W4223" s="3">
        <v>2014</v>
      </c>
      <c r="X4223" s="3" t="s">
        <v>14785</v>
      </c>
    </row>
    <row r="4224" spans="1:24" ht="76.5">
      <c r="A4224" s="3" t="s">
        <v>16860</v>
      </c>
      <c r="B4224" s="6" t="s">
        <v>361</v>
      </c>
      <c r="C4224" s="6" t="s">
        <v>5508</v>
      </c>
      <c r="D4224" s="6" t="s">
        <v>5509</v>
      </c>
      <c r="E4224" s="65" t="s">
        <v>5510</v>
      </c>
      <c r="F4224" s="37" t="s">
        <v>7910</v>
      </c>
      <c r="G4224" s="3" t="s">
        <v>11449</v>
      </c>
      <c r="H4224" s="54">
        <v>0</v>
      </c>
      <c r="I4224" s="16">
        <v>470000000</v>
      </c>
      <c r="J4224" s="16" t="s">
        <v>229</v>
      </c>
      <c r="K4224" s="57" t="s">
        <v>8950</v>
      </c>
      <c r="L4224" s="12" t="s">
        <v>404</v>
      </c>
      <c r="M4224" s="162" t="s">
        <v>230</v>
      </c>
      <c r="N4224" s="8" t="s">
        <v>8899</v>
      </c>
      <c r="O4224" s="6" t="s">
        <v>622</v>
      </c>
      <c r="P4224" s="58" t="s">
        <v>241</v>
      </c>
      <c r="Q4224" s="27" t="s">
        <v>234</v>
      </c>
      <c r="R4224" s="27">
        <v>12</v>
      </c>
      <c r="S4224" s="59">
        <v>3778.8119999999999</v>
      </c>
      <c r="T4224" s="4">
        <f>R4224*S4224</f>
        <v>45345.743999999999</v>
      </c>
      <c r="U4224" s="4">
        <f>T4224*1.12</f>
        <v>50787.23328</v>
      </c>
      <c r="V4224" s="3"/>
      <c r="W4224" s="3">
        <v>2014</v>
      </c>
      <c r="X4224" s="3"/>
    </row>
    <row r="4225" spans="1:24" ht="76.5">
      <c r="A4225" s="3" t="s">
        <v>1877</v>
      </c>
      <c r="B4225" s="6" t="s">
        <v>361</v>
      </c>
      <c r="C4225" s="6" t="s">
        <v>5511</v>
      </c>
      <c r="D4225" s="6" t="s">
        <v>386</v>
      </c>
      <c r="E4225" s="65" t="s">
        <v>5512</v>
      </c>
      <c r="F4225" s="107" t="s">
        <v>7911</v>
      </c>
      <c r="G4225" s="3" t="s">
        <v>11449</v>
      </c>
      <c r="H4225" s="54">
        <v>0</v>
      </c>
      <c r="I4225" s="16">
        <v>470000000</v>
      </c>
      <c r="J4225" s="16" t="s">
        <v>229</v>
      </c>
      <c r="K4225" s="57" t="s">
        <v>641</v>
      </c>
      <c r="L4225" s="57" t="s">
        <v>364</v>
      </c>
      <c r="M4225" s="162" t="s">
        <v>230</v>
      </c>
      <c r="N4225" s="8" t="s">
        <v>8899</v>
      </c>
      <c r="O4225" s="6" t="s">
        <v>622</v>
      </c>
      <c r="P4225" s="58" t="s">
        <v>241</v>
      </c>
      <c r="Q4225" s="27" t="s">
        <v>234</v>
      </c>
      <c r="R4225" s="26">
        <v>6</v>
      </c>
      <c r="S4225" s="59">
        <f>5896*1.07</f>
        <v>6308.72</v>
      </c>
      <c r="T4225" s="4">
        <v>0</v>
      </c>
      <c r="U4225" s="4">
        <f t="shared" si="200"/>
        <v>0</v>
      </c>
      <c r="V4225" s="3"/>
      <c r="W4225" s="3">
        <v>2014</v>
      </c>
      <c r="X4225" s="3">
        <v>11.12</v>
      </c>
    </row>
    <row r="4226" spans="1:24" ht="76.5">
      <c r="A4226" s="3" t="s">
        <v>13140</v>
      </c>
      <c r="B4226" s="6" t="s">
        <v>361</v>
      </c>
      <c r="C4226" s="6" t="s">
        <v>5511</v>
      </c>
      <c r="D4226" s="6" t="s">
        <v>386</v>
      </c>
      <c r="E4226" s="65" t="s">
        <v>5512</v>
      </c>
      <c r="F4226" s="107" t="s">
        <v>7911</v>
      </c>
      <c r="G4226" s="3" t="s">
        <v>11449</v>
      </c>
      <c r="H4226" s="54">
        <v>0</v>
      </c>
      <c r="I4226" s="16">
        <v>470000000</v>
      </c>
      <c r="J4226" s="16" t="s">
        <v>229</v>
      </c>
      <c r="K4226" s="57" t="s">
        <v>642</v>
      </c>
      <c r="L4226" s="12" t="s">
        <v>404</v>
      </c>
      <c r="M4226" s="162" t="s">
        <v>230</v>
      </c>
      <c r="N4226" s="8" t="s">
        <v>8899</v>
      </c>
      <c r="O4226" s="6" t="s">
        <v>622</v>
      </c>
      <c r="P4226" s="58" t="s">
        <v>241</v>
      </c>
      <c r="Q4226" s="27" t="s">
        <v>234</v>
      </c>
      <c r="R4226" s="26">
        <v>6</v>
      </c>
      <c r="S4226" s="59">
        <f>5896*1.07</f>
        <v>6308.72</v>
      </c>
      <c r="T4226" s="4">
        <f>R4226*S4226</f>
        <v>37852.32</v>
      </c>
      <c r="U4226" s="4">
        <f>T4226*1.12</f>
        <v>42394.598400000003</v>
      </c>
      <c r="V4226" s="3"/>
      <c r="W4226" s="3">
        <v>2014</v>
      </c>
      <c r="X4226" s="3"/>
    </row>
    <row r="4227" spans="1:24" ht="76.5">
      <c r="A4227" s="3" t="s">
        <v>1878</v>
      </c>
      <c r="B4227" s="6" t="s">
        <v>361</v>
      </c>
      <c r="C4227" s="6" t="s">
        <v>5513</v>
      </c>
      <c r="D4227" s="6" t="s">
        <v>5514</v>
      </c>
      <c r="E4227" s="65" t="s">
        <v>5515</v>
      </c>
      <c r="F4227" s="107" t="s">
        <v>7912</v>
      </c>
      <c r="G4227" s="3" t="s">
        <v>11449</v>
      </c>
      <c r="H4227" s="54">
        <v>0</v>
      </c>
      <c r="I4227" s="16">
        <v>470000000</v>
      </c>
      <c r="J4227" s="16" t="s">
        <v>229</v>
      </c>
      <c r="K4227" s="57" t="s">
        <v>641</v>
      </c>
      <c r="L4227" s="57" t="s">
        <v>364</v>
      </c>
      <c r="M4227" s="162" t="s">
        <v>230</v>
      </c>
      <c r="N4227" s="8" t="s">
        <v>8899</v>
      </c>
      <c r="O4227" s="6" t="s">
        <v>622</v>
      </c>
      <c r="P4227" s="58" t="s">
        <v>241</v>
      </c>
      <c r="Q4227" s="27" t="s">
        <v>234</v>
      </c>
      <c r="R4227" s="26">
        <v>6</v>
      </c>
      <c r="S4227" s="59">
        <f>3103*1.07</f>
        <v>3320.21</v>
      </c>
      <c r="T4227" s="4">
        <v>0</v>
      </c>
      <c r="U4227" s="4">
        <f t="shared" si="200"/>
        <v>0</v>
      </c>
      <c r="V4227" s="3"/>
      <c r="W4227" s="3">
        <v>2014</v>
      </c>
      <c r="X4227" s="3">
        <v>11.12</v>
      </c>
    </row>
    <row r="4228" spans="1:24" ht="76.5">
      <c r="A4228" s="3" t="s">
        <v>13141</v>
      </c>
      <c r="B4228" s="6" t="s">
        <v>361</v>
      </c>
      <c r="C4228" s="6" t="s">
        <v>5513</v>
      </c>
      <c r="D4228" s="6" t="s">
        <v>5514</v>
      </c>
      <c r="E4228" s="65" t="s">
        <v>5515</v>
      </c>
      <c r="F4228" s="107" t="s">
        <v>7912</v>
      </c>
      <c r="G4228" s="3" t="s">
        <v>11449</v>
      </c>
      <c r="H4228" s="54">
        <v>0</v>
      </c>
      <c r="I4228" s="16">
        <v>470000000</v>
      </c>
      <c r="J4228" s="16" t="s">
        <v>229</v>
      </c>
      <c r="K4228" s="57" t="s">
        <v>642</v>
      </c>
      <c r="L4228" s="12" t="s">
        <v>404</v>
      </c>
      <c r="M4228" s="162" t="s">
        <v>230</v>
      </c>
      <c r="N4228" s="8" t="s">
        <v>8899</v>
      </c>
      <c r="O4228" s="6" t="s">
        <v>622</v>
      </c>
      <c r="P4228" s="58" t="s">
        <v>241</v>
      </c>
      <c r="Q4228" s="27" t="s">
        <v>234</v>
      </c>
      <c r="R4228" s="26">
        <v>6</v>
      </c>
      <c r="S4228" s="59">
        <f>3103*1.07</f>
        <v>3320.21</v>
      </c>
      <c r="T4228" s="4">
        <f>R4228*S4228</f>
        <v>19921.260000000002</v>
      </c>
      <c r="U4228" s="4">
        <f>T4228*1.12</f>
        <v>22311.811200000004</v>
      </c>
      <c r="V4228" s="3"/>
      <c r="W4228" s="3">
        <v>2014</v>
      </c>
      <c r="X4228" s="3"/>
    </row>
    <row r="4229" spans="1:24" ht="76.5">
      <c r="A4229" s="3" t="s">
        <v>1879</v>
      </c>
      <c r="B4229" s="6" t="s">
        <v>361</v>
      </c>
      <c r="C4229" s="6" t="s">
        <v>5516</v>
      </c>
      <c r="D4229" s="6" t="s">
        <v>415</v>
      </c>
      <c r="E4229" s="65" t="s">
        <v>3115</v>
      </c>
      <c r="F4229" s="107" t="s">
        <v>7913</v>
      </c>
      <c r="G4229" s="3" t="s">
        <v>11449</v>
      </c>
      <c r="H4229" s="54">
        <v>0</v>
      </c>
      <c r="I4229" s="16">
        <v>470000000</v>
      </c>
      <c r="J4229" s="16" t="s">
        <v>229</v>
      </c>
      <c r="K4229" s="57" t="s">
        <v>641</v>
      </c>
      <c r="L4229" s="57" t="s">
        <v>364</v>
      </c>
      <c r="M4229" s="162" t="s">
        <v>230</v>
      </c>
      <c r="N4229" s="8" t="s">
        <v>8899</v>
      </c>
      <c r="O4229" s="6" t="s">
        <v>622</v>
      </c>
      <c r="P4229" s="58" t="s">
        <v>241</v>
      </c>
      <c r="Q4229" s="27" t="s">
        <v>234</v>
      </c>
      <c r="R4229" s="26">
        <v>4</v>
      </c>
      <c r="S4229" s="59">
        <f>16928*1.07</f>
        <v>18112.960000000003</v>
      </c>
      <c r="T4229" s="4">
        <v>0</v>
      </c>
      <c r="U4229" s="4">
        <f t="shared" si="200"/>
        <v>0</v>
      </c>
      <c r="V4229" s="3"/>
      <c r="W4229" s="3">
        <v>2014</v>
      </c>
      <c r="X4229" s="3">
        <v>11.12</v>
      </c>
    </row>
    <row r="4230" spans="1:24" ht="76.5">
      <c r="A4230" s="3" t="s">
        <v>13142</v>
      </c>
      <c r="B4230" s="6" t="s">
        <v>361</v>
      </c>
      <c r="C4230" s="6" t="s">
        <v>5516</v>
      </c>
      <c r="D4230" s="6" t="s">
        <v>415</v>
      </c>
      <c r="E4230" s="65" t="s">
        <v>3115</v>
      </c>
      <c r="F4230" s="107" t="s">
        <v>7913</v>
      </c>
      <c r="G4230" s="3" t="s">
        <v>11449</v>
      </c>
      <c r="H4230" s="54">
        <v>0</v>
      </c>
      <c r="I4230" s="16">
        <v>470000000</v>
      </c>
      <c r="J4230" s="16" t="s">
        <v>229</v>
      </c>
      <c r="K4230" s="57" t="s">
        <v>642</v>
      </c>
      <c r="L4230" s="12" t="s">
        <v>404</v>
      </c>
      <c r="M4230" s="162" t="s">
        <v>230</v>
      </c>
      <c r="N4230" s="8" t="s">
        <v>8899</v>
      </c>
      <c r="O4230" s="6" t="s">
        <v>622</v>
      </c>
      <c r="P4230" s="58" t="s">
        <v>241</v>
      </c>
      <c r="Q4230" s="27" t="s">
        <v>234</v>
      </c>
      <c r="R4230" s="26">
        <v>4</v>
      </c>
      <c r="S4230" s="59">
        <f>16928*1.07</f>
        <v>18112.960000000003</v>
      </c>
      <c r="T4230" s="4">
        <f>R4230*S4230</f>
        <v>72451.840000000011</v>
      </c>
      <c r="U4230" s="4">
        <f>T4230*1.12</f>
        <v>81146.060800000021</v>
      </c>
      <c r="V4230" s="3"/>
      <c r="W4230" s="3">
        <v>2014</v>
      </c>
      <c r="X4230" s="3"/>
    </row>
    <row r="4231" spans="1:24" ht="76.5">
      <c r="A4231" s="3" t="s">
        <v>1880</v>
      </c>
      <c r="B4231" s="6" t="s">
        <v>361</v>
      </c>
      <c r="C4231" s="6" t="s">
        <v>5517</v>
      </c>
      <c r="D4231" s="6" t="s">
        <v>5518</v>
      </c>
      <c r="E4231" s="14" t="s">
        <v>5183</v>
      </c>
      <c r="F4231" s="107" t="s">
        <v>7914</v>
      </c>
      <c r="G4231" s="3" t="s">
        <v>11449</v>
      </c>
      <c r="H4231" s="54">
        <v>0</v>
      </c>
      <c r="I4231" s="16">
        <v>470000000</v>
      </c>
      <c r="J4231" s="16" t="s">
        <v>229</v>
      </c>
      <c r="K4231" s="57" t="s">
        <v>641</v>
      </c>
      <c r="L4231" s="57" t="s">
        <v>364</v>
      </c>
      <c r="M4231" s="162" t="s">
        <v>230</v>
      </c>
      <c r="N4231" s="8" t="s">
        <v>8899</v>
      </c>
      <c r="O4231" s="6" t="s">
        <v>622</v>
      </c>
      <c r="P4231" s="58" t="s">
        <v>241</v>
      </c>
      <c r="Q4231" s="27" t="s">
        <v>234</v>
      </c>
      <c r="R4231" s="26">
        <v>6</v>
      </c>
      <c r="S4231" s="59">
        <v>21600</v>
      </c>
      <c r="T4231" s="4">
        <v>0</v>
      </c>
      <c r="U4231" s="4">
        <f t="shared" si="200"/>
        <v>0</v>
      </c>
      <c r="V4231" s="3"/>
      <c r="W4231" s="3">
        <v>2014</v>
      </c>
      <c r="X4231" s="3">
        <v>11.12</v>
      </c>
    </row>
    <row r="4232" spans="1:24" ht="76.5">
      <c r="A4232" s="3" t="s">
        <v>13143</v>
      </c>
      <c r="B4232" s="6" t="s">
        <v>361</v>
      </c>
      <c r="C4232" s="6" t="s">
        <v>5517</v>
      </c>
      <c r="D4232" s="6" t="s">
        <v>5518</v>
      </c>
      <c r="E4232" s="14" t="s">
        <v>5183</v>
      </c>
      <c r="F4232" s="107" t="s">
        <v>7914</v>
      </c>
      <c r="G4232" s="3" t="s">
        <v>11449</v>
      </c>
      <c r="H4232" s="54">
        <v>0</v>
      </c>
      <c r="I4232" s="16">
        <v>470000000</v>
      </c>
      <c r="J4232" s="16" t="s">
        <v>229</v>
      </c>
      <c r="K4232" s="57" t="s">
        <v>642</v>
      </c>
      <c r="L4232" s="12" t="s">
        <v>404</v>
      </c>
      <c r="M4232" s="162" t="s">
        <v>230</v>
      </c>
      <c r="N4232" s="8" t="s">
        <v>8899</v>
      </c>
      <c r="O4232" s="6" t="s">
        <v>622</v>
      </c>
      <c r="P4232" s="58" t="s">
        <v>241</v>
      </c>
      <c r="Q4232" s="27" t="s">
        <v>234</v>
      </c>
      <c r="R4232" s="26">
        <v>6</v>
      </c>
      <c r="S4232" s="59">
        <v>21600</v>
      </c>
      <c r="T4232" s="4">
        <v>0</v>
      </c>
      <c r="U4232" s="4">
        <f>T4232*1.12</f>
        <v>0</v>
      </c>
      <c r="V4232" s="3"/>
      <c r="W4232" s="3">
        <v>2014</v>
      </c>
      <c r="X4232" s="3" t="s">
        <v>14785</v>
      </c>
    </row>
    <row r="4233" spans="1:24" ht="76.5">
      <c r="A4233" s="3" t="s">
        <v>16861</v>
      </c>
      <c r="B4233" s="6" t="s">
        <v>361</v>
      </c>
      <c r="C4233" s="6" t="s">
        <v>5517</v>
      </c>
      <c r="D4233" s="6" t="s">
        <v>5518</v>
      </c>
      <c r="E4233" s="14" t="s">
        <v>5183</v>
      </c>
      <c r="F4233" s="107" t="s">
        <v>7914</v>
      </c>
      <c r="G4233" s="3" t="s">
        <v>11449</v>
      </c>
      <c r="H4233" s="54">
        <v>0</v>
      </c>
      <c r="I4233" s="16">
        <v>470000000</v>
      </c>
      <c r="J4233" s="16" t="s">
        <v>229</v>
      </c>
      <c r="K4233" s="57" t="s">
        <v>8950</v>
      </c>
      <c r="L4233" s="12" t="s">
        <v>404</v>
      </c>
      <c r="M4233" s="162" t="s">
        <v>230</v>
      </c>
      <c r="N4233" s="8" t="s">
        <v>8899</v>
      </c>
      <c r="O4233" s="6" t="s">
        <v>622</v>
      </c>
      <c r="P4233" s="58" t="s">
        <v>241</v>
      </c>
      <c r="Q4233" s="27" t="s">
        <v>234</v>
      </c>
      <c r="R4233" s="26">
        <v>6</v>
      </c>
      <c r="S4233" s="59">
        <v>30157.307999999997</v>
      </c>
      <c r="T4233" s="4">
        <f>R4233*S4233</f>
        <v>180943.848</v>
      </c>
      <c r="U4233" s="4">
        <f>T4233*1.12</f>
        <v>202657.10976000002</v>
      </c>
      <c r="V4233" s="3"/>
      <c r="W4233" s="3">
        <v>2014</v>
      </c>
      <c r="X4233" s="3"/>
    </row>
    <row r="4234" spans="1:24" ht="76.5">
      <c r="A4234" s="3" t="s">
        <v>1881</v>
      </c>
      <c r="B4234" s="6" t="s">
        <v>361</v>
      </c>
      <c r="C4234" s="6" t="s">
        <v>5517</v>
      </c>
      <c r="D4234" s="6" t="s">
        <v>5518</v>
      </c>
      <c r="E4234" s="14" t="s">
        <v>5183</v>
      </c>
      <c r="F4234" s="107" t="s">
        <v>7915</v>
      </c>
      <c r="G4234" s="3" t="s">
        <v>11449</v>
      </c>
      <c r="H4234" s="54">
        <v>0</v>
      </c>
      <c r="I4234" s="16">
        <v>470000000</v>
      </c>
      <c r="J4234" s="16" t="s">
        <v>229</v>
      </c>
      <c r="K4234" s="57" t="s">
        <v>641</v>
      </c>
      <c r="L4234" s="57" t="s">
        <v>364</v>
      </c>
      <c r="M4234" s="162" t="s">
        <v>230</v>
      </c>
      <c r="N4234" s="8" t="s">
        <v>8899</v>
      </c>
      <c r="O4234" s="6" t="s">
        <v>622</v>
      </c>
      <c r="P4234" s="58" t="s">
        <v>241</v>
      </c>
      <c r="Q4234" s="27" t="s">
        <v>234</v>
      </c>
      <c r="R4234" s="26">
        <v>6</v>
      </c>
      <c r="S4234" s="59">
        <f>21507*1.07</f>
        <v>23012.49</v>
      </c>
      <c r="T4234" s="4">
        <v>0</v>
      </c>
      <c r="U4234" s="4">
        <f t="shared" si="200"/>
        <v>0</v>
      </c>
      <c r="V4234" s="3"/>
      <c r="W4234" s="3">
        <v>2014</v>
      </c>
      <c r="X4234" s="3">
        <v>11.12</v>
      </c>
    </row>
    <row r="4235" spans="1:24" ht="76.5">
      <c r="A4235" s="3" t="s">
        <v>13144</v>
      </c>
      <c r="B4235" s="6" t="s">
        <v>361</v>
      </c>
      <c r="C4235" s="6" t="s">
        <v>5517</v>
      </c>
      <c r="D4235" s="6" t="s">
        <v>5518</v>
      </c>
      <c r="E4235" s="14" t="s">
        <v>5183</v>
      </c>
      <c r="F4235" s="107" t="s">
        <v>7915</v>
      </c>
      <c r="G4235" s="3" t="s">
        <v>11449</v>
      </c>
      <c r="H4235" s="54">
        <v>0</v>
      </c>
      <c r="I4235" s="16">
        <v>470000000</v>
      </c>
      <c r="J4235" s="16" t="s">
        <v>229</v>
      </c>
      <c r="K4235" s="57" t="s">
        <v>642</v>
      </c>
      <c r="L4235" s="12" t="s">
        <v>404</v>
      </c>
      <c r="M4235" s="162" t="s">
        <v>230</v>
      </c>
      <c r="N4235" s="8" t="s">
        <v>8899</v>
      </c>
      <c r="O4235" s="6" t="s">
        <v>622</v>
      </c>
      <c r="P4235" s="58" t="s">
        <v>241</v>
      </c>
      <c r="Q4235" s="27" t="s">
        <v>234</v>
      </c>
      <c r="R4235" s="26">
        <v>6</v>
      </c>
      <c r="S4235" s="59">
        <f>21507*1.07</f>
        <v>23012.49</v>
      </c>
      <c r="T4235" s="4">
        <v>0</v>
      </c>
      <c r="U4235" s="4">
        <f>T4235*1.12</f>
        <v>0</v>
      </c>
      <c r="V4235" s="3"/>
      <c r="W4235" s="3">
        <v>2014</v>
      </c>
      <c r="X4235" s="3" t="s">
        <v>14785</v>
      </c>
    </row>
    <row r="4236" spans="1:24" ht="76.5">
      <c r="A4236" s="3" t="s">
        <v>16862</v>
      </c>
      <c r="B4236" s="6" t="s">
        <v>361</v>
      </c>
      <c r="C4236" s="6" t="s">
        <v>5517</v>
      </c>
      <c r="D4236" s="6" t="s">
        <v>5518</v>
      </c>
      <c r="E4236" s="14" t="s">
        <v>5183</v>
      </c>
      <c r="F4236" s="107" t="s">
        <v>7915</v>
      </c>
      <c r="G4236" s="3" t="s">
        <v>11449</v>
      </c>
      <c r="H4236" s="54">
        <v>0</v>
      </c>
      <c r="I4236" s="16">
        <v>470000000</v>
      </c>
      <c r="J4236" s="16" t="s">
        <v>229</v>
      </c>
      <c r="K4236" s="57" t="s">
        <v>8950</v>
      </c>
      <c r="L4236" s="12" t="s">
        <v>404</v>
      </c>
      <c r="M4236" s="162" t="s">
        <v>230</v>
      </c>
      <c r="N4236" s="8" t="s">
        <v>8899</v>
      </c>
      <c r="O4236" s="6" t="s">
        <v>622</v>
      </c>
      <c r="P4236" s="58" t="s">
        <v>241</v>
      </c>
      <c r="Q4236" s="27" t="s">
        <v>234</v>
      </c>
      <c r="R4236" s="26">
        <v>6</v>
      </c>
      <c r="S4236" s="59">
        <v>27614.988000000001</v>
      </c>
      <c r="T4236" s="4">
        <f>R4236*S4236</f>
        <v>165689.92800000001</v>
      </c>
      <c r="U4236" s="4">
        <f>T4236*1.12</f>
        <v>185572.71936000005</v>
      </c>
      <c r="V4236" s="3"/>
      <c r="W4236" s="3">
        <v>2014</v>
      </c>
      <c r="X4236" s="3"/>
    </row>
    <row r="4237" spans="1:24" ht="76.5">
      <c r="A4237" s="3" t="s">
        <v>1882</v>
      </c>
      <c r="B4237" s="6" t="s">
        <v>361</v>
      </c>
      <c r="C4237" s="6" t="s">
        <v>5519</v>
      </c>
      <c r="D4237" s="6" t="s">
        <v>5520</v>
      </c>
      <c r="E4237" s="14" t="s">
        <v>5183</v>
      </c>
      <c r="F4237" s="107" t="s">
        <v>7916</v>
      </c>
      <c r="G4237" s="3" t="s">
        <v>11449</v>
      </c>
      <c r="H4237" s="54">
        <v>0</v>
      </c>
      <c r="I4237" s="16">
        <v>470000000</v>
      </c>
      <c r="J4237" s="16" t="s">
        <v>229</v>
      </c>
      <c r="K4237" s="57" t="s">
        <v>641</v>
      </c>
      <c r="L4237" s="57" t="s">
        <v>364</v>
      </c>
      <c r="M4237" s="162" t="s">
        <v>230</v>
      </c>
      <c r="N4237" s="8" t="s">
        <v>8899</v>
      </c>
      <c r="O4237" s="6" t="s">
        <v>622</v>
      </c>
      <c r="P4237" s="58" t="s">
        <v>241</v>
      </c>
      <c r="Q4237" s="27" t="s">
        <v>234</v>
      </c>
      <c r="R4237" s="26">
        <v>12</v>
      </c>
      <c r="S4237" s="59">
        <f>1070*1.07</f>
        <v>1144.9000000000001</v>
      </c>
      <c r="T4237" s="4">
        <v>0</v>
      </c>
      <c r="U4237" s="4">
        <f t="shared" si="200"/>
        <v>0</v>
      </c>
      <c r="V4237" s="3"/>
      <c r="W4237" s="3">
        <v>2014</v>
      </c>
      <c r="X4237" s="3">
        <v>11.12</v>
      </c>
    </row>
    <row r="4238" spans="1:24" ht="76.5">
      <c r="A4238" s="3" t="s">
        <v>13145</v>
      </c>
      <c r="B4238" s="6" t="s">
        <v>361</v>
      </c>
      <c r="C4238" s="6" t="s">
        <v>5519</v>
      </c>
      <c r="D4238" s="6" t="s">
        <v>5520</v>
      </c>
      <c r="E4238" s="14" t="s">
        <v>5183</v>
      </c>
      <c r="F4238" s="107" t="s">
        <v>7916</v>
      </c>
      <c r="G4238" s="3" t="s">
        <v>11449</v>
      </c>
      <c r="H4238" s="54">
        <v>0</v>
      </c>
      <c r="I4238" s="16">
        <v>470000000</v>
      </c>
      <c r="J4238" s="16" t="s">
        <v>229</v>
      </c>
      <c r="K4238" s="57" t="s">
        <v>642</v>
      </c>
      <c r="L4238" s="12" t="s">
        <v>404</v>
      </c>
      <c r="M4238" s="162" t="s">
        <v>230</v>
      </c>
      <c r="N4238" s="8" t="s">
        <v>8899</v>
      </c>
      <c r="O4238" s="6" t="s">
        <v>622</v>
      </c>
      <c r="P4238" s="58" t="s">
        <v>241</v>
      </c>
      <c r="Q4238" s="27" t="s">
        <v>234</v>
      </c>
      <c r="R4238" s="26">
        <v>12</v>
      </c>
      <c r="S4238" s="59">
        <f>1070*1.07</f>
        <v>1144.9000000000001</v>
      </c>
      <c r="T4238" s="4">
        <v>0</v>
      </c>
      <c r="U4238" s="4">
        <f>T4238*1.12</f>
        <v>0</v>
      </c>
      <c r="V4238" s="3"/>
      <c r="W4238" s="3">
        <v>2014</v>
      </c>
      <c r="X4238" s="3" t="s">
        <v>14785</v>
      </c>
    </row>
    <row r="4239" spans="1:24" ht="76.5">
      <c r="A4239" s="3" t="s">
        <v>16863</v>
      </c>
      <c r="B4239" s="6" t="s">
        <v>361</v>
      </c>
      <c r="C4239" s="6" t="s">
        <v>5519</v>
      </c>
      <c r="D4239" s="6" t="s">
        <v>5520</v>
      </c>
      <c r="E4239" s="14" t="s">
        <v>5183</v>
      </c>
      <c r="F4239" s="107" t="s">
        <v>7916</v>
      </c>
      <c r="G4239" s="3" t="s">
        <v>11449</v>
      </c>
      <c r="H4239" s="54">
        <v>0</v>
      </c>
      <c r="I4239" s="16">
        <v>470000000</v>
      </c>
      <c r="J4239" s="16" t="s">
        <v>229</v>
      </c>
      <c r="K4239" s="57" t="s">
        <v>8950</v>
      </c>
      <c r="L4239" s="12" t="s">
        <v>404</v>
      </c>
      <c r="M4239" s="162" t="s">
        <v>230</v>
      </c>
      <c r="N4239" s="8" t="s">
        <v>8899</v>
      </c>
      <c r="O4239" s="6" t="s">
        <v>622</v>
      </c>
      <c r="P4239" s="58" t="s">
        <v>241</v>
      </c>
      <c r="Q4239" s="27" t="s">
        <v>234</v>
      </c>
      <c r="R4239" s="26">
        <v>12</v>
      </c>
      <c r="S4239" s="59">
        <v>1373.88</v>
      </c>
      <c r="T4239" s="4">
        <f>R4239*S4239</f>
        <v>16486.560000000001</v>
      </c>
      <c r="U4239" s="4">
        <f>T4239*1.12</f>
        <v>18464.947200000002</v>
      </c>
      <c r="V4239" s="3"/>
      <c r="W4239" s="3">
        <v>2014</v>
      </c>
      <c r="X4239" s="3"/>
    </row>
    <row r="4240" spans="1:24" ht="76.5">
      <c r="A4240" s="3" t="s">
        <v>1883</v>
      </c>
      <c r="B4240" s="6" t="s">
        <v>361</v>
      </c>
      <c r="C4240" s="6" t="s">
        <v>5521</v>
      </c>
      <c r="D4240" s="6" t="s">
        <v>5522</v>
      </c>
      <c r="E4240" s="14" t="s">
        <v>5183</v>
      </c>
      <c r="F4240" s="107" t="s">
        <v>7917</v>
      </c>
      <c r="G4240" s="3" t="s">
        <v>11449</v>
      </c>
      <c r="H4240" s="54">
        <v>0</v>
      </c>
      <c r="I4240" s="16">
        <v>470000000</v>
      </c>
      <c r="J4240" s="16" t="s">
        <v>229</v>
      </c>
      <c r="K4240" s="57" t="s">
        <v>641</v>
      </c>
      <c r="L4240" s="57" t="s">
        <v>364</v>
      </c>
      <c r="M4240" s="162" t="s">
        <v>230</v>
      </c>
      <c r="N4240" s="8" t="s">
        <v>8899</v>
      </c>
      <c r="O4240" s="6" t="s">
        <v>622</v>
      </c>
      <c r="P4240" s="58" t="s">
        <v>241</v>
      </c>
      <c r="Q4240" s="27" t="s">
        <v>234</v>
      </c>
      <c r="R4240" s="26">
        <v>20</v>
      </c>
      <c r="S4240" s="59">
        <f>621*1.07</f>
        <v>664.47</v>
      </c>
      <c r="T4240" s="4">
        <v>0</v>
      </c>
      <c r="U4240" s="4">
        <f t="shared" si="200"/>
        <v>0</v>
      </c>
      <c r="V4240" s="3"/>
      <c r="W4240" s="3">
        <v>2014</v>
      </c>
      <c r="X4240" s="3">
        <v>11.12</v>
      </c>
    </row>
    <row r="4241" spans="1:24" ht="76.5">
      <c r="A4241" s="3" t="s">
        <v>13146</v>
      </c>
      <c r="B4241" s="6" t="s">
        <v>361</v>
      </c>
      <c r="C4241" s="6" t="s">
        <v>5521</v>
      </c>
      <c r="D4241" s="6" t="s">
        <v>5522</v>
      </c>
      <c r="E4241" s="14" t="s">
        <v>5183</v>
      </c>
      <c r="F4241" s="107" t="s">
        <v>7917</v>
      </c>
      <c r="G4241" s="3" t="s">
        <v>11449</v>
      </c>
      <c r="H4241" s="54">
        <v>0</v>
      </c>
      <c r="I4241" s="16">
        <v>470000000</v>
      </c>
      <c r="J4241" s="16" t="s">
        <v>229</v>
      </c>
      <c r="K4241" s="57" t="s">
        <v>642</v>
      </c>
      <c r="L4241" s="12" t="s">
        <v>404</v>
      </c>
      <c r="M4241" s="162" t="s">
        <v>230</v>
      </c>
      <c r="N4241" s="8" t="s">
        <v>8899</v>
      </c>
      <c r="O4241" s="6" t="s">
        <v>622</v>
      </c>
      <c r="P4241" s="58" t="s">
        <v>241</v>
      </c>
      <c r="Q4241" s="27" t="s">
        <v>234</v>
      </c>
      <c r="R4241" s="26">
        <v>20</v>
      </c>
      <c r="S4241" s="59">
        <f>621*1.07</f>
        <v>664.47</v>
      </c>
      <c r="T4241" s="4">
        <f>R4241*S4241</f>
        <v>13289.400000000001</v>
      </c>
      <c r="U4241" s="4">
        <f>T4241*1.12</f>
        <v>14884.128000000002</v>
      </c>
      <c r="V4241" s="3"/>
      <c r="W4241" s="3">
        <v>2014</v>
      </c>
      <c r="X4241" s="3"/>
    </row>
    <row r="4242" spans="1:24" ht="76.5">
      <c r="A4242" s="3" t="s">
        <v>1884</v>
      </c>
      <c r="B4242" s="6" t="s">
        <v>361</v>
      </c>
      <c r="C4242" s="6" t="s">
        <v>5523</v>
      </c>
      <c r="D4242" s="6" t="s">
        <v>416</v>
      </c>
      <c r="E4242" s="14" t="s">
        <v>5332</v>
      </c>
      <c r="F4242" s="9" t="s">
        <v>7918</v>
      </c>
      <c r="G4242" s="3" t="s">
        <v>11449</v>
      </c>
      <c r="H4242" s="54">
        <v>0</v>
      </c>
      <c r="I4242" s="16">
        <v>470000000</v>
      </c>
      <c r="J4242" s="16" t="s">
        <v>229</v>
      </c>
      <c r="K4242" s="57" t="s">
        <v>641</v>
      </c>
      <c r="L4242" s="57" t="s">
        <v>364</v>
      </c>
      <c r="M4242" s="162" t="s">
        <v>230</v>
      </c>
      <c r="N4242" s="8" t="s">
        <v>8899</v>
      </c>
      <c r="O4242" s="6" t="s">
        <v>622</v>
      </c>
      <c r="P4242" s="58" t="s">
        <v>241</v>
      </c>
      <c r="Q4242" s="27" t="s">
        <v>234</v>
      </c>
      <c r="R4242" s="26">
        <v>50</v>
      </c>
      <c r="S4242" s="59">
        <f>214*1.07</f>
        <v>228.98000000000002</v>
      </c>
      <c r="T4242" s="4">
        <v>0</v>
      </c>
      <c r="U4242" s="4">
        <f t="shared" ref="U4242:U4389" si="212">T4242*1.12</f>
        <v>0</v>
      </c>
      <c r="V4242" s="3"/>
      <c r="W4242" s="3">
        <v>2014</v>
      </c>
      <c r="X4242" s="3">
        <v>11.12</v>
      </c>
    </row>
    <row r="4243" spans="1:24" ht="76.5">
      <c r="A4243" s="3" t="s">
        <v>13147</v>
      </c>
      <c r="B4243" s="6" t="s">
        <v>361</v>
      </c>
      <c r="C4243" s="6" t="s">
        <v>5523</v>
      </c>
      <c r="D4243" s="6" t="s">
        <v>416</v>
      </c>
      <c r="E4243" s="14" t="s">
        <v>5332</v>
      </c>
      <c r="F4243" s="9" t="s">
        <v>7918</v>
      </c>
      <c r="G4243" s="3" t="s">
        <v>11449</v>
      </c>
      <c r="H4243" s="54">
        <v>0</v>
      </c>
      <c r="I4243" s="16">
        <v>470000000</v>
      </c>
      <c r="J4243" s="16" t="s">
        <v>229</v>
      </c>
      <c r="K4243" s="57" t="s">
        <v>642</v>
      </c>
      <c r="L4243" s="12" t="s">
        <v>404</v>
      </c>
      <c r="M4243" s="162" t="s">
        <v>230</v>
      </c>
      <c r="N4243" s="8" t="s">
        <v>8899</v>
      </c>
      <c r="O4243" s="6" t="s">
        <v>622</v>
      </c>
      <c r="P4243" s="58" t="s">
        <v>241</v>
      </c>
      <c r="Q4243" s="27" t="s">
        <v>234</v>
      </c>
      <c r="R4243" s="26">
        <v>50</v>
      </c>
      <c r="S4243" s="59">
        <f>214*1.07</f>
        <v>228.98000000000002</v>
      </c>
      <c r="T4243" s="4">
        <v>0</v>
      </c>
      <c r="U4243" s="4">
        <f>T4243*1.12</f>
        <v>0</v>
      </c>
      <c r="V4243" s="3"/>
      <c r="W4243" s="3">
        <v>2014</v>
      </c>
      <c r="X4243" s="3" t="s">
        <v>14785</v>
      </c>
    </row>
    <row r="4244" spans="1:24" ht="76.5">
      <c r="A4244" s="3" t="s">
        <v>16864</v>
      </c>
      <c r="B4244" s="6" t="s">
        <v>361</v>
      </c>
      <c r="C4244" s="6" t="s">
        <v>5523</v>
      </c>
      <c r="D4244" s="6" t="s">
        <v>416</v>
      </c>
      <c r="E4244" s="14" t="s">
        <v>5332</v>
      </c>
      <c r="F4244" s="335" t="s">
        <v>7918</v>
      </c>
      <c r="G4244" s="3" t="s">
        <v>11449</v>
      </c>
      <c r="H4244" s="54">
        <v>0</v>
      </c>
      <c r="I4244" s="16">
        <v>470000000</v>
      </c>
      <c r="J4244" s="16" t="s">
        <v>229</v>
      </c>
      <c r="K4244" s="57" t="s">
        <v>8950</v>
      </c>
      <c r="L4244" s="12" t="s">
        <v>404</v>
      </c>
      <c r="M4244" s="162" t="s">
        <v>230</v>
      </c>
      <c r="N4244" s="8" t="s">
        <v>8899</v>
      </c>
      <c r="O4244" s="6" t="s">
        <v>622</v>
      </c>
      <c r="P4244" s="58" t="s">
        <v>241</v>
      </c>
      <c r="Q4244" s="336" t="s">
        <v>234</v>
      </c>
      <c r="R4244" s="333">
        <v>50</v>
      </c>
      <c r="S4244" s="59">
        <v>274.77600000000001</v>
      </c>
      <c r="T4244" s="4">
        <v>0</v>
      </c>
      <c r="U4244" s="4">
        <f t="shared" ref="U4244:U4245" si="213">T4244*1.12</f>
        <v>0</v>
      </c>
      <c r="V4244" s="3"/>
      <c r="W4244" s="3">
        <v>2014</v>
      </c>
      <c r="X4244" s="3" t="s">
        <v>14265</v>
      </c>
    </row>
    <row r="4245" spans="1:24" ht="76.5">
      <c r="A4245" s="3" t="s">
        <v>19134</v>
      </c>
      <c r="B4245" s="6" t="s">
        <v>361</v>
      </c>
      <c r="C4245" s="6" t="s">
        <v>5523</v>
      </c>
      <c r="D4245" s="6" t="s">
        <v>416</v>
      </c>
      <c r="E4245" s="14" t="s">
        <v>5332</v>
      </c>
      <c r="F4245" s="335" t="s">
        <v>7918</v>
      </c>
      <c r="G4245" s="3" t="s">
        <v>11449</v>
      </c>
      <c r="H4245" s="54">
        <v>0</v>
      </c>
      <c r="I4245" s="16">
        <v>470000000</v>
      </c>
      <c r="J4245" s="16" t="s">
        <v>229</v>
      </c>
      <c r="K4245" s="57" t="s">
        <v>18437</v>
      </c>
      <c r="L4245" s="12" t="s">
        <v>404</v>
      </c>
      <c r="M4245" s="162" t="s">
        <v>230</v>
      </c>
      <c r="N4245" s="8" t="s">
        <v>19369</v>
      </c>
      <c r="O4245" s="6" t="s">
        <v>19407</v>
      </c>
      <c r="P4245" s="58" t="s">
        <v>241</v>
      </c>
      <c r="Q4245" s="336" t="s">
        <v>234</v>
      </c>
      <c r="R4245" s="333">
        <v>50</v>
      </c>
      <c r="S4245" s="59">
        <v>274.77600000000001</v>
      </c>
      <c r="T4245" s="4">
        <f>R4245*S4245</f>
        <v>13738.800000000001</v>
      </c>
      <c r="U4245" s="4">
        <f t="shared" si="213"/>
        <v>15387.456000000002</v>
      </c>
      <c r="V4245" s="3"/>
      <c r="W4245" s="3">
        <v>2014</v>
      </c>
      <c r="X4245" s="3"/>
    </row>
    <row r="4246" spans="1:24" ht="76.5">
      <c r="A4246" s="3" t="s">
        <v>1885</v>
      </c>
      <c r="B4246" s="6" t="s">
        <v>361</v>
      </c>
      <c r="C4246" s="6" t="s">
        <v>5524</v>
      </c>
      <c r="D4246" s="6" t="s">
        <v>5525</v>
      </c>
      <c r="E4246" s="14" t="s">
        <v>5335</v>
      </c>
      <c r="F4246" s="8" t="s">
        <v>7919</v>
      </c>
      <c r="G4246" s="3" t="s">
        <v>11449</v>
      </c>
      <c r="H4246" s="54">
        <v>0</v>
      </c>
      <c r="I4246" s="16">
        <v>470000000</v>
      </c>
      <c r="J4246" s="16" t="s">
        <v>229</v>
      </c>
      <c r="K4246" s="57" t="s">
        <v>641</v>
      </c>
      <c r="L4246" s="57" t="s">
        <v>364</v>
      </c>
      <c r="M4246" s="162" t="s">
        <v>230</v>
      </c>
      <c r="N4246" s="8" t="s">
        <v>8899</v>
      </c>
      <c r="O4246" s="6" t="s">
        <v>622</v>
      </c>
      <c r="P4246" s="58" t="s">
        <v>241</v>
      </c>
      <c r="Q4246" s="27" t="s">
        <v>234</v>
      </c>
      <c r="R4246" s="26">
        <v>4</v>
      </c>
      <c r="S4246" s="59">
        <f>17013*1.07</f>
        <v>18203.91</v>
      </c>
      <c r="T4246" s="4">
        <v>0</v>
      </c>
      <c r="U4246" s="4">
        <f t="shared" si="212"/>
        <v>0</v>
      </c>
      <c r="V4246" s="3"/>
      <c r="W4246" s="3">
        <v>2014</v>
      </c>
      <c r="X4246" s="3">
        <v>11.12</v>
      </c>
    </row>
    <row r="4247" spans="1:24" ht="76.5">
      <c r="A4247" s="3" t="s">
        <v>13148</v>
      </c>
      <c r="B4247" s="6" t="s">
        <v>361</v>
      </c>
      <c r="C4247" s="6" t="s">
        <v>5524</v>
      </c>
      <c r="D4247" s="6" t="s">
        <v>5525</v>
      </c>
      <c r="E4247" s="14" t="s">
        <v>5335</v>
      </c>
      <c r="F4247" s="8" t="s">
        <v>7919</v>
      </c>
      <c r="G4247" s="3" t="s">
        <v>11449</v>
      </c>
      <c r="H4247" s="54">
        <v>0</v>
      </c>
      <c r="I4247" s="16">
        <v>470000000</v>
      </c>
      <c r="J4247" s="16" t="s">
        <v>229</v>
      </c>
      <c r="K4247" s="57" t="s">
        <v>642</v>
      </c>
      <c r="L4247" s="12" t="s">
        <v>404</v>
      </c>
      <c r="M4247" s="162" t="s">
        <v>230</v>
      </c>
      <c r="N4247" s="8" t="s">
        <v>8899</v>
      </c>
      <c r="O4247" s="6" t="s">
        <v>622</v>
      </c>
      <c r="P4247" s="58" t="s">
        <v>241</v>
      </c>
      <c r="Q4247" s="27" t="s">
        <v>234</v>
      </c>
      <c r="R4247" s="26">
        <v>4</v>
      </c>
      <c r="S4247" s="59">
        <f>17013*1.07</f>
        <v>18203.91</v>
      </c>
      <c r="T4247" s="4">
        <v>0</v>
      </c>
      <c r="U4247" s="4">
        <f>T4247*1.12</f>
        <v>0</v>
      </c>
      <c r="V4247" s="3"/>
      <c r="W4247" s="3">
        <v>2014</v>
      </c>
      <c r="X4247" s="3" t="s">
        <v>14785</v>
      </c>
    </row>
    <row r="4248" spans="1:24" ht="76.5">
      <c r="A4248" s="3" t="s">
        <v>16865</v>
      </c>
      <c r="B4248" s="6" t="s">
        <v>361</v>
      </c>
      <c r="C4248" s="6" t="s">
        <v>5524</v>
      </c>
      <c r="D4248" s="6" t="s">
        <v>5525</v>
      </c>
      <c r="E4248" s="14" t="s">
        <v>5335</v>
      </c>
      <c r="F4248" s="8" t="s">
        <v>7919</v>
      </c>
      <c r="G4248" s="3" t="s">
        <v>11449</v>
      </c>
      <c r="H4248" s="54">
        <v>0</v>
      </c>
      <c r="I4248" s="16">
        <v>470000000</v>
      </c>
      <c r="J4248" s="16" t="s">
        <v>229</v>
      </c>
      <c r="K4248" s="57" t="s">
        <v>8950</v>
      </c>
      <c r="L4248" s="12" t="s">
        <v>404</v>
      </c>
      <c r="M4248" s="162" t="s">
        <v>230</v>
      </c>
      <c r="N4248" s="8" t="s">
        <v>8899</v>
      </c>
      <c r="O4248" s="6" t="s">
        <v>622</v>
      </c>
      <c r="P4248" s="58" t="s">
        <v>241</v>
      </c>
      <c r="Q4248" s="27" t="s">
        <v>234</v>
      </c>
      <c r="R4248" s="26">
        <v>4</v>
      </c>
      <c r="S4248" s="59">
        <v>21844.691999999999</v>
      </c>
      <c r="T4248" s="4">
        <f>R4248*S4248</f>
        <v>87378.767999999996</v>
      </c>
      <c r="U4248" s="4">
        <f>T4248*1.12</f>
        <v>97864.220160000012</v>
      </c>
      <c r="V4248" s="3"/>
      <c r="W4248" s="3">
        <v>2014</v>
      </c>
      <c r="X4248" s="3"/>
    </row>
    <row r="4249" spans="1:24" ht="153">
      <c r="A4249" s="3" t="s">
        <v>1886</v>
      </c>
      <c r="B4249" s="6" t="s">
        <v>361</v>
      </c>
      <c r="C4249" s="6" t="s">
        <v>5526</v>
      </c>
      <c r="D4249" s="6" t="s">
        <v>5527</v>
      </c>
      <c r="E4249" s="14" t="s">
        <v>5528</v>
      </c>
      <c r="F4249" s="8" t="s">
        <v>7920</v>
      </c>
      <c r="G4249" s="3" t="s">
        <v>11449</v>
      </c>
      <c r="H4249" s="54">
        <v>0</v>
      </c>
      <c r="I4249" s="16">
        <v>470000000</v>
      </c>
      <c r="J4249" s="16" t="s">
        <v>229</v>
      </c>
      <c r="K4249" s="57" t="s">
        <v>641</v>
      </c>
      <c r="L4249" s="57" t="s">
        <v>364</v>
      </c>
      <c r="M4249" s="162" t="s">
        <v>230</v>
      </c>
      <c r="N4249" s="8" t="s">
        <v>8899</v>
      </c>
      <c r="O4249" s="6" t="s">
        <v>622</v>
      </c>
      <c r="P4249" s="58" t="s">
        <v>241</v>
      </c>
      <c r="Q4249" s="27" t="s">
        <v>234</v>
      </c>
      <c r="R4249" s="26">
        <v>2</v>
      </c>
      <c r="S4249" s="59">
        <f>253697*1.07</f>
        <v>271455.79000000004</v>
      </c>
      <c r="T4249" s="4">
        <v>0</v>
      </c>
      <c r="U4249" s="4">
        <f t="shared" si="212"/>
        <v>0</v>
      </c>
      <c r="V4249" s="3"/>
      <c r="W4249" s="3">
        <v>2014</v>
      </c>
      <c r="X4249" s="3">
        <v>11.12</v>
      </c>
    </row>
    <row r="4250" spans="1:24" ht="153">
      <c r="A4250" s="3" t="s">
        <v>13149</v>
      </c>
      <c r="B4250" s="6" t="s">
        <v>361</v>
      </c>
      <c r="C4250" s="6" t="s">
        <v>5526</v>
      </c>
      <c r="D4250" s="6" t="s">
        <v>5527</v>
      </c>
      <c r="E4250" s="14" t="s">
        <v>5528</v>
      </c>
      <c r="F4250" s="8" t="s">
        <v>7920</v>
      </c>
      <c r="G4250" s="3" t="s">
        <v>11449</v>
      </c>
      <c r="H4250" s="54">
        <v>0</v>
      </c>
      <c r="I4250" s="16">
        <v>470000000</v>
      </c>
      <c r="J4250" s="16" t="s">
        <v>229</v>
      </c>
      <c r="K4250" s="57" t="s">
        <v>642</v>
      </c>
      <c r="L4250" s="12" t="s">
        <v>404</v>
      </c>
      <c r="M4250" s="162" t="s">
        <v>230</v>
      </c>
      <c r="N4250" s="8" t="s">
        <v>8899</v>
      </c>
      <c r="O4250" s="6" t="s">
        <v>622</v>
      </c>
      <c r="P4250" s="58" t="s">
        <v>241</v>
      </c>
      <c r="Q4250" s="27" t="s">
        <v>234</v>
      </c>
      <c r="R4250" s="26">
        <v>2</v>
      </c>
      <c r="S4250" s="59">
        <f>253697*1.07</f>
        <v>271455.79000000004</v>
      </c>
      <c r="T4250" s="4">
        <f>R4250*S4250</f>
        <v>542911.58000000007</v>
      </c>
      <c r="U4250" s="4">
        <f>T4250*1.12</f>
        <v>608060.96960000019</v>
      </c>
      <c r="V4250" s="3"/>
      <c r="W4250" s="3">
        <v>2014</v>
      </c>
      <c r="X4250" s="3"/>
    </row>
    <row r="4251" spans="1:24" ht="153">
      <c r="A4251" s="3" t="s">
        <v>1887</v>
      </c>
      <c r="B4251" s="6" t="s">
        <v>361</v>
      </c>
      <c r="C4251" s="6" t="s">
        <v>5526</v>
      </c>
      <c r="D4251" s="6" t="s">
        <v>5527</v>
      </c>
      <c r="E4251" s="14" t="s">
        <v>5528</v>
      </c>
      <c r="F4251" s="130" t="s">
        <v>7921</v>
      </c>
      <c r="G4251" s="3" t="s">
        <v>11449</v>
      </c>
      <c r="H4251" s="54">
        <v>0</v>
      </c>
      <c r="I4251" s="16">
        <v>470000000</v>
      </c>
      <c r="J4251" s="16" t="s">
        <v>229</v>
      </c>
      <c r="K4251" s="57" t="s">
        <v>641</v>
      </c>
      <c r="L4251" s="57" t="s">
        <v>364</v>
      </c>
      <c r="M4251" s="162" t="s">
        <v>230</v>
      </c>
      <c r="N4251" s="8" t="s">
        <v>8899</v>
      </c>
      <c r="O4251" s="6" t="s">
        <v>622</v>
      </c>
      <c r="P4251" s="58" t="s">
        <v>241</v>
      </c>
      <c r="Q4251" s="27" t="s">
        <v>234</v>
      </c>
      <c r="R4251" s="26">
        <v>2</v>
      </c>
      <c r="S4251" s="59">
        <f>216408*1.07</f>
        <v>231556.56000000003</v>
      </c>
      <c r="T4251" s="4">
        <v>0</v>
      </c>
      <c r="U4251" s="4">
        <f t="shared" si="212"/>
        <v>0</v>
      </c>
      <c r="V4251" s="3"/>
      <c r="W4251" s="3">
        <v>2014</v>
      </c>
      <c r="X4251" s="3">
        <v>11.12</v>
      </c>
    </row>
    <row r="4252" spans="1:24" ht="153">
      <c r="A4252" s="3" t="s">
        <v>13150</v>
      </c>
      <c r="B4252" s="6" t="s">
        <v>361</v>
      </c>
      <c r="C4252" s="6" t="s">
        <v>5526</v>
      </c>
      <c r="D4252" s="6" t="s">
        <v>5527</v>
      </c>
      <c r="E4252" s="14" t="s">
        <v>5528</v>
      </c>
      <c r="F4252" s="130" t="s">
        <v>7921</v>
      </c>
      <c r="G4252" s="3" t="s">
        <v>11449</v>
      </c>
      <c r="H4252" s="54">
        <v>0</v>
      </c>
      <c r="I4252" s="16">
        <v>470000000</v>
      </c>
      <c r="J4252" s="16" t="s">
        <v>229</v>
      </c>
      <c r="K4252" s="57" t="s">
        <v>642</v>
      </c>
      <c r="L4252" s="12" t="s">
        <v>404</v>
      </c>
      <c r="M4252" s="162" t="s">
        <v>230</v>
      </c>
      <c r="N4252" s="8" t="s">
        <v>8899</v>
      </c>
      <c r="O4252" s="6" t="s">
        <v>622</v>
      </c>
      <c r="P4252" s="58" t="s">
        <v>241</v>
      </c>
      <c r="Q4252" s="27" t="s">
        <v>234</v>
      </c>
      <c r="R4252" s="26">
        <v>2</v>
      </c>
      <c r="S4252" s="59">
        <f>216408*1.07</f>
        <v>231556.56000000003</v>
      </c>
      <c r="T4252" s="4">
        <f>R4252*S4252</f>
        <v>463113.12000000005</v>
      </c>
      <c r="U4252" s="4">
        <f>T4252*1.12</f>
        <v>518686.69440000009</v>
      </c>
      <c r="V4252" s="3"/>
      <c r="W4252" s="3">
        <v>2014</v>
      </c>
      <c r="X4252" s="3"/>
    </row>
    <row r="4253" spans="1:24" ht="153">
      <c r="A4253" s="3" t="s">
        <v>1888</v>
      </c>
      <c r="B4253" s="6" t="s">
        <v>361</v>
      </c>
      <c r="C4253" s="6" t="s">
        <v>5526</v>
      </c>
      <c r="D4253" s="6" t="s">
        <v>5527</v>
      </c>
      <c r="E4253" s="14" t="s">
        <v>5528</v>
      </c>
      <c r="F4253" s="130" t="s">
        <v>7922</v>
      </c>
      <c r="G4253" s="3" t="s">
        <v>11449</v>
      </c>
      <c r="H4253" s="54">
        <v>0</v>
      </c>
      <c r="I4253" s="16">
        <v>470000000</v>
      </c>
      <c r="J4253" s="16" t="s">
        <v>229</v>
      </c>
      <c r="K4253" s="57" t="s">
        <v>641</v>
      </c>
      <c r="L4253" s="57" t="s">
        <v>364</v>
      </c>
      <c r="M4253" s="162" t="s">
        <v>230</v>
      </c>
      <c r="N4253" s="8" t="s">
        <v>8899</v>
      </c>
      <c r="O4253" s="6" t="s">
        <v>622</v>
      </c>
      <c r="P4253" s="58" t="s">
        <v>241</v>
      </c>
      <c r="Q4253" s="27" t="s">
        <v>234</v>
      </c>
      <c r="R4253" s="26">
        <v>2</v>
      </c>
      <c r="S4253" s="59">
        <f>184040*1.07</f>
        <v>196922.80000000002</v>
      </c>
      <c r="T4253" s="4">
        <v>0</v>
      </c>
      <c r="U4253" s="4">
        <f t="shared" si="212"/>
        <v>0</v>
      </c>
      <c r="V4253" s="3"/>
      <c r="W4253" s="3">
        <v>2014</v>
      </c>
      <c r="X4253" s="3">
        <v>11.12</v>
      </c>
    </row>
    <row r="4254" spans="1:24" ht="153">
      <c r="A4254" s="3" t="s">
        <v>13151</v>
      </c>
      <c r="B4254" s="6" t="s">
        <v>361</v>
      </c>
      <c r="C4254" s="6" t="s">
        <v>5526</v>
      </c>
      <c r="D4254" s="6" t="s">
        <v>5527</v>
      </c>
      <c r="E4254" s="14" t="s">
        <v>5528</v>
      </c>
      <c r="F4254" s="130" t="s">
        <v>7922</v>
      </c>
      <c r="G4254" s="3" t="s">
        <v>11449</v>
      </c>
      <c r="H4254" s="54">
        <v>0</v>
      </c>
      <c r="I4254" s="16">
        <v>470000000</v>
      </c>
      <c r="J4254" s="16" t="s">
        <v>229</v>
      </c>
      <c r="K4254" s="57" t="s">
        <v>642</v>
      </c>
      <c r="L4254" s="12" t="s">
        <v>404</v>
      </c>
      <c r="M4254" s="162" t="s">
        <v>230</v>
      </c>
      <c r="N4254" s="8" t="s">
        <v>8899</v>
      </c>
      <c r="O4254" s="6" t="s">
        <v>622</v>
      </c>
      <c r="P4254" s="58" t="s">
        <v>241</v>
      </c>
      <c r="Q4254" s="27" t="s">
        <v>234</v>
      </c>
      <c r="R4254" s="26">
        <v>2</v>
      </c>
      <c r="S4254" s="59">
        <f>184040*1.07</f>
        <v>196922.80000000002</v>
      </c>
      <c r="T4254" s="4">
        <f>R4254*S4254</f>
        <v>393845.60000000003</v>
      </c>
      <c r="U4254" s="4">
        <f>T4254*1.12</f>
        <v>441107.0720000001</v>
      </c>
      <c r="V4254" s="3"/>
      <c r="W4254" s="3">
        <v>2014</v>
      </c>
      <c r="X4254" s="3"/>
    </row>
    <row r="4255" spans="1:24" ht="76.5">
      <c r="A4255" s="3" t="s">
        <v>1889</v>
      </c>
      <c r="B4255" s="6" t="s">
        <v>361</v>
      </c>
      <c r="C4255" s="6" t="s">
        <v>6563</v>
      </c>
      <c r="D4255" s="6" t="s">
        <v>6564</v>
      </c>
      <c r="E4255" s="14" t="s">
        <v>6565</v>
      </c>
      <c r="F4255" s="130" t="s">
        <v>7923</v>
      </c>
      <c r="G4255" s="3" t="s">
        <v>11449</v>
      </c>
      <c r="H4255" s="54">
        <v>0</v>
      </c>
      <c r="I4255" s="16">
        <v>470000000</v>
      </c>
      <c r="J4255" s="16" t="s">
        <v>229</v>
      </c>
      <c r="K4255" s="57" t="s">
        <v>641</v>
      </c>
      <c r="L4255" s="57" t="s">
        <v>364</v>
      </c>
      <c r="M4255" s="162" t="s">
        <v>230</v>
      </c>
      <c r="N4255" s="8" t="s">
        <v>8899</v>
      </c>
      <c r="O4255" s="6" t="s">
        <v>622</v>
      </c>
      <c r="P4255" s="58" t="s">
        <v>241</v>
      </c>
      <c r="Q4255" s="27" t="s">
        <v>234</v>
      </c>
      <c r="R4255" s="26">
        <v>10</v>
      </c>
      <c r="S4255" s="59">
        <f>3082*1.07</f>
        <v>3297.7400000000002</v>
      </c>
      <c r="T4255" s="4">
        <v>0</v>
      </c>
      <c r="U4255" s="4">
        <f t="shared" si="212"/>
        <v>0</v>
      </c>
      <c r="V4255" s="3"/>
      <c r="W4255" s="3">
        <v>2014</v>
      </c>
      <c r="X4255" s="3">
        <v>11.12</v>
      </c>
    </row>
    <row r="4256" spans="1:24" ht="76.5">
      <c r="A4256" s="3" t="s">
        <v>13152</v>
      </c>
      <c r="B4256" s="6" t="s">
        <v>361</v>
      </c>
      <c r="C4256" s="6" t="s">
        <v>6563</v>
      </c>
      <c r="D4256" s="6" t="s">
        <v>6564</v>
      </c>
      <c r="E4256" s="14" t="s">
        <v>6565</v>
      </c>
      <c r="F4256" s="130" t="s">
        <v>7923</v>
      </c>
      <c r="G4256" s="3" t="s">
        <v>11449</v>
      </c>
      <c r="H4256" s="54">
        <v>0</v>
      </c>
      <c r="I4256" s="16">
        <v>470000000</v>
      </c>
      <c r="J4256" s="16" t="s">
        <v>229</v>
      </c>
      <c r="K4256" s="57" t="s">
        <v>642</v>
      </c>
      <c r="L4256" s="12" t="s">
        <v>404</v>
      </c>
      <c r="M4256" s="162" t="s">
        <v>230</v>
      </c>
      <c r="N4256" s="8" t="s">
        <v>8899</v>
      </c>
      <c r="O4256" s="6" t="s">
        <v>622</v>
      </c>
      <c r="P4256" s="58" t="s">
        <v>241</v>
      </c>
      <c r="Q4256" s="27" t="s">
        <v>234</v>
      </c>
      <c r="R4256" s="26">
        <v>10</v>
      </c>
      <c r="S4256" s="59">
        <f>3082*1.07</f>
        <v>3297.7400000000002</v>
      </c>
      <c r="T4256" s="4">
        <v>0</v>
      </c>
      <c r="U4256" s="4">
        <f>T4256*1.12</f>
        <v>0</v>
      </c>
      <c r="V4256" s="3"/>
      <c r="W4256" s="3">
        <v>2014</v>
      </c>
      <c r="X4256" s="3" t="s">
        <v>14785</v>
      </c>
    </row>
    <row r="4257" spans="1:24" ht="76.5">
      <c r="A4257" s="3" t="s">
        <v>16866</v>
      </c>
      <c r="B4257" s="6" t="s">
        <v>361</v>
      </c>
      <c r="C4257" s="6" t="s">
        <v>6563</v>
      </c>
      <c r="D4257" s="6" t="s">
        <v>6564</v>
      </c>
      <c r="E4257" s="14" t="s">
        <v>6565</v>
      </c>
      <c r="F4257" s="130" t="s">
        <v>7923</v>
      </c>
      <c r="G4257" s="3" t="s">
        <v>11449</v>
      </c>
      <c r="H4257" s="54">
        <v>0</v>
      </c>
      <c r="I4257" s="16">
        <v>470000000</v>
      </c>
      <c r="J4257" s="16" t="s">
        <v>229</v>
      </c>
      <c r="K4257" s="57" t="s">
        <v>8950</v>
      </c>
      <c r="L4257" s="12" t="s">
        <v>404</v>
      </c>
      <c r="M4257" s="162" t="s">
        <v>230</v>
      </c>
      <c r="N4257" s="8" t="s">
        <v>8899</v>
      </c>
      <c r="O4257" s="6" t="s">
        <v>622</v>
      </c>
      <c r="P4257" s="58" t="s">
        <v>241</v>
      </c>
      <c r="Q4257" s="27" t="s">
        <v>234</v>
      </c>
      <c r="R4257" s="26">
        <v>10</v>
      </c>
      <c r="S4257" s="59">
        <v>3957.288</v>
      </c>
      <c r="T4257" s="4">
        <f>R4257*S4257</f>
        <v>39572.879999999997</v>
      </c>
      <c r="U4257" s="4">
        <f>T4257*1.12</f>
        <v>44321.625599999999</v>
      </c>
      <c r="V4257" s="3"/>
      <c r="W4257" s="3">
        <v>2014</v>
      </c>
      <c r="X4257" s="3"/>
    </row>
    <row r="4258" spans="1:24" ht="76.5">
      <c r="A4258" s="3" t="s">
        <v>1890</v>
      </c>
      <c r="B4258" s="6" t="s">
        <v>361</v>
      </c>
      <c r="C4258" s="6" t="s">
        <v>5529</v>
      </c>
      <c r="D4258" s="6" t="s">
        <v>5530</v>
      </c>
      <c r="E4258" s="14" t="s">
        <v>5183</v>
      </c>
      <c r="F4258" s="130" t="s">
        <v>7924</v>
      </c>
      <c r="G4258" s="3" t="s">
        <v>11449</v>
      </c>
      <c r="H4258" s="54">
        <v>0</v>
      </c>
      <c r="I4258" s="16">
        <v>470000000</v>
      </c>
      <c r="J4258" s="16" t="s">
        <v>229</v>
      </c>
      <c r="K4258" s="57" t="s">
        <v>641</v>
      </c>
      <c r="L4258" s="57" t="s">
        <v>364</v>
      </c>
      <c r="M4258" s="162" t="s">
        <v>230</v>
      </c>
      <c r="N4258" s="8" t="s">
        <v>8899</v>
      </c>
      <c r="O4258" s="6" t="s">
        <v>622</v>
      </c>
      <c r="P4258" s="58" t="s">
        <v>241</v>
      </c>
      <c r="Q4258" s="27" t="s">
        <v>234</v>
      </c>
      <c r="R4258" s="26">
        <v>30</v>
      </c>
      <c r="S4258" s="59">
        <f>1070*1.07</f>
        <v>1144.9000000000001</v>
      </c>
      <c r="T4258" s="4">
        <v>0</v>
      </c>
      <c r="U4258" s="4">
        <f t="shared" si="212"/>
        <v>0</v>
      </c>
      <c r="V4258" s="3"/>
      <c r="W4258" s="3">
        <v>2014</v>
      </c>
      <c r="X4258" s="3">
        <v>11.12</v>
      </c>
    </row>
    <row r="4259" spans="1:24" ht="76.5">
      <c r="A4259" s="3" t="s">
        <v>13153</v>
      </c>
      <c r="B4259" s="6" t="s">
        <v>361</v>
      </c>
      <c r="C4259" s="6" t="s">
        <v>5529</v>
      </c>
      <c r="D4259" s="6" t="s">
        <v>5530</v>
      </c>
      <c r="E4259" s="14" t="s">
        <v>5183</v>
      </c>
      <c r="F4259" s="130" t="s">
        <v>7924</v>
      </c>
      <c r="G4259" s="3" t="s">
        <v>11449</v>
      </c>
      <c r="H4259" s="54">
        <v>0</v>
      </c>
      <c r="I4259" s="16">
        <v>470000000</v>
      </c>
      <c r="J4259" s="16" t="s">
        <v>229</v>
      </c>
      <c r="K4259" s="57" t="s">
        <v>642</v>
      </c>
      <c r="L4259" s="12" t="s">
        <v>404</v>
      </c>
      <c r="M4259" s="162" t="s">
        <v>230</v>
      </c>
      <c r="N4259" s="8" t="s">
        <v>8899</v>
      </c>
      <c r="O4259" s="6" t="s">
        <v>622</v>
      </c>
      <c r="P4259" s="58" t="s">
        <v>241</v>
      </c>
      <c r="Q4259" s="27" t="s">
        <v>234</v>
      </c>
      <c r="R4259" s="26">
        <v>30</v>
      </c>
      <c r="S4259" s="59">
        <f>1070*1.07</f>
        <v>1144.9000000000001</v>
      </c>
      <c r="T4259" s="4">
        <v>0</v>
      </c>
      <c r="U4259" s="4">
        <f>T4259*1.12</f>
        <v>0</v>
      </c>
      <c r="V4259" s="3"/>
      <c r="W4259" s="3">
        <v>2014</v>
      </c>
      <c r="X4259" s="3" t="s">
        <v>14785</v>
      </c>
    </row>
    <row r="4260" spans="1:24" ht="76.5">
      <c r="A4260" s="3" t="s">
        <v>16867</v>
      </c>
      <c r="B4260" s="6" t="s">
        <v>361</v>
      </c>
      <c r="C4260" s="6" t="s">
        <v>5529</v>
      </c>
      <c r="D4260" s="6" t="s">
        <v>5530</v>
      </c>
      <c r="E4260" s="14" t="s">
        <v>5183</v>
      </c>
      <c r="F4260" s="130" t="s">
        <v>7924</v>
      </c>
      <c r="G4260" s="3" t="s">
        <v>11449</v>
      </c>
      <c r="H4260" s="54">
        <v>0</v>
      </c>
      <c r="I4260" s="16">
        <v>470000000</v>
      </c>
      <c r="J4260" s="16" t="s">
        <v>229</v>
      </c>
      <c r="K4260" s="57" t="s">
        <v>8950</v>
      </c>
      <c r="L4260" s="12" t="s">
        <v>404</v>
      </c>
      <c r="M4260" s="162" t="s">
        <v>230</v>
      </c>
      <c r="N4260" s="8" t="s">
        <v>8899</v>
      </c>
      <c r="O4260" s="6" t="s">
        <v>622</v>
      </c>
      <c r="P4260" s="58" t="s">
        <v>241</v>
      </c>
      <c r="Q4260" s="27" t="s">
        <v>234</v>
      </c>
      <c r="R4260" s="26">
        <v>30</v>
      </c>
      <c r="S4260" s="59">
        <v>1373.88</v>
      </c>
      <c r="T4260" s="4">
        <f>R4260*S4260</f>
        <v>41216.400000000001</v>
      </c>
      <c r="U4260" s="4">
        <f>T4260*1.12</f>
        <v>46162.368000000009</v>
      </c>
      <c r="V4260" s="3"/>
      <c r="W4260" s="3">
        <v>2014</v>
      </c>
      <c r="X4260" s="3"/>
    </row>
    <row r="4261" spans="1:24" ht="76.5">
      <c r="A4261" s="3" t="s">
        <v>1891</v>
      </c>
      <c r="B4261" s="6" t="s">
        <v>361</v>
      </c>
      <c r="C4261" s="6" t="s">
        <v>5529</v>
      </c>
      <c r="D4261" s="6" t="s">
        <v>5530</v>
      </c>
      <c r="E4261" s="14" t="s">
        <v>5183</v>
      </c>
      <c r="F4261" s="130" t="s">
        <v>7925</v>
      </c>
      <c r="G4261" s="3" t="s">
        <v>11449</v>
      </c>
      <c r="H4261" s="54">
        <v>0</v>
      </c>
      <c r="I4261" s="16">
        <v>470000000</v>
      </c>
      <c r="J4261" s="16" t="s">
        <v>229</v>
      </c>
      <c r="K4261" s="57" t="s">
        <v>641</v>
      </c>
      <c r="L4261" s="57" t="s">
        <v>364</v>
      </c>
      <c r="M4261" s="162" t="s">
        <v>230</v>
      </c>
      <c r="N4261" s="8" t="s">
        <v>8899</v>
      </c>
      <c r="O4261" s="6" t="s">
        <v>622</v>
      </c>
      <c r="P4261" s="58" t="s">
        <v>241</v>
      </c>
      <c r="Q4261" s="27" t="s">
        <v>234</v>
      </c>
      <c r="R4261" s="26">
        <v>40</v>
      </c>
      <c r="S4261" s="59">
        <f>1070*1.07</f>
        <v>1144.9000000000001</v>
      </c>
      <c r="T4261" s="4">
        <v>0</v>
      </c>
      <c r="U4261" s="4">
        <f t="shared" si="212"/>
        <v>0</v>
      </c>
      <c r="V4261" s="3"/>
      <c r="W4261" s="3">
        <v>2014</v>
      </c>
      <c r="X4261" s="3">
        <v>11.12</v>
      </c>
    </row>
    <row r="4262" spans="1:24" ht="76.5">
      <c r="A4262" s="3" t="s">
        <v>13154</v>
      </c>
      <c r="B4262" s="6" t="s">
        <v>361</v>
      </c>
      <c r="C4262" s="6" t="s">
        <v>5529</v>
      </c>
      <c r="D4262" s="6" t="s">
        <v>5530</v>
      </c>
      <c r="E4262" s="14" t="s">
        <v>5183</v>
      </c>
      <c r="F4262" s="130" t="s">
        <v>7925</v>
      </c>
      <c r="G4262" s="3" t="s">
        <v>11449</v>
      </c>
      <c r="H4262" s="54">
        <v>0</v>
      </c>
      <c r="I4262" s="16">
        <v>470000000</v>
      </c>
      <c r="J4262" s="16" t="s">
        <v>229</v>
      </c>
      <c r="K4262" s="57" t="s">
        <v>642</v>
      </c>
      <c r="L4262" s="12" t="s">
        <v>404</v>
      </c>
      <c r="M4262" s="162" t="s">
        <v>230</v>
      </c>
      <c r="N4262" s="8" t="s">
        <v>8899</v>
      </c>
      <c r="O4262" s="6" t="s">
        <v>622</v>
      </c>
      <c r="P4262" s="58" t="s">
        <v>241</v>
      </c>
      <c r="Q4262" s="27" t="s">
        <v>234</v>
      </c>
      <c r="R4262" s="26">
        <v>40</v>
      </c>
      <c r="S4262" s="59">
        <f>1070*1.07</f>
        <v>1144.9000000000001</v>
      </c>
      <c r="T4262" s="4">
        <v>0</v>
      </c>
      <c r="U4262" s="4">
        <f>T4262*1.12</f>
        <v>0</v>
      </c>
      <c r="V4262" s="3"/>
      <c r="W4262" s="3">
        <v>2014</v>
      </c>
      <c r="X4262" s="3" t="s">
        <v>14785</v>
      </c>
    </row>
    <row r="4263" spans="1:24" ht="76.5">
      <c r="A4263" s="3" t="s">
        <v>16868</v>
      </c>
      <c r="B4263" s="6" t="s">
        <v>361</v>
      </c>
      <c r="C4263" s="6" t="s">
        <v>5529</v>
      </c>
      <c r="D4263" s="6" t="s">
        <v>5530</v>
      </c>
      <c r="E4263" s="14" t="s">
        <v>5183</v>
      </c>
      <c r="F4263" s="130" t="s">
        <v>7925</v>
      </c>
      <c r="G4263" s="3" t="s">
        <v>11449</v>
      </c>
      <c r="H4263" s="54">
        <v>0</v>
      </c>
      <c r="I4263" s="16">
        <v>470000000</v>
      </c>
      <c r="J4263" s="16" t="s">
        <v>229</v>
      </c>
      <c r="K4263" s="57" t="s">
        <v>8950</v>
      </c>
      <c r="L4263" s="12" t="s">
        <v>404</v>
      </c>
      <c r="M4263" s="162" t="s">
        <v>230</v>
      </c>
      <c r="N4263" s="8" t="s">
        <v>8899</v>
      </c>
      <c r="O4263" s="6" t="s">
        <v>622</v>
      </c>
      <c r="P4263" s="58" t="s">
        <v>241</v>
      </c>
      <c r="Q4263" s="27" t="s">
        <v>234</v>
      </c>
      <c r="R4263" s="26">
        <v>40</v>
      </c>
      <c r="S4263" s="59">
        <v>1373.88</v>
      </c>
      <c r="T4263" s="4">
        <f>R4263*S4263</f>
        <v>54955.200000000004</v>
      </c>
      <c r="U4263" s="4">
        <f>T4263*1.12</f>
        <v>61549.824000000008</v>
      </c>
      <c r="V4263" s="3"/>
      <c r="W4263" s="3">
        <v>2014</v>
      </c>
      <c r="X4263" s="3"/>
    </row>
    <row r="4264" spans="1:24" ht="76.5">
      <c r="A4264" s="3" t="s">
        <v>1892</v>
      </c>
      <c r="B4264" s="6" t="s">
        <v>361</v>
      </c>
      <c r="C4264" s="6" t="s">
        <v>5531</v>
      </c>
      <c r="D4264" s="6" t="s">
        <v>344</v>
      </c>
      <c r="E4264" s="14" t="s">
        <v>5532</v>
      </c>
      <c r="F4264" s="130" t="s">
        <v>7926</v>
      </c>
      <c r="G4264" s="3" t="s">
        <v>11449</v>
      </c>
      <c r="H4264" s="54">
        <v>0</v>
      </c>
      <c r="I4264" s="16">
        <v>470000000</v>
      </c>
      <c r="J4264" s="16" t="s">
        <v>229</v>
      </c>
      <c r="K4264" s="57" t="s">
        <v>641</v>
      </c>
      <c r="L4264" s="57" t="s">
        <v>364</v>
      </c>
      <c r="M4264" s="162" t="s">
        <v>230</v>
      </c>
      <c r="N4264" s="8" t="s">
        <v>8899</v>
      </c>
      <c r="O4264" s="6" t="s">
        <v>622</v>
      </c>
      <c r="P4264" s="58" t="s">
        <v>241</v>
      </c>
      <c r="Q4264" s="27" t="s">
        <v>234</v>
      </c>
      <c r="R4264" s="26">
        <v>12</v>
      </c>
      <c r="S4264" s="59">
        <f>4013*1.07</f>
        <v>4293.91</v>
      </c>
      <c r="T4264" s="4">
        <v>0</v>
      </c>
      <c r="U4264" s="4">
        <f t="shared" si="212"/>
        <v>0</v>
      </c>
      <c r="V4264" s="3"/>
      <c r="W4264" s="3">
        <v>2014</v>
      </c>
      <c r="X4264" s="3">
        <v>11.12</v>
      </c>
    </row>
    <row r="4265" spans="1:24" ht="76.5">
      <c r="A4265" s="3" t="s">
        <v>13155</v>
      </c>
      <c r="B4265" s="6" t="s">
        <v>361</v>
      </c>
      <c r="C4265" s="6" t="s">
        <v>5531</v>
      </c>
      <c r="D4265" s="6" t="s">
        <v>344</v>
      </c>
      <c r="E4265" s="14" t="s">
        <v>5532</v>
      </c>
      <c r="F4265" s="130" t="s">
        <v>7926</v>
      </c>
      <c r="G4265" s="3" t="s">
        <v>11449</v>
      </c>
      <c r="H4265" s="54">
        <v>0</v>
      </c>
      <c r="I4265" s="16">
        <v>470000000</v>
      </c>
      <c r="J4265" s="16" t="s">
        <v>229</v>
      </c>
      <c r="K4265" s="57" t="s">
        <v>642</v>
      </c>
      <c r="L4265" s="12" t="s">
        <v>404</v>
      </c>
      <c r="M4265" s="162" t="s">
        <v>230</v>
      </c>
      <c r="N4265" s="8" t="s">
        <v>8899</v>
      </c>
      <c r="O4265" s="6" t="s">
        <v>622</v>
      </c>
      <c r="P4265" s="58" t="s">
        <v>241</v>
      </c>
      <c r="Q4265" s="27" t="s">
        <v>234</v>
      </c>
      <c r="R4265" s="26">
        <v>12</v>
      </c>
      <c r="S4265" s="59">
        <f>4013*1.07</f>
        <v>4293.91</v>
      </c>
      <c r="T4265" s="4">
        <v>0</v>
      </c>
      <c r="U4265" s="4">
        <f>T4265*1.12</f>
        <v>0</v>
      </c>
      <c r="V4265" s="3"/>
      <c r="W4265" s="3">
        <v>2014</v>
      </c>
      <c r="X4265" s="3" t="s">
        <v>14785</v>
      </c>
    </row>
    <row r="4266" spans="1:24" ht="76.5">
      <c r="A4266" s="3" t="s">
        <v>16869</v>
      </c>
      <c r="B4266" s="6" t="s">
        <v>361</v>
      </c>
      <c r="C4266" s="6" t="s">
        <v>5531</v>
      </c>
      <c r="D4266" s="6" t="s">
        <v>344</v>
      </c>
      <c r="E4266" s="14" t="s">
        <v>5532</v>
      </c>
      <c r="F4266" s="130" t="s">
        <v>7926</v>
      </c>
      <c r="G4266" s="3" t="s">
        <v>11449</v>
      </c>
      <c r="H4266" s="54">
        <v>0</v>
      </c>
      <c r="I4266" s="16">
        <v>470000000</v>
      </c>
      <c r="J4266" s="16" t="s">
        <v>229</v>
      </c>
      <c r="K4266" s="57" t="s">
        <v>8950</v>
      </c>
      <c r="L4266" s="12" t="s">
        <v>404</v>
      </c>
      <c r="M4266" s="162" t="s">
        <v>230</v>
      </c>
      <c r="N4266" s="8" t="s">
        <v>8899</v>
      </c>
      <c r="O4266" s="6" t="s">
        <v>622</v>
      </c>
      <c r="P4266" s="58" t="s">
        <v>241</v>
      </c>
      <c r="Q4266" s="27" t="s">
        <v>234</v>
      </c>
      <c r="R4266" s="26">
        <v>12</v>
      </c>
      <c r="S4266" s="59">
        <v>5152.692</v>
      </c>
      <c r="T4266" s="4">
        <f>R4266*S4266</f>
        <v>61832.304000000004</v>
      </c>
      <c r="U4266" s="4">
        <f>T4266*1.12</f>
        <v>69252.18048000001</v>
      </c>
      <c r="V4266" s="3"/>
      <c r="W4266" s="3">
        <v>2014</v>
      </c>
      <c r="X4266" s="3"/>
    </row>
    <row r="4267" spans="1:24" ht="76.5">
      <c r="A4267" s="3" t="s">
        <v>1893</v>
      </c>
      <c r="B4267" s="6" t="s">
        <v>361</v>
      </c>
      <c r="C4267" s="6" t="s">
        <v>5524</v>
      </c>
      <c r="D4267" s="6" t="s">
        <v>5525</v>
      </c>
      <c r="E4267" s="14" t="s">
        <v>5335</v>
      </c>
      <c r="F4267" s="130" t="s">
        <v>7927</v>
      </c>
      <c r="G4267" s="3" t="s">
        <v>11449</v>
      </c>
      <c r="H4267" s="54">
        <v>0</v>
      </c>
      <c r="I4267" s="16">
        <v>470000000</v>
      </c>
      <c r="J4267" s="16" t="s">
        <v>229</v>
      </c>
      <c r="K4267" s="57" t="s">
        <v>641</v>
      </c>
      <c r="L4267" s="57" t="s">
        <v>364</v>
      </c>
      <c r="M4267" s="162" t="s">
        <v>230</v>
      </c>
      <c r="N4267" s="8" t="s">
        <v>8899</v>
      </c>
      <c r="O4267" s="6" t="s">
        <v>622</v>
      </c>
      <c r="P4267" s="58" t="s">
        <v>241</v>
      </c>
      <c r="Q4267" s="27" t="s">
        <v>234</v>
      </c>
      <c r="R4267" s="26">
        <v>6</v>
      </c>
      <c r="S4267" s="59">
        <f>20972*1.07</f>
        <v>22440.04</v>
      </c>
      <c r="T4267" s="4">
        <v>0</v>
      </c>
      <c r="U4267" s="4">
        <f t="shared" si="212"/>
        <v>0</v>
      </c>
      <c r="V4267" s="3"/>
      <c r="W4267" s="3">
        <v>2014</v>
      </c>
      <c r="X4267" s="3">
        <v>11.12</v>
      </c>
    </row>
    <row r="4268" spans="1:24" ht="76.5">
      <c r="A4268" s="3" t="s">
        <v>13156</v>
      </c>
      <c r="B4268" s="6" t="s">
        <v>361</v>
      </c>
      <c r="C4268" s="6" t="s">
        <v>5524</v>
      </c>
      <c r="D4268" s="6" t="s">
        <v>5525</v>
      </c>
      <c r="E4268" s="14" t="s">
        <v>5335</v>
      </c>
      <c r="F4268" s="130" t="s">
        <v>7927</v>
      </c>
      <c r="G4268" s="3" t="s">
        <v>11449</v>
      </c>
      <c r="H4268" s="54">
        <v>0</v>
      </c>
      <c r="I4268" s="16">
        <v>470000000</v>
      </c>
      <c r="J4268" s="16" t="s">
        <v>229</v>
      </c>
      <c r="K4268" s="57" t="s">
        <v>642</v>
      </c>
      <c r="L4268" s="12" t="s">
        <v>404</v>
      </c>
      <c r="M4268" s="162" t="s">
        <v>230</v>
      </c>
      <c r="N4268" s="8" t="s">
        <v>8899</v>
      </c>
      <c r="O4268" s="6" t="s">
        <v>622</v>
      </c>
      <c r="P4268" s="58" t="s">
        <v>241</v>
      </c>
      <c r="Q4268" s="27" t="s">
        <v>234</v>
      </c>
      <c r="R4268" s="26">
        <v>6</v>
      </c>
      <c r="S4268" s="59">
        <f>20972*1.07</f>
        <v>22440.04</v>
      </c>
      <c r="T4268" s="4">
        <v>0</v>
      </c>
      <c r="U4268" s="4">
        <f>T4268*1.12</f>
        <v>0</v>
      </c>
      <c r="V4268" s="3"/>
      <c r="W4268" s="3">
        <v>2014</v>
      </c>
      <c r="X4268" s="3" t="s">
        <v>14785</v>
      </c>
    </row>
    <row r="4269" spans="1:24" ht="76.5">
      <c r="A4269" s="3" t="s">
        <v>16870</v>
      </c>
      <c r="B4269" s="6" t="s">
        <v>361</v>
      </c>
      <c r="C4269" s="6" t="s">
        <v>5524</v>
      </c>
      <c r="D4269" s="6" t="s">
        <v>5525</v>
      </c>
      <c r="E4269" s="14" t="s">
        <v>5335</v>
      </c>
      <c r="F4269" s="130" t="s">
        <v>7927</v>
      </c>
      <c r="G4269" s="3" t="s">
        <v>11449</v>
      </c>
      <c r="H4269" s="54">
        <v>0</v>
      </c>
      <c r="I4269" s="16">
        <v>470000000</v>
      </c>
      <c r="J4269" s="16" t="s">
        <v>229</v>
      </c>
      <c r="K4269" s="57" t="s">
        <v>8950</v>
      </c>
      <c r="L4269" s="12" t="s">
        <v>404</v>
      </c>
      <c r="M4269" s="162" t="s">
        <v>230</v>
      </c>
      <c r="N4269" s="8" t="s">
        <v>8899</v>
      </c>
      <c r="O4269" s="6" t="s">
        <v>622</v>
      </c>
      <c r="P4269" s="58" t="s">
        <v>241</v>
      </c>
      <c r="Q4269" s="27" t="s">
        <v>234</v>
      </c>
      <c r="R4269" s="26">
        <v>6</v>
      </c>
      <c r="S4269" s="59">
        <v>26928.047999999999</v>
      </c>
      <c r="T4269" s="4">
        <f>R4269*S4269</f>
        <v>161568.288</v>
      </c>
      <c r="U4269" s="4">
        <f>T4269*1.12</f>
        <v>180956.48256</v>
      </c>
      <c r="V4269" s="3"/>
      <c r="W4269" s="3">
        <v>2014</v>
      </c>
      <c r="X4269" s="3"/>
    </row>
    <row r="4270" spans="1:24" ht="76.5">
      <c r="A4270" s="3" t="s">
        <v>1894</v>
      </c>
      <c r="B4270" s="6" t="s">
        <v>361</v>
      </c>
      <c r="C4270" s="6" t="s">
        <v>5533</v>
      </c>
      <c r="D4270" s="6" t="s">
        <v>446</v>
      </c>
      <c r="E4270" s="65" t="s">
        <v>5534</v>
      </c>
      <c r="F4270" s="130" t="s">
        <v>7928</v>
      </c>
      <c r="G4270" s="3" t="s">
        <v>11449</v>
      </c>
      <c r="H4270" s="54">
        <v>0</v>
      </c>
      <c r="I4270" s="16">
        <v>470000000</v>
      </c>
      <c r="J4270" s="16" t="s">
        <v>229</v>
      </c>
      <c r="K4270" s="57" t="s">
        <v>641</v>
      </c>
      <c r="L4270" s="57" t="s">
        <v>364</v>
      </c>
      <c r="M4270" s="162" t="s">
        <v>230</v>
      </c>
      <c r="N4270" s="8" t="s">
        <v>8899</v>
      </c>
      <c r="O4270" s="6" t="s">
        <v>622</v>
      </c>
      <c r="P4270" s="58" t="s">
        <v>241</v>
      </c>
      <c r="Q4270" s="27" t="s">
        <v>234</v>
      </c>
      <c r="R4270" s="26">
        <v>4</v>
      </c>
      <c r="S4270" s="59">
        <f>39376*1.07</f>
        <v>42132.32</v>
      </c>
      <c r="T4270" s="4">
        <v>0</v>
      </c>
      <c r="U4270" s="4">
        <f t="shared" si="212"/>
        <v>0</v>
      </c>
      <c r="V4270" s="3"/>
      <c r="W4270" s="3">
        <v>2014</v>
      </c>
      <c r="X4270" s="3">
        <v>11.12</v>
      </c>
    </row>
    <row r="4271" spans="1:24" ht="76.5">
      <c r="A4271" s="3" t="s">
        <v>13157</v>
      </c>
      <c r="B4271" s="6" t="s">
        <v>361</v>
      </c>
      <c r="C4271" s="6" t="s">
        <v>5533</v>
      </c>
      <c r="D4271" s="6" t="s">
        <v>446</v>
      </c>
      <c r="E4271" s="65" t="s">
        <v>5534</v>
      </c>
      <c r="F4271" s="130" t="s">
        <v>7928</v>
      </c>
      <c r="G4271" s="3" t="s">
        <v>11449</v>
      </c>
      <c r="H4271" s="54">
        <v>0</v>
      </c>
      <c r="I4271" s="16">
        <v>470000000</v>
      </c>
      <c r="J4271" s="16" t="s">
        <v>229</v>
      </c>
      <c r="K4271" s="57" t="s">
        <v>642</v>
      </c>
      <c r="L4271" s="12" t="s">
        <v>404</v>
      </c>
      <c r="M4271" s="162" t="s">
        <v>230</v>
      </c>
      <c r="N4271" s="8" t="s">
        <v>8899</v>
      </c>
      <c r="O4271" s="6" t="s">
        <v>622</v>
      </c>
      <c r="P4271" s="58" t="s">
        <v>241</v>
      </c>
      <c r="Q4271" s="27" t="s">
        <v>234</v>
      </c>
      <c r="R4271" s="26">
        <v>4</v>
      </c>
      <c r="S4271" s="59">
        <f>39376*1.07</f>
        <v>42132.32</v>
      </c>
      <c r="T4271" s="4">
        <f>R4271*S4271</f>
        <v>168529.28</v>
      </c>
      <c r="U4271" s="4">
        <f>T4271*1.12</f>
        <v>188752.7936</v>
      </c>
      <c r="V4271" s="3"/>
      <c r="W4271" s="3">
        <v>2014</v>
      </c>
      <c r="X4271" s="3"/>
    </row>
    <row r="4272" spans="1:24" ht="76.5">
      <c r="A4272" s="3" t="s">
        <v>1895</v>
      </c>
      <c r="B4272" s="6" t="s">
        <v>361</v>
      </c>
      <c r="C4272" s="6" t="s">
        <v>5535</v>
      </c>
      <c r="D4272" s="6" t="s">
        <v>5536</v>
      </c>
      <c r="E4272" s="14" t="s">
        <v>5537</v>
      </c>
      <c r="F4272" s="129" t="s">
        <v>7929</v>
      </c>
      <c r="G4272" s="3" t="s">
        <v>11449</v>
      </c>
      <c r="H4272" s="54">
        <v>0</v>
      </c>
      <c r="I4272" s="16">
        <v>470000000</v>
      </c>
      <c r="J4272" s="16" t="s">
        <v>229</v>
      </c>
      <c r="K4272" s="57" t="s">
        <v>641</v>
      </c>
      <c r="L4272" s="57" t="s">
        <v>364</v>
      </c>
      <c r="M4272" s="162" t="s">
        <v>230</v>
      </c>
      <c r="N4272" s="8" t="s">
        <v>8899</v>
      </c>
      <c r="O4272" s="6" t="s">
        <v>622</v>
      </c>
      <c r="P4272" s="58" t="s">
        <v>241</v>
      </c>
      <c r="Q4272" s="27" t="s">
        <v>234</v>
      </c>
      <c r="R4272" s="26">
        <v>4</v>
      </c>
      <c r="S4272" s="59">
        <f>10861*1.07</f>
        <v>11621.27</v>
      </c>
      <c r="T4272" s="4">
        <v>0</v>
      </c>
      <c r="U4272" s="4">
        <f t="shared" si="212"/>
        <v>0</v>
      </c>
      <c r="V4272" s="3"/>
      <c r="W4272" s="3">
        <v>2014</v>
      </c>
      <c r="X4272" s="3">
        <v>11.12</v>
      </c>
    </row>
    <row r="4273" spans="1:24" ht="76.5">
      <c r="A4273" s="3" t="s">
        <v>13158</v>
      </c>
      <c r="B4273" s="6" t="s">
        <v>361</v>
      </c>
      <c r="C4273" s="6" t="s">
        <v>5535</v>
      </c>
      <c r="D4273" s="6" t="s">
        <v>5536</v>
      </c>
      <c r="E4273" s="14" t="s">
        <v>5537</v>
      </c>
      <c r="F4273" s="129" t="s">
        <v>7929</v>
      </c>
      <c r="G4273" s="3" t="s">
        <v>11449</v>
      </c>
      <c r="H4273" s="54">
        <v>0</v>
      </c>
      <c r="I4273" s="16">
        <v>470000000</v>
      </c>
      <c r="J4273" s="16" t="s">
        <v>229</v>
      </c>
      <c r="K4273" s="57" t="s">
        <v>642</v>
      </c>
      <c r="L4273" s="12" t="s">
        <v>404</v>
      </c>
      <c r="M4273" s="162" t="s">
        <v>230</v>
      </c>
      <c r="N4273" s="8" t="s">
        <v>8899</v>
      </c>
      <c r="O4273" s="6" t="s">
        <v>622</v>
      </c>
      <c r="P4273" s="58" t="s">
        <v>241</v>
      </c>
      <c r="Q4273" s="27" t="s">
        <v>234</v>
      </c>
      <c r="R4273" s="26">
        <v>4</v>
      </c>
      <c r="S4273" s="59">
        <f>10861*1.07</f>
        <v>11621.27</v>
      </c>
      <c r="T4273" s="4">
        <f>R4273*S4273</f>
        <v>46485.08</v>
      </c>
      <c r="U4273" s="4">
        <f>T4273*1.12</f>
        <v>52063.289600000004</v>
      </c>
      <c r="V4273" s="3"/>
      <c r="W4273" s="3">
        <v>2014</v>
      </c>
      <c r="X4273" s="3"/>
    </row>
    <row r="4274" spans="1:24" ht="76.5">
      <c r="A4274" s="3" t="s">
        <v>1896</v>
      </c>
      <c r="B4274" s="6" t="s">
        <v>361</v>
      </c>
      <c r="C4274" s="6" t="s">
        <v>7334</v>
      </c>
      <c r="D4274" s="6" t="s">
        <v>7335</v>
      </c>
      <c r="E4274" s="14" t="s">
        <v>7336</v>
      </c>
      <c r="F4274" s="129" t="s">
        <v>7930</v>
      </c>
      <c r="G4274" s="3" t="s">
        <v>11449</v>
      </c>
      <c r="H4274" s="54">
        <v>0</v>
      </c>
      <c r="I4274" s="16">
        <v>470000000</v>
      </c>
      <c r="J4274" s="16" t="s">
        <v>229</v>
      </c>
      <c r="K4274" s="57" t="s">
        <v>641</v>
      </c>
      <c r="L4274" s="57" t="s">
        <v>364</v>
      </c>
      <c r="M4274" s="162" t="s">
        <v>230</v>
      </c>
      <c r="N4274" s="8" t="s">
        <v>8899</v>
      </c>
      <c r="O4274" s="6" t="s">
        <v>622</v>
      </c>
      <c r="P4274" s="58" t="s">
        <v>241</v>
      </c>
      <c r="Q4274" s="27" t="s">
        <v>234</v>
      </c>
      <c r="R4274" s="26">
        <v>1</v>
      </c>
      <c r="S4274" s="59">
        <f>1035974*1.07</f>
        <v>1108492.1800000002</v>
      </c>
      <c r="T4274" s="4">
        <v>0</v>
      </c>
      <c r="U4274" s="4">
        <f t="shared" si="212"/>
        <v>0</v>
      </c>
      <c r="V4274" s="3"/>
      <c r="W4274" s="3">
        <v>2014</v>
      </c>
      <c r="X4274" s="3">
        <v>11.12</v>
      </c>
    </row>
    <row r="4275" spans="1:24" ht="76.5">
      <c r="A4275" s="3" t="s">
        <v>13159</v>
      </c>
      <c r="B4275" s="6" t="s">
        <v>361</v>
      </c>
      <c r="C4275" s="6" t="s">
        <v>7334</v>
      </c>
      <c r="D4275" s="6" t="s">
        <v>7335</v>
      </c>
      <c r="E4275" s="14" t="s">
        <v>7336</v>
      </c>
      <c r="F4275" s="129" t="s">
        <v>7930</v>
      </c>
      <c r="G4275" s="3" t="s">
        <v>11449</v>
      </c>
      <c r="H4275" s="54">
        <v>0</v>
      </c>
      <c r="I4275" s="16">
        <v>470000000</v>
      </c>
      <c r="J4275" s="16" t="s">
        <v>229</v>
      </c>
      <c r="K4275" s="57" t="s">
        <v>642</v>
      </c>
      <c r="L4275" s="12" t="s">
        <v>404</v>
      </c>
      <c r="M4275" s="162" t="s">
        <v>230</v>
      </c>
      <c r="N4275" s="8" t="s">
        <v>8899</v>
      </c>
      <c r="O4275" s="6" t="s">
        <v>622</v>
      </c>
      <c r="P4275" s="58" t="s">
        <v>241</v>
      </c>
      <c r="Q4275" s="27" t="s">
        <v>234</v>
      </c>
      <c r="R4275" s="26">
        <v>1</v>
      </c>
      <c r="S4275" s="59">
        <f>1035974*1.07</f>
        <v>1108492.1800000002</v>
      </c>
      <c r="T4275" s="4">
        <v>0</v>
      </c>
      <c r="U4275" s="4">
        <f>T4275*1.12</f>
        <v>0</v>
      </c>
      <c r="V4275" s="3"/>
      <c r="W4275" s="3">
        <v>2014</v>
      </c>
      <c r="X4275" s="3" t="s">
        <v>14785</v>
      </c>
    </row>
    <row r="4276" spans="1:24" ht="76.5">
      <c r="A4276" s="3" t="s">
        <v>16871</v>
      </c>
      <c r="B4276" s="6" t="s">
        <v>361</v>
      </c>
      <c r="C4276" s="6" t="s">
        <v>7334</v>
      </c>
      <c r="D4276" s="6" t="s">
        <v>7335</v>
      </c>
      <c r="E4276" s="14" t="s">
        <v>7336</v>
      </c>
      <c r="F4276" s="129" t="s">
        <v>7930</v>
      </c>
      <c r="G4276" s="3" t="s">
        <v>11449</v>
      </c>
      <c r="H4276" s="54">
        <v>0</v>
      </c>
      <c r="I4276" s="16">
        <v>470000000</v>
      </c>
      <c r="J4276" s="16" t="s">
        <v>229</v>
      </c>
      <c r="K4276" s="57" t="s">
        <v>8950</v>
      </c>
      <c r="L4276" s="12" t="s">
        <v>404</v>
      </c>
      <c r="M4276" s="162" t="s">
        <v>230</v>
      </c>
      <c r="N4276" s="8" t="s">
        <v>8899</v>
      </c>
      <c r="O4276" s="6" t="s">
        <v>622</v>
      </c>
      <c r="P4276" s="58" t="s">
        <v>241</v>
      </c>
      <c r="Q4276" s="336" t="s">
        <v>234</v>
      </c>
      <c r="R4276" s="333">
        <v>1</v>
      </c>
      <c r="S4276" s="59">
        <v>1330190.6160000002</v>
      </c>
      <c r="T4276" s="4">
        <v>0</v>
      </c>
      <c r="U4276" s="4">
        <f t="shared" ref="U4276:U4277" si="214">T4276*1.12</f>
        <v>0</v>
      </c>
      <c r="V4276" s="3"/>
      <c r="W4276" s="3">
        <v>2014</v>
      </c>
      <c r="X4276" s="3" t="s">
        <v>14265</v>
      </c>
    </row>
    <row r="4277" spans="1:24" ht="76.5">
      <c r="A4277" s="3" t="s">
        <v>19135</v>
      </c>
      <c r="B4277" s="6" t="s">
        <v>361</v>
      </c>
      <c r="C4277" s="6" t="s">
        <v>7334</v>
      </c>
      <c r="D4277" s="6" t="s">
        <v>7335</v>
      </c>
      <c r="E4277" s="14" t="s">
        <v>7336</v>
      </c>
      <c r="F4277" s="129" t="s">
        <v>7930</v>
      </c>
      <c r="G4277" s="3" t="s">
        <v>11449</v>
      </c>
      <c r="H4277" s="54">
        <v>0</v>
      </c>
      <c r="I4277" s="16">
        <v>470000000</v>
      </c>
      <c r="J4277" s="16" t="s">
        <v>229</v>
      </c>
      <c r="K4277" s="57" t="s">
        <v>18437</v>
      </c>
      <c r="L4277" s="12" t="s">
        <v>404</v>
      </c>
      <c r="M4277" s="162" t="s">
        <v>230</v>
      </c>
      <c r="N4277" s="8" t="s">
        <v>19369</v>
      </c>
      <c r="O4277" s="6" t="s">
        <v>19407</v>
      </c>
      <c r="P4277" s="58" t="s">
        <v>241</v>
      </c>
      <c r="Q4277" s="336" t="s">
        <v>234</v>
      </c>
      <c r="R4277" s="333">
        <v>1</v>
      </c>
      <c r="S4277" s="59">
        <v>1330190.6160000002</v>
      </c>
      <c r="T4277" s="4">
        <f>R4277*S4277</f>
        <v>1330190.6160000002</v>
      </c>
      <c r="U4277" s="4">
        <f t="shared" si="214"/>
        <v>1489813.4899200003</v>
      </c>
      <c r="V4277" s="3"/>
      <c r="W4277" s="3">
        <v>2014</v>
      </c>
      <c r="X4277" s="3"/>
    </row>
    <row r="4278" spans="1:24" ht="76.5">
      <c r="A4278" s="3" t="s">
        <v>1897</v>
      </c>
      <c r="B4278" s="6" t="s">
        <v>361</v>
      </c>
      <c r="C4278" s="6" t="s">
        <v>5538</v>
      </c>
      <c r="D4278" s="6" t="s">
        <v>451</v>
      </c>
      <c r="E4278" s="14" t="s">
        <v>5539</v>
      </c>
      <c r="F4278" s="129" t="s">
        <v>7931</v>
      </c>
      <c r="G4278" s="3" t="s">
        <v>11449</v>
      </c>
      <c r="H4278" s="54">
        <v>0</v>
      </c>
      <c r="I4278" s="16">
        <v>470000000</v>
      </c>
      <c r="J4278" s="16" t="s">
        <v>229</v>
      </c>
      <c r="K4278" s="57" t="s">
        <v>641</v>
      </c>
      <c r="L4278" s="57" t="s">
        <v>364</v>
      </c>
      <c r="M4278" s="162" t="s">
        <v>230</v>
      </c>
      <c r="N4278" s="8" t="s">
        <v>8899</v>
      </c>
      <c r="O4278" s="6" t="s">
        <v>622</v>
      </c>
      <c r="P4278" s="58" t="s">
        <v>241</v>
      </c>
      <c r="Q4278" s="27" t="s">
        <v>234</v>
      </c>
      <c r="R4278" s="26">
        <v>3</v>
      </c>
      <c r="S4278" s="59">
        <f>57673*1.07</f>
        <v>61710.11</v>
      </c>
      <c r="T4278" s="4">
        <v>0</v>
      </c>
      <c r="U4278" s="4">
        <f t="shared" si="212"/>
        <v>0</v>
      </c>
      <c r="V4278" s="3"/>
      <c r="W4278" s="3">
        <v>2014</v>
      </c>
      <c r="X4278" s="3">
        <v>11.12</v>
      </c>
    </row>
    <row r="4279" spans="1:24" ht="76.5">
      <c r="A4279" s="3" t="s">
        <v>13160</v>
      </c>
      <c r="B4279" s="6" t="s">
        <v>361</v>
      </c>
      <c r="C4279" s="6" t="s">
        <v>5538</v>
      </c>
      <c r="D4279" s="6" t="s">
        <v>451</v>
      </c>
      <c r="E4279" s="14" t="s">
        <v>5539</v>
      </c>
      <c r="F4279" s="129" t="s">
        <v>7931</v>
      </c>
      <c r="G4279" s="3" t="s">
        <v>11449</v>
      </c>
      <c r="H4279" s="54">
        <v>0</v>
      </c>
      <c r="I4279" s="16">
        <v>470000000</v>
      </c>
      <c r="J4279" s="16" t="s">
        <v>229</v>
      </c>
      <c r="K4279" s="57" t="s">
        <v>642</v>
      </c>
      <c r="L4279" s="12" t="s">
        <v>404</v>
      </c>
      <c r="M4279" s="162" t="s">
        <v>230</v>
      </c>
      <c r="N4279" s="8" t="s">
        <v>8899</v>
      </c>
      <c r="O4279" s="6" t="s">
        <v>622</v>
      </c>
      <c r="P4279" s="58" t="s">
        <v>241</v>
      </c>
      <c r="Q4279" s="27" t="s">
        <v>234</v>
      </c>
      <c r="R4279" s="26">
        <v>3</v>
      </c>
      <c r="S4279" s="59">
        <f>57673*1.07</f>
        <v>61710.11</v>
      </c>
      <c r="T4279" s="4">
        <f>R4279*S4279</f>
        <v>185130.33000000002</v>
      </c>
      <c r="U4279" s="4">
        <f>T4279*1.12</f>
        <v>207345.96960000004</v>
      </c>
      <c r="V4279" s="3"/>
      <c r="W4279" s="3">
        <v>2014</v>
      </c>
      <c r="X4279" s="3"/>
    </row>
    <row r="4280" spans="1:24" ht="76.5">
      <c r="A4280" s="3" t="s">
        <v>1898</v>
      </c>
      <c r="B4280" s="6" t="s">
        <v>361</v>
      </c>
      <c r="C4280" s="6" t="s">
        <v>5540</v>
      </c>
      <c r="D4280" s="6" t="s">
        <v>5541</v>
      </c>
      <c r="E4280" s="14" t="s">
        <v>3115</v>
      </c>
      <c r="F4280" s="129" t="s">
        <v>7932</v>
      </c>
      <c r="G4280" s="3" t="s">
        <v>11449</v>
      </c>
      <c r="H4280" s="54">
        <v>0</v>
      </c>
      <c r="I4280" s="16">
        <v>470000000</v>
      </c>
      <c r="J4280" s="16" t="s">
        <v>229</v>
      </c>
      <c r="K4280" s="57" t="s">
        <v>641</v>
      </c>
      <c r="L4280" s="57" t="s">
        <v>364</v>
      </c>
      <c r="M4280" s="162" t="s">
        <v>230</v>
      </c>
      <c r="N4280" s="8" t="s">
        <v>8899</v>
      </c>
      <c r="O4280" s="6" t="s">
        <v>622</v>
      </c>
      <c r="P4280" s="58" t="s">
        <v>241</v>
      </c>
      <c r="Q4280" s="27" t="s">
        <v>234</v>
      </c>
      <c r="R4280" s="26">
        <v>10</v>
      </c>
      <c r="S4280" s="59">
        <v>595.1</v>
      </c>
      <c r="T4280" s="4">
        <v>0</v>
      </c>
      <c r="U4280" s="4">
        <f t="shared" si="212"/>
        <v>0</v>
      </c>
      <c r="V4280" s="3"/>
      <c r="W4280" s="3">
        <v>2014</v>
      </c>
      <c r="X4280" s="3">
        <v>11.12</v>
      </c>
    </row>
    <row r="4281" spans="1:24" ht="76.5">
      <c r="A4281" s="3" t="s">
        <v>13161</v>
      </c>
      <c r="B4281" s="6" t="s">
        <v>361</v>
      </c>
      <c r="C4281" s="6" t="s">
        <v>5540</v>
      </c>
      <c r="D4281" s="6" t="s">
        <v>5541</v>
      </c>
      <c r="E4281" s="14" t="s">
        <v>3115</v>
      </c>
      <c r="F4281" s="129" t="s">
        <v>7932</v>
      </c>
      <c r="G4281" s="3" t="s">
        <v>11449</v>
      </c>
      <c r="H4281" s="54">
        <v>0</v>
      </c>
      <c r="I4281" s="16">
        <v>470000000</v>
      </c>
      <c r="J4281" s="16" t="s">
        <v>229</v>
      </c>
      <c r="K4281" s="57" t="s">
        <v>642</v>
      </c>
      <c r="L4281" s="12" t="s">
        <v>404</v>
      </c>
      <c r="M4281" s="162" t="s">
        <v>230</v>
      </c>
      <c r="N4281" s="8" t="s">
        <v>8899</v>
      </c>
      <c r="O4281" s="6" t="s">
        <v>622</v>
      </c>
      <c r="P4281" s="58" t="s">
        <v>241</v>
      </c>
      <c r="Q4281" s="27" t="s">
        <v>234</v>
      </c>
      <c r="R4281" s="26">
        <v>10</v>
      </c>
      <c r="S4281" s="59">
        <v>595.1</v>
      </c>
      <c r="T4281" s="4">
        <v>0</v>
      </c>
      <c r="U4281" s="4">
        <f>T4281*1.12</f>
        <v>0</v>
      </c>
      <c r="V4281" s="3"/>
      <c r="W4281" s="3">
        <v>2014</v>
      </c>
      <c r="X4281" s="3" t="s">
        <v>14785</v>
      </c>
    </row>
    <row r="4282" spans="1:24" ht="76.5">
      <c r="A4282" s="3" t="s">
        <v>16872</v>
      </c>
      <c r="B4282" s="6" t="s">
        <v>361</v>
      </c>
      <c r="C4282" s="6" t="s">
        <v>5540</v>
      </c>
      <c r="D4282" s="6" t="s">
        <v>5541</v>
      </c>
      <c r="E4282" s="14" t="s">
        <v>3115</v>
      </c>
      <c r="F4282" s="129" t="s">
        <v>7932</v>
      </c>
      <c r="G4282" s="3" t="s">
        <v>11449</v>
      </c>
      <c r="H4282" s="54">
        <v>0</v>
      </c>
      <c r="I4282" s="16">
        <v>470000000</v>
      </c>
      <c r="J4282" s="16" t="s">
        <v>229</v>
      </c>
      <c r="K4282" s="57" t="s">
        <v>8950</v>
      </c>
      <c r="L4282" s="12" t="s">
        <v>404</v>
      </c>
      <c r="M4282" s="162" t="s">
        <v>230</v>
      </c>
      <c r="N4282" s="8" t="s">
        <v>8899</v>
      </c>
      <c r="O4282" s="6" t="s">
        <v>622</v>
      </c>
      <c r="P4282" s="58" t="s">
        <v>241</v>
      </c>
      <c r="Q4282" s="27" t="s">
        <v>234</v>
      </c>
      <c r="R4282" s="26">
        <v>10</v>
      </c>
      <c r="S4282" s="59">
        <v>714.12</v>
      </c>
      <c r="T4282" s="4">
        <f>R4282*S4282</f>
        <v>7141.2</v>
      </c>
      <c r="U4282" s="4">
        <f>T4282*1.12</f>
        <v>7998.1440000000002</v>
      </c>
      <c r="V4282" s="3"/>
      <c r="W4282" s="3">
        <v>2014</v>
      </c>
      <c r="X4282" s="3"/>
    </row>
    <row r="4283" spans="1:24" ht="76.5">
      <c r="A4283" s="3" t="s">
        <v>1899</v>
      </c>
      <c r="B4283" s="6" t="s">
        <v>361</v>
      </c>
      <c r="C4283" s="6" t="s">
        <v>5542</v>
      </c>
      <c r="D4283" s="6" t="s">
        <v>5543</v>
      </c>
      <c r="E4283" s="14" t="s">
        <v>5332</v>
      </c>
      <c r="F4283" s="129" t="s">
        <v>7933</v>
      </c>
      <c r="G4283" s="3" t="s">
        <v>11449</v>
      </c>
      <c r="H4283" s="54">
        <v>0</v>
      </c>
      <c r="I4283" s="16">
        <v>470000000</v>
      </c>
      <c r="J4283" s="16" t="s">
        <v>229</v>
      </c>
      <c r="K4283" s="57" t="s">
        <v>641</v>
      </c>
      <c r="L4283" s="57" t="s">
        <v>364</v>
      </c>
      <c r="M4283" s="162" t="s">
        <v>230</v>
      </c>
      <c r="N4283" s="8" t="s">
        <v>8899</v>
      </c>
      <c r="O4283" s="6" t="s">
        <v>622</v>
      </c>
      <c r="P4283" s="58" t="s">
        <v>241</v>
      </c>
      <c r="Q4283" s="27" t="s">
        <v>234</v>
      </c>
      <c r="R4283" s="26">
        <v>10</v>
      </c>
      <c r="S4283" s="59">
        <v>98</v>
      </c>
      <c r="T4283" s="4">
        <v>0</v>
      </c>
      <c r="U4283" s="4">
        <f t="shared" si="212"/>
        <v>0</v>
      </c>
      <c r="V4283" s="3"/>
      <c r="W4283" s="3">
        <v>2014</v>
      </c>
      <c r="X4283" s="3">
        <v>11.12</v>
      </c>
    </row>
    <row r="4284" spans="1:24" ht="76.5">
      <c r="A4284" s="3" t="s">
        <v>13162</v>
      </c>
      <c r="B4284" s="6" t="s">
        <v>361</v>
      </c>
      <c r="C4284" s="6" t="s">
        <v>5542</v>
      </c>
      <c r="D4284" s="6" t="s">
        <v>5543</v>
      </c>
      <c r="E4284" s="14" t="s">
        <v>5332</v>
      </c>
      <c r="F4284" s="129" t="s">
        <v>7933</v>
      </c>
      <c r="G4284" s="3" t="s">
        <v>11449</v>
      </c>
      <c r="H4284" s="54">
        <v>0</v>
      </c>
      <c r="I4284" s="16">
        <v>470000000</v>
      </c>
      <c r="J4284" s="16" t="s">
        <v>229</v>
      </c>
      <c r="K4284" s="57" t="s">
        <v>642</v>
      </c>
      <c r="L4284" s="12" t="s">
        <v>404</v>
      </c>
      <c r="M4284" s="162" t="s">
        <v>230</v>
      </c>
      <c r="N4284" s="8" t="s">
        <v>8899</v>
      </c>
      <c r="O4284" s="6" t="s">
        <v>622</v>
      </c>
      <c r="P4284" s="58" t="s">
        <v>241</v>
      </c>
      <c r="Q4284" s="27" t="s">
        <v>234</v>
      </c>
      <c r="R4284" s="26">
        <v>10</v>
      </c>
      <c r="S4284" s="59">
        <v>98</v>
      </c>
      <c r="T4284" s="4">
        <f>R4284*S4284</f>
        <v>980</v>
      </c>
      <c r="U4284" s="4">
        <f>T4284*1.12</f>
        <v>1097.6000000000001</v>
      </c>
      <c r="V4284" s="3"/>
      <c r="W4284" s="3">
        <v>2014</v>
      </c>
      <c r="X4284" s="3"/>
    </row>
    <row r="4285" spans="1:24" ht="76.5">
      <c r="A4285" s="3" t="s">
        <v>1900</v>
      </c>
      <c r="B4285" s="6" t="s">
        <v>361</v>
      </c>
      <c r="C4285" s="6" t="s">
        <v>5523</v>
      </c>
      <c r="D4285" s="6" t="s">
        <v>416</v>
      </c>
      <c r="E4285" s="14" t="s">
        <v>5332</v>
      </c>
      <c r="F4285" s="129" t="s">
        <v>7934</v>
      </c>
      <c r="G4285" s="3" t="s">
        <v>11449</v>
      </c>
      <c r="H4285" s="54">
        <v>0</v>
      </c>
      <c r="I4285" s="16">
        <v>470000000</v>
      </c>
      <c r="J4285" s="16" t="s">
        <v>229</v>
      </c>
      <c r="K4285" s="57" t="s">
        <v>641</v>
      </c>
      <c r="L4285" s="57" t="s">
        <v>364</v>
      </c>
      <c r="M4285" s="162" t="s">
        <v>230</v>
      </c>
      <c r="N4285" s="8" t="s">
        <v>8899</v>
      </c>
      <c r="O4285" s="6" t="s">
        <v>622</v>
      </c>
      <c r="P4285" s="58" t="s">
        <v>241</v>
      </c>
      <c r="Q4285" s="27" t="s">
        <v>234</v>
      </c>
      <c r="R4285" s="26">
        <v>20</v>
      </c>
      <c r="S4285" s="59">
        <v>1117.5999999999999</v>
      </c>
      <c r="T4285" s="4">
        <v>0</v>
      </c>
      <c r="U4285" s="4">
        <f t="shared" si="212"/>
        <v>0</v>
      </c>
      <c r="V4285" s="3"/>
      <c r="W4285" s="3">
        <v>2014</v>
      </c>
      <c r="X4285" s="3">
        <v>11.12</v>
      </c>
    </row>
    <row r="4286" spans="1:24" ht="76.5">
      <c r="A4286" s="3" t="s">
        <v>13163</v>
      </c>
      <c r="B4286" s="6" t="s">
        <v>361</v>
      </c>
      <c r="C4286" s="6" t="s">
        <v>5523</v>
      </c>
      <c r="D4286" s="6" t="s">
        <v>416</v>
      </c>
      <c r="E4286" s="14" t="s">
        <v>5332</v>
      </c>
      <c r="F4286" s="129" t="s">
        <v>7934</v>
      </c>
      <c r="G4286" s="3" t="s">
        <v>11449</v>
      </c>
      <c r="H4286" s="54">
        <v>0</v>
      </c>
      <c r="I4286" s="16">
        <v>470000000</v>
      </c>
      <c r="J4286" s="16" t="s">
        <v>229</v>
      </c>
      <c r="K4286" s="57" t="s">
        <v>642</v>
      </c>
      <c r="L4286" s="12" t="s">
        <v>404</v>
      </c>
      <c r="M4286" s="162" t="s">
        <v>230</v>
      </c>
      <c r="N4286" s="8" t="s">
        <v>8899</v>
      </c>
      <c r="O4286" s="6" t="s">
        <v>622</v>
      </c>
      <c r="P4286" s="58" t="s">
        <v>241</v>
      </c>
      <c r="Q4286" s="27" t="s">
        <v>234</v>
      </c>
      <c r="R4286" s="26">
        <v>20</v>
      </c>
      <c r="S4286" s="59">
        <v>1117.5999999999999</v>
      </c>
      <c r="T4286" s="4">
        <v>0</v>
      </c>
      <c r="U4286" s="4">
        <f>T4286*1.12</f>
        <v>0</v>
      </c>
      <c r="V4286" s="3"/>
      <c r="W4286" s="3">
        <v>2014</v>
      </c>
      <c r="X4286" s="3" t="s">
        <v>14785</v>
      </c>
    </row>
    <row r="4287" spans="1:24" ht="76.5">
      <c r="A4287" s="3" t="s">
        <v>16873</v>
      </c>
      <c r="B4287" s="6" t="s">
        <v>361</v>
      </c>
      <c r="C4287" s="6" t="s">
        <v>5523</v>
      </c>
      <c r="D4287" s="6" t="s">
        <v>416</v>
      </c>
      <c r="E4287" s="14" t="s">
        <v>5332</v>
      </c>
      <c r="F4287" s="129" t="s">
        <v>7934</v>
      </c>
      <c r="G4287" s="3" t="s">
        <v>11449</v>
      </c>
      <c r="H4287" s="54">
        <v>0</v>
      </c>
      <c r="I4287" s="16">
        <v>470000000</v>
      </c>
      <c r="J4287" s="16" t="s">
        <v>229</v>
      </c>
      <c r="K4287" s="57" t="s">
        <v>8950</v>
      </c>
      <c r="L4287" s="12" t="s">
        <v>404</v>
      </c>
      <c r="M4287" s="162" t="s">
        <v>230</v>
      </c>
      <c r="N4287" s="8" t="s">
        <v>8899</v>
      </c>
      <c r="O4287" s="6" t="s">
        <v>622</v>
      </c>
      <c r="P4287" s="58" t="s">
        <v>241</v>
      </c>
      <c r="Q4287" s="27" t="s">
        <v>234</v>
      </c>
      <c r="R4287" s="26">
        <v>20</v>
      </c>
      <c r="S4287" s="59">
        <v>1341.12</v>
      </c>
      <c r="T4287" s="4">
        <f>R4287*S4287</f>
        <v>26822.399999999998</v>
      </c>
      <c r="U4287" s="4">
        <f>T4287*1.12</f>
        <v>30041.088</v>
      </c>
      <c r="V4287" s="3"/>
      <c r="W4287" s="3">
        <v>2014</v>
      </c>
      <c r="X4287" s="3"/>
    </row>
    <row r="4288" spans="1:24" ht="76.5">
      <c r="A4288" s="3" t="s">
        <v>1901</v>
      </c>
      <c r="B4288" s="6" t="s">
        <v>361</v>
      </c>
      <c r="C4288" s="6" t="s">
        <v>5544</v>
      </c>
      <c r="D4288" s="6" t="s">
        <v>5545</v>
      </c>
      <c r="E4288" s="14" t="s">
        <v>5546</v>
      </c>
      <c r="F4288" s="129" t="s">
        <v>7935</v>
      </c>
      <c r="G4288" s="3" t="s">
        <v>11449</v>
      </c>
      <c r="H4288" s="54">
        <v>0</v>
      </c>
      <c r="I4288" s="16">
        <v>470000000</v>
      </c>
      <c r="J4288" s="16" t="s">
        <v>229</v>
      </c>
      <c r="K4288" s="57" t="s">
        <v>641</v>
      </c>
      <c r="L4288" s="57" t="s">
        <v>364</v>
      </c>
      <c r="M4288" s="162" t="s">
        <v>230</v>
      </c>
      <c r="N4288" s="8" t="s">
        <v>8899</v>
      </c>
      <c r="O4288" s="6" t="s">
        <v>622</v>
      </c>
      <c r="P4288" s="58" t="s">
        <v>241</v>
      </c>
      <c r="Q4288" s="27" t="s">
        <v>234</v>
      </c>
      <c r="R4288" s="26">
        <v>12</v>
      </c>
      <c r="S4288" s="59">
        <v>1089</v>
      </c>
      <c r="T4288" s="4">
        <v>0</v>
      </c>
      <c r="U4288" s="4">
        <f t="shared" si="212"/>
        <v>0</v>
      </c>
      <c r="V4288" s="3"/>
      <c r="W4288" s="3">
        <v>2014</v>
      </c>
      <c r="X4288" s="3">
        <v>11.12</v>
      </c>
    </row>
    <row r="4289" spans="1:24" ht="76.5">
      <c r="A4289" s="3" t="s">
        <v>13164</v>
      </c>
      <c r="B4289" s="6" t="s">
        <v>361</v>
      </c>
      <c r="C4289" s="6" t="s">
        <v>5544</v>
      </c>
      <c r="D4289" s="6" t="s">
        <v>5545</v>
      </c>
      <c r="E4289" s="14" t="s">
        <v>5546</v>
      </c>
      <c r="F4289" s="129" t="s">
        <v>7935</v>
      </c>
      <c r="G4289" s="3" t="s">
        <v>11449</v>
      </c>
      <c r="H4289" s="54">
        <v>0</v>
      </c>
      <c r="I4289" s="16">
        <v>470000000</v>
      </c>
      <c r="J4289" s="16" t="s">
        <v>229</v>
      </c>
      <c r="K4289" s="57" t="s">
        <v>642</v>
      </c>
      <c r="L4289" s="12" t="s">
        <v>404</v>
      </c>
      <c r="M4289" s="162" t="s">
        <v>230</v>
      </c>
      <c r="N4289" s="8" t="s">
        <v>8899</v>
      </c>
      <c r="O4289" s="6" t="s">
        <v>622</v>
      </c>
      <c r="P4289" s="58" t="s">
        <v>241</v>
      </c>
      <c r="Q4289" s="27" t="s">
        <v>234</v>
      </c>
      <c r="R4289" s="26">
        <v>12</v>
      </c>
      <c r="S4289" s="59">
        <v>1089</v>
      </c>
      <c r="T4289" s="4">
        <v>0</v>
      </c>
      <c r="U4289" s="4">
        <f>T4289*1.12</f>
        <v>0</v>
      </c>
      <c r="V4289" s="3"/>
      <c r="W4289" s="3">
        <v>2014</v>
      </c>
      <c r="X4289" s="3" t="s">
        <v>14785</v>
      </c>
    </row>
    <row r="4290" spans="1:24" ht="76.5">
      <c r="A4290" s="3" t="s">
        <v>16874</v>
      </c>
      <c r="B4290" s="6" t="s">
        <v>361</v>
      </c>
      <c r="C4290" s="6" t="s">
        <v>5544</v>
      </c>
      <c r="D4290" s="6" t="s">
        <v>5545</v>
      </c>
      <c r="E4290" s="14" t="s">
        <v>5546</v>
      </c>
      <c r="F4290" s="129" t="s">
        <v>7935</v>
      </c>
      <c r="G4290" s="3" t="s">
        <v>11449</v>
      </c>
      <c r="H4290" s="54">
        <v>0</v>
      </c>
      <c r="I4290" s="16">
        <v>470000000</v>
      </c>
      <c r="J4290" s="16" t="s">
        <v>229</v>
      </c>
      <c r="K4290" s="57" t="s">
        <v>8950</v>
      </c>
      <c r="L4290" s="12" t="s">
        <v>404</v>
      </c>
      <c r="M4290" s="162" t="s">
        <v>230</v>
      </c>
      <c r="N4290" s="8" t="s">
        <v>8899</v>
      </c>
      <c r="O4290" s="6" t="s">
        <v>622</v>
      </c>
      <c r="P4290" s="58" t="s">
        <v>241</v>
      </c>
      <c r="Q4290" s="27" t="s">
        <v>234</v>
      </c>
      <c r="R4290" s="26">
        <v>12</v>
      </c>
      <c r="S4290" s="59">
        <v>1306.8</v>
      </c>
      <c r="T4290" s="4">
        <f>R4290*S4290</f>
        <v>15681.599999999999</v>
      </c>
      <c r="U4290" s="4">
        <f>T4290*1.12</f>
        <v>17563.392</v>
      </c>
      <c r="V4290" s="3"/>
      <c r="W4290" s="3">
        <v>2014</v>
      </c>
      <c r="X4290" s="3"/>
    </row>
    <row r="4291" spans="1:24" ht="76.5">
      <c r="A4291" s="3" t="s">
        <v>1902</v>
      </c>
      <c r="B4291" s="6" t="s">
        <v>361</v>
      </c>
      <c r="C4291" s="6" t="s">
        <v>5544</v>
      </c>
      <c r="D4291" s="6" t="s">
        <v>5545</v>
      </c>
      <c r="E4291" s="14" t="s">
        <v>5546</v>
      </c>
      <c r="F4291" s="129" t="s">
        <v>7936</v>
      </c>
      <c r="G4291" s="3" t="s">
        <v>11449</v>
      </c>
      <c r="H4291" s="54">
        <v>0</v>
      </c>
      <c r="I4291" s="16">
        <v>470000000</v>
      </c>
      <c r="J4291" s="16" t="s">
        <v>229</v>
      </c>
      <c r="K4291" s="57" t="s">
        <v>641</v>
      </c>
      <c r="L4291" s="57" t="s">
        <v>364</v>
      </c>
      <c r="M4291" s="162" t="s">
        <v>230</v>
      </c>
      <c r="N4291" s="8" t="s">
        <v>8899</v>
      </c>
      <c r="O4291" s="6" t="s">
        <v>622</v>
      </c>
      <c r="P4291" s="58" t="s">
        <v>241</v>
      </c>
      <c r="Q4291" s="27" t="s">
        <v>234</v>
      </c>
      <c r="R4291" s="26">
        <v>20</v>
      </c>
      <c r="S4291" s="74">
        <v>516.1</v>
      </c>
      <c r="T4291" s="4">
        <v>0</v>
      </c>
      <c r="U4291" s="4">
        <f t="shared" si="212"/>
        <v>0</v>
      </c>
      <c r="V4291" s="3"/>
      <c r="W4291" s="3">
        <v>2014</v>
      </c>
      <c r="X4291" s="3">
        <v>11.12</v>
      </c>
    </row>
    <row r="4292" spans="1:24" ht="76.5">
      <c r="A4292" s="3" t="s">
        <v>13165</v>
      </c>
      <c r="B4292" s="6" t="s">
        <v>361</v>
      </c>
      <c r="C4292" s="6" t="s">
        <v>5544</v>
      </c>
      <c r="D4292" s="6" t="s">
        <v>5545</v>
      </c>
      <c r="E4292" s="14" t="s">
        <v>5546</v>
      </c>
      <c r="F4292" s="129" t="s">
        <v>7936</v>
      </c>
      <c r="G4292" s="3" t="s">
        <v>11449</v>
      </c>
      <c r="H4292" s="54">
        <v>0</v>
      </c>
      <c r="I4292" s="16">
        <v>470000000</v>
      </c>
      <c r="J4292" s="16" t="s">
        <v>229</v>
      </c>
      <c r="K4292" s="57" t="s">
        <v>642</v>
      </c>
      <c r="L4292" s="12" t="s">
        <v>404</v>
      </c>
      <c r="M4292" s="162" t="s">
        <v>230</v>
      </c>
      <c r="N4292" s="8" t="s">
        <v>8899</v>
      </c>
      <c r="O4292" s="6" t="s">
        <v>622</v>
      </c>
      <c r="P4292" s="58" t="s">
        <v>241</v>
      </c>
      <c r="Q4292" s="27" t="s">
        <v>234</v>
      </c>
      <c r="R4292" s="26">
        <v>20</v>
      </c>
      <c r="S4292" s="74">
        <v>516.1</v>
      </c>
      <c r="T4292" s="4">
        <f>R4292*S4292</f>
        <v>10322</v>
      </c>
      <c r="U4292" s="4">
        <f>T4292*1.12</f>
        <v>11560.640000000001</v>
      </c>
      <c r="V4292" s="3"/>
      <c r="W4292" s="3">
        <v>2014</v>
      </c>
      <c r="X4292" s="3"/>
    </row>
    <row r="4293" spans="1:24" ht="76.5">
      <c r="A4293" s="3" t="s">
        <v>1903</v>
      </c>
      <c r="B4293" s="6" t="s">
        <v>361</v>
      </c>
      <c r="C4293" s="6" t="s">
        <v>5547</v>
      </c>
      <c r="D4293" s="6" t="s">
        <v>415</v>
      </c>
      <c r="E4293" s="14" t="s">
        <v>5332</v>
      </c>
      <c r="F4293" s="129" t="s">
        <v>7937</v>
      </c>
      <c r="G4293" s="3" t="s">
        <v>11449</v>
      </c>
      <c r="H4293" s="54">
        <v>0</v>
      </c>
      <c r="I4293" s="16">
        <v>470000000</v>
      </c>
      <c r="J4293" s="16" t="s">
        <v>229</v>
      </c>
      <c r="K4293" s="57" t="s">
        <v>641</v>
      </c>
      <c r="L4293" s="57" t="s">
        <v>364</v>
      </c>
      <c r="M4293" s="162" t="s">
        <v>230</v>
      </c>
      <c r="N4293" s="8" t="s">
        <v>8899</v>
      </c>
      <c r="O4293" s="6" t="s">
        <v>622</v>
      </c>
      <c r="P4293" s="58" t="s">
        <v>241</v>
      </c>
      <c r="Q4293" s="27" t="s">
        <v>234</v>
      </c>
      <c r="R4293" s="26">
        <v>8</v>
      </c>
      <c r="S4293" s="74">
        <v>16623.72</v>
      </c>
      <c r="T4293" s="4">
        <v>0</v>
      </c>
      <c r="U4293" s="4">
        <f t="shared" si="212"/>
        <v>0</v>
      </c>
      <c r="V4293" s="3"/>
      <c r="W4293" s="3">
        <v>2014</v>
      </c>
      <c r="X4293" s="3">
        <v>11.12</v>
      </c>
    </row>
    <row r="4294" spans="1:24" ht="76.5">
      <c r="A4294" s="3" t="s">
        <v>13166</v>
      </c>
      <c r="B4294" s="6" t="s">
        <v>361</v>
      </c>
      <c r="C4294" s="6" t="s">
        <v>5547</v>
      </c>
      <c r="D4294" s="6" t="s">
        <v>415</v>
      </c>
      <c r="E4294" s="14" t="s">
        <v>5332</v>
      </c>
      <c r="F4294" s="129" t="s">
        <v>7937</v>
      </c>
      <c r="G4294" s="3" t="s">
        <v>11449</v>
      </c>
      <c r="H4294" s="54">
        <v>0</v>
      </c>
      <c r="I4294" s="16">
        <v>470000000</v>
      </c>
      <c r="J4294" s="16" t="s">
        <v>229</v>
      </c>
      <c r="K4294" s="57" t="s">
        <v>642</v>
      </c>
      <c r="L4294" s="12" t="s">
        <v>404</v>
      </c>
      <c r="M4294" s="162" t="s">
        <v>230</v>
      </c>
      <c r="N4294" s="8" t="s">
        <v>8899</v>
      </c>
      <c r="O4294" s="6" t="s">
        <v>622</v>
      </c>
      <c r="P4294" s="58" t="s">
        <v>241</v>
      </c>
      <c r="Q4294" s="27" t="s">
        <v>234</v>
      </c>
      <c r="R4294" s="26">
        <v>8</v>
      </c>
      <c r="S4294" s="74">
        <v>16623.72</v>
      </c>
      <c r="T4294" s="4">
        <f>R4294*S4294</f>
        <v>132989.76000000001</v>
      </c>
      <c r="U4294" s="4">
        <f>T4294*1.12</f>
        <v>148948.53120000003</v>
      </c>
      <c r="V4294" s="3"/>
      <c r="W4294" s="3">
        <v>2014</v>
      </c>
      <c r="X4294" s="3"/>
    </row>
    <row r="4295" spans="1:24" ht="76.5">
      <c r="A4295" s="3" t="s">
        <v>1904</v>
      </c>
      <c r="B4295" s="6" t="s">
        <v>361</v>
      </c>
      <c r="C4295" s="6" t="s">
        <v>5548</v>
      </c>
      <c r="D4295" s="6" t="s">
        <v>5549</v>
      </c>
      <c r="E4295" s="14" t="s">
        <v>5183</v>
      </c>
      <c r="F4295" s="129" t="s">
        <v>7938</v>
      </c>
      <c r="G4295" s="3" t="s">
        <v>11449</v>
      </c>
      <c r="H4295" s="54">
        <v>0</v>
      </c>
      <c r="I4295" s="16">
        <v>470000000</v>
      </c>
      <c r="J4295" s="16" t="s">
        <v>229</v>
      </c>
      <c r="K4295" s="57" t="s">
        <v>641</v>
      </c>
      <c r="L4295" s="57" t="s">
        <v>364</v>
      </c>
      <c r="M4295" s="162" t="s">
        <v>230</v>
      </c>
      <c r="N4295" s="8" t="s">
        <v>8899</v>
      </c>
      <c r="O4295" s="6" t="s">
        <v>622</v>
      </c>
      <c r="P4295" s="58" t="s">
        <v>241</v>
      </c>
      <c r="Q4295" s="27" t="s">
        <v>234</v>
      </c>
      <c r="R4295" s="26">
        <v>6</v>
      </c>
      <c r="S4295" s="74">
        <v>4500</v>
      </c>
      <c r="T4295" s="4">
        <v>0</v>
      </c>
      <c r="U4295" s="4">
        <f t="shared" si="212"/>
        <v>0</v>
      </c>
      <c r="V4295" s="3"/>
      <c r="W4295" s="3">
        <v>2014</v>
      </c>
      <c r="X4295" s="3">
        <v>11.12</v>
      </c>
    </row>
    <row r="4296" spans="1:24" ht="76.5">
      <c r="A4296" s="3" t="s">
        <v>13167</v>
      </c>
      <c r="B4296" s="6" t="s">
        <v>361</v>
      </c>
      <c r="C4296" s="6" t="s">
        <v>5548</v>
      </c>
      <c r="D4296" s="6" t="s">
        <v>5549</v>
      </c>
      <c r="E4296" s="14" t="s">
        <v>5183</v>
      </c>
      <c r="F4296" s="129" t="s">
        <v>7938</v>
      </c>
      <c r="G4296" s="3" t="s">
        <v>11449</v>
      </c>
      <c r="H4296" s="54">
        <v>0</v>
      </c>
      <c r="I4296" s="16">
        <v>470000000</v>
      </c>
      <c r="J4296" s="16" t="s">
        <v>229</v>
      </c>
      <c r="K4296" s="57" t="s">
        <v>642</v>
      </c>
      <c r="L4296" s="12" t="s">
        <v>404</v>
      </c>
      <c r="M4296" s="162" t="s">
        <v>230</v>
      </c>
      <c r="N4296" s="8" t="s">
        <v>8899</v>
      </c>
      <c r="O4296" s="6" t="s">
        <v>622</v>
      </c>
      <c r="P4296" s="58" t="s">
        <v>241</v>
      </c>
      <c r="Q4296" s="27" t="s">
        <v>234</v>
      </c>
      <c r="R4296" s="26">
        <v>6</v>
      </c>
      <c r="S4296" s="74">
        <v>4500</v>
      </c>
      <c r="T4296" s="4">
        <f>R4296*S4296</f>
        <v>27000</v>
      </c>
      <c r="U4296" s="4">
        <f>T4296*1.12</f>
        <v>30240.000000000004</v>
      </c>
      <c r="V4296" s="3"/>
      <c r="W4296" s="3">
        <v>2014</v>
      </c>
      <c r="X4296" s="3"/>
    </row>
    <row r="4297" spans="1:24" ht="76.5">
      <c r="A4297" s="3" t="s">
        <v>1905</v>
      </c>
      <c r="B4297" s="6" t="s">
        <v>361</v>
      </c>
      <c r="C4297" s="6" t="s">
        <v>5550</v>
      </c>
      <c r="D4297" s="6" t="s">
        <v>467</v>
      </c>
      <c r="E4297" s="14" t="s">
        <v>5551</v>
      </c>
      <c r="F4297" s="129" t="s">
        <v>7939</v>
      </c>
      <c r="G4297" s="3" t="s">
        <v>11449</v>
      </c>
      <c r="H4297" s="54">
        <v>0</v>
      </c>
      <c r="I4297" s="16">
        <v>470000000</v>
      </c>
      <c r="J4297" s="16" t="s">
        <v>229</v>
      </c>
      <c r="K4297" s="57" t="s">
        <v>641</v>
      </c>
      <c r="L4297" s="57" t="s">
        <v>364</v>
      </c>
      <c r="M4297" s="162" t="s">
        <v>230</v>
      </c>
      <c r="N4297" s="8" t="s">
        <v>8899</v>
      </c>
      <c r="O4297" s="6" t="s">
        <v>622</v>
      </c>
      <c r="P4297" s="58" t="s">
        <v>241</v>
      </c>
      <c r="Q4297" s="27" t="s">
        <v>234</v>
      </c>
      <c r="R4297" s="26">
        <v>8</v>
      </c>
      <c r="S4297" s="51">
        <v>7192</v>
      </c>
      <c r="T4297" s="4">
        <v>0</v>
      </c>
      <c r="U4297" s="4">
        <f t="shared" si="212"/>
        <v>0</v>
      </c>
      <c r="V4297" s="3"/>
      <c r="W4297" s="3">
        <v>2014</v>
      </c>
      <c r="X4297" s="3">
        <v>11.12</v>
      </c>
    </row>
    <row r="4298" spans="1:24" ht="76.5">
      <c r="A4298" s="3" t="s">
        <v>13168</v>
      </c>
      <c r="B4298" s="6" t="s">
        <v>361</v>
      </c>
      <c r="C4298" s="6" t="s">
        <v>5550</v>
      </c>
      <c r="D4298" s="6" t="s">
        <v>467</v>
      </c>
      <c r="E4298" s="14" t="s">
        <v>5551</v>
      </c>
      <c r="F4298" s="129" t="s">
        <v>7939</v>
      </c>
      <c r="G4298" s="3" t="s">
        <v>11449</v>
      </c>
      <c r="H4298" s="54">
        <v>0</v>
      </c>
      <c r="I4298" s="16">
        <v>470000000</v>
      </c>
      <c r="J4298" s="16" t="s">
        <v>229</v>
      </c>
      <c r="K4298" s="57" t="s">
        <v>642</v>
      </c>
      <c r="L4298" s="12" t="s">
        <v>404</v>
      </c>
      <c r="M4298" s="162" t="s">
        <v>230</v>
      </c>
      <c r="N4298" s="8" t="s">
        <v>8899</v>
      </c>
      <c r="O4298" s="6" t="s">
        <v>622</v>
      </c>
      <c r="P4298" s="58" t="s">
        <v>241</v>
      </c>
      <c r="Q4298" s="27" t="s">
        <v>234</v>
      </c>
      <c r="R4298" s="26">
        <v>8</v>
      </c>
      <c r="S4298" s="51">
        <v>7192</v>
      </c>
      <c r="T4298" s="4">
        <f>R4298*S4298</f>
        <v>57536</v>
      </c>
      <c r="U4298" s="4">
        <f>T4298*1.12</f>
        <v>64440.320000000007</v>
      </c>
      <c r="V4298" s="3"/>
      <c r="W4298" s="3">
        <v>2014</v>
      </c>
      <c r="X4298" s="3"/>
    </row>
    <row r="4299" spans="1:24" ht="76.5">
      <c r="A4299" s="3" t="s">
        <v>1906</v>
      </c>
      <c r="B4299" s="6" t="s">
        <v>361</v>
      </c>
      <c r="C4299" s="6" t="s">
        <v>5552</v>
      </c>
      <c r="D4299" s="6" t="s">
        <v>3440</v>
      </c>
      <c r="E4299" s="14" t="s">
        <v>5553</v>
      </c>
      <c r="F4299" s="129" t="s">
        <v>7940</v>
      </c>
      <c r="G4299" s="3" t="s">
        <v>11449</v>
      </c>
      <c r="H4299" s="54">
        <v>0</v>
      </c>
      <c r="I4299" s="16">
        <v>470000000</v>
      </c>
      <c r="J4299" s="16" t="s">
        <v>229</v>
      </c>
      <c r="K4299" s="57" t="s">
        <v>641</v>
      </c>
      <c r="L4299" s="57" t="s">
        <v>364</v>
      </c>
      <c r="M4299" s="162" t="s">
        <v>230</v>
      </c>
      <c r="N4299" s="8" t="s">
        <v>8899</v>
      </c>
      <c r="O4299" s="6" t="s">
        <v>622</v>
      </c>
      <c r="P4299" s="58" t="s">
        <v>241</v>
      </c>
      <c r="Q4299" s="27" t="s">
        <v>234</v>
      </c>
      <c r="R4299" s="26">
        <v>10</v>
      </c>
      <c r="S4299" s="74">
        <v>600</v>
      </c>
      <c r="T4299" s="4">
        <v>0</v>
      </c>
      <c r="U4299" s="4">
        <f t="shared" si="212"/>
        <v>0</v>
      </c>
      <c r="V4299" s="3"/>
      <c r="W4299" s="3">
        <v>2014</v>
      </c>
      <c r="X4299" s="3">
        <v>11.12</v>
      </c>
    </row>
    <row r="4300" spans="1:24" ht="76.5">
      <c r="A4300" s="3" t="s">
        <v>13169</v>
      </c>
      <c r="B4300" s="6" t="s">
        <v>361</v>
      </c>
      <c r="C4300" s="6" t="s">
        <v>5552</v>
      </c>
      <c r="D4300" s="6" t="s">
        <v>3440</v>
      </c>
      <c r="E4300" s="14" t="s">
        <v>5553</v>
      </c>
      <c r="F4300" s="129" t="s">
        <v>7940</v>
      </c>
      <c r="G4300" s="3" t="s">
        <v>11449</v>
      </c>
      <c r="H4300" s="54">
        <v>0</v>
      </c>
      <c r="I4300" s="16">
        <v>470000000</v>
      </c>
      <c r="J4300" s="16" t="s">
        <v>229</v>
      </c>
      <c r="K4300" s="57" t="s">
        <v>642</v>
      </c>
      <c r="L4300" s="12" t="s">
        <v>404</v>
      </c>
      <c r="M4300" s="162" t="s">
        <v>230</v>
      </c>
      <c r="N4300" s="8" t="s">
        <v>8899</v>
      </c>
      <c r="O4300" s="6" t="s">
        <v>622</v>
      </c>
      <c r="P4300" s="58" t="s">
        <v>241</v>
      </c>
      <c r="Q4300" s="27" t="s">
        <v>234</v>
      </c>
      <c r="R4300" s="26">
        <v>10</v>
      </c>
      <c r="S4300" s="74">
        <v>600</v>
      </c>
      <c r="T4300" s="4">
        <f>R4300*S4300</f>
        <v>6000</v>
      </c>
      <c r="U4300" s="4">
        <f>T4300*1.12</f>
        <v>6720.0000000000009</v>
      </c>
      <c r="V4300" s="3"/>
      <c r="W4300" s="3">
        <v>2014</v>
      </c>
      <c r="X4300" s="3"/>
    </row>
    <row r="4301" spans="1:24" ht="76.5">
      <c r="A4301" s="3" t="s">
        <v>1907</v>
      </c>
      <c r="B4301" s="6" t="s">
        <v>361</v>
      </c>
      <c r="C4301" s="6" t="s">
        <v>5552</v>
      </c>
      <c r="D4301" s="6" t="s">
        <v>3440</v>
      </c>
      <c r="E4301" s="14" t="s">
        <v>5553</v>
      </c>
      <c r="F4301" s="129" t="s">
        <v>7941</v>
      </c>
      <c r="G4301" s="3" t="s">
        <v>11449</v>
      </c>
      <c r="H4301" s="54">
        <v>0</v>
      </c>
      <c r="I4301" s="16">
        <v>470000000</v>
      </c>
      <c r="J4301" s="16" t="s">
        <v>229</v>
      </c>
      <c r="K4301" s="57" t="s">
        <v>641</v>
      </c>
      <c r="L4301" s="57" t="s">
        <v>364</v>
      </c>
      <c r="M4301" s="162" t="s">
        <v>230</v>
      </c>
      <c r="N4301" s="8" t="s">
        <v>8899</v>
      </c>
      <c r="O4301" s="6" t="s">
        <v>622</v>
      </c>
      <c r="P4301" s="58" t="s">
        <v>241</v>
      </c>
      <c r="Q4301" s="27" t="s">
        <v>234</v>
      </c>
      <c r="R4301" s="26">
        <v>10</v>
      </c>
      <c r="S4301" s="74">
        <v>600</v>
      </c>
      <c r="T4301" s="4">
        <v>0</v>
      </c>
      <c r="U4301" s="4">
        <f t="shared" si="212"/>
        <v>0</v>
      </c>
      <c r="V4301" s="3"/>
      <c r="W4301" s="3">
        <v>2014</v>
      </c>
      <c r="X4301" s="3">
        <v>11.12</v>
      </c>
    </row>
    <row r="4302" spans="1:24" ht="76.5">
      <c r="A4302" s="3" t="s">
        <v>13170</v>
      </c>
      <c r="B4302" s="6" t="s">
        <v>361</v>
      </c>
      <c r="C4302" s="6" t="s">
        <v>5552</v>
      </c>
      <c r="D4302" s="6" t="s">
        <v>3440</v>
      </c>
      <c r="E4302" s="14" t="s">
        <v>5553</v>
      </c>
      <c r="F4302" s="129" t="s">
        <v>7941</v>
      </c>
      <c r="G4302" s="3" t="s">
        <v>11449</v>
      </c>
      <c r="H4302" s="54">
        <v>0</v>
      </c>
      <c r="I4302" s="16">
        <v>470000000</v>
      </c>
      <c r="J4302" s="16" t="s">
        <v>229</v>
      </c>
      <c r="K4302" s="57" t="s">
        <v>642</v>
      </c>
      <c r="L4302" s="12" t="s">
        <v>404</v>
      </c>
      <c r="M4302" s="162" t="s">
        <v>230</v>
      </c>
      <c r="N4302" s="8" t="s">
        <v>8899</v>
      </c>
      <c r="O4302" s="6" t="s">
        <v>622</v>
      </c>
      <c r="P4302" s="58" t="s">
        <v>241</v>
      </c>
      <c r="Q4302" s="27" t="s">
        <v>234</v>
      </c>
      <c r="R4302" s="26">
        <v>10</v>
      </c>
      <c r="S4302" s="74">
        <v>600</v>
      </c>
      <c r="T4302" s="4">
        <f>R4302*S4302</f>
        <v>6000</v>
      </c>
      <c r="U4302" s="4">
        <f>T4302*1.12</f>
        <v>6720.0000000000009</v>
      </c>
      <c r="V4302" s="3"/>
      <c r="W4302" s="3">
        <v>2014</v>
      </c>
      <c r="X4302" s="3"/>
    </row>
    <row r="4303" spans="1:24" ht="76.5">
      <c r="A4303" s="3" t="s">
        <v>1908</v>
      </c>
      <c r="B4303" s="6" t="s">
        <v>361</v>
      </c>
      <c r="C4303" s="6" t="s">
        <v>5554</v>
      </c>
      <c r="D4303" s="6" t="s">
        <v>417</v>
      </c>
      <c r="E4303" s="14" t="s">
        <v>5332</v>
      </c>
      <c r="F4303" s="129" t="s">
        <v>7942</v>
      </c>
      <c r="G4303" s="3" t="s">
        <v>11449</v>
      </c>
      <c r="H4303" s="54">
        <v>0</v>
      </c>
      <c r="I4303" s="16">
        <v>470000000</v>
      </c>
      <c r="J4303" s="16" t="s">
        <v>229</v>
      </c>
      <c r="K4303" s="57" t="s">
        <v>641</v>
      </c>
      <c r="L4303" s="57" t="s">
        <v>364</v>
      </c>
      <c r="M4303" s="162" t="s">
        <v>230</v>
      </c>
      <c r="N4303" s="8" t="s">
        <v>8899</v>
      </c>
      <c r="O4303" s="6" t="s">
        <v>622</v>
      </c>
      <c r="P4303" s="58" t="s">
        <v>241</v>
      </c>
      <c r="Q4303" s="27" t="s">
        <v>234</v>
      </c>
      <c r="R4303" s="26">
        <v>10</v>
      </c>
      <c r="S4303" s="74">
        <v>700</v>
      </c>
      <c r="T4303" s="4">
        <v>0</v>
      </c>
      <c r="U4303" s="4">
        <f t="shared" si="212"/>
        <v>0</v>
      </c>
      <c r="V4303" s="3"/>
      <c r="W4303" s="3">
        <v>2014</v>
      </c>
      <c r="X4303" s="3">
        <v>11.12</v>
      </c>
    </row>
    <row r="4304" spans="1:24" ht="76.5">
      <c r="A4304" s="3" t="s">
        <v>13171</v>
      </c>
      <c r="B4304" s="6" t="s">
        <v>361</v>
      </c>
      <c r="C4304" s="6" t="s">
        <v>5554</v>
      </c>
      <c r="D4304" s="6" t="s">
        <v>417</v>
      </c>
      <c r="E4304" s="14" t="s">
        <v>5332</v>
      </c>
      <c r="F4304" s="129" t="s">
        <v>7942</v>
      </c>
      <c r="G4304" s="3" t="s">
        <v>11449</v>
      </c>
      <c r="H4304" s="54">
        <v>0</v>
      </c>
      <c r="I4304" s="16">
        <v>470000000</v>
      </c>
      <c r="J4304" s="16" t="s">
        <v>229</v>
      </c>
      <c r="K4304" s="57" t="s">
        <v>642</v>
      </c>
      <c r="L4304" s="12" t="s">
        <v>404</v>
      </c>
      <c r="M4304" s="162" t="s">
        <v>230</v>
      </c>
      <c r="N4304" s="8" t="s">
        <v>8899</v>
      </c>
      <c r="O4304" s="6" t="s">
        <v>622</v>
      </c>
      <c r="P4304" s="58" t="s">
        <v>241</v>
      </c>
      <c r="Q4304" s="27" t="s">
        <v>234</v>
      </c>
      <c r="R4304" s="26">
        <v>10</v>
      </c>
      <c r="S4304" s="74">
        <v>700</v>
      </c>
      <c r="T4304" s="4">
        <f>R4304*S4304</f>
        <v>7000</v>
      </c>
      <c r="U4304" s="4">
        <f>T4304*1.12</f>
        <v>7840.0000000000009</v>
      </c>
      <c r="V4304" s="3"/>
      <c r="W4304" s="3">
        <v>2014</v>
      </c>
      <c r="X4304" s="3"/>
    </row>
    <row r="4305" spans="1:24" ht="153">
      <c r="A4305" s="3" t="s">
        <v>1909</v>
      </c>
      <c r="B4305" s="6" t="s">
        <v>361</v>
      </c>
      <c r="C4305" s="6" t="s">
        <v>5526</v>
      </c>
      <c r="D4305" s="6" t="s">
        <v>5527</v>
      </c>
      <c r="E4305" s="14" t="s">
        <v>5528</v>
      </c>
      <c r="F4305" s="129" t="s">
        <v>7943</v>
      </c>
      <c r="G4305" s="3" t="s">
        <v>11449</v>
      </c>
      <c r="H4305" s="54">
        <v>0</v>
      </c>
      <c r="I4305" s="16">
        <v>470000000</v>
      </c>
      <c r="J4305" s="16" t="s">
        <v>229</v>
      </c>
      <c r="K4305" s="57" t="s">
        <v>641</v>
      </c>
      <c r="L4305" s="57" t="s">
        <v>364</v>
      </c>
      <c r="M4305" s="162" t="s">
        <v>230</v>
      </c>
      <c r="N4305" s="8" t="s">
        <v>8899</v>
      </c>
      <c r="O4305" s="6" t="s">
        <v>622</v>
      </c>
      <c r="P4305" s="58" t="s">
        <v>241</v>
      </c>
      <c r="Q4305" s="27" t="s">
        <v>234</v>
      </c>
      <c r="R4305" s="26">
        <v>1</v>
      </c>
      <c r="S4305" s="1">
        <v>353100</v>
      </c>
      <c r="T4305" s="4">
        <v>0</v>
      </c>
      <c r="U4305" s="4">
        <f t="shared" si="212"/>
        <v>0</v>
      </c>
      <c r="V4305" s="3"/>
      <c r="W4305" s="3">
        <v>2014</v>
      </c>
      <c r="X4305" s="3">
        <v>11.12</v>
      </c>
    </row>
    <row r="4306" spans="1:24" ht="153">
      <c r="A4306" s="3" t="s">
        <v>13172</v>
      </c>
      <c r="B4306" s="6" t="s">
        <v>361</v>
      </c>
      <c r="C4306" s="6" t="s">
        <v>5526</v>
      </c>
      <c r="D4306" s="6" t="s">
        <v>5527</v>
      </c>
      <c r="E4306" s="14" t="s">
        <v>5528</v>
      </c>
      <c r="F4306" s="129" t="s">
        <v>7943</v>
      </c>
      <c r="G4306" s="3" t="s">
        <v>11449</v>
      </c>
      <c r="H4306" s="54">
        <v>0</v>
      </c>
      <c r="I4306" s="16">
        <v>470000000</v>
      </c>
      <c r="J4306" s="16" t="s">
        <v>229</v>
      </c>
      <c r="K4306" s="57" t="s">
        <v>642</v>
      </c>
      <c r="L4306" s="12" t="s">
        <v>404</v>
      </c>
      <c r="M4306" s="162" t="s">
        <v>230</v>
      </c>
      <c r="N4306" s="8" t="s">
        <v>8899</v>
      </c>
      <c r="O4306" s="6" t="s">
        <v>622</v>
      </c>
      <c r="P4306" s="58" t="s">
        <v>241</v>
      </c>
      <c r="Q4306" s="27" t="s">
        <v>234</v>
      </c>
      <c r="R4306" s="26">
        <v>1</v>
      </c>
      <c r="S4306" s="1">
        <v>353100</v>
      </c>
      <c r="T4306" s="4">
        <v>0</v>
      </c>
      <c r="U4306" s="4">
        <f>T4306*1.12</f>
        <v>0</v>
      </c>
      <c r="V4306" s="3"/>
      <c r="W4306" s="3">
        <v>2014</v>
      </c>
      <c r="X4306" s="3" t="s">
        <v>14785</v>
      </c>
    </row>
    <row r="4307" spans="1:24" ht="153">
      <c r="A4307" s="3" t="s">
        <v>16875</v>
      </c>
      <c r="B4307" s="6" t="s">
        <v>361</v>
      </c>
      <c r="C4307" s="6" t="s">
        <v>5526</v>
      </c>
      <c r="D4307" s="6" t="s">
        <v>5527</v>
      </c>
      <c r="E4307" s="14" t="s">
        <v>5528</v>
      </c>
      <c r="F4307" s="129" t="s">
        <v>7943</v>
      </c>
      <c r="G4307" s="3" t="s">
        <v>11449</v>
      </c>
      <c r="H4307" s="54">
        <v>0</v>
      </c>
      <c r="I4307" s="16">
        <v>470000000</v>
      </c>
      <c r="J4307" s="16" t="s">
        <v>229</v>
      </c>
      <c r="K4307" s="57" t="s">
        <v>8950</v>
      </c>
      <c r="L4307" s="12" t="s">
        <v>404</v>
      </c>
      <c r="M4307" s="162" t="s">
        <v>230</v>
      </c>
      <c r="N4307" s="8" t="s">
        <v>8899</v>
      </c>
      <c r="O4307" s="6" t="s">
        <v>622</v>
      </c>
      <c r="P4307" s="58" t="s">
        <v>241</v>
      </c>
      <c r="Q4307" s="27" t="s">
        <v>234</v>
      </c>
      <c r="R4307" s="26">
        <v>1</v>
      </c>
      <c r="S4307" s="1">
        <v>423720</v>
      </c>
      <c r="T4307" s="4">
        <f>R4307*S4307</f>
        <v>423720</v>
      </c>
      <c r="U4307" s="4">
        <f>T4307*1.12</f>
        <v>474566.40000000002</v>
      </c>
      <c r="V4307" s="3"/>
      <c r="W4307" s="3">
        <v>2014</v>
      </c>
      <c r="X4307" s="3"/>
    </row>
    <row r="4308" spans="1:24" ht="153">
      <c r="A4308" s="3" t="s">
        <v>1910</v>
      </c>
      <c r="B4308" s="6" t="s">
        <v>361</v>
      </c>
      <c r="C4308" s="6" t="s">
        <v>5526</v>
      </c>
      <c r="D4308" s="6" t="s">
        <v>5527</v>
      </c>
      <c r="E4308" s="14" t="s">
        <v>5528</v>
      </c>
      <c r="F4308" s="129" t="s">
        <v>7944</v>
      </c>
      <c r="G4308" s="3" t="s">
        <v>11449</v>
      </c>
      <c r="H4308" s="54">
        <v>0</v>
      </c>
      <c r="I4308" s="16">
        <v>470000000</v>
      </c>
      <c r="J4308" s="16" t="s">
        <v>229</v>
      </c>
      <c r="K4308" s="57" t="s">
        <v>641</v>
      </c>
      <c r="L4308" s="57" t="s">
        <v>364</v>
      </c>
      <c r="M4308" s="162" t="s">
        <v>230</v>
      </c>
      <c r="N4308" s="8" t="s">
        <v>8899</v>
      </c>
      <c r="O4308" s="6" t="s">
        <v>622</v>
      </c>
      <c r="P4308" s="58" t="s">
        <v>241</v>
      </c>
      <c r="Q4308" s="27" t="s">
        <v>234</v>
      </c>
      <c r="R4308" s="26">
        <v>1</v>
      </c>
      <c r="S4308" s="74">
        <v>219476.6</v>
      </c>
      <c r="T4308" s="4">
        <v>0</v>
      </c>
      <c r="U4308" s="4">
        <f t="shared" si="212"/>
        <v>0</v>
      </c>
      <c r="V4308" s="3"/>
      <c r="W4308" s="3">
        <v>2014</v>
      </c>
      <c r="X4308" s="3">
        <v>11.12</v>
      </c>
    </row>
    <row r="4309" spans="1:24" ht="153">
      <c r="A4309" s="3" t="s">
        <v>13173</v>
      </c>
      <c r="B4309" s="6" t="s">
        <v>361</v>
      </c>
      <c r="C4309" s="6" t="s">
        <v>5526</v>
      </c>
      <c r="D4309" s="6" t="s">
        <v>5527</v>
      </c>
      <c r="E4309" s="14" t="s">
        <v>5528</v>
      </c>
      <c r="F4309" s="129" t="s">
        <v>7944</v>
      </c>
      <c r="G4309" s="3" t="s">
        <v>11449</v>
      </c>
      <c r="H4309" s="54">
        <v>0</v>
      </c>
      <c r="I4309" s="16">
        <v>470000000</v>
      </c>
      <c r="J4309" s="16" t="s">
        <v>229</v>
      </c>
      <c r="K4309" s="57" t="s">
        <v>642</v>
      </c>
      <c r="L4309" s="12" t="s">
        <v>404</v>
      </c>
      <c r="M4309" s="162" t="s">
        <v>230</v>
      </c>
      <c r="N4309" s="8" t="s">
        <v>8899</v>
      </c>
      <c r="O4309" s="6" t="s">
        <v>622</v>
      </c>
      <c r="P4309" s="58" t="s">
        <v>241</v>
      </c>
      <c r="Q4309" s="27" t="s">
        <v>234</v>
      </c>
      <c r="R4309" s="26">
        <v>1</v>
      </c>
      <c r="S4309" s="74">
        <v>219476.6</v>
      </c>
      <c r="T4309" s="4">
        <v>0</v>
      </c>
      <c r="U4309" s="4">
        <f>T4309*1.12</f>
        <v>0</v>
      </c>
      <c r="V4309" s="3"/>
      <c r="W4309" s="3">
        <v>2014</v>
      </c>
      <c r="X4309" s="3" t="s">
        <v>14785</v>
      </c>
    </row>
    <row r="4310" spans="1:24" ht="153">
      <c r="A4310" s="3" t="s">
        <v>16876</v>
      </c>
      <c r="B4310" s="6" t="s">
        <v>361</v>
      </c>
      <c r="C4310" s="6" t="s">
        <v>5526</v>
      </c>
      <c r="D4310" s="6" t="s">
        <v>5527</v>
      </c>
      <c r="E4310" s="14" t="s">
        <v>5528</v>
      </c>
      <c r="F4310" s="129" t="s">
        <v>7944</v>
      </c>
      <c r="G4310" s="3" t="s">
        <v>11449</v>
      </c>
      <c r="H4310" s="54">
        <v>0</v>
      </c>
      <c r="I4310" s="16">
        <v>470000000</v>
      </c>
      <c r="J4310" s="16" t="s">
        <v>229</v>
      </c>
      <c r="K4310" s="57" t="s">
        <v>8950</v>
      </c>
      <c r="L4310" s="12" t="s">
        <v>404</v>
      </c>
      <c r="M4310" s="162" t="s">
        <v>230</v>
      </c>
      <c r="N4310" s="8" t="s">
        <v>8899</v>
      </c>
      <c r="O4310" s="6" t="s">
        <v>622</v>
      </c>
      <c r="P4310" s="58" t="s">
        <v>241</v>
      </c>
      <c r="Q4310" s="27" t="s">
        <v>234</v>
      </c>
      <c r="R4310" s="26">
        <v>1</v>
      </c>
      <c r="S4310" s="74">
        <v>263371.92</v>
      </c>
      <c r="T4310" s="4">
        <f>R4310*S4310</f>
        <v>263371.92</v>
      </c>
      <c r="U4310" s="4">
        <f>T4310*1.12</f>
        <v>294976.55040000001</v>
      </c>
      <c r="V4310" s="3"/>
      <c r="W4310" s="3">
        <v>2014</v>
      </c>
      <c r="X4310" s="3"/>
    </row>
    <row r="4311" spans="1:24" ht="114.75">
      <c r="A4311" s="3" t="s">
        <v>1911</v>
      </c>
      <c r="B4311" s="6" t="s">
        <v>361</v>
      </c>
      <c r="C4311" s="6" t="s">
        <v>5555</v>
      </c>
      <c r="D4311" s="6" t="s">
        <v>430</v>
      </c>
      <c r="E4311" s="14" t="s">
        <v>5556</v>
      </c>
      <c r="F4311" s="129" t="s">
        <v>7945</v>
      </c>
      <c r="G4311" s="3" t="s">
        <v>11449</v>
      </c>
      <c r="H4311" s="54">
        <v>0</v>
      </c>
      <c r="I4311" s="16">
        <v>470000000</v>
      </c>
      <c r="J4311" s="16" t="s">
        <v>229</v>
      </c>
      <c r="K4311" s="57" t="s">
        <v>641</v>
      </c>
      <c r="L4311" s="57" t="s">
        <v>364</v>
      </c>
      <c r="M4311" s="162" t="s">
        <v>230</v>
      </c>
      <c r="N4311" s="8" t="s">
        <v>8899</v>
      </c>
      <c r="O4311" s="6" t="s">
        <v>622</v>
      </c>
      <c r="P4311" s="58" t="s">
        <v>241</v>
      </c>
      <c r="Q4311" s="27" t="s">
        <v>234</v>
      </c>
      <c r="R4311" s="26">
        <v>8</v>
      </c>
      <c r="S4311" s="59">
        <v>23721.06</v>
      </c>
      <c r="T4311" s="4">
        <v>0</v>
      </c>
      <c r="U4311" s="4">
        <f t="shared" si="212"/>
        <v>0</v>
      </c>
      <c r="V4311" s="3"/>
      <c r="W4311" s="3">
        <v>2014</v>
      </c>
      <c r="X4311" s="3">
        <v>11.12</v>
      </c>
    </row>
    <row r="4312" spans="1:24" ht="114.75">
      <c r="A4312" s="3" t="s">
        <v>13174</v>
      </c>
      <c r="B4312" s="6" t="s">
        <v>361</v>
      </c>
      <c r="C4312" s="6" t="s">
        <v>5555</v>
      </c>
      <c r="D4312" s="6" t="s">
        <v>430</v>
      </c>
      <c r="E4312" s="14" t="s">
        <v>5556</v>
      </c>
      <c r="F4312" s="129" t="s">
        <v>7945</v>
      </c>
      <c r="G4312" s="3" t="s">
        <v>11449</v>
      </c>
      <c r="H4312" s="54">
        <v>0</v>
      </c>
      <c r="I4312" s="16">
        <v>470000000</v>
      </c>
      <c r="J4312" s="16" t="s">
        <v>229</v>
      </c>
      <c r="K4312" s="57" t="s">
        <v>642</v>
      </c>
      <c r="L4312" s="12" t="s">
        <v>404</v>
      </c>
      <c r="M4312" s="162" t="s">
        <v>230</v>
      </c>
      <c r="N4312" s="8" t="s">
        <v>8899</v>
      </c>
      <c r="O4312" s="6" t="s">
        <v>622</v>
      </c>
      <c r="P4312" s="58" t="s">
        <v>241</v>
      </c>
      <c r="Q4312" s="27" t="s">
        <v>234</v>
      </c>
      <c r="R4312" s="26">
        <v>8</v>
      </c>
      <c r="S4312" s="59">
        <v>23721.06</v>
      </c>
      <c r="T4312" s="4">
        <v>0</v>
      </c>
      <c r="U4312" s="4">
        <f>T4312*1.12</f>
        <v>0</v>
      </c>
      <c r="V4312" s="3"/>
      <c r="W4312" s="3">
        <v>2014</v>
      </c>
      <c r="X4312" s="3" t="s">
        <v>14785</v>
      </c>
    </row>
    <row r="4313" spans="1:24" ht="114.75">
      <c r="A4313" s="3" t="s">
        <v>16877</v>
      </c>
      <c r="B4313" s="6" t="s">
        <v>361</v>
      </c>
      <c r="C4313" s="6" t="s">
        <v>5555</v>
      </c>
      <c r="D4313" s="6" t="s">
        <v>430</v>
      </c>
      <c r="E4313" s="14" t="s">
        <v>5556</v>
      </c>
      <c r="F4313" s="129" t="s">
        <v>7945</v>
      </c>
      <c r="G4313" s="3" t="s">
        <v>11449</v>
      </c>
      <c r="H4313" s="54">
        <v>0</v>
      </c>
      <c r="I4313" s="16">
        <v>470000000</v>
      </c>
      <c r="J4313" s="16" t="s">
        <v>229</v>
      </c>
      <c r="K4313" s="57" t="s">
        <v>8950</v>
      </c>
      <c r="L4313" s="12" t="s">
        <v>404</v>
      </c>
      <c r="M4313" s="162" t="s">
        <v>230</v>
      </c>
      <c r="N4313" s="8" t="s">
        <v>8899</v>
      </c>
      <c r="O4313" s="6" t="s">
        <v>622</v>
      </c>
      <c r="P4313" s="58" t="s">
        <v>241</v>
      </c>
      <c r="Q4313" s="27" t="s">
        <v>234</v>
      </c>
      <c r="R4313" s="26">
        <v>8</v>
      </c>
      <c r="S4313" s="59">
        <v>30782.400000000001</v>
      </c>
      <c r="T4313" s="4">
        <f>R4313*S4313</f>
        <v>246259.20000000001</v>
      </c>
      <c r="U4313" s="4">
        <f>T4313*1.12</f>
        <v>275810.30400000006</v>
      </c>
      <c r="V4313" s="3"/>
      <c r="W4313" s="3">
        <v>2014</v>
      </c>
      <c r="X4313" s="3"/>
    </row>
    <row r="4314" spans="1:24" ht="76.5">
      <c r="A4314" s="3" t="s">
        <v>1912</v>
      </c>
      <c r="B4314" s="6" t="s">
        <v>361</v>
      </c>
      <c r="C4314" s="6" t="s">
        <v>5557</v>
      </c>
      <c r="D4314" s="6" t="s">
        <v>5558</v>
      </c>
      <c r="E4314" s="14" t="s">
        <v>5332</v>
      </c>
      <c r="F4314" s="129" t="s">
        <v>7946</v>
      </c>
      <c r="G4314" s="3" t="s">
        <v>11449</v>
      </c>
      <c r="H4314" s="54">
        <v>0</v>
      </c>
      <c r="I4314" s="16">
        <v>470000000</v>
      </c>
      <c r="J4314" s="16" t="s">
        <v>229</v>
      </c>
      <c r="K4314" s="57" t="s">
        <v>641</v>
      </c>
      <c r="L4314" s="57" t="s">
        <v>364</v>
      </c>
      <c r="M4314" s="162" t="s">
        <v>230</v>
      </c>
      <c r="N4314" s="8" t="s">
        <v>8899</v>
      </c>
      <c r="O4314" s="6" t="s">
        <v>622</v>
      </c>
      <c r="P4314" s="58" t="s">
        <v>241</v>
      </c>
      <c r="Q4314" s="27" t="s">
        <v>234</v>
      </c>
      <c r="R4314" s="26">
        <v>8</v>
      </c>
      <c r="S4314" s="59">
        <v>13665.828000000001</v>
      </c>
      <c r="T4314" s="4">
        <v>0</v>
      </c>
      <c r="U4314" s="4">
        <f t="shared" si="212"/>
        <v>0</v>
      </c>
      <c r="V4314" s="3"/>
      <c r="W4314" s="3">
        <v>2014</v>
      </c>
      <c r="X4314" s="3">
        <v>11.12</v>
      </c>
    </row>
    <row r="4315" spans="1:24" ht="76.5">
      <c r="A4315" s="3" t="s">
        <v>13175</v>
      </c>
      <c r="B4315" s="6" t="s">
        <v>361</v>
      </c>
      <c r="C4315" s="6" t="s">
        <v>5557</v>
      </c>
      <c r="D4315" s="6" t="s">
        <v>5558</v>
      </c>
      <c r="E4315" s="14" t="s">
        <v>5332</v>
      </c>
      <c r="F4315" s="129" t="s">
        <v>7946</v>
      </c>
      <c r="G4315" s="3" t="s">
        <v>11449</v>
      </c>
      <c r="H4315" s="54">
        <v>0</v>
      </c>
      <c r="I4315" s="16">
        <v>470000000</v>
      </c>
      <c r="J4315" s="16" t="s">
        <v>229</v>
      </c>
      <c r="K4315" s="57" t="s">
        <v>642</v>
      </c>
      <c r="L4315" s="12" t="s">
        <v>404</v>
      </c>
      <c r="M4315" s="162" t="s">
        <v>230</v>
      </c>
      <c r="N4315" s="8" t="s">
        <v>8899</v>
      </c>
      <c r="O4315" s="6" t="s">
        <v>622</v>
      </c>
      <c r="P4315" s="58" t="s">
        <v>241</v>
      </c>
      <c r="Q4315" s="27" t="s">
        <v>234</v>
      </c>
      <c r="R4315" s="26">
        <v>8</v>
      </c>
      <c r="S4315" s="59">
        <v>13665.828000000001</v>
      </c>
      <c r="T4315" s="4">
        <v>0</v>
      </c>
      <c r="U4315" s="4">
        <f>T4315*1.12</f>
        <v>0</v>
      </c>
      <c r="V4315" s="3"/>
      <c r="W4315" s="3">
        <v>2014</v>
      </c>
      <c r="X4315" s="3" t="s">
        <v>14785</v>
      </c>
    </row>
    <row r="4316" spans="1:24" ht="76.5">
      <c r="A4316" s="3" t="s">
        <v>16878</v>
      </c>
      <c r="B4316" s="6" t="s">
        <v>361</v>
      </c>
      <c r="C4316" s="6" t="s">
        <v>5557</v>
      </c>
      <c r="D4316" s="6" t="s">
        <v>5558</v>
      </c>
      <c r="E4316" s="14" t="s">
        <v>5332</v>
      </c>
      <c r="F4316" s="129" t="s">
        <v>7946</v>
      </c>
      <c r="G4316" s="3" t="s">
        <v>11449</v>
      </c>
      <c r="H4316" s="54">
        <v>0</v>
      </c>
      <c r="I4316" s="16">
        <v>470000000</v>
      </c>
      <c r="J4316" s="16" t="s">
        <v>229</v>
      </c>
      <c r="K4316" s="57" t="s">
        <v>8950</v>
      </c>
      <c r="L4316" s="12" t="s">
        <v>404</v>
      </c>
      <c r="M4316" s="162" t="s">
        <v>230</v>
      </c>
      <c r="N4316" s="8" t="s">
        <v>8899</v>
      </c>
      <c r="O4316" s="6" t="s">
        <v>622</v>
      </c>
      <c r="P4316" s="58" t="s">
        <v>241</v>
      </c>
      <c r="Q4316" s="27" t="s">
        <v>234</v>
      </c>
      <c r="R4316" s="26">
        <v>8</v>
      </c>
      <c r="S4316" s="59">
        <v>16398.993600000002</v>
      </c>
      <c r="T4316" s="4">
        <f>R4316*S4316</f>
        <v>131191.94880000001</v>
      </c>
      <c r="U4316" s="4">
        <f>T4316*1.12</f>
        <v>146934.98265600004</v>
      </c>
      <c r="V4316" s="3"/>
      <c r="W4316" s="3">
        <v>2014</v>
      </c>
      <c r="X4316" s="3"/>
    </row>
    <row r="4317" spans="1:24" ht="76.5">
      <c r="A4317" s="3" t="s">
        <v>1913</v>
      </c>
      <c r="B4317" s="6" t="s">
        <v>361</v>
      </c>
      <c r="C4317" s="6" t="s">
        <v>5557</v>
      </c>
      <c r="D4317" s="6" t="s">
        <v>5558</v>
      </c>
      <c r="E4317" s="14" t="s">
        <v>5332</v>
      </c>
      <c r="F4317" s="129" t="s">
        <v>7947</v>
      </c>
      <c r="G4317" s="3" t="s">
        <v>11449</v>
      </c>
      <c r="H4317" s="54">
        <v>0</v>
      </c>
      <c r="I4317" s="16">
        <v>470000000</v>
      </c>
      <c r="J4317" s="16" t="s">
        <v>229</v>
      </c>
      <c r="K4317" s="57" t="s">
        <v>641</v>
      </c>
      <c r="L4317" s="57" t="s">
        <v>364</v>
      </c>
      <c r="M4317" s="162" t="s">
        <v>230</v>
      </c>
      <c r="N4317" s="8" t="s">
        <v>8899</v>
      </c>
      <c r="O4317" s="6" t="s">
        <v>622</v>
      </c>
      <c r="P4317" s="58" t="s">
        <v>241</v>
      </c>
      <c r="Q4317" s="27" t="s">
        <v>234</v>
      </c>
      <c r="R4317" s="26">
        <v>8</v>
      </c>
      <c r="S4317" s="59">
        <v>13174.645000000002</v>
      </c>
      <c r="T4317" s="4">
        <v>0</v>
      </c>
      <c r="U4317" s="4">
        <f t="shared" si="212"/>
        <v>0</v>
      </c>
      <c r="V4317" s="3"/>
      <c r="W4317" s="3">
        <v>2014</v>
      </c>
      <c r="X4317" s="3">
        <v>11.12</v>
      </c>
    </row>
    <row r="4318" spans="1:24" ht="76.5">
      <c r="A4318" s="3" t="s">
        <v>13176</v>
      </c>
      <c r="B4318" s="6" t="s">
        <v>361</v>
      </c>
      <c r="C4318" s="6" t="s">
        <v>5557</v>
      </c>
      <c r="D4318" s="6" t="s">
        <v>5558</v>
      </c>
      <c r="E4318" s="14" t="s">
        <v>5332</v>
      </c>
      <c r="F4318" s="129" t="s">
        <v>7947</v>
      </c>
      <c r="G4318" s="3" t="s">
        <v>11449</v>
      </c>
      <c r="H4318" s="54">
        <v>0</v>
      </c>
      <c r="I4318" s="16">
        <v>470000000</v>
      </c>
      <c r="J4318" s="16" t="s">
        <v>229</v>
      </c>
      <c r="K4318" s="57" t="s">
        <v>642</v>
      </c>
      <c r="L4318" s="12" t="s">
        <v>404</v>
      </c>
      <c r="M4318" s="162" t="s">
        <v>230</v>
      </c>
      <c r="N4318" s="8" t="s">
        <v>8899</v>
      </c>
      <c r="O4318" s="6" t="s">
        <v>622</v>
      </c>
      <c r="P4318" s="58" t="s">
        <v>241</v>
      </c>
      <c r="Q4318" s="27" t="s">
        <v>234</v>
      </c>
      <c r="R4318" s="26">
        <v>8</v>
      </c>
      <c r="S4318" s="59">
        <v>13174.645000000002</v>
      </c>
      <c r="T4318" s="4">
        <v>0</v>
      </c>
      <c r="U4318" s="4">
        <f>T4318*1.12</f>
        <v>0</v>
      </c>
      <c r="V4318" s="3"/>
      <c r="W4318" s="3">
        <v>2014</v>
      </c>
      <c r="X4318" s="3" t="s">
        <v>14785</v>
      </c>
    </row>
    <row r="4319" spans="1:24" ht="76.5">
      <c r="A4319" s="3" t="s">
        <v>16879</v>
      </c>
      <c r="B4319" s="6" t="s">
        <v>361</v>
      </c>
      <c r="C4319" s="6" t="s">
        <v>5557</v>
      </c>
      <c r="D4319" s="6" t="s">
        <v>5558</v>
      </c>
      <c r="E4319" s="14" t="s">
        <v>5332</v>
      </c>
      <c r="F4319" s="129" t="s">
        <v>7947</v>
      </c>
      <c r="G4319" s="3" t="s">
        <v>11449</v>
      </c>
      <c r="H4319" s="54">
        <v>0</v>
      </c>
      <c r="I4319" s="16">
        <v>470000000</v>
      </c>
      <c r="J4319" s="16" t="s">
        <v>229</v>
      </c>
      <c r="K4319" s="57" t="s">
        <v>8950</v>
      </c>
      <c r="L4319" s="12" t="s">
        <v>404</v>
      </c>
      <c r="M4319" s="162" t="s">
        <v>230</v>
      </c>
      <c r="N4319" s="8" t="s">
        <v>8899</v>
      </c>
      <c r="O4319" s="6" t="s">
        <v>622</v>
      </c>
      <c r="P4319" s="58" t="s">
        <v>241</v>
      </c>
      <c r="Q4319" s="27" t="s">
        <v>234</v>
      </c>
      <c r="R4319" s="26">
        <v>8</v>
      </c>
      <c r="S4319" s="59">
        <v>15809.574000000002</v>
      </c>
      <c r="T4319" s="4">
        <f>R4319*S4319</f>
        <v>126476.59200000002</v>
      </c>
      <c r="U4319" s="4">
        <f>T4319*1.12</f>
        <v>141653.78304000004</v>
      </c>
      <c r="V4319" s="3"/>
      <c r="W4319" s="3">
        <v>2014</v>
      </c>
      <c r="X4319" s="3"/>
    </row>
    <row r="4320" spans="1:24" ht="76.5">
      <c r="A4320" s="3" t="s">
        <v>1914</v>
      </c>
      <c r="B4320" s="6" t="s">
        <v>361</v>
      </c>
      <c r="C4320" s="6" t="s">
        <v>5559</v>
      </c>
      <c r="D4320" s="6" t="s">
        <v>3220</v>
      </c>
      <c r="E4320" s="14" t="s">
        <v>5332</v>
      </c>
      <c r="F4320" s="129" t="s">
        <v>7948</v>
      </c>
      <c r="G4320" s="3" t="s">
        <v>11449</v>
      </c>
      <c r="H4320" s="54">
        <v>0</v>
      </c>
      <c r="I4320" s="16">
        <v>470000000</v>
      </c>
      <c r="J4320" s="16" t="s">
        <v>229</v>
      </c>
      <c r="K4320" s="57" t="s">
        <v>641</v>
      </c>
      <c r="L4320" s="57" t="s">
        <v>364</v>
      </c>
      <c r="M4320" s="162" t="s">
        <v>230</v>
      </c>
      <c r="N4320" s="8" t="s">
        <v>8899</v>
      </c>
      <c r="O4320" s="6" t="s">
        <v>622</v>
      </c>
      <c r="P4320" s="58" t="s">
        <v>241</v>
      </c>
      <c r="Q4320" s="27" t="s">
        <v>234</v>
      </c>
      <c r="R4320" s="26">
        <v>8</v>
      </c>
      <c r="S4320" s="59">
        <v>3596.3400000000006</v>
      </c>
      <c r="T4320" s="4">
        <v>0</v>
      </c>
      <c r="U4320" s="4">
        <f t="shared" si="212"/>
        <v>0</v>
      </c>
      <c r="V4320" s="3"/>
      <c r="W4320" s="3">
        <v>2014</v>
      </c>
      <c r="X4320" s="3">
        <v>11.12</v>
      </c>
    </row>
    <row r="4321" spans="1:24" ht="76.5">
      <c r="A4321" s="3" t="s">
        <v>13177</v>
      </c>
      <c r="B4321" s="6" t="s">
        <v>361</v>
      </c>
      <c r="C4321" s="6" t="s">
        <v>5559</v>
      </c>
      <c r="D4321" s="6" t="s">
        <v>3220</v>
      </c>
      <c r="E4321" s="14" t="s">
        <v>5332</v>
      </c>
      <c r="F4321" s="129" t="s">
        <v>7948</v>
      </c>
      <c r="G4321" s="3" t="s">
        <v>11449</v>
      </c>
      <c r="H4321" s="54">
        <v>0</v>
      </c>
      <c r="I4321" s="16">
        <v>470000000</v>
      </c>
      <c r="J4321" s="16" t="s">
        <v>229</v>
      </c>
      <c r="K4321" s="57" t="s">
        <v>642</v>
      </c>
      <c r="L4321" s="12" t="s">
        <v>404</v>
      </c>
      <c r="M4321" s="162" t="s">
        <v>230</v>
      </c>
      <c r="N4321" s="8" t="s">
        <v>8899</v>
      </c>
      <c r="O4321" s="6" t="s">
        <v>622</v>
      </c>
      <c r="P4321" s="58" t="s">
        <v>241</v>
      </c>
      <c r="Q4321" s="27" t="s">
        <v>234</v>
      </c>
      <c r="R4321" s="26">
        <v>8</v>
      </c>
      <c r="S4321" s="59">
        <v>3596.3400000000006</v>
      </c>
      <c r="T4321" s="4">
        <v>0</v>
      </c>
      <c r="U4321" s="4">
        <f>T4321*1.12</f>
        <v>0</v>
      </c>
      <c r="V4321" s="3"/>
      <c r="W4321" s="3">
        <v>2014</v>
      </c>
      <c r="X4321" s="3" t="s">
        <v>14785</v>
      </c>
    </row>
    <row r="4322" spans="1:24" ht="76.5">
      <c r="A4322" s="3" t="s">
        <v>16880</v>
      </c>
      <c r="B4322" s="6" t="s">
        <v>361</v>
      </c>
      <c r="C4322" s="6" t="s">
        <v>5559</v>
      </c>
      <c r="D4322" s="6" t="s">
        <v>3220</v>
      </c>
      <c r="E4322" s="14" t="s">
        <v>5332</v>
      </c>
      <c r="F4322" s="129" t="s">
        <v>7948</v>
      </c>
      <c r="G4322" s="3" t="s">
        <v>11449</v>
      </c>
      <c r="H4322" s="54">
        <v>0</v>
      </c>
      <c r="I4322" s="16">
        <v>470000000</v>
      </c>
      <c r="J4322" s="16" t="s">
        <v>229</v>
      </c>
      <c r="K4322" s="57" t="s">
        <v>8950</v>
      </c>
      <c r="L4322" s="12" t="s">
        <v>404</v>
      </c>
      <c r="M4322" s="162" t="s">
        <v>230</v>
      </c>
      <c r="N4322" s="8" t="s">
        <v>8899</v>
      </c>
      <c r="O4322" s="6" t="s">
        <v>622</v>
      </c>
      <c r="P4322" s="58" t="s">
        <v>241</v>
      </c>
      <c r="Q4322" s="27" t="s">
        <v>234</v>
      </c>
      <c r="R4322" s="26">
        <v>8</v>
      </c>
      <c r="S4322" s="59">
        <v>4315.6080000000002</v>
      </c>
      <c r="T4322" s="4">
        <f>R4322*S4322</f>
        <v>34524.864000000001</v>
      </c>
      <c r="U4322" s="4">
        <f>T4322*1.12</f>
        <v>38667.847680000006</v>
      </c>
      <c r="V4322" s="3"/>
      <c r="W4322" s="3">
        <v>2014</v>
      </c>
      <c r="X4322" s="3"/>
    </row>
    <row r="4323" spans="1:24" ht="76.5">
      <c r="A4323" s="3" t="s">
        <v>1915</v>
      </c>
      <c r="B4323" s="6" t="s">
        <v>361</v>
      </c>
      <c r="C4323" s="6" t="s">
        <v>7304</v>
      </c>
      <c r="D4323" s="6" t="s">
        <v>5399</v>
      </c>
      <c r="E4323" s="14" t="s">
        <v>7305</v>
      </c>
      <c r="F4323" s="129" t="s">
        <v>7949</v>
      </c>
      <c r="G4323" s="3" t="s">
        <v>11449</v>
      </c>
      <c r="H4323" s="54">
        <v>0</v>
      </c>
      <c r="I4323" s="16">
        <v>470000000</v>
      </c>
      <c r="J4323" s="16" t="s">
        <v>229</v>
      </c>
      <c r="K4323" s="57" t="s">
        <v>641</v>
      </c>
      <c r="L4323" s="57" t="s">
        <v>364</v>
      </c>
      <c r="M4323" s="162" t="s">
        <v>230</v>
      </c>
      <c r="N4323" s="8" t="s">
        <v>8899</v>
      </c>
      <c r="O4323" s="6" t="s">
        <v>622</v>
      </c>
      <c r="P4323" s="58" t="s">
        <v>241</v>
      </c>
      <c r="Q4323" s="27" t="s">
        <v>234</v>
      </c>
      <c r="R4323" s="26">
        <v>2</v>
      </c>
      <c r="S4323" s="59">
        <v>14382.126</v>
      </c>
      <c r="T4323" s="4">
        <v>0</v>
      </c>
      <c r="U4323" s="4">
        <f t="shared" si="212"/>
        <v>0</v>
      </c>
      <c r="V4323" s="3"/>
      <c r="W4323" s="3">
        <v>2014</v>
      </c>
      <c r="X4323" s="3">
        <v>11.12</v>
      </c>
    </row>
    <row r="4324" spans="1:24" ht="76.5">
      <c r="A4324" s="3" t="s">
        <v>13178</v>
      </c>
      <c r="B4324" s="6" t="s">
        <v>361</v>
      </c>
      <c r="C4324" s="6" t="s">
        <v>7304</v>
      </c>
      <c r="D4324" s="6" t="s">
        <v>5399</v>
      </c>
      <c r="E4324" s="14" t="s">
        <v>7305</v>
      </c>
      <c r="F4324" s="129" t="s">
        <v>7949</v>
      </c>
      <c r="G4324" s="3" t="s">
        <v>11449</v>
      </c>
      <c r="H4324" s="54">
        <v>0</v>
      </c>
      <c r="I4324" s="16">
        <v>470000000</v>
      </c>
      <c r="J4324" s="16" t="s">
        <v>229</v>
      </c>
      <c r="K4324" s="57" t="s">
        <v>642</v>
      </c>
      <c r="L4324" s="12" t="s">
        <v>404</v>
      </c>
      <c r="M4324" s="162" t="s">
        <v>230</v>
      </c>
      <c r="N4324" s="8" t="s">
        <v>8899</v>
      </c>
      <c r="O4324" s="6" t="s">
        <v>622</v>
      </c>
      <c r="P4324" s="58" t="s">
        <v>241</v>
      </c>
      <c r="Q4324" s="27" t="s">
        <v>234</v>
      </c>
      <c r="R4324" s="26">
        <v>2</v>
      </c>
      <c r="S4324" s="59">
        <v>14382.126</v>
      </c>
      <c r="T4324" s="4">
        <v>0</v>
      </c>
      <c r="U4324" s="4">
        <f>T4324*1.12</f>
        <v>0</v>
      </c>
      <c r="V4324" s="3"/>
      <c r="W4324" s="3">
        <v>2014</v>
      </c>
      <c r="X4324" s="3" t="s">
        <v>14785</v>
      </c>
    </row>
    <row r="4325" spans="1:24" ht="76.5">
      <c r="A4325" s="3" t="s">
        <v>16881</v>
      </c>
      <c r="B4325" s="6" t="s">
        <v>361</v>
      </c>
      <c r="C4325" s="6" t="s">
        <v>7304</v>
      </c>
      <c r="D4325" s="6" t="s">
        <v>5399</v>
      </c>
      <c r="E4325" s="14" t="s">
        <v>7305</v>
      </c>
      <c r="F4325" s="129" t="s">
        <v>7949</v>
      </c>
      <c r="G4325" s="3" t="s">
        <v>11449</v>
      </c>
      <c r="H4325" s="54">
        <v>0</v>
      </c>
      <c r="I4325" s="16">
        <v>470000000</v>
      </c>
      <c r="J4325" s="16" t="s">
        <v>229</v>
      </c>
      <c r="K4325" s="57" t="s">
        <v>8950</v>
      </c>
      <c r="L4325" s="12" t="s">
        <v>404</v>
      </c>
      <c r="M4325" s="162" t="s">
        <v>230</v>
      </c>
      <c r="N4325" s="8" t="s">
        <v>8899</v>
      </c>
      <c r="O4325" s="6" t="s">
        <v>622</v>
      </c>
      <c r="P4325" s="58" t="s">
        <v>241</v>
      </c>
      <c r="Q4325" s="27" t="s">
        <v>234</v>
      </c>
      <c r="R4325" s="26">
        <v>2</v>
      </c>
      <c r="S4325" s="59">
        <v>17258.551199999998</v>
      </c>
      <c r="T4325" s="4">
        <f>R4325*S4325</f>
        <v>34517.102399999996</v>
      </c>
      <c r="U4325" s="4">
        <f>T4325*1.12</f>
        <v>38659.154688000002</v>
      </c>
      <c r="V4325" s="3"/>
      <c r="W4325" s="3">
        <v>2014</v>
      </c>
      <c r="X4325" s="3"/>
    </row>
    <row r="4326" spans="1:24" ht="76.5">
      <c r="A4326" s="3" t="s">
        <v>1916</v>
      </c>
      <c r="B4326" s="6" t="s">
        <v>361</v>
      </c>
      <c r="C4326" s="6" t="s">
        <v>5560</v>
      </c>
      <c r="D4326" s="6" t="s">
        <v>415</v>
      </c>
      <c r="E4326" s="14" t="s">
        <v>5561</v>
      </c>
      <c r="F4326" s="129" t="s">
        <v>7950</v>
      </c>
      <c r="G4326" s="3" t="s">
        <v>11449</v>
      </c>
      <c r="H4326" s="54">
        <v>0</v>
      </c>
      <c r="I4326" s="16">
        <v>470000000</v>
      </c>
      <c r="J4326" s="16" t="s">
        <v>229</v>
      </c>
      <c r="K4326" s="57" t="s">
        <v>641</v>
      </c>
      <c r="L4326" s="57" t="s">
        <v>364</v>
      </c>
      <c r="M4326" s="162" t="s">
        <v>230</v>
      </c>
      <c r="N4326" s="8" t="s">
        <v>8899</v>
      </c>
      <c r="O4326" s="6" t="s">
        <v>622</v>
      </c>
      <c r="P4326" s="58" t="s">
        <v>241</v>
      </c>
      <c r="Q4326" s="27" t="s">
        <v>234</v>
      </c>
      <c r="R4326" s="26">
        <v>2</v>
      </c>
      <c r="S4326" s="59">
        <v>21762.862000000001</v>
      </c>
      <c r="T4326" s="4">
        <v>0</v>
      </c>
      <c r="U4326" s="4">
        <f t="shared" si="212"/>
        <v>0</v>
      </c>
      <c r="V4326" s="3"/>
      <c r="W4326" s="3">
        <v>2014</v>
      </c>
      <c r="X4326" s="3">
        <v>11.12</v>
      </c>
    </row>
    <row r="4327" spans="1:24" ht="76.5">
      <c r="A4327" s="3" t="s">
        <v>13179</v>
      </c>
      <c r="B4327" s="6" t="s">
        <v>361</v>
      </c>
      <c r="C4327" s="6" t="s">
        <v>5560</v>
      </c>
      <c r="D4327" s="6" t="s">
        <v>415</v>
      </c>
      <c r="E4327" s="14" t="s">
        <v>5561</v>
      </c>
      <c r="F4327" s="129" t="s">
        <v>7950</v>
      </c>
      <c r="G4327" s="3" t="s">
        <v>11449</v>
      </c>
      <c r="H4327" s="54">
        <v>0</v>
      </c>
      <c r="I4327" s="16">
        <v>470000000</v>
      </c>
      <c r="J4327" s="16" t="s">
        <v>229</v>
      </c>
      <c r="K4327" s="57" t="s">
        <v>642</v>
      </c>
      <c r="L4327" s="12" t="s">
        <v>404</v>
      </c>
      <c r="M4327" s="162" t="s">
        <v>230</v>
      </c>
      <c r="N4327" s="8" t="s">
        <v>8899</v>
      </c>
      <c r="O4327" s="6" t="s">
        <v>622</v>
      </c>
      <c r="P4327" s="58" t="s">
        <v>241</v>
      </c>
      <c r="Q4327" s="27" t="s">
        <v>234</v>
      </c>
      <c r="R4327" s="26">
        <v>2</v>
      </c>
      <c r="S4327" s="59">
        <v>21762.862000000001</v>
      </c>
      <c r="T4327" s="4">
        <v>0</v>
      </c>
      <c r="U4327" s="4">
        <f>T4327*1.12</f>
        <v>0</v>
      </c>
      <c r="V4327" s="3"/>
      <c r="W4327" s="3">
        <v>2014</v>
      </c>
      <c r="X4327" s="3" t="s">
        <v>14785</v>
      </c>
    </row>
    <row r="4328" spans="1:24" ht="76.5">
      <c r="A4328" s="3" t="s">
        <v>16882</v>
      </c>
      <c r="B4328" s="6" t="s">
        <v>361</v>
      </c>
      <c r="C4328" s="6" t="s">
        <v>5560</v>
      </c>
      <c r="D4328" s="6" t="s">
        <v>415</v>
      </c>
      <c r="E4328" s="14" t="s">
        <v>5561</v>
      </c>
      <c r="F4328" s="129" t="s">
        <v>7950</v>
      </c>
      <c r="G4328" s="3" t="s">
        <v>11449</v>
      </c>
      <c r="H4328" s="54">
        <v>0</v>
      </c>
      <c r="I4328" s="16">
        <v>470000000</v>
      </c>
      <c r="J4328" s="16" t="s">
        <v>229</v>
      </c>
      <c r="K4328" s="57" t="s">
        <v>8950</v>
      </c>
      <c r="L4328" s="12" t="s">
        <v>404</v>
      </c>
      <c r="M4328" s="162" t="s">
        <v>230</v>
      </c>
      <c r="N4328" s="8" t="s">
        <v>8899</v>
      </c>
      <c r="O4328" s="6" t="s">
        <v>622</v>
      </c>
      <c r="P4328" s="58" t="s">
        <v>241</v>
      </c>
      <c r="Q4328" s="336" t="s">
        <v>234</v>
      </c>
      <c r="R4328" s="333">
        <v>2</v>
      </c>
      <c r="S4328" s="59">
        <v>26115.434400000002</v>
      </c>
      <c r="T4328" s="4">
        <v>0</v>
      </c>
      <c r="U4328" s="4">
        <f t="shared" ref="U4328:U4329" si="215">T4328*1.12</f>
        <v>0</v>
      </c>
      <c r="V4328" s="3"/>
      <c r="W4328" s="3">
        <v>2014</v>
      </c>
      <c r="X4328" s="3" t="s">
        <v>14265</v>
      </c>
    </row>
    <row r="4329" spans="1:24" ht="76.5">
      <c r="A4329" s="3" t="s">
        <v>19136</v>
      </c>
      <c r="B4329" s="6" t="s">
        <v>361</v>
      </c>
      <c r="C4329" s="6" t="s">
        <v>5560</v>
      </c>
      <c r="D4329" s="6" t="s">
        <v>415</v>
      </c>
      <c r="E4329" s="14" t="s">
        <v>5561</v>
      </c>
      <c r="F4329" s="129" t="s">
        <v>7950</v>
      </c>
      <c r="G4329" s="3" t="s">
        <v>11449</v>
      </c>
      <c r="H4329" s="54">
        <v>0</v>
      </c>
      <c r="I4329" s="16">
        <v>470000000</v>
      </c>
      <c r="J4329" s="16" t="s">
        <v>229</v>
      </c>
      <c r="K4329" s="57" t="s">
        <v>18437</v>
      </c>
      <c r="L4329" s="12" t="s">
        <v>404</v>
      </c>
      <c r="M4329" s="162" t="s">
        <v>230</v>
      </c>
      <c r="N4329" s="8" t="s">
        <v>19369</v>
      </c>
      <c r="O4329" s="6" t="s">
        <v>19407</v>
      </c>
      <c r="P4329" s="58" t="s">
        <v>241</v>
      </c>
      <c r="Q4329" s="336" t="s">
        <v>234</v>
      </c>
      <c r="R4329" s="333">
        <v>2</v>
      </c>
      <c r="S4329" s="59">
        <v>26115.434400000002</v>
      </c>
      <c r="T4329" s="4">
        <f>R4329*S4329</f>
        <v>52230.868800000004</v>
      </c>
      <c r="U4329" s="4">
        <f t="shared" si="215"/>
        <v>58498.573056000008</v>
      </c>
      <c r="V4329" s="3"/>
      <c r="W4329" s="3">
        <v>2014</v>
      </c>
      <c r="X4329" s="3"/>
    </row>
    <row r="4330" spans="1:24" ht="76.5">
      <c r="A4330" s="3" t="s">
        <v>1917</v>
      </c>
      <c r="B4330" s="6" t="s">
        <v>361</v>
      </c>
      <c r="C4330" s="6" t="s">
        <v>5562</v>
      </c>
      <c r="D4330" s="6" t="s">
        <v>5563</v>
      </c>
      <c r="E4330" s="14" t="s">
        <v>5332</v>
      </c>
      <c r="F4330" s="129" t="s">
        <v>7951</v>
      </c>
      <c r="G4330" s="3" t="s">
        <v>11449</v>
      </c>
      <c r="H4330" s="54">
        <v>0</v>
      </c>
      <c r="I4330" s="16">
        <v>470000000</v>
      </c>
      <c r="J4330" s="16" t="s">
        <v>229</v>
      </c>
      <c r="K4330" s="57" t="s">
        <v>641</v>
      </c>
      <c r="L4330" s="57" t="s">
        <v>364</v>
      </c>
      <c r="M4330" s="162" t="s">
        <v>230</v>
      </c>
      <c r="N4330" s="8" t="s">
        <v>8899</v>
      </c>
      <c r="O4330" s="6" t="s">
        <v>622</v>
      </c>
      <c r="P4330" s="58" t="s">
        <v>241</v>
      </c>
      <c r="Q4330" s="27" t="s">
        <v>234</v>
      </c>
      <c r="R4330" s="26">
        <v>2</v>
      </c>
      <c r="S4330" s="59">
        <v>13114.387000000001</v>
      </c>
      <c r="T4330" s="4">
        <v>0</v>
      </c>
      <c r="U4330" s="4">
        <f t="shared" si="212"/>
        <v>0</v>
      </c>
      <c r="V4330" s="3"/>
      <c r="W4330" s="3">
        <v>2014</v>
      </c>
      <c r="X4330" s="3">
        <v>11.12</v>
      </c>
    </row>
    <row r="4331" spans="1:24" ht="76.5">
      <c r="A4331" s="3" t="s">
        <v>13180</v>
      </c>
      <c r="B4331" s="6" t="s">
        <v>361</v>
      </c>
      <c r="C4331" s="6" t="s">
        <v>5562</v>
      </c>
      <c r="D4331" s="6" t="s">
        <v>5563</v>
      </c>
      <c r="E4331" s="14" t="s">
        <v>5332</v>
      </c>
      <c r="F4331" s="129" t="s">
        <v>7951</v>
      </c>
      <c r="G4331" s="3" t="s">
        <v>11449</v>
      </c>
      <c r="H4331" s="54">
        <v>0</v>
      </c>
      <c r="I4331" s="16">
        <v>470000000</v>
      </c>
      <c r="J4331" s="16" t="s">
        <v>229</v>
      </c>
      <c r="K4331" s="57" t="s">
        <v>642</v>
      </c>
      <c r="L4331" s="12" t="s">
        <v>404</v>
      </c>
      <c r="M4331" s="162" t="s">
        <v>230</v>
      </c>
      <c r="N4331" s="8" t="s">
        <v>8899</v>
      </c>
      <c r="O4331" s="6" t="s">
        <v>622</v>
      </c>
      <c r="P4331" s="58" t="s">
        <v>241</v>
      </c>
      <c r="Q4331" s="27" t="s">
        <v>234</v>
      </c>
      <c r="R4331" s="26">
        <v>2</v>
      </c>
      <c r="S4331" s="59">
        <v>13114.387000000001</v>
      </c>
      <c r="T4331" s="4">
        <f>R4331*S4331</f>
        <v>26228.774000000001</v>
      </c>
      <c r="U4331" s="4">
        <f>T4331*1.12</f>
        <v>29376.226880000006</v>
      </c>
      <c r="V4331" s="3"/>
      <c r="W4331" s="3">
        <v>2014</v>
      </c>
      <c r="X4331" s="3"/>
    </row>
    <row r="4332" spans="1:24" ht="76.5">
      <c r="A4332" s="3" t="s">
        <v>1918</v>
      </c>
      <c r="B4332" s="6" t="s">
        <v>361</v>
      </c>
      <c r="C4332" s="6" t="s">
        <v>5564</v>
      </c>
      <c r="D4332" s="6" t="s">
        <v>467</v>
      </c>
      <c r="E4332" s="14" t="s">
        <v>5565</v>
      </c>
      <c r="F4332" s="129" t="s">
        <v>7952</v>
      </c>
      <c r="G4332" s="3" t="s">
        <v>11449</v>
      </c>
      <c r="H4332" s="54">
        <v>0</v>
      </c>
      <c r="I4332" s="16">
        <v>470000000</v>
      </c>
      <c r="J4332" s="16" t="s">
        <v>229</v>
      </c>
      <c r="K4332" s="57" t="s">
        <v>641</v>
      </c>
      <c r="L4332" s="57" t="s">
        <v>364</v>
      </c>
      <c r="M4332" s="162" t="s">
        <v>230</v>
      </c>
      <c r="N4332" s="8" t="s">
        <v>8899</v>
      </c>
      <c r="O4332" s="6" t="s">
        <v>622</v>
      </c>
      <c r="P4332" s="58" t="s">
        <v>241</v>
      </c>
      <c r="Q4332" s="27" t="s">
        <v>234</v>
      </c>
      <c r="R4332" s="26">
        <v>4</v>
      </c>
      <c r="S4332" s="59">
        <v>5519.8660000000009</v>
      </c>
      <c r="T4332" s="4">
        <v>0</v>
      </c>
      <c r="U4332" s="4">
        <f t="shared" si="212"/>
        <v>0</v>
      </c>
      <c r="V4332" s="3"/>
      <c r="W4332" s="3">
        <v>2014</v>
      </c>
      <c r="X4332" s="3">
        <v>11.12</v>
      </c>
    </row>
    <row r="4333" spans="1:24" ht="76.5">
      <c r="A4333" s="3" t="s">
        <v>13181</v>
      </c>
      <c r="B4333" s="6" t="s">
        <v>361</v>
      </c>
      <c r="C4333" s="6" t="s">
        <v>5564</v>
      </c>
      <c r="D4333" s="6" t="s">
        <v>467</v>
      </c>
      <c r="E4333" s="14" t="s">
        <v>5565</v>
      </c>
      <c r="F4333" s="129" t="s">
        <v>7952</v>
      </c>
      <c r="G4333" s="3" t="s">
        <v>11449</v>
      </c>
      <c r="H4333" s="54">
        <v>0</v>
      </c>
      <c r="I4333" s="16">
        <v>470000000</v>
      </c>
      <c r="J4333" s="16" t="s">
        <v>229</v>
      </c>
      <c r="K4333" s="57" t="s">
        <v>642</v>
      </c>
      <c r="L4333" s="12" t="s">
        <v>404</v>
      </c>
      <c r="M4333" s="162" t="s">
        <v>230</v>
      </c>
      <c r="N4333" s="8" t="s">
        <v>8899</v>
      </c>
      <c r="O4333" s="6" t="s">
        <v>622</v>
      </c>
      <c r="P4333" s="58" t="s">
        <v>241</v>
      </c>
      <c r="Q4333" s="27" t="s">
        <v>234</v>
      </c>
      <c r="R4333" s="26">
        <v>4</v>
      </c>
      <c r="S4333" s="59">
        <v>5519.8660000000009</v>
      </c>
      <c r="T4333" s="4">
        <f>R4333*S4333</f>
        <v>22079.464000000004</v>
      </c>
      <c r="U4333" s="4">
        <f>T4333*1.12</f>
        <v>24728.999680000008</v>
      </c>
      <c r="V4333" s="3"/>
      <c r="W4333" s="3">
        <v>2014</v>
      </c>
      <c r="X4333" s="3"/>
    </row>
    <row r="4334" spans="1:24" ht="76.5">
      <c r="A4334" s="3" t="s">
        <v>1919</v>
      </c>
      <c r="B4334" s="6" t="s">
        <v>361</v>
      </c>
      <c r="C4334" s="6" t="s">
        <v>5404</v>
      </c>
      <c r="D4334" s="6" t="s">
        <v>415</v>
      </c>
      <c r="E4334" s="14" t="s">
        <v>5405</v>
      </c>
      <c r="F4334" s="129" t="s">
        <v>7953</v>
      </c>
      <c r="G4334" s="3" t="s">
        <v>11449</v>
      </c>
      <c r="H4334" s="54">
        <v>0</v>
      </c>
      <c r="I4334" s="16">
        <v>470000000</v>
      </c>
      <c r="J4334" s="16" t="s">
        <v>229</v>
      </c>
      <c r="K4334" s="57" t="s">
        <v>641</v>
      </c>
      <c r="L4334" s="57" t="s">
        <v>364</v>
      </c>
      <c r="M4334" s="162" t="s">
        <v>230</v>
      </c>
      <c r="N4334" s="8" t="s">
        <v>8899</v>
      </c>
      <c r="O4334" s="6" t="s">
        <v>622</v>
      </c>
      <c r="P4334" s="58" t="s">
        <v>241</v>
      </c>
      <c r="Q4334" s="27" t="s">
        <v>234</v>
      </c>
      <c r="R4334" s="26">
        <v>2</v>
      </c>
      <c r="S4334" s="59">
        <v>44625.988000000005</v>
      </c>
      <c r="T4334" s="4">
        <v>0</v>
      </c>
      <c r="U4334" s="4">
        <f t="shared" si="212"/>
        <v>0</v>
      </c>
      <c r="V4334" s="3"/>
      <c r="W4334" s="3">
        <v>2014</v>
      </c>
      <c r="X4334" s="3">
        <v>11.12</v>
      </c>
    </row>
    <row r="4335" spans="1:24" ht="76.5">
      <c r="A4335" s="3" t="s">
        <v>13182</v>
      </c>
      <c r="B4335" s="6" t="s">
        <v>361</v>
      </c>
      <c r="C4335" s="6" t="s">
        <v>5404</v>
      </c>
      <c r="D4335" s="6" t="s">
        <v>415</v>
      </c>
      <c r="E4335" s="14" t="s">
        <v>5405</v>
      </c>
      <c r="F4335" s="129" t="s">
        <v>7953</v>
      </c>
      <c r="G4335" s="3" t="s">
        <v>11449</v>
      </c>
      <c r="H4335" s="54">
        <v>0</v>
      </c>
      <c r="I4335" s="16">
        <v>470000000</v>
      </c>
      <c r="J4335" s="16" t="s">
        <v>229</v>
      </c>
      <c r="K4335" s="57" t="s">
        <v>642</v>
      </c>
      <c r="L4335" s="12" t="s">
        <v>404</v>
      </c>
      <c r="M4335" s="162" t="s">
        <v>230</v>
      </c>
      <c r="N4335" s="8" t="s">
        <v>8899</v>
      </c>
      <c r="O4335" s="6" t="s">
        <v>622</v>
      </c>
      <c r="P4335" s="58" t="s">
        <v>241</v>
      </c>
      <c r="Q4335" s="27" t="s">
        <v>234</v>
      </c>
      <c r="R4335" s="26">
        <v>2</v>
      </c>
      <c r="S4335" s="59">
        <v>44625.988000000005</v>
      </c>
      <c r="T4335" s="4">
        <f>R4335*S4335</f>
        <v>89251.97600000001</v>
      </c>
      <c r="U4335" s="4">
        <f>T4335*1.12</f>
        <v>99962.213120000015</v>
      </c>
      <c r="V4335" s="3"/>
      <c r="W4335" s="3">
        <v>2014</v>
      </c>
      <c r="X4335" s="3"/>
    </row>
    <row r="4336" spans="1:24" ht="76.5">
      <c r="A4336" s="3" t="s">
        <v>1920</v>
      </c>
      <c r="B4336" s="6" t="s">
        <v>361</v>
      </c>
      <c r="C4336" s="6" t="s">
        <v>5538</v>
      </c>
      <c r="D4336" s="6" t="s">
        <v>451</v>
      </c>
      <c r="E4336" s="14" t="s">
        <v>5539</v>
      </c>
      <c r="F4336" s="129" t="s">
        <v>7954</v>
      </c>
      <c r="G4336" s="3" t="s">
        <v>11449</v>
      </c>
      <c r="H4336" s="54">
        <v>0</v>
      </c>
      <c r="I4336" s="16">
        <v>470000000</v>
      </c>
      <c r="J4336" s="16" t="s">
        <v>229</v>
      </c>
      <c r="K4336" s="57" t="s">
        <v>641</v>
      </c>
      <c r="L4336" s="57" t="s">
        <v>364</v>
      </c>
      <c r="M4336" s="162" t="s">
        <v>230</v>
      </c>
      <c r="N4336" s="8" t="s">
        <v>8899</v>
      </c>
      <c r="O4336" s="6" t="s">
        <v>622</v>
      </c>
      <c r="P4336" s="58" t="s">
        <v>241</v>
      </c>
      <c r="Q4336" s="27" t="s">
        <v>234</v>
      </c>
      <c r="R4336" s="26">
        <v>12</v>
      </c>
      <c r="S4336" s="59">
        <v>95649.059000000008</v>
      </c>
      <c r="T4336" s="4">
        <v>0</v>
      </c>
      <c r="U4336" s="4">
        <f t="shared" si="212"/>
        <v>0</v>
      </c>
      <c r="V4336" s="3"/>
      <c r="W4336" s="3">
        <v>2014</v>
      </c>
      <c r="X4336" s="3">
        <v>11.12</v>
      </c>
    </row>
    <row r="4337" spans="1:24" ht="76.5">
      <c r="A4337" s="3" t="s">
        <v>13183</v>
      </c>
      <c r="B4337" s="6" t="s">
        <v>361</v>
      </c>
      <c r="C4337" s="6" t="s">
        <v>5538</v>
      </c>
      <c r="D4337" s="6" t="s">
        <v>451</v>
      </c>
      <c r="E4337" s="14" t="s">
        <v>5539</v>
      </c>
      <c r="F4337" s="129" t="s">
        <v>7954</v>
      </c>
      <c r="G4337" s="3" t="s">
        <v>11449</v>
      </c>
      <c r="H4337" s="54">
        <v>0</v>
      </c>
      <c r="I4337" s="16">
        <v>470000000</v>
      </c>
      <c r="J4337" s="16" t="s">
        <v>229</v>
      </c>
      <c r="K4337" s="57" t="s">
        <v>642</v>
      </c>
      <c r="L4337" s="12" t="s">
        <v>404</v>
      </c>
      <c r="M4337" s="162" t="s">
        <v>230</v>
      </c>
      <c r="N4337" s="8" t="s">
        <v>8899</v>
      </c>
      <c r="O4337" s="6" t="s">
        <v>622</v>
      </c>
      <c r="P4337" s="58" t="s">
        <v>241</v>
      </c>
      <c r="Q4337" s="27" t="s">
        <v>234</v>
      </c>
      <c r="R4337" s="26">
        <v>12</v>
      </c>
      <c r="S4337" s="59">
        <v>95649.059000000008</v>
      </c>
      <c r="T4337" s="4">
        <f>R4337*S4337</f>
        <v>1147788.7080000001</v>
      </c>
      <c r="U4337" s="4">
        <f>T4337*1.12</f>
        <v>1285523.3529600003</v>
      </c>
      <c r="V4337" s="3"/>
      <c r="W4337" s="3">
        <v>2014</v>
      </c>
      <c r="X4337" s="3"/>
    </row>
    <row r="4338" spans="1:24" ht="76.5">
      <c r="A4338" s="3" t="s">
        <v>1921</v>
      </c>
      <c r="B4338" s="6" t="s">
        <v>361</v>
      </c>
      <c r="C4338" s="6" t="s">
        <v>5566</v>
      </c>
      <c r="D4338" s="6" t="s">
        <v>5567</v>
      </c>
      <c r="E4338" s="14" t="s">
        <v>5332</v>
      </c>
      <c r="F4338" s="129" t="s">
        <v>7955</v>
      </c>
      <c r="G4338" s="3" t="s">
        <v>11449</v>
      </c>
      <c r="H4338" s="54">
        <v>0</v>
      </c>
      <c r="I4338" s="16">
        <v>470000000</v>
      </c>
      <c r="J4338" s="16" t="s">
        <v>229</v>
      </c>
      <c r="K4338" s="57" t="s">
        <v>641</v>
      </c>
      <c r="L4338" s="57" t="s">
        <v>364</v>
      </c>
      <c r="M4338" s="162" t="s">
        <v>230</v>
      </c>
      <c r="N4338" s="8" t="s">
        <v>8899</v>
      </c>
      <c r="O4338" s="6" t="s">
        <v>622</v>
      </c>
      <c r="P4338" s="58" t="s">
        <v>241</v>
      </c>
      <c r="Q4338" s="27" t="s">
        <v>234</v>
      </c>
      <c r="R4338" s="26">
        <v>12</v>
      </c>
      <c r="S4338" s="59">
        <v>726.00000000000011</v>
      </c>
      <c r="T4338" s="4">
        <v>0</v>
      </c>
      <c r="U4338" s="4">
        <f t="shared" si="212"/>
        <v>0</v>
      </c>
      <c r="V4338" s="3"/>
      <c r="W4338" s="3">
        <v>2014</v>
      </c>
      <c r="X4338" s="3">
        <v>11.12</v>
      </c>
    </row>
    <row r="4339" spans="1:24" ht="76.5">
      <c r="A4339" s="3" t="s">
        <v>13184</v>
      </c>
      <c r="B4339" s="6" t="s">
        <v>361</v>
      </c>
      <c r="C4339" s="6" t="s">
        <v>5566</v>
      </c>
      <c r="D4339" s="6" t="s">
        <v>5567</v>
      </c>
      <c r="E4339" s="14" t="s">
        <v>5332</v>
      </c>
      <c r="F4339" s="129" t="s">
        <v>7955</v>
      </c>
      <c r="G4339" s="3" t="s">
        <v>11449</v>
      </c>
      <c r="H4339" s="54">
        <v>0</v>
      </c>
      <c r="I4339" s="16">
        <v>470000000</v>
      </c>
      <c r="J4339" s="16" t="s">
        <v>229</v>
      </c>
      <c r="K4339" s="57" t="s">
        <v>642</v>
      </c>
      <c r="L4339" s="12" t="s">
        <v>404</v>
      </c>
      <c r="M4339" s="162" t="s">
        <v>230</v>
      </c>
      <c r="N4339" s="8" t="s">
        <v>8899</v>
      </c>
      <c r="O4339" s="6" t="s">
        <v>622</v>
      </c>
      <c r="P4339" s="58" t="s">
        <v>241</v>
      </c>
      <c r="Q4339" s="27" t="s">
        <v>234</v>
      </c>
      <c r="R4339" s="26">
        <v>12</v>
      </c>
      <c r="S4339" s="59">
        <v>726.00000000000011</v>
      </c>
      <c r="T4339" s="4">
        <v>0</v>
      </c>
      <c r="U4339" s="4">
        <f>T4339*1.12</f>
        <v>0</v>
      </c>
      <c r="V4339" s="3"/>
      <c r="W4339" s="3">
        <v>2014</v>
      </c>
      <c r="X4339" s="3" t="s">
        <v>14785</v>
      </c>
    </row>
    <row r="4340" spans="1:24" ht="76.5">
      <c r="A4340" s="3" t="s">
        <v>16883</v>
      </c>
      <c r="B4340" s="6" t="s">
        <v>361</v>
      </c>
      <c r="C4340" s="6" t="s">
        <v>5566</v>
      </c>
      <c r="D4340" s="6" t="s">
        <v>5567</v>
      </c>
      <c r="E4340" s="14" t="s">
        <v>5332</v>
      </c>
      <c r="F4340" s="129" t="s">
        <v>7955</v>
      </c>
      <c r="G4340" s="3" t="s">
        <v>11449</v>
      </c>
      <c r="H4340" s="54">
        <v>0</v>
      </c>
      <c r="I4340" s="16">
        <v>470000000</v>
      </c>
      <c r="J4340" s="16" t="s">
        <v>229</v>
      </c>
      <c r="K4340" s="57" t="s">
        <v>8950</v>
      </c>
      <c r="L4340" s="12" t="s">
        <v>404</v>
      </c>
      <c r="M4340" s="162" t="s">
        <v>230</v>
      </c>
      <c r="N4340" s="8" t="s">
        <v>8899</v>
      </c>
      <c r="O4340" s="6" t="s">
        <v>622</v>
      </c>
      <c r="P4340" s="58" t="s">
        <v>241</v>
      </c>
      <c r="Q4340" s="27" t="s">
        <v>234</v>
      </c>
      <c r="R4340" s="26">
        <v>12</v>
      </c>
      <c r="S4340" s="59">
        <v>871.20000000000016</v>
      </c>
      <c r="T4340" s="4">
        <f>R4340*S4340</f>
        <v>10454.400000000001</v>
      </c>
      <c r="U4340" s="4">
        <f>T4340*1.12</f>
        <v>11708.928000000004</v>
      </c>
      <c r="V4340" s="3"/>
      <c r="W4340" s="3">
        <v>2014</v>
      </c>
      <c r="X4340" s="3"/>
    </row>
    <row r="4341" spans="1:24" ht="76.5">
      <c r="A4341" s="3" t="s">
        <v>1922</v>
      </c>
      <c r="B4341" s="6" t="s">
        <v>361</v>
      </c>
      <c r="C4341" s="6" t="s">
        <v>5568</v>
      </c>
      <c r="D4341" s="6" t="s">
        <v>5569</v>
      </c>
      <c r="E4341" s="14" t="s">
        <v>5570</v>
      </c>
      <c r="F4341" s="129" t="s">
        <v>7956</v>
      </c>
      <c r="G4341" s="3" t="s">
        <v>11449</v>
      </c>
      <c r="H4341" s="54">
        <v>0</v>
      </c>
      <c r="I4341" s="16">
        <v>470000000</v>
      </c>
      <c r="J4341" s="16" t="s">
        <v>229</v>
      </c>
      <c r="K4341" s="57" t="s">
        <v>641</v>
      </c>
      <c r="L4341" s="57" t="s">
        <v>364</v>
      </c>
      <c r="M4341" s="162" t="s">
        <v>230</v>
      </c>
      <c r="N4341" s="8" t="s">
        <v>8899</v>
      </c>
      <c r="O4341" s="6" t="s">
        <v>622</v>
      </c>
      <c r="P4341" s="58" t="s">
        <v>241</v>
      </c>
      <c r="Q4341" s="27" t="s">
        <v>234</v>
      </c>
      <c r="R4341" s="26">
        <v>3</v>
      </c>
      <c r="S4341" s="59">
        <v>21175</v>
      </c>
      <c r="T4341" s="4">
        <v>0</v>
      </c>
      <c r="U4341" s="4">
        <f t="shared" si="212"/>
        <v>0</v>
      </c>
      <c r="V4341" s="3"/>
      <c r="W4341" s="3">
        <v>2014</v>
      </c>
      <c r="X4341" s="3">
        <v>11.12</v>
      </c>
    </row>
    <row r="4342" spans="1:24" ht="76.5">
      <c r="A4342" s="3" t="s">
        <v>13185</v>
      </c>
      <c r="B4342" s="6" t="s">
        <v>361</v>
      </c>
      <c r="C4342" s="6" t="s">
        <v>5568</v>
      </c>
      <c r="D4342" s="6" t="s">
        <v>5569</v>
      </c>
      <c r="E4342" s="14" t="s">
        <v>5570</v>
      </c>
      <c r="F4342" s="129" t="s">
        <v>7956</v>
      </c>
      <c r="G4342" s="3" t="s">
        <v>11449</v>
      </c>
      <c r="H4342" s="54">
        <v>0</v>
      </c>
      <c r="I4342" s="16">
        <v>470000000</v>
      </c>
      <c r="J4342" s="16" t="s">
        <v>229</v>
      </c>
      <c r="K4342" s="57" t="s">
        <v>642</v>
      </c>
      <c r="L4342" s="12" t="s">
        <v>404</v>
      </c>
      <c r="M4342" s="162" t="s">
        <v>230</v>
      </c>
      <c r="N4342" s="8" t="s">
        <v>8899</v>
      </c>
      <c r="O4342" s="6" t="s">
        <v>622</v>
      </c>
      <c r="P4342" s="58" t="s">
        <v>241</v>
      </c>
      <c r="Q4342" s="27" t="s">
        <v>234</v>
      </c>
      <c r="R4342" s="26">
        <v>3</v>
      </c>
      <c r="S4342" s="59">
        <v>21175</v>
      </c>
      <c r="T4342" s="4">
        <f>R4342*S4342</f>
        <v>63525</v>
      </c>
      <c r="U4342" s="4">
        <f>T4342*1.12</f>
        <v>71148</v>
      </c>
      <c r="V4342" s="3"/>
      <c r="W4342" s="3">
        <v>2014</v>
      </c>
      <c r="X4342" s="3"/>
    </row>
    <row r="4343" spans="1:24" ht="76.5">
      <c r="A4343" s="3" t="s">
        <v>1923</v>
      </c>
      <c r="B4343" s="6" t="s">
        <v>361</v>
      </c>
      <c r="C4343" s="6" t="s">
        <v>5571</v>
      </c>
      <c r="D4343" s="6" t="s">
        <v>437</v>
      </c>
      <c r="E4343" s="14" t="s">
        <v>5572</v>
      </c>
      <c r="F4343" s="129" t="s">
        <v>7957</v>
      </c>
      <c r="G4343" s="3" t="s">
        <v>11449</v>
      </c>
      <c r="H4343" s="54">
        <v>0</v>
      </c>
      <c r="I4343" s="16">
        <v>470000000</v>
      </c>
      <c r="J4343" s="16" t="s">
        <v>229</v>
      </c>
      <c r="K4343" s="57" t="s">
        <v>641</v>
      </c>
      <c r="L4343" s="57" t="s">
        <v>364</v>
      </c>
      <c r="M4343" s="162" t="s">
        <v>230</v>
      </c>
      <c r="N4343" s="8" t="s">
        <v>8899</v>
      </c>
      <c r="O4343" s="6" t="s">
        <v>622</v>
      </c>
      <c r="P4343" s="58" t="s">
        <v>241</v>
      </c>
      <c r="Q4343" s="27" t="s">
        <v>234</v>
      </c>
      <c r="R4343" s="26">
        <v>8</v>
      </c>
      <c r="S4343" s="59">
        <v>1998</v>
      </c>
      <c r="T4343" s="4">
        <v>0</v>
      </c>
      <c r="U4343" s="4">
        <f t="shared" si="212"/>
        <v>0</v>
      </c>
      <c r="V4343" s="3"/>
      <c r="W4343" s="3">
        <v>2014</v>
      </c>
      <c r="X4343" s="3">
        <v>11.12</v>
      </c>
    </row>
    <row r="4344" spans="1:24" ht="76.5">
      <c r="A4344" s="3" t="s">
        <v>13186</v>
      </c>
      <c r="B4344" s="6" t="s">
        <v>361</v>
      </c>
      <c r="C4344" s="6" t="s">
        <v>5571</v>
      </c>
      <c r="D4344" s="6" t="s">
        <v>437</v>
      </c>
      <c r="E4344" s="14" t="s">
        <v>5572</v>
      </c>
      <c r="F4344" s="129" t="s">
        <v>7957</v>
      </c>
      <c r="G4344" s="3" t="s">
        <v>11449</v>
      </c>
      <c r="H4344" s="54">
        <v>0</v>
      </c>
      <c r="I4344" s="16">
        <v>470000000</v>
      </c>
      <c r="J4344" s="16" t="s">
        <v>229</v>
      </c>
      <c r="K4344" s="57" t="s">
        <v>642</v>
      </c>
      <c r="L4344" s="12" t="s">
        <v>404</v>
      </c>
      <c r="M4344" s="162" t="s">
        <v>230</v>
      </c>
      <c r="N4344" s="8" t="s">
        <v>8899</v>
      </c>
      <c r="O4344" s="6" t="s">
        <v>622</v>
      </c>
      <c r="P4344" s="58" t="s">
        <v>241</v>
      </c>
      <c r="Q4344" s="27" t="s">
        <v>234</v>
      </c>
      <c r="R4344" s="26">
        <v>8</v>
      </c>
      <c r="S4344" s="59">
        <v>1998</v>
      </c>
      <c r="T4344" s="4">
        <f>R4344*S4344</f>
        <v>15984</v>
      </c>
      <c r="U4344" s="4">
        <f>T4344*1.12</f>
        <v>17902.080000000002</v>
      </c>
      <c r="V4344" s="3"/>
      <c r="W4344" s="3">
        <v>2014</v>
      </c>
      <c r="X4344" s="3"/>
    </row>
    <row r="4345" spans="1:24" ht="76.5">
      <c r="A4345" s="3" t="s">
        <v>1924</v>
      </c>
      <c r="B4345" s="6" t="s">
        <v>361</v>
      </c>
      <c r="C4345" s="6" t="s">
        <v>5573</v>
      </c>
      <c r="D4345" s="6" t="s">
        <v>5574</v>
      </c>
      <c r="E4345" s="14" t="s">
        <v>5575</v>
      </c>
      <c r="F4345" s="129" t="s">
        <v>7958</v>
      </c>
      <c r="G4345" s="3" t="s">
        <v>11449</v>
      </c>
      <c r="H4345" s="54">
        <v>0</v>
      </c>
      <c r="I4345" s="16">
        <v>470000000</v>
      </c>
      <c r="J4345" s="16" t="s">
        <v>229</v>
      </c>
      <c r="K4345" s="57" t="s">
        <v>641</v>
      </c>
      <c r="L4345" s="57" t="s">
        <v>364</v>
      </c>
      <c r="M4345" s="162" t="s">
        <v>230</v>
      </c>
      <c r="N4345" s="8" t="s">
        <v>8899</v>
      </c>
      <c r="O4345" s="6" t="s">
        <v>622</v>
      </c>
      <c r="P4345" s="58" t="s">
        <v>241</v>
      </c>
      <c r="Q4345" s="27" t="s">
        <v>234</v>
      </c>
      <c r="R4345" s="26">
        <v>6</v>
      </c>
      <c r="S4345" s="59">
        <v>6655.0000000000009</v>
      </c>
      <c r="T4345" s="4">
        <v>0</v>
      </c>
      <c r="U4345" s="4">
        <f t="shared" si="212"/>
        <v>0</v>
      </c>
      <c r="V4345" s="3"/>
      <c r="W4345" s="3">
        <v>2014</v>
      </c>
      <c r="X4345" s="3">
        <v>11.12</v>
      </c>
    </row>
    <row r="4346" spans="1:24" ht="76.5">
      <c r="A4346" s="3" t="s">
        <v>13187</v>
      </c>
      <c r="B4346" s="6" t="s">
        <v>361</v>
      </c>
      <c r="C4346" s="6" t="s">
        <v>5573</v>
      </c>
      <c r="D4346" s="6" t="s">
        <v>5574</v>
      </c>
      <c r="E4346" s="14" t="s">
        <v>5575</v>
      </c>
      <c r="F4346" s="129" t="s">
        <v>7958</v>
      </c>
      <c r="G4346" s="3" t="s">
        <v>11449</v>
      </c>
      <c r="H4346" s="54">
        <v>0</v>
      </c>
      <c r="I4346" s="16">
        <v>470000000</v>
      </c>
      <c r="J4346" s="16" t="s">
        <v>229</v>
      </c>
      <c r="K4346" s="57" t="s">
        <v>642</v>
      </c>
      <c r="L4346" s="12" t="s">
        <v>404</v>
      </c>
      <c r="M4346" s="162" t="s">
        <v>230</v>
      </c>
      <c r="N4346" s="8" t="s">
        <v>8899</v>
      </c>
      <c r="O4346" s="6" t="s">
        <v>622</v>
      </c>
      <c r="P4346" s="58" t="s">
        <v>241</v>
      </c>
      <c r="Q4346" s="27" t="s">
        <v>234</v>
      </c>
      <c r="R4346" s="26">
        <v>6</v>
      </c>
      <c r="S4346" s="59">
        <v>6655.0000000000009</v>
      </c>
      <c r="T4346" s="4">
        <f>R4346*S4346</f>
        <v>39930.000000000007</v>
      </c>
      <c r="U4346" s="4">
        <f>T4346*1.12</f>
        <v>44721.600000000013</v>
      </c>
      <c r="V4346" s="3"/>
      <c r="W4346" s="3">
        <v>2014</v>
      </c>
      <c r="X4346" s="3"/>
    </row>
    <row r="4347" spans="1:24" ht="76.5">
      <c r="A4347" s="3" t="s">
        <v>1925</v>
      </c>
      <c r="B4347" s="6" t="s">
        <v>361</v>
      </c>
      <c r="C4347" s="6" t="s">
        <v>5576</v>
      </c>
      <c r="D4347" s="6" t="s">
        <v>5577</v>
      </c>
      <c r="E4347" s="14" t="s">
        <v>5183</v>
      </c>
      <c r="F4347" s="129" t="s">
        <v>7959</v>
      </c>
      <c r="G4347" s="3" t="s">
        <v>11449</v>
      </c>
      <c r="H4347" s="54">
        <v>0</v>
      </c>
      <c r="I4347" s="16">
        <v>470000000</v>
      </c>
      <c r="J4347" s="16" t="s">
        <v>229</v>
      </c>
      <c r="K4347" s="57" t="s">
        <v>641</v>
      </c>
      <c r="L4347" s="57" t="s">
        <v>364</v>
      </c>
      <c r="M4347" s="162" t="s">
        <v>230</v>
      </c>
      <c r="N4347" s="8" t="s">
        <v>8899</v>
      </c>
      <c r="O4347" s="6" t="s">
        <v>622</v>
      </c>
      <c r="P4347" s="58" t="s">
        <v>241</v>
      </c>
      <c r="Q4347" s="27" t="s">
        <v>234</v>
      </c>
      <c r="R4347" s="26">
        <v>8</v>
      </c>
      <c r="S4347" s="59">
        <v>2420</v>
      </c>
      <c r="T4347" s="4">
        <v>0</v>
      </c>
      <c r="U4347" s="4">
        <f t="shared" si="212"/>
        <v>0</v>
      </c>
      <c r="V4347" s="3"/>
      <c r="W4347" s="3">
        <v>2014</v>
      </c>
      <c r="X4347" s="3">
        <v>11.12</v>
      </c>
    </row>
    <row r="4348" spans="1:24" ht="76.5">
      <c r="A4348" s="3" t="s">
        <v>13188</v>
      </c>
      <c r="B4348" s="6" t="s">
        <v>361</v>
      </c>
      <c r="C4348" s="6" t="s">
        <v>5576</v>
      </c>
      <c r="D4348" s="6" t="s">
        <v>5577</v>
      </c>
      <c r="E4348" s="14" t="s">
        <v>5183</v>
      </c>
      <c r="F4348" s="129" t="s">
        <v>7959</v>
      </c>
      <c r="G4348" s="3" t="s">
        <v>11449</v>
      </c>
      <c r="H4348" s="54">
        <v>0</v>
      </c>
      <c r="I4348" s="16">
        <v>470000000</v>
      </c>
      <c r="J4348" s="16" t="s">
        <v>229</v>
      </c>
      <c r="K4348" s="57" t="s">
        <v>642</v>
      </c>
      <c r="L4348" s="12" t="s">
        <v>404</v>
      </c>
      <c r="M4348" s="162" t="s">
        <v>230</v>
      </c>
      <c r="N4348" s="8" t="s">
        <v>8899</v>
      </c>
      <c r="O4348" s="6" t="s">
        <v>622</v>
      </c>
      <c r="P4348" s="58" t="s">
        <v>241</v>
      </c>
      <c r="Q4348" s="27" t="s">
        <v>234</v>
      </c>
      <c r="R4348" s="26">
        <v>8</v>
      </c>
      <c r="S4348" s="59">
        <v>2420</v>
      </c>
      <c r="T4348" s="4">
        <f>R4348*S4348</f>
        <v>19360</v>
      </c>
      <c r="U4348" s="4">
        <f>T4348*1.12</f>
        <v>21683.200000000001</v>
      </c>
      <c r="V4348" s="3"/>
      <c r="W4348" s="3">
        <v>2014</v>
      </c>
      <c r="X4348" s="3"/>
    </row>
    <row r="4349" spans="1:24" ht="76.5">
      <c r="A4349" s="3" t="s">
        <v>1926</v>
      </c>
      <c r="B4349" s="6" t="s">
        <v>361</v>
      </c>
      <c r="C4349" s="6" t="s">
        <v>7306</v>
      </c>
      <c r="D4349" s="6" t="s">
        <v>7307</v>
      </c>
      <c r="E4349" s="14" t="s">
        <v>7308</v>
      </c>
      <c r="F4349" s="129" t="s">
        <v>7960</v>
      </c>
      <c r="G4349" s="3" t="s">
        <v>11449</v>
      </c>
      <c r="H4349" s="54">
        <v>0</v>
      </c>
      <c r="I4349" s="16">
        <v>470000000</v>
      </c>
      <c r="J4349" s="16" t="s">
        <v>229</v>
      </c>
      <c r="K4349" s="57" t="s">
        <v>641</v>
      </c>
      <c r="L4349" s="57" t="s">
        <v>364</v>
      </c>
      <c r="M4349" s="162" t="s">
        <v>230</v>
      </c>
      <c r="N4349" s="8" t="s">
        <v>8899</v>
      </c>
      <c r="O4349" s="6" t="s">
        <v>622</v>
      </c>
      <c r="P4349" s="58" t="s">
        <v>241</v>
      </c>
      <c r="Q4349" s="27" t="s">
        <v>234</v>
      </c>
      <c r="R4349" s="26">
        <v>4</v>
      </c>
      <c r="S4349" s="59">
        <v>72600</v>
      </c>
      <c r="T4349" s="4">
        <v>0</v>
      </c>
      <c r="U4349" s="4">
        <f t="shared" si="212"/>
        <v>0</v>
      </c>
      <c r="V4349" s="3"/>
      <c r="W4349" s="3">
        <v>2014</v>
      </c>
      <c r="X4349" s="3">
        <v>11.12</v>
      </c>
    </row>
    <row r="4350" spans="1:24" ht="76.5">
      <c r="A4350" s="3" t="s">
        <v>13189</v>
      </c>
      <c r="B4350" s="6" t="s">
        <v>361</v>
      </c>
      <c r="C4350" s="6" t="s">
        <v>7306</v>
      </c>
      <c r="D4350" s="6" t="s">
        <v>7307</v>
      </c>
      <c r="E4350" s="14" t="s">
        <v>7308</v>
      </c>
      <c r="F4350" s="129" t="s">
        <v>7960</v>
      </c>
      <c r="G4350" s="3" t="s">
        <v>11449</v>
      </c>
      <c r="H4350" s="54">
        <v>0</v>
      </c>
      <c r="I4350" s="16">
        <v>470000000</v>
      </c>
      <c r="J4350" s="16" t="s">
        <v>229</v>
      </c>
      <c r="K4350" s="57" t="s">
        <v>642</v>
      </c>
      <c r="L4350" s="12" t="s">
        <v>404</v>
      </c>
      <c r="M4350" s="162" t="s">
        <v>230</v>
      </c>
      <c r="N4350" s="8" t="s">
        <v>8899</v>
      </c>
      <c r="O4350" s="6" t="s">
        <v>622</v>
      </c>
      <c r="P4350" s="58" t="s">
        <v>241</v>
      </c>
      <c r="Q4350" s="27" t="s">
        <v>234</v>
      </c>
      <c r="R4350" s="26">
        <v>4</v>
      </c>
      <c r="S4350" s="59">
        <v>72600</v>
      </c>
      <c r="T4350" s="4">
        <f>R4350*S4350</f>
        <v>290400</v>
      </c>
      <c r="U4350" s="4">
        <f>T4350*1.12</f>
        <v>325248.00000000006</v>
      </c>
      <c r="V4350" s="3"/>
      <c r="W4350" s="3">
        <v>2014</v>
      </c>
      <c r="X4350" s="3"/>
    </row>
    <row r="4351" spans="1:24" ht="76.5">
      <c r="A4351" s="3" t="s">
        <v>1927</v>
      </c>
      <c r="B4351" s="6" t="s">
        <v>361</v>
      </c>
      <c r="C4351" s="6" t="s">
        <v>7292</v>
      </c>
      <c r="D4351" s="6" t="s">
        <v>7293</v>
      </c>
      <c r="E4351" s="14" t="s">
        <v>7294</v>
      </c>
      <c r="F4351" s="129" t="s">
        <v>7961</v>
      </c>
      <c r="G4351" s="3" t="s">
        <v>11449</v>
      </c>
      <c r="H4351" s="54">
        <v>0</v>
      </c>
      <c r="I4351" s="16">
        <v>470000000</v>
      </c>
      <c r="J4351" s="16" t="s">
        <v>229</v>
      </c>
      <c r="K4351" s="57" t="s">
        <v>641</v>
      </c>
      <c r="L4351" s="57" t="s">
        <v>364</v>
      </c>
      <c r="M4351" s="162" t="s">
        <v>230</v>
      </c>
      <c r="N4351" s="8" t="s">
        <v>8899</v>
      </c>
      <c r="O4351" s="6" t="s">
        <v>622</v>
      </c>
      <c r="P4351" s="58" t="s">
        <v>241</v>
      </c>
      <c r="Q4351" s="27" t="s">
        <v>234</v>
      </c>
      <c r="R4351" s="26">
        <v>10</v>
      </c>
      <c r="S4351" s="59">
        <v>5082</v>
      </c>
      <c r="T4351" s="4">
        <v>0</v>
      </c>
      <c r="U4351" s="4">
        <f t="shared" si="212"/>
        <v>0</v>
      </c>
      <c r="V4351" s="3"/>
      <c r="W4351" s="3">
        <v>2014</v>
      </c>
      <c r="X4351" s="3">
        <v>11.12</v>
      </c>
    </row>
    <row r="4352" spans="1:24" ht="76.5">
      <c r="A4352" s="3" t="s">
        <v>13190</v>
      </c>
      <c r="B4352" s="6" t="s">
        <v>361</v>
      </c>
      <c r="C4352" s="6" t="s">
        <v>7292</v>
      </c>
      <c r="D4352" s="6" t="s">
        <v>7293</v>
      </c>
      <c r="E4352" s="14" t="s">
        <v>7294</v>
      </c>
      <c r="F4352" s="129" t="s">
        <v>7961</v>
      </c>
      <c r="G4352" s="3" t="s">
        <v>11449</v>
      </c>
      <c r="H4352" s="54">
        <v>0</v>
      </c>
      <c r="I4352" s="16">
        <v>470000000</v>
      </c>
      <c r="J4352" s="16" t="s">
        <v>229</v>
      </c>
      <c r="K4352" s="57" t="s">
        <v>642</v>
      </c>
      <c r="L4352" s="12" t="s">
        <v>404</v>
      </c>
      <c r="M4352" s="162" t="s">
        <v>230</v>
      </c>
      <c r="N4352" s="8" t="s">
        <v>8899</v>
      </c>
      <c r="O4352" s="6" t="s">
        <v>622</v>
      </c>
      <c r="P4352" s="58" t="s">
        <v>241</v>
      </c>
      <c r="Q4352" s="27" t="s">
        <v>234</v>
      </c>
      <c r="R4352" s="26">
        <v>10</v>
      </c>
      <c r="S4352" s="59">
        <v>5082</v>
      </c>
      <c r="T4352" s="4">
        <v>0</v>
      </c>
      <c r="U4352" s="4">
        <f>T4352*1.12</f>
        <v>0</v>
      </c>
      <c r="V4352" s="3"/>
      <c r="W4352" s="3">
        <v>2014</v>
      </c>
      <c r="X4352" s="3" t="s">
        <v>14785</v>
      </c>
    </row>
    <row r="4353" spans="1:24" ht="76.5">
      <c r="A4353" s="3" t="s">
        <v>16884</v>
      </c>
      <c r="B4353" s="6" t="s">
        <v>361</v>
      </c>
      <c r="C4353" s="6" t="s">
        <v>7292</v>
      </c>
      <c r="D4353" s="6" t="s">
        <v>7293</v>
      </c>
      <c r="E4353" s="14" t="s">
        <v>7294</v>
      </c>
      <c r="F4353" s="129" t="s">
        <v>7961</v>
      </c>
      <c r="G4353" s="3" t="s">
        <v>11449</v>
      </c>
      <c r="H4353" s="54">
        <v>0</v>
      </c>
      <c r="I4353" s="16">
        <v>470000000</v>
      </c>
      <c r="J4353" s="16" t="s">
        <v>229</v>
      </c>
      <c r="K4353" s="57" t="s">
        <v>8950</v>
      </c>
      <c r="L4353" s="12" t="s">
        <v>404</v>
      </c>
      <c r="M4353" s="162" t="s">
        <v>230</v>
      </c>
      <c r="N4353" s="8" t="s">
        <v>8899</v>
      </c>
      <c r="O4353" s="6" t="s">
        <v>622</v>
      </c>
      <c r="P4353" s="58" t="s">
        <v>241</v>
      </c>
      <c r="Q4353" s="27" t="s">
        <v>234</v>
      </c>
      <c r="R4353" s="26">
        <v>10</v>
      </c>
      <c r="S4353" s="59">
        <v>6098.4</v>
      </c>
      <c r="T4353" s="4">
        <f>R4353*S4353</f>
        <v>60984</v>
      </c>
      <c r="U4353" s="4">
        <f>T4353*1.12</f>
        <v>68302.080000000002</v>
      </c>
      <c r="V4353" s="3"/>
      <c r="W4353" s="3">
        <v>2014</v>
      </c>
      <c r="X4353" s="3"/>
    </row>
    <row r="4354" spans="1:24" ht="76.5">
      <c r="A4354" s="3" t="s">
        <v>1928</v>
      </c>
      <c r="B4354" s="6" t="s">
        <v>361</v>
      </c>
      <c r="C4354" s="6" t="s">
        <v>5578</v>
      </c>
      <c r="D4354" s="6" t="s">
        <v>458</v>
      </c>
      <c r="E4354" s="14" t="s">
        <v>5332</v>
      </c>
      <c r="F4354" s="129" t="s">
        <v>7962</v>
      </c>
      <c r="G4354" s="3" t="s">
        <v>11449</v>
      </c>
      <c r="H4354" s="54">
        <v>0</v>
      </c>
      <c r="I4354" s="16">
        <v>470000000</v>
      </c>
      <c r="J4354" s="16" t="s">
        <v>229</v>
      </c>
      <c r="K4354" s="57" t="s">
        <v>641</v>
      </c>
      <c r="L4354" s="57" t="s">
        <v>364</v>
      </c>
      <c r="M4354" s="162" t="s">
        <v>230</v>
      </c>
      <c r="N4354" s="8" t="s">
        <v>8899</v>
      </c>
      <c r="O4354" s="6" t="s">
        <v>622</v>
      </c>
      <c r="P4354" s="58" t="s">
        <v>241</v>
      </c>
      <c r="Q4354" s="27" t="s">
        <v>234</v>
      </c>
      <c r="R4354" s="26">
        <v>6</v>
      </c>
      <c r="S4354" s="59">
        <v>1700</v>
      </c>
      <c r="T4354" s="4">
        <v>0</v>
      </c>
      <c r="U4354" s="4">
        <f t="shared" si="212"/>
        <v>0</v>
      </c>
      <c r="V4354" s="3"/>
      <c r="W4354" s="3">
        <v>2014</v>
      </c>
      <c r="X4354" s="3">
        <v>11.12</v>
      </c>
    </row>
    <row r="4355" spans="1:24" ht="76.5">
      <c r="A4355" s="3" t="s">
        <v>13191</v>
      </c>
      <c r="B4355" s="6" t="s">
        <v>361</v>
      </c>
      <c r="C4355" s="6" t="s">
        <v>5578</v>
      </c>
      <c r="D4355" s="6" t="s">
        <v>458</v>
      </c>
      <c r="E4355" s="14" t="s">
        <v>5332</v>
      </c>
      <c r="F4355" s="129" t="s">
        <v>7962</v>
      </c>
      <c r="G4355" s="3" t="s">
        <v>11449</v>
      </c>
      <c r="H4355" s="54">
        <v>0</v>
      </c>
      <c r="I4355" s="16">
        <v>470000000</v>
      </c>
      <c r="J4355" s="16" t="s">
        <v>229</v>
      </c>
      <c r="K4355" s="57" t="s">
        <v>642</v>
      </c>
      <c r="L4355" s="12" t="s">
        <v>404</v>
      </c>
      <c r="M4355" s="162" t="s">
        <v>230</v>
      </c>
      <c r="N4355" s="8" t="s">
        <v>8899</v>
      </c>
      <c r="O4355" s="6" t="s">
        <v>622</v>
      </c>
      <c r="P4355" s="58" t="s">
        <v>241</v>
      </c>
      <c r="Q4355" s="27" t="s">
        <v>234</v>
      </c>
      <c r="R4355" s="26">
        <v>6</v>
      </c>
      <c r="S4355" s="59">
        <v>1700</v>
      </c>
      <c r="T4355" s="4">
        <f>R4355*S4355</f>
        <v>10200</v>
      </c>
      <c r="U4355" s="4">
        <f>T4355*1.12</f>
        <v>11424.000000000002</v>
      </c>
      <c r="V4355" s="3"/>
      <c r="W4355" s="3">
        <v>2014</v>
      </c>
      <c r="X4355" s="3"/>
    </row>
    <row r="4356" spans="1:24" ht="76.5">
      <c r="A4356" s="3" t="s">
        <v>1929</v>
      </c>
      <c r="B4356" s="6" t="s">
        <v>361</v>
      </c>
      <c r="C4356" s="6" t="s">
        <v>5578</v>
      </c>
      <c r="D4356" s="6" t="s">
        <v>458</v>
      </c>
      <c r="E4356" s="14" t="s">
        <v>5332</v>
      </c>
      <c r="F4356" s="129" t="s">
        <v>7963</v>
      </c>
      <c r="G4356" s="3" t="s">
        <v>11449</v>
      </c>
      <c r="H4356" s="54">
        <v>0</v>
      </c>
      <c r="I4356" s="16">
        <v>470000000</v>
      </c>
      <c r="J4356" s="16" t="s">
        <v>229</v>
      </c>
      <c r="K4356" s="57" t="s">
        <v>641</v>
      </c>
      <c r="L4356" s="57" t="s">
        <v>364</v>
      </c>
      <c r="M4356" s="162" t="s">
        <v>230</v>
      </c>
      <c r="N4356" s="8" t="s">
        <v>8899</v>
      </c>
      <c r="O4356" s="6" t="s">
        <v>622</v>
      </c>
      <c r="P4356" s="58" t="s">
        <v>241</v>
      </c>
      <c r="Q4356" s="27" t="s">
        <v>234</v>
      </c>
      <c r="R4356" s="26">
        <v>6</v>
      </c>
      <c r="S4356" s="59">
        <v>1700</v>
      </c>
      <c r="T4356" s="4">
        <v>0</v>
      </c>
      <c r="U4356" s="4">
        <f t="shared" si="212"/>
        <v>0</v>
      </c>
      <c r="V4356" s="3"/>
      <c r="W4356" s="3">
        <v>2014</v>
      </c>
      <c r="X4356" s="3">
        <v>11.12</v>
      </c>
    </row>
    <row r="4357" spans="1:24" ht="76.5">
      <c r="A4357" s="3" t="s">
        <v>13192</v>
      </c>
      <c r="B4357" s="6" t="s">
        <v>361</v>
      </c>
      <c r="C4357" s="6" t="s">
        <v>5578</v>
      </c>
      <c r="D4357" s="6" t="s">
        <v>458</v>
      </c>
      <c r="E4357" s="14" t="s">
        <v>5332</v>
      </c>
      <c r="F4357" s="129" t="s">
        <v>7963</v>
      </c>
      <c r="G4357" s="3" t="s">
        <v>11449</v>
      </c>
      <c r="H4357" s="54">
        <v>0</v>
      </c>
      <c r="I4357" s="16">
        <v>470000000</v>
      </c>
      <c r="J4357" s="16" t="s">
        <v>229</v>
      </c>
      <c r="K4357" s="57" t="s">
        <v>642</v>
      </c>
      <c r="L4357" s="12" t="s">
        <v>404</v>
      </c>
      <c r="M4357" s="162" t="s">
        <v>230</v>
      </c>
      <c r="N4357" s="8" t="s">
        <v>8899</v>
      </c>
      <c r="O4357" s="6" t="s">
        <v>622</v>
      </c>
      <c r="P4357" s="58" t="s">
        <v>241</v>
      </c>
      <c r="Q4357" s="27" t="s">
        <v>234</v>
      </c>
      <c r="R4357" s="26">
        <v>6</v>
      </c>
      <c r="S4357" s="59">
        <v>1700</v>
      </c>
      <c r="T4357" s="4">
        <f>R4357*S4357</f>
        <v>10200</v>
      </c>
      <c r="U4357" s="4">
        <f>T4357*1.12</f>
        <v>11424.000000000002</v>
      </c>
      <c r="V4357" s="3"/>
      <c r="W4357" s="3">
        <v>2014</v>
      </c>
      <c r="X4357" s="3"/>
    </row>
    <row r="4358" spans="1:24" ht="76.5">
      <c r="A4358" s="3" t="s">
        <v>1930</v>
      </c>
      <c r="B4358" s="6" t="s">
        <v>361</v>
      </c>
      <c r="C4358" s="6" t="s">
        <v>5533</v>
      </c>
      <c r="D4358" s="6" t="s">
        <v>446</v>
      </c>
      <c r="E4358" s="14" t="s">
        <v>5534</v>
      </c>
      <c r="F4358" s="129" t="s">
        <v>7964</v>
      </c>
      <c r="G4358" s="3" t="s">
        <v>11449</v>
      </c>
      <c r="H4358" s="54">
        <v>0</v>
      </c>
      <c r="I4358" s="16">
        <v>470000000</v>
      </c>
      <c r="J4358" s="16" t="s">
        <v>229</v>
      </c>
      <c r="K4358" s="57" t="s">
        <v>641</v>
      </c>
      <c r="L4358" s="57" t="s">
        <v>364</v>
      </c>
      <c r="M4358" s="162" t="s">
        <v>230</v>
      </c>
      <c r="N4358" s="8" t="s">
        <v>8899</v>
      </c>
      <c r="O4358" s="6" t="s">
        <v>622</v>
      </c>
      <c r="P4358" s="58" t="s">
        <v>241</v>
      </c>
      <c r="Q4358" s="27" t="s">
        <v>234</v>
      </c>
      <c r="R4358" s="26">
        <v>4</v>
      </c>
      <c r="S4358" s="59">
        <v>45738.000000000007</v>
      </c>
      <c r="T4358" s="4">
        <v>0</v>
      </c>
      <c r="U4358" s="4">
        <f t="shared" si="212"/>
        <v>0</v>
      </c>
      <c r="V4358" s="3"/>
      <c r="W4358" s="3">
        <v>2014</v>
      </c>
      <c r="X4358" s="3">
        <v>11.12</v>
      </c>
    </row>
    <row r="4359" spans="1:24" ht="76.5">
      <c r="A4359" s="3" t="s">
        <v>13193</v>
      </c>
      <c r="B4359" s="6" t="s">
        <v>361</v>
      </c>
      <c r="C4359" s="6" t="s">
        <v>5533</v>
      </c>
      <c r="D4359" s="6" t="s">
        <v>446</v>
      </c>
      <c r="E4359" s="14" t="s">
        <v>5534</v>
      </c>
      <c r="F4359" s="129" t="s">
        <v>7964</v>
      </c>
      <c r="G4359" s="3" t="s">
        <v>11449</v>
      </c>
      <c r="H4359" s="54">
        <v>0</v>
      </c>
      <c r="I4359" s="16">
        <v>470000000</v>
      </c>
      <c r="J4359" s="16" t="s">
        <v>229</v>
      </c>
      <c r="K4359" s="57" t="s">
        <v>642</v>
      </c>
      <c r="L4359" s="12" t="s">
        <v>404</v>
      </c>
      <c r="M4359" s="162" t="s">
        <v>230</v>
      </c>
      <c r="N4359" s="8" t="s">
        <v>8899</v>
      </c>
      <c r="O4359" s="6" t="s">
        <v>622</v>
      </c>
      <c r="P4359" s="58" t="s">
        <v>241</v>
      </c>
      <c r="Q4359" s="27" t="s">
        <v>234</v>
      </c>
      <c r="R4359" s="26">
        <v>4</v>
      </c>
      <c r="S4359" s="59">
        <v>45738.000000000007</v>
      </c>
      <c r="T4359" s="4">
        <f>R4359*S4359</f>
        <v>182952.00000000003</v>
      </c>
      <c r="U4359" s="4">
        <f>T4359*1.12</f>
        <v>204906.24000000005</v>
      </c>
      <c r="V4359" s="3"/>
      <c r="W4359" s="3">
        <v>2014</v>
      </c>
      <c r="X4359" s="3"/>
    </row>
    <row r="4360" spans="1:24" ht="76.5">
      <c r="A4360" s="3" t="s">
        <v>1931</v>
      </c>
      <c r="B4360" s="6" t="s">
        <v>361</v>
      </c>
      <c r="C4360" s="6" t="s">
        <v>5533</v>
      </c>
      <c r="D4360" s="6" t="s">
        <v>446</v>
      </c>
      <c r="E4360" s="14" t="s">
        <v>5534</v>
      </c>
      <c r="F4360" s="129" t="s">
        <v>7965</v>
      </c>
      <c r="G4360" s="3" t="s">
        <v>11449</v>
      </c>
      <c r="H4360" s="54">
        <v>0</v>
      </c>
      <c r="I4360" s="16">
        <v>470000000</v>
      </c>
      <c r="J4360" s="16" t="s">
        <v>229</v>
      </c>
      <c r="K4360" s="57" t="s">
        <v>641</v>
      </c>
      <c r="L4360" s="57" t="s">
        <v>364</v>
      </c>
      <c r="M4360" s="162" t="s">
        <v>230</v>
      </c>
      <c r="N4360" s="8" t="s">
        <v>8899</v>
      </c>
      <c r="O4360" s="6" t="s">
        <v>622</v>
      </c>
      <c r="P4360" s="58" t="s">
        <v>241</v>
      </c>
      <c r="Q4360" s="27" t="s">
        <v>234</v>
      </c>
      <c r="R4360" s="26">
        <v>4</v>
      </c>
      <c r="S4360" s="59">
        <v>61468.000000000007</v>
      </c>
      <c r="T4360" s="4">
        <v>0</v>
      </c>
      <c r="U4360" s="4">
        <f t="shared" si="212"/>
        <v>0</v>
      </c>
      <c r="V4360" s="3"/>
      <c r="W4360" s="3">
        <v>2014</v>
      </c>
      <c r="X4360" s="3">
        <v>11.12</v>
      </c>
    </row>
    <row r="4361" spans="1:24" ht="76.5">
      <c r="A4361" s="3" t="s">
        <v>13194</v>
      </c>
      <c r="B4361" s="6" t="s">
        <v>361</v>
      </c>
      <c r="C4361" s="6" t="s">
        <v>5533</v>
      </c>
      <c r="D4361" s="6" t="s">
        <v>446</v>
      </c>
      <c r="E4361" s="14" t="s">
        <v>5534</v>
      </c>
      <c r="F4361" s="129" t="s">
        <v>7965</v>
      </c>
      <c r="G4361" s="3" t="s">
        <v>11449</v>
      </c>
      <c r="H4361" s="54">
        <v>0</v>
      </c>
      <c r="I4361" s="16">
        <v>470000000</v>
      </c>
      <c r="J4361" s="16" t="s">
        <v>229</v>
      </c>
      <c r="K4361" s="57" t="s">
        <v>642</v>
      </c>
      <c r="L4361" s="12" t="s">
        <v>404</v>
      </c>
      <c r="M4361" s="162" t="s">
        <v>230</v>
      </c>
      <c r="N4361" s="8" t="s">
        <v>8899</v>
      </c>
      <c r="O4361" s="6" t="s">
        <v>622</v>
      </c>
      <c r="P4361" s="58" t="s">
        <v>241</v>
      </c>
      <c r="Q4361" s="27" t="s">
        <v>234</v>
      </c>
      <c r="R4361" s="26">
        <v>4</v>
      </c>
      <c r="S4361" s="59">
        <v>61468.000000000007</v>
      </c>
      <c r="T4361" s="4">
        <f>R4361*S4361</f>
        <v>245872.00000000003</v>
      </c>
      <c r="U4361" s="4">
        <f>T4361*1.12</f>
        <v>275376.64000000007</v>
      </c>
      <c r="V4361" s="3"/>
      <c r="W4361" s="3">
        <v>2014</v>
      </c>
      <c r="X4361" s="3"/>
    </row>
    <row r="4362" spans="1:24" ht="76.5">
      <c r="A4362" s="3" t="s">
        <v>1932</v>
      </c>
      <c r="B4362" s="6" t="s">
        <v>361</v>
      </c>
      <c r="C4362" s="6" t="s">
        <v>5533</v>
      </c>
      <c r="D4362" s="6" t="s">
        <v>446</v>
      </c>
      <c r="E4362" s="14" t="s">
        <v>5534</v>
      </c>
      <c r="F4362" s="129" t="s">
        <v>7966</v>
      </c>
      <c r="G4362" s="3" t="s">
        <v>11449</v>
      </c>
      <c r="H4362" s="54">
        <v>0</v>
      </c>
      <c r="I4362" s="16">
        <v>470000000</v>
      </c>
      <c r="J4362" s="16" t="s">
        <v>229</v>
      </c>
      <c r="K4362" s="57" t="s">
        <v>641</v>
      </c>
      <c r="L4362" s="57" t="s">
        <v>364</v>
      </c>
      <c r="M4362" s="162" t="s">
        <v>230</v>
      </c>
      <c r="N4362" s="8" t="s">
        <v>8899</v>
      </c>
      <c r="O4362" s="6" t="s">
        <v>622</v>
      </c>
      <c r="P4362" s="58" t="s">
        <v>241</v>
      </c>
      <c r="Q4362" s="27" t="s">
        <v>234</v>
      </c>
      <c r="R4362" s="26">
        <v>4</v>
      </c>
      <c r="S4362" s="59">
        <v>61468.000000000007</v>
      </c>
      <c r="T4362" s="4">
        <v>0</v>
      </c>
      <c r="U4362" s="4">
        <f t="shared" si="212"/>
        <v>0</v>
      </c>
      <c r="V4362" s="3"/>
      <c r="W4362" s="3">
        <v>2014</v>
      </c>
      <c r="X4362" s="3">
        <v>11.12</v>
      </c>
    </row>
    <row r="4363" spans="1:24" ht="76.5">
      <c r="A4363" s="3" t="s">
        <v>13195</v>
      </c>
      <c r="B4363" s="6" t="s">
        <v>361</v>
      </c>
      <c r="C4363" s="6" t="s">
        <v>5533</v>
      </c>
      <c r="D4363" s="6" t="s">
        <v>446</v>
      </c>
      <c r="E4363" s="14" t="s">
        <v>5534</v>
      </c>
      <c r="F4363" s="129" t="s">
        <v>7966</v>
      </c>
      <c r="G4363" s="3" t="s">
        <v>11449</v>
      </c>
      <c r="H4363" s="54">
        <v>0</v>
      </c>
      <c r="I4363" s="16">
        <v>470000000</v>
      </c>
      <c r="J4363" s="16" t="s">
        <v>229</v>
      </c>
      <c r="K4363" s="57" t="s">
        <v>642</v>
      </c>
      <c r="L4363" s="12" t="s">
        <v>404</v>
      </c>
      <c r="M4363" s="162" t="s">
        <v>230</v>
      </c>
      <c r="N4363" s="8" t="s">
        <v>8899</v>
      </c>
      <c r="O4363" s="6" t="s">
        <v>622</v>
      </c>
      <c r="P4363" s="58" t="s">
        <v>241</v>
      </c>
      <c r="Q4363" s="27" t="s">
        <v>234</v>
      </c>
      <c r="R4363" s="26">
        <v>4</v>
      </c>
      <c r="S4363" s="59">
        <v>61468.000000000007</v>
      </c>
      <c r="T4363" s="4">
        <f>R4363*S4363</f>
        <v>245872.00000000003</v>
      </c>
      <c r="U4363" s="4">
        <f>T4363*1.12</f>
        <v>275376.64000000007</v>
      </c>
      <c r="V4363" s="3"/>
      <c r="W4363" s="3">
        <v>2014</v>
      </c>
      <c r="X4363" s="3"/>
    </row>
    <row r="4364" spans="1:24" ht="76.5">
      <c r="A4364" s="3" t="s">
        <v>1933</v>
      </c>
      <c r="B4364" s="6" t="s">
        <v>361</v>
      </c>
      <c r="C4364" s="6" t="s">
        <v>5579</v>
      </c>
      <c r="D4364" s="6" t="s">
        <v>3032</v>
      </c>
      <c r="E4364" s="14" t="s">
        <v>5332</v>
      </c>
      <c r="F4364" s="129" t="s">
        <v>7967</v>
      </c>
      <c r="G4364" s="3" t="s">
        <v>11449</v>
      </c>
      <c r="H4364" s="54">
        <v>0</v>
      </c>
      <c r="I4364" s="16">
        <v>470000000</v>
      </c>
      <c r="J4364" s="16" t="s">
        <v>229</v>
      </c>
      <c r="K4364" s="57" t="s">
        <v>641</v>
      </c>
      <c r="L4364" s="57" t="s">
        <v>364</v>
      </c>
      <c r="M4364" s="162" t="s">
        <v>230</v>
      </c>
      <c r="N4364" s="8" t="s">
        <v>8899</v>
      </c>
      <c r="O4364" s="6" t="s">
        <v>622</v>
      </c>
      <c r="P4364" s="58" t="s">
        <v>241</v>
      </c>
      <c r="Q4364" s="27" t="s">
        <v>234</v>
      </c>
      <c r="R4364" s="26">
        <v>8</v>
      </c>
      <c r="S4364" s="59">
        <v>605</v>
      </c>
      <c r="T4364" s="4">
        <v>0</v>
      </c>
      <c r="U4364" s="4">
        <f t="shared" si="212"/>
        <v>0</v>
      </c>
      <c r="V4364" s="3"/>
      <c r="W4364" s="3">
        <v>2014</v>
      </c>
      <c r="X4364" s="3">
        <v>11.12</v>
      </c>
    </row>
    <row r="4365" spans="1:24" ht="76.5">
      <c r="A4365" s="3" t="s">
        <v>13196</v>
      </c>
      <c r="B4365" s="6" t="s">
        <v>361</v>
      </c>
      <c r="C4365" s="6" t="s">
        <v>5579</v>
      </c>
      <c r="D4365" s="6" t="s">
        <v>3032</v>
      </c>
      <c r="E4365" s="14" t="s">
        <v>5332</v>
      </c>
      <c r="F4365" s="129" t="s">
        <v>7967</v>
      </c>
      <c r="G4365" s="3" t="s">
        <v>11449</v>
      </c>
      <c r="H4365" s="54">
        <v>0</v>
      </c>
      <c r="I4365" s="16">
        <v>470000000</v>
      </c>
      <c r="J4365" s="16" t="s">
        <v>229</v>
      </c>
      <c r="K4365" s="57" t="s">
        <v>642</v>
      </c>
      <c r="L4365" s="12" t="s">
        <v>404</v>
      </c>
      <c r="M4365" s="162" t="s">
        <v>230</v>
      </c>
      <c r="N4365" s="8" t="s">
        <v>8899</v>
      </c>
      <c r="O4365" s="6" t="s">
        <v>622</v>
      </c>
      <c r="P4365" s="58" t="s">
        <v>241</v>
      </c>
      <c r="Q4365" s="27" t="s">
        <v>234</v>
      </c>
      <c r="R4365" s="26">
        <v>8</v>
      </c>
      <c r="S4365" s="59">
        <v>605</v>
      </c>
      <c r="T4365" s="4">
        <f>R4365*S4365</f>
        <v>4840</v>
      </c>
      <c r="U4365" s="4">
        <f>T4365*1.12</f>
        <v>5420.8</v>
      </c>
      <c r="V4365" s="3"/>
      <c r="W4365" s="3">
        <v>2014</v>
      </c>
      <c r="X4365" s="3"/>
    </row>
    <row r="4366" spans="1:24" ht="76.5">
      <c r="A4366" s="3" t="s">
        <v>1934</v>
      </c>
      <c r="B4366" s="6" t="s">
        <v>361</v>
      </c>
      <c r="C4366" s="6" t="s">
        <v>5580</v>
      </c>
      <c r="D4366" s="6" t="s">
        <v>5581</v>
      </c>
      <c r="E4366" s="14" t="s">
        <v>5570</v>
      </c>
      <c r="F4366" s="129" t="s">
        <v>7968</v>
      </c>
      <c r="G4366" s="3" t="s">
        <v>11449</v>
      </c>
      <c r="H4366" s="54">
        <v>0</v>
      </c>
      <c r="I4366" s="16">
        <v>470000000</v>
      </c>
      <c r="J4366" s="16" t="s">
        <v>229</v>
      </c>
      <c r="K4366" s="57" t="s">
        <v>641</v>
      </c>
      <c r="L4366" s="57" t="s">
        <v>364</v>
      </c>
      <c r="M4366" s="162" t="s">
        <v>230</v>
      </c>
      <c r="N4366" s="8" t="s">
        <v>8899</v>
      </c>
      <c r="O4366" s="6" t="s">
        <v>622</v>
      </c>
      <c r="P4366" s="58" t="s">
        <v>241</v>
      </c>
      <c r="Q4366" s="27" t="s">
        <v>234</v>
      </c>
      <c r="R4366" s="26">
        <v>8</v>
      </c>
      <c r="S4366" s="59">
        <v>13915.000000000002</v>
      </c>
      <c r="T4366" s="4">
        <v>0</v>
      </c>
      <c r="U4366" s="4">
        <f t="shared" si="212"/>
        <v>0</v>
      </c>
      <c r="V4366" s="3"/>
      <c r="W4366" s="3">
        <v>2014</v>
      </c>
      <c r="X4366" s="3">
        <v>11.12</v>
      </c>
    </row>
    <row r="4367" spans="1:24" ht="76.5">
      <c r="A4367" s="3" t="s">
        <v>13197</v>
      </c>
      <c r="B4367" s="6" t="s">
        <v>361</v>
      </c>
      <c r="C4367" s="6" t="s">
        <v>5580</v>
      </c>
      <c r="D4367" s="6" t="s">
        <v>5581</v>
      </c>
      <c r="E4367" s="14" t="s">
        <v>5570</v>
      </c>
      <c r="F4367" s="129" t="s">
        <v>7968</v>
      </c>
      <c r="G4367" s="3" t="s">
        <v>11449</v>
      </c>
      <c r="H4367" s="54">
        <v>0</v>
      </c>
      <c r="I4367" s="16">
        <v>470000000</v>
      </c>
      <c r="J4367" s="16" t="s">
        <v>229</v>
      </c>
      <c r="K4367" s="57" t="s">
        <v>642</v>
      </c>
      <c r="L4367" s="12" t="s">
        <v>404</v>
      </c>
      <c r="M4367" s="162" t="s">
        <v>230</v>
      </c>
      <c r="N4367" s="8" t="s">
        <v>8899</v>
      </c>
      <c r="O4367" s="6" t="s">
        <v>622</v>
      </c>
      <c r="P4367" s="58" t="s">
        <v>241</v>
      </c>
      <c r="Q4367" s="27" t="s">
        <v>234</v>
      </c>
      <c r="R4367" s="26">
        <v>8</v>
      </c>
      <c r="S4367" s="59">
        <v>13915.000000000002</v>
      </c>
      <c r="T4367" s="4">
        <f>R4367*S4367</f>
        <v>111320.00000000001</v>
      </c>
      <c r="U4367" s="4">
        <f>T4367*1.12</f>
        <v>124678.40000000002</v>
      </c>
      <c r="V4367" s="3"/>
      <c r="W4367" s="3">
        <v>2014</v>
      </c>
      <c r="X4367" s="3"/>
    </row>
    <row r="4368" spans="1:24" ht="76.5">
      <c r="A4368" s="3" t="s">
        <v>1935</v>
      </c>
      <c r="B4368" s="6" t="s">
        <v>361</v>
      </c>
      <c r="C4368" s="6" t="s">
        <v>7309</v>
      </c>
      <c r="D4368" s="6" t="s">
        <v>7310</v>
      </c>
      <c r="E4368" s="14" t="s">
        <v>7311</v>
      </c>
      <c r="F4368" s="129" t="s">
        <v>7969</v>
      </c>
      <c r="G4368" s="3" t="s">
        <v>11449</v>
      </c>
      <c r="H4368" s="54">
        <v>0</v>
      </c>
      <c r="I4368" s="16">
        <v>470000000</v>
      </c>
      <c r="J4368" s="16" t="s">
        <v>229</v>
      </c>
      <c r="K4368" s="57" t="s">
        <v>641</v>
      </c>
      <c r="L4368" s="57" t="s">
        <v>364</v>
      </c>
      <c r="M4368" s="162" t="s">
        <v>230</v>
      </c>
      <c r="N4368" s="8" t="s">
        <v>8899</v>
      </c>
      <c r="O4368" s="6" t="s">
        <v>622</v>
      </c>
      <c r="P4368" s="58" t="s">
        <v>241</v>
      </c>
      <c r="Q4368" s="27" t="s">
        <v>234</v>
      </c>
      <c r="R4368" s="26">
        <v>2</v>
      </c>
      <c r="S4368" s="59">
        <v>20700</v>
      </c>
      <c r="T4368" s="4">
        <v>0</v>
      </c>
      <c r="U4368" s="4">
        <f t="shared" si="212"/>
        <v>0</v>
      </c>
      <c r="V4368" s="3"/>
      <c r="W4368" s="3">
        <v>2014</v>
      </c>
      <c r="X4368" s="3">
        <v>11.12</v>
      </c>
    </row>
    <row r="4369" spans="1:24" ht="76.5">
      <c r="A4369" s="3" t="s">
        <v>13198</v>
      </c>
      <c r="B4369" s="6" t="s">
        <v>361</v>
      </c>
      <c r="C4369" s="6" t="s">
        <v>7309</v>
      </c>
      <c r="D4369" s="6" t="s">
        <v>7310</v>
      </c>
      <c r="E4369" s="14" t="s">
        <v>7311</v>
      </c>
      <c r="F4369" s="129" t="s">
        <v>7969</v>
      </c>
      <c r="G4369" s="3" t="s">
        <v>11449</v>
      </c>
      <c r="H4369" s="54">
        <v>0</v>
      </c>
      <c r="I4369" s="16">
        <v>470000000</v>
      </c>
      <c r="J4369" s="16" t="s">
        <v>229</v>
      </c>
      <c r="K4369" s="57" t="s">
        <v>642</v>
      </c>
      <c r="L4369" s="12" t="s">
        <v>404</v>
      </c>
      <c r="M4369" s="162" t="s">
        <v>230</v>
      </c>
      <c r="N4369" s="8" t="s">
        <v>8899</v>
      </c>
      <c r="O4369" s="6" t="s">
        <v>622</v>
      </c>
      <c r="P4369" s="58" t="s">
        <v>241</v>
      </c>
      <c r="Q4369" s="27" t="s">
        <v>234</v>
      </c>
      <c r="R4369" s="26">
        <v>2</v>
      </c>
      <c r="S4369" s="59">
        <v>20700</v>
      </c>
      <c r="T4369" s="4">
        <f>R4369*S4369</f>
        <v>41400</v>
      </c>
      <c r="U4369" s="4">
        <f>T4369*1.12</f>
        <v>46368.000000000007</v>
      </c>
      <c r="V4369" s="3"/>
      <c r="W4369" s="3">
        <v>2014</v>
      </c>
      <c r="X4369" s="3"/>
    </row>
    <row r="4370" spans="1:24" ht="76.5">
      <c r="A4370" s="3" t="s">
        <v>1936</v>
      </c>
      <c r="B4370" s="6" t="s">
        <v>361</v>
      </c>
      <c r="C4370" s="6" t="s">
        <v>5582</v>
      </c>
      <c r="D4370" s="6" t="s">
        <v>5583</v>
      </c>
      <c r="E4370" s="14" t="s">
        <v>5183</v>
      </c>
      <c r="F4370" s="129" t="s">
        <v>7970</v>
      </c>
      <c r="G4370" s="3" t="s">
        <v>11449</v>
      </c>
      <c r="H4370" s="54">
        <v>0</v>
      </c>
      <c r="I4370" s="16">
        <v>470000000</v>
      </c>
      <c r="J4370" s="16" t="s">
        <v>229</v>
      </c>
      <c r="K4370" s="57" t="s">
        <v>641</v>
      </c>
      <c r="L4370" s="57" t="s">
        <v>364</v>
      </c>
      <c r="M4370" s="162" t="s">
        <v>230</v>
      </c>
      <c r="N4370" s="8" t="s">
        <v>8899</v>
      </c>
      <c r="O4370" s="6" t="s">
        <v>622</v>
      </c>
      <c r="P4370" s="58" t="s">
        <v>241</v>
      </c>
      <c r="Q4370" s="27" t="s">
        <v>234</v>
      </c>
      <c r="R4370" s="26">
        <v>20</v>
      </c>
      <c r="S4370" s="59">
        <v>1331</v>
      </c>
      <c r="T4370" s="4">
        <v>0</v>
      </c>
      <c r="U4370" s="4">
        <f t="shared" si="212"/>
        <v>0</v>
      </c>
      <c r="V4370" s="3"/>
      <c r="W4370" s="3">
        <v>2014</v>
      </c>
      <c r="X4370" s="3">
        <v>11.12</v>
      </c>
    </row>
    <row r="4371" spans="1:24" ht="76.5">
      <c r="A4371" s="3" t="s">
        <v>13199</v>
      </c>
      <c r="B4371" s="6" t="s">
        <v>361</v>
      </c>
      <c r="C4371" s="6" t="s">
        <v>5582</v>
      </c>
      <c r="D4371" s="6" t="s">
        <v>5583</v>
      </c>
      <c r="E4371" s="14" t="s">
        <v>5183</v>
      </c>
      <c r="F4371" s="129" t="s">
        <v>7970</v>
      </c>
      <c r="G4371" s="3" t="s">
        <v>11449</v>
      </c>
      <c r="H4371" s="54">
        <v>0</v>
      </c>
      <c r="I4371" s="16">
        <v>470000000</v>
      </c>
      <c r="J4371" s="16" t="s">
        <v>229</v>
      </c>
      <c r="K4371" s="57" t="s">
        <v>642</v>
      </c>
      <c r="L4371" s="12" t="s">
        <v>404</v>
      </c>
      <c r="M4371" s="162" t="s">
        <v>230</v>
      </c>
      <c r="N4371" s="8" t="s">
        <v>8899</v>
      </c>
      <c r="O4371" s="6" t="s">
        <v>622</v>
      </c>
      <c r="P4371" s="58" t="s">
        <v>241</v>
      </c>
      <c r="Q4371" s="27" t="s">
        <v>234</v>
      </c>
      <c r="R4371" s="26">
        <v>20</v>
      </c>
      <c r="S4371" s="59">
        <v>1331</v>
      </c>
      <c r="T4371" s="4">
        <f>R4371*S4371</f>
        <v>26620</v>
      </c>
      <c r="U4371" s="4">
        <f>T4371*1.12</f>
        <v>29814.400000000001</v>
      </c>
      <c r="V4371" s="3"/>
      <c r="W4371" s="3">
        <v>2014</v>
      </c>
      <c r="X4371" s="3"/>
    </row>
    <row r="4372" spans="1:24" ht="76.5">
      <c r="A4372" s="3" t="s">
        <v>10483</v>
      </c>
      <c r="B4372" s="6" t="s">
        <v>361</v>
      </c>
      <c r="C4372" s="6" t="s">
        <v>5584</v>
      </c>
      <c r="D4372" s="6" t="s">
        <v>387</v>
      </c>
      <c r="E4372" s="14" t="s">
        <v>5332</v>
      </c>
      <c r="F4372" s="129" t="s">
        <v>7971</v>
      </c>
      <c r="G4372" s="3" t="s">
        <v>11449</v>
      </c>
      <c r="H4372" s="54">
        <v>0</v>
      </c>
      <c r="I4372" s="16">
        <v>470000000</v>
      </c>
      <c r="J4372" s="16" t="s">
        <v>229</v>
      </c>
      <c r="K4372" s="57" t="s">
        <v>641</v>
      </c>
      <c r="L4372" s="57" t="s">
        <v>364</v>
      </c>
      <c r="M4372" s="162" t="s">
        <v>230</v>
      </c>
      <c r="N4372" s="8" t="s">
        <v>8899</v>
      </c>
      <c r="O4372" s="6" t="s">
        <v>622</v>
      </c>
      <c r="P4372" s="58" t="s">
        <v>241</v>
      </c>
      <c r="Q4372" s="27" t="s">
        <v>234</v>
      </c>
      <c r="R4372" s="26">
        <v>20</v>
      </c>
      <c r="S4372" s="51">
        <v>599</v>
      </c>
      <c r="T4372" s="4">
        <v>0</v>
      </c>
      <c r="U4372" s="4">
        <f t="shared" si="212"/>
        <v>0</v>
      </c>
      <c r="V4372" s="3"/>
      <c r="W4372" s="3">
        <v>2014</v>
      </c>
      <c r="X4372" s="3">
        <v>11.12</v>
      </c>
    </row>
    <row r="4373" spans="1:24" ht="76.5">
      <c r="A4373" s="3" t="s">
        <v>13200</v>
      </c>
      <c r="B4373" s="6" t="s">
        <v>361</v>
      </c>
      <c r="C4373" s="6" t="s">
        <v>5584</v>
      </c>
      <c r="D4373" s="6" t="s">
        <v>387</v>
      </c>
      <c r="E4373" s="14" t="s">
        <v>5332</v>
      </c>
      <c r="F4373" s="129" t="s">
        <v>7971</v>
      </c>
      <c r="G4373" s="3" t="s">
        <v>11449</v>
      </c>
      <c r="H4373" s="54">
        <v>0</v>
      </c>
      <c r="I4373" s="16">
        <v>470000000</v>
      </c>
      <c r="J4373" s="16" t="s">
        <v>229</v>
      </c>
      <c r="K4373" s="57" t="s">
        <v>642</v>
      </c>
      <c r="L4373" s="12" t="s">
        <v>404</v>
      </c>
      <c r="M4373" s="162" t="s">
        <v>230</v>
      </c>
      <c r="N4373" s="8" t="s">
        <v>8899</v>
      </c>
      <c r="O4373" s="6" t="s">
        <v>622</v>
      </c>
      <c r="P4373" s="58" t="s">
        <v>241</v>
      </c>
      <c r="Q4373" s="27" t="s">
        <v>234</v>
      </c>
      <c r="R4373" s="26">
        <v>20</v>
      </c>
      <c r="S4373" s="51">
        <v>599</v>
      </c>
      <c r="T4373" s="4">
        <f>R4373*S4373</f>
        <v>11980</v>
      </c>
      <c r="U4373" s="4">
        <f>T4373*1.12</f>
        <v>13417.600000000002</v>
      </c>
      <c r="V4373" s="3"/>
      <c r="W4373" s="3">
        <v>2014</v>
      </c>
      <c r="X4373" s="3" t="s">
        <v>14230</v>
      </c>
    </row>
    <row r="4374" spans="1:24" ht="76.5">
      <c r="A4374" s="3" t="s">
        <v>14233</v>
      </c>
      <c r="B4374" s="6" t="s">
        <v>361</v>
      </c>
      <c r="C4374" s="6" t="s">
        <v>5584</v>
      </c>
      <c r="D4374" s="6" t="s">
        <v>387</v>
      </c>
      <c r="E4374" s="14" t="s">
        <v>5332</v>
      </c>
      <c r="F4374" s="129" t="s">
        <v>7971</v>
      </c>
      <c r="G4374" s="3" t="s">
        <v>11449</v>
      </c>
      <c r="H4374" s="54">
        <v>0</v>
      </c>
      <c r="I4374" s="16">
        <v>470000000</v>
      </c>
      <c r="J4374" s="16" t="s">
        <v>229</v>
      </c>
      <c r="K4374" s="57" t="s">
        <v>642</v>
      </c>
      <c r="L4374" s="12" t="s">
        <v>404</v>
      </c>
      <c r="M4374" s="162" t="s">
        <v>230</v>
      </c>
      <c r="N4374" s="8" t="s">
        <v>8899</v>
      </c>
      <c r="O4374" s="6" t="s">
        <v>622</v>
      </c>
      <c r="P4374" s="58" t="s">
        <v>241</v>
      </c>
      <c r="Q4374" s="27" t="s">
        <v>234</v>
      </c>
      <c r="R4374" s="26">
        <v>20</v>
      </c>
      <c r="S4374" s="51">
        <v>605</v>
      </c>
      <c r="T4374" s="4">
        <f>R4374*S4374</f>
        <v>12100</v>
      </c>
      <c r="U4374" s="4">
        <f>T4374*1.12</f>
        <v>13552.000000000002</v>
      </c>
      <c r="V4374" s="3"/>
      <c r="W4374" s="3">
        <v>2014</v>
      </c>
      <c r="X4374" s="3"/>
    </row>
    <row r="4375" spans="1:24" ht="76.5">
      <c r="A4375" s="3" t="s">
        <v>10484</v>
      </c>
      <c r="B4375" s="6" t="s">
        <v>361</v>
      </c>
      <c r="C4375" s="6" t="s">
        <v>5584</v>
      </c>
      <c r="D4375" s="6" t="s">
        <v>387</v>
      </c>
      <c r="E4375" s="14" t="s">
        <v>5332</v>
      </c>
      <c r="F4375" s="129" t="s">
        <v>7972</v>
      </c>
      <c r="G4375" s="3" t="s">
        <v>11449</v>
      </c>
      <c r="H4375" s="54">
        <v>0</v>
      </c>
      <c r="I4375" s="16">
        <v>470000000</v>
      </c>
      <c r="J4375" s="16" t="s">
        <v>229</v>
      </c>
      <c r="K4375" s="57" t="s">
        <v>641</v>
      </c>
      <c r="L4375" s="57" t="s">
        <v>364</v>
      </c>
      <c r="M4375" s="162" t="s">
        <v>230</v>
      </c>
      <c r="N4375" s="8" t="s">
        <v>8899</v>
      </c>
      <c r="O4375" s="6" t="s">
        <v>622</v>
      </c>
      <c r="P4375" s="58" t="s">
        <v>241</v>
      </c>
      <c r="Q4375" s="27" t="s">
        <v>234</v>
      </c>
      <c r="R4375" s="26">
        <v>20</v>
      </c>
      <c r="S4375" s="59">
        <v>605</v>
      </c>
      <c r="T4375" s="4">
        <v>0</v>
      </c>
      <c r="U4375" s="4">
        <f t="shared" si="212"/>
        <v>0</v>
      </c>
      <c r="V4375" s="3"/>
      <c r="W4375" s="3">
        <v>2014</v>
      </c>
      <c r="X4375" s="3">
        <v>11.12</v>
      </c>
    </row>
    <row r="4376" spans="1:24" ht="76.5">
      <c r="A4376" s="3" t="s">
        <v>13201</v>
      </c>
      <c r="B4376" s="6" t="s">
        <v>361</v>
      </c>
      <c r="C4376" s="6" t="s">
        <v>5584</v>
      </c>
      <c r="D4376" s="6" t="s">
        <v>387</v>
      </c>
      <c r="E4376" s="14" t="s">
        <v>5332</v>
      </c>
      <c r="F4376" s="129" t="s">
        <v>7972</v>
      </c>
      <c r="G4376" s="3" t="s">
        <v>11449</v>
      </c>
      <c r="H4376" s="54">
        <v>0</v>
      </c>
      <c r="I4376" s="16">
        <v>470000000</v>
      </c>
      <c r="J4376" s="16" t="s">
        <v>229</v>
      </c>
      <c r="K4376" s="57" t="s">
        <v>642</v>
      </c>
      <c r="L4376" s="12" t="s">
        <v>404</v>
      </c>
      <c r="M4376" s="162" t="s">
        <v>230</v>
      </c>
      <c r="N4376" s="8" t="s">
        <v>8899</v>
      </c>
      <c r="O4376" s="6" t="s">
        <v>622</v>
      </c>
      <c r="P4376" s="58" t="s">
        <v>241</v>
      </c>
      <c r="Q4376" s="27" t="s">
        <v>234</v>
      </c>
      <c r="R4376" s="26">
        <v>20</v>
      </c>
      <c r="S4376" s="59">
        <v>605</v>
      </c>
      <c r="T4376" s="4">
        <f>R4376*S4376</f>
        <v>12100</v>
      </c>
      <c r="U4376" s="4">
        <f>T4376*1.12</f>
        <v>13552.000000000002</v>
      </c>
      <c r="V4376" s="3"/>
      <c r="W4376" s="3">
        <v>2014</v>
      </c>
      <c r="X4376" s="3"/>
    </row>
    <row r="4377" spans="1:24" ht="76.5">
      <c r="A4377" s="3" t="s">
        <v>10485</v>
      </c>
      <c r="B4377" s="6" t="s">
        <v>361</v>
      </c>
      <c r="C4377" s="6" t="s">
        <v>5585</v>
      </c>
      <c r="D4377" s="6" t="s">
        <v>5357</v>
      </c>
      <c r="E4377" s="14" t="s">
        <v>5462</v>
      </c>
      <c r="F4377" s="129" t="s">
        <v>7973</v>
      </c>
      <c r="G4377" s="3" t="s">
        <v>11449</v>
      </c>
      <c r="H4377" s="54">
        <v>0</v>
      </c>
      <c r="I4377" s="16">
        <v>470000000</v>
      </c>
      <c r="J4377" s="16" t="s">
        <v>229</v>
      </c>
      <c r="K4377" s="57" t="s">
        <v>641</v>
      </c>
      <c r="L4377" s="57" t="s">
        <v>364</v>
      </c>
      <c r="M4377" s="162" t="s">
        <v>230</v>
      </c>
      <c r="N4377" s="8" t="s">
        <v>8899</v>
      </c>
      <c r="O4377" s="6" t="s">
        <v>622</v>
      </c>
      <c r="P4377" s="58" t="s">
        <v>242</v>
      </c>
      <c r="Q4377" s="26" t="s">
        <v>239</v>
      </c>
      <c r="R4377" s="26">
        <v>20</v>
      </c>
      <c r="S4377" s="59">
        <v>1320</v>
      </c>
      <c r="T4377" s="4">
        <v>0</v>
      </c>
      <c r="U4377" s="4">
        <f t="shared" si="212"/>
        <v>0</v>
      </c>
      <c r="V4377" s="3"/>
      <c r="W4377" s="3">
        <v>2014</v>
      </c>
      <c r="X4377" s="3">
        <v>11.12</v>
      </c>
    </row>
    <row r="4378" spans="1:24" ht="76.5">
      <c r="A4378" s="3" t="s">
        <v>13202</v>
      </c>
      <c r="B4378" s="6" t="s">
        <v>361</v>
      </c>
      <c r="C4378" s="6" t="s">
        <v>5585</v>
      </c>
      <c r="D4378" s="6" t="s">
        <v>5357</v>
      </c>
      <c r="E4378" s="14" t="s">
        <v>5462</v>
      </c>
      <c r="F4378" s="129" t="s">
        <v>7973</v>
      </c>
      <c r="G4378" s="3" t="s">
        <v>11449</v>
      </c>
      <c r="H4378" s="54">
        <v>0</v>
      </c>
      <c r="I4378" s="16">
        <v>470000000</v>
      </c>
      <c r="J4378" s="16" t="s">
        <v>229</v>
      </c>
      <c r="K4378" s="57" t="s">
        <v>642</v>
      </c>
      <c r="L4378" s="12" t="s">
        <v>404</v>
      </c>
      <c r="M4378" s="162" t="s">
        <v>230</v>
      </c>
      <c r="N4378" s="8" t="s">
        <v>8899</v>
      </c>
      <c r="O4378" s="6" t="s">
        <v>622</v>
      </c>
      <c r="P4378" s="58" t="s">
        <v>242</v>
      </c>
      <c r="Q4378" s="26" t="s">
        <v>239</v>
      </c>
      <c r="R4378" s="26">
        <v>20</v>
      </c>
      <c r="S4378" s="59">
        <v>1320</v>
      </c>
      <c r="T4378" s="4">
        <v>0</v>
      </c>
      <c r="U4378" s="4">
        <f>T4378*1.12</f>
        <v>0</v>
      </c>
      <c r="V4378" s="3"/>
      <c r="W4378" s="3">
        <v>2014</v>
      </c>
      <c r="X4378" s="3" t="s">
        <v>14785</v>
      </c>
    </row>
    <row r="4379" spans="1:24" ht="76.5">
      <c r="A4379" s="3" t="s">
        <v>16885</v>
      </c>
      <c r="B4379" s="6" t="s">
        <v>361</v>
      </c>
      <c r="C4379" s="6" t="s">
        <v>5585</v>
      </c>
      <c r="D4379" s="6" t="s">
        <v>5357</v>
      </c>
      <c r="E4379" s="14" t="s">
        <v>5462</v>
      </c>
      <c r="F4379" s="129" t="s">
        <v>7973</v>
      </c>
      <c r="G4379" s="3" t="s">
        <v>11449</v>
      </c>
      <c r="H4379" s="54">
        <v>0</v>
      </c>
      <c r="I4379" s="16">
        <v>470000000</v>
      </c>
      <c r="J4379" s="16" t="s">
        <v>229</v>
      </c>
      <c r="K4379" s="57" t="s">
        <v>8950</v>
      </c>
      <c r="L4379" s="12" t="s">
        <v>404</v>
      </c>
      <c r="M4379" s="162" t="s">
        <v>230</v>
      </c>
      <c r="N4379" s="8" t="s">
        <v>8899</v>
      </c>
      <c r="O4379" s="6" t="s">
        <v>622</v>
      </c>
      <c r="P4379" s="58" t="s">
        <v>242</v>
      </c>
      <c r="Q4379" s="26" t="s">
        <v>239</v>
      </c>
      <c r="R4379" s="26">
        <v>20</v>
      </c>
      <c r="S4379" s="59">
        <v>1584</v>
      </c>
      <c r="T4379" s="4">
        <f>R4379*S4379</f>
        <v>31680</v>
      </c>
      <c r="U4379" s="4">
        <f>T4379*1.12</f>
        <v>35481.600000000006</v>
      </c>
      <c r="V4379" s="3"/>
      <c r="W4379" s="3">
        <v>2014</v>
      </c>
      <c r="X4379" s="3"/>
    </row>
    <row r="4380" spans="1:24" ht="76.5">
      <c r="A4380" s="3" t="s">
        <v>10486</v>
      </c>
      <c r="B4380" s="6" t="s">
        <v>361</v>
      </c>
      <c r="C4380" s="6" t="s">
        <v>5523</v>
      </c>
      <c r="D4380" s="6" t="s">
        <v>416</v>
      </c>
      <c r="E4380" s="14" t="s">
        <v>5332</v>
      </c>
      <c r="F4380" s="129" t="s">
        <v>7974</v>
      </c>
      <c r="G4380" s="3" t="s">
        <v>11449</v>
      </c>
      <c r="H4380" s="54">
        <v>0</v>
      </c>
      <c r="I4380" s="16">
        <v>470000000</v>
      </c>
      <c r="J4380" s="16" t="s">
        <v>229</v>
      </c>
      <c r="K4380" s="57" t="s">
        <v>641</v>
      </c>
      <c r="L4380" s="57" t="s">
        <v>364</v>
      </c>
      <c r="M4380" s="162" t="s">
        <v>230</v>
      </c>
      <c r="N4380" s="8" t="s">
        <v>8899</v>
      </c>
      <c r="O4380" s="6" t="s">
        <v>622</v>
      </c>
      <c r="P4380" s="58" t="s">
        <v>241</v>
      </c>
      <c r="Q4380" s="27" t="s">
        <v>234</v>
      </c>
      <c r="R4380" s="26">
        <v>30</v>
      </c>
      <c r="S4380" s="59">
        <v>363.00000000000006</v>
      </c>
      <c r="T4380" s="4">
        <v>0</v>
      </c>
      <c r="U4380" s="4">
        <f t="shared" si="212"/>
        <v>0</v>
      </c>
      <c r="V4380" s="3"/>
      <c r="W4380" s="3">
        <v>2014</v>
      </c>
      <c r="X4380" s="3">
        <v>11.12</v>
      </c>
    </row>
    <row r="4381" spans="1:24" ht="76.5">
      <c r="A4381" s="3" t="s">
        <v>13203</v>
      </c>
      <c r="B4381" s="6" t="s">
        <v>361</v>
      </c>
      <c r="C4381" s="6" t="s">
        <v>5523</v>
      </c>
      <c r="D4381" s="6" t="s">
        <v>416</v>
      </c>
      <c r="E4381" s="14" t="s">
        <v>5332</v>
      </c>
      <c r="F4381" s="129" t="s">
        <v>7974</v>
      </c>
      <c r="G4381" s="3" t="s">
        <v>11449</v>
      </c>
      <c r="H4381" s="54">
        <v>0</v>
      </c>
      <c r="I4381" s="16">
        <v>470000000</v>
      </c>
      <c r="J4381" s="16" t="s">
        <v>229</v>
      </c>
      <c r="K4381" s="57" t="s">
        <v>642</v>
      </c>
      <c r="L4381" s="12" t="s">
        <v>404</v>
      </c>
      <c r="M4381" s="162" t="s">
        <v>230</v>
      </c>
      <c r="N4381" s="8" t="s">
        <v>8899</v>
      </c>
      <c r="O4381" s="6" t="s">
        <v>622</v>
      </c>
      <c r="P4381" s="58" t="s">
        <v>241</v>
      </c>
      <c r="Q4381" s="27" t="s">
        <v>234</v>
      </c>
      <c r="R4381" s="26">
        <v>30</v>
      </c>
      <c r="S4381" s="59">
        <v>363.00000000000006</v>
      </c>
      <c r="T4381" s="4">
        <v>0</v>
      </c>
      <c r="U4381" s="4">
        <f>T4381*1.12</f>
        <v>0</v>
      </c>
      <c r="V4381" s="3"/>
      <c r="W4381" s="3">
        <v>2014</v>
      </c>
      <c r="X4381" s="3" t="s">
        <v>14785</v>
      </c>
    </row>
    <row r="4382" spans="1:24" ht="76.5">
      <c r="A4382" s="3" t="s">
        <v>16886</v>
      </c>
      <c r="B4382" s="6" t="s">
        <v>361</v>
      </c>
      <c r="C4382" s="6" t="s">
        <v>5523</v>
      </c>
      <c r="D4382" s="6" t="s">
        <v>416</v>
      </c>
      <c r="E4382" s="14" t="s">
        <v>5332</v>
      </c>
      <c r="F4382" s="129" t="s">
        <v>7974</v>
      </c>
      <c r="G4382" s="3" t="s">
        <v>11449</v>
      </c>
      <c r="H4382" s="54">
        <v>0</v>
      </c>
      <c r="I4382" s="16">
        <v>470000000</v>
      </c>
      <c r="J4382" s="16" t="s">
        <v>229</v>
      </c>
      <c r="K4382" s="57" t="s">
        <v>8950</v>
      </c>
      <c r="L4382" s="12" t="s">
        <v>404</v>
      </c>
      <c r="M4382" s="162" t="s">
        <v>230</v>
      </c>
      <c r="N4382" s="8" t="s">
        <v>8899</v>
      </c>
      <c r="O4382" s="6" t="s">
        <v>622</v>
      </c>
      <c r="P4382" s="58" t="s">
        <v>241</v>
      </c>
      <c r="Q4382" s="27" t="s">
        <v>234</v>
      </c>
      <c r="R4382" s="26">
        <v>30</v>
      </c>
      <c r="S4382" s="59">
        <v>435.60000000000008</v>
      </c>
      <c r="T4382" s="4">
        <f>R4382*S4382</f>
        <v>13068.000000000002</v>
      </c>
      <c r="U4382" s="4">
        <f>T4382*1.12</f>
        <v>14636.160000000003</v>
      </c>
      <c r="V4382" s="3"/>
      <c r="W4382" s="3">
        <v>2014</v>
      </c>
      <c r="X4382" s="3"/>
    </row>
    <row r="4383" spans="1:24" ht="76.5">
      <c r="A4383" s="3" t="s">
        <v>10487</v>
      </c>
      <c r="B4383" s="6" t="s">
        <v>361</v>
      </c>
      <c r="C4383" s="6" t="s">
        <v>5533</v>
      </c>
      <c r="D4383" s="6" t="s">
        <v>446</v>
      </c>
      <c r="E4383" s="14" t="s">
        <v>5534</v>
      </c>
      <c r="F4383" s="129" t="s">
        <v>7975</v>
      </c>
      <c r="G4383" s="3" t="s">
        <v>11449</v>
      </c>
      <c r="H4383" s="54">
        <v>0</v>
      </c>
      <c r="I4383" s="16">
        <v>470000000</v>
      </c>
      <c r="J4383" s="16" t="s">
        <v>229</v>
      </c>
      <c r="K4383" s="57" t="s">
        <v>641</v>
      </c>
      <c r="L4383" s="57" t="s">
        <v>364</v>
      </c>
      <c r="M4383" s="162" t="s">
        <v>230</v>
      </c>
      <c r="N4383" s="8" t="s">
        <v>8899</v>
      </c>
      <c r="O4383" s="6" t="s">
        <v>622</v>
      </c>
      <c r="P4383" s="58" t="s">
        <v>241</v>
      </c>
      <c r="Q4383" s="27" t="s">
        <v>234</v>
      </c>
      <c r="R4383" s="26">
        <v>4</v>
      </c>
      <c r="S4383" s="59">
        <v>39446</v>
      </c>
      <c r="T4383" s="4">
        <v>0</v>
      </c>
      <c r="U4383" s="4">
        <f t="shared" si="212"/>
        <v>0</v>
      </c>
      <c r="V4383" s="3"/>
      <c r="W4383" s="3">
        <v>2014</v>
      </c>
      <c r="X4383" s="3">
        <v>11.12</v>
      </c>
    </row>
    <row r="4384" spans="1:24" ht="76.5">
      <c r="A4384" s="3" t="s">
        <v>13204</v>
      </c>
      <c r="B4384" s="6" t="s">
        <v>361</v>
      </c>
      <c r="C4384" s="6" t="s">
        <v>5533</v>
      </c>
      <c r="D4384" s="6" t="s">
        <v>446</v>
      </c>
      <c r="E4384" s="14" t="s">
        <v>5534</v>
      </c>
      <c r="F4384" s="129" t="s">
        <v>7975</v>
      </c>
      <c r="G4384" s="3" t="s">
        <v>11449</v>
      </c>
      <c r="H4384" s="54">
        <v>0</v>
      </c>
      <c r="I4384" s="16">
        <v>470000000</v>
      </c>
      <c r="J4384" s="16" t="s">
        <v>229</v>
      </c>
      <c r="K4384" s="57" t="s">
        <v>642</v>
      </c>
      <c r="L4384" s="12" t="s">
        <v>404</v>
      </c>
      <c r="M4384" s="162" t="s">
        <v>230</v>
      </c>
      <c r="N4384" s="8" t="s">
        <v>8899</v>
      </c>
      <c r="O4384" s="6" t="s">
        <v>622</v>
      </c>
      <c r="P4384" s="58" t="s">
        <v>241</v>
      </c>
      <c r="Q4384" s="27" t="s">
        <v>234</v>
      </c>
      <c r="R4384" s="26">
        <v>4</v>
      </c>
      <c r="S4384" s="59">
        <v>39446</v>
      </c>
      <c r="T4384" s="4">
        <f>R4384*S4384</f>
        <v>157784</v>
      </c>
      <c r="U4384" s="4">
        <f>T4384*1.12</f>
        <v>176718.08000000002</v>
      </c>
      <c r="V4384" s="3"/>
      <c r="W4384" s="3">
        <v>2014</v>
      </c>
      <c r="X4384" s="3"/>
    </row>
    <row r="4385" spans="1:24" ht="76.5">
      <c r="A4385" s="3" t="s">
        <v>10488</v>
      </c>
      <c r="B4385" s="6" t="s">
        <v>361</v>
      </c>
      <c r="C4385" s="6" t="s">
        <v>5523</v>
      </c>
      <c r="D4385" s="6" t="s">
        <v>416</v>
      </c>
      <c r="E4385" s="14" t="s">
        <v>5332</v>
      </c>
      <c r="F4385" s="129" t="s">
        <v>7976</v>
      </c>
      <c r="G4385" s="3" t="s">
        <v>11449</v>
      </c>
      <c r="H4385" s="54">
        <v>0</v>
      </c>
      <c r="I4385" s="16">
        <v>470000000</v>
      </c>
      <c r="J4385" s="16" t="s">
        <v>229</v>
      </c>
      <c r="K4385" s="57" t="s">
        <v>641</v>
      </c>
      <c r="L4385" s="57" t="s">
        <v>364</v>
      </c>
      <c r="M4385" s="162" t="s">
        <v>230</v>
      </c>
      <c r="N4385" s="8" t="s">
        <v>8899</v>
      </c>
      <c r="O4385" s="6" t="s">
        <v>622</v>
      </c>
      <c r="P4385" s="58" t="s">
        <v>241</v>
      </c>
      <c r="Q4385" s="27" t="s">
        <v>234</v>
      </c>
      <c r="R4385" s="26">
        <v>40</v>
      </c>
      <c r="S4385" s="59">
        <v>363.00000000000006</v>
      </c>
      <c r="T4385" s="4">
        <v>0</v>
      </c>
      <c r="U4385" s="4">
        <f t="shared" si="212"/>
        <v>0</v>
      </c>
      <c r="V4385" s="3"/>
      <c r="W4385" s="3">
        <v>2014</v>
      </c>
      <c r="X4385" s="3">
        <v>11.12</v>
      </c>
    </row>
    <row r="4386" spans="1:24" ht="76.5">
      <c r="A4386" s="3" t="s">
        <v>13205</v>
      </c>
      <c r="B4386" s="6" t="s">
        <v>361</v>
      </c>
      <c r="C4386" s="6" t="s">
        <v>5523</v>
      </c>
      <c r="D4386" s="6" t="s">
        <v>416</v>
      </c>
      <c r="E4386" s="14" t="s">
        <v>5332</v>
      </c>
      <c r="F4386" s="129" t="s">
        <v>7976</v>
      </c>
      <c r="G4386" s="3" t="s">
        <v>11449</v>
      </c>
      <c r="H4386" s="54">
        <v>0</v>
      </c>
      <c r="I4386" s="16">
        <v>470000000</v>
      </c>
      <c r="J4386" s="16" t="s">
        <v>229</v>
      </c>
      <c r="K4386" s="57" t="s">
        <v>642</v>
      </c>
      <c r="L4386" s="12" t="s">
        <v>404</v>
      </c>
      <c r="M4386" s="162" t="s">
        <v>230</v>
      </c>
      <c r="N4386" s="8" t="s">
        <v>8899</v>
      </c>
      <c r="O4386" s="6" t="s">
        <v>622</v>
      </c>
      <c r="P4386" s="58" t="s">
        <v>241</v>
      </c>
      <c r="Q4386" s="27" t="s">
        <v>234</v>
      </c>
      <c r="R4386" s="26">
        <v>40</v>
      </c>
      <c r="S4386" s="59">
        <v>363.00000000000006</v>
      </c>
      <c r="T4386" s="4">
        <f>R4386*S4386</f>
        <v>14520.000000000002</v>
      </c>
      <c r="U4386" s="4">
        <f>T4386*1.12</f>
        <v>16262.400000000003</v>
      </c>
      <c r="V4386" s="3"/>
      <c r="W4386" s="3">
        <v>2014</v>
      </c>
      <c r="X4386" s="3"/>
    </row>
    <row r="4387" spans="1:24" ht="76.5">
      <c r="A4387" s="3" t="s">
        <v>10489</v>
      </c>
      <c r="B4387" s="6" t="s">
        <v>361</v>
      </c>
      <c r="C4387" s="6" t="s">
        <v>5586</v>
      </c>
      <c r="D4387" s="6" t="s">
        <v>5587</v>
      </c>
      <c r="E4387" s="14" t="s">
        <v>5183</v>
      </c>
      <c r="F4387" s="129" t="s">
        <v>7977</v>
      </c>
      <c r="G4387" s="3" t="s">
        <v>11449</v>
      </c>
      <c r="H4387" s="54">
        <v>0</v>
      </c>
      <c r="I4387" s="16">
        <v>470000000</v>
      </c>
      <c r="J4387" s="16" t="s">
        <v>229</v>
      </c>
      <c r="K4387" s="57" t="s">
        <v>641</v>
      </c>
      <c r="L4387" s="57" t="s">
        <v>364</v>
      </c>
      <c r="M4387" s="162" t="s">
        <v>230</v>
      </c>
      <c r="N4387" s="8" t="s">
        <v>8899</v>
      </c>
      <c r="O4387" s="6" t="s">
        <v>622</v>
      </c>
      <c r="P4387" s="58" t="s">
        <v>241</v>
      </c>
      <c r="Q4387" s="27" t="s">
        <v>234</v>
      </c>
      <c r="R4387" s="26">
        <v>6</v>
      </c>
      <c r="S4387" s="59">
        <v>17224.053</v>
      </c>
      <c r="T4387" s="4">
        <v>0</v>
      </c>
      <c r="U4387" s="4">
        <f t="shared" si="212"/>
        <v>0</v>
      </c>
      <c r="V4387" s="3"/>
      <c r="W4387" s="3">
        <v>2014</v>
      </c>
      <c r="X4387" s="3">
        <v>11.12</v>
      </c>
    </row>
    <row r="4388" spans="1:24" ht="76.5">
      <c r="A4388" s="3" t="s">
        <v>13206</v>
      </c>
      <c r="B4388" s="6" t="s">
        <v>361</v>
      </c>
      <c r="C4388" s="6" t="s">
        <v>5586</v>
      </c>
      <c r="D4388" s="6" t="s">
        <v>5587</v>
      </c>
      <c r="E4388" s="14" t="s">
        <v>5183</v>
      </c>
      <c r="F4388" s="129" t="s">
        <v>7977</v>
      </c>
      <c r="G4388" s="3" t="s">
        <v>11449</v>
      </c>
      <c r="H4388" s="54">
        <v>0</v>
      </c>
      <c r="I4388" s="16">
        <v>470000000</v>
      </c>
      <c r="J4388" s="16" t="s">
        <v>229</v>
      </c>
      <c r="K4388" s="57" t="s">
        <v>642</v>
      </c>
      <c r="L4388" s="12" t="s">
        <v>404</v>
      </c>
      <c r="M4388" s="162" t="s">
        <v>230</v>
      </c>
      <c r="N4388" s="8" t="s">
        <v>8899</v>
      </c>
      <c r="O4388" s="6" t="s">
        <v>622</v>
      </c>
      <c r="P4388" s="58" t="s">
        <v>241</v>
      </c>
      <c r="Q4388" s="27" t="s">
        <v>234</v>
      </c>
      <c r="R4388" s="26">
        <v>6</v>
      </c>
      <c r="S4388" s="59">
        <v>17224.053</v>
      </c>
      <c r="T4388" s="4">
        <f>R4388*S4388</f>
        <v>103344.318</v>
      </c>
      <c r="U4388" s="4">
        <f>T4388*1.12</f>
        <v>115745.63616000001</v>
      </c>
      <c r="V4388" s="3"/>
      <c r="W4388" s="3">
        <v>2014</v>
      </c>
      <c r="X4388" s="3"/>
    </row>
    <row r="4389" spans="1:24" ht="76.5">
      <c r="A4389" s="3" t="s">
        <v>10490</v>
      </c>
      <c r="B4389" s="6" t="s">
        <v>361</v>
      </c>
      <c r="C4389" s="6" t="s">
        <v>5573</v>
      </c>
      <c r="D4389" s="6" t="s">
        <v>5574</v>
      </c>
      <c r="E4389" s="14" t="s">
        <v>5575</v>
      </c>
      <c r="F4389" s="129" t="s">
        <v>7978</v>
      </c>
      <c r="G4389" s="3" t="s">
        <v>11449</v>
      </c>
      <c r="H4389" s="54">
        <v>0</v>
      </c>
      <c r="I4389" s="16">
        <v>470000000</v>
      </c>
      <c r="J4389" s="16" t="s">
        <v>229</v>
      </c>
      <c r="K4389" s="57" t="s">
        <v>641</v>
      </c>
      <c r="L4389" s="57" t="s">
        <v>364</v>
      </c>
      <c r="M4389" s="162" t="s">
        <v>230</v>
      </c>
      <c r="N4389" s="8" t="s">
        <v>8899</v>
      </c>
      <c r="O4389" s="6" t="s">
        <v>622</v>
      </c>
      <c r="P4389" s="58" t="s">
        <v>241</v>
      </c>
      <c r="Q4389" s="27" t="s">
        <v>234</v>
      </c>
      <c r="R4389" s="26">
        <v>12</v>
      </c>
      <c r="S4389" s="59">
        <v>4961</v>
      </c>
      <c r="T4389" s="4">
        <v>0</v>
      </c>
      <c r="U4389" s="4">
        <f t="shared" si="212"/>
        <v>0</v>
      </c>
      <c r="V4389" s="3"/>
      <c r="W4389" s="3">
        <v>2014</v>
      </c>
      <c r="X4389" s="3">
        <v>11.12</v>
      </c>
    </row>
    <row r="4390" spans="1:24" ht="76.5">
      <c r="A4390" s="3" t="s">
        <v>13207</v>
      </c>
      <c r="B4390" s="6" t="s">
        <v>361</v>
      </c>
      <c r="C4390" s="6" t="s">
        <v>5573</v>
      </c>
      <c r="D4390" s="6" t="s">
        <v>5574</v>
      </c>
      <c r="E4390" s="14" t="s">
        <v>5575</v>
      </c>
      <c r="F4390" s="129" t="s">
        <v>7978</v>
      </c>
      <c r="G4390" s="3" t="s">
        <v>11449</v>
      </c>
      <c r="H4390" s="54">
        <v>0</v>
      </c>
      <c r="I4390" s="16">
        <v>470000000</v>
      </c>
      <c r="J4390" s="16" t="s">
        <v>229</v>
      </c>
      <c r="K4390" s="57" t="s">
        <v>642</v>
      </c>
      <c r="L4390" s="12" t="s">
        <v>404</v>
      </c>
      <c r="M4390" s="162" t="s">
        <v>230</v>
      </c>
      <c r="N4390" s="8" t="s">
        <v>8899</v>
      </c>
      <c r="O4390" s="6" t="s">
        <v>622</v>
      </c>
      <c r="P4390" s="58" t="s">
        <v>241</v>
      </c>
      <c r="Q4390" s="27" t="s">
        <v>234</v>
      </c>
      <c r="R4390" s="26">
        <v>12</v>
      </c>
      <c r="S4390" s="59">
        <v>4961</v>
      </c>
      <c r="T4390" s="4">
        <f>R4390*S4390</f>
        <v>59532</v>
      </c>
      <c r="U4390" s="4">
        <f>T4390*1.12</f>
        <v>66675.840000000011</v>
      </c>
      <c r="V4390" s="3"/>
      <c r="W4390" s="3">
        <v>2014</v>
      </c>
      <c r="X4390" s="3"/>
    </row>
    <row r="4391" spans="1:24" ht="76.5">
      <c r="A4391" s="3" t="s">
        <v>10491</v>
      </c>
      <c r="B4391" s="6" t="s">
        <v>361</v>
      </c>
      <c r="C4391" s="6" t="s">
        <v>5524</v>
      </c>
      <c r="D4391" s="6" t="s">
        <v>5525</v>
      </c>
      <c r="E4391" s="14" t="s">
        <v>5335</v>
      </c>
      <c r="F4391" s="129" t="s">
        <v>7979</v>
      </c>
      <c r="G4391" s="3" t="s">
        <v>11449</v>
      </c>
      <c r="H4391" s="54">
        <v>0</v>
      </c>
      <c r="I4391" s="16">
        <v>470000000</v>
      </c>
      <c r="J4391" s="16" t="s">
        <v>229</v>
      </c>
      <c r="K4391" s="57" t="s">
        <v>641</v>
      </c>
      <c r="L4391" s="57" t="s">
        <v>364</v>
      </c>
      <c r="M4391" s="162" t="s">
        <v>230</v>
      </c>
      <c r="N4391" s="8" t="s">
        <v>8899</v>
      </c>
      <c r="O4391" s="6" t="s">
        <v>622</v>
      </c>
      <c r="P4391" s="58" t="s">
        <v>241</v>
      </c>
      <c r="Q4391" s="27" t="s">
        <v>234</v>
      </c>
      <c r="R4391" s="26">
        <v>6</v>
      </c>
      <c r="S4391" s="59">
        <v>3267.0000000000005</v>
      </c>
      <c r="T4391" s="4">
        <v>0</v>
      </c>
      <c r="U4391" s="4">
        <f t="shared" ref="U4391:U4419" si="216">T4391*1.12</f>
        <v>0</v>
      </c>
      <c r="V4391" s="3"/>
      <c r="W4391" s="3">
        <v>2014</v>
      </c>
      <c r="X4391" s="3">
        <v>11.12</v>
      </c>
    </row>
    <row r="4392" spans="1:24" ht="76.5">
      <c r="A4392" s="3" t="s">
        <v>13208</v>
      </c>
      <c r="B4392" s="6" t="s">
        <v>361</v>
      </c>
      <c r="C4392" s="6" t="s">
        <v>5524</v>
      </c>
      <c r="D4392" s="6" t="s">
        <v>5525</v>
      </c>
      <c r="E4392" s="14" t="s">
        <v>5335</v>
      </c>
      <c r="F4392" s="129" t="s">
        <v>7979</v>
      </c>
      <c r="G4392" s="3" t="s">
        <v>11449</v>
      </c>
      <c r="H4392" s="54">
        <v>0</v>
      </c>
      <c r="I4392" s="16">
        <v>470000000</v>
      </c>
      <c r="J4392" s="16" t="s">
        <v>229</v>
      </c>
      <c r="K4392" s="57" t="s">
        <v>642</v>
      </c>
      <c r="L4392" s="12" t="s">
        <v>404</v>
      </c>
      <c r="M4392" s="162" t="s">
        <v>230</v>
      </c>
      <c r="N4392" s="8" t="s">
        <v>8899</v>
      </c>
      <c r="O4392" s="6" t="s">
        <v>622</v>
      </c>
      <c r="P4392" s="58" t="s">
        <v>241</v>
      </c>
      <c r="Q4392" s="27" t="s">
        <v>234</v>
      </c>
      <c r="R4392" s="26">
        <v>6</v>
      </c>
      <c r="S4392" s="59">
        <v>3267.0000000000005</v>
      </c>
      <c r="T4392" s="4">
        <v>0</v>
      </c>
      <c r="U4392" s="4">
        <f>T4392*1.12</f>
        <v>0</v>
      </c>
      <c r="V4392" s="3"/>
      <c r="W4392" s="3">
        <v>2014</v>
      </c>
      <c r="X4392" s="3" t="s">
        <v>14785</v>
      </c>
    </row>
    <row r="4393" spans="1:24" ht="76.5">
      <c r="A4393" s="3" t="s">
        <v>16887</v>
      </c>
      <c r="B4393" s="6" t="s">
        <v>361</v>
      </c>
      <c r="C4393" s="6" t="s">
        <v>5524</v>
      </c>
      <c r="D4393" s="6" t="s">
        <v>5525</v>
      </c>
      <c r="E4393" s="14" t="s">
        <v>5335</v>
      </c>
      <c r="F4393" s="129" t="s">
        <v>7979</v>
      </c>
      <c r="G4393" s="3" t="s">
        <v>11449</v>
      </c>
      <c r="H4393" s="54">
        <v>0</v>
      </c>
      <c r="I4393" s="16">
        <v>470000000</v>
      </c>
      <c r="J4393" s="16" t="s">
        <v>229</v>
      </c>
      <c r="K4393" s="57" t="s">
        <v>8950</v>
      </c>
      <c r="L4393" s="12" t="s">
        <v>404</v>
      </c>
      <c r="M4393" s="162" t="s">
        <v>230</v>
      </c>
      <c r="N4393" s="8" t="s">
        <v>8899</v>
      </c>
      <c r="O4393" s="6" t="s">
        <v>622</v>
      </c>
      <c r="P4393" s="58" t="s">
        <v>241</v>
      </c>
      <c r="Q4393" s="27" t="s">
        <v>234</v>
      </c>
      <c r="R4393" s="26">
        <v>6</v>
      </c>
      <c r="S4393" s="59">
        <v>3920.4000000000005</v>
      </c>
      <c r="T4393" s="4">
        <f>R4393*S4393</f>
        <v>23522.400000000001</v>
      </c>
      <c r="U4393" s="4">
        <f>T4393*1.12</f>
        <v>26345.088000000003</v>
      </c>
      <c r="V4393" s="3"/>
      <c r="W4393" s="3">
        <v>2014</v>
      </c>
      <c r="X4393" s="3"/>
    </row>
    <row r="4394" spans="1:24" ht="76.5">
      <c r="A4394" s="3" t="s">
        <v>10492</v>
      </c>
      <c r="B4394" s="6" t="s">
        <v>361</v>
      </c>
      <c r="C4394" s="6" t="s">
        <v>7312</v>
      </c>
      <c r="D4394" s="6" t="s">
        <v>5357</v>
      </c>
      <c r="E4394" s="14" t="s">
        <v>7313</v>
      </c>
      <c r="F4394" s="129" t="s">
        <v>7980</v>
      </c>
      <c r="G4394" s="3" t="s">
        <v>11449</v>
      </c>
      <c r="H4394" s="54">
        <v>0</v>
      </c>
      <c r="I4394" s="16">
        <v>470000000</v>
      </c>
      <c r="J4394" s="16" t="s">
        <v>229</v>
      </c>
      <c r="K4394" s="57" t="s">
        <v>641</v>
      </c>
      <c r="L4394" s="57" t="s">
        <v>364</v>
      </c>
      <c r="M4394" s="162" t="s">
        <v>230</v>
      </c>
      <c r="N4394" s="8" t="s">
        <v>8899</v>
      </c>
      <c r="O4394" s="6" t="s">
        <v>622</v>
      </c>
      <c r="P4394" s="58" t="s">
        <v>241</v>
      </c>
      <c r="Q4394" s="27" t="s">
        <v>234</v>
      </c>
      <c r="R4394" s="26">
        <v>10</v>
      </c>
      <c r="S4394" s="59">
        <v>599</v>
      </c>
      <c r="T4394" s="4">
        <v>0</v>
      </c>
      <c r="U4394" s="4">
        <f t="shared" si="216"/>
        <v>0</v>
      </c>
      <c r="V4394" s="3"/>
      <c r="W4394" s="3">
        <v>2014</v>
      </c>
      <c r="X4394" s="3">
        <v>11.12</v>
      </c>
    </row>
    <row r="4395" spans="1:24" ht="76.5">
      <c r="A4395" s="3" t="s">
        <v>13209</v>
      </c>
      <c r="B4395" s="6" t="s">
        <v>361</v>
      </c>
      <c r="C4395" s="6" t="s">
        <v>7312</v>
      </c>
      <c r="D4395" s="6" t="s">
        <v>5357</v>
      </c>
      <c r="E4395" s="14" t="s">
        <v>7313</v>
      </c>
      <c r="F4395" s="129" t="s">
        <v>7980</v>
      </c>
      <c r="G4395" s="3" t="s">
        <v>11449</v>
      </c>
      <c r="H4395" s="54">
        <v>0</v>
      </c>
      <c r="I4395" s="16">
        <v>470000000</v>
      </c>
      <c r="J4395" s="16" t="s">
        <v>229</v>
      </c>
      <c r="K4395" s="57" t="s">
        <v>642</v>
      </c>
      <c r="L4395" s="12" t="s">
        <v>404</v>
      </c>
      <c r="M4395" s="162" t="s">
        <v>230</v>
      </c>
      <c r="N4395" s="8" t="s">
        <v>8899</v>
      </c>
      <c r="O4395" s="6" t="s">
        <v>622</v>
      </c>
      <c r="P4395" s="58" t="s">
        <v>241</v>
      </c>
      <c r="Q4395" s="27" t="s">
        <v>234</v>
      </c>
      <c r="R4395" s="26">
        <v>10</v>
      </c>
      <c r="S4395" s="59">
        <v>599</v>
      </c>
      <c r="T4395" s="4">
        <f>R4395*S4395</f>
        <v>5990</v>
      </c>
      <c r="U4395" s="4">
        <f>T4395*1.12</f>
        <v>6708.8000000000011</v>
      </c>
      <c r="V4395" s="3"/>
      <c r="W4395" s="3">
        <v>2014</v>
      </c>
      <c r="X4395" s="3"/>
    </row>
    <row r="4396" spans="1:24" ht="140.25">
      <c r="A4396" s="3" t="s">
        <v>10493</v>
      </c>
      <c r="B4396" s="6" t="s">
        <v>361</v>
      </c>
      <c r="C4396" s="6" t="s">
        <v>7314</v>
      </c>
      <c r="D4396" s="6" t="s">
        <v>7315</v>
      </c>
      <c r="E4396" s="14" t="s">
        <v>7316</v>
      </c>
      <c r="F4396" s="129" t="s">
        <v>7981</v>
      </c>
      <c r="G4396" s="3" t="s">
        <v>11449</v>
      </c>
      <c r="H4396" s="54">
        <v>0</v>
      </c>
      <c r="I4396" s="16">
        <v>470000000</v>
      </c>
      <c r="J4396" s="16" t="s">
        <v>229</v>
      </c>
      <c r="K4396" s="57" t="s">
        <v>641</v>
      </c>
      <c r="L4396" s="57" t="s">
        <v>364</v>
      </c>
      <c r="M4396" s="162" t="s">
        <v>230</v>
      </c>
      <c r="N4396" s="8" t="s">
        <v>8899</v>
      </c>
      <c r="O4396" s="6" t="s">
        <v>622</v>
      </c>
      <c r="P4396" s="58" t="s">
        <v>241</v>
      </c>
      <c r="Q4396" s="27" t="s">
        <v>234</v>
      </c>
      <c r="R4396" s="26">
        <v>12</v>
      </c>
      <c r="S4396" s="59">
        <v>5808.0000000000009</v>
      </c>
      <c r="T4396" s="4">
        <v>0</v>
      </c>
      <c r="U4396" s="4">
        <f t="shared" si="216"/>
        <v>0</v>
      </c>
      <c r="V4396" s="3"/>
      <c r="W4396" s="3">
        <v>2014</v>
      </c>
      <c r="X4396" s="3">
        <v>11.12</v>
      </c>
    </row>
    <row r="4397" spans="1:24" ht="140.25">
      <c r="A4397" s="3" t="s">
        <v>13210</v>
      </c>
      <c r="B4397" s="6" t="s">
        <v>361</v>
      </c>
      <c r="C4397" s="6" t="s">
        <v>7314</v>
      </c>
      <c r="D4397" s="6" t="s">
        <v>7315</v>
      </c>
      <c r="E4397" s="14" t="s">
        <v>7316</v>
      </c>
      <c r="F4397" s="129" t="s">
        <v>7981</v>
      </c>
      <c r="G4397" s="3" t="s">
        <v>11449</v>
      </c>
      <c r="H4397" s="54">
        <v>0</v>
      </c>
      <c r="I4397" s="16">
        <v>470000000</v>
      </c>
      <c r="J4397" s="16" t="s">
        <v>229</v>
      </c>
      <c r="K4397" s="57" t="s">
        <v>642</v>
      </c>
      <c r="L4397" s="12" t="s">
        <v>404</v>
      </c>
      <c r="M4397" s="162" t="s">
        <v>230</v>
      </c>
      <c r="N4397" s="8" t="s">
        <v>8899</v>
      </c>
      <c r="O4397" s="6" t="s">
        <v>622</v>
      </c>
      <c r="P4397" s="58" t="s">
        <v>241</v>
      </c>
      <c r="Q4397" s="27" t="s">
        <v>234</v>
      </c>
      <c r="R4397" s="26">
        <v>12</v>
      </c>
      <c r="S4397" s="59">
        <v>5808.0000000000009</v>
      </c>
      <c r="T4397" s="4">
        <f>R4397*S4397</f>
        <v>69696.000000000015</v>
      </c>
      <c r="U4397" s="4">
        <f>T4397*1.12</f>
        <v>78059.520000000019</v>
      </c>
      <c r="V4397" s="3"/>
      <c r="W4397" s="3">
        <v>2014</v>
      </c>
      <c r="X4397" s="3"/>
    </row>
    <row r="4398" spans="1:24" ht="76.5">
      <c r="A4398" s="3" t="s">
        <v>10494</v>
      </c>
      <c r="B4398" s="6" t="s">
        <v>361</v>
      </c>
      <c r="C4398" s="6" t="s">
        <v>7317</v>
      </c>
      <c r="D4398" s="6" t="s">
        <v>7302</v>
      </c>
      <c r="E4398" s="14" t="s">
        <v>7318</v>
      </c>
      <c r="F4398" s="129" t="s">
        <v>7982</v>
      </c>
      <c r="G4398" s="3" t="s">
        <v>11449</v>
      </c>
      <c r="H4398" s="54">
        <v>0</v>
      </c>
      <c r="I4398" s="16">
        <v>470000000</v>
      </c>
      <c r="J4398" s="16" t="s">
        <v>229</v>
      </c>
      <c r="K4398" s="57" t="s">
        <v>641</v>
      </c>
      <c r="L4398" s="57" t="s">
        <v>364</v>
      </c>
      <c r="M4398" s="162" t="s">
        <v>230</v>
      </c>
      <c r="N4398" s="8" t="s">
        <v>8899</v>
      </c>
      <c r="O4398" s="6" t="s">
        <v>622</v>
      </c>
      <c r="P4398" s="58" t="s">
        <v>241</v>
      </c>
      <c r="Q4398" s="27" t="s">
        <v>234</v>
      </c>
      <c r="R4398" s="26">
        <v>10</v>
      </c>
      <c r="S4398" s="59">
        <v>3107.5000000000005</v>
      </c>
      <c r="T4398" s="4">
        <v>0</v>
      </c>
      <c r="U4398" s="4">
        <f t="shared" si="216"/>
        <v>0</v>
      </c>
      <c r="V4398" s="3"/>
      <c r="W4398" s="3">
        <v>2014</v>
      </c>
      <c r="X4398" s="3">
        <v>11.12</v>
      </c>
    </row>
    <row r="4399" spans="1:24" ht="76.5">
      <c r="A4399" s="3" t="s">
        <v>13211</v>
      </c>
      <c r="B4399" s="6" t="s">
        <v>361</v>
      </c>
      <c r="C4399" s="6" t="s">
        <v>7317</v>
      </c>
      <c r="D4399" s="6" t="s">
        <v>7302</v>
      </c>
      <c r="E4399" s="14" t="s">
        <v>7318</v>
      </c>
      <c r="F4399" s="129" t="s">
        <v>7982</v>
      </c>
      <c r="G4399" s="3" t="s">
        <v>11449</v>
      </c>
      <c r="H4399" s="54">
        <v>0</v>
      </c>
      <c r="I4399" s="16">
        <v>470000000</v>
      </c>
      <c r="J4399" s="16" t="s">
        <v>229</v>
      </c>
      <c r="K4399" s="57" t="s">
        <v>642</v>
      </c>
      <c r="L4399" s="12" t="s">
        <v>404</v>
      </c>
      <c r="M4399" s="162" t="s">
        <v>230</v>
      </c>
      <c r="N4399" s="8" t="s">
        <v>8899</v>
      </c>
      <c r="O4399" s="6" t="s">
        <v>622</v>
      </c>
      <c r="P4399" s="58" t="s">
        <v>241</v>
      </c>
      <c r="Q4399" s="27" t="s">
        <v>234</v>
      </c>
      <c r="R4399" s="26">
        <v>10</v>
      </c>
      <c r="S4399" s="59">
        <v>3107.5000000000005</v>
      </c>
      <c r="T4399" s="4">
        <f>R4399*S4399</f>
        <v>31075.000000000004</v>
      </c>
      <c r="U4399" s="4">
        <f>T4399*1.12</f>
        <v>34804.000000000007</v>
      </c>
      <c r="V4399" s="3"/>
      <c r="W4399" s="3">
        <v>2014</v>
      </c>
      <c r="X4399" s="3"/>
    </row>
    <row r="4400" spans="1:24" ht="76.5">
      <c r="A4400" s="3" t="s">
        <v>10495</v>
      </c>
      <c r="B4400" s="6" t="s">
        <v>361</v>
      </c>
      <c r="C4400" s="6" t="s">
        <v>5588</v>
      </c>
      <c r="D4400" s="6" t="s">
        <v>452</v>
      </c>
      <c r="E4400" s="14" t="s">
        <v>5183</v>
      </c>
      <c r="F4400" s="129" t="s">
        <v>5589</v>
      </c>
      <c r="G4400" s="3" t="s">
        <v>11449</v>
      </c>
      <c r="H4400" s="54">
        <v>0</v>
      </c>
      <c r="I4400" s="16">
        <v>470000000</v>
      </c>
      <c r="J4400" s="16" t="s">
        <v>229</v>
      </c>
      <c r="K4400" s="57" t="s">
        <v>641</v>
      </c>
      <c r="L4400" s="57" t="s">
        <v>364</v>
      </c>
      <c r="M4400" s="162" t="s">
        <v>230</v>
      </c>
      <c r="N4400" s="8" t="s">
        <v>8899</v>
      </c>
      <c r="O4400" s="6" t="s">
        <v>622</v>
      </c>
      <c r="P4400" s="58" t="s">
        <v>241</v>
      </c>
      <c r="Q4400" s="27" t="s">
        <v>234</v>
      </c>
      <c r="R4400" s="26">
        <v>2</v>
      </c>
      <c r="S4400" s="59">
        <v>199812</v>
      </c>
      <c r="T4400" s="4">
        <v>0</v>
      </c>
      <c r="U4400" s="4">
        <f t="shared" si="216"/>
        <v>0</v>
      </c>
      <c r="V4400" s="3"/>
      <c r="W4400" s="3">
        <v>2014</v>
      </c>
      <c r="X4400" s="3">
        <v>11.12</v>
      </c>
    </row>
    <row r="4401" spans="1:24" ht="76.5">
      <c r="A4401" s="3" t="s">
        <v>13212</v>
      </c>
      <c r="B4401" s="6" t="s">
        <v>361</v>
      </c>
      <c r="C4401" s="6" t="s">
        <v>5588</v>
      </c>
      <c r="D4401" s="6" t="s">
        <v>452</v>
      </c>
      <c r="E4401" s="14" t="s">
        <v>5183</v>
      </c>
      <c r="F4401" s="129" t="s">
        <v>5589</v>
      </c>
      <c r="G4401" s="3" t="s">
        <v>11449</v>
      </c>
      <c r="H4401" s="54">
        <v>0</v>
      </c>
      <c r="I4401" s="16">
        <v>470000000</v>
      </c>
      <c r="J4401" s="16" t="s">
        <v>229</v>
      </c>
      <c r="K4401" s="57" t="s">
        <v>642</v>
      </c>
      <c r="L4401" s="12" t="s">
        <v>404</v>
      </c>
      <c r="M4401" s="162" t="s">
        <v>230</v>
      </c>
      <c r="N4401" s="8" t="s">
        <v>8899</v>
      </c>
      <c r="O4401" s="6" t="s">
        <v>622</v>
      </c>
      <c r="P4401" s="58" t="s">
        <v>241</v>
      </c>
      <c r="Q4401" s="27" t="s">
        <v>234</v>
      </c>
      <c r="R4401" s="26">
        <v>2</v>
      </c>
      <c r="S4401" s="59">
        <v>199812</v>
      </c>
      <c r="T4401" s="4">
        <f>R4401*S4401</f>
        <v>399624</v>
      </c>
      <c r="U4401" s="4">
        <f>T4401*1.12</f>
        <v>447578.88000000006</v>
      </c>
      <c r="V4401" s="3"/>
      <c r="W4401" s="3">
        <v>2014</v>
      </c>
      <c r="X4401" s="3"/>
    </row>
    <row r="4402" spans="1:24" ht="76.5">
      <c r="A4402" s="3" t="s">
        <v>10496</v>
      </c>
      <c r="B4402" s="6" t="s">
        <v>361</v>
      </c>
      <c r="C4402" s="6" t="s">
        <v>5590</v>
      </c>
      <c r="D4402" s="6" t="s">
        <v>5591</v>
      </c>
      <c r="E4402" s="14" t="s">
        <v>5332</v>
      </c>
      <c r="F4402" s="129" t="s">
        <v>7983</v>
      </c>
      <c r="G4402" s="3" t="s">
        <v>11449</v>
      </c>
      <c r="H4402" s="54">
        <v>0</v>
      </c>
      <c r="I4402" s="16">
        <v>470000000</v>
      </c>
      <c r="J4402" s="16" t="s">
        <v>229</v>
      </c>
      <c r="K4402" s="57" t="s">
        <v>641</v>
      </c>
      <c r="L4402" s="57" t="s">
        <v>364</v>
      </c>
      <c r="M4402" s="162" t="s">
        <v>230</v>
      </c>
      <c r="N4402" s="8" t="s">
        <v>8899</v>
      </c>
      <c r="O4402" s="6" t="s">
        <v>622</v>
      </c>
      <c r="P4402" s="58" t="s">
        <v>241</v>
      </c>
      <c r="Q4402" s="27" t="s">
        <v>234</v>
      </c>
      <c r="R4402" s="26">
        <v>8</v>
      </c>
      <c r="S4402" s="59">
        <v>1210</v>
      </c>
      <c r="T4402" s="4">
        <v>0</v>
      </c>
      <c r="U4402" s="4">
        <f t="shared" si="216"/>
        <v>0</v>
      </c>
      <c r="V4402" s="3"/>
      <c r="W4402" s="3">
        <v>2014</v>
      </c>
      <c r="X4402" s="3">
        <v>11.12</v>
      </c>
    </row>
    <row r="4403" spans="1:24" ht="76.5">
      <c r="A4403" s="3" t="s">
        <v>13213</v>
      </c>
      <c r="B4403" s="6" t="s">
        <v>361</v>
      </c>
      <c r="C4403" s="6" t="s">
        <v>5590</v>
      </c>
      <c r="D4403" s="6" t="s">
        <v>5591</v>
      </c>
      <c r="E4403" s="14" t="s">
        <v>5332</v>
      </c>
      <c r="F4403" s="129" t="s">
        <v>7983</v>
      </c>
      <c r="G4403" s="3" t="s">
        <v>11449</v>
      </c>
      <c r="H4403" s="54">
        <v>0</v>
      </c>
      <c r="I4403" s="16">
        <v>470000000</v>
      </c>
      <c r="J4403" s="16" t="s">
        <v>229</v>
      </c>
      <c r="K4403" s="57" t="s">
        <v>642</v>
      </c>
      <c r="L4403" s="12" t="s">
        <v>404</v>
      </c>
      <c r="M4403" s="162" t="s">
        <v>230</v>
      </c>
      <c r="N4403" s="8" t="s">
        <v>8899</v>
      </c>
      <c r="O4403" s="6" t="s">
        <v>622</v>
      </c>
      <c r="P4403" s="58" t="s">
        <v>241</v>
      </c>
      <c r="Q4403" s="27" t="s">
        <v>234</v>
      </c>
      <c r="R4403" s="26">
        <v>8</v>
      </c>
      <c r="S4403" s="59">
        <v>1210</v>
      </c>
      <c r="T4403" s="4">
        <f>R4403*S4403</f>
        <v>9680</v>
      </c>
      <c r="U4403" s="4">
        <f>T4403*1.12</f>
        <v>10841.6</v>
      </c>
      <c r="V4403" s="3"/>
      <c r="W4403" s="3">
        <v>2014</v>
      </c>
      <c r="X4403" s="3"/>
    </row>
    <row r="4404" spans="1:24" ht="76.5">
      <c r="A4404" s="3" t="s">
        <v>10497</v>
      </c>
      <c r="B4404" s="6" t="s">
        <v>361</v>
      </c>
      <c r="C4404" s="6" t="s">
        <v>7319</v>
      </c>
      <c r="D4404" s="6" t="s">
        <v>7320</v>
      </c>
      <c r="E4404" s="14" t="s">
        <v>7321</v>
      </c>
      <c r="F4404" s="129" t="s">
        <v>7984</v>
      </c>
      <c r="G4404" s="3" t="s">
        <v>11449</v>
      </c>
      <c r="H4404" s="54">
        <v>0</v>
      </c>
      <c r="I4404" s="16">
        <v>470000000</v>
      </c>
      <c r="J4404" s="16" t="s">
        <v>229</v>
      </c>
      <c r="K4404" s="57" t="s">
        <v>641</v>
      </c>
      <c r="L4404" s="57" t="s">
        <v>364</v>
      </c>
      <c r="M4404" s="162" t="s">
        <v>230</v>
      </c>
      <c r="N4404" s="8" t="s">
        <v>8899</v>
      </c>
      <c r="O4404" s="6" t="s">
        <v>622</v>
      </c>
      <c r="P4404" s="58" t="s">
        <v>241</v>
      </c>
      <c r="Q4404" s="27" t="s">
        <v>234</v>
      </c>
      <c r="R4404" s="26">
        <v>8</v>
      </c>
      <c r="S4404" s="59">
        <v>5566</v>
      </c>
      <c r="T4404" s="4">
        <v>0</v>
      </c>
      <c r="U4404" s="4">
        <f t="shared" si="216"/>
        <v>0</v>
      </c>
      <c r="V4404" s="3"/>
      <c r="W4404" s="3">
        <v>2014</v>
      </c>
      <c r="X4404" s="3">
        <v>11.12</v>
      </c>
    </row>
    <row r="4405" spans="1:24" ht="76.5">
      <c r="A4405" s="3" t="s">
        <v>13214</v>
      </c>
      <c r="B4405" s="6" t="s">
        <v>361</v>
      </c>
      <c r="C4405" s="6" t="s">
        <v>7319</v>
      </c>
      <c r="D4405" s="6" t="s">
        <v>7320</v>
      </c>
      <c r="E4405" s="14" t="s">
        <v>7321</v>
      </c>
      <c r="F4405" s="129" t="s">
        <v>7984</v>
      </c>
      <c r="G4405" s="3" t="s">
        <v>11449</v>
      </c>
      <c r="H4405" s="54">
        <v>0</v>
      </c>
      <c r="I4405" s="16">
        <v>470000000</v>
      </c>
      <c r="J4405" s="16" t="s">
        <v>229</v>
      </c>
      <c r="K4405" s="57" t="s">
        <v>642</v>
      </c>
      <c r="L4405" s="12" t="s">
        <v>404</v>
      </c>
      <c r="M4405" s="162" t="s">
        <v>230</v>
      </c>
      <c r="N4405" s="8" t="s">
        <v>8899</v>
      </c>
      <c r="O4405" s="6" t="s">
        <v>622</v>
      </c>
      <c r="P4405" s="58" t="s">
        <v>241</v>
      </c>
      <c r="Q4405" s="27" t="s">
        <v>234</v>
      </c>
      <c r="R4405" s="26">
        <v>8</v>
      </c>
      <c r="S4405" s="59">
        <v>5566</v>
      </c>
      <c r="T4405" s="4">
        <f>R4405*S4405</f>
        <v>44528</v>
      </c>
      <c r="U4405" s="4">
        <f>T4405*1.12</f>
        <v>49871.360000000008</v>
      </c>
      <c r="V4405" s="3"/>
      <c r="W4405" s="3">
        <v>2014</v>
      </c>
      <c r="X4405" s="3"/>
    </row>
    <row r="4406" spans="1:24" ht="76.5">
      <c r="A4406" s="3" t="s">
        <v>10498</v>
      </c>
      <c r="B4406" s="6" t="s">
        <v>361</v>
      </c>
      <c r="C4406" s="6" t="s">
        <v>7322</v>
      </c>
      <c r="D4406" s="6" t="s">
        <v>7323</v>
      </c>
      <c r="E4406" s="14" t="s">
        <v>3260</v>
      </c>
      <c r="F4406" s="129" t="s">
        <v>7985</v>
      </c>
      <c r="G4406" s="3" t="s">
        <v>11449</v>
      </c>
      <c r="H4406" s="54">
        <v>0</v>
      </c>
      <c r="I4406" s="16">
        <v>470000000</v>
      </c>
      <c r="J4406" s="16" t="s">
        <v>229</v>
      </c>
      <c r="K4406" s="57" t="s">
        <v>641</v>
      </c>
      <c r="L4406" s="57" t="s">
        <v>364</v>
      </c>
      <c r="M4406" s="162" t="s">
        <v>230</v>
      </c>
      <c r="N4406" s="8" t="s">
        <v>8899</v>
      </c>
      <c r="O4406" s="6" t="s">
        <v>622</v>
      </c>
      <c r="P4406" s="58" t="s">
        <v>241</v>
      </c>
      <c r="Q4406" s="27" t="s">
        <v>234</v>
      </c>
      <c r="R4406" s="26">
        <v>8</v>
      </c>
      <c r="S4406" s="59">
        <v>5082</v>
      </c>
      <c r="T4406" s="4">
        <v>0</v>
      </c>
      <c r="U4406" s="4">
        <f t="shared" si="216"/>
        <v>0</v>
      </c>
      <c r="V4406" s="3"/>
      <c r="W4406" s="3">
        <v>2014</v>
      </c>
      <c r="X4406" s="3">
        <v>11.12</v>
      </c>
    </row>
    <row r="4407" spans="1:24" ht="76.5">
      <c r="A4407" s="3" t="s">
        <v>13215</v>
      </c>
      <c r="B4407" s="6" t="s">
        <v>361</v>
      </c>
      <c r="C4407" s="6" t="s">
        <v>7322</v>
      </c>
      <c r="D4407" s="6" t="s">
        <v>7323</v>
      </c>
      <c r="E4407" s="14" t="s">
        <v>3260</v>
      </c>
      <c r="F4407" s="129" t="s">
        <v>7985</v>
      </c>
      <c r="G4407" s="3" t="s">
        <v>11449</v>
      </c>
      <c r="H4407" s="54">
        <v>0</v>
      </c>
      <c r="I4407" s="16">
        <v>470000000</v>
      </c>
      <c r="J4407" s="16" t="s">
        <v>229</v>
      </c>
      <c r="K4407" s="57" t="s">
        <v>642</v>
      </c>
      <c r="L4407" s="12" t="s">
        <v>404</v>
      </c>
      <c r="M4407" s="162" t="s">
        <v>230</v>
      </c>
      <c r="N4407" s="8" t="s">
        <v>8899</v>
      </c>
      <c r="O4407" s="6" t="s">
        <v>622</v>
      </c>
      <c r="P4407" s="58" t="s">
        <v>241</v>
      </c>
      <c r="Q4407" s="27" t="s">
        <v>234</v>
      </c>
      <c r="R4407" s="26">
        <v>8</v>
      </c>
      <c r="S4407" s="59">
        <v>5082</v>
      </c>
      <c r="T4407" s="4">
        <f>R4407*S4407</f>
        <v>40656</v>
      </c>
      <c r="U4407" s="4">
        <f>T4407*1.12</f>
        <v>45534.720000000001</v>
      </c>
      <c r="V4407" s="3"/>
      <c r="W4407" s="3">
        <v>2014</v>
      </c>
      <c r="X4407" s="3"/>
    </row>
    <row r="4408" spans="1:24" ht="76.5">
      <c r="A4408" s="3" t="s">
        <v>10499</v>
      </c>
      <c r="B4408" s="6" t="s">
        <v>361</v>
      </c>
      <c r="C4408" s="6" t="s">
        <v>5592</v>
      </c>
      <c r="D4408" s="6" t="s">
        <v>5593</v>
      </c>
      <c r="E4408" s="14" t="s">
        <v>5183</v>
      </c>
      <c r="F4408" s="129" t="s">
        <v>7986</v>
      </c>
      <c r="G4408" s="3" t="s">
        <v>11449</v>
      </c>
      <c r="H4408" s="54">
        <v>0</v>
      </c>
      <c r="I4408" s="16">
        <v>470000000</v>
      </c>
      <c r="J4408" s="16" t="s">
        <v>229</v>
      </c>
      <c r="K4408" s="57" t="s">
        <v>641</v>
      </c>
      <c r="L4408" s="57" t="s">
        <v>364</v>
      </c>
      <c r="M4408" s="162" t="s">
        <v>230</v>
      </c>
      <c r="N4408" s="8" t="s">
        <v>8899</v>
      </c>
      <c r="O4408" s="6" t="s">
        <v>622</v>
      </c>
      <c r="P4408" s="58" t="s">
        <v>242</v>
      </c>
      <c r="Q4408" s="26" t="s">
        <v>239</v>
      </c>
      <c r="R4408" s="26">
        <v>10</v>
      </c>
      <c r="S4408" s="59">
        <v>2662</v>
      </c>
      <c r="T4408" s="4">
        <v>0</v>
      </c>
      <c r="U4408" s="4">
        <f t="shared" si="216"/>
        <v>0</v>
      </c>
      <c r="V4408" s="3"/>
      <c r="W4408" s="3">
        <v>2014</v>
      </c>
      <c r="X4408" s="3">
        <v>11.12</v>
      </c>
    </row>
    <row r="4409" spans="1:24" ht="76.5">
      <c r="A4409" s="3" t="s">
        <v>13216</v>
      </c>
      <c r="B4409" s="6" t="s">
        <v>361</v>
      </c>
      <c r="C4409" s="6" t="s">
        <v>5592</v>
      </c>
      <c r="D4409" s="6" t="s">
        <v>5593</v>
      </c>
      <c r="E4409" s="14" t="s">
        <v>5183</v>
      </c>
      <c r="F4409" s="129" t="s">
        <v>7986</v>
      </c>
      <c r="G4409" s="3" t="s">
        <v>11449</v>
      </c>
      <c r="H4409" s="54">
        <v>0</v>
      </c>
      <c r="I4409" s="16">
        <v>470000000</v>
      </c>
      <c r="J4409" s="16" t="s">
        <v>229</v>
      </c>
      <c r="K4409" s="57" t="s">
        <v>642</v>
      </c>
      <c r="L4409" s="12" t="s">
        <v>404</v>
      </c>
      <c r="M4409" s="162" t="s">
        <v>230</v>
      </c>
      <c r="N4409" s="8" t="s">
        <v>8899</v>
      </c>
      <c r="O4409" s="6" t="s">
        <v>622</v>
      </c>
      <c r="P4409" s="58" t="s">
        <v>242</v>
      </c>
      <c r="Q4409" s="26" t="s">
        <v>239</v>
      </c>
      <c r="R4409" s="26">
        <v>10</v>
      </c>
      <c r="S4409" s="59">
        <v>2662</v>
      </c>
      <c r="T4409" s="4">
        <v>0</v>
      </c>
      <c r="U4409" s="4">
        <f>T4409*1.12</f>
        <v>0</v>
      </c>
      <c r="V4409" s="3"/>
      <c r="W4409" s="3">
        <v>2014</v>
      </c>
      <c r="X4409" s="3" t="s">
        <v>14785</v>
      </c>
    </row>
    <row r="4410" spans="1:24" ht="76.5">
      <c r="A4410" s="3" t="s">
        <v>16888</v>
      </c>
      <c r="B4410" s="6" t="s">
        <v>361</v>
      </c>
      <c r="C4410" s="6" t="s">
        <v>5592</v>
      </c>
      <c r="D4410" s="6" t="s">
        <v>5593</v>
      </c>
      <c r="E4410" s="14" t="s">
        <v>5183</v>
      </c>
      <c r="F4410" s="129" t="s">
        <v>7986</v>
      </c>
      <c r="G4410" s="3" t="s">
        <v>11449</v>
      </c>
      <c r="H4410" s="54">
        <v>0</v>
      </c>
      <c r="I4410" s="16">
        <v>470000000</v>
      </c>
      <c r="J4410" s="16" t="s">
        <v>229</v>
      </c>
      <c r="K4410" s="57" t="s">
        <v>8950</v>
      </c>
      <c r="L4410" s="12" t="s">
        <v>404</v>
      </c>
      <c r="M4410" s="162" t="s">
        <v>230</v>
      </c>
      <c r="N4410" s="8" t="s">
        <v>8899</v>
      </c>
      <c r="O4410" s="6" t="s">
        <v>622</v>
      </c>
      <c r="P4410" s="58" t="s">
        <v>242</v>
      </c>
      <c r="Q4410" s="26" t="s">
        <v>239</v>
      </c>
      <c r="R4410" s="26">
        <v>10</v>
      </c>
      <c r="S4410" s="59">
        <v>3194.4</v>
      </c>
      <c r="T4410" s="4">
        <f>R4410*S4410</f>
        <v>31944</v>
      </c>
      <c r="U4410" s="4">
        <f>T4410*1.12</f>
        <v>35777.280000000006</v>
      </c>
      <c r="V4410" s="3"/>
      <c r="W4410" s="3">
        <v>2014</v>
      </c>
      <c r="X4410" s="3"/>
    </row>
    <row r="4411" spans="1:24" ht="76.5">
      <c r="A4411" s="3" t="s">
        <v>10500</v>
      </c>
      <c r="B4411" s="6" t="s">
        <v>361</v>
      </c>
      <c r="C4411" s="6" t="s">
        <v>7324</v>
      </c>
      <c r="D4411" s="6" t="s">
        <v>3040</v>
      </c>
      <c r="E4411" s="14" t="s">
        <v>7325</v>
      </c>
      <c r="F4411" s="129" t="s">
        <v>7987</v>
      </c>
      <c r="G4411" s="3" t="s">
        <v>11449</v>
      </c>
      <c r="H4411" s="54">
        <v>0</v>
      </c>
      <c r="I4411" s="16">
        <v>470000000</v>
      </c>
      <c r="J4411" s="16" t="s">
        <v>229</v>
      </c>
      <c r="K4411" s="57" t="s">
        <v>641</v>
      </c>
      <c r="L4411" s="57" t="s">
        <v>364</v>
      </c>
      <c r="M4411" s="162" t="s">
        <v>230</v>
      </c>
      <c r="N4411" s="8" t="s">
        <v>8899</v>
      </c>
      <c r="O4411" s="6" t="s">
        <v>622</v>
      </c>
      <c r="P4411" s="58" t="s">
        <v>241</v>
      </c>
      <c r="Q4411" s="27" t="s">
        <v>234</v>
      </c>
      <c r="R4411" s="26">
        <v>10</v>
      </c>
      <c r="S4411" s="59">
        <v>1980.0000000000002</v>
      </c>
      <c r="T4411" s="4">
        <v>0</v>
      </c>
      <c r="U4411" s="4">
        <f t="shared" si="216"/>
        <v>0</v>
      </c>
      <c r="V4411" s="3"/>
      <c r="W4411" s="3">
        <v>2014</v>
      </c>
      <c r="X4411" s="3">
        <v>11.12</v>
      </c>
    </row>
    <row r="4412" spans="1:24" ht="76.5">
      <c r="A4412" s="3" t="s">
        <v>13217</v>
      </c>
      <c r="B4412" s="6" t="s">
        <v>361</v>
      </c>
      <c r="C4412" s="6" t="s">
        <v>7324</v>
      </c>
      <c r="D4412" s="6" t="s">
        <v>3040</v>
      </c>
      <c r="E4412" s="14" t="s">
        <v>7325</v>
      </c>
      <c r="F4412" s="129" t="s">
        <v>7987</v>
      </c>
      <c r="G4412" s="3" t="s">
        <v>11449</v>
      </c>
      <c r="H4412" s="54">
        <v>0</v>
      </c>
      <c r="I4412" s="16">
        <v>470000000</v>
      </c>
      <c r="J4412" s="16" t="s">
        <v>229</v>
      </c>
      <c r="K4412" s="57" t="s">
        <v>642</v>
      </c>
      <c r="L4412" s="12" t="s">
        <v>404</v>
      </c>
      <c r="M4412" s="162" t="s">
        <v>230</v>
      </c>
      <c r="N4412" s="8" t="s">
        <v>8899</v>
      </c>
      <c r="O4412" s="6" t="s">
        <v>622</v>
      </c>
      <c r="P4412" s="58" t="s">
        <v>241</v>
      </c>
      <c r="Q4412" s="27" t="s">
        <v>234</v>
      </c>
      <c r="R4412" s="26">
        <v>10</v>
      </c>
      <c r="S4412" s="59">
        <v>1980.0000000000002</v>
      </c>
      <c r="T4412" s="4">
        <f>R4412*S4412</f>
        <v>19800.000000000004</v>
      </c>
      <c r="U4412" s="4">
        <f>T4412*1.12</f>
        <v>22176.000000000007</v>
      </c>
      <c r="V4412" s="3"/>
      <c r="W4412" s="3">
        <v>2014</v>
      </c>
      <c r="X4412" s="3"/>
    </row>
    <row r="4413" spans="1:24" ht="76.5">
      <c r="A4413" s="3" t="s">
        <v>10501</v>
      </c>
      <c r="B4413" s="6" t="s">
        <v>361</v>
      </c>
      <c r="C4413" s="6" t="s">
        <v>5932</v>
      </c>
      <c r="D4413" s="6" t="s">
        <v>387</v>
      </c>
      <c r="E4413" s="14" t="s">
        <v>5933</v>
      </c>
      <c r="F4413" s="129" t="s">
        <v>7988</v>
      </c>
      <c r="G4413" s="3" t="s">
        <v>11449</v>
      </c>
      <c r="H4413" s="54">
        <v>0</v>
      </c>
      <c r="I4413" s="16">
        <v>470000000</v>
      </c>
      <c r="J4413" s="16" t="s">
        <v>229</v>
      </c>
      <c r="K4413" s="57" t="s">
        <v>641</v>
      </c>
      <c r="L4413" s="57" t="s">
        <v>364</v>
      </c>
      <c r="M4413" s="162" t="s">
        <v>230</v>
      </c>
      <c r="N4413" s="8" t="s">
        <v>8899</v>
      </c>
      <c r="O4413" s="6" t="s">
        <v>622</v>
      </c>
      <c r="P4413" s="58" t="s">
        <v>241</v>
      </c>
      <c r="Q4413" s="27" t="s">
        <v>234</v>
      </c>
      <c r="R4413" s="26">
        <v>10</v>
      </c>
      <c r="S4413" s="59">
        <v>1358.5</v>
      </c>
      <c r="T4413" s="4">
        <v>0</v>
      </c>
      <c r="U4413" s="4">
        <f t="shared" si="216"/>
        <v>0</v>
      </c>
      <c r="V4413" s="3"/>
      <c r="W4413" s="3">
        <v>2014</v>
      </c>
      <c r="X4413" s="3">
        <v>11.12</v>
      </c>
    </row>
    <row r="4414" spans="1:24" ht="76.5">
      <c r="A4414" s="3" t="s">
        <v>13218</v>
      </c>
      <c r="B4414" s="6" t="s">
        <v>361</v>
      </c>
      <c r="C4414" s="6" t="s">
        <v>5932</v>
      </c>
      <c r="D4414" s="6" t="s">
        <v>387</v>
      </c>
      <c r="E4414" s="14" t="s">
        <v>5933</v>
      </c>
      <c r="F4414" s="129" t="s">
        <v>7988</v>
      </c>
      <c r="G4414" s="3" t="s">
        <v>11449</v>
      </c>
      <c r="H4414" s="54">
        <v>0</v>
      </c>
      <c r="I4414" s="16">
        <v>470000000</v>
      </c>
      <c r="J4414" s="16" t="s">
        <v>229</v>
      </c>
      <c r="K4414" s="57" t="s">
        <v>642</v>
      </c>
      <c r="L4414" s="12" t="s">
        <v>404</v>
      </c>
      <c r="M4414" s="162" t="s">
        <v>230</v>
      </c>
      <c r="N4414" s="8" t="s">
        <v>8899</v>
      </c>
      <c r="O4414" s="6" t="s">
        <v>622</v>
      </c>
      <c r="P4414" s="58" t="s">
        <v>241</v>
      </c>
      <c r="Q4414" s="27" t="s">
        <v>234</v>
      </c>
      <c r="R4414" s="26">
        <v>10</v>
      </c>
      <c r="S4414" s="59">
        <v>1358.5</v>
      </c>
      <c r="T4414" s="4">
        <f>R4414*S4414</f>
        <v>13585</v>
      </c>
      <c r="U4414" s="4">
        <f>T4414*1.12</f>
        <v>15215.2</v>
      </c>
      <c r="V4414" s="3"/>
      <c r="W4414" s="3">
        <v>2014</v>
      </c>
      <c r="X4414" s="3"/>
    </row>
    <row r="4415" spans="1:24" ht="76.5">
      <c r="A4415" s="3" t="s">
        <v>10502</v>
      </c>
      <c r="B4415" s="6" t="s">
        <v>361</v>
      </c>
      <c r="C4415" s="6" t="s">
        <v>5594</v>
      </c>
      <c r="D4415" s="6" t="s">
        <v>5595</v>
      </c>
      <c r="E4415" s="14" t="s">
        <v>5537</v>
      </c>
      <c r="F4415" s="129" t="s">
        <v>7989</v>
      </c>
      <c r="G4415" s="3" t="s">
        <v>11449</v>
      </c>
      <c r="H4415" s="54">
        <v>0</v>
      </c>
      <c r="I4415" s="16">
        <v>470000000</v>
      </c>
      <c r="J4415" s="16" t="s">
        <v>229</v>
      </c>
      <c r="K4415" s="57" t="s">
        <v>641</v>
      </c>
      <c r="L4415" s="57" t="s">
        <v>364</v>
      </c>
      <c r="M4415" s="162" t="s">
        <v>230</v>
      </c>
      <c r="N4415" s="8" t="s">
        <v>8899</v>
      </c>
      <c r="O4415" s="6" t="s">
        <v>622</v>
      </c>
      <c r="P4415" s="58" t="s">
        <v>241</v>
      </c>
      <c r="Q4415" s="27" t="s">
        <v>234</v>
      </c>
      <c r="R4415" s="26">
        <v>6</v>
      </c>
      <c r="S4415" s="59">
        <v>24860.000000000004</v>
      </c>
      <c r="T4415" s="4">
        <v>0</v>
      </c>
      <c r="U4415" s="4">
        <f t="shared" si="216"/>
        <v>0</v>
      </c>
      <c r="V4415" s="3"/>
      <c r="W4415" s="3">
        <v>2014</v>
      </c>
      <c r="X4415" s="3">
        <v>11.12</v>
      </c>
    </row>
    <row r="4416" spans="1:24" ht="76.5">
      <c r="A4416" s="3" t="s">
        <v>13219</v>
      </c>
      <c r="B4416" s="6" t="s">
        <v>361</v>
      </c>
      <c r="C4416" s="6" t="s">
        <v>5594</v>
      </c>
      <c r="D4416" s="6" t="s">
        <v>5595</v>
      </c>
      <c r="E4416" s="14" t="s">
        <v>5537</v>
      </c>
      <c r="F4416" s="129" t="s">
        <v>7989</v>
      </c>
      <c r="G4416" s="3" t="s">
        <v>11449</v>
      </c>
      <c r="H4416" s="54">
        <v>0</v>
      </c>
      <c r="I4416" s="16">
        <v>470000000</v>
      </c>
      <c r="J4416" s="16" t="s">
        <v>229</v>
      </c>
      <c r="K4416" s="57" t="s">
        <v>642</v>
      </c>
      <c r="L4416" s="12" t="s">
        <v>404</v>
      </c>
      <c r="M4416" s="162" t="s">
        <v>230</v>
      </c>
      <c r="N4416" s="8" t="s">
        <v>8899</v>
      </c>
      <c r="O4416" s="6" t="s">
        <v>622</v>
      </c>
      <c r="P4416" s="58" t="s">
        <v>241</v>
      </c>
      <c r="Q4416" s="27" t="s">
        <v>234</v>
      </c>
      <c r="R4416" s="26">
        <v>6</v>
      </c>
      <c r="S4416" s="59">
        <v>24860.000000000004</v>
      </c>
      <c r="T4416" s="4">
        <f>R4416*S4416</f>
        <v>149160.00000000003</v>
      </c>
      <c r="U4416" s="4">
        <f>T4416*1.12</f>
        <v>167059.20000000004</v>
      </c>
      <c r="V4416" s="3"/>
      <c r="W4416" s="3">
        <v>2014</v>
      </c>
      <c r="X4416" s="3"/>
    </row>
    <row r="4417" spans="1:24" ht="76.5">
      <c r="A4417" s="3" t="s">
        <v>10503</v>
      </c>
      <c r="B4417" s="6" t="s">
        <v>361</v>
      </c>
      <c r="C4417" s="6" t="s">
        <v>5446</v>
      </c>
      <c r="D4417" s="6" t="s">
        <v>5447</v>
      </c>
      <c r="E4417" s="14" t="s">
        <v>5448</v>
      </c>
      <c r="F4417" s="129" t="s">
        <v>7990</v>
      </c>
      <c r="G4417" s="3" t="s">
        <v>11449</v>
      </c>
      <c r="H4417" s="54">
        <v>0</v>
      </c>
      <c r="I4417" s="16">
        <v>470000000</v>
      </c>
      <c r="J4417" s="16" t="s">
        <v>229</v>
      </c>
      <c r="K4417" s="57" t="s">
        <v>641</v>
      </c>
      <c r="L4417" s="57" t="s">
        <v>364</v>
      </c>
      <c r="M4417" s="162" t="s">
        <v>230</v>
      </c>
      <c r="N4417" s="8" t="s">
        <v>8899</v>
      </c>
      <c r="O4417" s="6" t="s">
        <v>622</v>
      </c>
      <c r="P4417" s="58" t="s">
        <v>241</v>
      </c>
      <c r="Q4417" s="27" t="s">
        <v>234</v>
      </c>
      <c r="R4417" s="26">
        <v>12</v>
      </c>
      <c r="S4417" s="59">
        <v>3146.0000000000005</v>
      </c>
      <c r="T4417" s="4">
        <v>0</v>
      </c>
      <c r="U4417" s="4">
        <f t="shared" si="216"/>
        <v>0</v>
      </c>
      <c r="V4417" s="3"/>
      <c r="W4417" s="3">
        <v>2014</v>
      </c>
      <c r="X4417" s="3">
        <v>11.12</v>
      </c>
    </row>
    <row r="4418" spans="1:24" ht="76.5">
      <c r="A4418" s="3" t="s">
        <v>13220</v>
      </c>
      <c r="B4418" s="6" t="s">
        <v>361</v>
      </c>
      <c r="C4418" s="6" t="s">
        <v>5446</v>
      </c>
      <c r="D4418" s="6" t="s">
        <v>5447</v>
      </c>
      <c r="E4418" s="14" t="s">
        <v>5448</v>
      </c>
      <c r="F4418" s="129" t="s">
        <v>7990</v>
      </c>
      <c r="G4418" s="3" t="s">
        <v>11449</v>
      </c>
      <c r="H4418" s="54">
        <v>0</v>
      </c>
      <c r="I4418" s="16">
        <v>470000000</v>
      </c>
      <c r="J4418" s="16" t="s">
        <v>229</v>
      </c>
      <c r="K4418" s="57" t="s">
        <v>642</v>
      </c>
      <c r="L4418" s="12" t="s">
        <v>404</v>
      </c>
      <c r="M4418" s="162" t="s">
        <v>230</v>
      </c>
      <c r="N4418" s="8" t="s">
        <v>8899</v>
      </c>
      <c r="O4418" s="6" t="s">
        <v>622</v>
      </c>
      <c r="P4418" s="58" t="s">
        <v>241</v>
      </c>
      <c r="Q4418" s="27" t="s">
        <v>234</v>
      </c>
      <c r="R4418" s="26">
        <v>12</v>
      </c>
      <c r="S4418" s="59">
        <v>3146.0000000000005</v>
      </c>
      <c r="T4418" s="4">
        <f>R4418*S4418</f>
        <v>37752.000000000007</v>
      </c>
      <c r="U4418" s="4">
        <f>T4418*1.12</f>
        <v>42282.240000000013</v>
      </c>
      <c r="V4418" s="3"/>
      <c r="W4418" s="3">
        <v>2014</v>
      </c>
      <c r="X4418" s="3"/>
    </row>
    <row r="4419" spans="1:24" ht="76.5">
      <c r="A4419" s="3" t="s">
        <v>10504</v>
      </c>
      <c r="B4419" s="6" t="s">
        <v>361</v>
      </c>
      <c r="C4419" s="6" t="s">
        <v>5590</v>
      </c>
      <c r="D4419" s="6" t="s">
        <v>5591</v>
      </c>
      <c r="E4419" s="14" t="s">
        <v>5332</v>
      </c>
      <c r="F4419" s="129" t="s">
        <v>7991</v>
      </c>
      <c r="G4419" s="3" t="s">
        <v>11449</v>
      </c>
      <c r="H4419" s="54">
        <v>0</v>
      </c>
      <c r="I4419" s="16">
        <v>470000000</v>
      </c>
      <c r="J4419" s="16" t="s">
        <v>229</v>
      </c>
      <c r="K4419" s="57" t="s">
        <v>641</v>
      </c>
      <c r="L4419" s="57" t="s">
        <v>364</v>
      </c>
      <c r="M4419" s="162" t="s">
        <v>230</v>
      </c>
      <c r="N4419" s="8" t="s">
        <v>8899</v>
      </c>
      <c r="O4419" s="6" t="s">
        <v>622</v>
      </c>
      <c r="P4419" s="58" t="s">
        <v>241</v>
      </c>
      <c r="Q4419" s="27" t="s">
        <v>234</v>
      </c>
      <c r="R4419" s="26">
        <v>5</v>
      </c>
      <c r="S4419" s="59">
        <v>6897.0000000000009</v>
      </c>
      <c r="T4419" s="4">
        <v>0</v>
      </c>
      <c r="U4419" s="4">
        <f t="shared" si="216"/>
        <v>0</v>
      </c>
      <c r="V4419" s="3"/>
      <c r="W4419" s="3">
        <v>2014</v>
      </c>
      <c r="X4419" s="3">
        <v>11.12</v>
      </c>
    </row>
    <row r="4420" spans="1:24" ht="76.5">
      <c r="A4420" s="3" t="s">
        <v>13221</v>
      </c>
      <c r="B4420" s="6" t="s">
        <v>361</v>
      </c>
      <c r="C4420" s="6" t="s">
        <v>5590</v>
      </c>
      <c r="D4420" s="6" t="s">
        <v>5591</v>
      </c>
      <c r="E4420" s="14" t="s">
        <v>5332</v>
      </c>
      <c r="F4420" s="129" t="s">
        <v>7991</v>
      </c>
      <c r="G4420" s="3" t="s">
        <v>11449</v>
      </c>
      <c r="H4420" s="54">
        <v>0</v>
      </c>
      <c r="I4420" s="16">
        <v>470000000</v>
      </c>
      <c r="J4420" s="16" t="s">
        <v>229</v>
      </c>
      <c r="K4420" s="57" t="s">
        <v>642</v>
      </c>
      <c r="L4420" s="12" t="s">
        <v>404</v>
      </c>
      <c r="M4420" s="162" t="s">
        <v>230</v>
      </c>
      <c r="N4420" s="8" t="s">
        <v>8899</v>
      </c>
      <c r="O4420" s="6" t="s">
        <v>622</v>
      </c>
      <c r="P4420" s="58" t="s">
        <v>241</v>
      </c>
      <c r="Q4420" s="27" t="s">
        <v>234</v>
      </c>
      <c r="R4420" s="26">
        <v>5</v>
      </c>
      <c r="S4420" s="59">
        <v>6897.0000000000009</v>
      </c>
      <c r="T4420" s="4">
        <f>R4420*S4420</f>
        <v>34485.000000000007</v>
      </c>
      <c r="U4420" s="4">
        <f>T4420*1.12</f>
        <v>38623.200000000012</v>
      </c>
      <c r="V4420" s="3"/>
      <c r="W4420" s="3">
        <v>2014</v>
      </c>
      <c r="X4420" s="3"/>
    </row>
    <row r="4421" spans="1:24" ht="127.5">
      <c r="A4421" s="3" t="s">
        <v>10505</v>
      </c>
      <c r="B4421" s="6" t="s">
        <v>361</v>
      </c>
      <c r="C4421" s="6" t="s">
        <v>5596</v>
      </c>
      <c r="D4421" s="6" t="s">
        <v>3119</v>
      </c>
      <c r="E4421" s="6" t="s">
        <v>5597</v>
      </c>
      <c r="F4421" s="8" t="s">
        <v>5598</v>
      </c>
      <c r="G4421" s="3" t="s">
        <v>11449</v>
      </c>
      <c r="H4421" s="54">
        <v>0</v>
      </c>
      <c r="I4421" s="16">
        <v>470000000</v>
      </c>
      <c r="J4421" s="16" t="s">
        <v>229</v>
      </c>
      <c r="K4421" s="57" t="s">
        <v>641</v>
      </c>
      <c r="L4421" s="183" t="s">
        <v>364</v>
      </c>
      <c r="M4421" s="162" t="s">
        <v>230</v>
      </c>
      <c r="N4421" s="8" t="s">
        <v>8899</v>
      </c>
      <c r="O4421" s="6" t="s">
        <v>622</v>
      </c>
      <c r="P4421" s="3">
        <v>796</v>
      </c>
      <c r="Q4421" s="27" t="s">
        <v>234</v>
      </c>
      <c r="R4421" s="27">
        <v>1</v>
      </c>
      <c r="S4421" s="59">
        <f>1625000*1.07</f>
        <v>1738750</v>
      </c>
      <c r="T4421" s="4">
        <v>0</v>
      </c>
      <c r="U4421" s="4">
        <f t="shared" ref="U4421:U4568" si="217">T4421*1.12</f>
        <v>0</v>
      </c>
      <c r="V4421" s="3"/>
      <c r="W4421" s="3">
        <v>2014</v>
      </c>
      <c r="X4421" s="3">
        <v>11.12</v>
      </c>
    </row>
    <row r="4422" spans="1:24" ht="127.5">
      <c r="A4422" s="3" t="s">
        <v>13222</v>
      </c>
      <c r="B4422" s="6" t="s">
        <v>361</v>
      </c>
      <c r="C4422" s="6" t="s">
        <v>5596</v>
      </c>
      <c r="D4422" s="6" t="s">
        <v>3119</v>
      </c>
      <c r="E4422" s="6" t="s">
        <v>5597</v>
      </c>
      <c r="F4422" s="8" t="s">
        <v>5598</v>
      </c>
      <c r="G4422" s="3" t="s">
        <v>11449</v>
      </c>
      <c r="H4422" s="54">
        <v>0</v>
      </c>
      <c r="I4422" s="16">
        <v>470000000</v>
      </c>
      <c r="J4422" s="16" t="s">
        <v>229</v>
      </c>
      <c r="K4422" s="57" t="s">
        <v>642</v>
      </c>
      <c r="L4422" s="12" t="s">
        <v>404</v>
      </c>
      <c r="M4422" s="162" t="s">
        <v>230</v>
      </c>
      <c r="N4422" s="8" t="s">
        <v>8899</v>
      </c>
      <c r="O4422" s="6" t="s">
        <v>622</v>
      </c>
      <c r="P4422" s="3">
        <v>796</v>
      </c>
      <c r="Q4422" s="27" t="s">
        <v>234</v>
      </c>
      <c r="R4422" s="27">
        <v>1</v>
      </c>
      <c r="S4422" s="59">
        <f>1625000*1.07</f>
        <v>1738750</v>
      </c>
      <c r="T4422" s="4">
        <v>0</v>
      </c>
      <c r="U4422" s="4">
        <f>T4422*1.12</f>
        <v>0</v>
      </c>
      <c r="V4422" s="3"/>
      <c r="W4422" s="3">
        <v>2014</v>
      </c>
      <c r="X4422" s="3" t="s">
        <v>14785</v>
      </c>
    </row>
    <row r="4423" spans="1:24" ht="127.5">
      <c r="A4423" s="3" t="s">
        <v>16664</v>
      </c>
      <c r="B4423" s="6" t="s">
        <v>361</v>
      </c>
      <c r="C4423" s="6" t="s">
        <v>5596</v>
      </c>
      <c r="D4423" s="6" t="s">
        <v>3119</v>
      </c>
      <c r="E4423" s="6" t="s">
        <v>5597</v>
      </c>
      <c r="F4423" s="8" t="s">
        <v>5598</v>
      </c>
      <c r="G4423" s="3" t="s">
        <v>11449</v>
      </c>
      <c r="H4423" s="54">
        <v>0</v>
      </c>
      <c r="I4423" s="16">
        <v>470000000</v>
      </c>
      <c r="J4423" s="16" t="s">
        <v>229</v>
      </c>
      <c r="K4423" s="57" t="s">
        <v>8950</v>
      </c>
      <c r="L4423" s="12" t="s">
        <v>404</v>
      </c>
      <c r="M4423" s="162" t="s">
        <v>230</v>
      </c>
      <c r="N4423" s="8" t="s">
        <v>8899</v>
      </c>
      <c r="O4423" s="6" t="s">
        <v>622</v>
      </c>
      <c r="P4423" s="3">
        <v>796</v>
      </c>
      <c r="Q4423" s="27" t="s">
        <v>234</v>
      </c>
      <c r="R4423" s="27">
        <v>1</v>
      </c>
      <c r="S4423" s="59">
        <v>2086500</v>
      </c>
      <c r="T4423" s="4">
        <v>0</v>
      </c>
      <c r="U4423" s="4">
        <f>T4423*1.12</f>
        <v>0</v>
      </c>
      <c r="V4423" s="3"/>
      <c r="W4423" s="3">
        <v>2014</v>
      </c>
      <c r="X4423" s="3">
        <v>11</v>
      </c>
    </row>
    <row r="4424" spans="1:24" ht="127.5">
      <c r="A4424" s="3" t="s">
        <v>18780</v>
      </c>
      <c r="B4424" s="6" t="s">
        <v>361</v>
      </c>
      <c r="C4424" s="6" t="s">
        <v>5596</v>
      </c>
      <c r="D4424" s="6" t="s">
        <v>3119</v>
      </c>
      <c r="E4424" s="6" t="s">
        <v>5597</v>
      </c>
      <c r="F4424" s="8" t="s">
        <v>5598</v>
      </c>
      <c r="G4424" s="3" t="s">
        <v>11449</v>
      </c>
      <c r="H4424" s="54">
        <v>0</v>
      </c>
      <c r="I4424" s="16">
        <v>470000000</v>
      </c>
      <c r="J4424" s="16" t="s">
        <v>229</v>
      </c>
      <c r="K4424" s="57" t="s">
        <v>18437</v>
      </c>
      <c r="L4424" s="12" t="s">
        <v>404</v>
      </c>
      <c r="M4424" s="162" t="s">
        <v>230</v>
      </c>
      <c r="N4424" s="8" t="s">
        <v>8899</v>
      </c>
      <c r="O4424" s="6" t="s">
        <v>622</v>
      </c>
      <c r="P4424" s="3">
        <v>796</v>
      </c>
      <c r="Q4424" s="27" t="s">
        <v>234</v>
      </c>
      <c r="R4424" s="27">
        <v>1</v>
      </c>
      <c r="S4424" s="59">
        <v>2086500</v>
      </c>
      <c r="T4424" s="4">
        <v>0</v>
      </c>
      <c r="U4424" s="4">
        <f>T4424*1.12</f>
        <v>0</v>
      </c>
      <c r="V4424" s="3"/>
      <c r="W4424" s="3">
        <v>2014</v>
      </c>
      <c r="X4424" s="3">
        <v>14.15</v>
      </c>
    </row>
    <row r="4425" spans="1:24" ht="127.5">
      <c r="A4425" s="3" t="s">
        <v>19502</v>
      </c>
      <c r="B4425" s="6" t="s">
        <v>361</v>
      </c>
      <c r="C4425" s="6" t="s">
        <v>5596</v>
      </c>
      <c r="D4425" s="6" t="s">
        <v>3119</v>
      </c>
      <c r="E4425" s="6" t="s">
        <v>5597</v>
      </c>
      <c r="F4425" s="8" t="s">
        <v>5598</v>
      </c>
      <c r="G4425" s="3" t="s">
        <v>11449</v>
      </c>
      <c r="H4425" s="54">
        <v>0</v>
      </c>
      <c r="I4425" s="16">
        <v>470000000</v>
      </c>
      <c r="J4425" s="16" t="s">
        <v>229</v>
      </c>
      <c r="K4425" s="57" t="s">
        <v>18437</v>
      </c>
      <c r="L4425" s="12" t="s">
        <v>404</v>
      </c>
      <c r="M4425" s="162" t="s">
        <v>230</v>
      </c>
      <c r="N4425" s="8" t="s">
        <v>19369</v>
      </c>
      <c r="O4425" s="6" t="s">
        <v>19407</v>
      </c>
      <c r="P4425" s="3">
        <v>796</v>
      </c>
      <c r="Q4425" s="27" t="s">
        <v>234</v>
      </c>
      <c r="R4425" s="27">
        <v>1</v>
      </c>
      <c r="S4425" s="59">
        <v>2086500</v>
      </c>
      <c r="T4425" s="4">
        <f>R4425*S4425</f>
        <v>2086500</v>
      </c>
      <c r="U4425" s="4">
        <f>T4425*1.12</f>
        <v>2336880</v>
      </c>
      <c r="V4425" s="3"/>
      <c r="W4425" s="3">
        <v>2014</v>
      </c>
      <c r="X4425" s="3"/>
    </row>
    <row r="4426" spans="1:24" ht="76.5">
      <c r="A4426" s="3" t="s">
        <v>10506</v>
      </c>
      <c r="B4426" s="6" t="s">
        <v>361</v>
      </c>
      <c r="C4426" s="6" t="s">
        <v>5600</v>
      </c>
      <c r="D4426" s="6" t="s">
        <v>5601</v>
      </c>
      <c r="E4426" s="6" t="s">
        <v>3115</v>
      </c>
      <c r="F4426" s="8" t="s">
        <v>7992</v>
      </c>
      <c r="G4426" s="3" t="s">
        <v>11449</v>
      </c>
      <c r="H4426" s="54">
        <v>0</v>
      </c>
      <c r="I4426" s="16">
        <v>470000000</v>
      </c>
      <c r="J4426" s="16" t="s">
        <v>229</v>
      </c>
      <c r="K4426" s="57" t="s">
        <v>641</v>
      </c>
      <c r="L4426" s="183" t="s">
        <v>364</v>
      </c>
      <c r="M4426" s="162" t="s">
        <v>230</v>
      </c>
      <c r="N4426" s="8" t="s">
        <v>8899</v>
      </c>
      <c r="O4426" s="6" t="s">
        <v>622</v>
      </c>
      <c r="P4426" s="3">
        <v>796</v>
      </c>
      <c r="Q4426" s="27" t="s">
        <v>234</v>
      </c>
      <c r="R4426" s="27">
        <v>1</v>
      </c>
      <c r="S4426" s="59">
        <f>224756*1.07</f>
        <v>240488.92</v>
      </c>
      <c r="T4426" s="4">
        <v>0</v>
      </c>
      <c r="U4426" s="4">
        <f t="shared" si="217"/>
        <v>0</v>
      </c>
      <c r="V4426" s="3"/>
      <c r="W4426" s="3">
        <v>2014</v>
      </c>
      <c r="X4426" s="3">
        <v>11.12</v>
      </c>
    </row>
    <row r="4427" spans="1:24" ht="76.5">
      <c r="A4427" s="3" t="s">
        <v>13223</v>
      </c>
      <c r="B4427" s="6" t="s">
        <v>361</v>
      </c>
      <c r="C4427" s="6" t="s">
        <v>5600</v>
      </c>
      <c r="D4427" s="6" t="s">
        <v>5601</v>
      </c>
      <c r="E4427" s="6" t="s">
        <v>3115</v>
      </c>
      <c r="F4427" s="8" t="s">
        <v>7992</v>
      </c>
      <c r="G4427" s="3" t="s">
        <v>11449</v>
      </c>
      <c r="H4427" s="54">
        <v>0</v>
      </c>
      <c r="I4427" s="16">
        <v>470000000</v>
      </c>
      <c r="J4427" s="16" t="s">
        <v>229</v>
      </c>
      <c r="K4427" s="57" t="s">
        <v>642</v>
      </c>
      <c r="L4427" s="12" t="s">
        <v>404</v>
      </c>
      <c r="M4427" s="162" t="s">
        <v>230</v>
      </c>
      <c r="N4427" s="8" t="s">
        <v>8899</v>
      </c>
      <c r="O4427" s="6" t="s">
        <v>622</v>
      </c>
      <c r="P4427" s="3">
        <v>796</v>
      </c>
      <c r="Q4427" s="27" t="s">
        <v>234</v>
      </c>
      <c r="R4427" s="27">
        <v>1</v>
      </c>
      <c r="S4427" s="59">
        <f>224756*1.07</f>
        <v>240488.92</v>
      </c>
      <c r="T4427" s="4">
        <f>R4427*S4427</f>
        <v>240488.92</v>
      </c>
      <c r="U4427" s="4">
        <f>T4427*1.12</f>
        <v>269347.59040000004</v>
      </c>
      <c r="V4427" s="3"/>
      <c r="W4427" s="3">
        <v>2014</v>
      </c>
      <c r="X4427" s="3"/>
    </row>
    <row r="4428" spans="1:24" ht="76.5">
      <c r="A4428" s="3" t="s">
        <v>10507</v>
      </c>
      <c r="B4428" s="6" t="s">
        <v>361</v>
      </c>
      <c r="C4428" s="6" t="s">
        <v>7326</v>
      </c>
      <c r="D4428" s="6" t="s">
        <v>3122</v>
      </c>
      <c r="E4428" s="6" t="s">
        <v>3115</v>
      </c>
      <c r="F4428" s="8" t="s">
        <v>7993</v>
      </c>
      <c r="G4428" s="3" t="s">
        <v>11449</v>
      </c>
      <c r="H4428" s="54">
        <v>0</v>
      </c>
      <c r="I4428" s="16">
        <v>470000000</v>
      </c>
      <c r="J4428" s="16" t="s">
        <v>229</v>
      </c>
      <c r="K4428" s="57" t="s">
        <v>641</v>
      </c>
      <c r="L4428" s="183" t="s">
        <v>364</v>
      </c>
      <c r="M4428" s="162" t="s">
        <v>230</v>
      </c>
      <c r="N4428" s="8" t="s">
        <v>8899</v>
      </c>
      <c r="O4428" s="6" t="s">
        <v>622</v>
      </c>
      <c r="P4428" s="3">
        <v>839</v>
      </c>
      <c r="Q4428" s="27" t="s">
        <v>239</v>
      </c>
      <c r="R4428" s="27">
        <v>10</v>
      </c>
      <c r="S4428" s="59">
        <f>4400*1.07</f>
        <v>4708</v>
      </c>
      <c r="T4428" s="4">
        <v>0</v>
      </c>
      <c r="U4428" s="4">
        <f t="shared" si="217"/>
        <v>0</v>
      </c>
      <c r="V4428" s="3"/>
      <c r="W4428" s="3">
        <v>2014</v>
      </c>
      <c r="X4428" s="3">
        <v>11.12</v>
      </c>
    </row>
    <row r="4429" spans="1:24" ht="76.5">
      <c r="A4429" s="3" t="s">
        <v>13224</v>
      </c>
      <c r="B4429" s="6" t="s">
        <v>361</v>
      </c>
      <c r="C4429" s="6" t="s">
        <v>7326</v>
      </c>
      <c r="D4429" s="6" t="s">
        <v>3122</v>
      </c>
      <c r="E4429" s="6" t="s">
        <v>3115</v>
      </c>
      <c r="F4429" s="8" t="s">
        <v>7993</v>
      </c>
      <c r="G4429" s="3" t="s">
        <v>11449</v>
      </c>
      <c r="H4429" s="54">
        <v>0</v>
      </c>
      <c r="I4429" s="16">
        <v>470000000</v>
      </c>
      <c r="J4429" s="16" t="s">
        <v>229</v>
      </c>
      <c r="K4429" s="57" t="s">
        <v>642</v>
      </c>
      <c r="L4429" s="12" t="s">
        <v>404</v>
      </c>
      <c r="M4429" s="162" t="s">
        <v>230</v>
      </c>
      <c r="N4429" s="8" t="s">
        <v>8899</v>
      </c>
      <c r="O4429" s="6" t="s">
        <v>622</v>
      </c>
      <c r="P4429" s="3">
        <v>839</v>
      </c>
      <c r="Q4429" s="27" t="s">
        <v>239</v>
      </c>
      <c r="R4429" s="27">
        <v>10</v>
      </c>
      <c r="S4429" s="59">
        <f>4400*1.07</f>
        <v>4708</v>
      </c>
      <c r="T4429" s="4">
        <f>R4429*S4429</f>
        <v>47080</v>
      </c>
      <c r="U4429" s="4">
        <f>T4429*1.12</f>
        <v>52729.600000000006</v>
      </c>
      <c r="V4429" s="3"/>
      <c r="W4429" s="3">
        <v>2014</v>
      </c>
      <c r="X4429" s="3"/>
    </row>
    <row r="4430" spans="1:24" ht="76.5">
      <c r="A4430" s="3" t="s">
        <v>10508</v>
      </c>
      <c r="B4430" s="6" t="s">
        <v>361</v>
      </c>
      <c r="C4430" s="6" t="s">
        <v>7326</v>
      </c>
      <c r="D4430" s="6" t="s">
        <v>3122</v>
      </c>
      <c r="E4430" s="6" t="s">
        <v>3115</v>
      </c>
      <c r="F4430" s="8" t="s">
        <v>7994</v>
      </c>
      <c r="G4430" s="3" t="s">
        <v>11449</v>
      </c>
      <c r="H4430" s="54">
        <v>0</v>
      </c>
      <c r="I4430" s="16">
        <v>470000000</v>
      </c>
      <c r="J4430" s="16" t="s">
        <v>229</v>
      </c>
      <c r="K4430" s="57" t="s">
        <v>641</v>
      </c>
      <c r="L4430" s="183" t="s">
        <v>364</v>
      </c>
      <c r="M4430" s="162" t="s">
        <v>230</v>
      </c>
      <c r="N4430" s="8" t="s">
        <v>8899</v>
      </c>
      <c r="O4430" s="6" t="s">
        <v>622</v>
      </c>
      <c r="P4430" s="3">
        <v>839</v>
      </c>
      <c r="Q4430" s="27" t="s">
        <v>239</v>
      </c>
      <c r="R4430" s="27">
        <v>10</v>
      </c>
      <c r="S4430" s="59">
        <f>4400*1.07</f>
        <v>4708</v>
      </c>
      <c r="T4430" s="4">
        <v>0</v>
      </c>
      <c r="U4430" s="4">
        <f t="shared" si="217"/>
        <v>0</v>
      </c>
      <c r="V4430" s="3"/>
      <c r="W4430" s="3">
        <v>2014</v>
      </c>
      <c r="X4430" s="3">
        <v>11.12</v>
      </c>
    </row>
    <row r="4431" spans="1:24" ht="76.5">
      <c r="A4431" s="3" t="s">
        <v>13225</v>
      </c>
      <c r="B4431" s="6" t="s">
        <v>361</v>
      </c>
      <c r="C4431" s="6" t="s">
        <v>7326</v>
      </c>
      <c r="D4431" s="6" t="s">
        <v>3122</v>
      </c>
      <c r="E4431" s="6" t="s">
        <v>3115</v>
      </c>
      <c r="F4431" s="8" t="s">
        <v>7994</v>
      </c>
      <c r="G4431" s="3" t="s">
        <v>11449</v>
      </c>
      <c r="H4431" s="54">
        <v>0</v>
      </c>
      <c r="I4431" s="16">
        <v>470000000</v>
      </c>
      <c r="J4431" s="16" t="s">
        <v>229</v>
      </c>
      <c r="K4431" s="57" t="s">
        <v>642</v>
      </c>
      <c r="L4431" s="12" t="s">
        <v>404</v>
      </c>
      <c r="M4431" s="162" t="s">
        <v>230</v>
      </c>
      <c r="N4431" s="8" t="s">
        <v>8899</v>
      </c>
      <c r="O4431" s="6" t="s">
        <v>622</v>
      </c>
      <c r="P4431" s="3">
        <v>839</v>
      </c>
      <c r="Q4431" s="27" t="s">
        <v>239</v>
      </c>
      <c r="R4431" s="27">
        <v>10</v>
      </c>
      <c r="S4431" s="59">
        <f>4400*1.07</f>
        <v>4708</v>
      </c>
      <c r="T4431" s="4">
        <f>R4431*S4431</f>
        <v>47080</v>
      </c>
      <c r="U4431" s="4">
        <f>T4431*1.12</f>
        <v>52729.600000000006</v>
      </c>
      <c r="V4431" s="3"/>
      <c r="W4431" s="3">
        <v>2014</v>
      </c>
      <c r="X4431" s="3"/>
    </row>
    <row r="4432" spans="1:24" ht="76.5">
      <c r="A4432" s="3" t="s">
        <v>10509</v>
      </c>
      <c r="B4432" s="6" t="s">
        <v>361</v>
      </c>
      <c r="C4432" s="6" t="s">
        <v>7326</v>
      </c>
      <c r="D4432" s="6" t="s">
        <v>3122</v>
      </c>
      <c r="E4432" s="6" t="s">
        <v>3115</v>
      </c>
      <c r="F4432" s="8" t="s">
        <v>7995</v>
      </c>
      <c r="G4432" s="3" t="s">
        <v>11449</v>
      </c>
      <c r="H4432" s="54">
        <v>0</v>
      </c>
      <c r="I4432" s="16">
        <v>470000000</v>
      </c>
      <c r="J4432" s="16" t="s">
        <v>229</v>
      </c>
      <c r="K4432" s="57" t="s">
        <v>641</v>
      </c>
      <c r="L4432" s="183" t="s">
        <v>364</v>
      </c>
      <c r="M4432" s="162" t="s">
        <v>230</v>
      </c>
      <c r="N4432" s="8" t="s">
        <v>8899</v>
      </c>
      <c r="O4432" s="6" t="s">
        <v>622</v>
      </c>
      <c r="P4432" s="3">
        <v>839</v>
      </c>
      <c r="Q4432" s="27" t="s">
        <v>239</v>
      </c>
      <c r="R4432" s="27">
        <v>10</v>
      </c>
      <c r="S4432" s="59">
        <f>4875*1.07</f>
        <v>5216.25</v>
      </c>
      <c r="T4432" s="4">
        <v>0</v>
      </c>
      <c r="U4432" s="4">
        <f t="shared" si="217"/>
        <v>0</v>
      </c>
      <c r="V4432" s="3"/>
      <c r="W4432" s="3">
        <v>2014</v>
      </c>
      <c r="X4432" s="3">
        <v>11.12</v>
      </c>
    </row>
    <row r="4433" spans="1:24" ht="76.5">
      <c r="A4433" s="3" t="s">
        <v>13226</v>
      </c>
      <c r="B4433" s="6" t="s">
        <v>361</v>
      </c>
      <c r="C4433" s="6" t="s">
        <v>7326</v>
      </c>
      <c r="D4433" s="6" t="s">
        <v>3122</v>
      </c>
      <c r="E4433" s="6" t="s">
        <v>3115</v>
      </c>
      <c r="F4433" s="8" t="s">
        <v>7995</v>
      </c>
      <c r="G4433" s="3" t="s">
        <v>11449</v>
      </c>
      <c r="H4433" s="54">
        <v>0</v>
      </c>
      <c r="I4433" s="16">
        <v>470000000</v>
      </c>
      <c r="J4433" s="16" t="s">
        <v>229</v>
      </c>
      <c r="K4433" s="57" t="s">
        <v>642</v>
      </c>
      <c r="L4433" s="12" t="s">
        <v>404</v>
      </c>
      <c r="M4433" s="162" t="s">
        <v>230</v>
      </c>
      <c r="N4433" s="8" t="s">
        <v>8899</v>
      </c>
      <c r="O4433" s="6" t="s">
        <v>622</v>
      </c>
      <c r="P4433" s="3">
        <v>839</v>
      </c>
      <c r="Q4433" s="27" t="s">
        <v>239</v>
      </c>
      <c r="R4433" s="27">
        <v>10</v>
      </c>
      <c r="S4433" s="59">
        <f>4875*1.07</f>
        <v>5216.25</v>
      </c>
      <c r="T4433" s="4">
        <f>R4433*S4433</f>
        <v>52162.5</v>
      </c>
      <c r="U4433" s="4">
        <f>T4433*1.12</f>
        <v>58422.000000000007</v>
      </c>
      <c r="V4433" s="3"/>
      <c r="W4433" s="3">
        <v>2014</v>
      </c>
      <c r="X4433" s="3"/>
    </row>
    <row r="4434" spans="1:24" ht="76.5">
      <c r="A4434" s="3" t="s">
        <v>10510</v>
      </c>
      <c r="B4434" s="6" t="s">
        <v>361</v>
      </c>
      <c r="C4434" s="6" t="s">
        <v>7326</v>
      </c>
      <c r="D4434" s="6" t="s">
        <v>3122</v>
      </c>
      <c r="E4434" s="6" t="s">
        <v>3115</v>
      </c>
      <c r="F4434" s="8" t="s">
        <v>7996</v>
      </c>
      <c r="G4434" s="3" t="s">
        <v>11449</v>
      </c>
      <c r="H4434" s="54">
        <v>0</v>
      </c>
      <c r="I4434" s="16">
        <v>470000000</v>
      </c>
      <c r="J4434" s="16" t="s">
        <v>229</v>
      </c>
      <c r="K4434" s="57" t="s">
        <v>641</v>
      </c>
      <c r="L4434" s="183" t="s">
        <v>364</v>
      </c>
      <c r="M4434" s="162" t="s">
        <v>230</v>
      </c>
      <c r="N4434" s="8" t="s">
        <v>8899</v>
      </c>
      <c r="O4434" s="6" t="s">
        <v>622</v>
      </c>
      <c r="P4434" s="3">
        <v>839</v>
      </c>
      <c r="Q4434" s="27" t="s">
        <v>239</v>
      </c>
      <c r="R4434" s="27">
        <v>10</v>
      </c>
      <c r="S4434" s="59">
        <f>4875*1.07</f>
        <v>5216.25</v>
      </c>
      <c r="T4434" s="4">
        <v>0</v>
      </c>
      <c r="U4434" s="4">
        <f t="shared" si="217"/>
        <v>0</v>
      </c>
      <c r="V4434" s="3"/>
      <c r="W4434" s="3">
        <v>2014</v>
      </c>
      <c r="X4434" s="3">
        <v>11.12</v>
      </c>
    </row>
    <row r="4435" spans="1:24" ht="76.5">
      <c r="A4435" s="3" t="s">
        <v>13227</v>
      </c>
      <c r="B4435" s="6" t="s">
        <v>361</v>
      </c>
      <c r="C4435" s="6" t="s">
        <v>7326</v>
      </c>
      <c r="D4435" s="6" t="s">
        <v>3122</v>
      </c>
      <c r="E4435" s="6" t="s">
        <v>3115</v>
      </c>
      <c r="F4435" s="8" t="s">
        <v>7996</v>
      </c>
      <c r="G4435" s="3" t="s">
        <v>11449</v>
      </c>
      <c r="H4435" s="54">
        <v>0</v>
      </c>
      <c r="I4435" s="16">
        <v>470000000</v>
      </c>
      <c r="J4435" s="16" t="s">
        <v>229</v>
      </c>
      <c r="K4435" s="57" t="s">
        <v>642</v>
      </c>
      <c r="L4435" s="12" t="s">
        <v>404</v>
      </c>
      <c r="M4435" s="162" t="s">
        <v>230</v>
      </c>
      <c r="N4435" s="8" t="s">
        <v>8899</v>
      </c>
      <c r="O4435" s="6" t="s">
        <v>622</v>
      </c>
      <c r="P4435" s="3">
        <v>839</v>
      </c>
      <c r="Q4435" s="27" t="s">
        <v>239</v>
      </c>
      <c r="R4435" s="27">
        <v>10</v>
      </c>
      <c r="S4435" s="59">
        <f>4875*1.07</f>
        <v>5216.25</v>
      </c>
      <c r="T4435" s="4">
        <f>R4435*S4435</f>
        <v>52162.5</v>
      </c>
      <c r="U4435" s="4">
        <f>T4435*1.12</f>
        <v>58422.000000000007</v>
      </c>
      <c r="V4435" s="3"/>
      <c r="W4435" s="3">
        <v>2014</v>
      </c>
      <c r="X4435" s="3"/>
    </row>
    <row r="4436" spans="1:24" ht="89.25">
      <c r="A4436" s="3" t="s">
        <v>10511</v>
      </c>
      <c r="B4436" s="6" t="s">
        <v>361</v>
      </c>
      <c r="C4436" s="6" t="s">
        <v>5602</v>
      </c>
      <c r="D4436" s="6" t="s">
        <v>5603</v>
      </c>
      <c r="E4436" s="6" t="s">
        <v>3115</v>
      </c>
      <c r="F4436" s="8" t="s">
        <v>11724</v>
      </c>
      <c r="G4436" s="3" t="s">
        <v>11449</v>
      </c>
      <c r="H4436" s="54">
        <v>0</v>
      </c>
      <c r="I4436" s="16">
        <v>470000000</v>
      </c>
      <c r="J4436" s="16" t="s">
        <v>229</v>
      </c>
      <c r="K4436" s="57" t="s">
        <v>641</v>
      </c>
      <c r="L4436" s="183" t="s">
        <v>364</v>
      </c>
      <c r="M4436" s="162" t="s">
        <v>230</v>
      </c>
      <c r="N4436" s="8" t="s">
        <v>8899</v>
      </c>
      <c r="O4436" s="6" t="s">
        <v>622</v>
      </c>
      <c r="P4436" s="3">
        <v>839</v>
      </c>
      <c r="Q4436" s="27" t="s">
        <v>239</v>
      </c>
      <c r="R4436" s="27">
        <v>16</v>
      </c>
      <c r="S4436" s="59">
        <f>9190*1.07</f>
        <v>9833.3000000000011</v>
      </c>
      <c r="T4436" s="4">
        <v>0</v>
      </c>
      <c r="U4436" s="4">
        <f t="shared" si="217"/>
        <v>0</v>
      </c>
      <c r="V4436" s="3"/>
      <c r="W4436" s="3">
        <v>2014</v>
      </c>
      <c r="X4436" s="3">
        <v>11.12</v>
      </c>
    </row>
    <row r="4437" spans="1:24" ht="89.25">
      <c r="A4437" s="3" t="s">
        <v>13228</v>
      </c>
      <c r="B4437" s="6" t="s">
        <v>361</v>
      </c>
      <c r="C4437" s="6" t="s">
        <v>5602</v>
      </c>
      <c r="D4437" s="6" t="s">
        <v>5603</v>
      </c>
      <c r="E4437" s="6" t="s">
        <v>3115</v>
      </c>
      <c r="F4437" s="8" t="s">
        <v>11724</v>
      </c>
      <c r="G4437" s="3" t="s">
        <v>11449</v>
      </c>
      <c r="H4437" s="54">
        <v>0</v>
      </c>
      <c r="I4437" s="16">
        <v>470000000</v>
      </c>
      <c r="J4437" s="16" t="s">
        <v>229</v>
      </c>
      <c r="K4437" s="57" t="s">
        <v>642</v>
      </c>
      <c r="L4437" s="12" t="s">
        <v>404</v>
      </c>
      <c r="M4437" s="162" t="s">
        <v>230</v>
      </c>
      <c r="N4437" s="8" t="s">
        <v>8899</v>
      </c>
      <c r="O4437" s="6" t="s">
        <v>622</v>
      </c>
      <c r="P4437" s="3">
        <v>839</v>
      </c>
      <c r="Q4437" s="27" t="s">
        <v>239</v>
      </c>
      <c r="R4437" s="27">
        <v>16</v>
      </c>
      <c r="S4437" s="59">
        <f>9190*1.07</f>
        <v>9833.3000000000011</v>
      </c>
      <c r="T4437" s="4">
        <v>0</v>
      </c>
      <c r="U4437" s="4">
        <f>T4437*1.12</f>
        <v>0</v>
      </c>
      <c r="V4437" s="3"/>
      <c r="W4437" s="3">
        <v>2014</v>
      </c>
      <c r="X4437" s="3" t="s">
        <v>12051</v>
      </c>
    </row>
    <row r="4438" spans="1:24" ht="89.25">
      <c r="A4438" s="3" t="s">
        <v>16665</v>
      </c>
      <c r="B4438" s="6" t="s">
        <v>361</v>
      </c>
      <c r="C4438" s="6" t="s">
        <v>5602</v>
      </c>
      <c r="D4438" s="6" t="s">
        <v>5603</v>
      </c>
      <c r="E4438" s="6" t="s">
        <v>3115</v>
      </c>
      <c r="F4438" s="8" t="s">
        <v>11724</v>
      </c>
      <c r="G4438" s="3" t="s">
        <v>11449</v>
      </c>
      <c r="H4438" s="54">
        <v>0</v>
      </c>
      <c r="I4438" s="16">
        <v>470000000</v>
      </c>
      <c r="J4438" s="16" t="s">
        <v>229</v>
      </c>
      <c r="K4438" s="57" t="s">
        <v>8950</v>
      </c>
      <c r="L4438" s="12" t="s">
        <v>404</v>
      </c>
      <c r="M4438" s="162" t="s">
        <v>230</v>
      </c>
      <c r="N4438" s="8" t="s">
        <v>8899</v>
      </c>
      <c r="O4438" s="6" t="s">
        <v>622</v>
      </c>
      <c r="P4438" s="3">
        <v>839</v>
      </c>
      <c r="Q4438" s="27" t="s">
        <v>239</v>
      </c>
      <c r="R4438" s="27">
        <v>24</v>
      </c>
      <c r="S4438" s="59">
        <v>11799.960000000001</v>
      </c>
      <c r="T4438" s="4">
        <v>0</v>
      </c>
      <c r="U4438" s="4">
        <f>T4438*1.12</f>
        <v>0</v>
      </c>
      <c r="V4438" s="3"/>
      <c r="W4438" s="3">
        <v>2014</v>
      </c>
      <c r="X4438" s="3">
        <v>11</v>
      </c>
    </row>
    <row r="4439" spans="1:24" ht="89.25">
      <c r="A4439" s="3" t="s">
        <v>18781</v>
      </c>
      <c r="B4439" s="6" t="s">
        <v>361</v>
      </c>
      <c r="C4439" s="6" t="s">
        <v>5602</v>
      </c>
      <c r="D4439" s="6" t="s">
        <v>5603</v>
      </c>
      <c r="E4439" s="6" t="s">
        <v>3115</v>
      </c>
      <c r="F4439" s="8" t="s">
        <v>11724</v>
      </c>
      <c r="G4439" s="3" t="s">
        <v>11449</v>
      </c>
      <c r="H4439" s="54">
        <v>0</v>
      </c>
      <c r="I4439" s="16">
        <v>470000000</v>
      </c>
      <c r="J4439" s="16" t="s">
        <v>229</v>
      </c>
      <c r="K4439" s="57" t="s">
        <v>18437</v>
      </c>
      <c r="L4439" s="12" t="s">
        <v>404</v>
      </c>
      <c r="M4439" s="162" t="s">
        <v>230</v>
      </c>
      <c r="N4439" s="8" t="s">
        <v>8899</v>
      </c>
      <c r="O4439" s="6" t="s">
        <v>622</v>
      </c>
      <c r="P4439" s="3">
        <v>839</v>
      </c>
      <c r="Q4439" s="27" t="s">
        <v>239</v>
      </c>
      <c r="R4439" s="27">
        <v>24</v>
      </c>
      <c r="S4439" s="59">
        <v>11799.960000000001</v>
      </c>
      <c r="T4439" s="4">
        <f>R4439*S4439</f>
        <v>283199.04000000004</v>
      </c>
      <c r="U4439" s="4">
        <f>T4439*1.12</f>
        <v>317182.9248000001</v>
      </c>
      <c r="V4439" s="3"/>
      <c r="W4439" s="3">
        <v>2014</v>
      </c>
      <c r="X4439" s="3"/>
    </row>
    <row r="4440" spans="1:24" ht="102">
      <c r="A4440" s="3" t="s">
        <v>10512</v>
      </c>
      <c r="B4440" s="6" t="s">
        <v>361</v>
      </c>
      <c r="C4440" s="6" t="s">
        <v>5602</v>
      </c>
      <c r="D4440" s="6" t="s">
        <v>5603</v>
      </c>
      <c r="E4440" s="6" t="s">
        <v>3115</v>
      </c>
      <c r="F4440" s="8" t="s">
        <v>11725</v>
      </c>
      <c r="G4440" s="3" t="s">
        <v>11449</v>
      </c>
      <c r="H4440" s="54">
        <v>0</v>
      </c>
      <c r="I4440" s="16">
        <v>470000000</v>
      </c>
      <c r="J4440" s="16" t="s">
        <v>229</v>
      </c>
      <c r="K4440" s="57" t="s">
        <v>641</v>
      </c>
      <c r="L4440" s="183" t="s">
        <v>364</v>
      </c>
      <c r="M4440" s="162" t="s">
        <v>230</v>
      </c>
      <c r="N4440" s="8" t="s">
        <v>8899</v>
      </c>
      <c r="O4440" s="6" t="s">
        <v>622</v>
      </c>
      <c r="P4440" s="3">
        <v>839</v>
      </c>
      <c r="Q4440" s="27" t="s">
        <v>239</v>
      </c>
      <c r="R4440" s="27">
        <v>24</v>
      </c>
      <c r="S4440" s="59">
        <f>9190*1.07</f>
        <v>9833.3000000000011</v>
      </c>
      <c r="T4440" s="4">
        <v>0</v>
      </c>
      <c r="U4440" s="4">
        <f t="shared" si="217"/>
        <v>0</v>
      </c>
      <c r="V4440" s="3"/>
      <c r="W4440" s="3">
        <v>2014</v>
      </c>
      <c r="X4440" s="3">
        <v>11.12</v>
      </c>
    </row>
    <row r="4441" spans="1:24" ht="102">
      <c r="A4441" s="3" t="s">
        <v>13229</v>
      </c>
      <c r="B4441" s="6" t="s">
        <v>361</v>
      </c>
      <c r="C4441" s="6" t="s">
        <v>5602</v>
      </c>
      <c r="D4441" s="6" t="s">
        <v>5603</v>
      </c>
      <c r="E4441" s="6" t="s">
        <v>3115</v>
      </c>
      <c r="F4441" s="8" t="s">
        <v>11725</v>
      </c>
      <c r="G4441" s="3" t="s">
        <v>11449</v>
      </c>
      <c r="H4441" s="54">
        <v>0</v>
      </c>
      <c r="I4441" s="16">
        <v>470000000</v>
      </c>
      <c r="J4441" s="16" t="s">
        <v>229</v>
      </c>
      <c r="K4441" s="57" t="s">
        <v>642</v>
      </c>
      <c r="L4441" s="12" t="s">
        <v>404</v>
      </c>
      <c r="M4441" s="162" t="s">
        <v>230</v>
      </c>
      <c r="N4441" s="8" t="s">
        <v>8899</v>
      </c>
      <c r="O4441" s="6" t="s">
        <v>622</v>
      </c>
      <c r="P4441" s="3">
        <v>839</v>
      </c>
      <c r="Q4441" s="27" t="s">
        <v>239</v>
      </c>
      <c r="R4441" s="27">
        <v>24</v>
      </c>
      <c r="S4441" s="59">
        <f>9190*1.07</f>
        <v>9833.3000000000011</v>
      </c>
      <c r="T4441" s="4">
        <f>R4441*S4441</f>
        <v>235999.2</v>
      </c>
      <c r="U4441" s="4">
        <f>T4441*1.12</f>
        <v>264319.10400000005</v>
      </c>
      <c r="V4441" s="3"/>
      <c r="W4441" s="3">
        <v>2014</v>
      </c>
      <c r="X4441" s="3"/>
    </row>
    <row r="4442" spans="1:24" ht="76.5">
      <c r="A4442" s="3" t="s">
        <v>10513</v>
      </c>
      <c r="B4442" s="6" t="s">
        <v>361</v>
      </c>
      <c r="C4442" s="6" t="s">
        <v>5602</v>
      </c>
      <c r="D4442" s="6" t="s">
        <v>5603</v>
      </c>
      <c r="E4442" s="6" t="s">
        <v>3115</v>
      </c>
      <c r="F4442" s="8" t="s">
        <v>11726</v>
      </c>
      <c r="G4442" s="3" t="s">
        <v>11449</v>
      </c>
      <c r="H4442" s="54">
        <v>0</v>
      </c>
      <c r="I4442" s="16">
        <v>470000000</v>
      </c>
      <c r="J4442" s="16" t="s">
        <v>229</v>
      </c>
      <c r="K4442" s="57" t="s">
        <v>641</v>
      </c>
      <c r="L4442" s="183" t="s">
        <v>364</v>
      </c>
      <c r="M4442" s="162" t="s">
        <v>230</v>
      </c>
      <c r="N4442" s="8" t="s">
        <v>8899</v>
      </c>
      <c r="O4442" s="6" t="s">
        <v>622</v>
      </c>
      <c r="P4442" s="3">
        <v>839</v>
      </c>
      <c r="Q4442" s="27" t="s">
        <v>239</v>
      </c>
      <c r="R4442" s="27">
        <v>48</v>
      </c>
      <c r="S4442" s="59">
        <f>1457*1.07</f>
        <v>1558.99</v>
      </c>
      <c r="T4442" s="4">
        <v>0</v>
      </c>
      <c r="U4442" s="4">
        <f t="shared" si="217"/>
        <v>0</v>
      </c>
      <c r="V4442" s="3"/>
      <c r="W4442" s="3">
        <v>2014</v>
      </c>
      <c r="X4442" s="3">
        <v>11.12</v>
      </c>
    </row>
    <row r="4443" spans="1:24" ht="76.5">
      <c r="A4443" s="3" t="s">
        <v>13230</v>
      </c>
      <c r="B4443" s="6" t="s">
        <v>361</v>
      </c>
      <c r="C4443" s="6" t="s">
        <v>5602</v>
      </c>
      <c r="D4443" s="6" t="s">
        <v>5603</v>
      </c>
      <c r="E4443" s="6" t="s">
        <v>3115</v>
      </c>
      <c r="F4443" s="8" t="s">
        <v>11726</v>
      </c>
      <c r="G4443" s="3" t="s">
        <v>11449</v>
      </c>
      <c r="H4443" s="54">
        <v>0</v>
      </c>
      <c r="I4443" s="16">
        <v>470000000</v>
      </c>
      <c r="J4443" s="16" t="s">
        <v>229</v>
      </c>
      <c r="K4443" s="57" t="s">
        <v>642</v>
      </c>
      <c r="L4443" s="12" t="s">
        <v>404</v>
      </c>
      <c r="M4443" s="162" t="s">
        <v>230</v>
      </c>
      <c r="N4443" s="8" t="s">
        <v>8899</v>
      </c>
      <c r="O4443" s="6" t="s">
        <v>622</v>
      </c>
      <c r="P4443" s="3">
        <v>839</v>
      </c>
      <c r="Q4443" s="27" t="s">
        <v>239</v>
      </c>
      <c r="R4443" s="27">
        <v>48</v>
      </c>
      <c r="S4443" s="59">
        <f>1457*1.07</f>
        <v>1558.99</v>
      </c>
      <c r="T4443" s="4">
        <f>R4443*S4443</f>
        <v>74831.520000000004</v>
      </c>
      <c r="U4443" s="4">
        <f>T4443*1.12</f>
        <v>83811.302400000015</v>
      </c>
      <c r="V4443" s="3"/>
      <c r="W4443" s="3">
        <v>2014</v>
      </c>
      <c r="X4443" s="3"/>
    </row>
    <row r="4444" spans="1:24" ht="76.5">
      <c r="A4444" s="3" t="s">
        <v>10514</v>
      </c>
      <c r="B4444" s="6" t="s">
        <v>361</v>
      </c>
      <c r="C4444" s="6" t="s">
        <v>5604</v>
      </c>
      <c r="D4444" s="6" t="s">
        <v>512</v>
      </c>
      <c r="E4444" s="6" t="s">
        <v>3115</v>
      </c>
      <c r="F4444" s="8" t="s">
        <v>7999</v>
      </c>
      <c r="G4444" s="3" t="s">
        <v>11449</v>
      </c>
      <c r="H4444" s="54">
        <v>0</v>
      </c>
      <c r="I4444" s="16">
        <v>470000000</v>
      </c>
      <c r="J4444" s="16" t="s">
        <v>229</v>
      </c>
      <c r="K4444" s="57" t="s">
        <v>641</v>
      </c>
      <c r="L4444" s="183" t="s">
        <v>364</v>
      </c>
      <c r="M4444" s="162" t="s">
        <v>230</v>
      </c>
      <c r="N4444" s="8" t="s">
        <v>8899</v>
      </c>
      <c r="O4444" s="6" t="s">
        <v>622</v>
      </c>
      <c r="P4444" s="3">
        <v>796</v>
      </c>
      <c r="Q4444" s="27" t="s">
        <v>234</v>
      </c>
      <c r="R4444" s="27">
        <v>24</v>
      </c>
      <c r="S4444" s="59">
        <f>13481*1.07</f>
        <v>14424.67</v>
      </c>
      <c r="T4444" s="4">
        <v>0</v>
      </c>
      <c r="U4444" s="4">
        <f t="shared" si="217"/>
        <v>0</v>
      </c>
      <c r="V4444" s="3"/>
      <c r="W4444" s="3">
        <v>2014</v>
      </c>
      <c r="X4444" s="3">
        <v>11.12</v>
      </c>
    </row>
    <row r="4445" spans="1:24" ht="76.5">
      <c r="A4445" s="3" t="s">
        <v>13231</v>
      </c>
      <c r="B4445" s="6" t="s">
        <v>361</v>
      </c>
      <c r="C4445" s="6" t="s">
        <v>5604</v>
      </c>
      <c r="D4445" s="6" t="s">
        <v>512</v>
      </c>
      <c r="E4445" s="6" t="s">
        <v>3115</v>
      </c>
      <c r="F4445" s="8" t="s">
        <v>7999</v>
      </c>
      <c r="G4445" s="3" t="s">
        <v>11449</v>
      </c>
      <c r="H4445" s="54">
        <v>0</v>
      </c>
      <c r="I4445" s="16">
        <v>470000000</v>
      </c>
      <c r="J4445" s="16" t="s">
        <v>229</v>
      </c>
      <c r="K4445" s="57" t="s">
        <v>642</v>
      </c>
      <c r="L4445" s="12" t="s">
        <v>404</v>
      </c>
      <c r="M4445" s="162" t="s">
        <v>230</v>
      </c>
      <c r="N4445" s="8" t="s">
        <v>8899</v>
      </c>
      <c r="O4445" s="6" t="s">
        <v>622</v>
      </c>
      <c r="P4445" s="3">
        <v>796</v>
      </c>
      <c r="Q4445" s="27" t="s">
        <v>234</v>
      </c>
      <c r="R4445" s="27">
        <v>24</v>
      </c>
      <c r="S4445" s="59">
        <f>13481*1.07</f>
        <v>14424.67</v>
      </c>
      <c r="T4445" s="4">
        <f>R4445*S4445</f>
        <v>346192.08</v>
      </c>
      <c r="U4445" s="4">
        <f>T4445*1.12</f>
        <v>387735.12960000004</v>
      </c>
      <c r="V4445" s="3"/>
      <c r="W4445" s="3">
        <v>2014</v>
      </c>
      <c r="X4445" s="3"/>
    </row>
    <row r="4446" spans="1:24" ht="76.5">
      <c r="A4446" s="3" t="s">
        <v>10515</v>
      </c>
      <c r="B4446" s="6" t="s">
        <v>361</v>
      </c>
      <c r="C4446" s="6" t="s">
        <v>5605</v>
      </c>
      <c r="D4446" s="6" t="s">
        <v>507</v>
      </c>
      <c r="E4446" s="6" t="s">
        <v>3115</v>
      </c>
      <c r="F4446" s="8" t="s">
        <v>7997</v>
      </c>
      <c r="G4446" s="3" t="s">
        <v>11449</v>
      </c>
      <c r="H4446" s="54">
        <v>0</v>
      </c>
      <c r="I4446" s="16">
        <v>470000000</v>
      </c>
      <c r="J4446" s="16" t="s">
        <v>229</v>
      </c>
      <c r="K4446" s="57" t="s">
        <v>641</v>
      </c>
      <c r="L4446" s="183" t="s">
        <v>364</v>
      </c>
      <c r="M4446" s="162" t="s">
        <v>230</v>
      </c>
      <c r="N4446" s="8" t="s">
        <v>8899</v>
      </c>
      <c r="O4446" s="6" t="s">
        <v>622</v>
      </c>
      <c r="P4446" s="3">
        <v>796</v>
      </c>
      <c r="Q4446" s="27" t="s">
        <v>234</v>
      </c>
      <c r="R4446" s="27">
        <v>4</v>
      </c>
      <c r="S4446" s="59">
        <f>97700*1.07</f>
        <v>104539</v>
      </c>
      <c r="T4446" s="4">
        <v>0</v>
      </c>
      <c r="U4446" s="4">
        <f t="shared" si="217"/>
        <v>0</v>
      </c>
      <c r="V4446" s="3"/>
      <c r="W4446" s="3">
        <v>2014</v>
      </c>
      <c r="X4446" s="3">
        <v>11.12</v>
      </c>
    </row>
    <row r="4447" spans="1:24" ht="76.5">
      <c r="A4447" s="3" t="s">
        <v>13232</v>
      </c>
      <c r="B4447" s="6" t="s">
        <v>361</v>
      </c>
      <c r="C4447" s="6" t="s">
        <v>5605</v>
      </c>
      <c r="D4447" s="6" t="s">
        <v>507</v>
      </c>
      <c r="E4447" s="6" t="s">
        <v>3115</v>
      </c>
      <c r="F4447" s="8" t="s">
        <v>7997</v>
      </c>
      <c r="G4447" s="3" t="s">
        <v>11449</v>
      </c>
      <c r="H4447" s="54">
        <v>0</v>
      </c>
      <c r="I4447" s="16">
        <v>470000000</v>
      </c>
      <c r="J4447" s="16" t="s">
        <v>229</v>
      </c>
      <c r="K4447" s="57" t="s">
        <v>642</v>
      </c>
      <c r="L4447" s="12" t="s">
        <v>404</v>
      </c>
      <c r="M4447" s="162" t="s">
        <v>230</v>
      </c>
      <c r="N4447" s="8" t="s">
        <v>8899</v>
      </c>
      <c r="O4447" s="6" t="s">
        <v>622</v>
      </c>
      <c r="P4447" s="3">
        <v>796</v>
      </c>
      <c r="Q4447" s="27" t="s">
        <v>234</v>
      </c>
      <c r="R4447" s="27">
        <v>4</v>
      </c>
      <c r="S4447" s="59">
        <f>97700*1.07</f>
        <v>104539</v>
      </c>
      <c r="T4447" s="4">
        <f>R4447*S4447</f>
        <v>418156</v>
      </c>
      <c r="U4447" s="4">
        <f>T4447*1.12</f>
        <v>468334.72000000003</v>
      </c>
      <c r="V4447" s="3"/>
      <c r="W4447" s="3">
        <v>2014</v>
      </c>
      <c r="X4447" s="3"/>
    </row>
    <row r="4448" spans="1:24" ht="76.5">
      <c r="A4448" s="3" t="s">
        <v>10516</v>
      </c>
      <c r="B4448" s="6" t="s">
        <v>361</v>
      </c>
      <c r="C4448" s="6" t="s">
        <v>5606</v>
      </c>
      <c r="D4448" s="6" t="s">
        <v>472</v>
      </c>
      <c r="E4448" s="6" t="s">
        <v>3115</v>
      </c>
      <c r="F4448" s="8" t="s">
        <v>7998</v>
      </c>
      <c r="G4448" s="3" t="s">
        <v>11449</v>
      </c>
      <c r="H4448" s="54">
        <v>0</v>
      </c>
      <c r="I4448" s="16">
        <v>470000000</v>
      </c>
      <c r="J4448" s="16" t="s">
        <v>229</v>
      </c>
      <c r="K4448" s="57" t="s">
        <v>641</v>
      </c>
      <c r="L4448" s="183" t="s">
        <v>364</v>
      </c>
      <c r="M4448" s="162" t="s">
        <v>230</v>
      </c>
      <c r="N4448" s="8" t="s">
        <v>8899</v>
      </c>
      <c r="O4448" s="6" t="s">
        <v>622</v>
      </c>
      <c r="P4448" s="3">
        <v>796</v>
      </c>
      <c r="Q4448" s="27" t="s">
        <v>234</v>
      </c>
      <c r="R4448" s="27">
        <v>40</v>
      </c>
      <c r="S4448" s="59">
        <f>1131*1.07</f>
        <v>1210.17</v>
      </c>
      <c r="T4448" s="4">
        <v>0</v>
      </c>
      <c r="U4448" s="4">
        <f t="shared" si="217"/>
        <v>0</v>
      </c>
      <c r="V4448" s="3"/>
      <c r="W4448" s="3">
        <v>2014</v>
      </c>
      <c r="X4448" s="3">
        <v>11.12</v>
      </c>
    </row>
    <row r="4449" spans="1:24" ht="76.5">
      <c r="A4449" s="3" t="s">
        <v>13233</v>
      </c>
      <c r="B4449" s="6" t="s">
        <v>361</v>
      </c>
      <c r="C4449" s="6" t="s">
        <v>5606</v>
      </c>
      <c r="D4449" s="6" t="s">
        <v>472</v>
      </c>
      <c r="E4449" s="6" t="s">
        <v>3115</v>
      </c>
      <c r="F4449" s="8" t="s">
        <v>7998</v>
      </c>
      <c r="G4449" s="3" t="s">
        <v>11449</v>
      </c>
      <c r="H4449" s="54">
        <v>0</v>
      </c>
      <c r="I4449" s="16">
        <v>470000000</v>
      </c>
      <c r="J4449" s="16" t="s">
        <v>229</v>
      </c>
      <c r="K4449" s="57" t="s">
        <v>642</v>
      </c>
      <c r="L4449" s="12" t="s">
        <v>404</v>
      </c>
      <c r="M4449" s="162" t="s">
        <v>230</v>
      </c>
      <c r="N4449" s="8" t="s">
        <v>8899</v>
      </c>
      <c r="O4449" s="6" t="s">
        <v>622</v>
      </c>
      <c r="P4449" s="3">
        <v>796</v>
      </c>
      <c r="Q4449" s="27" t="s">
        <v>234</v>
      </c>
      <c r="R4449" s="27">
        <v>40</v>
      </c>
      <c r="S4449" s="59">
        <f>1131*1.07</f>
        <v>1210.17</v>
      </c>
      <c r="T4449" s="4">
        <f>R4449*S4449</f>
        <v>48406.8</v>
      </c>
      <c r="U4449" s="4">
        <f>T4449*1.12</f>
        <v>54215.616000000009</v>
      </c>
      <c r="V4449" s="3"/>
      <c r="W4449" s="3">
        <v>2014</v>
      </c>
      <c r="X4449" s="3"/>
    </row>
    <row r="4450" spans="1:24" ht="76.5">
      <c r="A4450" s="3" t="s">
        <v>10517</v>
      </c>
      <c r="B4450" s="6" t="s">
        <v>361</v>
      </c>
      <c r="C4450" s="6" t="s">
        <v>5330</v>
      </c>
      <c r="D4450" s="6" t="s">
        <v>5331</v>
      </c>
      <c r="E4450" s="6" t="s">
        <v>5332</v>
      </c>
      <c r="F4450" s="9" t="s">
        <v>8000</v>
      </c>
      <c r="G4450" s="3" t="s">
        <v>11449</v>
      </c>
      <c r="H4450" s="54">
        <v>0</v>
      </c>
      <c r="I4450" s="16">
        <v>470000000</v>
      </c>
      <c r="J4450" s="16" t="s">
        <v>229</v>
      </c>
      <c r="K4450" s="57" t="s">
        <v>641</v>
      </c>
      <c r="L4450" s="183" t="s">
        <v>364</v>
      </c>
      <c r="M4450" s="162" t="s">
        <v>230</v>
      </c>
      <c r="N4450" s="8" t="s">
        <v>8899</v>
      </c>
      <c r="O4450" s="6" t="s">
        <v>622</v>
      </c>
      <c r="P4450" s="3">
        <v>796</v>
      </c>
      <c r="Q4450" s="27" t="s">
        <v>234</v>
      </c>
      <c r="R4450" s="27">
        <v>40</v>
      </c>
      <c r="S4450" s="59">
        <f>223*1.07</f>
        <v>238.61</v>
      </c>
      <c r="T4450" s="4">
        <v>0</v>
      </c>
      <c r="U4450" s="4">
        <f t="shared" si="217"/>
        <v>0</v>
      </c>
      <c r="V4450" s="3"/>
      <c r="W4450" s="3">
        <v>2014</v>
      </c>
      <c r="X4450" s="3">
        <v>11.12</v>
      </c>
    </row>
    <row r="4451" spans="1:24" ht="76.5">
      <c r="A4451" s="3" t="s">
        <v>13234</v>
      </c>
      <c r="B4451" s="6" t="s">
        <v>361</v>
      </c>
      <c r="C4451" s="6" t="s">
        <v>5330</v>
      </c>
      <c r="D4451" s="6" t="s">
        <v>5331</v>
      </c>
      <c r="E4451" s="6" t="s">
        <v>5332</v>
      </c>
      <c r="F4451" s="9" t="s">
        <v>8000</v>
      </c>
      <c r="G4451" s="3" t="s">
        <v>11449</v>
      </c>
      <c r="H4451" s="54">
        <v>0</v>
      </c>
      <c r="I4451" s="16">
        <v>470000000</v>
      </c>
      <c r="J4451" s="16" t="s">
        <v>229</v>
      </c>
      <c r="K4451" s="57" t="s">
        <v>642</v>
      </c>
      <c r="L4451" s="12" t="s">
        <v>404</v>
      </c>
      <c r="M4451" s="162" t="s">
        <v>230</v>
      </c>
      <c r="N4451" s="8" t="s">
        <v>8899</v>
      </c>
      <c r="O4451" s="6" t="s">
        <v>622</v>
      </c>
      <c r="P4451" s="3">
        <v>796</v>
      </c>
      <c r="Q4451" s="27" t="s">
        <v>234</v>
      </c>
      <c r="R4451" s="27">
        <v>40</v>
      </c>
      <c r="S4451" s="59">
        <f>223*1.07</f>
        <v>238.61</v>
      </c>
      <c r="T4451" s="4">
        <f>R4451*S4451</f>
        <v>9544.4000000000015</v>
      </c>
      <c r="U4451" s="4">
        <f>T4451*1.12</f>
        <v>10689.728000000003</v>
      </c>
      <c r="V4451" s="3"/>
      <c r="W4451" s="3">
        <v>2014</v>
      </c>
      <c r="X4451" s="3"/>
    </row>
    <row r="4452" spans="1:24" ht="76.5">
      <c r="A4452" s="3" t="s">
        <v>10518</v>
      </c>
      <c r="B4452" s="6" t="s">
        <v>361</v>
      </c>
      <c r="C4452" s="6" t="s">
        <v>5607</v>
      </c>
      <c r="D4452" s="6" t="s">
        <v>5342</v>
      </c>
      <c r="E4452" s="6" t="s">
        <v>5343</v>
      </c>
      <c r="F4452" s="8" t="s">
        <v>8001</v>
      </c>
      <c r="G4452" s="3" t="s">
        <v>11449</v>
      </c>
      <c r="H4452" s="54">
        <v>0</v>
      </c>
      <c r="I4452" s="16">
        <v>470000000</v>
      </c>
      <c r="J4452" s="16" t="s">
        <v>229</v>
      </c>
      <c r="K4452" s="57" t="s">
        <v>641</v>
      </c>
      <c r="L4452" s="183" t="s">
        <v>364</v>
      </c>
      <c r="M4452" s="162" t="s">
        <v>230</v>
      </c>
      <c r="N4452" s="8" t="s">
        <v>8899</v>
      </c>
      <c r="O4452" s="6" t="s">
        <v>622</v>
      </c>
      <c r="P4452" s="3">
        <v>796</v>
      </c>
      <c r="Q4452" s="27" t="s">
        <v>234</v>
      </c>
      <c r="R4452" s="27">
        <v>4</v>
      </c>
      <c r="S4452" s="59">
        <v>27879.17</v>
      </c>
      <c r="T4452" s="4">
        <v>0</v>
      </c>
      <c r="U4452" s="4">
        <f t="shared" si="217"/>
        <v>0</v>
      </c>
      <c r="V4452" s="3"/>
      <c r="W4452" s="3">
        <v>2014</v>
      </c>
      <c r="X4452" s="3">
        <v>11.12</v>
      </c>
    </row>
    <row r="4453" spans="1:24" ht="76.5">
      <c r="A4453" s="3" t="s">
        <v>13235</v>
      </c>
      <c r="B4453" s="6" t="s">
        <v>361</v>
      </c>
      <c r="C4453" s="6" t="s">
        <v>5607</v>
      </c>
      <c r="D4453" s="6" t="s">
        <v>5342</v>
      </c>
      <c r="E4453" s="6" t="s">
        <v>5343</v>
      </c>
      <c r="F4453" s="8" t="s">
        <v>8001</v>
      </c>
      <c r="G4453" s="3" t="s">
        <v>11449</v>
      </c>
      <c r="H4453" s="54">
        <v>0</v>
      </c>
      <c r="I4453" s="16">
        <v>470000000</v>
      </c>
      <c r="J4453" s="16" t="s">
        <v>229</v>
      </c>
      <c r="K4453" s="57" t="s">
        <v>642</v>
      </c>
      <c r="L4453" s="12" t="s">
        <v>404</v>
      </c>
      <c r="M4453" s="162" t="s">
        <v>230</v>
      </c>
      <c r="N4453" s="8" t="s">
        <v>8899</v>
      </c>
      <c r="O4453" s="6" t="s">
        <v>622</v>
      </c>
      <c r="P4453" s="3">
        <v>796</v>
      </c>
      <c r="Q4453" s="27" t="s">
        <v>234</v>
      </c>
      <c r="R4453" s="27">
        <v>4</v>
      </c>
      <c r="S4453" s="59">
        <v>27879.17</v>
      </c>
      <c r="T4453" s="4">
        <f>R4453*S4453</f>
        <v>111516.68</v>
      </c>
      <c r="U4453" s="4">
        <f>T4453*1.12</f>
        <v>124898.68160000001</v>
      </c>
      <c r="V4453" s="3"/>
      <c r="W4453" s="3">
        <v>2014</v>
      </c>
      <c r="X4453" s="3"/>
    </row>
    <row r="4454" spans="1:24" ht="76.5">
      <c r="A4454" s="3" t="s">
        <v>10519</v>
      </c>
      <c r="B4454" s="6" t="s">
        <v>361</v>
      </c>
      <c r="C4454" s="6" t="s">
        <v>7327</v>
      </c>
      <c r="D4454" s="6" t="s">
        <v>5347</v>
      </c>
      <c r="E4454" s="6" t="s">
        <v>7328</v>
      </c>
      <c r="F4454" s="9" t="s">
        <v>8002</v>
      </c>
      <c r="G4454" s="3" t="s">
        <v>11449</v>
      </c>
      <c r="H4454" s="54">
        <v>0</v>
      </c>
      <c r="I4454" s="16">
        <v>470000000</v>
      </c>
      <c r="J4454" s="16" t="s">
        <v>229</v>
      </c>
      <c r="K4454" s="57" t="s">
        <v>641</v>
      </c>
      <c r="L4454" s="183" t="s">
        <v>364</v>
      </c>
      <c r="M4454" s="162" t="s">
        <v>230</v>
      </c>
      <c r="N4454" s="8" t="s">
        <v>8899</v>
      </c>
      <c r="O4454" s="6" t="s">
        <v>622</v>
      </c>
      <c r="P4454" s="3">
        <v>796</v>
      </c>
      <c r="Q4454" s="27" t="s">
        <v>234</v>
      </c>
      <c r="R4454" s="27">
        <v>120</v>
      </c>
      <c r="S4454" s="59">
        <f>546*1.07</f>
        <v>584.22</v>
      </c>
      <c r="T4454" s="4">
        <v>0</v>
      </c>
      <c r="U4454" s="4">
        <f t="shared" si="217"/>
        <v>0</v>
      </c>
      <c r="V4454" s="3"/>
      <c r="W4454" s="3">
        <v>2014</v>
      </c>
      <c r="X4454" s="3">
        <v>11.12</v>
      </c>
    </row>
    <row r="4455" spans="1:24" ht="76.5">
      <c r="A4455" s="3" t="s">
        <v>13236</v>
      </c>
      <c r="B4455" s="6" t="s">
        <v>361</v>
      </c>
      <c r="C4455" s="6" t="s">
        <v>7327</v>
      </c>
      <c r="D4455" s="6" t="s">
        <v>5347</v>
      </c>
      <c r="E4455" s="6" t="s">
        <v>7328</v>
      </c>
      <c r="F4455" s="9" t="s">
        <v>8002</v>
      </c>
      <c r="G4455" s="3" t="s">
        <v>11449</v>
      </c>
      <c r="H4455" s="54">
        <v>0</v>
      </c>
      <c r="I4455" s="16">
        <v>470000000</v>
      </c>
      <c r="J4455" s="16" t="s">
        <v>229</v>
      </c>
      <c r="K4455" s="57" t="s">
        <v>642</v>
      </c>
      <c r="L4455" s="12" t="s">
        <v>404</v>
      </c>
      <c r="M4455" s="162" t="s">
        <v>230</v>
      </c>
      <c r="N4455" s="8" t="s">
        <v>8899</v>
      </c>
      <c r="O4455" s="6" t="s">
        <v>622</v>
      </c>
      <c r="P4455" s="3">
        <v>796</v>
      </c>
      <c r="Q4455" s="27" t="s">
        <v>234</v>
      </c>
      <c r="R4455" s="27">
        <v>120</v>
      </c>
      <c r="S4455" s="59">
        <f>546*1.07</f>
        <v>584.22</v>
      </c>
      <c r="T4455" s="4">
        <f>R4455*S4455</f>
        <v>70106.400000000009</v>
      </c>
      <c r="U4455" s="4">
        <f>T4455*1.12</f>
        <v>78519.16800000002</v>
      </c>
      <c r="V4455" s="3"/>
      <c r="W4455" s="3">
        <v>2014</v>
      </c>
      <c r="X4455" s="3"/>
    </row>
    <row r="4456" spans="1:24" ht="76.5">
      <c r="A4456" s="3" t="s">
        <v>10520</v>
      </c>
      <c r="B4456" s="6" t="s">
        <v>361</v>
      </c>
      <c r="C4456" s="6" t="s">
        <v>5608</v>
      </c>
      <c r="D4456" s="6" t="s">
        <v>5609</v>
      </c>
      <c r="E4456" s="6" t="s">
        <v>3115</v>
      </c>
      <c r="F4456" s="8" t="s">
        <v>5610</v>
      </c>
      <c r="G4456" s="3" t="s">
        <v>11449</v>
      </c>
      <c r="H4456" s="54">
        <v>0</v>
      </c>
      <c r="I4456" s="16">
        <v>470000000</v>
      </c>
      <c r="J4456" s="16" t="s">
        <v>229</v>
      </c>
      <c r="K4456" s="57" t="s">
        <v>641</v>
      </c>
      <c r="L4456" s="183" t="s">
        <v>364</v>
      </c>
      <c r="M4456" s="162" t="s">
        <v>230</v>
      </c>
      <c r="N4456" s="8" t="s">
        <v>8899</v>
      </c>
      <c r="O4456" s="6" t="s">
        <v>622</v>
      </c>
      <c r="P4456" s="3">
        <v>796</v>
      </c>
      <c r="Q4456" s="27" t="s">
        <v>234</v>
      </c>
      <c r="R4456" s="27">
        <v>4</v>
      </c>
      <c r="S4456" s="59">
        <f>81680*1.07</f>
        <v>87397.6</v>
      </c>
      <c r="T4456" s="4">
        <v>0</v>
      </c>
      <c r="U4456" s="4">
        <f t="shared" si="217"/>
        <v>0</v>
      </c>
      <c r="V4456" s="3"/>
      <c r="W4456" s="3">
        <v>2014</v>
      </c>
      <c r="X4456" s="3">
        <v>11.12</v>
      </c>
    </row>
    <row r="4457" spans="1:24" ht="76.5">
      <c r="A4457" s="3" t="s">
        <v>13237</v>
      </c>
      <c r="B4457" s="6" t="s">
        <v>361</v>
      </c>
      <c r="C4457" s="6" t="s">
        <v>5608</v>
      </c>
      <c r="D4457" s="6" t="s">
        <v>5609</v>
      </c>
      <c r="E4457" s="6" t="s">
        <v>3115</v>
      </c>
      <c r="F4457" s="8" t="s">
        <v>5610</v>
      </c>
      <c r="G4457" s="3" t="s">
        <v>11449</v>
      </c>
      <c r="H4457" s="54">
        <v>0</v>
      </c>
      <c r="I4457" s="16">
        <v>470000000</v>
      </c>
      <c r="J4457" s="16" t="s">
        <v>229</v>
      </c>
      <c r="K4457" s="57" t="s">
        <v>642</v>
      </c>
      <c r="L4457" s="12" t="s">
        <v>404</v>
      </c>
      <c r="M4457" s="162" t="s">
        <v>230</v>
      </c>
      <c r="N4457" s="8" t="s">
        <v>8899</v>
      </c>
      <c r="O4457" s="6" t="s">
        <v>622</v>
      </c>
      <c r="P4457" s="3">
        <v>796</v>
      </c>
      <c r="Q4457" s="27" t="s">
        <v>234</v>
      </c>
      <c r="R4457" s="27">
        <v>4</v>
      </c>
      <c r="S4457" s="59">
        <f>81680*1.07</f>
        <v>87397.6</v>
      </c>
      <c r="T4457" s="4">
        <v>0</v>
      </c>
      <c r="U4457" s="4">
        <f>T4457*1.12</f>
        <v>0</v>
      </c>
      <c r="V4457" s="3"/>
      <c r="W4457" s="3">
        <v>2014</v>
      </c>
      <c r="X4457" s="3" t="s">
        <v>14785</v>
      </c>
    </row>
    <row r="4458" spans="1:24" ht="76.5">
      <c r="A4458" s="3" t="s">
        <v>16666</v>
      </c>
      <c r="B4458" s="6" t="s">
        <v>361</v>
      </c>
      <c r="C4458" s="6" t="s">
        <v>5608</v>
      </c>
      <c r="D4458" s="6" t="s">
        <v>5609</v>
      </c>
      <c r="E4458" s="6" t="s">
        <v>3115</v>
      </c>
      <c r="F4458" s="8" t="s">
        <v>5610</v>
      </c>
      <c r="G4458" s="3" t="s">
        <v>11449</v>
      </c>
      <c r="H4458" s="54">
        <v>0</v>
      </c>
      <c r="I4458" s="16">
        <v>470000000</v>
      </c>
      <c r="J4458" s="16" t="s">
        <v>229</v>
      </c>
      <c r="K4458" s="57" t="s">
        <v>8950</v>
      </c>
      <c r="L4458" s="12" t="s">
        <v>404</v>
      </c>
      <c r="M4458" s="162" t="s">
        <v>230</v>
      </c>
      <c r="N4458" s="8" t="s">
        <v>8899</v>
      </c>
      <c r="O4458" s="6" t="s">
        <v>622</v>
      </c>
      <c r="P4458" s="3">
        <v>796</v>
      </c>
      <c r="Q4458" s="27" t="s">
        <v>234</v>
      </c>
      <c r="R4458" s="27">
        <v>4</v>
      </c>
      <c r="S4458" s="59">
        <v>104877.12000000001</v>
      </c>
      <c r="T4458" s="4">
        <v>0</v>
      </c>
      <c r="U4458" s="4">
        <f>T4458*1.12</f>
        <v>0</v>
      </c>
      <c r="V4458" s="3"/>
      <c r="W4458" s="3">
        <v>2014</v>
      </c>
      <c r="X4458" s="3">
        <v>11</v>
      </c>
    </row>
    <row r="4459" spans="1:24" ht="76.5">
      <c r="A4459" s="3" t="s">
        <v>18782</v>
      </c>
      <c r="B4459" s="6" t="s">
        <v>361</v>
      </c>
      <c r="C4459" s="6" t="s">
        <v>5608</v>
      </c>
      <c r="D4459" s="6" t="s">
        <v>5609</v>
      </c>
      <c r="E4459" s="6" t="s">
        <v>3115</v>
      </c>
      <c r="F4459" s="8" t="s">
        <v>5610</v>
      </c>
      <c r="G4459" s="3" t="s">
        <v>11449</v>
      </c>
      <c r="H4459" s="54">
        <v>0</v>
      </c>
      <c r="I4459" s="16">
        <v>470000000</v>
      </c>
      <c r="J4459" s="16" t="s">
        <v>229</v>
      </c>
      <c r="K4459" s="57" t="s">
        <v>18437</v>
      </c>
      <c r="L4459" s="12" t="s">
        <v>404</v>
      </c>
      <c r="M4459" s="162" t="s">
        <v>230</v>
      </c>
      <c r="N4459" s="8" t="s">
        <v>8899</v>
      </c>
      <c r="O4459" s="6" t="s">
        <v>622</v>
      </c>
      <c r="P4459" s="3">
        <v>796</v>
      </c>
      <c r="Q4459" s="27" t="s">
        <v>234</v>
      </c>
      <c r="R4459" s="27">
        <v>4</v>
      </c>
      <c r="S4459" s="59">
        <v>104877.12000000001</v>
      </c>
      <c r="T4459" s="4">
        <v>0</v>
      </c>
      <c r="U4459" s="4">
        <f>T4459*1.12</f>
        <v>0</v>
      </c>
      <c r="V4459" s="3"/>
      <c r="W4459" s="3">
        <v>2014</v>
      </c>
      <c r="X4459" s="3">
        <v>14.15</v>
      </c>
    </row>
    <row r="4460" spans="1:24" ht="76.5">
      <c r="A4460" s="3" t="s">
        <v>19503</v>
      </c>
      <c r="B4460" s="6" t="s">
        <v>361</v>
      </c>
      <c r="C4460" s="6" t="s">
        <v>5608</v>
      </c>
      <c r="D4460" s="6" t="s">
        <v>5609</v>
      </c>
      <c r="E4460" s="6" t="s">
        <v>3115</v>
      </c>
      <c r="F4460" s="8" t="s">
        <v>5610</v>
      </c>
      <c r="G4460" s="3" t="s">
        <v>11449</v>
      </c>
      <c r="H4460" s="54">
        <v>0</v>
      </c>
      <c r="I4460" s="16">
        <v>470000000</v>
      </c>
      <c r="J4460" s="16" t="s">
        <v>229</v>
      </c>
      <c r="K4460" s="57" t="s">
        <v>18437</v>
      </c>
      <c r="L4460" s="12" t="s">
        <v>404</v>
      </c>
      <c r="M4460" s="162" t="s">
        <v>230</v>
      </c>
      <c r="N4460" s="8" t="s">
        <v>19369</v>
      </c>
      <c r="O4460" s="6" t="s">
        <v>19407</v>
      </c>
      <c r="P4460" s="3">
        <v>796</v>
      </c>
      <c r="Q4460" s="27" t="s">
        <v>234</v>
      </c>
      <c r="R4460" s="27">
        <v>4</v>
      </c>
      <c r="S4460" s="59">
        <v>104877.12000000001</v>
      </c>
      <c r="T4460" s="4">
        <f>R4460*S4460</f>
        <v>419508.48000000004</v>
      </c>
      <c r="U4460" s="4">
        <f>T4460*1.12</f>
        <v>469849.49760000006</v>
      </c>
      <c r="V4460" s="3"/>
      <c r="W4460" s="3">
        <v>2014</v>
      </c>
      <c r="X4460" s="3"/>
    </row>
    <row r="4461" spans="1:24" ht="76.5">
      <c r="A4461" s="3" t="s">
        <v>10521</v>
      </c>
      <c r="B4461" s="6" t="s">
        <v>361</v>
      </c>
      <c r="C4461" s="6" t="s">
        <v>5359</v>
      </c>
      <c r="D4461" s="6" t="s">
        <v>405</v>
      </c>
      <c r="E4461" s="6" t="s">
        <v>5183</v>
      </c>
      <c r="F4461" s="8" t="s">
        <v>8003</v>
      </c>
      <c r="G4461" s="3" t="s">
        <v>11449</v>
      </c>
      <c r="H4461" s="54">
        <v>0</v>
      </c>
      <c r="I4461" s="16">
        <v>470000000</v>
      </c>
      <c r="J4461" s="16" t="s">
        <v>229</v>
      </c>
      <c r="K4461" s="57" t="s">
        <v>641</v>
      </c>
      <c r="L4461" s="183" t="s">
        <v>364</v>
      </c>
      <c r="M4461" s="162" t="s">
        <v>230</v>
      </c>
      <c r="N4461" s="8" t="s">
        <v>8899</v>
      </c>
      <c r="O4461" s="6" t="s">
        <v>622</v>
      </c>
      <c r="P4461" s="3">
        <v>796</v>
      </c>
      <c r="Q4461" s="27" t="s">
        <v>234</v>
      </c>
      <c r="R4461" s="27">
        <v>160</v>
      </c>
      <c r="S4461" s="59">
        <f>1596*1.07</f>
        <v>1707.72</v>
      </c>
      <c r="T4461" s="4">
        <v>0</v>
      </c>
      <c r="U4461" s="4">
        <f t="shared" si="217"/>
        <v>0</v>
      </c>
      <c r="V4461" s="3"/>
      <c r="W4461" s="3">
        <v>2014</v>
      </c>
      <c r="X4461" s="3">
        <v>11.12</v>
      </c>
    </row>
    <row r="4462" spans="1:24" ht="76.5">
      <c r="A4462" s="3" t="s">
        <v>13238</v>
      </c>
      <c r="B4462" s="6" t="s">
        <v>361</v>
      </c>
      <c r="C4462" s="6" t="s">
        <v>5359</v>
      </c>
      <c r="D4462" s="6" t="s">
        <v>405</v>
      </c>
      <c r="E4462" s="6" t="s">
        <v>5183</v>
      </c>
      <c r="F4462" s="8" t="s">
        <v>8003</v>
      </c>
      <c r="G4462" s="3" t="s">
        <v>11449</v>
      </c>
      <c r="H4462" s="54">
        <v>0</v>
      </c>
      <c r="I4462" s="16">
        <v>470000000</v>
      </c>
      <c r="J4462" s="16" t="s">
        <v>229</v>
      </c>
      <c r="K4462" s="57" t="s">
        <v>642</v>
      </c>
      <c r="L4462" s="12" t="s">
        <v>404</v>
      </c>
      <c r="M4462" s="162" t="s">
        <v>230</v>
      </c>
      <c r="N4462" s="8" t="s">
        <v>8899</v>
      </c>
      <c r="O4462" s="6" t="s">
        <v>622</v>
      </c>
      <c r="P4462" s="3">
        <v>796</v>
      </c>
      <c r="Q4462" s="27" t="s">
        <v>234</v>
      </c>
      <c r="R4462" s="27">
        <v>160</v>
      </c>
      <c r="S4462" s="59">
        <f>1596*1.07</f>
        <v>1707.72</v>
      </c>
      <c r="T4462" s="4">
        <f>R4462*S4462</f>
        <v>273235.20000000001</v>
      </c>
      <c r="U4462" s="4">
        <f>T4462*1.12</f>
        <v>306023.42400000006</v>
      </c>
      <c r="V4462" s="3"/>
      <c r="W4462" s="3">
        <v>2014</v>
      </c>
      <c r="X4462" s="3"/>
    </row>
    <row r="4463" spans="1:24" ht="76.5">
      <c r="A4463" s="3" t="s">
        <v>10522</v>
      </c>
      <c r="B4463" s="6" t="s">
        <v>361</v>
      </c>
      <c r="C4463" s="6" t="s">
        <v>5360</v>
      </c>
      <c r="D4463" s="6" t="s">
        <v>463</v>
      </c>
      <c r="E4463" s="6" t="s">
        <v>3115</v>
      </c>
      <c r="F4463" s="8" t="s">
        <v>8004</v>
      </c>
      <c r="G4463" s="3" t="s">
        <v>11449</v>
      </c>
      <c r="H4463" s="54">
        <v>0</v>
      </c>
      <c r="I4463" s="16">
        <v>470000000</v>
      </c>
      <c r="J4463" s="16" t="s">
        <v>229</v>
      </c>
      <c r="K4463" s="57" t="s">
        <v>641</v>
      </c>
      <c r="L4463" s="183" t="s">
        <v>364</v>
      </c>
      <c r="M4463" s="162" t="s">
        <v>230</v>
      </c>
      <c r="N4463" s="8" t="s">
        <v>8899</v>
      </c>
      <c r="O4463" s="6" t="s">
        <v>622</v>
      </c>
      <c r="P4463" s="3">
        <v>796</v>
      </c>
      <c r="Q4463" s="27" t="s">
        <v>234</v>
      </c>
      <c r="R4463" s="27">
        <v>24</v>
      </c>
      <c r="S4463" s="59">
        <f>2514*1.07</f>
        <v>2689.98</v>
      </c>
      <c r="T4463" s="4">
        <v>0</v>
      </c>
      <c r="U4463" s="4">
        <f t="shared" si="217"/>
        <v>0</v>
      </c>
      <c r="V4463" s="3"/>
      <c r="W4463" s="3">
        <v>2014</v>
      </c>
      <c r="X4463" s="3">
        <v>11.12</v>
      </c>
    </row>
    <row r="4464" spans="1:24" ht="76.5">
      <c r="A4464" s="3" t="s">
        <v>13239</v>
      </c>
      <c r="B4464" s="6" t="s">
        <v>361</v>
      </c>
      <c r="C4464" s="6" t="s">
        <v>5360</v>
      </c>
      <c r="D4464" s="6" t="s">
        <v>463</v>
      </c>
      <c r="E4464" s="6" t="s">
        <v>3115</v>
      </c>
      <c r="F4464" s="8" t="s">
        <v>8004</v>
      </c>
      <c r="G4464" s="3" t="s">
        <v>11449</v>
      </c>
      <c r="H4464" s="54">
        <v>0</v>
      </c>
      <c r="I4464" s="16">
        <v>470000000</v>
      </c>
      <c r="J4464" s="16" t="s">
        <v>229</v>
      </c>
      <c r="K4464" s="57" t="s">
        <v>642</v>
      </c>
      <c r="L4464" s="12" t="s">
        <v>404</v>
      </c>
      <c r="M4464" s="162" t="s">
        <v>230</v>
      </c>
      <c r="N4464" s="8" t="s">
        <v>8899</v>
      </c>
      <c r="O4464" s="6" t="s">
        <v>622</v>
      </c>
      <c r="P4464" s="3">
        <v>796</v>
      </c>
      <c r="Q4464" s="27" t="s">
        <v>234</v>
      </c>
      <c r="R4464" s="27">
        <v>24</v>
      </c>
      <c r="S4464" s="59">
        <f>2514*1.07</f>
        <v>2689.98</v>
      </c>
      <c r="T4464" s="4">
        <v>0</v>
      </c>
      <c r="U4464" s="4">
        <f>T4464*1.12</f>
        <v>0</v>
      </c>
      <c r="V4464" s="3"/>
      <c r="W4464" s="3">
        <v>2014</v>
      </c>
      <c r="X4464" s="3" t="s">
        <v>14785</v>
      </c>
    </row>
    <row r="4465" spans="1:24" ht="76.5">
      <c r="A4465" s="3" t="s">
        <v>16667</v>
      </c>
      <c r="B4465" s="6" t="s">
        <v>361</v>
      </c>
      <c r="C4465" s="6" t="s">
        <v>5360</v>
      </c>
      <c r="D4465" s="6" t="s">
        <v>463</v>
      </c>
      <c r="E4465" s="6" t="s">
        <v>3115</v>
      </c>
      <c r="F4465" s="8" t="s">
        <v>8004</v>
      </c>
      <c r="G4465" s="3" t="s">
        <v>11449</v>
      </c>
      <c r="H4465" s="54">
        <v>0</v>
      </c>
      <c r="I4465" s="16">
        <v>470000000</v>
      </c>
      <c r="J4465" s="16" t="s">
        <v>229</v>
      </c>
      <c r="K4465" s="57" t="s">
        <v>8950</v>
      </c>
      <c r="L4465" s="12" t="s">
        <v>404</v>
      </c>
      <c r="M4465" s="162" t="s">
        <v>230</v>
      </c>
      <c r="N4465" s="8" t="s">
        <v>8899</v>
      </c>
      <c r="O4465" s="6" t="s">
        <v>622</v>
      </c>
      <c r="P4465" s="3">
        <v>796</v>
      </c>
      <c r="Q4465" s="27" t="s">
        <v>234</v>
      </c>
      <c r="R4465" s="27">
        <v>24</v>
      </c>
      <c r="S4465" s="59">
        <v>3227.9760000000001</v>
      </c>
      <c r="T4465" s="4">
        <v>0</v>
      </c>
      <c r="U4465" s="4">
        <f>T4465*1.12</f>
        <v>0</v>
      </c>
      <c r="V4465" s="3"/>
      <c r="W4465" s="3">
        <v>2014</v>
      </c>
      <c r="X4465" s="3">
        <v>11</v>
      </c>
    </row>
    <row r="4466" spans="1:24" ht="76.5">
      <c r="A4466" s="3" t="s">
        <v>18783</v>
      </c>
      <c r="B4466" s="6" t="s">
        <v>361</v>
      </c>
      <c r="C4466" s="6" t="s">
        <v>5360</v>
      </c>
      <c r="D4466" s="6" t="s">
        <v>463</v>
      </c>
      <c r="E4466" s="6" t="s">
        <v>3115</v>
      </c>
      <c r="F4466" s="8" t="s">
        <v>8004</v>
      </c>
      <c r="G4466" s="3" t="s">
        <v>11449</v>
      </c>
      <c r="H4466" s="54">
        <v>0</v>
      </c>
      <c r="I4466" s="16">
        <v>470000000</v>
      </c>
      <c r="J4466" s="16" t="s">
        <v>229</v>
      </c>
      <c r="K4466" s="57" t="s">
        <v>18437</v>
      </c>
      <c r="L4466" s="12" t="s">
        <v>404</v>
      </c>
      <c r="M4466" s="162" t="s">
        <v>230</v>
      </c>
      <c r="N4466" s="8" t="s">
        <v>8899</v>
      </c>
      <c r="O4466" s="6" t="s">
        <v>622</v>
      </c>
      <c r="P4466" s="3">
        <v>796</v>
      </c>
      <c r="Q4466" s="27" t="s">
        <v>234</v>
      </c>
      <c r="R4466" s="27">
        <v>24</v>
      </c>
      <c r="S4466" s="59">
        <v>3227.9760000000001</v>
      </c>
      <c r="T4466" s="4">
        <v>0</v>
      </c>
      <c r="U4466" s="4">
        <f>T4466*1.12</f>
        <v>0</v>
      </c>
      <c r="V4466" s="3"/>
      <c r="W4466" s="3">
        <v>2014</v>
      </c>
      <c r="X4466" s="3">
        <v>14.15</v>
      </c>
    </row>
    <row r="4467" spans="1:24" ht="76.5">
      <c r="A4467" s="3" t="s">
        <v>19504</v>
      </c>
      <c r="B4467" s="6" t="s">
        <v>361</v>
      </c>
      <c r="C4467" s="6" t="s">
        <v>5360</v>
      </c>
      <c r="D4467" s="6" t="s">
        <v>463</v>
      </c>
      <c r="E4467" s="6" t="s">
        <v>3115</v>
      </c>
      <c r="F4467" s="8" t="s">
        <v>8004</v>
      </c>
      <c r="G4467" s="3" t="s">
        <v>11449</v>
      </c>
      <c r="H4467" s="54">
        <v>0</v>
      </c>
      <c r="I4467" s="16">
        <v>470000000</v>
      </c>
      <c r="J4467" s="16" t="s">
        <v>229</v>
      </c>
      <c r="K4467" s="57" t="s">
        <v>18437</v>
      </c>
      <c r="L4467" s="12" t="s">
        <v>404</v>
      </c>
      <c r="M4467" s="162" t="s">
        <v>230</v>
      </c>
      <c r="N4467" s="8" t="s">
        <v>19369</v>
      </c>
      <c r="O4467" s="6" t="s">
        <v>19407</v>
      </c>
      <c r="P4467" s="3">
        <v>796</v>
      </c>
      <c r="Q4467" s="27" t="s">
        <v>234</v>
      </c>
      <c r="R4467" s="27">
        <v>24</v>
      </c>
      <c r="S4467" s="59">
        <v>3227.9760000000001</v>
      </c>
      <c r="T4467" s="4">
        <f>R4467*S4467</f>
        <v>77471.423999999999</v>
      </c>
      <c r="U4467" s="4">
        <f>T4467*1.12</f>
        <v>86767.994880000013</v>
      </c>
      <c r="V4467" s="3"/>
      <c r="W4467" s="3">
        <v>2014</v>
      </c>
      <c r="X4467" s="3"/>
    </row>
    <row r="4468" spans="1:24" ht="76.5">
      <c r="A4468" s="3" t="s">
        <v>10523</v>
      </c>
      <c r="B4468" s="6" t="s">
        <v>361</v>
      </c>
      <c r="C4468" s="6" t="s">
        <v>5363</v>
      </c>
      <c r="D4468" s="6" t="s">
        <v>406</v>
      </c>
      <c r="E4468" s="6" t="s">
        <v>5364</v>
      </c>
      <c r="F4468" s="8" t="s">
        <v>8005</v>
      </c>
      <c r="G4468" s="3" t="s">
        <v>11449</v>
      </c>
      <c r="H4468" s="54">
        <v>0</v>
      </c>
      <c r="I4468" s="16">
        <v>470000000</v>
      </c>
      <c r="J4468" s="16" t="s">
        <v>229</v>
      </c>
      <c r="K4468" s="57" t="s">
        <v>641</v>
      </c>
      <c r="L4468" s="183" t="s">
        <v>364</v>
      </c>
      <c r="M4468" s="162" t="s">
        <v>230</v>
      </c>
      <c r="N4468" s="8" t="s">
        <v>8899</v>
      </c>
      <c r="O4468" s="6" t="s">
        <v>622</v>
      </c>
      <c r="P4468" s="3">
        <v>796</v>
      </c>
      <c r="Q4468" s="27" t="s">
        <v>234</v>
      </c>
      <c r="R4468" s="27">
        <v>160</v>
      </c>
      <c r="S4468" s="59">
        <f>639*1.07</f>
        <v>683.73</v>
      </c>
      <c r="T4468" s="4">
        <v>0</v>
      </c>
      <c r="U4468" s="4">
        <f t="shared" si="217"/>
        <v>0</v>
      </c>
      <c r="V4468" s="3"/>
      <c r="W4468" s="3">
        <v>2014</v>
      </c>
      <c r="X4468" s="3">
        <v>11.12</v>
      </c>
    </row>
    <row r="4469" spans="1:24" ht="76.5">
      <c r="A4469" s="3" t="s">
        <v>13240</v>
      </c>
      <c r="B4469" s="6" t="s">
        <v>361</v>
      </c>
      <c r="C4469" s="6" t="s">
        <v>5363</v>
      </c>
      <c r="D4469" s="6" t="s">
        <v>406</v>
      </c>
      <c r="E4469" s="6" t="s">
        <v>5364</v>
      </c>
      <c r="F4469" s="8" t="s">
        <v>8005</v>
      </c>
      <c r="G4469" s="3" t="s">
        <v>11449</v>
      </c>
      <c r="H4469" s="54">
        <v>0</v>
      </c>
      <c r="I4469" s="16">
        <v>470000000</v>
      </c>
      <c r="J4469" s="16" t="s">
        <v>229</v>
      </c>
      <c r="K4469" s="57" t="s">
        <v>642</v>
      </c>
      <c r="L4469" s="12" t="s">
        <v>404</v>
      </c>
      <c r="M4469" s="162" t="s">
        <v>230</v>
      </c>
      <c r="N4469" s="8" t="s">
        <v>8899</v>
      </c>
      <c r="O4469" s="6" t="s">
        <v>622</v>
      </c>
      <c r="P4469" s="3">
        <v>796</v>
      </c>
      <c r="Q4469" s="27" t="s">
        <v>234</v>
      </c>
      <c r="R4469" s="27">
        <v>160</v>
      </c>
      <c r="S4469" s="59">
        <f>639*1.07</f>
        <v>683.73</v>
      </c>
      <c r="T4469" s="4">
        <f>R4469*S4469</f>
        <v>109396.8</v>
      </c>
      <c r="U4469" s="4">
        <f>T4469*1.12</f>
        <v>122524.41600000001</v>
      </c>
      <c r="V4469" s="3"/>
      <c r="W4469" s="3">
        <v>2014</v>
      </c>
      <c r="X4469" s="3"/>
    </row>
    <row r="4470" spans="1:24" ht="76.5">
      <c r="A4470" s="3" t="s">
        <v>10524</v>
      </c>
      <c r="B4470" s="6" t="s">
        <v>361</v>
      </c>
      <c r="C4470" s="6" t="s">
        <v>7329</v>
      </c>
      <c r="D4470" s="6" t="s">
        <v>7330</v>
      </c>
      <c r="E4470" s="6" t="s">
        <v>7331</v>
      </c>
      <c r="F4470" s="9" t="s">
        <v>8006</v>
      </c>
      <c r="G4470" s="3" t="s">
        <v>11449</v>
      </c>
      <c r="H4470" s="54">
        <v>0</v>
      </c>
      <c r="I4470" s="16">
        <v>470000000</v>
      </c>
      <c r="J4470" s="16" t="s">
        <v>229</v>
      </c>
      <c r="K4470" s="57" t="s">
        <v>641</v>
      </c>
      <c r="L4470" s="183" t="s">
        <v>364</v>
      </c>
      <c r="M4470" s="162" t="s">
        <v>230</v>
      </c>
      <c r="N4470" s="8" t="s">
        <v>8899</v>
      </c>
      <c r="O4470" s="6" t="s">
        <v>622</v>
      </c>
      <c r="P4470" s="3">
        <v>796</v>
      </c>
      <c r="Q4470" s="27" t="s">
        <v>234</v>
      </c>
      <c r="R4470" s="27">
        <v>10</v>
      </c>
      <c r="S4470" s="59">
        <f>3240*1.07</f>
        <v>3466.8</v>
      </c>
      <c r="T4470" s="4">
        <v>0</v>
      </c>
      <c r="U4470" s="4">
        <f t="shared" si="217"/>
        <v>0</v>
      </c>
      <c r="V4470" s="3"/>
      <c r="W4470" s="3">
        <v>2014</v>
      </c>
      <c r="X4470" s="3">
        <v>11.12</v>
      </c>
    </row>
    <row r="4471" spans="1:24" ht="76.5">
      <c r="A4471" s="3" t="s">
        <v>13241</v>
      </c>
      <c r="B4471" s="6" t="s">
        <v>361</v>
      </c>
      <c r="C4471" s="6" t="s">
        <v>7329</v>
      </c>
      <c r="D4471" s="6" t="s">
        <v>7330</v>
      </c>
      <c r="E4471" s="6" t="s">
        <v>7331</v>
      </c>
      <c r="F4471" s="9" t="s">
        <v>8006</v>
      </c>
      <c r="G4471" s="3" t="s">
        <v>11449</v>
      </c>
      <c r="H4471" s="54">
        <v>0</v>
      </c>
      <c r="I4471" s="16">
        <v>470000000</v>
      </c>
      <c r="J4471" s="16" t="s">
        <v>229</v>
      </c>
      <c r="K4471" s="57" t="s">
        <v>642</v>
      </c>
      <c r="L4471" s="12" t="s">
        <v>404</v>
      </c>
      <c r="M4471" s="162" t="s">
        <v>230</v>
      </c>
      <c r="N4471" s="8" t="s">
        <v>8899</v>
      </c>
      <c r="O4471" s="6" t="s">
        <v>622</v>
      </c>
      <c r="P4471" s="3">
        <v>796</v>
      </c>
      <c r="Q4471" s="27" t="s">
        <v>234</v>
      </c>
      <c r="R4471" s="27">
        <v>10</v>
      </c>
      <c r="S4471" s="59">
        <f>3240*1.07</f>
        <v>3466.8</v>
      </c>
      <c r="T4471" s="4">
        <v>0</v>
      </c>
      <c r="U4471" s="4">
        <f>T4471*1.12</f>
        <v>0</v>
      </c>
      <c r="V4471" s="3"/>
      <c r="W4471" s="3">
        <v>2014</v>
      </c>
      <c r="X4471" s="3" t="s">
        <v>14785</v>
      </c>
    </row>
    <row r="4472" spans="1:24" ht="76.5">
      <c r="A4472" s="3" t="s">
        <v>16668</v>
      </c>
      <c r="B4472" s="6" t="s">
        <v>361</v>
      </c>
      <c r="C4472" s="6" t="s">
        <v>7329</v>
      </c>
      <c r="D4472" s="6" t="s">
        <v>7330</v>
      </c>
      <c r="E4472" s="6" t="s">
        <v>7331</v>
      </c>
      <c r="F4472" s="9" t="s">
        <v>8006</v>
      </c>
      <c r="G4472" s="3" t="s">
        <v>11449</v>
      </c>
      <c r="H4472" s="54">
        <v>0</v>
      </c>
      <c r="I4472" s="16">
        <v>470000000</v>
      </c>
      <c r="J4472" s="16" t="s">
        <v>229</v>
      </c>
      <c r="K4472" s="57" t="s">
        <v>8950</v>
      </c>
      <c r="L4472" s="12" t="s">
        <v>404</v>
      </c>
      <c r="M4472" s="162" t="s">
        <v>230</v>
      </c>
      <c r="N4472" s="8" t="s">
        <v>8899</v>
      </c>
      <c r="O4472" s="6" t="s">
        <v>622</v>
      </c>
      <c r="P4472" s="3">
        <v>796</v>
      </c>
      <c r="Q4472" s="27" t="s">
        <v>234</v>
      </c>
      <c r="R4472" s="27">
        <v>10</v>
      </c>
      <c r="S4472" s="59">
        <v>4160.16</v>
      </c>
      <c r="T4472" s="4">
        <v>0</v>
      </c>
      <c r="U4472" s="4">
        <f>T4472*1.12</f>
        <v>0</v>
      </c>
      <c r="V4472" s="3"/>
      <c r="W4472" s="3">
        <v>2014</v>
      </c>
      <c r="X4472" s="3">
        <v>11</v>
      </c>
    </row>
    <row r="4473" spans="1:24" ht="76.5">
      <c r="A4473" s="3" t="s">
        <v>18784</v>
      </c>
      <c r="B4473" s="6" t="s">
        <v>361</v>
      </c>
      <c r="C4473" s="6" t="s">
        <v>7329</v>
      </c>
      <c r="D4473" s="6" t="s">
        <v>7330</v>
      </c>
      <c r="E4473" s="6" t="s">
        <v>7331</v>
      </c>
      <c r="F4473" s="9" t="s">
        <v>8006</v>
      </c>
      <c r="G4473" s="3" t="s">
        <v>11449</v>
      </c>
      <c r="H4473" s="54">
        <v>0</v>
      </c>
      <c r="I4473" s="16">
        <v>470000000</v>
      </c>
      <c r="J4473" s="16" t="s">
        <v>229</v>
      </c>
      <c r="K4473" s="57" t="s">
        <v>18437</v>
      </c>
      <c r="L4473" s="12" t="s">
        <v>404</v>
      </c>
      <c r="M4473" s="162" t="s">
        <v>230</v>
      </c>
      <c r="N4473" s="8" t="s">
        <v>8899</v>
      </c>
      <c r="O4473" s="6" t="s">
        <v>622</v>
      </c>
      <c r="P4473" s="3">
        <v>796</v>
      </c>
      <c r="Q4473" s="27" t="s">
        <v>234</v>
      </c>
      <c r="R4473" s="27">
        <v>10</v>
      </c>
      <c r="S4473" s="59">
        <v>4160.16</v>
      </c>
      <c r="T4473" s="4">
        <v>0</v>
      </c>
      <c r="U4473" s="4">
        <f>T4473*1.12</f>
        <v>0</v>
      </c>
      <c r="V4473" s="3"/>
      <c r="W4473" s="3">
        <v>2014</v>
      </c>
      <c r="X4473" s="3">
        <v>14.15</v>
      </c>
    </row>
    <row r="4474" spans="1:24" ht="76.5">
      <c r="A4474" s="3" t="s">
        <v>19505</v>
      </c>
      <c r="B4474" s="6" t="s">
        <v>361</v>
      </c>
      <c r="C4474" s="6" t="s">
        <v>7329</v>
      </c>
      <c r="D4474" s="6" t="s">
        <v>7330</v>
      </c>
      <c r="E4474" s="6" t="s">
        <v>7331</v>
      </c>
      <c r="F4474" s="9" t="s">
        <v>8006</v>
      </c>
      <c r="G4474" s="3" t="s">
        <v>11449</v>
      </c>
      <c r="H4474" s="54">
        <v>0</v>
      </c>
      <c r="I4474" s="16">
        <v>470000000</v>
      </c>
      <c r="J4474" s="16" t="s">
        <v>229</v>
      </c>
      <c r="K4474" s="57" t="s">
        <v>18437</v>
      </c>
      <c r="L4474" s="12" t="s">
        <v>404</v>
      </c>
      <c r="M4474" s="162" t="s">
        <v>230</v>
      </c>
      <c r="N4474" s="8" t="s">
        <v>19369</v>
      </c>
      <c r="O4474" s="6" t="s">
        <v>19407</v>
      </c>
      <c r="P4474" s="3">
        <v>796</v>
      </c>
      <c r="Q4474" s="27" t="s">
        <v>234</v>
      </c>
      <c r="R4474" s="27">
        <v>10</v>
      </c>
      <c r="S4474" s="59">
        <v>4160.16</v>
      </c>
      <c r="T4474" s="4">
        <f>R4474*S4474</f>
        <v>41601.599999999999</v>
      </c>
      <c r="U4474" s="4">
        <f>T4474*1.12</f>
        <v>46593.792000000001</v>
      </c>
      <c r="V4474" s="3"/>
      <c r="W4474" s="3">
        <v>2014</v>
      </c>
      <c r="X4474" s="3"/>
    </row>
    <row r="4475" spans="1:24" ht="76.5">
      <c r="A4475" s="3" t="s">
        <v>10525</v>
      </c>
      <c r="B4475" s="6" t="s">
        <v>361</v>
      </c>
      <c r="C4475" s="6" t="s">
        <v>5611</v>
      </c>
      <c r="D4475" s="6" t="s">
        <v>390</v>
      </c>
      <c r="E4475" s="6" t="s">
        <v>5612</v>
      </c>
      <c r="F4475" s="8" t="s">
        <v>8007</v>
      </c>
      <c r="G4475" s="3" t="s">
        <v>11449</v>
      </c>
      <c r="H4475" s="54">
        <v>0</v>
      </c>
      <c r="I4475" s="16">
        <v>470000000</v>
      </c>
      <c r="J4475" s="16" t="s">
        <v>229</v>
      </c>
      <c r="K4475" s="57" t="s">
        <v>641</v>
      </c>
      <c r="L4475" s="183" t="s">
        <v>364</v>
      </c>
      <c r="M4475" s="162" t="s">
        <v>230</v>
      </c>
      <c r="N4475" s="8" t="s">
        <v>8899</v>
      </c>
      <c r="O4475" s="6" t="s">
        <v>622</v>
      </c>
      <c r="P4475" s="3">
        <v>796</v>
      </c>
      <c r="Q4475" s="27" t="s">
        <v>234</v>
      </c>
      <c r="R4475" s="27">
        <v>100</v>
      </c>
      <c r="S4475" s="59">
        <f>282*1.07</f>
        <v>301.74</v>
      </c>
      <c r="T4475" s="4">
        <v>0</v>
      </c>
      <c r="U4475" s="4">
        <f t="shared" si="217"/>
        <v>0</v>
      </c>
      <c r="V4475" s="3"/>
      <c r="W4475" s="3">
        <v>2014</v>
      </c>
      <c r="X4475" s="3">
        <v>11.12</v>
      </c>
    </row>
    <row r="4476" spans="1:24" ht="76.5">
      <c r="A4476" s="3" t="s">
        <v>13242</v>
      </c>
      <c r="B4476" s="6" t="s">
        <v>361</v>
      </c>
      <c r="C4476" s="6" t="s">
        <v>5611</v>
      </c>
      <c r="D4476" s="6" t="s">
        <v>390</v>
      </c>
      <c r="E4476" s="6" t="s">
        <v>5612</v>
      </c>
      <c r="F4476" s="8" t="s">
        <v>8007</v>
      </c>
      <c r="G4476" s="3" t="s">
        <v>11449</v>
      </c>
      <c r="H4476" s="54">
        <v>0</v>
      </c>
      <c r="I4476" s="16">
        <v>470000000</v>
      </c>
      <c r="J4476" s="16" t="s">
        <v>229</v>
      </c>
      <c r="K4476" s="57" t="s">
        <v>642</v>
      </c>
      <c r="L4476" s="12" t="s">
        <v>404</v>
      </c>
      <c r="M4476" s="162" t="s">
        <v>230</v>
      </c>
      <c r="N4476" s="8" t="s">
        <v>8899</v>
      </c>
      <c r="O4476" s="6" t="s">
        <v>622</v>
      </c>
      <c r="P4476" s="3">
        <v>796</v>
      </c>
      <c r="Q4476" s="27" t="s">
        <v>234</v>
      </c>
      <c r="R4476" s="27">
        <v>100</v>
      </c>
      <c r="S4476" s="59">
        <f>282*1.07</f>
        <v>301.74</v>
      </c>
      <c r="T4476" s="4">
        <f>R4476*S4476</f>
        <v>30174</v>
      </c>
      <c r="U4476" s="4">
        <f>T4476*1.12</f>
        <v>33794.880000000005</v>
      </c>
      <c r="V4476" s="3"/>
      <c r="W4476" s="3">
        <v>2014</v>
      </c>
      <c r="X4476" s="3"/>
    </row>
    <row r="4477" spans="1:24" ht="76.5">
      <c r="A4477" s="3" t="s">
        <v>10526</v>
      </c>
      <c r="B4477" s="6" t="s">
        <v>361</v>
      </c>
      <c r="C4477" s="179" t="s">
        <v>5349</v>
      </c>
      <c r="D4477" s="180" t="s">
        <v>459</v>
      </c>
      <c r="E4477" s="180" t="s">
        <v>5350</v>
      </c>
      <c r="F4477" s="8" t="s">
        <v>8008</v>
      </c>
      <c r="G4477" s="3" t="s">
        <v>11449</v>
      </c>
      <c r="H4477" s="54">
        <v>0</v>
      </c>
      <c r="I4477" s="16">
        <v>470000000</v>
      </c>
      <c r="J4477" s="16" t="s">
        <v>229</v>
      </c>
      <c r="K4477" s="57" t="s">
        <v>641</v>
      </c>
      <c r="L4477" s="183" t="s">
        <v>364</v>
      </c>
      <c r="M4477" s="162" t="s">
        <v>230</v>
      </c>
      <c r="N4477" s="8" t="s">
        <v>8899</v>
      </c>
      <c r="O4477" s="6" t="s">
        <v>622</v>
      </c>
      <c r="P4477" s="3">
        <v>796</v>
      </c>
      <c r="Q4477" s="27" t="s">
        <v>234</v>
      </c>
      <c r="R4477" s="27">
        <v>100</v>
      </c>
      <c r="S4477" s="59">
        <f>153*1.07</f>
        <v>163.71</v>
      </c>
      <c r="T4477" s="4">
        <v>0</v>
      </c>
      <c r="U4477" s="4">
        <f t="shared" si="217"/>
        <v>0</v>
      </c>
      <c r="V4477" s="3"/>
      <c r="W4477" s="3">
        <v>2014</v>
      </c>
      <c r="X4477" s="3">
        <v>11.12</v>
      </c>
    </row>
    <row r="4478" spans="1:24" ht="76.5">
      <c r="A4478" s="3" t="s">
        <v>13243</v>
      </c>
      <c r="B4478" s="6" t="s">
        <v>361</v>
      </c>
      <c r="C4478" s="179" t="s">
        <v>5349</v>
      </c>
      <c r="D4478" s="180" t="s">
        <v>459</v>
      </c>
      <c r="E4478" s="180" t="s">
        <v>5350</v>
      </c>
      <c r="F4478" s="8" t="s">
        <v>8008</v>
      </c>
      <c r="G4478" s="3" t="s">
        <v>11449</v>
      </c>
      <c r="H4478" s="54">
        <v>0</v>
      </c>
      <c r="I4478" s="16">
        <v>470000000</v>
      </c>
      <c r="J4478" s="16" t="s">
        <v>229</v>
      </c>
      <c r="K4478" s="57" t="s">
        <v>642</v>
      </c>
      <c r="L4478" s="12" t="s">
        <v>404</v>
      </c>
      <c r="M4478" s="162" t="s">
        <v>230</v>
      </c>
      <c r="N4478" s="8" t="s">
        <v>8899</v>
      </c>
      <c r="O4478" s="6" t="s">
        <v>622</v>
      </c>
      <c r="P4478" s="3">
        <v>796</v>
      </c>
      <c r="Q4478" s="27" t="s">
        <v>234</v>
      </c>
      <c r="R4478" s="27">
        <v>100</v>
      </c>
      <c r="S4478" s="59">
        <f>153*1.07</f>
        <v>163.71</v>
      </c>
      <c r="T4478" s="4">
        <f>R4478*S4478</f>
        <v>16371</v>
      </c>
      <c r="U4478" s="4">
        <f>T4478*1.12</f>
        <v>18335.52</v>
      </c>
      <c r="V4478" s="3"/>
      <c r="W4478" s="3">
        <v>2014</v>
      </c>
      <c r="X4478" s="3"/>
    </row>
    <row r="4479" spans="1:24" ht="76.5">
      <c r="A4479" s="3" t="s">
        <v>10527</v>
      </c>
      <c r="B4479" s="6" t="s">
        <v>361</v>
      </c>
      <c r="C4479" s="6" t="s">
        <v>5613</v>
      </c>
      <c r="D4479" s="6" t="s">
        <v>5614</v>
      </c>
      <c r="E4479" s="6" t="s">
        <v>5183</v>
      </c>
      <c r="F4479" s="8" t="s">
        <v>8009</v>
      </c>
      <c r="G4479" s="3" t="s">
        <v>11449</v>
      </c>
      <c r="H4479" s="54">
        <v>0</v>
      </c>
      <c r="I4479" s="16">
        <v>470000000</v>
      </c>
      <c r="J4479" s="16" t="s">
        <v>229</v>
      </c>
      <c r="K4479" s="57" t="s">
        <v>641</v>
      </c>
      <c r="L4479" s="183" t="s">
        <v>364</v>
      </c>
      <c r="M4479" s="162" t="s">
        <v>230</v>
      </c>
      <c r="N4479" s="8" t="s">
        <v>8899</v>
      </c>
      <c r="O4479" s="6" t="s">
        <v>622</v>
      </c>
      <c r="P4479" s="3">
        <v>796</v>
      </c>
      <c r="Q4479" s="27" t="s">
        <v>234</v>
      </c>
      <c r="R4479" s="27">
        <v>2</v>
      </c>
      <c r="S4479" s="59">
        <f>19272*1.07</f>
        <v>20621.04</v>
      </c>
      <c r="T4479" s="4">
        <v>0</v>
      </c>
      <c r="U4479" s="4">
        <f t="shared" si="217"/>
        <v>0</v>
      </c>
      <c r="V4479" s="3"/>
      <c r="W4479" s="3">
        <v>2014</v>
      </c>
      <c r="X4479" s="3">
        <v>11.12</v>
      </c>
    </row>
    <row r="4480" spans="1:24" ht="76.5">
      <c r="A4480" s="3" t="s">
        <v>13244</v>
      </c>
      <c r="B4480" s="6" t="s">
        <v>361</v>
      </c>
      <c r="C4480" s="6" t="s">
        <v>5613</v>
      </c>
      <c r="D4480" s="6" t="s">
        <v>5614</v>
      </c>
      <c r="E4480" s="6" t="s">
        <v>5183</v>
      </c>
      <c r="F4480" s="8" t="s">
        <v>8009</v>
      </c>
      <c r="G4480" s="3" t="s">
        <v>11449</v>
      </c>
      <c r="H4480" s="54">
        <v>0</v>
      </c>
      <c r="I4480" s="16">
        <v>470000000</v>
      </c>
      <c r="J4480" s="16" t="s">
        <v>229</v>
      </c>
      <c r="K4480" s="57" t="s">
        <v>642</v>
      </c>
      <c r="L4480" s="12" t="s">
        <v>404</v>
      </c>
      <c r="M4480" s="162" t="s">
        <v>230</v>
      </c>
      <c r="N4480" s="8" t="s">
        <v>8899</v>
      </c>
      <c r="O4480" s="6" t="s">
        <v>622</v>
      </c>
      <c r="P4480" s="3">
        <v>796</v>
      </c>
      <c r="Q4480" s="27" t="s">
        <v>234</v>
      </c>
      <c r="R4480" s="27">
        <v>2</v>
      </c>
      <c r="S4480" s="59">
        <f>19272*1.07</f>
        <v>20621.04</v>
      </c>
      <c r="T4480" s="4">
        <f>R4480*S4480</f>
        <v>41242.080000000002</v>
      </c>
      <c r="U4480" s="4">
        <f>T4480*1.12</f>
        <v>46191.129600000007</v>
      </c>
      <c r="V4480" s="3"/>
      <c r="W4480" s="3">
        <v>2014</v>
      </c>
      <c r="X4480" s="3"/>
    </row>
    <row r="4481" spans="1:24" ht="76.5">
      <c r="A4481" s="3" t="s">
        <v>10528</v>
      </c>
      <c r="B4481" s="6" t="s">
        <v>361</v>
      </c>
      <c r="C4481" s="6" t="s">
        <v>5368</v>
      </c>
      <c r="D4481" s="6" t="s">
        <v>5369</v>
      </c>
      <c r="E4481" s="6" t="s">
        <v>5183</v>
      </c>
      <c r="F4481" s="8" t="s">
        <v>5615</v>
      </c>
      <c r="G4481" s="3" t="s">
        <v>11449</v>
      </c>
      <c r="H4481" s="54">
        <v>0</v>
      </c>
      <c r="I4481" s="16">
        <v>470000000</v>
      </c>
      <c r="J4481" s="16" t="s">
        <v>229</v>
      </c>
      <c r="K4481" s="57" t="s">
        <v>641</v>
      </c>
      <c r="L4481" s="183" t="s">
        <v>364</v>
      </c>
      <c r="M4481" s="162" t="s">
        <v>230</v>
      </c>
      <c r="N4481" s="8" t="s">
        <v>8899</v>
      </c>
      <c r="O4481" s="6" t="s">
        <v>622</v>
      </c>
      <c r="P4481" s="3">
        <v>796</v>
      </c>
      <c r="Q4481" s="27" t="s">
        <v>234</v>
      </c>
      <c r="R4481" s="27">
        <v>6</v>
      </c>
      <c r="S4481" s="59">
        <f>66430*1.07</f>
        <v>71080.100000000006</v>
      </c>
      <c r="T4481" s="4">
        <v>0</v>
      </c>
      <c r="U4481" s="4">
        <f t="shared" si="217"/>
        <v>0</v>
      </c>
      <c r="V4481" s="3"/>
      <c r="W4481" s="3">
        <v>2014</v>
      </c>
      <c r="X4481" s="3">
        <v>11.12</v>
      </c>
    </row>
    <row r="4482" spans="1:24" ht="76.5">
      <c r="A4482" s="3" t="s">
        <v>13245</v>
      </c>
      <c r="B4482" s="6" t="s">
        <v>361</v>
      </c>
      <c r="C4482" s="6" t="s">
        <v>5368</v>
      </c>
      <c r="D4482" s="6" t="s">
        <v>5369</v>
      </c>
      <c r="E4482" s="6" t="s">
        <v>5183</v>
      </c>
      <c r="F4482" s="8" t="s">
        <v>5615</v>
      </c>
      <c r="G4482" s="3" t="s">
        <v>11449</v>
      </c>
      <c r="H4482" s="54">
        <v>0</v>
      </c>
      <c r="I4482" s="16">
        <v>470000000</v>
      </c>
      <c r="J4482" s="16" t="s">
        <v>229</v>
      </c>
      <c r="K4482" s="57" t="s">
        <v>642</v>
      </c>
      <c r="L4482" s="12" t="s">
        <v>404</v>
      </c>
      <c r="M4482" s="162" t="s">
        <v>230</v>
      </c>
      <c r="N4482" s="8" t="s">
        <v>8899</v>
      </c>
      <c r="O4482" s="6" t="s">
        <v>622</v>
      </c>
      <c r="P4482" s="3">
        <v>796</v>
      </c>
      <c r="Q4482" s="27" t="s">
        <v>234</v>
      </c>
      <c r="R4482" s="27">
        <v>6</v>
      </c>
      <c r="S4482" s="59">
        <f>66430*1.07</f>
        <v>71080.100000000006</v>
      </c>
      <c r="T4482" s="4">
        <v>0</v>
      </c>
      <c r="U4482" s="4">
        <f>T4482*1.12</f>
        <v>0</v>
      </c>
      <c r="V4482" s="3"/>
      <c r="W4482" s="3">
        <v>2014</v>
      </c>
      <c r="X4482" s="3" t="s">
        <v>14785</v>
      </c>
    </row>
    <row r="4483" spans="1:24" ht="76.5">
      <c r="A4483" s="3" t="s">
        <v>16669</v>
      </c>
      <c r="B4483" s="6" t="s">
        <v>361</v>
      </c>
      <c r="C4483" s="6" t="s">
        <v>5368</v>
      </c>
      <c r="D4483" s="6" t="s">
        <v>5369</v>
      </c>
      <c r="E4483" s="6" t="s">
        <v>5183</v>
      </c>
      <c r="F4483" s="8" t="s">
        <v>5615</v>
      </c>
      <c r="G4483" s="3" t="s">
        <v>11449</v>
      </c>
      <c r="H4483" s="54">
        <v>0</v>
      </c>
      <c r="I4483" s="16">
        <v>470000000</v>
      </c>
      <c r="J4483" s="16" t="s">
        <v>229</v>
      </c>
      <c r="K4483" s="57" t="s">
        <v>8950</v>
      </c>
      <c r="L4483" s="12" t="s">
        <v>404</v>
      </c>
      <c r="M4483" s="162" t="s">
        <v>230</v>
      </c>
      <c r="N4483" s="8" t="s">
        <v>8899</v>
      </c>
      <c r="O4483" s="6" t="s">
        <v>622</v>
      </c>
      <c r="P4483" s="3">
        <v>796</v>
      </c>
      <c r="Q4483" s="27" t="s">
        <v>234</v>
      </c>
      <c r="R4483" s="27">
        <v>6</v>
      </c>
      <c r="S4483" s="59">
        <v>85296.12000000001</v>
      </c>
      <c r="T4483" s="4">
        <v>0</v>
      </c>
      <c r="U4483" s="4">
        <f>T4483*1.12</f>
        <v>0</v>
      </c>
      <c r="V4483" s="3"/>
      <c r="W4483" s="3">
        <v>2014</v>
      </c>
      <c r="X4483" s="3">
        <v>11</v>
      </c>
    </row>
    <row r="4484" spans="1:24" ht="76.5">
      <c r="A4484" s="3" t="s">
        <v>18785</v>
      </c>
      <c r="B4484" s="6" t="s">
        <v>361</v>
      </c>
      <c r="C4484" s="6" t="s">
        <v>5368</v>
      </c>
      <c r="D4484" s="6" t="s">
        <v>5369</v>
      </c>
      <c r="E4484" s="6" t="s">
        <v>5183</v>
      </c>
      <c r="F4484" s="8" t="s">
        <v>5615</v>
      </c>
      <c r="G4484" s="3" t="s">
        <v>11449</v>
      </c>
      <c r="H4484" s="54">
        <v>0</v>
      </c>
      <c r="I4484" s="16">
        <v>470000000</v>
      </c>
      <c r="J4484" s="16" t="s">
        <v>229</v>
      </c>
      <c r="K4484" s="57" t="s">
        <v>18437</v>
      </c>
      <c r="L4484" s="12" t="s">
        <v>404</v>
      </c>
      <c r="M4484" s="162" t="s">
        <v>230</v>
      </c>
      <c r="N4484" s="8" t="s">
        <v>8899</v>
      </c>
      <c r="O4484" s="6" t="s">
        <v>622</v>
      </c>
      <c r="P4484" s="3">
        <v>796</v>
      </c>
      <c r="Q4484" s="27" t="s">
        <v>234</v>
      </c>
      <c r="R4484" s="27">
        <v>6</v>
      </c>
      <c r="S4484" s="59">
        <v>85296.12000000001</v>
      </c>
      <c r="T4484" s="4">
        <v>0</v>
      </c>
      <c r="U4484" s="4">
        <f>T4484*1.12</f>
        <v>0</v>
      </c>
      <c r="V4484" s="3"/>
      <c r="W4484" s="3">
        <v>2014</v>
      </c>
      <c r="X4484" s="3">
        <v>14.15</v>
      </c>
    </row>
    <row r="4485" spans="1:24" ht="76.5">
      <c r="A4485" s="3" t="s">
        <v>19506</v>
      </c>
      <c r="B4485" s="6" t="s">
        <v>361</v>
      </c>
      <c r="C4485" s="6" t="s">
        <v>5368</v>
      </c>
      <c r="D4485" s="6" t="s">
        <v>5369</v>
      </c>
      <c r="E4485" s="6" t="s">
        <v>5183</v>
      </c>
      <c r="F4485" s="8" t="s">
        <v>5615</v>
      </c>
      <c r="G4485" s="3" t="s">
        <v>11449</v>
      </c>
      <c r="H4485" s="54">
        <v>0</v>
      </c>
      <c r="I4485" s="16">
        <v>470000000</v>
      </c>
      <c r="J4485" s="16" t="s">
        <v>229</v>
      </c>
      <c r="K4485" s="57" t="s">
        <v>18437</v>
      </c>
      <c r="L4485" s="12" t="s">
        <v>404</v>
      </c>
      <c r="M4485" s="162" t="s">
        <v>230</v>
      </c>
      <c r="N4485" s="8" t="s">
        <v>19369</v>
      </c>
      <c r="O4485" s="6" t="s">
        <v>19407</v>
      </c>
      <c r="P4485" s="3">
        <v>796</v>
      </c>
      <c r="Q4485" s="27" t="s">
        <v>234</v>
      </c>
      <c r="R4485" s="27">
        <v>6</v>
      </c>
      <c r="S4485" s="59">
        <v>85296.12000000001</v>
      </c>
      <c r="T4485" s="4">
        <f>R4485*S4485</f>
        <v>511776.72000000009</v>
      </c>
      <c r="U4485" s="4">
        <f>T4485*1.12</f>
        <v>573189.92640000011</v>
      </c>
      <c r="V4485" s="3"/>
      <c r="W4485" s="3">
        <v>2014</v>
      </c>
      <c r="X4485" s="3"/>
    </row>
    <row r="4486" spans="1:24" ht="76.5">
      <c r="A4486" s="3" t="s">
        <v>10529</v>
      </c>
      <c r="B4486" s="6" t="s">
        <v>361</v>
      </c>
      <c r="C4486" s="6" t="s">
        <v>5373</v>
      </c>
      <c r="D4486" s="6" t="s">
        <v>5371</v>
      </c>
      <c r="E4486" s="6" t="s">
        <v>5374</v>
      </c>
      <c r="F4486" s="8" t="s">
        <v>8010</v>
      </c>
      <c r="G4486" s="3" t="s">
        <v>11449</v>
      </c>
      <c r="H4486" s="54">
        <v>0</v>
      </c>
      <c r="I4486" s="16">
        <v>470000000</v>
      </c>
      <c r="J4486" s="16" t="s">
        <v>229</v>
      </c>
      <c r="K4486" s="57" t="s">
        <v>641</v>
      </c>
      <c r="L4486" s="183" t="s">
        <v>364</v>
      </c>
      <c r="M4486" s="162" t="s">
        <v>230</v>
      </c>
      <c r="N4486" s="8" t="s">
        <v>8899</v>
      </c>
      <c r="O4486" s="6" t="s">
        <v>622</v>
      </c>
      <c r="P4486" s="3">
        <v>796</v>
      </c>
      <c r="Q4486" s="27" t="s">
        <v>234</v>
      </c>
      <c r="R4486" s="27">
        <v>60</v>
      </c>
      <c r="S4486" s="59">
        <f>381*1.07</f>
        <v>407.67</v>
      </c>
      <c r="T4486" s="4">
        <v>0</v>
      </c>
      <c r="U4486" s="4">
        <f t="shared" si="217"/>
        <v>0</v>
      </c>
      <c r="V4486" s="3"/>
      <c r="W4486" s="3">
        <v>2014</v>
      </c>
      <c r="X4486" s="3">
        <v>11.12</v>
      </c>
    </row>
    <row r="4487" spans="1:24" ht="76.5">
      <c r="A4487" s="3" t="s">
        <v>13246</v>
      </c>
      <c r="B4487" s="6" t="s">
        <v>361</v>
      </c>
      <c r="C4487" s="6" t="s">
        <v>5373</v>
      </c>
      <c r="D4487" s="6" t="s">
        <v>5371</v>
      </c>
      <c r="E4487" s="6" t="s">
        <v>5374</v>
      </c>
      <c r="F4487" s="8" t="s">
        <v>8010</v>
      </c>
      <c r="G4487" s="3" t="s">
        <v>11449</v>
      </c>
      <c r="H4487" s="54">
        <v>0</v>
      </c>
      <c r="I4487" s="16">
        <v>470000000</v>
      </c>
      <c r="J4487" s="16" t="s">
        <v>229</v>
      </c>
      <c r="K4487" s="57" t="s">
        <v>642</v>
      </c>
      <c r="L4487" s="12" t="s">
        <v>404</v>
      </c>
      <c r="M4487" s="162" t="s">
        <v>230</v>
      </c>
      <c r="N4487" s="8" t="s">
        <v>8899</v>
      </c>
      <c r="O4487" s="6" t="s">
        <v>622</v>
      </c>
      <c r="P4487" s="3">
        <v>796</v>
      </c>
      <c r="Q4487" s="27" t="s">
        <v>234</v>
      </c>
      <c r="R4487" s="27">
        <v>60</v>
      </c>
      <c r="S4487" s="59">
        <f>381*1.07</f>
        <v>407.67</v>
      </c>
      <c r="T4487" s="4">
        <f>R4487*S4487</f>
        <v>24460.2</v>
      </c>
      <c r="U4487" s="4">
        <f>T4487*1.12</f>
        <v>27395.424000000003</v>
      </c>
      <c r="V4487" s="3"/>
      <c r="W4487" s="3">
        <v>2014</v>
      </c>
      <c r="X4487" s="3"/>
    </row>
    <row r="4488" spans="1:24" ht="76.5">
      <c r="A4488" s="3" t="s">
        <v>10530</v>
      </c>
      <c r="B4488" s="6" t="s">
        <v>361</v>
      </c>
      <c r="C4488" s="6" t="s">
        <v>5370</v>
      </c>
      <c r="D4488" s="6" t="s">
        <v>5371</v>
      </c>
      <c r="E4488" s="6" t="s">
        <v>5372</v>
      </c>
      <c r="F4488" s="8" t="s">
        <v>8011</v>
      </c>
      <c r="G4488" s="3" t="s">
        <v>11449</v>
      </c>
      <c r="H4488" s="54">
        <v>0</v>
      </c>
      <c r="I4488" s="16">
        <v>470000000</v>
      </c>
      <c r="J4488" s="16" t="s">
        <v>229</v>
      </c>
      <c r="K4488" s="57" t="s">
        <v>641</v>
      </c>
      <c r="L4488" s="183" t="s">
        <v>364</v>
      </c>
      <c r="M4488" s="162" t="s">
        <v>230</v>
      </c>
      <c r="N4488" s="8" t="s">
        <v>8899</v>
      </c>
      <c r="O4488" s="6" t="s">
        <v>622</v>
      </c>
      <c r="P4488" s="3">
        <v>796</v>
      </c>
      <c r="Q4488" s="27" t="s">
        <v>234</v>
      </c>
      <c r="R4488" s="27">
        <v>60</v>
      </c>
      <c r="S4488" s="59">
        <f>621*1.07</f>
        <v>664.47</v>
      </c>
      <c r="T4488" s="4">
        <v>0</v>
      </c>
      <c r="U4488" s="4">
        <f t="shared" si="217"/>
        <v>0</v>
      </c>
      <c r="V4488" s="3"/>
      <c r="W4488" s="3">
        <v>2014</v>
      </c>
      <c r="X4488" s="3">
        <v>11.12</v>
      </c>
    </row>
    <row r="4489" spans="1:24" ht="76.5">
      <c r="A4489" s="3" t="s">
        <v>13247</v>
      </c>
      <c r="B4489" s="6" t="s">
        <v>361</v>
      </c>
      <c r="C4489" s="6" t="s">
        <v>5370</v>
      </c>
      <c r="D4489" s="6" t="s">
        <v>5371</v>
      </c>
      <c r="E4489" s="6" t="s">
        <v>5372</v>
      </c>
      <c r="F4489" s="8" t="s">
        <v>8011</v>
      </c>
      <c r="G4489" s="3" t="s">
        <v>11449</v>
      </c>
      <c r="H4489" s="54">
        <v>0</v>
      </c>
      <c r="I4489" s="16">
        <v>470000000</v>
      </c>
      <c r="J4489" s="16" t="s">
        <v>229</v>
      </c>
      <c r="K4489" s="57" t="s">
        <v>642</v>
      </c>
      <c r="L4489" s="12" t="s">
        <v>404</v>
      </c>
      <c r="M4489" s="162" t="s">
        <v>230</v>
      </c>
      <c r="N4489" s="8" t="s">
        <v>8899</v>
      </c>
      <c r="O4489" s="6" t="s">
        <v>622</v>
      </c>
      <c r="P4489" s="3">
        <v>796</v>
      </c>
      <c r="Q4489" s="27" t="s">
        <v>234</v>
      </c>
      <c r="R4489" s="27">
        <v>60</v>
      </c>
      <c r="S4489" s="59">
        <f>621*1.07</f>
        <v>664.47</v>
      </c>
      <c r="T4489" s="4">
        <f>R4489*S4489</f>
        <v>39868.200000000004</v>
      </c>
      <c r="U4489" s="4">
        <f>T4489*1.12</f>
        <v>44652.384000000013</v>
      </c>
      <c r="V4489" s="3"/>
      <c r="W4489" s="3">
        <v>2014</v>
      </c>
      <c r="X4489" s="3"/>
    </row>
    <row r="4490" spans="1:24" ht="76.5">
      <c r="A4490" s="3" t="s">
        <v>10531</v>
      </c>
      <c r="B4490" s="6" t="s">
        <v>361</v>
      </c>
      <c r="C4490" s="6" t="s">
        <v>5616</v>
      </c>
      <c r="D4490" s="6" t="s">
        <v>5376</v>
      </c>
      <c r="E4490" s="6" t="s">
        <v>3115</v>
      </c>
      <c r="F4490" s="8" t="s">
        <v>8012</v>
      </c>
      <c r="G4490" s="3" t="s">
        <v>11449</v>
      </c>
      <c r="H4490" s="54">
        <v>0</v>
      </c>
      <c r="I4490" s="16">
        <v>470000000</v>
      </c>
      <c r="J4490" s="16" t="s">
        <v>229</v>
      </c>
      <c r="K4490" s="57" t="s">
        <v>641</v>
      </c>
      <c r="L4490" s="183" t="s">
        <v>364</v>
      </c>
      <c r="M4490" s="162" t="s">
        <v>230</v>
      </c>
      <c r="N4490" s="8" t="s">
        <v>8899</v>
      </c>
      <c r="O4490" s="6" t="s">
        <v>622</v>
      </c>
      <c r="P4490" s="3">
        <v>796</v>
      </c>
      <c r="Q4490" s="27" t="s">
        <v>234</v>
      </c>
      <c r="R4490" s="27">
        <v>4</v>
      </c>
      <c r="S4490" s="59">
        <v>16340.27</v>
      </c>
      <c r="T4490" s="4">
        <v>0</v>
      </c>
      <c r="U4490" s="4">
        <f t="shared" si="217"/>
        <v>0</v>
      </c>
      <c r="V4490" s="3"/>
      <c r="W4490" s="3">
        <v>2014</v>
      </c>
      <c r="X4490" s="3">
        <v>11.12</v>
      </c>
    </row>
    <row r="4491" spans="1:24" ht="76.5">
      <c r="A4491" s="3" t="s">
        <v>13248</v>
      </c>
      <c r="B4491" s="6" t="s">
        <v>361</v>
      </c>
      <c r="C4491" s="6" t="s">
        <v>5616</v>
      </c>
      <c r="D4491" s="6" t="s">
        <v>5376</v>
      </c>
      <c r="E4491" s="6" t="s">
        <v>3115</v>
      </c>
      <c r="F4491" s="8" t="s">
        <v>8012</v>
      </c>
      <c r="G4491" s="3" t="s">
        <v>11449</v>
      </c>
      <c r="H4491" s="54">
        <v>0</v>
      </c>
      <c r="I4491" s="16">
        <v>470000000</v>
      </c>
      <c r="J4491" s="16" t="s">
        <v>229</v>
      </c>
      <c r="K4491" s="57" t="s">
        <v>642</v>
      </c>
      <c r="L4491" s="12" t="s">
        <v>404</v>
      </c>
      <c r="M4491" s="162" t="s">
        <v>230</v>
      </c>
      <c r="N4491" s="8" t="s">
        <v>8899</v>
      </c>
      <c r="O4491" s="6" t="s">
        <v>622</v>
      </c>
      <c r="P4491" s="3">
        <v>796</v>
      </c>
      <c r="Q4491" s="27" t="s">
        <v>234</v>
      </c>
      <c r="R4491" s="27">
        <v>4</v>
      </c>
      <c r="S4491" s="59">
        <v>16340.27</v>
      </c>
      <c r="T4491" s="4">
        <f>R4491*S4491</f>
        <v>65361.08</v>
      </c>
      <c r="U4491" s="4">
        <f>T4491*1.12</f>
        <v>73204.409600000014</v>
      </c>
      <c r="V4491" s="3"/>
      <c r="W4491" s="3">
        <v>2014</v>
      </c>
      <c r="X4491" s="3"/>
    </row>
    <row r="4492" spans="1:24" ht="76.5">
      <c r="A4492" s="3" t="s">
        <v>10532</v>
      </c>
      <c r="B4492" s="6" t="s">
        <v>361</v>
      </c>
      <c r="C4492" s="6" t="s">
        <v>5616</v>
      </c>
      <c r="D4492" s="6" t="s">
        <v>5376</v>
      </c>
      <c r="E4492" s="6" t="s">
        <v>3115</v>
      </c>
      <c r="F4492" s="8" t="s">
        <v>8013</v>
      </c>
      <c r="G4492" s="3" t="s">
        <v>11449</v>
      </c>
      <c r="H4492" s="54">
        <v>0</v>
      </c>
      <c r="I4492" s="16">
        <v>470000000</v>
      </c>
      <c r="J4492" s="16" t="s">
        <v>229</v>
      </c>
      <c r="K4492" s="57" t="s">
        <v>641</v>
      </c>
      <c r="L4492" s="183" t="s">
        <v>364</v>
      </c>
      <c r="M4492" s="162" t="s">
        <v>230</v>
      </c>
      <c r="N4492" s="8" t="s">
        <v>8899</v>
      </c>
      <c r="O4492" s="6" t="s">
        <v>622</v>
      </c>
      <c r="P4492" s="3">
        <v>796</v>
      </c>
      <c r="Q4492" s="27" t="s">
        <v>234</v>
      </c>
      <c r="R4492" s="27">
        <v>4</v>
      </c>
      <c r="S4492" s="59">
        <f>33992*1.07</f>
        <v>36371.440000000002</v>
      </c>
      <c r="T4492" s="4">
        <v>0</v>
      </c>
      <c r="U4492" s="4">
        <f t="shared" si="217"/>
        <v>0</v>
      </c>
      <c r="V4492" s="3"/>
      <c r="W4492" s="3">
        <v>2014</v>
      </c>
      <c r="X4492" s="3">
        <v>11.12</v>
      </c>
    </row>
    <row r="4493" spans="1:24" ht="76.5">
      <c r="A4493" s="3" t="s">
        <v>13249</v>
      </c>
      <c r="B4493" s="6" t="s">
        <v>361</v>
      </c>
      <c r="C4493" s="6" t="s">
        <v>5616</v>
      </c>
      <c r="D4493" s="6" t="s">
        <v>5376</v>
      </c>
      <c r="E4493" s="6" t="s">
        <v>3115</v>
      </c>
      <c r="F4493" s="8" t="s">
        <v>8013</v>
      </c>
      <c r="G4493" s="3" t="s">
        <v>11449</v>
      </c>
      <c r="H4493" s="54">
        <v>0</v>
      </c>
      <c r="I4493" s="16">
        <v>470000000</v>
      </c>
      <c r="J4493" s="16" t="s">
        <v>229</v>
      </c>
      <c r="K4493" s="57" t="s">
        <v>642</v>
      </c>
      <c r="L4493" s="12" t="s">
        <v>404</v>
      </c>
      <c r="M4493" s="162" t="s">
        <v>230</v>
      </c>
      <c r="N4493" s="8" t="s">
        <v>8899</v>
      </c>
      <c r="O4493" s="6" t="s">
        <v>622</v>
      </c>
      <c r="P4493" s="3">
        <v>796</v>
      </c>
      <c r="Q4493" s="27" t="s">
        <v>234</v>
      </c>
      <c r="R4493" s="27">
        <v>4</v>
      </c>
      <c r="S4493" s="59">
        <f>33992*1.07</f>
        <v>36371.440000000002</v>
      </c>
      <c r="T4493" s="4">
        <f>R4493*S4493</f>
        <v>145485.76000000001</v>
      </c>
      <c r="U4493" s="4">
        <f>T4493*1.12</f>
        <v>162944.05120000002</v>
      </c>
      <c r="V4493" s="3"/>
      <c r="W4493" s="3">
        <v>2014</v>
      </c>
      <c r="X4493" s="3"/>
    </row>
    <row r="4494" spans="1:24" ht="76.5">
      <c r="A4494" s="3" t="s">
        <v>10533</v>
      </c>
      <c r="B4494" s="6" t="s">
        <v>361</v>
      </c>
      <c r="C4494" s="6" t="s">
        <v>5377</v>
      </c>
      <c r="D4494" s="6" t="s">
        <v>5357</v>
      </c>
      <c r="E4494" s="6" t="s">
        <v>5378</v>
      </c>
      <c r="F4494" s="8" t="s">
        <v>8014</v>
      </c>
      <c r="G4494" s="3" t="s">
        <v>11449</v>
      </c>
      <c r="H4494" s="54">
        <v>0</v>
      </c>
      <c r="I4494" s="16">
        <v>470000000</v>
      </c>
      <c r="J4494" s="16" t="s">
        <v>229</v>
      </c>
      <c r="K4494" s="57" t="s">
        <v>641</v>
      </c>
      <c r="L4494" s="183" t="s">
        <v>364</v>
      </c>
      <c r="M4494" s="162" t="s">
        <v>230</v>
      </c>
      <c r="N4494" s="8" t="s">
        <v>8899</v>
      </c>
      <c r="O4494" s="6" t="s">
        <v>622</v>
      </c>
      <c r="P4494" s="3">
        <v>839</v>
      </c>
      <c r="Q4494" s="27" t="s">
        <v>239</v>
      </c>
      <c r="R4494" s="27">
        <v>30</v>
      </c>
      <c r="S4494" s="59">
        <f>1825*1.07</f>
        <v>1952.75</v>
      </c>
      <c r="T4494" s="4">
        <v>0</v>
      </c>
      <c r="U4494" s="4">
        <f t="shared" si="217"/>
        <v>0</v>
      </c>
      <c r="V4494" s="3"/>
      <c r="W4494" s="3">
        <v>2014</v>
      </c>
      <c r="X4494" s="3">
        <v>11.12</v>
      </c>
    </row>
    <row r="4495" spans="1:24" ht="76.5">
      <c r="A4495" s="3" t="s">
        <v>13250</v>
      </c>
      <c r="B4495" s="6" t="s">
        <v>361</v>
      </c>
      <c r="C4495" s="6" t="s">
        <v>5377</v>
      </c>
      <c r="D4495" s="6" t="s">
        <v>5357</v>
      </c>
      <c r="E4495" s="6" t="s">
        <v>5378</v>
      </c>
      <c r="F4495" s="8" t="s">
        <v>8014</v>
      </c>
      <c r="G4495" s="3" t="s">
        <v>11449</v>
      </c>
      <c r="H4495" s="54">
        <v>0</v>
      </c>
      <c r="I4495" s="16">
        <v>470000000</v>
      </c>
      <c r="J4495" s="16" t="s">
        <v>229</v>
      </c>
      <c r="K4495" s="57" t="s">
        <v>642</v>
      </c>
      <c r="L4495" s="12" t="s">
        <v>404</v>
      </c>
      <c r="M4495" s="162" t="s">
        <v>230</v>
      </c>
      <c r="N4495" s="8" t="s">
        <v>8899</v>
      </c>
      <c r="O4495" s="6" t="s">
        <v>622</v>
      </c>
      <c r="P4495" s="3">
        <v>839</v>
      </c>
      <c r="Q4495" s="27" t="s">
        <v>239</v>
      </c>
      <c r="R4495" s="27">
        <v>30</v>
      </c>
      <c r="S4495" s="59">
        <f>1825*1.07</f>
        <v>1952.75</v>
      </c>
      <c r="T4495" s="4">
        <f>R4495*S4495</f>
        <v>58582.5</v>
      </c>
      <c r="U4495" s="4">
        <f>T4495*1.12</f>
        <v>65612.400000000009</v>
      </c>
      <c r="V4495" s="3"/>
      <c r="W4495" s="3">
        <v>2014</v>
      </c>
      <c r="X4495" s="3"/>
    </row>
    <row r="4496" spans="1:24" ht="76.5">
      <c r="A4496" s="3" t="s">
        <v>10534</v>
      </c>
      <c r="B4496" s="6" t="s">
        <v>361</v>
      </c>
      <c r="C4496" s="6" t="s">
        <v>5617</v>
      </c>
      <c r="D4496" s="6" t="s">
        <v>419</v>
      </c>
      <c r="E4496" s="6" t="s">
        <v>5183</v>
      </c>
      <c r="F4496" s="8" t="s">
        <v>8015</v>
      </c>
      <c r="G4496" s="3" t="s">
        <v>11449</v>
      </c>
      <c r="H4496" s="54">
        <v>0</v>
      </c>
      <c r="I4496" s="16">
        <v>470000000</v>
      </c>
      <c r="J4496" s="16" t="s">
        <v>229</v>
      </c>
      <c r="K4496" s="57" t="s">
        <v>641</v>
      </c>
      <c r="L4496" s="183" t="s">
        <v>364</v>
      </c>
      <c r="M4496" s="162" t="s">
        <v>230</v>
      </c>
      <c r="N4496" s="8" t="s">
        <v>8899</v>
      </c>
      <c r="O4496" s="6" t="s">
        <v>622</v>
      </c>
      <c r="P4496" s="3">
        <v>796</v>
      </c>
      <c r="Q4496" s="27" t="s">
        <v>234</v>
      </c>
      <c r="R4496" s="27">
        <v>6</v>
      </c>
      <c r="S4496" s="59">
        <f>46547*1.07</f>
        <v>49805.29</v>
      </c>
      <c r="T4496" s="4">
        <v>0</v>
      </c>
      <c r="U4496" s="4">
        <f t="shared" si="217"/>
        <v>0</v>
      </c>
      <c r="V4496" s="3"/>
      <c r="W4496" s="3">
        <v>2014</v>
      </c>
      <c r="X4496" s="3">
        <v>11.12</v>
      </c>
    </row>
    <row r="4497" spans="1:24" ht="76.5">
      <c r="A4497" s="3" t="s">
        <v>13251</v>
      </c>
      <c r="B4497" s="6" t="s">
        <v>361</v>
      </c>
      <c r="C4497" s="6" t="s">
        <v>5617</v>
      </c>
      <c r="D4497" s="6" t="s">
        <v>419</v>
      </c>
      <c r="E4497" s="6" t="s">
        <v>5183</v>
      </c>
      <c r="F4497" s="8" t="s">
        <v>8015</v>
      </c>
      <c r="G4497" s="3" t="s">
        <v>11449</v>
      </c>
      <c r="H4497" s="54">
        <v>0</v>
      </c>
      <c r="I4497" s="16">
        <v>470000000</v>
      </c>
      <c r="J4497" s="16" t="s">
        <v>229</v>
      </c>
      <c r="K4497" s="57" t="s">
        <v>642</v>
      </c>
      <c r="L4497" s="12" t="s">
        <v>404</v>
      </c>
      <c r="M4497" s="162" t="s">
        <v>230</v>
      </c>
      <c r="N4497" s="8" t="s">
        <v>8899</v>
      </c>
      <c r="O4497" s="6" t="s">
        <v>622</v>
      </c>
      <c r="P4497" s="3">
        <v>796</v>
      </c>
      <c r="Q4497" s="27" t="s">
        <v>234</v>
      </c>
      <c r="R4497" s="27">
        <v>6</v>
      </c>
      <c r="S4497" s="59">
        <f>46547*1.07</f>
        <v>49805.29</v>
      </c>
      <c r="T4497" s="4">
        <f>R4497*S4497</f>
        <v>298831.74</v>
      </c>
      <c r="U4497" s="4">
        <f>T4497*1.12</f>
        <v>334691.54880000005</v>
      </c>
      <c r="V4497" s="3"/>
      <c r="W4497" s="3">
        <v>2014</v>
      </c>
      <c r="X4497" s="3"/>
    </row>
    <row r="4498" spans="1:24" ht="76.5">
      <c r="A4498" s="3" t="s">
        <v>10535</v>
      </c>
      <c r="B4498" s="6" t="s">
        <v>361</v>
      </c>
      <c r="C4498" s="6" t="s">
        <v>5386</v>
      </c>
      <c r="D4498" s="6" t="s">
        <v>408</v>
      </c>
      <c r="E4498" s="6" t="s">
        <v>5183</v>
      </c>
      <c r="F4498" s="8" t="s">
        <v>8016</v>
      </c>
      <c r="G4498" s="3" t="s">
        <v>11449</v>
      </c>
      <c r="H4498" s="54">
        <v>0</v>
      </c>
      <c r="I4498" s="16">
        <v>470000000</v>
      </c>
      <c r="J4498" s="16" t="s">
        <v>229</v>
      </c>
      <c r="K4498" s="57" t="s">
        <v>641</v>
      </c>
      <c r="L4498" s="183" t="s">
        <v>364</v>
      </c>
      <c r="M4498" s="162" t="s">
        <v>230</v>
      </c>
      <c r="N4498" s="8" t="s">
        <v>8899</v>
      </c>
      <c r="O4498" s="6" t="s">
        <v>622</v>
      </c>
      <c r="P4498" s="3">
        <v>796</v>
      </c>
      <c r="Q4498" s="27" t="s">
        <v>234</v>
      </c>
      <c r="R4498" s="27">
        <v>14</v>
      </c>
      <c r="S4498" s="59">
        <f>8552*1.07</f>
        <v>9150.6400000000012</v>
      </c>
      <c r="T4498" s="4">
        <v>0</v>
      </c>
      <c r="U4498" s="4">
        <f t="shared" si="217"/>
        <v>0</v>
      </c>
      <c r="V4498" s="3"/>
      <c r="W4498" s="3">
        <v>2014</v>
      </c>
      <c r="X4498" s="3">
        <v>11.12</v>
      </c>
    </row>
    <row r="4499" spans="1:24" ht="76.5">
      <c r="A4499" s="3" t="s">
        <v>13252</v>
      </c>
      <c r="B4499" s="6" t="s">
        <v>361</v>
      </c>
      <c r="C4499" s="6" t="s">
        <v>5386</v>
      </c>
      <c r="D4499" s="6" t="s">
        <v>408</v>
      </c>
      <c r="E4499" s="6" t="s">
        <v>5183</v>
      </c>
      <c r="F4499" s="8" t="s">
        <v>8016</v>
      </c>
      <c r="G4499" s="3" t="s">
        <v>11449</v>
      </c>
      <c r="H4499" s="54">
        <v>0</v>
      </c>
      <c r="I4499" s="16">
        <v>470000000</v>
      </c>
      <c r="J4499" s="16" t="s">
        <v>229</v>
      </c>
      <c r="K4499" s="57" t="s">
        <v>642</v>
      </c>
      <c r="L4499" s="12" t="s">
        <v>404</v>
      </c>
      <c r="M4499" s="162" t="s">
        <v>230</v>
      </c>
      <c r="N4499" s="8" t="s">
        <v>8899</v>
      </c>
      <c r="O4499" s="6" t="s">
        <v>622</v>
      </c>
      <c r="P4499" s="3">
        <v>796</v>
      </c>
      <c r="Q4499" s="27" t="s">
        <v>234</v>
      </c>
      <c r="R4499" s="27">
        <v>14</v>
      </c>
      <c r="S4499" s="59">
        <f>8552*1.07</f>
        <v>9150.6400000000012</v>
      </c>
      <c r="T4499" s="4">
        <f>R4499*S4499</f>
        <v>128108.96000000002</v>
      </c>
      <c r="U4499" s="4">
        <f>T4499*1.12</f>
        <v>143482.03520000004</v>
      </c>
      <c r="V4499" s="3"/>
      <c r="W4499" s="3">
        <v>2014</v>
      </c>
      <c r="X4499" s="3"/>
    </row>
    <row r="4500" spans="1:24" ht="76.5">
      <c r="A4500" s="3" t="s">
        <v>10536</v>
      </c>
      <c r="B4500" s="6" t="s">
        <v>361</v>
      </c>
      <c r="C4500" s="6" t="s">
        <v>5387</v>
      </c>
      <c r="D4500" s="6" t="s">
        <v>5388</v>
      </c>
      <c r="E4500" s="6" t="s">
        <v>5183</v>
      </c>
      <c r="F4500" s="8" t="s">
        <v>8017</v>
      </c>
      <c r="G4500" s="3" t="s">
        <v>11449</v>
      </c>
      <c r="H4500" s="54">
        <v>0</v>
      </c>
      <c r="I4500" s="16">
        <v>470000000</v>
      </c>
      <c r="J4500" s="16" t="s">
        <v>229</v>
      </c>
      <c r="K4500" s="57" t="s">
        <v>641</v>
      </c>
      <c r="L4500" s="183" t="s">
        <v>364</v>
      </c>
      <c r="M4500" s="162" t="s">
        <v>230</v>
      </c>
      <c r="N4500" s="8" t="s">
        <v>8899</v>
      </c>
      <c r="O4500" s="6" t="s">
        <v>622</v>
      </c>
      <c r="P4500" s="3">
        <v>796</v>
      </c>
      <c r="Q4500" s="27" t="s">
        <v>234</v>
      </c>
      <c r="R4500" s="27">
        <v>4</v>
      </c>
      <c r="S4500" s="59">
        <f>30389*1.07</f>
        <v>32516.230000000003</v>
      </c>
      <c r="T4500" s="4">
        <v>0</v>
      </c>
      <c r="U4500" s="4">
        <f t="shared" si="217"/>
        <v>0</v>
      </c>
      <c r="V4500" s="3"/>
      <c r="W4500" s="3">
        <v>2014</v>
      </c>
      <c r="X4500" s="3">
        <v>11.12</v>
      </c>
    </row>
    <row r="4501" spans="1:24" ht="76.5">
      <c r="A4501" s="3" t="s">
        <v>13253</v>
      </c>
      <c r="B4501" s="6" t="s">
        <v>361</v>
      </c>
      <c r="C4501" s="6" t="s">
        <v>5387</v>
      </c>
      <c r="D4501" s="6" t="s">
        <v>5388</v>
      </c>
      <c r="E4501" s="6" t="s">
        <v>5183</v>
      </c>
      <c r="F4501" s="8" t="s">
        <v>8017</v>
      </c>
      <c r="G4501" s="3" t="s">
        <v>11449</v>
      </c>
      <c r="H4501" s="54">
        <v>0</v>
      </c>
      <c r="I4501" s="16">
        <v>470000000</v>
      </c>
      <c r="J4501" s="16" t="s">
        <v>229</v>
      </c>
      <c r="K4501" s="57" t="s">
        <v>642</v>
      </c>
      <c r="L4501" s="12" t="s">
        <v>404</v>
      </c>
      <c r="M4501" s="162" t="s">
        <v>230</v>
      </c>
      <c r="N4501" s="8" t="s">
        <v>8899</v>
      </c>
      <c r="O4501" s="6" t="s">
        <v>622</v>
      </c>
      <c r="P4501" s="3">
        <v>796</v>
      </c>
      <c r="Q4501" s="27" t="s">
        <v>234</v>
      </c>
      <c r="R4501" s="27">
        <v>4</v>
      </c>
      <c r="S4501" s="59">
        <f>30389*1.07</f>
        <v>32516.230000000003</v>
      </c>
      <c r="T4501" s="4">
        <f>R4501*S4501</f>
        <v>130064.92000000001</v>
      </c>
      <c r="U4501" s="4">
        <f>T4501*1.12</f>
        <v>145672.71040000004</v>
      </c>
      <c r="V4501" s="3"/>
      <c r="W4501" s="3">
        <v>2014</v>
      </c>
      <c r="X4501" s="3"/>
    </row>
    <row r="4502" spans="1:24" ht="76.5">
      <c r="A4502" s="3" t="s">
        <v>10537</v>
      </c>
      <c r="B4502" s="6" t="s">
        <v>361</v>
      </c>
      <c r="C4502" s="6" t="s">
        <v>5386</v>
      </c>
      <c r="D4502" s="6" t="s">
        <v>408</v>
      </c>
      <c r="E4502" s="6" t="s">
        <v>5183</v>
      </c>
      <c r="F4502" s="9" t="s">
        <v>8018</v>
      </c>
      <c r="G4502" s="3" t="s">
        <v>11449</v>
      </c>
      <c r="H4502" s="54">
        <v>0</v>
      </c>
      <c r="I4502" s="16">
        <v>470000000</v>
      </c>
      <c r="J4502" s="16" t="s">
        <v>229</v>
      </c>
      <c r="K4502" s="57" t="s">
        <v>641</v>
      </c>
      <c r="L4502" s="183" t="s">
        <v>364</v>
      </c>
      <c r="M4502" s="162" t="s">
        <v>230</v>
      </c>
      <c r="N4502" s="8" t="s">
        <v>8899</v>
      </c>
      <c r="O4502" s="6" t="s">
        <v>622</v>
      </c>
      <c r="P4502" s="3">
        <v>796</v>
      </c>
      <c r="Q4502" s="27" t="s">
        <v>234</v>
      </c>
      <c r="R4502" s="27">
        <v>4</v>
      </c>
      <c r="S4502" s="59">
        <f>35829*1.07</f>
        <v>38337.03</v>
      </c>
      <c r="T4502" s="4">
        <v>0</v>
      </c>
      <c r="U4502" s="4">
        <f t="shared" si="217"/>
        <v>0</v>
      </c>
      <c r="V4502" s="3"/>
      <c r="W4502" s="3">
        <v>2014</v>
      </c>
      <c r="X4502" s="3">
        <v>11.12</v>
      </c>
    </row>
    <row r="4503" spans="1:24" ht="76.5">
      <c r="A4503" s="3" t="s">
        <v>13254</v>
      </c>
      <c r="B4503" s="6" t="s">
        <v>361</v>
      </c>
      <c r="C4503" s="6" t="s">
        <v>5386</v>
      </c>
      <c r="D4503" s="6" t="s">
        <v>408</v>
      </c>
      <c r="E4503" s="6" t="s">
        <v>5183</v>
      </c>
      <c r="F4503" s="9" t="s">
        <v>8018</v>
      </c>
      <c r="G4503" s="3" t="s">
        <v>11449</v>
      </c>
      <c r="H4503" s="54">
        <v>0</v>
      </c>
      <c r="I4503" s="16">
        <v>470000000</v>
      </c>
      <c r="J4503" s="16" t="s">
        <v>229</v>
      </c>
      <c r="K4503" s="57" t="s">
        <v>642</v>
      </c>
      <c r="L4503" s="12" t="s">
        <v>404</v>
      </c>
      <c r="M4503" s="162" t="s">
        <v>230</v>
      </c>
      <c r="N4503" s="8" t="s">
        <v>8899</v>
      </c>
      <c r="O4503" s="6" t="s">
        <v>622</v>
      </c>
      <c r="P4503" s="3">
        <v>796</v>
      </c>
      <c r="Q4503" s="27" t="s">
        <v>234</v>
      </c>
      <c r="R4503" s="27">
        <v>4</v>
      </c>
      <c r="S4503" s="59">
        <f>35829*1.07</f>
        <v>38337.03</v>
      </c>
      <c r="T4503" s="4">
        <f>R4503*S4503</f>
        <v>153348.12</v>
      </c>
      <c r="U4503" s="4">
        <f>T4503*1.12</f>
        <v>171749.89440000002</v>
      </c>
      <c r="V4503" s="3"/>
      <c r="W4503" s="3">
        <v>2014</v>
      </c>
      <c r="X4503" s="3"/>
    </row>
    <row r="4504" spans="1:24" ht="76.5">
      <c r="A4504" s="3" t="s">
        <v>10538</v>
      </c>
      <c r="B4504" s="6" t="s">
        <v>361</v>
      </c>
      <c r="C4504" s="6" t="s">
        <v>5387</v>
      </c>
      <c r="D4504" s="6" t="s">
        <v>5388</v>
      </c>
      <c r="E4504" s="6" t="s">
        <v>5183</v>
      </c>
      <c r="F4504" s="9" t="s">
        <v>8019</v>
      </c>
      <c r="G4504" s="3" t="s">
        <v>11449</v>
      </c>
      <c r="H4504" s="54">
        <v>0</v>
      </c>
      <c r="I4504" s="16">
        <v>470000000</v>
      </c>
      <c r="J4504" s="16" t="s">
        <v>229</v>
      </c>
      <c r="K4504" s="57" t="s">
        <v>641</v>
      </c>
      <c r="L4504" s="183" t="s">
        <v>364</v>
      </c>
      <c r="M4504" s="162" t="s">
        <v>230</v>
      </c>
      <c r="N4504" s="8" t="s">
        <v>8899</v>
      </c>
      <c r="O4504" s="6" t="s">
        <v>622</v>
      </c>
      <c r="P4504" s="3">
        <v>796</v>
      </c>
      <c r="Q4504" s="27" t="s">
        <v>234</v>
      </c>
      <c r="R4504" s="27">
        <v>6</v>
      </c>
      <c r="S4504" s="59">
        <v>41960</v>
      </c>
      <c r="T4504" s="4">
        <v>0</v>
      </c>
      <c r="U4504" s="4">
        <f t="shared" si="217"/>
        <v>0</v>
      </c>
      <c r="V4504" s="3"/>
      <c r="W4504" s="3">
        <v>2014</v>
      </c>
      <c r="X4504" s="3">
        <v>11.12</v>
      </c>
    </row>
    <row r="4505" spans="1:24" ht="76.5">
      <c r="A4505" s="3" t="s">
        <v>13255</v>
      </c>
      <c r="B4505" s="6" t="s">
        <v>361</v>
      </c>
      <c r="C4505" s="6" t="s">
        <v>5387</v>
      </c>
      <c r="D4505" s="6" t="s">
        <v>5388</v>
      </c>
      <c r="E4505" s="6" t="s">
        <v>5183</v>
      </c>
      <c r="F4505" s="9" t="s">
        <v>8019</v>
      </c>
      <c r="G4505" s="3" t="s">
        <v>11449</v>
      </c>
      <c r="H4505" s="54">
        <v>0</v>
      </c>
      <c r="I4505" s="16">
        <v>470000000</v>
      </c>
      <c r="J4505" s="16" t="s">
        <v>229</v>
      </c>
      <c r="K4505" s="57" t="s">
        <v>642</v>
      </c>
      <c r="L4505" s="12" t="s">
        <v>404</v>
      </c>
      <c r="M4505" s="162" t="s">
        <v>230</v>
      </c>
      <c r="N4505" s="8" t="s">
        <v>8899</v>
      </c>
      <c r="O4505" s="6" t="s">
        <v>622</v>
      </c>
      <c r="P4505" s="3">
        <v>796</v>
      </c>
      <c r="Q4505" s="27" t="s">
        <v>234</v>
      </c>
      <c r="R4505" s="27">
        <v>6</v>
      </c>
      <c r="S4505" s="59">
        <v>41960</v>
      </c>
      <c r="T4505" s="4">
        <f>R4505*S4505</f>
        <v>251760</v>
      </c>
      <c r="U4505" s="4">
        <f>T4505*1.12</f>
        <v>281971.20000000001</v>
      </c>
      <c r="V4505" s="3"/>
      <c r="W4505" s="3">
        <v>2014</v>
      </c>
      <c r="X4505" s="3"/>
    </row>
    <row r="4506" spans="1:24" ht="76.5">
      <c r="A4506" s="3" t="s">
        <v>10539</v>
      </c>
      <c r="B4506" s="6" t="s">
        <v>361</v>
      </c>
      <c r="C4506" s="6" t="s">
        <v>5389</v>
      </c>
      <c r="D4506" s="6" t="s">
        <v>5390</v>
      </c>
      <c r="E4506" s="6" t="s">
        <v>5391</v>
      </c>
      <c r="F4506" s="8" t="s">
        <v>8020</v>
      </c>
      <c r="G4506" s="3" t="s">
        <v>11449</v>
      </c>
      <c r="H4506" s="54">
        <v>0</v>
      </c>
      <c r="I4506" s="16">
        <v>470000000</v>
      </c>
      <c r="J4506" s="16" t="s">
        <v>229</v>
      </c>
      <c r="K4506" s="57" t="s">
        <v>641</v>
      </c>
      <c r="L4506" s="183" t="s">
        <v>364</v>
      </c>
      <c r="M4506" s="162" t="s">
        <v>230</v>
      </c>
      <c r="N4506" s="8" t="s">
        <v>8899</v>
      </c>
      <c r="O4506" s="6" t="s">
        <v>622</v>
      </c>
      <c r="P4506" s="3">
        <v>796</v>
      </c>
      <c r="Q4506" s="27" t="s">
        <v>234</v>
      </c>
      <c r="R4506" s="27">
        <v>10</v>
      </c>
      <c r="S4506" s="59">
        <f>5247*1.07</f>
        <v>5614.29</v>
      </c>
      <c r="T4506" s="4">
        <v>0</v>
      </c>
      <c r="U4506" s="4">
        <f t="shared" si="217"/>
        <v>0</v>
      </c>
      <c r="V4506" s="3"/>
      <c r="W4506" s="3">
        <v>2014</v>
      </c>
      <c r="X4506" s="3">
        <v>11.12</v>
      </c>
    </row>
    <row r="4507" spans="1:24" ht="76.5">
      <c r="A4507" s="3" t="s">
        <v>13256</v>
      </c>
      <c r="B4507" s="6" t="s">
        <v>361</v>
      </c>
      <c r="C4507" s="6" t="s">
        <v>5389</v>
      </c>
      <c r="D4507" s="6" t="s">
        <v>5390</v>
      </c>
      <c r="E4507" s="6" t="s">
        <v>5391</v>
      </c>
      <c r="F4507" s="8" t="s">
        <v>8020</v>
      </c>
      <c r="G4507" s="3" t="s">
        <v>11449</v>
      </c>
      <c r="H4507" s="54">
        <v>0</v>
      </c>
      <c r="I4507" s="16">
        <v>470000000</v>
      </c>
      <c r="J4507" s="16" t="s">
        <v>229</v>
      </c>
      <c r="K4507" s="57" t="s">
        <v>642</v>
      </c>
      <c r="L4507" s="12" t="s">
        <v>404</v>
      </c>
      <c r="M4507" s="162" t="s">
        <v>230</v>
      </c>
      <c r="N4507" s="8" t="s">
        <v>8899</v>
      </c>
      <c r="O4507" s="6" t="s">
        <v>622</v>
      </c>
      <c r="P4507" s="3">
        <v>796</v>
      </c>
      <c r="Q4507" s="27" t="s">
        <v>234</v>
      </c>
      <c r="R4507" s="27">
        <v>10</v>
      </c>
      <c r="S4507" s="59">
        <f>5247*1.07</f>
        <v>5614.29</v>
      </c>
      <c r="T4507" s="4">
        <f>R4507*S4507</f>
        <v>56142.9</v>
      </c>
      <c r="U4507" s="4">
        <f>T4507*1.12</f>
        <v>62880.04800000001</v>
      </c>
      <c r="V4507" s="3"/>
      <c r="W4507" s="3">
        <v>2014</v>
      </c>
      <c r="X4507" s="3"/>
    </row>
    <row r="4508" spans="1:24" ht="76.5">
      <c r="A4508" s="3" t="s">
        <v>10540</v>
      </c>
      <c r="B4508" s="6" t="s">
        <v>361</v>
      </c>
      <c r="C4508" s="6" t="s">
        <v>7332</v>
      </c>
      <c r="D4508" s="6" t="s">
        <v>6515</v>
      </c>
      <c r="E4508" s="6" t="s">
        <v>7333</v>
      </c>
      <c r="F4508" s="8" t="s">
        <v>5618</v>
      </c>
      <c r="G4508" s="3" t="s">
        <v>11449</v>
      </c>
      <c r="H4508" s="54">
        <v>0</v>
      </c>
      <c r="I4508" s="16">
        <v>470000000</v>
      </c>
      <c r="J4508" s="16" t="s">
        <v>229</v>
      </c>
      <c r="K4508" s="57" t="s">
        <v>641</v>
      </c>
      <c r="L4508" s="183" t="s">
        <v>364</v>
      </c>
      <c r="M4508" s="162" t="s">
        <v>230</v>
      </c>
      <c r="N4508" s="8" t="s">
        <v>8899</v>
      </c>
      <c r="O4508" s="6" t="s">
        <v>622</v>
      </c>
      <c r="P4508" s="3">
        <v>796</v>
      </c>
      <c r="Q4508" s="27" t="s">
        <v>234</v>
      </c>
      <c r="R4508" s="27">
        <v>1</v>
      </c>
      <c r="S4508" s="59">
        <f>304000*1.07</f>
        <v>325280</v>
      </c>
      <c r="T4508" s="4">
        <v>0</v>
      </c>
      <c r="U4508" s="4">
        <f t="shared" si="217"/>
        <v>0</v>
      </c>
      <c r="V4508" s="3"/>
      <c r="W4508" s="3">
        <v>2014</v>
      </c>
      <c r="X4508" s="3">
        <v>11.12</v>
      </c>
    </row>
    <row r="4509" spans="1:24" ht="76.5">
      <c r="A4509" s="3" t="s">
        <v>13257</v>
      </c>
      <c r="B4509" s="6" t="s">
        <v>361</v>
      </c>
      <c r="C4509" s="6" t="s">
        <v>7332</v>
      </c>
      <c r="D4509" s="6" t="s">
        <v>6515</v>
      </c>
      <c r="E4509" s="6" t="s">
        <v>7333</v>
      </c>
      <c r="F4509" s="8" t="s">
        <v>5618</v>
      </c>
      <c r="G4509" s="3" t="s">
        <v>11449</v>
      </c>
      <c r="H4509" s="54">
        <v>0</v>
      </c>
      <c r="I4509" s="16">
        <v>470000000</v>
      </c>
      <c r="J4509" s="16" t="s">
        <v>229</v>
      </c>
      <c r="K4509" s="57" t="s">
        <v>642</v>
      </c>
      <c r="L4509" s="12" t="s">
        <v>404</v>
      </c>
      <c r="M4509" s="162" t="s">
        <v>230</v>
      </c>
      <c r="N4509" s="8" t="s">
        <v>8899</v>
      </c>
      <c r="O4509" s="6" t="s">
        <v>622</v>
      </c>
      <c r="P4509" s="3">
        <v>796</v>
      </c>
      <c r="Q4509" s="27" t="s">
        <v>234</v>
      </c>
      <c r="R4509" s="27">
        <v>1</v>
      </c>
      <c r="S4509" s="59">
        <f>304000*1.07</f>
        <v>325280</v>
      </c>
      <c r="T4509" s="4">
        <v>0</v>
      </c>
      <c r="U4509" s="4">
        <f>T4509*1.12</f>
        <v>0</v>
      </c>
      <c r="V4509" s="3"/>
      <c r="W4509" s="3">
        <v>2014</v>
      </c>
      <c r="X4509" s="3" t="s">
        <v>14785</v>
      </c>
    </row>
    <row r="4510" spans="1:24" ht="76.5">
      <c r="A4510" s="3" t="s">
        <v>16670</v>
      </c>
      <c r="B4510" s="6" t="s">
        <v>361</v>
      </c>
      <c r="C4510" s="6" t="s">
        <v>7332</v>
      </c>
      <c r="D4510" s="6" t="s">
        <v>6515</v>
      </c>
      <c r="E4510" s="6" t="s">
        <v>7333</v>
      </c>
      <c r="F4510" s="8" t="s">
        <v>5618</v>
      </c>
      <c r="G4510" s="3" t="s">
        <v>11449</v>
      </c>
      <c r="H4510" s="54">
        <v>0</v>
      </c>
      <c r="I4510" s="16">
        <v>470000000</v>
      </c>
      <c r="J4510" s="16" t="s">
        <v>229</v>
      </c>
      <c r="K4510" s="57" t="s">
        <v>8950</v>
      </c>
      <c r="L4510" s="12" t="s">
        <v>404</v>
      </c>
      <c r="M4510" s="162" t="s">
        <v>230</v>
      </c>
      <c r="N4510" s="8" t="s">
        <v>8899</v>
      </c>
      <c r="O4510" s="6" t="s">
        <v>622</v>
      </c>
      <c r="P4510" s="3">
        <v>796</v>
      </c>
      <c r="Q4510" s="27" t="s">
        <v>234</v>
      </c>
      <c r="R4510" s="27">
        <v>1</v>
      </c>
      <c r="S4510" s="59">
        <v>390336</v>
      </c>
      <c r="T4510" s="4">
        <v>0</v>
      </c>
      <c r="U4510" s="4">
        <f>T4510*1.12</f>
        <v>0</v>
      </c>
      <c r="V4510" s="3"/>
      <c r="W4510" s="3">
        <v>2014</v>
      </c>
      <c r="X4510" s="3">
        <v>11</v>
      </c>
    </row>
    <row r="4511" spans="1:24" ht="76.5">
      <c r="A4511" s="3" t="s">
        <v>18786</v>
      </c>
      <c r="B4511" s="6" t="s">
        <v>361</v>
      </c>
      <c r="C4511" s="6" t="s">
        <v>7332</v>
      </c>
      <c r="D4511" s="6" t="s">
        <v>6515</v>
      </c>
      <c r="E4511" s="6" t="s">
        <v>7333</v>
      </c>
      <c r="F4511" s="8" t="s">
        <v>5618</v>
      </c>
      <c r="G4511" s="3" t="s">
        <v>11449</v>
      </c>
      <c r="H4511" s="54">
        <v>0</v>
      </c>
      <c r="I4511" s="16">
        <v>470000000</v>
      </c>
      <c r="J4511" s="16" t="s">
        <v>229</v>
      </c>
      <c r="K4511" s="57" t="s">
        <v>18437</v>
      </c>
      <c r="L4511" s="12" t="s">
        <v>404</v>
      </c>
      <c r="M4511" s="162" t="s">
        <v>230</v>
      </c>
      <c r="N4511" s="8" t="s">
        <v>8899</v>
      </c>
      <c r="O4511" s="6" t="s">
        <v>622</v>
      </c>
      <c r="P4511" s="3">
        <v>796</v>
      </c>
      <c r="Q4511" s="27" t="s">
        <v>234</v>
      </c>
      <c r="R4511" s="27">
        <v>1</v>
      </c>
      <c r="S4511" s="59">
        <v>390336</v>
      </c>
      <c r="T4511" s="4">
        <v>0</v>
      </c>
      <c r="U4511" s="4">
        <f>T4511*1.12</f>
        <v>0</v>
      </c>
      <c r="V4511" s="3"/>
      <c r="W4511" s="3">
        <v>2014</v>
      </c>
      <c r="X4511" s="3">
        <v>14.15</v>
      </c>
    </row>
    <row r="4512" spans="1:24" ht="76.5">
      <c r="A4512" s="3" t="s">
        <v>19507</v>
      </c>
      <c r="B4512" s="6" t="s">
        <v>361</v>
      </c>
      <c r="C4512" s="6" t="s">
        <v>7332</v>
      </c>
      <c r="D4512" s="6" t="s">
        <v>6515</v>
      </c>
      <c r="E4512" s="6" t="s">
        <v>7333</v>
      </c>
      <c r="F4512" s="8" t="s">
        <v>5618</v>
      </c>
      <c r="G4512" s="3" t="s">
        <v>11449</v>
      </c>
      <c r="H4512" s="54">
        <v>0</v>
      </c>
      <c r="I4512" s="16">
        <v>470000000</v>
      </c>
      <c r="J4512" s="16" t="s">
        <v>229</v>
      </c>
      <c r="K4512" s="57" t="s">
        <v>18437</v>
      </c>
      <c r="L4512" s="12" t="s">
        <v>404</v>
      </c>
      <c r="M4512" s="162" t="s">
        <v>230</v>
      </c>
      <c r="N4512" s="8" t="s">
        <v>19369</v>
      </c>
      <c r="O4512" s="6" t="s">
        <v>19407</v>
      </c>
      <c r="P4512" s="3">
        <v>796</v>
      </c>
      <c r="Q4512" s="27" t="s">
        <v>234</v>
      </c>
      <c r="R4512" s="27">
        <v>1</v>
      </c>
      <c r="S4512" s="59">
        <v>390336</v>
      </c>
      <c r="T4512" s="4">
        <f>R4512*S4512</f>
        <v>390336</v>
      </c>
      <c r="U4512" s="4">
        <f>T4512*1.12</f>
        <v>437176.32000000007</v>
      </c>
      <c r="V4512" s="3"/>
      <c r="W4512" s="3">
        <v>2014</v>
      </c>
      <c r="X4512" s="3"/>
    </row>
    <row r="4513" spans="1:24" ht="76.5">
      <c r="A4513" s="3" t="s">
        <v>10541</v>
      </c>
      <c r="B4513" s="6" t="s">
        <v>361</v>
      </c>
      <c r="C4513" s="6" t="s">
        <v>5619</v>
      </c>
      <c r="D4513" s="6" t="s">
        <v>5401</v>
      </c>
      <c r="E4513" s="6" t="s">
        <v>5620</v>
      </c>
      <c r="F4513" s="8" t="s">
        <v>8021</v>
      </c>
      <c r="G4513" s="3" t="s">
        <v>11449</v>
      </c>
      <c r="H4513" s="54">
        <v>0</v>
      </c>
      <c r="I4513" s="16">
        <v>470000000</v>
      </c>
      <c r="J4513" s="16" t="s">
        <v>229</v>
      </c>
      <c r="K4513" s="57" t="s">
        <v>641</v>
      </c>
      <c r="L4513" s="183" t="s">
        <v>364</v>
      </c>
      <c r="M4513" s="162" t="s">
        <v>230</v>
      </c>
      <c r="N4513" s="8" t="s">
        <v>8899</v>
      </c>
      <c r="O4513" s="6" t="s">
        <v>622</v>
      </c>
      <c r="P4513" s="3">
        <v>796</v>
      </c>
      <c r="Q4513" s="27" t="s">
        <v>234</v>
      </c>
      <c r="R4513" s="27">
        <v>8</v>
      </c>
      <c r="S4513" s="59">
        <f>22757*1.07</f>
        <v>24349.99</v>
      </c>
      <c r="T4513" s="4">
        <v>0</v>
      </c>
      <c r="U4513" s="4">
        <f t="shared" si="217"/>
        <v>0</v>
      </c>
      <c r="V4513" s="3"/>
      <c r="W4513" s="3">
        <v>2014</v>
      </c>
      <c r="X4513" s="3">
        <v>11.12</v>
      </c>
    </row>
    <row r="4514" spans="1:24" ht="76.5">
      <c r="A4514" s="3" t="s">
        <v>13258</v>
      </c>
      <c r="B4514" s="6" t="s">
        <v>361</v>
      </c>
      <c r="C4514" s="6" t="s">
        <v>5619</v>
      </c>
      <c r="D4514" s="6" t="s">
        <v>5401</v>
      </c>
      <c r="E4514" s="6" t="s">
        <v>5620</v>
      </c>
      <c r="F4514" s="8" t="s">
        <v>8021</v>
      </c>
      <c r="G4514" s="3" t="s">
        <v>11449</v>
      </c>
      <c r="H4514" s="54">
        <v>0</v>
      </c>
      <c r="I4514" s="16">
        <v>470000000</v>
      </c>
      <c r="J4514" s="16" t="s">
        <v>229</v>
      </c>
      <c r="K4514" s="57" t="s">
        <v>642</v>
      </c>
      <c r="L4514" s="12" t="s">
        <v>404</v>
      </c>
      <c r="M4514" s="162" t="s">
        <v>230</v>
      </c>
      <c r="N4514" s="8" t="s">
        <v>8899</v>
      </c>
      <c r="O4514" s="6" t="s">
        <v>622</v>
      </c>
      <c r="P4514" s="3">
        <v>796</v>
      </c>
      <c r="Q4514" s="27" t="s">
        <v>234</v>
      </c>
      <c r="R4514" s="27">
        <v>8</v>
      </c>
      <c r="S4514" s="59">
        <f>22757*1.07</f>
        <v>24349.99</v>
      </c>
      <c r="T4514" s="4">
        <f>R4514*S4514</f>
        <v>194799.92</v>
      </c>
      <c r="U4514" s="4">
        <f>T4514*1.12</f>
        <v>218175.91040000002</v>
      </c>
      <c r="V4514" s="3"/>
      <c r="W4514" s="3">
        <v>2014</v>
      </c>
      <c r="X4514" s="3"/>
    </row>
    <row r="4515" spans="1:24" ht="76.5">
      <c r="A4515" s="3" t="s">
        <v>10542</v>
      </c>
      <c r="B4515" s="6" t="s">
        <v>361</v>
      </c>
      <c r="C4515" s="6" t="s">
        <v>5619</v>
      </c>
      <c r="D4515" s="6" t="s">
        <v>5401</v>
      </c>
      <c r="E4515" s="6" t="s">
        <v>5620</v>
      </c>
      <c r="F4515" s="8" t="s">
        <v>8022</v>
      </c>
      <c r="G4515" s="3" t="s">
        <v>11449</v>
      </c>
      <c r="H4515" s="54">
        <v>0</v>
      </c>
      <c r="I4515" s="16">
        <v>470000000</v>
      </c>
      <c r="J4515" s="16" t="s">
        <v>229</v>
      </c>
      <c r="K4515" s="57" t="s">
        <v>641</v>
      </c>
      <c r="L4515" s="183" t="s">
        <v>364</v>
      </c>
      <c r="M4515" s="162" t="s">
        <v>230</v>
      </c>
      <c r="N4515" s="8" t="s">
        <v>8899</v>
      </c>
      <c r="O4515" s="6" t="s">
        <v>622</v>
      </c>
      <c r="P4515" s="3">
        <v>796</v>
      </c>
      <c r="Q4515" s="27" t="s">
        <v>234</v>
      </c>
      <c r="R4515" s="27">
        <v>8</v>
      </c>
      <c r="S4515" s="59">
        <f>19614*1.07</f>
        <v>20986.98</v>
      </c>
      <c r="T4515" s="4">
        <v>0</v>
      </c>
      <c r="U4515" s="4">
        <f t="shared" si="217"/>
        <v>0</v>
      </c>
      <c r="V4515" s="3"/>
      <c r="W4515" s="3">
        <v>2014</v>
      </c>
      <c r="X4515" s="3">
        <v>11.12</v>
      </c>
    </row>
    <row r="4516" spans="1:24" ht="76.5">
      <c r="A4516" s="3" t="s">
        <v>13259</v>
      </c>
      <c r="B4516" s="6" t="s">
        <v>361</v>
      </c>
      <c r="C4516" s="6" t="s">
        <v>5619</v>
      </c>
      <c r="D4516" s="6" t="s">
        <v>5401</v>
      </c>
      <c r="E4516" s="6" t="s">
        <v>5620</v>
      </c>
      <c r="F4516" s="8" t="s">
        <v>8022</v>
      </c>
      <c r="G4516" s="3" t="s">
        <v>11449</v>
      </c>
      <c r="H4516" s="54">
        <v>0</v>
      </c>
      <c r="I4516" s="16">
        <v>470000000</v>
      </c>
      <c r="J4516" s="16" t="s">
        <v>229</v>
      </c>
      <c r="K4516" s="57" t="s">
        <v>642</v>
      </c>
      <c r="L4516" s="12" t="s">
        <v>404</v>
      </c>
      <c r="M4516" s="162" t="s">
        <v>230</v>
      </c>
      <c r="N4516" s="8" t="s">
        <v>8899</v>
      </c>
      <c r="O4516" s="6" t="s">
        <v>622</v>
      </c>
      <c r="P4516" s="3">
        <v>796</v>
      </c>
      <c r="Q4516" s="27" t="s">
        <v>234</v>
      </c>
      <c r="R4516" s="27">
        <v>8</v>
      </c>
      <c r="S4516" s="59">
        <f>19614*1.07</f>
        <v>20986.98</v>
      </c>
      <c r="T4516" s="4">
        <f>R4516*S4516</f>
        <v>167895.84</v>
      </c>
      <c r="U4516" s="4">
        <f>T4516*1.12</f>
        <v>188043.34080000001</v>
      </c>
      <c r="V4516" s="3"/>
      <c r="W4516" s="3">
        <v>2014</v>
      </c>
      <c r="X4516" s="3"/>
    </row>
    <row r="4517" spans="1:24" ht="76.5">
      <c r="A4517" s="3" t="s">
        <v>10543</v>
      </c>
      <c r="B4517" s="6" t="s">
        <v>361</v>
      </c>
      <c r="C4517" s="6" t="s">
        <v>5404</v>
      </c>
      <c r="D4517" s="6" t="s">
        <v>415</v>
      </c>
      <c r="E4517" s="6" t="s">
        <v>5405</v>
      </c>
      <c r="F4517" s="8" t="s">
        <v>8023</v>
      </c>
      <c r="G4517" s="3" t="s">
        <v>11449</v>
      </c>
      <c r="H4517" s="54">
        <v>0</v>
      </c>
      <c r="I4517" s="16">
        <v>470000000</v>
      </c>
      <c r="J4517" s="16" t="s">
        <v>229</v>
      </c>
      <c r="K4517" s="57" t="s">
        <v>641</v>
      </c>
      <c r="L4517" s="183" t="s">
        <v>364</v>
      </c>
      <c r="M4517" s="162" t="s">
        <v>230</v>
      </c>
      <c r="N4517" s="8" t="s">
        <v>8899</v>
      </c>
      <c r="O4517" s="6" t="s">
        <v>622</v>
      </c>
      <c r="P4517" s="3">
        <v>796</v>
      </c>
      <c r="Q4517" s="27" t="s">
        <v>234</v>
      </c>
      <c r="R4517" s="27">
        <v>8</v>
      </c>
      <c r="S4517" s="59">
        <f>12262*1.07</f>
        <v>13120.34</v>
      </c>
      <c r="T4517" s="4">
        <v>0</v>
      </c>
      <c r="U4517" s="4">
        <f t="shared" si="217"/>
        <v>0</v>
      </c>
      <c r="V4517" s="3"/>
      <c r="W4517" s="3">
        <v>2014</v>
      </c>
      <c r="X4517" s="3">
        <v>11.12</v>
      </c>
    </row>
    <row r="4518" spans="1:24" ht="76.5">
      <c r="A4518" s="3" t="s">
        <v>13260</v>
      </c>
      <c r="B4518" s="6" t="s">
        <v>361</v>
      </c>
      <c r="C4518" s="6" t="s">
        <v>5404</v>
      </c>
      <c r="D4518" s="6" t="s">
        <v>415</v>
      </c>
      <c r="E4518" s="6" t="s">
        <v>5405</v>
      </c>
      <c r="F4518" s="8" t="s">
        <v>8023</v>
      </c>
      <c r="G4518" s="3" t="s">
        <v>11449</v>
      </c>
      <c r="H4518" s="54">
        <v>0</v>
      </c>
      <c r="I4518" s="16">
        <v>470000000</v>
      </c>
      <c r="J4518" s="16" t="s">
        <v>229</v>
      </c>
      <c r="K4518" s="57" t="s">
        <v>642</v>
      </c>
      <c r="L4518" s="12" t="s">
        <v>404</v>
      </c>
      <c r="M4518" s="162" t="s">
        <v>230</v>
      </c>
      <c r="N4518" s="8" t="s">
        <v>8899</v>
      </c>
      <c r="O4518" s="6" t="s">
        <v>622</v>
      </c>
      <c r="P4518" s="3">
        <v>796</v>
      </c>
      <c r="Q4518" s="27" t="s">
        <v>234</v>
      </c>
      <c r="R4518" s="27">
        <v>8</v>
      </c>
      <c r="S4518" s="59">
        <f>12262*1.07</f>
        <v>13120.34</v>
      </c>
      <c r="T4518" s="4">
        <f>R4518*S4518</f>
        <v>104962.72</v>
      </c>
      <c r="U4518" s="4">
        <f>T4518*1.12</f>
        <v>117558.24640000002</v>
      </c>
      <c r="V4518" s="3"/>
      <c r="W4518" s="3">
        <v>2014</v>
      </c>
      <c r="X4518" s="3"/>
    </row>
    <row r="4519" spans="1:24" ht="76.5">
      <c r="A4519" s="3" t="s">
        <v>10544</v>
      </c>
      <c r="B4519" s="6" t="s">
        <v>361</v>
      </c>
      <c r="C4519" s="6" t="s">
        <v>5404</v>
      </c>
      <c r="D4519" s="6" t="s">
        <v>415</v>
      </c>
      <c r="E4519" s="6" t="s">
        <v>5405</v>
      </c>
      <c r="F4519" s="8" t="s">
        <v>8024</v>
      </c>
      <c r="G4519" s="3" t="s">
        <v>11449</v>
      </c>
      <c r="H4519" s="54">
        <v>0</v>
      </c>
      <c r="I4519" s="16">
        <v>470000000</v>
      </c>
      <c r="J4519" s="16" t="s">
        <v>229</v>
      </c>
      <c r="K4519" s="57" t="s">
        <v>641</v>
      </c>
      <c r="L4519" s="183" t="s">
        <v>364</v>
      </c>
      <c r="M4519" s="162" t="s">
        <v>230</v>
      </c>
      <c r="N4519" s="8" t="s">
        <v>8899</v>
      </c>
      <c r="O4519" s="6" t="s">
        <v>622</v>
      </c>
      <c r="P4519" s="3">
        <v>796</v>
      </c>
      <c r="Q4519" s="27" t="s">
        <v>234</v>
      </c>
      <c r="R4519" s="27">
        <v>8</v>
      </c>
      <c r="S4519" s="59">
        <f>12788.5*1.07*1.07</f>
        <v>14641.553650000002</v>
      </c>
      <c r="T4519" s="4">
        <v>0</v>
      </c>
      <c r="U4519" s="4">
        <f t="shared" si="217"/>
        <v>0</v>
      </c>
      <c r="V4519" s="3"/>
      <c r="W4519" s="3">
        <v>2014</v>
      </c>
      <c r="X4519" s="3">
        <v>11.12</v>
      </c>
    </row>
    <row r="4520" spans="1:24" ht="76.5">
      <c r="A4520" s="3" t="s">
        <v>13261</v>
      </c>
      <c r="B4520" s="6" t="s">
        <v>361</v>
      </c>
      <c r="C4520" s="6" t="s">
        <v>5404</v>
      </c>
      <c r="D4520" s="6" t="s">
        <v>415</v>
      </c>
      <c r="E4520" s="6" t="s">
        <v>5405</v>
      </c>
      <c r="F4520" s="8" t="s">
        <v>8024</v>
      </c>
      <c r="G4520" s="3" t="s">
        <v>11449</v>
      </c>
      <c r="H4520" s="54">
        <v>0</v>
      </c>
      <c r="I4520" s="16">
        <v>470000000</v>
      </c>
      <c r="J4520" s="16" t="s">
        <v>229</v>
      </c>
      <c r="K4520" s="57" t="s">
        <v>642</v>
      </c>
      <c r="L4520" s="12" t="s">
        <v>404</v>
      </c>
      <c r="M4520" s="162" t="s">
        <v>230</v>
      </c>
      <c r="N4520" s="8" t="s">
        <v>8899</v>
      </c>
      <c r="O4520" s="6" t="s">
        <v>622</v>
      </c>
      <c r="P4520" s="3">
        <v>796</v>
      </c>
      <c r="Q4520" s="27" t="s">
        <v>234</v>
      </c>
      <c r="R4520" s="27">
        <v>8</v>
      </c>
      <c r="S4520" s="59">
        <f>12788.5*1.07*1.07</f>
        <v>14641.553650000002</v>
      </c>
      <c r="T4520" s="4">
        <f>R4520*S4520</f>
        <v>117132.42920000001</v>
      </c>
      <c r="U4520" s="4">
        <f>T4520*1.12</f>
        <v>131188.32070400004</v>
      </c>
      <c r="V4520" s="3"/>
      <c r="W4520" s="3">
        <v>2014</v>
      </c>
      <c r="X4520" s="3"/>
    </row>
    <row r="4521" spans="1:24" ht="76.5">
      <c r="A4521" s="3" t="s">
        <v>10545</v>
      </c>
      <c r="B4521" s="6" t="s">
        <v>361</v>
      </c>
      <c r="C4521" s="6" t="s">
        <v>5404</v>
      </c>
      <c r="D4521" s="6" t="s">
        <v>415</v>
      </c>
      <c r="E4521" s="6" t="s">
        <v>5405</v>
      </c>
      <c r="F4521" s="8" t="s">
        <v>8025</v>
      </c>
      <c r="G4521" s="3" t="s">
        <v>11449</v>
      </c>
      <c r="H4521" s="54">
        <v>0</v>
      </c>
      <c r="I4521" s="16">
        <v>470000000</v>
      </c>
      <c r="J4521" s="16" t="s">
        <v>229</v>
      </c>
      <c r="K4521" s="57" t="s">
        <v>641</v>
      </c>
      <c r="L4521" s="183" t="s">
        <v>364</v>
      </c>
      <c r="M4521" s="162" t="s">
        <v>230</v>
      </c>
      <c r="N4521" s="8" t="s">
        <v>8899</v>
      </c>
      <c r="O4521" s="6" t="s">
        <v>622</v>
      </c>
      <c r="P4521" s="3">
        <v>796</v>
      </c>
      <c r="Q4521" s="27" t="s">
        <v>234</v>
      </c>
      <c r="R4521" s="27">
        <v>8</v>
      </c>
      <c r="S4521" s="59">
        <f>9479*1.07</f>
        <v>10142.530000000001</v>
      </c>
      <c r="T4521" s="4">
        <v>0</v>
      </c>
      <c r="U4521" s="4">
        <f t="shared" si="217"/>
        <v>0</v>
      </c>
      <c r="V4521" s="3"/>
      <c r="W4521" s="3">
        <v>2014</v>
      </c>
      <c r="X4521" s="3">
        <v>11.12</v>
      </c>
    </row>
    <row r="4522" spans="1:24" ht="76.5">
      <c r="A4522" s="3" t="s">
        <v>13262</v>
      </c>
      <c r="B4522" s="6" t="s">
        <v>361</v>
      </c>
      <c r="C4522" s="6" t="s">
        <v>5404</v>
      </c>
      <c r="D4522" s="6" t="s">
        <v>415</v>
      </c>
      <c r="E4522" s="6" t="s">
        <v>5405</v>
      </c>
      <c r="F4522" s="8" t="s">
        <v>8025</v>
      </c>
      <c r="G4522" s="3" t="s">
        <v>11449</v>
      </c>
      <c r="H4522" s="54">
        <v>0</v>
      </c>
      <c r="I4522" s="16">
        <v>470000000</v>
      </c>
      <c r="J4522" s="16" t="s">
        <v>229</v>
      </c>
      <c r="K4522" s="57" t="s">
        <v>642</v>
      </c>
      <c r="L4522" s="12" t="s">
        <v>404</v>
      </c>
      <c r="M4522" s="162" t="s">
        <v>230</v>
      </c>
      <c r="N4522" s="8" t="s">
        <v>8899</v>
      </c>
      <c r="O4522" s="6" t="s">
        <v>622</v>
      </c>
      <c r="P4522" s="3">
        <v>796</v>
      </c>
      <c r="Q4522" s="27" t="s">
        <v>234</v>
      </c>
      <c r="R4522" s="27">
        <v>8</v>
      </c>
      <c r="S4522" s="59">
        <f>9479*1.07</f>
        <v>10142.530000000001</v>
      </c>
      <c r="T4522" s="4">
        <f>R4522*S4522</f>
        <v>81140.240000000005</v>
      </c>
      <c r="U4522" s="4">
        <f>T4522*1.12</f>
        <v>90877.068800000008</v>
      </c>
      <c r="V4522" s="3"/>
      <c r="W4522" s="3">
        <v>2014</v>
      </c>
      <c r="X4522" s="3"/>
    </row>
    <row r="4523" spans="1:24" ht="76.5">
      <c r="A4523" s="3" t="s">
        <v>10546</v>
      </c>
      <c r="B4523" s="6" t="s">
        <v>361</v>
      </c>
      <c r="C4523" s="6" t="s">
        <v>5516</v>
      </c>
      <c r="D4523" s="6" t="s">
        <v>415</v>
      </c>
      <c r="E4523" s="6" t="s">
        <v>3115</v>
      </c>
      <c r="F4523" s="8" t="s">
        <v>8026</v>
      </c>
      <c r="G4523" s="3" t="s">
        <v>11449</v>
      </c>
      <c r="H4523" s="54">
        <v>0</v>
      </c>
      <c r="I4523" s="16">
        <v>470000000</v>
      </c>
      <c r="J4523" s="16" t="s">
        <v>229</v>
      </c>
      <c r="K4523" s="57" t="s">
        <v>641</v>
      </c>
      <c r="L4523" s="183" t="s">
        <v>364</v>
      </c>
      <c r="M4523" s="162" t="s">
        <v>230</v>
      </c>
      <c r="N4523" s="8" t="s">
        <v>8899</v>
      </c>
      <c r="O4523" s="6" t="s">
        <v>622</v>
      </c>
      <c r="P4523" s="3">
        <v>796</v>
      </c>
      <c r="Q4523" s="27" t="s">
        <v>234</v>
      </c>
      <c r="R4523" s="27">
        <v>8</v>
      </c>
      <c r="S4523" s="59">
        <f>10556*1.07</f>
        <v>11294.92</v>
      </c>
      <c r="T4523" s="4">
        <v>0</v>
      </c>
      <c r="U4523" s="4">
        <f t="shared" si="217"/>
        <v>0</v>
      </c>
      <c r="V4523" s="3"/>
      <c r="W4523" s="3">
        <v>2014</v>
      </c>
      <c r="X4523" s="3">
        <v>11.12</v>
      </c>
    </row>
    <row r="4524" spans="1:24" ht="76.5">
      <c r="A4524" s="3" t="s">
        <v>13263</v>
      </c>
      <c r="B4524" s="6" t="s">
        <v>361</v>
      </c>
      <c r="C4524" s="6" t="s">
        <v>5516</v>
      </c>
      <c r="D4524" s="6" t="s">
        <v>415</v>
      </c>
      <c r="E4524" s="6" t="s">
        <v>3115</v>
      </c>
      <c r="F4524" s="8" t="s">
        <v>8026</v>
      </c>
      <c r="G4524" s="3" t="s">
        <v>11449</v>
      </c>
      <c r="H4524" s="54">
        <v>0</v>
      </c>
      <c r="I4524" s="16">
        <v>470000000</v>
      </c>
      <c r="J4524" s="16" t="s">
        <v>229</v>
      </c>
      <c r="K4524" s="57" t="s">
        <v>642</v>
      </c>
      <c r="L4524" s="12" t="s">
        <v>404</v>
      </c>
      <c r="M4524" s="162" t="s">
        <v>230</v>
      </c>
      <c r="N4524" s="8" t="s">
        <v>8899</v>
      </c>
      <c r="O4524" s="6" t="s">
        <v>622</v>
      </c>
      <c r="P4524" s="3">
        <v>796</v>
      </c>
      <c r="Q4524" s="27" t="s">
        <v>234</v>
      </c>
      <c r="R4524" s="27">
        <v>8</v>
      </c>
      <c r="S4524" s="59">
        <f>10556*1.07</f>
        <v>11294.92</v>
      </c>
      <c r="T4524" s="4">
        <f>R4524*S4524</f>
        <v>90359.360000000001</v>
      </c>
      <c r="U4524" s="4">
        <f>T4524*1.12</f>
        <v>101202.48320000002</v>
      </c>
      <c r="V4524" s="3"/>
      <c r="W4524" s="3">
        <v>2014</v>
      </c>
      <c r="X4524" s="3"/>
    </row>
    <row r="4525" spans="1:24" ht="76.5">
      <c r="A4525" s="3" t="s">
        <v>10547</v>
      </c>
      <c r="B4525" s="6" t="s">
        <v>361</v>
      </c>
      <c r="C4525" s="6" t="s">
        <v>5621</v>
      </c>
      <c r="D4525" s="6" t="s">
        <v>5622</v>
      </c>
      <c r="E4525" s="6" t="s">
        <v>5183</v>
      </c>
      <c r="F4525" s="9" t="s">
        <v>8027</v>
      </c>
      <c r="G4525" s="3" t="s">
        <v>11449</v>
      </c>
      <c r="H4525" s="54">
        <v>0</v>
      </c>
      <c r="I4525" s="16">
        <v>470000000</v>
      </c>
      <c r="J4525" s="16" t="s">
        <v>229</v>
      </c>
      <c r="K4525" s="57" t="s">
        <v>641</v>
      </c>
      <c r="L4525" s="183" t="s">
        <v>364</v>
      </c>
      <c r="M4525" s="162" t="s">
        <v>230</v>
      </c>
      <c r="N4525" s="8" t="s">
        <v>8899</v>
      </c>
      <c r="O4525" s="6" t="s">
        <v>622</v>
      </c>
      <c r="P4525" s="3">
        <v>796</v>
      </c>
      <c r="Q4525" s="27" t="s">
        <v>234</v>
      </c>
      <c r="R4525" s="29">
        <v>8</v>
      </c>
      <c r="S4525" s="59">
        <f>2209*1.07</f>
        <v>2363.63</v>
      </c>
      <c r="T4525" s="4">
        <v>0</v>
      </c>
      <c r="U4525" s="4">
        <f t="shared" si="217"/>
        <v>0</v>
      </c>
      <c r="V4525" s="3"/>
      <c r="W4525" s="3">
        <v>2014</v>
      </c>
      <c r="X4525" s="3">
        <v>11.12</v>
      </c>
    </row>
    <row r="4526" spans="1:24" ht="76.5">
      <c r="A4526" s="3" t="s">
        <v>13264</v>
      </c>
      <c r="B4526" s="6" t="s">
        <v>361</v>
      </c>
      <c r="C4526" s="6" t="s">
        <v>5621</v>
      </c>
      <c r="D4526" s="6" t="s">
        <v>5622</v>
      </c>
      <c r="E4526" s="6" t="s">
        <v>5183</v>
      </c>
      <c r="F4526" s="9" t="s">
        <v>8027</v>
      </c>
      <c r="G4526" s="3" t="s">
        <v>11449</v>
      </c>
      <c r="H4526" s="54">
        <v>0</v>
      </c>
      <c r="I4526" s="16">
        <v>470000000</v>
      </c>
      <c r="J4526" s="16" t="s">
        <v>229</v>
      </c>
      <c r="K4526" s="57" t="s">
        <v>642</v>
      </c>
      <c r="L4526" s="12" t="s">
        <v>404</v>
      </c>
      <c r="M4526" s="162" t="s">
        <v>230</v>
      </c>
      <c r="N4526" s="8" t="s">
        <v>8899</v>
      </c>
      <c r="O4526" s="6" t="s">
        <v>622</v>
      </c>
      <c r="P4526" s="3">
        <v>796</v>
      </c>
      <c r="Q4526" s="27" t="s">
        <v>234</v>
      </c>
      <c r="R4526" s="29">
        <v>8</v>
      </c>
      <c r="S4526" s="59">
        <f>2209*1.07</f>
        <v>2363.63</v>
      </c>
      <c r="T4526" s="4">
        <f>R4526*S4526</f>
        <v>18909.04</v>
      </c>
      <c r="U4526" s="4">
        <f>T4526*1.12</f>
        <v>21178.124800000001</v>
      </c>
      <c r="V4526" s="3"/>
      <c r="W4526" s="3">
        <v>2014</v>
      </c>
      <c r="X4526" s="3"/>
    </row>
    <row r="4527" spans="1:24" ht="76.5">
      <c r="A4527" s="3" t="s">
        <v>10548</v>
      </c>
      <c r="B4527" s="6" t="s">
        <v>361</v>
      </c>
      <c r="C4527" s="6" t="s">
        <v>5623</v>
      </c>
      <c r="D4527" s="6" t="s">
        <v>5624</v>
      </c>
      <c r="E4527" s="6" t="s">
        <v>5183</v>
      </c>
      <c r="F4527" s="30" t="s">
        <v>8028</v>
      </c>
      <c r="G4527" s="3" t="s">
        <v>11449</v>
      </c>
      <c r="H4527" s="54">
        <v>0</v>
      </c>
      <c r="I4527" s="16">
        <v>470000000</v>
      </c>
      <c r="J4527" s="16" t="s">
        <v>229</v>
      </c>
      <c r="K4527" s="57" t="s">
        <v>641</v>
      </c>
      <c r="L4527" s="183" t="s">
        <v>364</v>
      </c>
      <c r="M4527" s="162" t="s">
        <v>230</v>
      </c>
      <c r="N4527" s="8" t="s">
        <v>8899</v>
      </c>
      <c r="O4527" s="6" t="s">
        <v>622</v>
      </c>
      <c r="P4527" s="3">
        <v>796</v>
      </c>
      <c r="Q4527" s="27" t="s">
        <v>234</v>
      </c>
      <c r="R4527" s="29">
        <v>8</v>
      </c>
      <c r="S4527" s="59">
        <f>3133*1.07</f>
        <v>3352.3100000000004</v>
      </c>
      <c r="T4527" s="4">
        <v>0</v>
      </c>
      <c r="U4527" s="4">
        <f t="shared" si="217"/>
        <v>0</v>
      </c>
      <c r="V4527" s="3"/>
      <c r="W4527" s="3">
        <v>2014</v>
      </c>
      <c r="X4527" s="3">
        <v>11.12</v>
      </c>
    </row>
    <row r="4528" spans="1:24" ht="76.5">
      <c r="A4528" s="3" t="s">
        <v>13265</v>
      </c>
      <c r="B4528" s="6" t="s">
        <v>361</v>
      </c>
      <c r="C4528" s="6" t="s">
        <v>5623</v>
      </c>
      <c r="D4528" s="6" t="s">
        <v>5624</v>
      </c>
      <c r="E4528" s="6" t="s">
        <v>5183</v>
      </c>
      <c r="F4528" s="30" t="s">
        <v>8028</v>
      </c>
      <c r="G4528" s="3" t="s">
        <v>11449</v>
      </c>
      <c r="H4528" s="54">
        <v>0</v>
      </c>
      <c r="I4528" s="16">
        <v>470000000</v>
      </c>
      <c r="J4528" s="16" t="s">
        <v>229</v>
      </c>
      <c r="K4528" s="57" t="s">
        <v>642</v>
      </c>
      <c r="L4528" s="12" t="s">
        <v>404</v>
      </c>
      <c r="M4528" s="162" t="s">
        <v>230</v>
      </c>
      <c r="N4528" s="8" t="s">
        <v>8899</v>
      </c>
      <c r="O4528" s="6" t="s">
        <v>622</v>
      </c>
      <c r="P4528" s="3">
        <v>796</v>
      </c>
      <c r="Q4528" s="27" t="s">
        <v>234</v>
      </c>
      <c r="R4528" s="29">
        <v>8</v>
      </c>
      <c r="S4528" s="59">
        <f>3133*1.07</f>
        <v>3352.3100000000004</v>
      </c>
      <c r="T4528" s="4">
        <f>R4528*S4528</f>
        <v>26818.480000000003</v>
      </c>
      <c r="U4528" s="4">
        <f>T4528*1.12</f>
        <v>30036.697600000007</v>
      </c>
      <c r="V4528" s="3"/>
      <c r="W4528" s="3">
        <v>2014</v>
      </c>
      <c r="X4528" s="3"/>
    </row>
    <row r="4529" spans="1:24" ht="76.5">
      <c r="A4529" s="3" t="s">
        <v>10549</v>
      </c>
      <c r="B4529" s="6" t="s">
        <v>361</v>
      </c>
      <c r="C4529" s="6" t="s">
        <v>5623</v>
      </c>
      <c r="D4529" s="6" t="s">
        <v>5624</v>
      </c>
      <c r="E4529" s="6" t="s">
        <v>5183</v>
      </c>
      <c r="F4529" s="30" t="s">
        <v>8029</v>
      </c>
      <c r="G4529" s="3" t="s">
        <v>11449</v>
      </c>
      <c r="H4529" s="54">
        <v>0</v>
      </c>
      <c r="I4529" s="16">
        <v>470000000</v>
      </c>
      <c r="J4529" s="16" t="s">
        <v>229</v>
      </c>
      <c r="K4529" s="57" t="s">
        <v>641</v>
      </c>
      <c r="L4529" s="183" t="s">
        <v>364</v>
      </c>
      <c r="M4529" s="162" t="s">
        <v>230</v>
      </c>
      <c r="N4529" s="8" t="s">
        <v>8899</v>
      </c>
      <c r="O4529" s="6" t="s">
        <v>622</v>
      </c>
      <c r="P4529" s="3">
        <v>796</v>
      </c>
      <c r="Q4529" s="27" t="s">
        <v>234</v>
      </c>
      <c r="R4529" s="29">
        <v>10</v>
      </c>
      <c r="S4529" s="59">
        <f>2845*1.07</f>
        <v>3044.15</v>
      </c>
      <c r="T4529" s="4">
        <v>0</v>
      </c>
      <c r="U4529" s="4">
        <f t="shared" si="217"/>
        <v>0</v>
      </c>
      <c r="V4529" s="3"/>
      <c r="W4529" s="3">
        <v>2014</v>
      </c>
      <c r="X4529" s="3">
        <v>11.12</v>
      </c>
    </row>
    <row r="4530" spans="1:24" ht="76.5">
      <c r="A4530" s="3" t="s">
        <v>13266</v>
      </c>
      <c r="B4530" s="6" t="s">
        <v>361</v>
      </c>
      <c r="C4530" s="6" t="s">
        <v>5623</v>
      </c>
      <c r="D4530" s="6" t="s">
        <v>5624</v>
      </c>
      <c r="E4530" s="6" t="s">
        <v>5183</v>
      </c>
      <c r="F4530" s="30" t="s">
        <v>8029</v>
      </c>
      <c r="G4530" s="3" t="s">
        <v>11449</v>
      </c>
      <c r="H4530" s="54">
        <v>0</v>
      </c>
      <c r="I4530" s="16">
        <v>470000000</v>
      </c>
      <c r="J4530" s="16" t="s">
        <v>229</v>
      </c>
      <c r="K4530" s="57" t="s">
        <v>642</v>
      </c>
      <c r="L4530" s="12" t="s">
        <v>404</v>
      </c>
      <c r="M4530" s="162" t="s">
        <v>230</v>
      </c>
      <c r="N4530" s="8" t="s">
        <v>8899</v>
      </c>
      <c r="O4530" s="6" t="s">
        <v>622</v>
      </c>
      <c r="P4530" s="3">
        <v>796</v>
      </c>
      <c r="Q4530" s="27" t="s">
        <v>234</v>
      </c>
      <c r="R4530" s="29">
        <v>10</v>
      </c>
      <c r="S4530" s="59">
        <f>2845*1.07</f>
        <v>3044.15</v>
      </c>
      <c r="T4530" s="4">
        <f>R4530*S4530</f>
        <v>30441.5</v>
      </c>
      <c r="U4530" s="4">
        <f>T4530*1.12</f>
        <v>34094.480000000003</v>
      </c>
      <c r="V4530" s="3"/>
      <c r="W4530" s="3">
        <v>2014</v>
      </c>
      <c r="X4530" s="3"/>
    </row>
    <row r="4531" spans="1:24" ht="76.5">
      <c r="A4531" s="3" t="s">
        <v>10550</v>
      </c>
      <c r="B4531" s="6" t="s">
        <v>361</v>
      </c>
      <c r="C4531" s="179" t="s">
        <v>5406</v>
      </c>
      <c r="D4531" s="6" t="s">
        <v>416</v>
      </c>
      <c r="E4531" s="180" t="s">
        <v>5407</v>
      </c>
      <c r="F4531" s="8" t="s">
        <v>8030</v>
      </c>
      <c r="G4531" s="3" t="s">
        <v>11449</v>
      </c>
      <c r="H4531" s="54">
        <v>0</v>
      </c>
      <c r="I4531" s="16">
        <v>470000000</v>
      </c>
      <c r="J4531" s="16" t="s">
        <v>229</v>
      </c>
      <c r="K4531" s="57" t="s">
        <v>641</v>
      </c>
      <c r="L4531" s="183" t="s">
        <v>364</v>
      </c>
      <c r="M4531" s="162" t="s">
        <v>230</v>
      </c>
      <c r="N4531" s="8" t="s">
        <v>8899</v>
      </c>
      <c r="O4531" s="6" t="s">
        <v>622</v>
      </c>
      <c r="P4531" s="3">
        <v>796</v>
      </c>
      <c r="Q4531" s="27" t="s">
        <v>234</v>
      </c>
      <c r="R4531" s="27">
        <v>30</v>
      </c>
      <c r="S4531" s="59">
        <f>381*1.07</f>
        <v>407.67</v>
      </c>
      <c r="T4531" s="4">
        <v>0</v>
      </c>
      <c r="U4531" s="4">
        <f t="shared" si="217"/>
        <v>0</v>
      </c>
      <c r="V4531" s="3"/>
      <c r="W4531" s="3">
        <v>2014</v>
      </c>
      <c r="X4531" s="3">
        <v>11.12</v>
      </c>
    </row>
    <row r="4532" spans="1:24" ht="76.5">
      <c r="A4532" s="3" t="s">
        <v>13267</v>
      </c>
      <c r="B4532" s="6" t="s">
        <v>361</v>
      </c>
      <c r="C4532" s="179" t="s">
        <v>5406</v>
      </c>
      <c r="D4532" s="6" t="s">
        <v>416</v>
      </c>
      <c r="E4532" s="180" t="s">
        <v>5407</v>
      </c>
      <c r="F4532" s="8" t="s">
        <v>8030</v>
      </c>
      <c r="G4532" s="3" t="s">
        <v>11449</v>
      </c>
      <c r="H4532" s="54">
        <v>0</v>
      </c>
      <c r="I4532" s="16">
        <v>470000000</v>
      </c>
      <c r="J4532" s="16" t="s">
        <v>229</v>
      </c>
      <c r="K4532" s="57" t="s">
        <v>642</v>
      </c>
      <c r="L4532" s="12" t="s">
        <v>404</v>
      </c>
      <c r="M4532" s="162" t="s">
        <v>230</v>
      </c>
      <c r="N4532" s="8" t="s">
        <v>8899</v>
      </c>
      <c r="O4532" s="6" t="s">
        <v>622</v>
      </c>
      <c r="P4532" s="3">
        <v>796</v>
      </c>
      <c r="Q4532" s="27" t="s">
        <v>234</v>
      </c>
      <c r="R4532" s="27">
        <v>30</v>
      </c>
      <c r="S4532" s="59">
        <f>381*1.07</f>
        <v>407.67</v>
      </c>
      <c r="T4532" s="4">
        <f>R4532*S4532</f>
        <v>12230.1</v>
      </c>
      <c r="U4532" s="4">
        <f>T4532*1.12</f>
        <v>13697.712000000001</v>
      </c>
      <c r="V4532" s="3"/>
      <c r="W4532" s="3">
        <v>2014</v>
      </c>
      <c r="X4532" s="3"/>
    </row>
    <row r="4533" spans="1:24" ht="76.5">
      <c r="A4533" s="3" t="s">
        <v>10551</v>
      </c>
      <c r="B4533" s="6" t="s">
        <v>361</v>
      </c>
      <c r="C4533" s="179" t="s">
        <v>5406</v>
      </c>
      <c r="D4533" s="6" t="s">
        <v>416</v>
      </c>
      <c r="E4533" s="180" t="s">
        <v>5407</v>
      </c>
      <c r="F4533" s="8" t="s">
        <v>8031</v>
      </c>
      <c r="G4533" s="3" t="s">
        <v>11449</v>
      </c>
      <c r="H4533" s="54">
        <v>0</v>
      </c>
      <c r="I4533" s="16">
        <v>470000000</v>
      </c>
      <c r="J4533" s="16" t="s">
        <v>229</v>
      </c>
      <c r="K4533" s="57" t="s">
        <v>641</v>
      </c>
      <c r="L4533" s="183" t="s">
        <v>364</v>
      </c>
      <c r="M4533" s="162" t="s">
        <v>230</v>
      </c>
      <c r="N4533" s="8" t="s">
        <v>8899</v>
      </c>
      <c r="O4533" s="6" t="s">
        <v>622</v>
      </c>
      <c r="P4533" s="3">
        <v>796</v>
      </c>
      <c r="Q4533" s="27" t="s">
        <v>234</v>
      </c>
      <c r="R4533" s="27">
        <v>30</v>
      </c>
      <c r="S4533" s="59">
        <f>108*1.07</f>
        <v>115.56</v>
      </c>
      <c r="T4533" s="4">
        <v>0</v>
      </c>
      <c r="U4533" s="4">
        <f t="shared" si="217"/>
        <v>0</v>
      </c>
      <c r="V4533" s="3"/>
      <c r="W4533" s="3">
        <v>2014</v>
      </c>
      <c r="X4533" s="3">
        <v>11.12</v>
      </c>
    </row>
    <row r="4534" spans="1:24" ht="76.5">
      <c r="A4534" s="3" t="s">
        <v>13268</v>
      </c>
      <c r="B4534" s="6" t="s">
        <v>361</v>
      </c>
      <c r="C4534" s="179" t="s">
        <v>5406</v>
      </c>
      <c r="D4534" s="6" t="s">
        <v>416</v>
      </c>
      <c r="E4534" s="180" t="s">
        <v>5407</v>
      </c>
      <c r="F4534" s="8" t="s">
        <v>8031</v>
      </c>
      <c r="G4534" s="3" t="s">
        <v>11449</v>
      </c>
      <c r="H4534" s="54">
        <v>0</v>
      </c>
      <c r="I4534" s="16">
        <v>470000000</v>
      </c>
      <c r="J4534" s="16" t="s">
        <v>229</v>
      </c>
      <c r="K4534" s="57" t="s">
        <v>642</v>
      </c>
      <c r="L4534" s="12" t="s">
        <v>404</v>
      </c>
      <c r="M4534" s="162" t="s">
        <v>230</v>
      </c>
      <c r="N4534" s="8" t="s">
        <v>8899</v>
      </c>
      <c r="O4534" s="6" t="s">
        <v>622</v>
      </c>
      <c r="P4534" s="3">
        <v>796</v>
      </c>
      <c r="Q4534" s="27" t="s">
        <v>234</v>
      </c>
      <c r="R4534" s="27">
        <v>30</v>
      </c>
      <c r="S4534" s="59">
        <f>108*1.07</f>
        <v>115.56</v>
      </c>
      <c r="T4534" s="4">
        <f>R4534*S4534</f>
        <v>3466.8</v>
      </c>
      <c r="U4534" s="4">
        <f>T4534*1.12</f>
        <v>3882.8160000000007</v>
      </c>
      <c r="V4534" s="3"/>
      <c r="W4534" s="3">
        <v>2014</v>
      </c>
      <c r="X4534" s="3"/>
    </row>
    <row r="4535" spans="1:24" ht="76.5">
      <c r="A4535" s="3" t="s">
        <v>10552</v>
      </c>
      <c r="B4535" s="6" t="s">
        <v>361</v>
      </c>
      <c r="C4535" s="179" t="s">
        <v>5406</v>
      </c>
      <c r="D4535" s="6" t="s">
        <v>416</v>
      </c>
      <c r="E4535" s="180" t="s">
        <v>5407</v>
      </c>
      <c r="F4535" s="9" t="s">
        <v>8032</v>
      </c>
      <c r="G4535" s="3" t="s">
        <v>11449</v>
      </c>
      <c r="H4535" s="54">
        <v>0</v>
      </c>
      <c r="I4535" s="16">
        <v>470000000</v>
      </c>
      <c r="J4535" s="16" t="s">
        <v>229</v>
      </c>
      <c r="K4535" s="57" t="s">
        <v>641</v>
      </c>
      <c r="L4535" s="183" t="s">
        <v>364</v>
      </c>
      <c r="M4535" s="162" t="s">
        <v>230</v>
      </c>
      <c r="N4535" s="8" t="s">
        <v>8899</v>
      </c>
      <c r="O4535" s="6" t="s">
        <v>622</v>
      </c>
      <c r="P4535" s="3">
        <v>796</v>
      </c>
      <c r="Q4535" s="27" t="s">
        <v>234</v>
      </c>
      <c r="R4535" s="27">
        <v>30</v>
      </c>
      <c r="S4535" s="59">
        <f>87*1.07</f>
        <v>93.09</v>
      </c>
      <c r="T4535" s="4">
        <v>0</v>
      </c>
      <c r="U4535" s="4">
        <f t="shared" si="217"/>
        <v>0</v>
      </c>
      <c r="V4535" s="3"/>
      <c r="W4535" s="3">
        <v>2014</v>
      </c>
      <c r="X4535" s="3">
        <v>11.12</v>
      </c>
    </row>
    <row r="4536" spans="1:24" ht="76.5">
      <c r="A4536" s="3" t="s">
        <v>13269</v>
      </c>
      <c r="B4536" s="6" t="s">
        <v>361</v>
      </c>
      <c r="C4536" s="179" t="s">
        <v>5406</v>
      </c>
      <c r="D4536" s="6" t="s">
        <v>416</v>
      </c>
      <c r="E4536" s="180" t="s">
        <v>5407</v>
      </c>
      <c r="F4536" s="9" t="s">
        <v>8032</v>
      </c>
      <c r="G4536" s="3" t="s">
        <v>11449</v>
      </c>
      <c r="H4536" s="54">
        <v>0</v>
      </c>
      <c r="I4536" s="16">
        <v>470000000</v>
      </c>
      <c r="J4536" s="16" t="s">
        <v>229</v>
      </c>
      <c r="K4536" s="57" t="s">
        <v>642</v>
      </c>
      <c r="L4536" s="12" t="s">
        <v>404</v>
      </c>
      <c r="M4536" s="162" t="s">
        <v>230</v>
      </c>
      <c r="N4536" s="8" t="s">
        <v>8899</v>
      </c>
      <c r="O4536" s="6" t="s">
        <v>622</v>
      </c>
      <c r="P4536" s="3">
        <v>796</v>
      </c>
      <c r="Q4536" s="27" t="s">
        <v>234</v>
      </c>
      <c r="R4536" s="27">
        <v>30</v>
      </c>
      <c r="S4536" s="59">
        <f>87*1.07</f>
        <v>93.09</v>
      </c>
      <c r="T4536" s="4">
        <f>R4536*S4536</f>
        <v>2792.7000000000003</v>
      </c>
      <c r="U4536" s="4">
        <f>T4536*1.12</f>
        <v>3127.8240000000005</v>
      </c>
      <c r="V4536" s="3"/>
      <c r="W4536" s="3">
        <v>2014</v>
      </c>
      <c r="X4536" s="3"/>
    </row>
    <row r="4537" spans="1:24" ht="76.5">
      <c r="A4537" s="3" t="s">
        <v>10553</v>
      </c>
      <c r="B4537" s="6" t="s">
        <v>361</v>
      </c>
      <c r="C4537" s="6" t="s">
        <v>5625</v>
      </c>
      <c r="D4537" s="6" t="s">
        <v>5399</v>
      </c>
      <c r="E4537" s="6" t="s">
        <v>5626</v>
      </c>
      <c r="F4537" s="8" t="s">
        <v>8033</v>
      </c>
      <c r="G4537" s="3" t="s">
        <v>11449</v>
      </c>
      <c r="H4537" s="54">
        <v>0</v>
      </c>
      <c r="I4537" s="16">
        <v>470000000</v>
      </c>
      <c r="J4537" s="16" t="s">
        <v>229</v>
      </c>
      <c r="K4537" s="57" t="s">
        <v>641</v>
      </c>
      <c r="L4537" s="183" t="s">
        <v>364</v>
      </c>
      <c r="M4537" s="162" t="s">
        <v>230</v>
      </c>
      <c r="N4537" s="8" t="s">
        <v>8899</v>
      </c>
      <c r="O4537" s="6" t="s">
        <v>622</v>
      </c>
      <c r="P4537" s="3">
        <v>796</v>
      </c>
      <c r="Q4537" s="27" t="s">
        <v>234</v>
      </c>
      <c r="R4537" s="27">
        <v>6</v>
      </c>
      <c r="S4537" s="59">
        <f>12678*1.07</f>
        <v>13565.460000000001</v>
      </c>
      <c r="T4537" s="4">
        <v>0</v>
      </c>
      <c r="U4537" s="4">
        <f t="shared" si="217"/>
        <v>0</v>
      </c>
      <c r="V4537" s="3"/>
      <c r="W4537" s="3">
        <v>2014</v>
      </c>
      <c r="X4537" s="3">
        <v>11.12</v>
      </c>
    </row>
    <row r="4538" spans="1:24" ht="76.5">
      <c r="A4538" s="3" t="s">
        <v>13270</v>
      </c>
      <c r="B4538" s="6" t="s">
        <v>361</v>
      </c>
      <c r="C4538" s="6" t="s">
        <v>5625</v>
      </c>
      <c r="D4538" s="6" t="s">
        <v>5399</v>
      </c>
      <c r="E4538" s="6" t="s">
        <v>5626</v>
      </c>
      <c r="F4538" s="8" t="s">
        <v>8033</v>
      </c>
      <c r="G4538" s="3" t="s">
        <v>11449</v>
      </c>
      <c r="H4538" s="54">
        <v>0</v>
      </c>
      <c r="I4538" s="16">
        <v>470000000</v>
      </c>
      <c r="J4538" s="16" t="s">
        <v>229</v>
      </c>
      <c r="K4538" s="57" t="s">
        <v>642</v>
      </c>
      <c r="L4538" s="12" t="s">
        <v>404</v>
      </c>
      <c r="M4538" s="162" t="s">
        <v>230</v>
      </c>
      <c r="N4538" s="8" t="s">
        <v>8899</v>
      </c>
      <c r="O4538" s="6" t="s">
        <v>622</v>
      </c>
      <c r="P4538" s="3">
        <v>796</v>
      </c>
      <c r="Q4538" s="27" t="s">
        <v>234</v>
      </c>
      <c r="R4538" s="27">
        <v>6</v>
      </c>
      <c r="S4538" s="59">
        <f>12678*1.07</f>
        <v>13565.460000000001</v>
      </c>
      <c r="T4538" s="4">
        <v>0</v>
      </c>
      <c r="U4538" s="4">
        <f>T4538*1.12</f>
        <v>0</v>
      </c>
      <c r="V4538" s="3"/>
      <c r="W4538" s="3">
        <v>2014</v>
      </c>
      <c r="X4538" s="3" t="s">
        <v>14785</v>
      </c>
    </row>
    <row r="4539" spans="1:24" ht="76.5">
      <c r="A4539" s="3" t="s">
        <v>16671</v>
      </c>
      <c r="B4539" s="6" t="s">
        <v>361</v>
      </c>
      <c r="C4539" s="6" t="s">
        <v>5625</v>
      </c>
      <c r="D4539" s="6" t="s">
        <v>5399</v>
      </c>
      <c r="E4539" s="6" t="s">
        <v>5626</v>
      </c>
      <c r="F4539" s="8" t="s">
        <v>8033</v>
      </c>
      <c r="G4539" s="3" t="s">
        <v>11449</v>
      </c>
      <c r="H4539" s="54">
        <v>0</v>
      </c>
      <c r="I4539" s="16">
        <v>470000000</v>
      </c>
      <c r="J4539" s="16" t="s">
        <v>229</v>
      </c>
      <c r="K4539" s="57" t="s">
        <v>8950</v>
      </c>
      <c r="L4539" s="12" t="s">
        <v>404</v>
      </c>
      <c r="M4539" s="162" t="s">
        <v>230</v>
      </c>
      <c r="N4539" s="8" t="s">
        <v>8899</v>
      </c>
      <c r="O4539" s="6" t="s">
        <v>622</v>
      </c>
      <c r="P4539" s="3">
        <v>796</v>
      </c>
      <c r="Q4539" s="27" t="s">
        <v>234</v>
      </c>
      <c r="R4539" s="27">
        <v>6</v>
      </c>
      <c r="S4539" s="59">
        <v>16278.552</v>
      </c>
      <c r="T4539" s="4">
        <v>0</v>
      </c>
      <c r="U4539" s="4">
        <f>T4539*1.12</f>
        <v>0</v>
      </c>
      <c r="V4539" s="3"/>
      <c r="W4539" s="3">
        <v>2014</v>
      </c>
      <c r="X4539" s="3">
        <v>11</v>
      </c>
    </row>
    <row r="4540" spans="1:24" ht="76.5">
      <c r="A4540" s="3" t="s">
        <v>18787</v>
      </c>
      <c r="B4540" s="6" t="s">
        <v>361</v>
      </c>
      <c r="C4540" s="6" t="s">
        <v>5625</v>
      </c>
      <c r="D4540" s="6" t="s">
        <v>5399</v>
      </c>
      <c r="E4540" s="6" t="s">
        <v>5626</v>
      </c>
      <c r="F4540" s="8" t="s">
        <v>8033</v>
      </c>
      <c r="G4540" s="3" t="s">
        <v>11449</v>
      </c>
      <c r="H4540" s="54">
        <v>0</v>
      </c>
      <c r="I4540" s="16">
        <v>470000000</v>
      </c>
      <c r="J4540" s="16" t="s">
        <v>229</v>
      </c>
      <c r="K4540" s="57" t="s">
        <v>18437</v>
      </c>
      <c r="L4540" s="12" t="s">
        <v>404</v>
      </c>
      <c r="M4540" s="162" t="s">
        <v>230</v>
      </c>
      <c r="N4540" s="8" t="s">
        <v>8899</v>
      </c>
      <c r="O4540" s="6" t="s">
        <v>622</v>
      </c>
      <c r="P4540" s="3">
        <v>796</v>
      </c>
      <c r="Q4540" s="27" t="s">
        <v>234</v>
      </c>
      <c r="R4540" s="27">
        <v>6</v>
      </c>
      <c r="S4540" s="59">
        <v>16278.552</v>
      </c>
      <c r="T4540" s="4">
        <v>0</v>
      </c>
      <c r="U4540" s="4">
        <f>T4540*1.12</f>
        <v>0</v>
      </c>
      <c r="V4540" s="3"/>
      <c r="W4540" s="3">
        <v>2014</v>
      </c>
      <c r="X4540" s="3">
        <v>14.15</v>
      </c>
    </row>
    <row r="4541" spans="1:24" ht="76.5">
      <c r="A4541" s="3" t="s">
        <v>19508</v>
      </c>
      <c r="B4541" s="6" t="s">
        <v>361</v>
      </c>
      <c r="C4541" s="6" t="s">
        <v>5625</v>
      </c>
      <c r="D4541" s="6" t="s">
        <v>5399</v>
      </c>
      <c r="E4541" s="6" t="s">
        <v>5626</v>
      </c>
      <c r="F4541" s="8" t="s">
        <v>8033</v>
      </c>
      <c r="G4541" s="3" t="s">
        <v>11449</v>
      </c>
      <c r="H4541" s="54">
        <v>0</v>
      </c>
      <c r="I4541" s="16">
        <v>470000000</v>
      </c>
      <c r="J4541" s="16" t="s">
        <v>229</v>
      </c>
      <c r="K4541" s="57" t="s">
        <v>18437</v>
      </c>
      <c r="L4541" s="12" t="s">
        <v>404</v>
      </c>
      <c r="M4541" s="162" t="s">
        <v>230</v>
      </c>
      <c r="N4541" s="8" t="s">
        <v>19369</v>
      </c>
      <c r="O4541" s="6" t="s">
        <v>19407</v>
      </c>
      <c r="P4541" s="3">
        <v>796</v>
      </c>
      <c r="Q4541" s="27" t="s">
        <v>234</v>
      </c>
      <c r="R4541" s="27">
        <v>6</v>
      </c>
      <c r="S4541" s="59">
        <v>16278.552</v>
      </c>
      <c r="T4541" s="4">
        <f>R4541*S4541</f>
        <v>97671.312000000005</v>
      </c>
      <c r="U4541" s="4">
        <f>T4541*1.12</f>
        <v>109391.86944000001</v>
      </c>
      <c r="V4541" s="3"/>
      <c r="W4541" s="3">
        <v>2014</v>
      </c>
      <c r="X4541" s="3"/>
    </row>
    <row r="4542" spans="1:24" ht="76.5">
      <c r="A4542" s="3" t="s">
        <v>10554</v>
      </c>
      <c r="B4542" s="6" t="s">
        <v>361</v>
      </c>
      <c r="C4542" s="6" t="s">
        <v>5627</v>
      </c>
      <c r="D4542" s="6" t="s">
        <v>5628</v>
      </c>
      <c r="E4542" s="6" t="s">
        <v>5629</v>
      </c>
      <c r="F4542" s="9" t="s">
        <v>8034</v>
      </c>
      <c r="G4542" s="3" t="s">
        <v>11449</v>
      </c>
      <c r="H4542" s="54">
        <v>0</v>
      </c>
      <c r="I4542" s="16">
        <v>470000000</v>
      </c>
      <c r="J4542" s="16" t="s">
        <v>229</v>
      </c>
      <c r="K4542" s="57" t="s">
        <v>641</v>
      </c>
      <c r="L4542" s="183" t="s">
        <v>364</v>
      </c>
      <c r="M4542" s="162" t="s">
        <v>230</v>
      </c>
      <c r="N4542" s="8" t="s">
        <v>8899</v>
      </c>
      <c r="O4542" s="6" t="s">
        <v>622</v>
      </c>
      <c r="P4542" s="3">
        <v>796</v>
      </c>
      <c r="Q4542" s="27" t="s">
        <v>234</v>
      </c>
      <c r="R4542" s="27">
        <v>3</v>
      </c>
      <c r="S4542" s="59">
        <f>65224*1.07</f>
        <v>69789.680000000008</v>
      </c>
      <c r="T4542" s="4">
        <v>0</v>
      </c>
      <c r="U4542" s="4">
        <f t="shared" si="217"/>
        <v>0</v>
      </c>
      <c r="V4542" s="3"/>
      <c r="W4542" s="3">
        <v>2014</v>
      </c>
      <c r="X4542" s="3">
        <v>11.12</v>
      </c>
    </row>
    <row r="4543" spans="1:24" ht="76.5">
      <c r="A4543" s="3" t="s">
        <v>13271</v>
      </c>
      <c r="B4543" s="6" t="s">
        <v>361</v>
      </c>
      <c r="C4543" s="6" t="s">
        <v>5627</v>
      </c>
      <c r="D4543" s="6" t="s">
        <v>5628</v>
      </c>
      <c r="E4543" s="6" t="s">
        <v>5629</v>
      </c>
      <c r="F4543" s="9" t="s">
        <v>8034</v>
      </c>
      <c r="G4543" s="3" t="s">
        <v>11449</v>
      </c>
      <c r="H4543" s="54">
        <v>0</v>
      </c>
      <c r="I4543" s="16">
        <v>470000000</v>
      </c>
      <c r="J4543" s="16" t="s">
        <v>229</v>
      </c>
      <c r="K4543" s="57" t="s">
        <v>642</v>
      </c>
      <c r="L4543" s="12" t="s">
        <v>404</v>
      </c>
      <c r="M4543" s="162" t="s">
        <v>230</v>
      </c>
      <c r="N4543" s="8" t="s">
        <v>8899</v>
      </c>
      <c r="O4543" s="6" t="s">
        <v>622</v>
      </c>
      <c r="P4543" s="3">
        <v>796</v>
      </c>
      <c r="Q4543" s="27" t="s">
        <v>234</v>
      </c>
      <c r="R4543" s="27">
        <v>3</v>
      </c>
      <c r="S4543" s="59">
        <f>65224*1.07</f>
        <v>69789.680000000008</v>
      </c>
      <c r="T4543" s="4">
        <f>R4543*S4543</f>
        <v>209369.04000000004</v>
      </c>
      <c r="U4543" s="4">
        <f>T4543*1.12</f>
        <v>234493.32480000006</v>
      </c>
      <c r="V4543" s="3"/>
      <c r="W4543" s="3">
        <v>2014</v>
      </c>
      <c r="X4543" s="3"/>
    </row>
    <row r="4544" spans="1:24" ht="76.5">
      <c r="A4544" s="3" t="s">
        <v>10555</v>
      </c>
      <c r="B4544" s="6" t="s">
        <v>361</v>
      </c>
      <c r="C4544" s="6" t="s">
        <v>5627</v>
      </c>
      <c r="D4544" s="6" t="s">
        <v>5628</v>
      </c>
      <c r="E4544" s="6" t="s">
        <v>5629</v>
      </c>
      <c r="F4544" s="8" t="s">
        <v>8035</v>
      </c>
      <c r="G4544" s="3" t="s">
        <v>11449</v>
      </c>
      <c r="H4544" s="54">
        <v>0</v>
      </c>
      <c r="I4544" s="16">
        <v>470000000</v>
      </c>
      <c r="J4544" s="16" t="s">
        <v>229</v>
      </c>
      <c r="K4544" s="57" t="s">
        <v>641</v>
      </c>
      <c r="L4544" s="183" t="s">
        <v>364</v>
      </c>
      <c r="M4544" s="162" t="s">
        <v>230</v>
      </c>
      <c r="N4544" s="8" t="s">
        <v>8899</v>
      </c>
      <c r="O4544" s="6" t="s">
        <v>622</v>
      </c>
      <c r="P4544" s="3">
        <v>796</v>
      </c>
      <c r="Q4544" s="27" t="s">
        <v>234</v>
      </c>
      <c r="R4544" s="27">
        <v>3</v>
      </c>
      <c r="S4544" s="59">
        <f>56791*1.07</f>
        <v>60766.37</v>
      </c>
      <c r="T4544" s="4">
        <v>0</v>
      </c>
      <c r="U4544" s="4">
        <f t="shared" si="217"/>
        <v>0</v>
      </c>
      <c r="V4544" s="3"/>
      <c r="W4544" s="3">
        <v>2014</v>
      </c>
      <c r="X4544" s="3">
        <v>11.12</v>
      </c>
    </row>
    <row r="4545" spans="1:24" ht="76.5">
      <c r="A4545" s="3" t="s">
        <v>13272</v>
      </c>
      <c r="B4545" s="6" t="s">
        <v>361</v>
      </c>
      <c r="C4545" s="6" t="s">
        <v>5627</v>
      </c>
      <c r="D4545" s="6" t="s">
        <v>5628</v>
      </c>
      <c r="E4545" s="6" t="s">
        <v>5629</v>
      </c>
      <c r="F4545" s="8" t="s">
        <v>8035</v>
      </c>
      <c r="G4545" s="3" t="s">
        <v>11449</v>
      </c>
      <c r="H4545" s="54">
        <v>0</v>
      </c>
      <c r="I4545" s="16">
        <v>470000000</v>
      </c>
      <c r="J4545" s="16" t="s">
        <v>229</v>
      </c>
      <c r="K4545" s="57" t="s">
        <v>642</v>
      </c>
      <c r="L4545" s="12" t="s">
        <v>404</v>
      </c>
      <c r="M4545" s="162" t="s">
        <v>230</v>
      </c>
      <c r="N4545" s="8" t="s">
        <v>8899</v>
      </c>
      <c r="O4545" s="6" t="s">
        <v>622</v>
      </c>
      <c r="P4545" s="3">
        <v>796</v>
      </c>
      <c r="Q4545" s="27" t="s">
        <v>234</v>
      </c>
      <c r="R4545" s="27">
        <v>3</v>
      </c>
      <c r="S4545" s="59">
        <f>56791*1.07</f>
        <v>60766.37</v>
      </c>
      <c r="T4545" s="4">
        <f>R4545*S4545</f>
        <v>182299.11000000002</v>
      </c>
      <c r="U4545" s="4">
        <f>T4545*1.12</f>
        <v>204175.00320000004</v>
      </c>
      <c r="V4545" s="3"/>
      <c r="W4545" s="3">
        <v>2014</v>
      </c>
      <c r="X4545" s="3"/>
    </row>
    <row r="4546" spans="1:24" ht="76.5">
      <c r="A4546" s="3" t="s">
        <v>10556</v>
      </c>
      <c r="B4546" s="6" t="s">
        <v>361</v>
      </c>
      <c r="C4546" s="6" t="s">
        <v>5414</v>
      </c>
      <c r="D4546" s="6" t="s">
        <v>508</v>
      </c>
      <c r="E4546" s="6" t="s">
        <v>5183</v>
      </c>
      <c r="F4546" s="8" t="s">
        <v>8036</v>
      </c>
      <c r="G4546" s="3" t="s">
        <v>11449</v>
      </c>
      <c r="H4546" s="54">
        <v>0</v>
      </c>
      <c r="I4546" s="16">
        <v>470000000</v>
      </c>
      <c r="J4546" s="16" t="s">
        <v>229</v>
      </c>
      <c r="K4546" s="57" t="s">
        <v>641</v>
      </c>
      <c r="L4546" s="183" t="s">
        <v>364</v>
      </c>
      <c r="M4546" s="162" t="s">
        <v>230</v>
      </c>
      <c r="N4546" s="8" t="s">
        <v>8899</v>
      </c>
      <c r="O4546" s="6" t="s">
        <v>622</v>
      </c>
      <c r="P4546" s="3">
        <v>796</v>
      </c>
      <c r="Q4546" s="27" t="s">
        <v>234</v>
      </c>
      <c r="R4546" s="27">
        <v>30</v>
      </c>
      <c r="S4546" s="59">
        <f>5989*1.07</f>
        <v>6408.2300000000005</v>
      </c>
      <c r="T4546" s="4">
        <v>0</v>
      </c>
      <c r="U4546" s="4">
        <f t="shared" si="217"/>
        <v>0</v>
      </c>
      <c r="V4546" s="3"/>
      <c r="W4546" s="3">
        <v>2014</v>
      </c>
      <c r="X4546" s="3">
        <v>11.12</v>
      </c>
    </row>
    <row r="4547" spans="1:24" ht="76.5">
      <c r="A4547" s="3" t="s">
        <v>13273</v>
      </c>
      <c r="B4547" s="6" t="s">
        <v>361</v>
      </c>
      <c r="C4547" s="6" t="s">
        <v>5414</v>
      </c>
      <c r="D4547" s="6" t="s">
        <v>508</v>
      </c>
      <c r="E4547" s="6" t="s">
        <v>5183</v>
      </c>
      <c r="F4547" s="8" t="s">
        <v>8036</v>
      </c>
      <c r="G4547" s="3" t="s">
        <v>11449</v>
      </c>
      <c r="H4547" s="54">
        <v>0</v>
      </c>
      <c r="I4547" s="16">
        <v>470000000</v>
      </c>
      <c r="J4547" s="16" t="s">
        <v>229</v>
      </c>
      <c r="K4547" s="57" t="s">
        <v>642</v>
      </c>
      <c r="L4547" s="12" t="s">
        <v>404</v>
      </c>
      <c r="M4547" s="162" t="s">
        <v>230</v>
      </c>
      <c r="N4547" s="8" t="s">
        <v>8899</v>
      </c>
      <c r="O4547" s="6" t="s">
        <v>622</v>
      </c>
      <c r="P4547" s="3">
        <v>796</v>
      </c>
      <c r="Q4547" s="27" t="s">
        <v>234</v>
      </c>
      <c r="R4547" s="27">
        <v>30</v>
      </c>
      <c r="S4547" s="59">
        <f>5989*1.07</f>
        <v>6408.2300000000005</v>
      </c>
      <c r="T4547" s="4">
        <f>R4547*S4547</f>
        <v>192246.90000000002</v>
      </c>
      <c r="U4547" s="4">
        <f>T4547*1.12</f>
        <v>215316.52800000005</v>
      </c>
      <c r="V4547" s="3"/>
      <c r="W4547" s="3">
        <v>2014</v>
      </c>
      <c r="X4547" s="3"/>
    </row>
    <row r="4548" spans="1:24" ht="76.5">
      <c r="A4548" s="3" t="s">
        <v>10557</v>
      </c>
      <c r="B4548" s="6" t="s">
        <v>361</v>
      </c>
      <c r="C4548" s="6" t="s">
        <v>5415</v>
      </c>
      <c r="D4548" s="6" t="s">
        <v>5416</v>
      </c>
      <c r="E4548" s="6" t="s">
        <v>5183</v>
      </c>
      <c r="F4548" s="8" t="s">
        <v>8037</v>
      </c>
      <c r="G4548" s="3" t="s">
        <v>11449</v>
      </c>
      <c r="H4548" s="54">
        <v>0</v>
      </c>
      <c r="I4548" s="16">
        <v>470000000</v>
      </c>
      <c r="J4548" s="16" t="s">
        <v>229</v>
      </c>
      <c r="K4548" s="57" t="s">
        <v>641</v>
      </c>
      <c r="L4548" s="183" t="s">
        <v>364</v>
      </c>
      <c r="M4548" s="162" t="s">
        <v>230</v>
      </c>
      <c r="N4548" s="8" t="s">
        <v>8899</v>
      </c>
      <c r="O4548" s="6" t="s">
        <v>622</v>
      </c>
      <c r="P4548" s="3">
        <v>796</v>
      </c>
      <c r="Q4548" s="27" t="s">
        <v>234</v>
      </c>
      <c r="R4548" s="27">
        <v>4</v>
      </c>
      <c r="S4548" s="59">
        <f>8340*1.07</f>
        <v>8923.8000000000011</v>
      </c>
      <c r="T4548" s="4">
        <v>0</v>
      </c>
      <c r="U4548" s="4">
        <f t="shared" si="217"/>
        <v>0</v>
      </c>
      <c r="V4548" s="3"/>
      <c r="W4548" s="3">
        <v>2014</v>
      </c>
      <c r="X4548" s="3">
        <v>11.12</v>
      </c>
    </row>
    <row r="4549" spans="1:24" ht="76.5">
      <c r="A4549" s="3" t="s">
        <v>13274</v>
      </c>
      <c r="B4549" s="6" t="s">
        <v>361</v>
      </c>
      <c r="C4549" s="6" t="s">
        <v>5415</v>
      </c>
      <c r="D4549" s="6" t="s">
        <v>5416</v>
      </c>
      <c r="E4549" s="6" t="s">
        <v>5183</v>
      </c>
      <c r="F4549" s="8" t="s">
        <v>8037</v>
      </c>
      <c r="G4549" s="3" t="s">
        <v>11449</v>
      </c>
      <c r="H4549" s="54">
        <v>0</v>
      </c>
      <c r="I4549" s="16">
        <v>470000000</v>
      </c>
      <c r="J4549" s="16" t="s">
        <v>229</v>
      </c>
      <c r="K4549" s="57" t="s">
        <v>642</v>
      </c>
      <c r="L4549" s="12" t="s">
        <v>404</v>
      </c>
      <c r="M4549" s="162" t="s">
        <v>230</v>
      </c>
      <c r="N4549" s="8" t="s">
        <v>8899</v>
      </c>
      <c r="O4549" s="6" t="s">
        <v>622</v>
      </c>
      <c r="P4549" s="3">
        <v>796</v>
      </c>
      <c r="Q4549" s="27" t="s">
        <v>234</v>
      </c>
      <c r="R4549" s="27">
        <v>4</v>
      </c>
      <c r="S4549" s="59">
        <f>8340*1.07</f>
        <v>8923.8000000000011</v>
      </c>
      <c r="T4549" s="4">
        <f>R4549*S4549</f>
        <v>35695.200000000004</v>
      </c>
      <c r="U4549" s="4">
        <f>T4549*1.12</f>
        <v>39978.624000000011</v>
      </c>
      <c r="V4549" s="3"/>
      <c r="W4549" s="3">
        <v>2014</v>
      </c>
      <c r="X4549" s="3"/>
    </row>
    <row r="4550" spans="1:24" ht="76.5">
      <c r="A4550" s="3" t="s">
        <v>10558</v>
      </c>
      <c r="B4550" s="6" t="s">
        <v>361</v>
      </c>
      <c r="C4550" s="6" t="s">
        <v>5417</v>
      </c>
      <c r="D4550" s="6" t="s">
        <v>5418</v>
      </c>
      <c r="E4550" s="6" t="s">
        <v>5183</v>
      </c>
      <c r="F4550" s="8" t="s">
        <v>8038</v>
      </c>
      <c r="G4550" s="3" t="s">
        <v>11449</v>
      </c>
      <c r="H4550" s="54">
        <v>0</v>
      </c>
      <c r="I4550" s="16">
        <v>470000000</v>
      </c>
      <c r="J4550" s="16" t="s">
        <v>229</v>
      </c>
      <c r="K4550" s="57" t="s">
        <v>641</v>
      </c>
      <c r="L4550" s="183" t="s">
        <v>364</v>
      </c>
      <c r="M4550" s="162" t="s">
        <v>230</v>
      </c>
      <c r="N4550" s="8" t="s">
        <v>8899</v>
      </c>
      <c r="O4550" s="6" t="s">
        <v>622</v>
      </c>
      <c r="P4550" s="3">
        <v>796</v>
      </c>
      <c r="Q4550" s="27" t="s">
        <v>234</v>
      </c>
      <c r="R4550" s="27">
        <v>4</v>
      </c>
      <c r="S4550" s="59">
        <f>36600*1.07</f>
        <v>39162</v>
      </c>
      <c r="T4550" s="4">
        <v>0</v>
      </c>
      <c r="U4550" s="4">
        <f t="shared" si="217"/>
        <v>0</v>
      </c>
      <c r="V4550" s="3"/>
      <c r="W4550" s="3">
        <v>2014</v>
      </c>
      <c r="X4550" s="3">
        <v>11.12</v>
      </c>
    </row>
    <row r="4551" spans="1:24" ht="76.5">
      <c r="A4551" s="3" t="s">
        <v>13275</v>
      </c>
      <c r="B4551" s="6" t="s">
        <v>361</v>
      </c>
      <c r="C4551" s="6" t="s">
        <v>5417</v>
      </c>
      <c r="D4551" s="6" t="s">
        <v>5418</v>
      </c>
      <c r="E4551" s="6" t="s">
        <v>5183</v>
      </c>
      <c r="F4551" s="8" t="s">
        <v>8038</v>
      </c>
      <c r="G4551" s="3" t="s">
        <v>11449</v>
      </c>
      <c r="H4551" s="54">
        <v>0</v>
      </c>
      <c r="I4551" s="16">
        <v>470000000</v>
      </c>
      <c r="J4551" s="16" t="s">
        <v>229</v>
      </c>
      <c r="K4551" s="57" t="s">
        <v>642</v>
      </c>
      <c r="L4551" s="12" t="s">
        <v>404</v>
      </c>
      <c r="M4551" s="162" t="s">
        <v>230</v>
      </c>
      <c r="N4551" s="8" t="s">
        <v>8899</v>
      </c>
      <c r="O4551" s="6" t="s">
        <v>622</v>
      </c>
      <c r="P4551" s="3">
        <v>796</v>
      </c>
      <c r="Q4551" s="27" t="s">
        <v>234</v>
      </c>
      <c r="R4551" s="27">
        <v>4</v>
      </c>
      <c r="S4551" s="59">
        <f>36600*1.07</f>
        <v>39162</v>
      </c>
      <c r="T4551" s="4">
        <f>R4551*S4551</f>
        <v>156648</v>
      </c>
      <c r="U4551" s="4">
        <f>T4551*1.12</f>
        <v>175445.76000000001</v>
      </c>
      <c r="V4551" s="3"/>
      <c r="W4551" s="3">
        <v>2014</v>
      </c>
      <c r="X4551" s="3"/>
    </row>
    <row r="4552" spans="1:24" ht="76.5">
      <c r="A4552" s="3" t="s">
        <v>10559</v>
      </c>
      <c r="B4552" s="6" t="s">
        <v>361</v>
      </c>
      <c r="C4552" s="6" t="s">
        <v>5630</v>
      </c>
      <c r="D4552" s="6" t="s">
        <v>421</v>
      </c>
      <c r="E4552" s="6" t="s">
        <v>5631</v>
      </c>
      <c r="F4552" s="8" t="s">
        <v>5632</v>
      </c>
      <c r="G4552" s="3" t="s">
        <v>11449</v>
      </c>
      <c r="H4552" s="54">
        <v>0</v>
      </c>
      <c r="I4552" s="16">
        <v>470000000</v>
      </c>
      <c r="J4552" s="16" t="s">
        <v>229</v>
      </c>
      <c r="K4552" s="57" t="s">
        <v>641</v>
      </c>
      <c r="L4552" s="183" t="s">
        <v>364</v>
      </c>
      <c r="M4552" s="162" t="s">
        <v>230</v>
      </c>
      <c r="N4552" s="8" t="s">
        <v>8899</v>
      </c>
      <c r="O4552" s="6" t="s">
        <v>622</v>
      </c>
      <c r="P4552" s="3">
        <v>796</v>
      </c>
      <c r="Q4552" s="27" t="s">
        <v>234</v>
      </c>
      <c r="R4552" s="27">
        <v>6</v>
      </c>
      <c r="S4552" s="59">
        <f>12325*1.07</f>
        <v>13187.75</v>
      </c>
      <c r="T4552" s="4">
        <v>0</v>
      </c>
      <c r="U4552" s="4">
        <f t="shared" si="217"/>
        <v>0</v>
      </c>
      <c r="V4552" s="3"/>
      <c r="W4552" s="3">
        <v>2014</v>
      </c>
      <c r="X4552" s="3">
        <v>11.12</v>
      </c>
    </row>
    <row r="4553" spans="1:24" ht="76.5">
      <c r="A4553" s="3" t="s">
        <v>13276</v>
      </c>
      <c r="B4553" s="6" t="s">
        <v>361</v>
      </c>
      <c r="C4553" s="6" t="s">
        <v>5630</v>
      </c>
      <c r="D4553" s="6" t="s">
        <v>421</v>
      </c>
      <c r="E4553" s="6" t="s">
        <v>5631</v>
      </c>
      <c r="F4553" s="8" t="s">
        <v>5632</v>
      </c>
      <c r="G4553" s="3" t="s">
        <v>11449</v>
      </c>
      <c r="H4553" s="54">
        <v>0</v>
      </c>
      <c r="I4553" s="16">
        <v>470000000</v>
      </c>
      <c r="J4553" s="16" t="s">
        <v>229</v>
      </c>
      <c r="K4553" s="57" t="s">
        <v>642</v>
      </c>
      <c r="L4553" s="12" t="s">
        <v>404</v>
      </c>
      <c r="M4553" s="162" t="s">
        <v>230</v>
      </c>
      <c r="N4553" s="8" t="s">
        <v>8899</v>
      </c>
      <c r="O4553" s="6" t="s">
        <v>622</v>
      </c>
      <c r="P4553" s="3">
        <v>796</v>
      </c>
      <c r="Q4553" s="27" t="s">
        <v>234</v>
      </c>
      <c r="R4553" s="27">
        <v>6</v>
      </c>
      <c r="S4553" s="59">
        <f>12325*1.07</f>
        <v>13187.75</v>
      </c>
      <c r="T4553" s="4">
        <f>R4553*S4553</f>
        <v>79126.5</v>
      </c>
      <c r="U4553" s="4">
        <f>T4553*1.12</f>
        <v>88621.680000000008</v>
      </c>
      <c r="V4553" s="3"/>
      <c r="W4553" s="3">
        <v>2014</v>
      </c>
      <c r="X4553" s="3"/>
    </row>
    <row r="4554" spans="1:24" ht="76.5">
      <c r="A4554" s="3" t="s">
        <v>10560</v>
      </c>
      <c r="B4554" s="6" t="s">
        <v>361</v>
      </c>
      <c r="C4554" s="6" t="s">
        <v>5633</v>
      </c>
      <c r="D4554" s="6" t="s">
        <v>421</v>
      </c>
      <c r="E4554" s="6" t="s">
        <v>5634</v>
      </c>
      <c r="F4554" s="8" t="s">
        <v>5635</v>
      </c>
      <c r="G4554" s="3" t="s">
        <v>11449</v>
      </c>
      <c r="H4554" s="54">
        <v>0</v>
      </c>
      <c r="I4554" s="16">
        <v>470000000</v>
      </c>
      <c r="J4554" s="16" t="s">
        <v>229</v>
      </c>
      <c r="K4554" s="57" t="s">
        <v>641</v>
      </c>
      <c r="L4554" s="183" t="s">
        <v>364</v>
      </c>
      <c r="M4554" s="162" t="s">
        <v>230</v>
      </c>
      <c r="N4554" s="8" t="s">
        <v>8899</v>
      </c>
      <c r="O4554" s="6" t="s">
        <v>622</v>
      </c>
      <c r="P4554" s="3">
        <v>796</v>
      </c>
      <c r="Q4554" s="27" t="s">
        <v>234</v>
      </c>
      <c r="R4554" s="27">
        <v>12</v>
      </c>
      <c r="S4554" s="59">
        <f>17813*1.07</f>
        <v>19059.91</v>
      </c>
      <c r="T4554" s="4">
        <v>0</v>
      </c>
      <c r="U4554" s="4">
        <f t="shared" si="217"/>
        <v>0</v>
      </c>
      <c r="V4554" s="3"/>
      <c r="W4554" s="3">
        <v>2014</v>
      </c>
      <c r="X4554" s="3">
        <v>11.12</v>
      </c>
    </row>
    <row r="4555" spans="1:24" ht="76.5">
      <c r="A4555" s="3" t="s">
        <v>13277</v>
      </c>
      <c r="B4555" s="6" t="s">
        <v>361</v>
      </c>
      <c r="C4555" s="6" t="s">
        <v>5633</v>
      </c>
      <c r="D4555" s="6" t="s">
        <v>421</v>
      </c>
      <c r="E4555" s="6" t="s">
        <v>5634</v>
      </c>
      <c r="F4555" s="8" t="s">
        <v>5635</v>
      </c>
      <c r="G4555" s="3" t="s">
        <v>11449</v>
      </c>
      <c r="H4555" s="54">
        <v>0</v>
      </c>
      <c r="I4555" s="16">
        <v>470000000</v>
      </c>
      <c r="J4555" s="16" t="s">
        <v>229</v>
      </c>
      <c r="K4555" s="57" t="s">
        <v>642</v>
      </c>
      <c r="L4555" s="12" t="s">
        <v>404</v>
      </c>
      <c r="M4555" s="162" t="s">
        <v>230</v>
      </c>
      <c r="N4555" s="8" t="s">
        <v>8899</v>
      </c>
      <c r="O4555" s="6" t="s">
        <v>622</v>
      </c>
      <c r="P4555" s="3">
        <v>796</v>
      </c>
      <c r="Q4555" s="27" t="s">
        <v>234</v>
      </c>
      <c r="R4555" s="27">
        <v>12</v>
      </c>
      <c r="S4555" s="59">
        <f>17813*1.07</f>
        <v>19059.91</v>
      </c>
      <c r="T4555" s="4">
        <f>R4555*S4555</f>
        <v>228718.91999999998</v>
      </c>
      <c r="U4555" s="4">
        <f>T4555*1.12</f>
        <v>256165.19039999999</v>
      </c>
      <c r="V4555" s="3"/>
      <c r="W4555" s="3">
        <v>2014</v>
      </c>
      <c r="X4555" s="3"/>
    </row>
    <row r="4556" spans="1:24" ht="76.5">
      <c r="A4556" s="3" t="s">
        <v>10561</v>
      </c>
      <c r="B4556" s="6" t="s">
        <v>361</v>
      </c>
      <c r="C4556" s="6" t="s">
        <v>5433</v>
      </c>
      <c r="D4556" s="6" t="s">
        <v>5434</v>
      </c>
      <c r="E4556" s="6" t="s">
        <v>5183</v>
      </c>
      <c r="F4556" s="9" t="s">
        <v>8039</v>
      </c>
      <c r="G4556" s="3" t="s">
        <v>11449</v>
      </c>
      <c r="H4556" s="54">
        <v>0</v>
      </c>
      <c r="I4556" s="16">
        <v>470000000</v>
      </c>
      <c r="J4556" s="16" t="s">
        <v>229</v>
      </c>
      <c r="K4556" s="57" t="s">
        <v>641</v>
      </c>
      <c r="L4556" s="183" t="s">
        <v>364</v>
      </c>
      <c r="M4556" s="162" t="s">
        <v>230</v>
      </c>
      <c r="N4556" s="8" t="s">
        <v>8899</v>
      </c>
      <c r="O4556" s="6" t="s">
        <v>622</v>
      </c>
      <c r="P4556" s="3">
        <v>796</v>
      </c>
      <c r="Q4556" s="27" t="s">
        <v>234</v>
      </c>
      <c r="R4556" s="27">
        <v>6</v>
      </c>
      <c r="S4556" s="59">
        <f>16425*1.07</f>
        <v>17574.75</v>
      </c>
      <c r="T4556" s="4">
        <v>0</v>
      </c>
      <c r="U4556" s="4">
        <f t="shared" si="217"/>
        <v>0</v>
      </c>
      <c r="V4556" s="3"/>
      <c r="W4556" s="3">
        <v>2014</v>
      </c>
      <c r="X4556" s="3">
        <v>11.12</v>
      </c>
    </row>
    <row r="4557" spans="1:24" ht="76.5">
      <c r="A4557" s="3" t="s">
        <v>13278</v>
      </c>
      <c r="B4557" s="6" t="s">
        <v>361</v>
      </c>
      <c r="C4557" s="6" t="s">
        <v>5433</v>
      </c>
      <c r="D4557" s="6" t="s">
        <v>5434</v>
      </c>
      <c r="E4557" s="6" t="s">
        <v>5183</v>
      </c>
      <c r="F4557" s="9" t="s">
        <v>8039</v>
      </c>
      <c r="G4557" s="3" t="s">
        <v>11449</v>
      </c>
      <c r="H4557" s="54">
        <v>0</v>
      </c>
      <c r="I4557" s="16">
        <v>470000000</v>
      </c>
      <c r="J4557" s="16" t="s">
        <v>229</v>
      </c>
      <c r="K4557" s="57" t="s">
        <v>642</v>
      </c>
      <c r="L4557" s="12" t="s">
        <v>404</v>
      </c>
      <c r="M4557" s="162" t="s">
        <v>230</v>
      </c>
      <c r="N4557" s="8" t="s">
        <v>8899</v>
      </c>
      <c r="O4557" s="6" t="s">
        <v>622</v>
      </c>
      <c r="P4557" s="3">
        <v>796</v>
      </c>
      <c r="Q4557" s="27" t="s">
        <v>234</v>
      </c>
      <c r="R4557" s="27">
        <v>6</v>
      </c>
      <c r="S4557" s="59">
        <f>16425*1.07</f>
        <v>17574.75</v>
      </c>
      <c r="T4557" s="4">
        <f>R4557*S4557</f>
        <v>105448.5</v>
      </c>
      <c r="U4557" s="4">
        <f>T4557*1.12</f>
        <v>118102.32</v>
      </c>
      <c r="V4557" s="3"/>
      <c r="W4557" s="3">
        <v>2014</v>
      </c>
      <c r="X4557" s="3"/>
    </row>
    <row r="4558" spans="1:24" ht="76.5">
      <c r="A4558" s="3" t="s">
        <v>10562</v>
      </c>
      <c r="B4558" s="6" t="s">
        <v>361</v>
      </c>
      <c r="C4558" s="6" t="s">
        <v>5636</v>
      </c>
      <c r="D4558" s="6" t="s">
        <v>5637</v>
      </c>
      <c r="E4558" s="6" t="s">
        <v>5183</v>
      </c>
      <c r="F4558" s="8" t="s">
        <v>5638</v>
      </c>
      <c r="G4558" s="3" t="s">
        <v>11449</v>
      </c>
      <c r="H4558" s="54">
        <v>0</v>
      </c>
      <c r="I4558" s="16">
        <v>470000000</v>
      </c>
      <c r="J4558" s="16" t="s">
        <v>229</v>
      </c>
      <c r="K4558" s="57" t="s">
        <v>641</v>
      </c>
      <c r="L4558" s="183" t="s">
        <v>364</v>
      </c>
      <c r="M4558" s="162" t="s">
        <v>230</v>
      </c>
      <c r="N4558" s="8" t="s">
        <v>8899</v>
      </c>
      <c r="O4558" s="6" t="s">
        <v>622</v>
      </c>
      <c r="P4558" s="3">
        <v>796</v>
      </c>
      <c r="Q4558" s="27" t="s">
        <v>234</v>
      </c>
      <c r="R4558" s="27">
        <v>12</v>
      </c>
      <c r="S4558" s="59">
        <f>2002*1.07</f>
        <v>2142.1400000000003</v>
      </c>
      <c r="T4558" s="4">
        <v>0</v>
      </c>
      <c r="U4558" s="4">
        <f t="shared" si="217"/>
        <v>0</v>
      </c>
      <c r="V4558" s="3"/>
      <c r="W4558" s="3">
        <v>2014</v>
      </c>
      <c r="X4558" s="3">
        <v>11.12</v>
      </c>
    </row>
    <row r="4559" spans="1:24" ht="76.5">
      <c r="A4559" s="3" t="s">
        <v>13279</v>
      </c>
      <c r="B4559" s="6" t="s">
        <v>361</v>
      </c>
      <c r="C4559" s="6" t="s">
        <v>5636</v>
      </c>
      <c r="D4559" s="6" t="s">
        <v>5637</v>
      </c>
      <c r="E4559" s="6" t="s">
        <v>5183</v>
      </c>
      <c r="F4559" s="8" t="s">
        <v>5638</v>
      </c>
      <c r="G4559" s="3" t="s">
        <v>11449</v>
      </c>
      <c r="H4559" s="54">
        <v>0</v>
      </c>
      <c r="I4559" s="16">
        <v>470000000</v>
      </c>
      <c r="J4559" s="16" t="s">
        <v>229</v>
      </c>
      <c r="K4559" s="57" t="s">
        <v>642</v>
      </c>
      <c r="L4559" s="12" t="s">
        <v>404</v>
      </c>
      <c r="M4559" s="162" t="s">
        <v>230</v>
      </c>
      <c r="N4559" s="8" t="s">
        <v>8899</v>
      </c>
      <c r="O4559" s="6" t="s">
        <v>622</v>
      </c>
      <c r="P4559" s="3">
        <v>796</v>
      </c>
      <c r="Q4559" s="27" t="s">
        <v>234</v>
      </c>
      <c r="R4559" s="27">
        <v>12</v>
      </c>
      <c r="S4559" s="59">
        <f>2002*1.07</f>
        <v>2142.1400000000003</v>
      </c>
      <c r="T4559" s="4">
        <f>R4559*S4559</f>
        <v>25705.680000000004</v>
      </c>
      <c r="U4559" s="4">
        <f>T4559*1.12</f>
        <v>28790.361600000007</v>
      </c>
      <c r="V4559" s="3"/>
      <c r="W4559" s="3">
        <v>2014</v>
      </c>
      <c r="X4559" s="3"/>
    </row>
    <row r="4560" spans="1:24" ht="76.5">
      <c r="A4560" s="3" t="s">
        <v>10563</v>
      </c>
      <c r="B4560" s="6" t="s">
        <v>361</v>
      </c>
      <c r="C4560" s="6" t="s">
        <v>5639</v>
      </c>
      <c r="D4560" s="6" t="s">
        <v>462</v>
      </c>
      <c r="E4560" s="6" t="s">
        <v>5640</v>
      </c>
      <c r="F4560" s="9" t="s">
        <v>8040</v>
      </c>
      <c r="G4560" s="3" t="s">
        <v>11449</v>
      </c>
      <c r="H4560" s="54">
        <v>0</v>
      </c>
      <c r="I4560" s="16">
        <v>470000000</v>
      </c>
      <c r="J4560" s="16" t="s">
        <v>229</v>
      </c>
      <c r="K4560" s="57" t="s">
        <v>641</v>
      </c>
      <c r="L4560" s="183" t="s">
        <v>364</v>
      </c>
      <c r="M4560" s="162" t="s">
        <v>230</v>
      </c>
      <c r="N4560" s="8" t="s">
        <v>8899</v>
      </c>
      <c r="O4560" s="6" t="s">
        <v>622</v>
      </c>
      <c r="P4560" s="3">
        <v>796</v>
      </c>
      <c r="Q4560" s="27" t="s">
        <v>234</v>
      </c>
      <c r="R4560" s="29">
        <v>20</v>
      </c>
      <c r="S4560" s="59">
        <f>545*1.07</f>
        <v>583.15</v>
      </c>
      <c r="T4560" s="4">
        <v>0</v>
      </c>
      <c r="U4560" s="4">
        <f t="shared" si="217"/>
        <v>0</v>
      </c>
      <c r="V4560" s="3"/>
      <c r="W4560" s="3">
        <v>2014</v>
      </c>
      <c r="X4560" s="3">
        <v>11.12</v>
      </c>
    </row>
    <row r="4561" spans="1:24" ht="76.5">
      <c r="A4561" s="3" t="s">
        <v>13280</v>
      </c>
      <c r="B4561" s="6" t="s">
        <v>361</v>
      </c>
      <c r="C4561" s="6" t="s">
        <v>5639</v>
      </c>
      <c r="D4561" s="6" t="s">
        <v>462</v>
      </c>
      <c r="E4561" s="6" t="s">
        <v>5640</v>
      </c>
      <c r="F4561" s="9" t="s">
        <v>8040</v>
      </c>
      <c r="G4561" s="3" t="s">
        <v>11449</v>
      </c>
      <c r="H4561" s="54">
        <v>0</v>
      </c>
      <c r="I4561" s="16">
        <v>470000000</v>
      </c>
      <c r="J4561" s="16" t="s">
        <v>229</v>
      </c>
      <c r="K4561" s="57" t="s">
        <v>642</v>
      </c>
      <c r="L4561" s="12" t="s">
        <v>404</v>
      </c>
      <c r="M4561" s="162" t="s">
        <v>230</v>
      </c>
      <c r="N4561" s="8" t="s">
        <v>8899</v>
      </c>
      <c r="O4561" s="6" t="s">
        <v>622</v>
      </c>
      <c r="P4561" s="3">
        <v>796</v>
      </c>
      <c r="Q4561" s="27" t="s">
        <v>234</v>
      </c>
      <c r="R4561" s="29">
        <v>20</v>
      </c>
      <c r="S4561" s="59">
        <f>545*1.07</f>
        <v>583.15</v>
      </c>
      <c r="T4561" s="4">
        <f>R4561*S4561</f>
        <v>11663</v>
      </c>
      <c r="U4561" s="4">
        <f>T4561*1.12</f>
        <v>13062.560000000001</v>
      </c>
      <c r="V4561" s="3"/>
      <c r="W4561" s="3">
        <v>2014</v>
      </c>
      <c r="X4561" s="3"/>
    </row>
    <row r="4562" spans="1:24" ht="76.5">
      <c r="A4562" s="3" t="s">
        <v>10564</v>
      </c>
      <c r="B4562" s="6" t="s">
        <v>361</v>
      </c>
      <c r="C4562" s="6" t="s">
        <v>5639</v>
      </c>
      <c r="D4562" s="6" t="s">
        <v>462</v>
      </c>
      <c r="E4562" s="6" t="s">
        <v>5640</v>
      </c>
      <c r="F4562" s="9" t="s">
        <v>8041</v>
      </c>
      <c r="G4562" s="3" t="s">
        <v>11449</v>
      </c>
      <c r="H4562" s="54">
        <v>0</v>
      </c>
      <c r="I4562" s="16">
        <v>470000000</v>
      </c>
      <c r="J4562" s="16" t="s">
        <v>229</v>
      </c>
      <c r="K4562" s="57" t="s">
        <v>641</v>
      </c>
      <c r="L4562" s="183" t="s">
        <v>364</v>
      </c>
      <c r="M4562" s="162" t="s">
        <v>230</v>
      </c>
      <c r="N4562" s="8" t="s">
        <v>8899</v>
      </c>
      <c r="O4562" s="6" t="s">
        <v>622</v>
      </c>
      <c r="P4562" s="3">
        <v>796</v>
      </c>
      <c r="Q4562" s="27" t="s">
        <v>234</v>
      </c>
      <c r="R4562" s="29">
        <v>20</v>
      </c>
      <c r="S4562" s="59">
        <f>545*1.07</f>
        <v>583.15</v>
      </c>
      <c r="T4562" s="4">
        <v>0</v>
      </c>
      <c r="U4562" s="4">
        <f t="shared" si="217"/>
        <v>0</v>
      </c>
      <c r="V4562" s="3"/>
      <c r="W4562" s="3">
        <v>2014</v>
      </c>
      <c r="X4562" s="3">
        <v>11.12</v>
      </c>
    </row>
    <row r="4563" spans="1:24" ht="76.5">
      <c r="A4563" s="3" t="s">
        <v>13281</v>
      </c>
      <c r="B4563" s="6" t="s">
        <v>361</v>
      </c>
      <c r="C4563" s="6" t="s">
        <v>5639</v>
      </c>
      <c r="D4563" s="6" t="s">
        <v>462</v>
      </c>
      <c r="E4563" s="6" t="s">
        <v>5640</v>
      </c>
      <c r="F4563" s="9" t="s">
        <v>8041</v>
      </c>
      <c r="G4563" s="3" t="s">
        <v>11449</v>
      </c>
      <c r="H4563" s="54">
        <v>0</v>
      </c>
      <c r="I4563" s="16">
        <v>470000000</v>
      </c>
      <c r="J4563" s="16" t="s">
        <v>229</v>
      </c>
      <c r="K4563" s="57" t="s">
        <v>642</v>
      </c>
      <c r="L4563" s="12" t="s">
        <v>404</v>
      </c>
      <c r="M4563" s="162" t="s">
        <v>230</v>
      </c>
      <c r="N4563" s="8" t="s">
        <v>8899</v>
      </c>
      <c r="O4563" s="6" t="s">
        <v>622</v>
      </c>
      <c r="P4563" s="3">
        <v>796</v>
      </c>
      <c r="Q4563" s="27" t="s">
        <v>234</v>
      </c>
      <c r="R4563" s="29">
        <v>20</v>
      </c>
      <c r="S4563" s="59">
        <f>545*1.07</f>
        <v>583.15</v>
      </c>
      <c r="T4563" s="4">
        <f>R4563*S4563</f>
        <v>11663</v>
      </c>
      <c r="U4563" s="4">
        <f>T4563*1.12</f>
        <v>13062.560000000001</v>
      </c>
      <c r="V4563" s="3"/>
      <c r="W4563" s="3">
        <v>2014</v>
      </c>
      <c r="X4563" s="3"/>
    </row>
    <row r="4564" spans="1:24" ht="76.5">
      <c r="A4564" s="3" t="s">
        <v>10565</v>
      </c>
      <c r="B4564" s="6" t="s">
        <v>361</v>
      </c>
      <c r="C4564" s="6" t="s">
        <v>5446</v>
      </c>
      <c r="D4564" s="6" t="s">
        <v>5447</v>
      </c>
      <c r="E4564" s="6" t="s">
        <v>5448</v>
      </c>
      <c r="F4564" s="9" t="s">
        <v>8042</v>
      </c>
      <c r="G4564" s="3" t="s">
        <v>11449</v>
      </c>
      <c r="H4564" s="54">
        <v>0</v>
      </c>
      <c r="I4564" s="16">
        <v>470000000</v>
      </c>
      <c r="J4564" s="16" t="s">
        <v>229</v>
      </c>
      <c r="K4564" s="57" t="s">
        <v>641</v>
      </c>
      <c r="L4564" s="183" t="s">
        <v>364</v>
      </c>
      <c r="M4564" s="162" t="s">
        <v>230</v>
      </c>
      <c r="N4564" s="8" t="s">
        <v>8899</v>
      </c>
      <c r="O4564" s="6" t="s">
        <v>622</v>
      </c>
      <c r="P4564" s="3">
        <v>796</v>
      </c>
      <c r="Q4564" s="27" t="s">
        <v>234</v>
      </c>
      <c r="R4564" s="29">
        <v>10</v>
      </c>
      <c r="S4564" s="59">
        <f>4455*1.07</f>
        <v>4766.8500000000004</v>
      </c>
      <c r="T4564" s="4">
        <v>0</v>
      </c>
      <c r="U4564" s="4">
        <f t="shared" si="217"/>
        <v>0</v>
      </c>
      <c r="V4564" s="3"/>
      <c r="W4564" s="3">
        <v>2014</v>
      </c>
      <c r="X4564" s="3">
        <v>11.12</v>
      </c>
    </row>
    <row r="4565" spans="1:24" ht="76.5">
      <c r="A4565" s="3" t="s">
        <v>13282</v>
      </c>
      <c r="B4565" s="6" t="s">
        <v>361</v>
      </c>
      <c r="C4565" s="6" t="s">
        <v>5446</v>
      </c>
      <c r="D4565" s="6" t="s">
        <v>5447</v>
      </c>
      <c r="E4565" s="6" t="s">
        <v>5448</v>
      </c>
      <c r="F4565" s="9" t="s">
        <v>8042</v>
      </c>
      <c r="G4565" s="3" t="s">
        <v>11449</v>
      </c>
      <c r="H4565" s="54">
        <v>0</v>
      </c>
      <c r="I4565" s="16">
        <v>470000000</v>
      </c>
      <c r="J4565" s="16" t="s">
        <v>229</v>
      </c>
      <c r="K4565" s="57" t="s">
        <v>642</v>
      </c>
      <c r="L4565" s="12" t="s">
        <v>404</v>
      </c>
      <c r="M4565" s="162" t="s">
        <v>230</v>
      </c>
      <c r="N4565" s="8" t="s">
        <v>8899</v>
      </c>
      <c r="O4565" s="6" t="s">
        <v>622</v>
      </c>
      <c r="P4565" s="3">
        <v>796</v>
      </c>
      <c r="Q4565" s="27" t="s">
        <v>234</v>
      </c>
      <c r="R4565" s="29">
        <v>10</v>
      </c>
      <c r="S4565" s="59">
        <f>4455*1.07</f>
        <v>4766.8500000000004</v>
      </c>
      <c r="T4565" s="4">
        <f>R4565*S4565</f>
        <v>47668.5</v>
      </c>
      <c r="U4565" s="4">
        <f>T4565*1.12</f>
        <v>53388.720000000008</v>
      </c>
      <c r="V4565" s="3"/>
      <c r="W4565" s="3">
        <v>2014</v>
      </c>
      <c r="X4565" s="3"/>
    </row>
    <row r="4566" spans="1:24" ht="76.5">
      <c r="A4566" s="3" t="s">
        <v>10566</v>
      </c>
      <c r="B4566" s="6" t="s">
        <v>361</v>
      </c>
      <c r="C4566" s="6" t="s">
        <v>5446</v>
      </c>
      <c r="D4566" s="6" t="s">
        <v>5447</v>
      </c>
      <c r="E4566" s="6" t="s">
        <v>5448</v>
      </c>
      <c r="F4566" s="9" t="s">
        <v>8043</v>
      </c>
      <c r="G4566" s="3" t="s">
        <v>11449</v>
      </c>
      <c r="H4566" s="54">
        <v>0</v>
      </c>
      <c r="I4566" s="16">
        <v>470000000</v>
      </c>
      <c r="J4566" s="16" t="s">
        <v>229</v>
      </c>
      <c r="K4566" s="57" t="s">
        <v>641</v>
      </c>
      <c r="L4566" s="183" t="s">
        <v>364</v>
      </c>
      <c r="M4566" s="162" t="s">
        <v>230</v>
      </c>
      <c r="N4566" s="8" t="s">
        <v>8899</v>
      </c>
      <c r="O4566" s="6" t="s">
        <v>622</v>
      </c>
      <c r="P4566" s="3">
        <v>796</v>
      </c>
      <c r="Q4566" s="27" t="s">
        <v>234</v>
      </c>
      <c r="R4566" s="29">
        <v>10</v>
      </c>
      <c r="S4566" s="59">
        <f>5473*1.07</f>
        <v>5856.1100000000006</v>
      </c>
      <c r="T4566" s="4">
        <v>0</v>
      </c>
      <c r="U4566" s="4">
        <f t="shared" si="217"/>
        <v>0</v>
      </c>
      <c r="V4566" s="3"/>
      <c r="W4566" s="3">
        <v>2014</v>
      </c>
      <c r="X4566" s="3">
        <v>11.12</v>
      </c>
    </row>
    <row r="4567" spans="1:24" ht="76.5">
      <c r="A4567" s="3" t="s">
        <v>13283</v>
      </c>
      <c r="B4567" s="6" t="s">
        <v>361</v>
      </c>
      <c r="C4567" s="6" t="s">
        <v>5446</v>
      </c>
      <c r="D4567" s="6" t="s">
        <v>5447</v>
      </c>
      <c r="E4567" s="6" t="s">
        <v>5448</v>
      </c>
      <c r="F4567" s="9" t="s">
        <v>8043</v>
      </c>
      <c r="G4567" s="3" t="s">
        <v>11449</v>
      </c>
      <c r="H4567" s="54">
        <v>0</v>
      </c>
      <c r="I4567" s="16">
        <v>470000000</v>
      </c>
      <c r="J4567" s="16" t="s">
        <v>229</v>
      </c>
      <c r="K4567" s="57" t="s">
        <v>642</v>
      </c>
      <c r="L4567" s="12" t="s">
        <v>404</v>
      </c>
      <c r="M4567" s="162" t="s">
        <v>230</v>
      </c>
      <c r="N4567" s="8" t="s">
        <v>8899</v>
      </c>
      <c r="O4567" s="6" t="s">
        <v>622</v>
      </c>
      <c r="P4567" s="3">
        <v>796</v>
      </c>
      <c r="Q4567" s="27" t="s">
        <v>234</v>
      </c>
      <c r="R4567" s="29">
        <v>10</v>
      </c>
      <c r="S4567" s="59">
        <f>5473*1.07</f>
        <v>5856.1100000000006</v>
      </c>
      <c r="T4567" s="4">
        <f>R4567*S4567</f>
        <v>58561.100000000006</v>
      </c>
      <c r="U4567" s="4">
        <f>T4567*1.12</f>
        <v>65588.432000000015</v>
      </c>
      <c r="V4567" s="3"/>
      <c r="W4567" s="3">
        <v>2014</v>
      </c>
      <c r="X4567" s="3"/>
    </row>
    <row r="4568" spans="1:24" ht="76.5">
      <c r="A4568" s="3" t="s">
        <v>10567</v>
      </c>
      <c r="B4568" s="6" t="s">
        <v>361</v>
      </c>
      <c r="C4568" s="6" t="s">
        <v>5641</v>
      </c>
      <c r="D4568" s="6" t="s">
        <v>430</v>
      </c>
      <c r="E4568" s="6" t="s">
        <v>5642</v>
      </c>
      <c r="F4568" s="8" t="s">
        <v>5643</v>
      </c>
      <c r="G4568" s="3" t="s">
        <v>11449</v>
      </c>
      <c r="H4568" s="54">
        <v>0</v>
      </c>
      <c r="I4568" s="16">
        <v>470000000</v>
      </c>
      <c r="J4568" s="16" t="s">
        <v>229</v>
      </c>
      <c r="K4568" s="57" t="s">
        <v>641</v>
      </c>
      <c r="L4568" s="183" t="s">
        <v>364</v>
      </c>
      <c r="M4568" s="162" t="s">
        <v>230</v>
      </c>
      <c r="N4568" s="8" t="s">
        <v>8899</v>
      </c>
      <c r="O4568" s="6" t="s">
        <v>622</v>
      </c>
      <c r="P4568" s="3">
        <v>796</v>
      </c>
      <c r="Q4568" s="27" t="s">
        <v>234</v>
      </c>
      <c r="R4568" s="27">
        <v>6</v>
      </c>
      <c r="S4568" s="59">
        <f>31769*1.07</f>
        <v>33992.83</v>
      </c>
      <c r="T4568" s="4">
        <v>0</v>
      </c>
      <c r="U4568" s="4">
        <f t="shared" si="217"/>
        <v>0</v>
      </c>
      <c r="V4568" s="3"/>
      <c r="W4568" s="3">
        <v>2014</v>
      </c>
      <c r="X4568" s="3">
        <v>11.12</v>
      </c>
    </row>
    <row r="4569" spans="1:24" ht="76.5">
      <c r="A4569" s="3" t="s">
        <v>13284</v>
      </c>
      <c r="B4569" s="6" t="s">
        <v>361</v>
      </c>
      <c r="C4569" s="6" t="s">
        <v>5641</v>
      </c>
      <c r="D4569" s="6" t="s">
        <v>430</v>
      </c>
      <c r="E4569" s="6" t="s">
        <v>5642</v>
      </c>
      <c r="F4569" s="8" t="s">
        <v>5643</v>
      </c>
      <c r="G4569" s="3" t="s">
        <v>11449</v>
      </c>
      <c r="H4569" s="54">
        <v>0</v>
      </c>
      <c r="I4569" s="16">
        <v>470000000</v>
      </c>
      <c r="J4569" s="16" t="s">
        <v>229</v>
      </c>
      <c r="K4569" s="57" t="s">
        <v>642</v>
      </c>
      <c r="L4569" s="12" t="s">
        <v>404</v>
      </c>
      <c r="M4569" s="162" t="s">
        <v>230</v>
      </c>
      <c r="N4569" s="8" t="s">
        <v>8899</v>
      </c>
      <c r="O4569" s="6" t="s">
        <v>622</v>
      </c>
      <c r="P4569" s="3">
        <v>796</v>
      </c>
      <c r="Q4569" s="27" t="s">
        <v>234</v>
      </c>
      <c r="R4569" s="27">
        <v>6</v>
      </c>
      <c r="S4569" s="59">
        <f>31769*1.07</f>
        <v>33992.83</v>
      </c>
      <c r="T4569" s="4">
        <f>R4569*S4569</f>
        <v>203956.98</v>
      </c>
      <c r="U4569" s="4">
        <f>T4569*1.12</f>
        <v>228431.81760000004</v>
      </c>
      <c r="V4569" s="3"/>
      <c r="W4569" s="3">
        <v>2014</v>
      </c>
      <c r="X4569" s="3"/>
    </row>
    <row r="4570" spans="1:24" ht="76.5">
      <c r="A4570" s="3" t="s">
        <v>10568</v>
      </c>
      <c r="B4570" s="6" t="s">
        <v>361</v>
      </c>
      <c r="C4570" s="6" t="s">
        <v>5644</v>
      </c>
      <c r="D4570" s="6" t="s">
        <v>5460</v>
      </c>
      <c r="E4570" s="6" t="s">
        <v>5332</v>
      </c>
      <c r="F4570" s="8" t="s">
        <v>5645</v>
      </c>
      <c r="G4570" s="3" t="s">
        <v>11449</v>
      </c>
      <c r="H4570" s="54">
        <v>0</v>
      </c>
      <c r="I4570" s="16">
        <v>470000000</v>
      </c>
      <c r="J4570" s="16" t="s">
        <v>229</v>
      </c>
      <c r="K4570" s="57" t="s">
        <v>641</v>
      </c>
      <c r="L4570" s="183" t="s">
        <v>364</v>
      </c>
      <c r="M4570" s="162" t="s">
        <v>230</v>
      </c>
      <c r="N4570" s="8" t="s">
        <v>8899</v>
      </c>
      <c r="O4570" s="6" t="s">
        <v>622</v>
      </c>
      <c r="P4570" s="3">
        <v>796</v>
      </c>
      <c r="Q4570" s="27" t="s">
        <v>234</v>
      </c>
      <c r="R4570" s="27">
        <v>10</v>
      </c>
      <c r="S4570" s="59">
        <f>10870*1.07</f>
        <v>11630.900000000001</v>
      </c>
      <c r="T4570" s="4">
        <v>0</v>
      </c>
      <c r="U4570" s="4">
        <f t="shared" ref="U4570:U4723" si="218">T4570*1.12</f>
        <v>0</v>
      </c>
      <c r="V4570" s="3"/>
      <c r="W4570" s="3">
        <v>2014</v>
      </c>
      <c r="X4570" s="3">
        <v>11.12</v>
      </c>
    </row>
    <row r="4571" spans="1:24" ht="76.5">
      <c r="A4571" s="3" t="s">
        <v>13285</v>
      </c>
      <c r="B4571" s="6" t="s">
        <v>361</v>
      </c>
      <c r="C4571" s="6" t="s">
        <v>5644</v>
      </c>
      <c r="D4571" s="6" t="s">
        <v>5460</v>
      </c>
      <c r="E4571" s="6" t="s">
        <v>5332</v>
      </c>
      <c r="F4571" s="8" t="s">
        <v>5645</v>
      </c>
      <c r="G4571" s="3" t="s">
        <v>11449</v>
      </c>
      <c r="H4571" s="54">
        <v>0</v>
      </c>
      <c r="I4571" s="16">
        <v>470000000</v>
      </c>
      <c r="J4571" s="16" t="s">
        <v>229</v>
      </c>
      <c r="K4571" s="57" t="s">
        <v>642</v>
      </c>
      <c r="L4571" s="12" t="s">
        <v>404</v>
      </c>
      <c r="M4571" s="162" t="s">
        <v>230</v>
      </c>
      <c r="N4571" s="8" t="s">
        <v>8899</v>
      </c>
      <c r="O4571" s="6" t="s">
        <v>622</v>
      </c>
      <c r="P4571" s="3">
        <v>796</v>
      </c>
      <c r="Q4571" s="27" t="s">
        <v>234</v>
      </c>
      <c r="R4571" s="27">
        <v>10</v>
      </c>
      <c r="S4571" s="59">
        <f>10870*1.07</f>
        <v>11630.900000000001</v>
      </c>
      <c r="T4571" s="4">
        <f>R4571*S4571</f>
        <v>116309.00000000001</v>
      </c>
      <c r="U4571" s="4">
        <f>T4571*1.12</f>
        <v>130266.08000000003</v>
      </c>
      <c r="V4571" s="3"/>
      <c r="W4571" s="3">
        <v>2014</v>
      </c>
      <c r="X4571" s="3"/>
    </row>
    <row r="4572" spans="1:24" ht="76.5">
      <c r="A4572" s="3" t="s">
        <v>10569</v>
      </c>
      <c r="B4572" s="6" t="s">
        <v>361</v>
      </c>
      <c r="C4572" s="6" t="s">
        <v>5459</v>
      </c>
      <c r="D4572" s="6" t="s">
        <v>5460</v>
      </c>
      <c r="E4572" s="6" t="s">
        <v>5183</v>
      </c>
      <c r="F4572" s="8" t="s">
        <v>8044</v>
      </c>
      <c r="G4572" s="3" t="s">
        <v>11449</v>
      </c>
      <c r="H4572" s="54">
        <v>0</v>
      </c>
      <c r="I4572" s="16">
        <v>470000000</v>
      </c>
      <c r="J4572" s="16" t="s">
        <v>229</v>
      </c>
      <c r="K4572" s="57" t="s">
        <v>641</v>
      </c>
      <c r="L4572" s="183" t="s">
        <v>364</v>
      </c>
      <c r="M4572" s="162" t="s">
        <v>230</v>
      </c>
      <c r="N4572" s="8" t="s">
        <v>8899</v>
      </c>
      <c r="O4572" s="6" t="s">
        <v>622</v>
      </c>
      <c r="P4572" s="3">
        <v>796</v>
      </c>
      <c r="Q4572" s="27" t="s">
        <v>234</v>
      </c>
      <c r="R4572" s="27">
        <v>30</v>
      </c>
      <c r="S4572" s="59">
        <f>87*1.07</f>
        <v>93.09</v>
      </c>
      <c r="T4572" s="4">
        <v>0</v>
      </c>
      <c r="U4572" s="4">
        <f t="shared" si="218"/>
        <v>0</v>
      </c>
      <c r="V4572" s="3"/>
      <c r="W4572" s="3">
        <v>2014</v>
      </c>
      <c r="X4572" s="3">
        <v>11.12</v>
      </c>
    </row>
    <row r="4573" spans="1:24" ht="76.5">
      <c r="A4573" s="3" t="s">
        <v>13286</v>
      </c>
      <c r="B4573" s="6" t="s">
        <v>361</v>
      </c>
      <c r="C4573" s="6" t="s">
        <v>5459</v>
      </c>
      <c r="D4573" s="6" t="s">
        <v>5460</v>
      </c>
      <c r="E4573" s="6" t="s">
        <v>5183</v>
      </c>
      <c r="F4573" s="8" t="s">
        <v>8044</v>
      </c>
      <c r="G4573" s="3" t="s">
        <v>11449</v>
      </c>
      <c r="H4573" s="54">
        <v>0</v>
      </c>
      <c r="I4573" s="16">
        <v>470000000</v>
      </c>
      <c r="J4573" s="16" t="s">
        <v>229</v>
      </c>
      <c r="K4573" s="57" t="s">
        <v>642</v>
      </c>
      <c r="L4573" s="12" t="s">
        <v>404</v>
      </c>
      <c r="M4573" s="162" t="s">
        <v>230</v>
      </c>
      <c r="N4573" s="8" t="s">
        <v>8899</v>
      </c>
      <c r="O4573" s="6" t="s">
        <v>622</v>
      </c>
      <c r="P4573" s="3">
        <v>796</v>
      </c>
      <c r="Q4573" s="27" t="s">
        <v>234</v>
      </c>
      <c r="R4573" s="27">
        <v>30</v>
      </c>
      <c r="S4573" s="59">
        <f>87*1.07</f>
        <v>93.09</v>
      </c>
      <c r="T4573" s="4">
        <f>R4573*S4573</f>
        <v>2792.7000000000003</v>
      </c>
      <c r="U4573" s="4">
        <f>T4573*1.12</f>
        <v>3127.8240000000005</v>
      </c>
      <c r="V4573" s="3"/>
      <c r="W4573" s="3">
        <v>2014</v>
      </c>
      <c r="X4573" s="3"/>
    </row>
    <row r="4574" spans="1:24" ht="76.5">
      <c r="A4574" s="3" t="s">
        <v>10570</v>
      </c>
      <c r="B4574" s="6" t="s">
        <v>361</v>
      </c>
      <c r="C4574" s="6" t="s">
        <v>5524</v>
      </c>
      <c r="D4574" s="6" t="s">
        <v>5525</v>
      </c>
      <c r="E4574" s="6" t="s">
        <v>5335</v>
      </c>
      <c r="F4574" s="8" t="s">
        <v>8045</v>
      </c>
      <c r="G4574" s="3" t="s">
        <v>11449</v>
      </c>
      <c r="H4574" s="54">
        <v>0</v>
      </c>
      <c r="I4574" s="16">
        <v>470000000</v>
      </c>
      <c r="J4574" s="16" t="s">
        <v>229</v>
      </c>
      <c r="K4574" s="57" t="s">
        <v>641</v>
      </c>
      <c r="L4574" s="183" t="s">
        <v>364</v>
      </c>
      <c r="M4574" s="162" t="s">
        <v>230</v>
      </c>
      <c r="N4574" s="8" t="s">
        <v>8899</v>
      </c>
      <c r="O4574" s="6" t="s">
        <v>622</v>
      </c>
      <c r="P4574" s="3">
        <v>796</v>
      </c>
      <c r="Q4574" s="27" t="s">
        <v>234</v>
      </c>
      <c r="R4574" s="27">
        <v>6</v>
      </c>
      <c r="S4574" s="59">
        <f>13083*1.07</f>
        <v>13998.810000000001</v>
      </c>
      <c r="T4574" s="4">
        <v>0</v>
      </c>
      <c r="U4574" s="4">
        <f t="shared" si="218"/>
        <v>0</v>
      </c>
      <c r="V4574" s="3"/>
      <c r="W4574" s="3">
        <v>2014</v>
      </c>
      <c r="X4574" s="3">
        <v>11.12</v>
      </c>
    </row>
    <row r="4575" spans="1:24" ht="76.5">
      <c r="A4575" s="3" t="s">
        <v>13287</v>
      </c>
      <c r="B4575" s="6" t="s">
        <v>361</v>
      </c>
      <c r="C4575" s="6" t="s">
        <v>5524</v>
      </c>
      <c r="D4575" s="6" t="s">
        <v>5525</v>
      </c>
      <c r="E4575" s="6" t="s">
        <v>5335</v>
      </c>
      <c r="F4575" s="8" t="s">
        <v>8045</v>
      </c>
      <c r="G4575" s="3" t="s">
        <v>11449</v>
      </c>
      <c r="H4575" s="54">
        <v>0</v>
      </c>
      <c r="I4575" s="16">
        <v>470000000</v>
      </c>
      <c r="J4575" s="16" t="s">
        <v>229</v>
      </c>
      <c r="K4575" s="57" t="s">
        <v>642</v>
      </c>
      <c r="L4575" s="12" t="s">
        <v>404</v>
      </c>
      <c r="M4575" s="162" t="s">
        <v>230</v>
      </c>
      <c r="N4575" s="8" t="s">
        <v>8899</v>
      </c>
      <c r="O4575" s="6" t="s">
        <v>622</v>
      </c>
      <c r="P4575" s="3">
        <v>796</v>
      </c>
      <c r="Q4575" s="27" t="s">
        <v>234</v>
      </c>
      <c r="R4575" s="27">
        <v>6</v>
      </c>
      <c r="S4575" s="59">
        <f>13083*1.07</f>
        <v>13998.810000000001</v>
      </c>
      <c r="T4575" s="4">
        <f>R4575*S4575</f>
        <v>83992.860000000015</v>
      </c>
      <c r="U4575" s="4">
        <f>T4575*1.12</f>
        <v>94072.003200000021</v>
      </c>
      <c r="V4575" s="3"/>
      <c r="W4575" s="3">
        <v>2014</v>
      </c>
      <c r="X4575" s="3"/>
    </row>
    <row r="4576" spans="1:24" ht="76.5">
      <c r="A4576" s="3" t="s">
        <v>10571</v>
      </c>
      <c r="B4576" s="6" t="s">
        <v>361</v>
      </c>
      <c r="C4576" s="6" t="s">
        <v>5646</v>
      </c>
      <c r="D4576" s="6" t="s">
        <v>464</v>
      </c>
      <c r="E4576" s="6" t="s">
        <v>5647</v>
      </c>
      <c r="F4576" s="9" t="s">
        <v>8046</v>
      </c>
      <c r="G4576" s="3" t="s">
        <v>11449</v>
      </c>
      <c r="H4576" s="54">
        <v>0</v>
      </c>
      <c r="I4576" s="16">
        <v>470000000</v>
      </c>
      <c r="J4576" s="16" t="s">
        <v>229</v>
      </c>
      <c r="K4576" s="57" t="s">
        <v>641</v>
      </c>
      <c r="L4576" s="183" t="s">
        <v>364</v>
      </c>
      <c r="M4576" s="162" t="s">
        <v>230</v>
      </c>
      <c r="N4576" s="8" t="s">
        <v>8899</v>
      </c>
      <c r="O4576" s="6" t="s">
        <v>622</v>
      </c>
      <c r="P4576" s="3">
        <v>796</v>
      </c>
      <c r="Q4576" s="27" t="s">
        <v>234</v>
      </c>
      <c r="R4576" s="27">
        <v>10</v>
      </c>
      <c r="S4576" s="59">
        <f>4173*1.07</f>
        <v>4465.1100000000006</v>
      </c>
      <c r="T4576" s="4">
        <v>0</v>
      </c>
      <c r="U4576" s="4">
        <f t="shared" si="218"/>
        <v>0</v>
      </c>
      <c r="V4576" s="3"/>
      <c r="W4576" s="3">
        <v>2014</v>
      </c>
      <c r="X4576" s="3">
        <v>11.12</v>
      </c>
    </row>
    <row r="4577" spans="1:24" ht="76.5">
      <c r="A4577" s="3" t="s">
        <v>13288</v>
      </c>
      <c r="B4577" s="6" t="s">
        <v>361</v>
      </c>
      <c r="C4577" s="6" t="s">
        <v>5646</v>
      </c>
      <c r="D4577" s="6" t="s">
        <v>464</v>
      </c>
      <c r="E4577" s="6" t="s">
        <v>5647</v>
      </c>
      <c r="F4577" s="9" t="s">
        <v>8046</v>
      </c>
      <c r="G4577" s="3" t="s">
        <v>11449</v>
      </c>
      <c r="H4577" s="54">
        <v>0</v>
      </c>
      <c r="I4577" s="16">
        <v>470000000</v>
      </c>
      <c r="J4577" s="16" t="s">
        <v>229</v>
      </c>
      <c r="K4577" s="57" t="s">
        <v>642</v>
      </c>
      <c r="L4577" s="12" t="s">
        <v>404</v>
      </c>
      <c r="M4577" s="162" t="s">
        <v>230</v>
      </c>
      <c r="N4577" s="8" t="s">
        <v>8899</v>
      </c>
      <c r="O4577" s="6" t="s">
        <v>622</v>
      </c>
      <c r="P4577" s="3">
        <v>796</v>
      </c>
      <c r="Q4577" s="27" t="s">
        <v>234</v>
      </c>
      <c r="R4577" s="27">
        <v>10</v>
      </c>
      <c r="S4577" s="59">
        <f>4173*1.07</f>
        <v>4465.1100000000006</v>
      </c>
      <c r="T4577" s="4">
        <f>R4577*S4577</f>
        <v>44651.100000000006</v>
      </c>
      <c r="U4577" s="4">
        <f>T4577*1.12</f>
        <v>50009.232000000011</v>
      </c>
      <c r="V4577" s="3"/>
      <c r="W4577" s="3">
        <v>2014</v>
      </c>
      <c r="X4577" s="3"/>
    </row>
    <row r="4578" spans="1:24" ht="76.5">
      <c r="A4578" s="3" t="s">
        <v>10572</v>
      </c>
      <c r="B4578" s="6" t="s">
        <v>361</v>
      </c>
      <c r="C4578" s="6" t="s">
        <v>5646</v>
      </c>
      <c r="D4578" s="6" t="s">
        <v>464</v>
      </c>
      <c r="E4578" s="6" t="s">
        <v>5647</v>
      </c>
      <c r="F4578" s="9" t="s">
        <v>8047</v>
      </c>
      <c r="G4578" s="3" t="s">
        <v>11449</v>
      </c>
      <c r="H4578" s="54">
        <v>0</v>
      </c>
      <c r="I4578" s="16">
        <v>470000000</v>
      </c>
      <c r="J4578" s="16" t="s">
        <v>229</v>
      </c>
      <c r="K4578" s="57" t="s">
        <v>641</v>
      </c>
      <c r="L4578" s="183" t="s">
        <v>364</v>
      </c>
      <c r="M4578" s="162" t="s">
        <v>230</v>
      </c>
      <c r="N4578" s="8" t="s">
        <v>8899</v>
      </c>
      <c r="O4578" s="6" t="s">
        <v>622</v>
      </c>
      <c r="P4578" s="3">
        <v>796</v>
      </c>
      <c r="Q4578" s="27" t="s">
        <v>234</v>
      </c>
      <c r="R4578" s="27">
        <v>10</v>
      </c>
      <c r="S4578" s="59">
        <f>3580*1.07</f>
        <v>3830.6000000000004</v>
      </c>
      <c r="T4578" s="4">
        <v>0</v>
      </c>
      <c r="U4578" s="4">
        <f t="shared" si="218"/>
        <v>0</v>
      </c>
      <c r="V4578" s="3"/>
      <c r="W4578" s="3">
        <v>2014</v>
      </c>
      <c r="X4578" s="3">
        <v>11.12</v>
      </c>
    </row>
    <row r="4579" spans="1:24" ht="76.5">
      <c r="A4579" s="3" t="s">
        <v>13289</v>
      </c>
      <c r="B4579" s="6" t="s">
        <v>361</v>
      </c>
      <c r="C4579" s="6" t="s">
        <v>5646</v>
      </c>
      <c r="D4579" s="6" t="s">
        <v>464</v>
      </c>
      <c r="E4579" s="6" t="s">
        <v>5647</v>
      </c>
      <c r="F4579" s="9" t="s">
        <v>8047</v>
      </c>
      <c r="G4579" s="3" t="s">
        <v>11449</v>
      </c>
      <c r="H4579" s="54">
        <v>0</v>
      </c>
      <c r="I4579" s="16">
        <v>470000000</v>
      </c>
      <c r="J4579" s="16" t="s">
        <v>229</v>
      </c>
      <c r="K4579" s="57" t="s">
        <v>642</v>
      </c>
      <c r="L4579" s="12" t="s">
        <v>404</v>
      </c>
      <c r="M4579" s="162" t="s">
        <v>230</v>
      </c>
      <c r="N4579" s="8" t="s">
        <v>8899</v>
      </c>
      <c r="O4579" s="6" t="s">
        <v>622</v>
      </c>
      <c r="P4579" s="3">
        <v>796</v>
      </c>
      <c r="Q4579" s="27" t="s">
        <v>234</v>
      </c>
      <c r="R4579" s="27">
        <v>10</v>
      </c>
      <c r="S4579" s="59">
        <f>3580*1.07</f>
        <v>3830.6000000000004</v>
      </c>
      <c r="T4579" s="4">
        <v>0</v>
      </c>
      <c r="U4579" s="4">
        <f>T4579*1.12</f>
        <v>0</v>
      </c>
      <c r="V4579" s="3"/>
      <c r="W4579" s="3">
        <v>2014</v>
      </c>
      <c r="X4579" s="3" t="s">
        <v>14785</v>
      </c>
    </row>
    <row r="4580" spans="1:24" ht="76.5">
      <c r="A4580" s="3" t="s">
        <v>16672</v>
      </c>
      <c r="B4580" s="6" t="s">
        <v>361</v>
      </c>
      <c r="C4580" s="6" t="s">
        <v>5646</v>
      </c>
      <c r="D4580" s="6" t="s">
        <v>464</v>
      </c>
      <c r="E4580" s="6" t="s">
        <v>5647</v>
      </c>
      <c r="F4580" s="9" t="s">
        <v>8047</v>
      </c>
      <c r="G4580" s="3" t="s">
        <v>11449</v>
      </c>
      <c r="H4580" s="54">
        <v>0</v>
      </c>
      <c r="I4580" s="16">
        <v>470000000</v>
      </c>
      <c r="J4580" s="16" t="s">
        <v>229</v>
      </c>
      <c r="K4580" s="57" t="s">
        <v>8950</v>
      </c>
      <c r="L4580" s="12" t="s">
        <v>404</v>
      </c>
      <c r="M4580" s="162" t="s">
        <v>230</v>
      </c>
      <c r="N4580" s="8" t="s">
        <v>8899</v>
      </c>
      <c r="O4580" s="6" t="s">
        <v>622</v>
      </c>
      <c r="P4580" s="3">
        <v>796</v>
      </c>
      <c r="Q4580" s="27" t="s">
        <v>234</v>
      </c>
      <c r="R4580" s="27">
        <v>10</v>
      </c>
      <c r="S4580" s="59">
        <v>4596.72</v>
      </c>
      <c r="T4580" s="4">
        <v>0</v>
      </c>
      <c r="U4580" s="4">
        <f>T4580*1.12</f>
        <v>0</v>
      </c>
      <c r="V4580" s="3"/>
      <c r="W4580" s="3">
        <v>2014</v>
      </c>
      <c r="X4580" s="3">
        <v>11</v>
      </c>
    </row>
    <row r="4581" spans="1:24" ht="76.5">
      <c r="A4581" s="3" t="s">
        <v>18788</v>
      </c>
      <c r="B4581" s="6" t="s">
        <v>361</v>
      </c>
      <c r="C4581" s="6" t="s">
        <v>5646</v>
      </c>
      <c r="D4581" s="6" t="s">
        <v>464</v>
      </c>
      <c r="E4581" s="6" t="s">
        <v>5647</v>
      </c>
      <c r="F4581" s="9" t="s">
        <v>8047</v>
      </c>
      <c r="G4581" s="3" t="s">
        <v>11449</v>
      </c>
      <c r="H4581" s="54">
        <v>0</v>
      </c>
      <c r="I4581" s="16">
        <v>470000000</v>
      </c>
      <c r="J4581" s="16" t="s">
        <v>229</v>
      </c>
      <c r="K4581" s="57" t="s">
        <v>18437</v>
      </c>
      <c r="L4581" s="12" t="s">
        <v>404</v>
      </c>
      <c r="M4581" s="162" t="s">
        <v>230</v>
      </c>
      <c r="N4581" s="8" t="s">
        <v>8899</v>
      </c>
      <c r="O4581" s="6" t="s">
        <v>622</v>
      </c>
      <c r="P4581" s="3">
        <v>796</v>
      </c>
      <c r="Q4581" s="27" t="s">
        <v>234</v>
      </c>
      <c r="R4581" s="27">
        <v>10</v>
      </c>
      <c r="S4581" s="59">
        <v>4596.72</v>
      </c>
      <c r="T4581" s="4">
        <v>0</v>
      </c>
      <c r="U4581" s="4">
        <f>T4581*1.12</f>
        <v>0</v>
      </c>
      <c r="V4581" s="3"/>
      <c r="W4581" s="3">
        <v>2014</v>
      </c>
      <c r="X4581" s="3">
        <v>14.15</v>
      </c>
    </row>
    <row r="4582" spans="1:24" ht="76.5">
      <c r="A4582" s="3" t="s">
        <v>19509</v>
      </c>
      <c r="B4582" s="6" t="s">
        <v>361</v>
      </c>
      <c r="C4582" s="6" t="s">
        <v>5646</v>
      </c>
      <c r="D4582" s="6" t="s">
        <v>464</v>
      </c>
      <c r="E4582" s="6" t="s">
        <v>5647</v>
      </c>
      <c r="F4582" s="9" t="s">
        <v>8047</v>
      </c>
      <c r="G4582" s="3" t="s">
        <v>11449</v>
      </c>
      <c r="H4582" s="54">
        <v>0</v>
      </c>
      <c r="I4582" s="16">
        <v>470000000</v>
      </c>
      <c r="J4582" s="16" t="s">
        <v>229</v>
      </c>
      <c r="K4582" s="57" t="s">
        <v>18437</v>
      </c>
      <c r="L4582" s="12" t="s">
        <v>404</v>
      </c>
      <c r="M4582" s="162" t="s">
        <v>230</v>
      </c>
      <c r="N4582" s="8" t="s">
        <v>19369</v>
      </c>
      <c r="O4582" s="6" t="s">
        <v>19407</v>
      </c>
      <c r="P4582" s="3">
        <v>796</v>
      </c>
      <c r="Q4582" s="27" t="s">
        <v>234</v>
      </c>
      <c r="R4582" s="27">
        <v>10</v>
      </c>
      <c r="S4582" s="59">
        <v>4596.72</v>
      </c>
      <c r="T4582" s="4">
        <f>R4582*S4582</f>
        <v>45967.200000000004</v>
      </c>
      <c r="U4582" s="4">
        <f>T4582*1.12</f>
        <v>51483.26400000001</v>
      </c>
      <c r="V4582" s="3"/>
      <c r="W4582" s="3">
        <v>2014</v>
      </c>
      <c r="X4582" s="3"/>
    </row>
    <row r="4583" spans="1:24" ht="76.5">
      <c r="A4583" s="3" t="s">
        <v>10573</v>
      </c>
      <c r="B4583" s="6" t="s">
        <v>361</v>
      </c>
      <c r="C4583" s="6" t="s">
        <v>6342</v>
      </c>
      <c r="D4583" s="6" t="s">
        <v>388</v>
      </c>
      <c r="E4583" s="6" t="s">
        <v>6343</v>
      </c>
      <c r="F4583" s="8" t="s">
        <v>8048</v>
      </c>
      <c r="G4583" s="3" t="s">
        <v>11449</v>
      </c>
      <c r="H4583" s="54">
        <v>0</v>
      </c>
      <c r="I4583" s="16">
        <v>470000000</v>
      </c>
      <c r="J4583" s="16" t="s">
        <v>229</v>
      </c>
      <c r="K4583" s="57" t="s">
        <v>641</v>
      </c>
      <c r="L4583" s="183" t="s">
        <v>364</v>
      </c>
      <c r="M4583" s="162" t="s">
        <v>230</v>
      </c>
      <c r="N4583" s="8" t="s">
        <v>8899</v>
      </c>
      <c r="O4583" s="6" t="s">
        <v>622</v>
      </c>
      <c r="P4583" s="3">
        <v>796</v>
      </c>
      <c r="Q4583" s="27" t="s">
        <v>234</v>
      </c>
      <c r="R4583" s="27">
        <v>6</v>
      </c>
      <c r="S4583" s="59">
        <f>14268*1.07</f>
        <v>15266.76</v>
      </c>
      <c r="T4583" s="4">
        <v>0</v>
      </c>
      <c r="U4583" s="4">
        <f t="shared" si="218"/>
        <v>0</v>
      </c>
      <c r="V4583" s="3"/>
      <c r="W4583" s="3">
        <v>2014</v>
      </c>
      <c r="X4583" s="3">
        <v>11.12</v>
      </c>
    </row>
    <row r="4584" spans="1:24" ht="76.5">
      <c r="A4584" s="3" t="s">
        <v>13290</v>
      </c>
      <c r="B4584" s="6" t="s">
        <v>361</v>
      </c>
      <c r="C4584" s="6" t="s">
        <v>6342</v>
      </c>
      <c r="D4584" s="6" t="s">
        <v>388</v>
      </c>
      <c r="E4584" s="6" t="s">
        <v>6343</v>
      </c>
      <c r="F4584" s="8" t="s">
        <v>8048</v>
      </c>
      <c r="G4584" s="3" t="s">
        <v>11449</v>
      </c>
      <c r="H4584" s="54">
        <v>0</v>
      </c>
      <c r="I4584" s="16">
        <v>470000000</v>
      </c>
      <c r="J4584" s="16" t="s">
        <v>229</v>
      </c>
      <c r="K4584" s="57" t="s">
        <v>642</v>
      </c>
      <c r="L4584" s="12" t="s">
        <v>404</v>
      </c>
      <c r="M4584" s="162" t="s">
        <v>230</v>
      </c>
      <c r="N4584" s="8" t="s">
        <v>8899</v>
      </c>
      <c r="O4584" s="6" t="s">
        <v>622</v>
      </c>
      <c r="P4584" s="3">
        <v>796</v>
      </c>
      <c r="Q4584" s="27" t="s">
        <v>234</v>
      </c>
      <c r="R4584" s="27">
        <v>6</v>
      </c>
      <c r="S4584" s="59">
        <f>14268*1.07</f>
        <v>15266.76</v>
      </c>
      <c r="T4584" s="4">
        <v>0</v>
      </c>
      <c r="U4584" s="4">
        <f>T4584*1.12</f>
        <v>0</v>
      </c>
      <c r="V4584" s="3"/>
      <c r="W4584" s="3">
        <v>2014</v>
      </c>
      <c r="X4584" s="3" t="s">
        <v>14785</v>
      </c>
    </row>
    <row r="4585" spans="1:24" ht="76.5">
      <c r="A4585" s="3" t="s">
        <v>16673</v>
      </c>
      <c r="B4585" s="6" t="s">
        <v>361</v>
      </c>
      <c r="C4585" s="6" t="s">
        <v>6342</v>
      </c>
      <c r="D4585" s="6" t="s">
        <v>388</v>
      </c>
      <c r="E4585" s="6" t="s">
        <v>6343</v>
      </c>
      <c r="F4585" s="8" t="s">
        <v>8048</v>
      </c>
      <c r="G4585" s="3" t="s">
        <v>11449</v>
      </c>
      <c r="H4585" s="54">
        <v>0</v>
      </c>
      <c r="I4585" s="16">
        <v>470000000</v>
      </c>
      <c r="J4585" s="16" t="s">
        <v>229</v>
      </c>
      <c r="K4585" s="57" t="s">
        <v>8950</v>
      </c>
      <c r="L4585" s="12" t="s">
        <v>404</v>
      </c>
      <c r="M4585" s="162" t="s">
        <v>230</v>
      </c>
      <c r="N4585" s="8" t="s">
        <v>8899</v>
      </c>
      <c r="O4585" s="6" t="s">
        <v>622</v>
      </c>
      <c r="P4585" s="3">
        <v>796</v>
      </c>
      <c r="Q4585" s="27" t="s">
        <v>234</v>
      </c>
      <c r="R4585" s="27">
        <v>6</v>
      </c>
      <c r="S4585" s="59">
        <v>18320.112000000001</v>
      </c>
      <c r="T4585" s="4">
        <v>0</v>
      </c>
      <c r="U4585" s="4">
        <f>T4585*1.12</f>
        <v>0</v>
      </c>
      <c r="V4585" s="3"/>
      <c r="W4585" s="3">
        <v>2014</v>
      </c>
      <c r="X4585" s="3">
        <v>11</v>
      </c>
    </row>
    <row r="4586" spans="1:24" ht="76.5">
      <c r="A4586" s="3" t="s">
        <v>18789</v>
      </c>
      <c r="B4586" s="6" t="s">
        <v>361</v>
      </c>
      <c r="C4586" s="6" t="s">
        <v>6342</v>
      </c>
      <c r="D4586" s="6" t="s">
        <v>388</v>
      </c>
      <c r="E4586" s="6" t="s">
        <v>6343</v>
      </c>
      <c r="F4586" s="8" t="s">
        <v>8048</v>
      </c>
      <c r="G4586" s="3" t="s">
        <v>11449</v>
      </c>
      <c r="H4586" s="54">
        <v>0</v>
      </c>
      <c r="I4586" s="16">
        <v>470000000</v>
      </c>
      <c r="J4586" s="16" t="s">
        <v>229</v>
      </c>
      <c r="K4586" s="57" t="s">
        <v>18437</v>
      </c>
      <c r="L4586" s="12" t="s">
        <v>404</v>
      </c>
      <c r="M4586" s="162" t="s">
        <v>230</v>
      </c>
      <c r="N4586" s="8" t="s">
        <v>8899</v>
      </c>
      <c r="O4586" s="6" t="s">
        <v>622</v>
      </c>
      <c r="P4586" s="3">
        <v>796</v>
      </c>
      <c r="Q4586" s="27" t="s">
        <v>234</v>
      </c>
      <c r="R4586" s="27">
        <v>6</v>
      </c>
      <c r="S4586" s="59">
        <v>18320.112000000001</v>
      </c>
      <c r="T4586" s="4">
        <f>R4586*S4586</f>
        <v>109920.67200000001</v>
      </c>
      <c r="U4586" s="4">
        <f>T4586*1.12</f>
        <v>123111.15264000001</v>
      </c>
      <c r="V4586" s="3"/>
      <c r="W4586" s="3">
        <v>2014</v>
      </c>
      <c r="X4586" s="3"/>
    </row>
    <row r="4587" spans="1:24" ht="76.5">
      <c r="A4587" s="3" t="s">
        <v>10574</v>
      </c>
      <c r="B4587" s="6" t="s">
        <v>361</v>
      </c>
      <c r="C4587" s="6" t="s">
        <v>5648</v>
      </c>
      <c r="D4587" s="6" t="s">
        <v>5649</v>
      </c>
      <c r="E4587" s="6" t="s">
        <v>5183</v>
      </c>
      <c r="F4587" s="8" t="s">
        <v>8049</v>
      </c>
      <c r="G4587" s="3" t="s">
        <v>11449</v>
      </c>
      <c r="H4587" s="54">
        <v>0</v>
      </c>
      <c r="I4587" s="16">
        <v>470000000</v>
      </c>
      <c r="J4587" s="16" t="s">
        <v>229</v>
      </c>
      <c r="K4587" s="57" t="s">
        <v>641</v>
      </c>
      <c r="L4587" s="183" t="s">
        <v>364</v>
      </c>
      <c r="M4587" s="162" t="s">
        <v>230</v>
      </c>
      <c r="N4587" s="8" t="s">
        <v>8899</v>
      </c>
      <c r="O4587" s="6" t="s">
        <v>622</v>
      </c>
      <c r="P4587" s="3">
        <v>796</v>
      </c>
      <c r="Q4587" s="27" t="s">
        <v>234</v>
      </c>
      <c r="R4587" s="27">
        <v>10</v>
      </c>
      <c r="S4587" s="59">
        <f>7455*1.07</f>
        <v>7976.85</v>
      </c>
      <c r="T4587" s="4">
        <v>0</v>
      </c>
      <c r="U4587" s="4">
        <f t="shared" si="218"/>
        <v>0</v>
      </c>
      <c r="V4587" s="3"/>
      <c r="W4587" s="3">
        <v>2014</v>
      </c>
      <c r="X4587" s="3">
        <v>11.12</v>
      </c>
    </row>
    <row r="4588" spans="1:24" ht="76.5">
      <c r="A4588" s="3" t="s">
        <v>13291</v>
      </c>
      <c r="B4588" s="6" t="s">
        <v>361</v>
      </c>
      <c r="C4588" s="6" t="s">
        <v>5648</v>
      </c>
      <c r="D4588" s="6" t="s">
        <v>5649</v>
      </c>
      <c r="E4588" s="6" t="s">
        <v>5183</v>
      </c>
      <c r="F4588" s="8" t="s">
        <v>8049</v>
      </c>
      <c r="G4588" s="3" t="s">
        <v>11449</v>
      </c>
      <c r="H4588" s="54">
        <v>0</v>
      </c>
      <c r="I4588" s="16">
        <v>470000000</v>
      </c>
      <c r="J4588" s="16" t="s">
        <v>229</v>
      </c>
      <c r="K4588" s="57" t="s">
        <v>642</v>
      </c>
      <c r="L4588" s="12" t="s">
        <v>404</v>
      </c>
      <c r="M4588" s="162" t="s">
        <v>230</v>
      </c>
      <c r="N4588" s="8" t="s">
        <v>8899</v>
      </c>
      <c r="O4588" s="6" t="s">
        <v>622</v>
      </c>
      <c r="P4588" s="3">
        <v>796</v>
      </c>
      <c r="Q4588" s="27" t="s">
        <v>234</v>
      </c>
      <c r="R4588" s="27">
        <v>10</v>
      </c>
      <c r="S4588" s="59">
        <f>7455*1.07</f>
        <v>7976.85</v>
      </c>
      <c r="T4588" s="4">
        <f>R4588*S4588</f>
        <v>79768.5</v>
      </c>
      <c r="U4588" s="4">
        <f>T4588*1.12</f>
        <v>89340.720000000016</v>
      </c>
      <c r="V4588" s="3"/>
      <c r="W4588" s="3">
        <v>2014</v>
      </c>
      <c r="X4588" s="3"/>
    </row>
    <row r="4589" spans="1:24" ht="76.5">
      <c r="A4589" s="3" t="s">
        <v>10575</v>
      </c>
      <c r="B4589" s="6" t="s">
        <v>361</v>
      </c>
      <c r="C4589" s="6" t="s">
        <v>5650</v>
      </c>
      <c r="D4589" s="6" t="s">
        <v>441</v>
      </c>
      <c r="E4589" s="6" t="s">
        <v>5651</v>
      </c>
      <c r="F4589" s="8" t="s">
        <v>8050</v>
      </c>
      <c r="G4589" s="3" t="s">
        <v>11449</v>
      </c>
      <c r="H4589" s="54">
        <v>0</v>
      </c>
      <c r="I4589" s="16">
        <v>470000000</v>
      </c>
      <c r="J4589" s="16" t="s">
        <v>229</v>
      </c>
      <c r="K4589" s="57" t="s">
        <v>641</v>
      </c>
      <c r="L4589" s="183" t="s">
        <v>364</v>
      </c>
      <c r="M4589" s="162" t="s">
        <v>230</v>
      </c>
      <c r="N4589" s="8" t="s">
        <v>8899</v>
      </c>
      <c r="O4589" s="6" t="s">
        <v>622</v>
      </c>
      <c r="P4589" s="3">
        <v>796</v>
      </c>
      <c r="Q4589" s="27" t="s">
        <v>234</v>
      </c>
      <c r="R4589" s="27">
        <v>4</v>
      </c>
      <c r="S4589" s="59">
        <f>42342*1.07</f>
        <v>45305.94</v>
      </c>
      <c r="T4589" s="4">
        <v>0</v>
      </c>
      <c r="U4589" s="4">
        <f t="shared" si="218"/>
        <v>0</v>
      </c>
      <c r="V4589" s="3"/>
      <c r="W4589" s="3">
        <v>2014</v>
      </c>
      <c r="X4589" s="3">
        <v>11.12</v>
      </c>
    </row>
    <row r="4590" spans="1:24" ht="76.5">
      <c r="A4590" s="3" t="s">
        <v>13292</v>
      </c>
      <c r="B4590" s="6" t="s">
        <v>361</v>
      </c>
      <c r="C4590" s="6" t="s">
        <v>5650</v>
      </c>
      <c r="D4590" s="6" t="s">
        <v>441</v>
      </c>
      <c r="E4590" s="6" t="s">
        <v>5651</v>
      </c>
      <c r="F4590" s="8" t="s">
        <v>8050</v>
      </c>
      <c r="G4590" s="3" t="s">
        <v>11449</v>
      </c>
      <c r="H4590" s="54">
        <v>0</v>
      </c>
      <c r="I4590" s="16">
        <v>470000000</v>
      </c>
      <c r="J4590" s="16" t="s">
        <v>229</v>
      </c>
      <c r="K4590" s="57" t="s">
        <v>642</v>
      </c>
      <c r="L4590" s="12" t="s">
        <v>404</v>
      </c>
      <c r="M4590" s="162" t="s">
        <v>230</v>
      </c>
      <c r="N4590" s="8" t="s">
        <v>8899</v>
      </c>
      <c r="O4590" s="6" t="s">
        <v>622</v>
      </c>
      <c r="P4590" s="3">
        <v>796</v>
      </c>
      <c r="Q4590" s="27" t="s">
        <v>234</v>
      </c>
      <c r="R4590" s="27">
        <v>4</v>
      </c>
      <c r="S4590" s="59">
        <f>42342*1.07</f>
        <v>45305.94</v>
      </c>
      <c r="T4590" s="4">
        <v>0</v>
      </c>
      <c r="U4590" s="4">
        <f>T4590*1.12</f>
        <v>0</v>
      </c>
      <c r="V4590" s="3"/>
      <c r="W4590" s="3">
        <v>2014</v>
      </c>
      <c r="X4590" s="3" t="s">
        <v>14785</v>
      </c>
    </row>
    <row r="4591" spans="1:24" ht="76.5">
      <c r="A4591" s="3" t="s">
        <v>16674</v>
      </c>
      <c r="B4591" s="6" t="s">
        <v>361</v>
      </c>
      <c r="C4591" s="6" t="s">
        <v>5650</v>
      </c>
      <c r="D4591" s="6" t="s">
        <v>441</v>
      </c>
      <c r="E4591" s="6" t="s">
        <v>5651</v>
      </c>
      <c r="F4591" s="8" t="s">
        <v>8050</v>
      </c>
      <c r="G4591" s="3" t="s">
        <v>11449</v>
      </c>
      <c r="H4591" s="54">
        <v>0</v>
      </c>
      <c r="I4591" s="16">
        <v>470000000</v>
      </c>
      <c r="J4591" s="16" t="s">
        <v>229</v>
      </c>
      <c r="K4591" s="57" t="s">
        <v>8950</v>
      </c>
      <c r="L4591" s="12" t="s">
        <v>404</v>
      </c>
      <c r="M4591" s="162" t="s">
        <v>230</v>
      </c>
      <c r="N4591" s="8" t="s">
        <v>8899</v>
      </c>
      <c r="O4591" s="6" t="s">
        <v>622</v>
      </c>
      <c r="P4591" s="3">
        <v>796</v>
      </c>
      <c r="Q4591" s="27" t="s">
        <v>234</v>
      </c>
      <c r="R4591" s="27">
        <v>4</v>
      </c>
      <c r="S4591" s="59">
        <v>54367.128000000004</v>
      </c>
      <c r="T4591" s="4">
        <v>0</v>
      </c>
      <c r="U4591" s="4">
        <f>T4591*1.12</f>
        <v>0</v>
      </c>
      <c r="V4591" s="3"/>
      <c r="W4591" s="3">
        <v>2014</v>
      </c>
      <c r="X4591" s="3">
        <v>11</v>
      </c>
    </row>
    <row r="4592" spans="1:24" ht="76.5">
      <c r="A4592" s="3" t="s">
        <v>18790</v>
      </c>
      <c r="B4592" s="6" t="s">
        <v>361</v>
      </c>
      <c r="C4592" s="6" t="s">
        <v>5650</v>
      </c>
      <c r="D4592" s="6" t="s">
        <v>441</v>
      </c>
      <c r="E4592" s="6" t="s">
        <v>5651</v>
      </c>
      <c r="F4592" s="8" t="s">
        <v>8050</v>
      </c>
      <c r="G4592" s="3" t="s">
        <v>11449</v>
      </c>
      <c r="H4592" s="54">
        <v>0</v>
      </c>
      <c r="I4592" s="16">
        <v>470000000</v>
      </c>
      <c r="J4592" s="16" t="s">
        <v>229</v>
      </c>
      <c r="K4592" s="57" t="s">
        <v>18437</v>
      </c>
      <c r="L4592" s="12" t="s">
        <v>404</v>
      </c>
      <c r="M4592" s="162" t="s">
        <v>230</v>
      </c>
      <c r="N4592" s="8" t="s">
        <v>8899</v>
      </c>
      <c r="O4592" s="6" t="s">
        <v>622</v>
      </c>
      <c r="P4592" s="3">
        <v>796</v>
      </c>
      <c r="Q4592" s="27" t="s">
        <v>234</v>
      </c>
      <c r="R4592" s="27">
        <v>4</v>
      </c>
      <c r="S4592" s="59">
        <v>54367.128000000004</v>
      </c>
      <c r="T4592" s="4">
        <v>0</v>
      </c>
      <c r="U4592" s="4">
        <f>T4592*1.12</f>
        <v>0</v>
      </c>
      <c r="V4592" s="3"/>
      <c r="W4592" s="3">
        <v>2014</v>
      </c>
      <c r="X4592" s="3">
        <v>14.15</v>
      </c>
    </row>
    <row r="4593" spans="1:24" ht="76.5">
      <c r="A4593" s="3" t="s">
        <v>19510</v>
      </c>
      <c r="B4593" s="6" t="s">
        <v>361</v>
      </c>
      <c r="C4593" s="6" t="s">
        <v>5650</v>
      </c>
      <c r="D4593" s="6" t="s">
        <v>441</v>
      </c>
      <c r="E4593" s="6" t="s">
        <v>5651</v>
      </c>
      <c r="F4593" s="8" t="s">
        <v>8050</v>
      </c>
      <c r="G4593" s="3" t="s">
        <v>11449</v>
      </c>
      <c r="H4593" s="54">
        <v>0</v>
      </c>
      <c r="I4593" s="16">
        <v>470000000</v>
      </c>
      <c r="J4593" s="16" t="s">
        <v>229</v>
      </c>
      <c r="K4593" s="57" t="s">
        <v>18437</v>
      </c>
      <c r="L4593" s="12" t="s">
        <v>404</v>
      </c>
      <c r="M4593" s="162" t="s">
        <v>230</v>
      </c>
      <c r="N4593" s="8" t="s">
        <v>19369</v>
      </c>
      <c r="O4593" s="6" t="s">
        <v>19407</v>
      </c>
      <c r="P4593" s="3">
        <v>796</v>
      </c>
      <c r="Q4593" s="27" t="s">
        <v>234</v>
      </c>
      <c r="R4593" s="27">
        <v>4</v>
      </c>
      <c r="S4593" s="59">
        <v>54367.128000000004</v>
      </c>
      <c r="T4593" s="4">
        <f>R4593*S4593</f>
        <v>217468.51200000002</v>
      </c>
      <c r="U4593" s="4">
        <f>T4593*1.12</f>
        <v>243564.73344000004</v>
      </c>
      <c r="V4593" s="3"/>
      <c r="W4593" s="3">
        <v>2014</v>
      </c>
      <c r="X4593" s="3"/>
    </row>
    <row r="4594" spans="1:24" ht="76.5">
      <c r="A4594" s="3" t="s">
        <v>10576</v>
      </c>
      <c r="B4594" s="6" t="s">
        <v>361</v>
      </c>
      <c r="C4594" s="6" t="s">
        <v>5476</v>
      </c>
      <c r="D4594" s="6" t="s">
        <v>5477</v>
      </c>
      <c r="E4594" s="6" t="s">
        <v>5478</v>
      </c>
      <c r="F4594" s="8" t="s">
        <v>8051</v>
      </c>
      <c r="G4594" s="3" t="s">
        <v>11449</v>
      </c>
      <c r="H4594" s="54">
        <v>0</v>
      </c>
      <c r="I4594" s="16">
        <v>470000000</v>
      </c>
      <c r="J4594" s="16" t="s">
        <v>229</v>
      </c>
      <c r="K4594" s="57" t="s">
        <v>641</v>
      </c>
      <c r="L4594" s="183" t="s">
        <v>364</v>
      </c>
      <c r="M4594" s="162" t="s">
        <v>230</v>
      </c>
      <c r="N4594" s="8" t="s">
        <v>8899</v>
      </c>
      <c r="O4594" s="6" t="s">
        <v>622</v>
      </c>
      <c r="P4594" s="3">
        <v>796</v>
      </c>
      <c r="Q4594" s="27" t="s">
        <v>234</v>
      </c>
      <c r="R4594" s="27">
        <v>12</v>
      </c>
      <c r="S4594" s="59">
        <f>2155*1.07</f>
        <v>2305.85</v>
      </c>
      <c r="T4594" s="4">
        <v>0</v>
      </c>
      <c r="U4594" s="4">
        <f t="shared" si="218"/>
        <v>0</v>
      </c>
      <c r="V4594" s="3"/>
      <c r="W4594" s="3">
        <v>2014</v>
      </c>
      <c r="X4594" s="3">
        <v>11.12</v>
      </c>
    </row>
    <row r="4595" spans="1:24" ht="76.5">
      <c r="A4595" s="3" t="s">
        <v>13293</v>
      </c>
      <c r="B4595" s="6" t="s">
        <v>361</v>
      </c>
      <c r="C4595" s="6" t="s">
        <v>5476</v>
      </c>
      <c r="D4595" s="6" t="s">
        <v>5477</v>
      </c>
      <c r="E4595" s="6" t="s">
        <v>5478</v>
      </c>
      <c r="F4595" s="8" t="s">
        <v>8051</v>
      </c>
      <c r="G4595" s="3" t="s">
        <v>11449</v>
      </c>
      <c r="H4595" s="54">
        <v>0</v>
      </c>
      <c r="I4595" s="16">
        <v>470000000</v>
      </c>
      <c r="J4595" s="16" t="s">
        <v>229</v>
      </c>
      <c r="K4595" s="57" t="s">
        <v>642</v>
      </c>
      <c r="L4595" s="12" t="s">
        <v>404</v>
      </c>
      <c r="M4595" s="162" t="s">
        <v>230</v>
      </c>
      <c r="N4595" s="8" t="s">
        <v>8899</v>
      </c>
      <c r="O4595" s="6" t="s">
        <v>622</v>
      </c>
      <c r="P4595" s="3">
        <v>796</v>
      </c>
      <c r="Q4595" s="27" t="s">
        <v>234</v>
      </c>
      <c r="R4595" s="27">
        <v>12</v>
      </c>
      <c r="S4595" s="59">
        <f>2155*1.07</f>
        <v>2305.85</v>
      </c>
      <c r="T4595" s="4">
        <f>R4595*S4595</f>
        <v>27670.199999999997</v>
      </c>
      <c r="U4595" s="4">
        <f>T4595*1.12</f>
        <v>30990.624</v>
      </c>
      <c r="V4595" s="3"/>
      <c r="W4595" s="3">
        <v>2014</v>
      </c>
      <c r="X4595" s="3"/>
    </row>
    <row r="4596" spans="1:24" ht="76.5">
      <c r="A4596" s="3" t="s">
        <v>10577</v>
      </c>
      <c r="B4596" s="6" t="s">
        <v>361</v>
      </c>
      <c r="C4596" s="6" t="s">
        <v>5484</v>
      </c>
      <c r="D4596" s="6" t="s">
        <v>5485</v>
      </c>
      <c r="E4596" s="6" t="s">
        <v>5478</v>
      </c>
      <c r="F4596" s="8" t="s">
        <v>8052</v>
      </c>
      <c r="G4596" s="3" t="s">
        <v>11449</v>
      </c>
      <c r="H4596" s="54">
        <v>0</v>
      </c>
      <c r="I4596" s="16">
        <v>470000000</v>
      </c>
      <c r="J4596" s="16" t="s">
        <v>229</v>
      </c>
      <c r="K4596" s="57" t="s">
        <v>641</v>
      </c>
      <c r="L4596" s="183" t="s">
        <v>364</v>
      </c>
      <c r="M4596" s="162" t="s">
        <v>230</v>
      </c>
      <c r="N4596" s="8" t="s">
        <v>8899</v>
      </c>
      <c r="O4596" s="6" t="s">
        <v>622</v>
      </c>
      <c r="P4596" s="3">
        <v>796</v>
      </c>
      <c r="Q4596" s="27" t="s">
        <v>234</v>
      </c>
      <c r="R4596" s="27">
        <v>12</v>
      </c>
      <c r="S4596" s="59">
        <f>5694*1.07</f>
        <v>6092.58</v>
      </c>
      <c r="T4596" s="4">
        <v>0</v>
      </c>
      <c r="U4596" s="4">
        <f t="shared" si="218"/>
        <v>0</v>
      </c>
      <c r="V4596" s="3"/>
      <c r="W4596" s="3">
        <v>2014</v>
      </c>
      <c r="X4596" s="3">
        <v>11.12</v>
      </c>
    </row>
    <row r="4597" spans="1:24" ht="76.5">
      <c r="A4597" s="3" t="s">
        <v>13294</v>
      </c>
      <c r="B4597" s="6" t="s">
        <v>361</v>
      </c>
      <c r="C4597" s="6" t="s">
        <v>5484</v>
      </c>
      <c r="D4597" s="6" t="s">
        <v>5485</v>
      </c>
      <c r="E4597" s="6" t="s">
        <v>5478</v>
      </c>
      <c r="F4597" s="8" t="s">
        <v>8052</v>
      </c>
      <c r="G4597" s="3" t="s">
        <v>11449</v>
      </c>
      <c r="H4597" s="54">
        <v>0</v>
      </c>
      <c r="I4597" s="16">
        <v>470000000</v>
      </c>
      <c r="J4597" s="16" t="s">
        <v>229</v>
      </c>
      <c r="K4597" s="57" t="s">
        <v>642</v>
      </c>
      <c r="L4597" s="12" t="s">
        <v>404</v>
      </c>
      <c r="M4597" s="162" t="s">
        <v>230</v>
      </c>
      <c r="N4597" s="8" t="s">
        <v>8899</v>
      </c>
      <c r="O4597" s="6" t="s">
        <v>622</v>
      </c>
      <c r="P4597" s="3">
        <v>796</v>
      </c>
      <c r="Q4597" s="27" t="s">
        <v>234</v>
      </c>
      <c r="R4597" s="27">
        <v>12</v>
      </c>
      <c r="S4597" s="59">
        <f>5694*1.07</f>
        <v>6092.58</v>
      </c>
      <c r="T4597" s="4">
        <f>R4597*S4597</f>
        <v>73110.959999999992</v>
      </c>
      <c r="U4597" s="4">
        <f>T4597*1.12</f>
        <v>81884.275200000004</v>
      </c>
      <c r="V4597" s="3"/>
      <c r="W4597" s="3">
        <v>2014</v>
      </c>
      <c r="X4597" s="3"/>
    </row>
    <row r="4598" spans="1:24" ht="76.5">
      <c r="A4598" s="3" t="s">
        <v>10578</v>
      </c>
      <c r="B4598" s="6" t="s">
        <v>361</v>
      </c>
      <c r="C4598" s="6" t="s">
        <v>5652</v>
      </c>
      <c r="D4598" s="6" t="s">
        <v>422</v>
      </c>
      <c r="E4598" s="6" t="s">
        <v>5332</v>
      </c>
      <c r="F4598" s="8" t="s">
        <v>8053</v>
      </c>
      <c r="G4598" s="3" t="s">
        <v>11449</v>
      </c>
      <c r="H4598" s="54">
        <v>0</v>
      </c>
      <c r="I4598" s="16">
        <v>470000000</v>
      </c>
      <c r="J4598" s="16" t="s">
        <v>229</v>
      </c>
      <c r="K4598" s="57" t="s">
        <v>641</v>
      </c>
      <c r="L4598" s="183" t="s">
        <v>364</v>
      </c>
      <c r="M4598" s="162" t="s">
        <v>230</v>
      </c>
      <c r="N4598" s="8" t="s">
        <v>8899</v>
      </c>
      <c r="O4598" s="6" t="s">
        <v>622</v>
      </c>
      <c r="P4598" s="3">
        <v>796</v>
      </c>
      <c r="Q4598" s="27" t="s">
        <v>234</v>
      </c>
      <c r="R4598" s="27">
        <v>10</v>
      </c>
      <c r="S4598" s="59">
        <f>1659*1.07</f>
        <v>1775.13</v>
      </c>
      <c r="T4598" s="4">
        <v>0</v>
      </c>
      <c r="U4598" s="4">
        <f t="shared" si="218"/>
        <v>0</v>
      </c>
      <c r="V4598" s="3"/>
      <c r="W4598" s="3">
        <v>2014</v>
      </c>
      <c r="X4598" s="3">
        <v>11.12</v>
      </c>
    </row>
    <row r="4599" spans="1:24" ht="76.5">
      <c r="A4599" s="3" t="s">
        <v>13295</v>
      </c>
      <c r="B4599" s="6" t="s">
        <v>361</v>
      </c>
      <c r="C4599" s="6" t="s">
        <v>5652</v>
      </c>
      <c r="D4599" s="6" t="s">
        <v>422</v>
      </c>
      <c r="E4599" s="6" t="s">
        <v>5332</v>
      </c>
      <c r="F4599" s="8" t="s">
        <v>8053</v>
      </c>
      <c r="G4599" s="3" t="s">
        <v>11449</v>
      </c>
      <c r="H4599" s="54">
        <v>0</v>
      </c>
      <c r="I4599" s="16">
        <v>470000000</v>
      </c>
      <c r="J4599" s="16" t="s">
        <v>229</v>
      </c>
      <c r="K4599" s="57" t="s">
        <v>642</v>
      </c>
      <c r="L4599" s="12" t="s">
        <v>404</v>
      </c>
      <c r="M4599" s="162" t="s">
        <v>230</v>
      </c>
      <c r="N4599" s="8" t="s">
        <v>8899</v>
      </c>
      <c r="O4599" s="6" t="s">
        <v>622</v>
      </c>
      <c r="P4599" s="3">
        <v>796</v>
      </c>
      <c r="Q4599" s="27" t="s">
        <v>234</v>
      </c>
      <c r="R4599" s="27">
        <v>10</v>
      </c>
      <c r="S4599" s="59">
        <f>1659*1.07</f>
        <v>1775.13</v>
      </c>
      <c r="T4599" s="4">
        <f>R4599*S4599</f>
        <v>17751.300000000003</v>
      </c>
      <c r="U4599" s="4">
        <f>T4599*1.12</f>
        <v>19881.456000000006</v>
      </c>
      <c r="V4599" s="3"/>
      <c r="W4599" s="3">
        <v>2014</v>
      </c>
      <c r="X4599" s="3"/>
    </row>
    <row r="4600" spans="1:24" ht="76.5">
      <c r="A4600" s="3" t="s">
        <v>10579</v>
      </c>
      <c r="B4600" s="6" t="s">
        <v>361</v>
      </c>
      <c r="C4600" s="6" t="s">
        <v>5493</v>
      </c>
      <c r="D4600" s="6" t="s">
        <v>5494</v>
      </c>
      <c r="E4600" s="6" t="s">
        <v>3115</v>
      </c>
      <c r="F4600" s="30" t="s">
        <v>8054</v>
      </c>
      <c r="G4600" s="3" t="s">
        <v>11449</v>
      </c>
      <c r="H4600" s="54">
        <v>0</v>
      </c>
      <c r="I4600" s="16">
        <v>470000000</v>
      </c>
      <c r="J4600" s="16" t="s">
        <v>229</v>
      </c>
      <c r="K4600" s="57" t="s">
        <v>641</v>
      </c>
      <c r="L4600" s="183" t="s">
        <v>364</v>
      </c>
      <c r="M4600" s="162" t="s">
        <v>230</v>
      </c>
      <c r="N4600" s="8" t="s">
        <v>8899</v>
      </c>
      <c r="O4600" s="6" t="s">
        <v>622</v>
      </c>
      <c r="P4600" s="3">
        <v>796</v>
      </c>
      <c r="Q4600" s="27" t="s">
        <v>234</v>
      </c>
      <c r="R4600" s="27">
        <v>20</v>
      </c>
      <c r="S4600" s="59">
        <f>501*1.07</f>
        <v>536.07000000000005</v>
      </c>
      <c r="T4600" s="4">
        <v>0</v>
      </c>
      <c r="U4600" s="4">
        <f t="shared" si="218"/>
        <v>0</v>
      </c>
      <c r="V4600" s="3"/>
      <c r="W4600" s="3">
        <v>2014</v>
      </c>
      <c r="X4600" s="3">
        <v>11.12</v>
      </c>
    </row>
    <row r="4601" spans="1:24" ht="76.5">
      <c r="A4601" s="3" t="s">
        <v>13296</v>
      </c>
      <c r="B4601" s="6" t="s">
        <v>361</v>
      </c>
      <c r="C4601" s="6" t="s">
        <v>5493</v>
      </c>
      <c r="D4601" s="6" t="s">
        <v>5494</v>
      </c>
      <c r="E4601" s="6" t="s">
        <v>3115</v>
      </c>
      <c r="F4601" s="30" t="s">
        <v>8054</v>
      </c>
      <c r="G4601" s="3" t="s">
        <v>11449</v>
      </c>
      <c r="H4601" s="54">
        <v>0</v>
      </c>
      <c r="I4601" s="16">
        <v>470000000</v>
      </c>
      <c r="J4601" s="16" t="s">
        <v>229</v>
      </c>
      <c r="K4601" s="57" t="s">
        <v>642</v>
      </c>
      <c r="L4601" s="12" t="s">
        <v>404</v>
      </c>
      <c r="M4601" s="162" t="s">
        <v>230</v>
      </c>
      <c r="N4601" s="8" t="s">
        <v>8899</v>
      </c>
      <c r="O4601" s="6" t="s">
        <v>622</v>
      </c>
      <c r="P4601" s="3">
        <v>796</v>
      </c>
      <c r="Q4601" s="27" t="s">
        <v>234</v>
      </c>
      <c r="R4601" s="27">
        <v>20</v>
      </c>
      <c r="S4601" s="59">
        <f>501*1.07</f>
        <v>536.07000000000005</v>
      </c>
      <c r="T4601" s="4">
        <f>R4601*S4601</f>
        <v>10721.400000000001</v>
      </c>
      <c r="U4601" s="4">
        <f>T4601*1.12</f>
        <v>12007.968000000003</v>
      </c>
      <c r="V4601" s="3"/>
      <c r="W4601" s="3">
        <v>2014</v>
      </c>
      <c r="X4601" s="3"/>
    </row>
    <row r="4602" spans="1:24" ht="165.75">
      <c r="A4602" s="3" t="s">
        <v>10580</v>
      </c>
      <c r="B4602" s="6" t="s">
        <v>361</v>
      </c>
      <c r="C4602" s="6" t="s">
        <v>6255</v>
      </c>
      <c r="D4602" s="6" t="s">
        <v>455</v>
      </c>
      <c r="E4602" s="6" t="s">
        <v>6256</v>
      </c>
      <c r="F4602" s="8" t="s">
        <v>8055</v>
      </c>
      <c r="G4602" s="3" t="s">
        <v>11449</v>
      </c>
      <c r="H4602" s="54">
        <v>0</v>
      </c>
      <c r="I4602" s="16">
        <v>470000000</v>
      </c>
      <c r="J4602" s="16" t="s">
        <v>229</v>
      </c>
      <c r="K4602" s="57" t="s">
        <v>641</v>
      </c>
      <c r="L4602" s="183" t="s">
        <v>364</v>
      </c>
      <c r="M4602" s="162" t="s">
        <v>230</v>
      </c>
      <c r="N4602" s="8" t="s">
        <v>8899</v>
      </c>
      <c r="O4602" s="6" t="s">
        <v>622</v>
      </c>
      <c r="P4602" s="3">
        <v>796</v>
      </c>
      <c r="Q4602" s="27" t="s">
        <v>234</v>
      </c>
      <c r="R4602" s="27">
        <v>20</v>
      </c>
      <c r="S4602" s="59">
        <f>2876*1.07</f>
        <v>3077.32</v>
      </c>
      <c r="T4602" s="4">
        <v>0</v>
      </c>
      <c r="U4602" s="4">
        <f t="shared" si="218"/>
        <v>0</v>
      </c>
      <c r="V4602" s="3"/>
      <c r="W4602" s="3">
        <v>2014</v>
      </c>
      <c r="X4602" s="3">
        <v>11.12</v>
      </c>
    </row>
    <row r="4603" spans="1:24" ht="165.75">
      <c r="A4603" s="3" t="s">
        <v>13297</v>
      </c>
      <c r="B4603" s="6" t="s">
        <v>361</v>
      </c>
      <c r="C4603" s="6" t="s">
        <v>6255</v>
      </c>
      <c r="D4603" s="6" t="s">
        <v>455</v>
      </c>
      <c r="E4603" s="6" t="s">
        <v>6256</v>
      </c>
      <c r="F4603" s="8" t="s">
        <v>8055</v>
      </c>
      <c r="G4603" s="3" t="s">
        <v>11449</v>
      </c>
      <c r="H4603" s="54">
        <v>0</v>
      </c>
      <c r="I4603" s="16">
        <v>470000000</v>
      </c>
      <c r="J4603" s="16" t="s">
        <v>229</v>
      </c>
      <c r="K4603" s="57" t="s">
        <v>642</v>
      </c>
      <c r="L4603" s="12" t="s">
        <v>404</v>
      </c>
      <c r="M4603" s="162" t="s">
        <v>230</v>
      </c>
      <c r="N4603" s="8" t="s">
        <v>8899</v>
      </c>
      <c r="O4603" s="6" t="s">
        <v>622</v>
      </c>
      <c r="P4603" s="3">
        <v>796</v>
      </c>
      <c r="Q4603" s="27" t="s">
        <v>234</v>
      </c>
      <c r="R4603" s="27">
        <v>20</v>
      </c>
      <c r="S4603" s="59">
        <f>2876*1.07</f>
        <v>3077.32</v>
      </c>
      <c r="T4603" s="4">
        <f>R4603*S4603</f>
        <v>61546.400000000001</v>
      </c>
      <c r="U4603" s="4">
        <f>T4603*1.12</f>
        <v>68931.968000000008</v>
      </c>
      <c r="V4603" s="3"/>
      <c r="W4603" s="3">
        <v>2014</v>
      </c>
      <c r="X4603" s="3"/>
    </row>
    <row r="4604" spans="1:24" ht="76.5">
      <c r="A4604" s="3" t="s">
        <v>10581</v>
      </c>
      <c r="B4604" s="6" t="s">
        <v>361</v>
      </c>
      <c r="C4604" s="6" t="s">
        <v>5653</v>
      </c>
      <c r="D4604" s="6" t="s">
        <v>5654</v>
      </c>
      <c r="E4604" s="6" t="s">
        <v>5655</v>
      </c>
      <c r="F4604" s="8" t="s">
        <v>5656</v>
      </c>
      <c r="G4604" s="3" t="s">
        <v>11449</v>
      </c>
      <c r="H4604" s="54">
        <v>0</v>
      </c>
      <c r="I4604" s="16">
        <v>470000000</v>
      </c>
      <c r="J4604" s="16" t="s">
        <v>229</v>
      </c>
      <c r="K4604" s="57" t="s">
        <v>641</v>
      </c>
      <c r="L4604" s="183" t="s">
        <v>364</v>
      </c>
      <c r="M4604" s="162" t="s">
        <v>230</v>
      </c>
      <c r="N4604" s="8" t="s">
        <v>8899</v>
      </c>
      <c r="O4604" s="6" t="s">
        <v>622</v>
      </c>
      <c r="P4604" s="3">
        <v>796</v>
      </c>
      <c r="Q4604" s="27" t="s">
        <v>234</v>
      </c>
      <c r="R4604" s="27">
        <v>3</v>
      </c>
      <c r="S4604" s="59">
        <f>4361*1.07</f>
        <v>4666.2700000000004</v>
      </c>
      <c r="T4604" s="4">
        <v>0</v>
      </c>
      <c r="U4604" s="4">
        <f t="shared" si="218"/>
        <v>0</v>
      </c>
      <c r="V4604" s="3"/>
      <c r="W4604" s="3">
        <v>2014</v>
      </c>
      <c r="X4604" s="3">
        <v>11.12</v>
      </c>
    </row>
    <row r="4605" spans="1:24" ht="76.5">
      <c r="A4605" s="3" t="s">
        <v>13298</v>
      </c>
      <c r="B4605" s="6" t="s">
        <v>361</v>
      </c>
      <c r="C4605" s="6" t="s">
        <v>5653</v>
      </c>
      <c r="D4605" s="6" t="s">
        <v>5654</v>
      </c>
      <c r="E4605" s="6" t="s">
        <v>5655</v>
      </c>
      <c r="F4605" s="8" t="s">
        <v>5656</v>
      </c>
      <c r="G4605" s="3" t="s">
        <v>11449</v>
      </c>
      <c r="H4605" s="54">
        <v>0</v>
      </c>
      <c r="I4605" s="16">
        <v>470000000</v>
      </c>
      <c r="J4605" s="16" t="s">
        <v>229</v>
      </c>
      <c r="K4605" s="57" t="s">
        <v>642</v>
      </c>
      <c r="L4605" s="12" t="s">
        <v>404</v>
      </c>
      <c r="M4605" s="162" t="s">
        <v>230</v>
      </c>
      <c r="N4605" s="8" t="s">
        <v>8899</v>
      </c>
      <c r="O4605" s="6" t="s">
        <v>622</v>
      </c>
      <c r="P4605" s="3">
        <v>796</v>
      </c>
      <c r="Q4605" s="27" t="s">
        <v>234</v>
      </c>
      <c r="R4605" s="27">
        <v>3</v>
      </c>
      <c r="S4605" s="59">
        <f>4361*1.07</f>
        <v>4666.2700000000004</v>
      </c>
      <c r="T4605" s="4">
        <f>R4605*S4605</f>
        <v>13998.810000000001</v>
      </c>
      <c r="U4605" s="4">
        <f>T4605*1.12</f>
        <v>15678.667200000004</v>
      </c>
      <c r="V4605" s="3"/>
      <c r="W4605" s="3">
        <v>2014</v>
      </c>
      <c r="X4605" s="3"/>
    </row>
    <row r="4606" spans="1:24" ht="76.5">
      <c r="A4606" s="3" t="s">
        <v>10582</v>
      </c>
      <c r="B4606" s="6" t="s">
        <v>361</v>
      </c>
      <c r="C4606" s="6" t="s">
        <v>5506</v>
      </c>
      <c r="D4606" s="6" t="s">
        <v>5507</v>
      </c>
      <c r="E4606" s="6" t="s">
        <v>5183</v>
      </c>
      <c r="F4606" s="8" t="s">
        <v>5657</v>
      </c>
      <c r="G4606" s="3" t="s">
        <v>11449</v>
      </c>
      <c r="H4606" s="54">
        <v>0</v>
      </c>
      <c r="I4606" s="16">
        <v>470000000</v>
      </c>
      <c r="J4606" s="16" t="s">
        <v>229</v>
      </c>
      <c r="K4606" s="57" t="s">
        <v>641</v>
      </c>
      <c r="L4606" s="183" t="s">
        <v>364</v>
      </c>
      <c r="M4606" s="162" t="s">
        <v>230</v>
      </c>
      <c r="N4606" s="8" t="s">
        <v>8899</v>
      </c>
      <c r="O4606" s="6" t="s">
        <v>622</v>
      </c>
      <c r="P4606" s="3">
        <v>796</v>
      </c>
      <c r="Q4606" s="27" t="s">
        <v>234</v>
      </c>
      <c r="R4606" s="27">
        <v>6</v>
      </c>
      <c r="S4606" s="59">
        <f>10580*1.07</f>
        <v>11320.6</v>
      </c>
      <c r="T4606" s="4">
        <v>0</v>
      </c>
      <c r="U4606" s="4">
        <f t="shared" si="218"/>
        <v>0</v>
      </c>
      <c r="V4606" s="3"/>
      <c r="W4606" s="3">
        <v>2014</v>
      </c>
      <c r="X4606" s="3">
        <v>11.12</v>
      </c>
    </row>
    <row r="4607" spans="1:24" ht="76.5">
      <c r="A4607" s="3" t="s">
        <v>13299</v>
      </c>
      <c r="B4607" s="6" t="s">
        <v>361</v>
      </c>
      <c r="C4607" s="6" t="s">
        <v>5506</v>
      </c>
      <c r="D4607" s="6" t="s">
        <v>5507</v>
      </c>
      <c r="E4607" s="6" t="s">
        <v>5183</v>
      </c>
      <c r="F4607" s="8" t="s">
        <v>5657</v>
      </c>
      <c r="G4607" s="3" t="s">
        <v>11449</v>
      </c>
      <c r="H4607" s="54">
        <v>0</v>
      </c>
      <c r="I4607" s="16">
        <v>470000000</v>
      </c>
      <c r="J4607" s="16" t="s">
        <v>229</v>
      </c>
      <c r="K4607" s="57" t="s">
        <v>642</v>
      </c>
      <c r="L4607" s="12" t="s">
        <v>404</v>
      </c>
      <c r="M4607" s="162" t="s">
        <v>230</v>
      </c>
      <c r="N4607" s="8" t="s">
        <v>8899</v>
      </c>
      <c r="O4607" s="6" t="s">
        <v>622</v>
      </c>
      <c r="P4607" s="3">
        <v>796</v>
      </c>
      <c r="Q4607" s="27" t="s">
        <v>234</v>
      </c>
      <c r="R4607" s="27">
        <v>6</v>
      </c>
      <c r="S4607" s="59">
        <f>10580*1.07</f>
        <v>11320.6</v>
      </c>
      <c r="T4607" s="4">
        <v>0</v>
      </c>
      <c r="U4607" s="4">
        <f>T4607*1.12</f>
        <v>0</v>
      </c>
      <c r="V4607" s="3"/>
      <c r="W4607" s="3">
        <v>2014</v>
      </c>
      <c r="X4607" s="3" t="s">
        <v>14785</v>
      </c>
    </row>
    <row r="4608" spans="1:24" ht="76.5">
      <c r="A4608" s="3" t="s">
        <v>16675</v>
      </c>
      <c r="B4608" s="6" t="s">
        <v>361</v>
      </c>
      <c r="C4608" s="6" t="s">
        <v>5506</v>
      </c>
      <c r="D4608" s="6" t="s">
        <v>5507</v>
      </c>
      <c r="E4608" s="6" t="s">
        <v>5183</v>
      </c>
      <c r="F4608" s="8" t="s">
        <v>5657</v>
      </c>
      <c r="G4608" s="3" t="s">
        <v>11449</v>
      </c>
      <c r="H4608" s="54">
        <v>0</v>
      </c>
      <c r="I4608" s="16">
        <v>470000000</v>
      </c>
      <c r="J4608" s="16" t="s">
        <v>229</v>
      </c>
      <c r="K4608" s="57" t="s">
        <v>8950</v>
      </c>
      <c r="L4608" s="12" t="s">
        <v>404</v>
      </c>
      <c r="M4608" s="162" t="s">
        <v>230</v>
      </c>
      <c r="N4608" s="8" t="s">
        <v>8899</v>
      </c>
      <c r="O4608" s="6" t="s">
        <v>622</v>
      </c>
      <c r="P4608" s="3">
        <v>796</v>
      </c>
      <c r="Q4608" s="27" t="s">
        <v>234</v>
      </c>
      <c r="R4608" s="27">
        <v>6</v>
      </c>
      <c r="S4608" s="59">
        <v>13584.72</v>
      </c>
      <c r="T4608" s="4">
        <v>0</v>
      </c>
      <c r="U4608" s="4">
        <f>T4608*1.12</f>
        <v>0</v>
      </c>
      <c r="V4608" s="3"/>
      <c r="W4608" s="3">
        <v>2014</v>
      </c>
      <c r="X4608" s="3">
        <v>11</v>
      </c>
    </row>
    <row r="4609" spans="1:24" ht="76.5">
      <c r="A4609" s="3" t="s">
        <v>18791</v>
      </c>
      <c r="B4609" s="6" t="s">
        <v>361</v>
      </c>
      <c r="C4609" s="6" t="s">
        <v>5506</v>
      </c>
      <c r="D4609" s="6" t="s">
        <v>5507</v>
      </c>
      <c r="E4609" s="6" t="s">
        <v>5183</v>
      </c>
      <c r="F4609" s="8" t="s">
        <v>5657</v>
      </c>
      <c r="G4609" s="3" t="s">
        <v>11449</v>
      </c>
      <c r="H4609" s="54">
        <v>0</v>
      </c>
      <c r="I4609" s="16">
        <v>470000000</v>
      </c>
      <c r="J4609" s="16" t="s">
        <v>229</v>
      </c>
      <c r="K4609" s="57" t="s">
        <v>18437</v>
      </c>
      <c r="L4609" s="12" t="s">
        <v>404</v>
      </c>
      <c r="M4609" s="162" t="s">
        <v>230</v>
      </c>
      <c r="N4609" s="8" t="s">
        <v>8899</v>
      </c>
      <c r="O4609" s="6" t="s">
        <v>622</v>
      </c>
      <c r="P4609" s="3">
        <v>796</v>
      </c>
      <c r="Q4609" s="27" t="s">
        <v>234</v>
      </c>
      <c r="R4609" s="27">
        <v>6</v>
      </c>
      <c r="S4609" s="59">
        <v>13584.72</v>
      </c>
      <c r="T4609" s="4">
        <v>0</v>
      </c>
      <c r="U4609" s="4">
        <f>T4609*1.12</f>
        <v>0</v>
      </c>
      <c r="V4609" s="3"/>
      <c r="W4609" s="3">
        <v>2014</v>
      </c>
      <c r="X4609" s="3">
        <v>14.15</v>
      </c>
    </row>
    <row r="4610" spans="1:24" ht="76.5">
      <c r="A4610" s="3" t="s">
        <v>19511</v>
      </c>
      <c r="B4610" s="6" t="s">
        <v>361</v>
      </c>
      <c r="C4610" s="6" t="s">
        <v>5506</v>
      </c>
      <c r="D4610" s="6" t="s">
        <v>5507</v>
      </c>
      <c r="E4610" s="6" t="s">
        <v>5183</v>
      </c>
      <c r="F4610" s="8" t="s">
        <v>5657</v>
      </c>
      <c r="G4610" s="3" t="s">
        <v>11449</v>
      </c>
      <c r="H4610" s="54">
        <v>0</v>
      </c>
      <c r="I4610" s="16">
        <v>470000000</v>
      </c>
      <c r="J4610" s="16" t="s">
        <v>229</v>
      </c>
      <c r="K4610" s="57" t="s">
        <v>18437</v>
      </c>
      <c r="L4610" s="12" t="s">
        <v>404</v>
      </c>
      <c r="M4610" s="162" t="s">
        <v>230</v>
      </c>
      <c r="N4610" s="8" t="s">
        <v>19369</v>
      </c>
      <c r="O4610" s="6" t="s">
        <v>19407</v>
      </c>
      <c r="P4610" s="3">
        <v>796</v>
      </c>
      <c r="Q4610" s="27" t="s">
        <v>234</v>
      </c>
      <c r="R4610" s="27">
        <v>6</v>
      </c>
      <c r="S4610" s="59">
        <v>13584.72</v>
      </c>
      <c r="T4610" s="4">
        <f>R4610*S4610</f>
        <v>81508.319999999992</v>
      </c>
      <c r="U4610" s="4">
        <f>T4610*1.12</f>
        <v>91289.318400000004</v>
      </c>
      <c r="V4610" s="3"/>
      <c r="W4610" s="3">
        <v>2014</v>
      </c>
      <c r="X4610" s="3"/>
    </row>
    <row r="4611" spans="1:24" ht="76.5">
      <c r="A4611" s="3" t="s">
        <v>10583</v>
      </c>
      <c r="B4611" s="6" t="s">
        <v>361</v>
      </c>
      <c r="C4611" s="6" t="s">
        <v>5523</v>
      </c>
      <c r="D4611" s="6" t="s">
        <v>416</v>
      </c>
      <c r="E4611" s="6" t="s">
        <v>5332</v>
      </c>
      <c r="F4611" s="107" t="s">
        <v>8056</v>
      </c>
      <c r="G4611" s="3" t="s">
        <v>11449</v>
      </c>
      <c r="H4611" s="54">
        <v>0</v>
      </c>
      <c r="I4611" s="16">
        <v>470000000</v>
      </c>
      <c r="J4611" s="16" t="s">
        <v>229</v>
      </c>
      <c r="K4611" s="57" t="s">
        <v>641</v>
      </c>
      <c r="L4611" s="183" t="s">
        <v>364</v>
      </c>
      <c r="M4611" s="162" t="s">
        <v>230</v>
      </c>
      <c r="N4611" s="8" t="s">
        <v>8899</v>
      </c>
      <c r="O4611" s="6" t="s">
        <v>622</v>
      </c>
      <c r="P4611" s="3">
        <v>796</v>
      </c>
      <c r="Q4611" s="27" t="s">
        <v>234</v>
      </c>
      <c r="R4611" s="26">
        <v>15</v>
      </c>
      <c r="S4611" s="59">
        <f>1486*1.07</f>
        <v>1590.02</v>
      </c>
      <c r="T4611" s="4">
        <v>0</v>
      </c>
      <c r="U4611" s="4">
        <f t="shared" si="218"/>
        <v>0</v>
      </c>
      <c r="V4611" s="3"/>
      <c r="W4611" s="3">
        <v>2014</v>
      </c>
      <c r="X4611" s="3">
        <v>11.12</v>
      </c>
    </row>
    <row r="4612" spans="1:24" ht="76.5">
      <c r="A4612" s="3" t="s">
        <v>13300</v>
      </c>
      <c r="B4612" s="6" t="s">
        <v>361</v>
      </c>
      <c r="C4612" s="6" t="s">
        <v>5523</v>
      </c>
      <c r="D4612" s="6" t="s">
        <v>416</v>
      </c>
      <c r="E4612" s="6" t="s">
        <v>5332</v>
      </c>
      <c r="F4612" s="107" t="s">
        <v>8056</v>
      </c>
      <c r="G4612" s="3" t="s">
        <v>11449</v>
      </c>
      <c r="H4612" s="54">
        <v>0</v>
      </c>
      <c r="I4612" s="16">
        <v>470000000</v>
      </c>
      <c r="J4612" s="16" t="s">
        <v>229</v>
      </c>
      <c r="K4612" s="57" t="s">
        <v>642</v>
      </c>
      <c r="L4612" s="12" t="s">
        <v>404</v>
      </c>
      <c r="M4612" s="162" t="s">
        <v>230</v>
      </c>
      <c r="N4612" s="8" t="s">
        <v>8899</v>
      </c>
      <c r="O4612" s="6" t="s">
        <v>622</v>
      </c>
      <c r="P4612" s="3">
        <v>796</v>
      </c>
      <c r="Q4612" s="27" t="s">
        <v>234</v>
      </c>
      <c r="R4612" s="26">
        <v>15</v>
      </c>
      <c r="S4612" s="59">
        <f>1486*1.07</f>
        <v>1590.02</v>
      </c>
      <c r="T4612" s="4">
        <f>R4612*S4612</f>
        <v>23850.3</v>
      </c>
      <c r="U4612" s="4">
        <f>T4612*1.12</f>
        <v>26712.336000000003</v>
      </c>
      <c r="V4612" s="3"/>
      <c r="W4612" s="3">
        <v>2014</v>
      </c>
      <c r="X4612" s="3"/>
    </row>
    <row r="4613" spans="1:24" ht="76.5">
      <c r="A4613" s="3" t="s">
        <v>10584</v>
      </c>
      <c r="B4613" s="6" t="s">
        <v>361</v>
      </c>
      <c r="C4613" s="6" t="s">
        <v>5523</v>
      </c>
      <c r="D4613" s="6" t="s">
        <v>416</v>
      </c>
      <c r="E4613" s="6" t="s">
        <v>5332</v>
      </c>
      <c r="F4613" s="107" t="s">
        <v>8057</v>
      </c>
      <c r="G4613" s="3" t="s">
        <v>11449</v>
      </c>
      <c r="H4613" s="54">
        <v>0</v>
      </c>
      <c r="I4613" s="16">
        <v>470000000</v>
      </c>
      <c r="J4613" s="16" t="s">
        <v>229</v>
      </c>
      <c r="K4613" s="57" t="s">
        <v>641</v>
      </c>
      <c r="L4613" s="183" t="s">
        <v>364</v>
      </c>
      <c r="M4613" s="162" t="s">
        <v>230</v>
      </c>
      <c r="N4613" s="8" t="s">
        <v>8899</v>
      </c>
      <c r="O4613" s="6" t="s">
        <v>622</v>
      </c>
      <c r="P4613" s="3">
        <v>796</v>
      </c>
      <c r="Q4613" s="27" t="s">
        <v>234</v>
      </c>
      <c r="R4613" s="26">
        <v>33</v>
      </c>
      <c r="S4613" s="59">
        <f>95*1.07</f>
        <v>101.65</v>
      </c>
      <c r="T4613" s="4">
        <v>0</v>
      </c>
      <c r="U4613" s="4">
        <f t="shared" si="218"/>
        <v>0</v>
      </c>
      <c r="V4613" s="3"/>
      <c r="W4613" s="3">
        <v>2014</v>
      </c>
      <c r="X4613" s="3">
        <v>11.12</v>
      </c>
    </row>
    <row r="4614" spans="1:24" ht="76.5">
      <c r="A4614" s="3" t="s">
        <v>13301</v>
      </c>
      <c r="B4614" s="6" t="s">
        <v>361</v>
      </c>
      <c r="C4614" s="6" t="s">
        <v>5523</v>
      </c>
      <c r="D4614" s="6" t="s">
        <v>416</v>
      </c>
      <c r="E4614" s="6" t="s">
        <v>5332</v>
      </c>
      <c r="F4614" s="107" t="s">
        <v>8057</v>
      </c>
      <c r="G4614" s="3" t="s">
        <v>11449</v>
      </c>
      <c r="H4614" s="54">
        <v>0</v>
      </c>
      <c r="I4614" s="16">
        <v>470000000</v>
      </c>
      <c r="J4614" s="16" t="s">
        <v>229</v>
      </c>
      <c r="K4614" s="57" t="s">
        <v>642</v>
      </c>
      <c r="L4614" s="12" t="s">
        <v>404</v>
      </c>
      <c r="M4614" s="162" t="s">
        <v>230</v>
      </c>
      <c r="N4614" s="8" t="s">
        <v>8899</v>
      </c>
      <c r="O4614" s="6" t="s">
        <v>622</v>
      </c>
      <c r="P4614" s="3">
        <v>796</v>
      </c>
      <c r="Q4614" s="27" t="s">
        <v>234</v>
      </c>
      <c r="R4614" s="26">
        <v>33</v>
      </c>
      <c r="S4614" s="59">
        <f>95*1.07</f>
        <v>101.65</v>
      </c>
      <c r="T4614" s="4">
        <f>R4614*S4614</f>
        <v>3354.4500000000003</v>
      </c>
      <c r="U4614" s="4">
        <f>T4614*1.12</f>
        <v>3756.9840000000008</v>
      </c>
      <c r="V4614" s="3"/>
      <c r="W4614" s="3">
        <v>2014</v>
      </c>
      <c r="X4614" s="3"/>
    </row>
    <row r="4615" spans="1:24" ht="76.5">
      <c r="A4615" s="3" t="s">
        <v>10585</v>
      </c>
      <c r="B4615" s="6" t="s">
        <v>361</v>
      </c>
      <c r="C4615" s="6" t="s">
        <v>5658</v>
      </c>
      <c r="D4615" s="6" t="s">
        <v>5541</v>
      </c>
      <c r="E4615" s="6" t="s">
        <v>3115</v>
      </c>
      <c r="F4615" s="107" t="s">
        <v>8058</v>
      </c>
      <c r="G4615" s="3" t="s">
        <v>11449</v>
      </c>
      <c r="H4615" s="54">
        <v>0</v>
      </c>
      <c r="I4615" s="16">
        <v>470000000</v>
      </c>
      <c r="J4615" s="16" t="s">
        <v>229</v>
      </c>
      <c r="K4615" s="57" t="s">
        <v>641</v>
      </c>
      <c r="L4615" s="183" t="s">
        <v>364</v>
      </c>
      <c r="M4615" s="162" t="s">
        <v>230</v>
      </c>
      <c r="N4615" s="8" t="s">
        <v>8899</v>
      </c>
      <c r="O4615" s="6" t="s">
        <v>622</v>
      </c>
      <c r="P4615" s="3">
        <v>796</v>
      </c>
      <c r="Q4615" s="27" t="s">
        <v>234</v>
      </c>
      <c r="R4615" s="26">
        <v>20</v>
      </c>
      <c r="S4615" s="59">
        <v>599</v>
      </c>
      <c r="T4615" s="4">
        <v>0</v>
      </c>
      <c r="U4615" s="4">
        <f t="shared" si="218"/>
        <v>0</v>
      </c>
      <c r="V4615" s="3"/>
      <c r="W4615" s="3">
        <v>2014</v>
      </c>
      <c r="X4615" s="3">
        <v>11.12</v>
      </c>
    </row>
    <row r="4616" spans="1:24" ht="76.5">
      <c r="A4616" s="3" t="s">
        <v>13302</v>
      </c>
      <c r="B4616" s="6" t="s">
        <v>361</v>
      </c>
      <c r="C4616" s="6" t="s">
        <v>5658</v>
      </c>
      <c r="D4616" s="6" t="s">
        <v>5541</v>
      </c>
      <c r="E4616" s="6" t="s">
        <v>3115</v>
      </c>
      <c r="F4616" s="107" t="s">
        <v>8058</v>
      </c>
      <c r="G4616" s="3" t="s">
        <v>11449</v>
      </c>
      <c r="H4616" s="54">
        <v>0</v>
      </c>
      <c r="I4616" s="16">
        <v>470000000</v>
      </c>
      <c r="J4616" s="16" t="s">
        <v>229</v>
      </c>
      <c r="K4616" s="57" t="s">
        <v>642</v>
      </c>
      <c r="L4616" s="12" t="s">
        <v>404</v>
      </c>
      <c r="M4616" s="162" t="s">
        <v>230</v>
      </c>
      <c r="N4616" s="8" t="s">
        <v>8899</v>
      </c>
      <c r="O4616" s="6" t="s">
        <v>622</v>
      </c>
      <c r="P4616" s="3">
        <v>796</v>
      </c>
      <c r="Q4616" s="27" t="s">
        <v>234</v>
      </c>
      <c r="R4616" s="26">
        <v>20</v>
      </c>
      <c r="S4616" s="59">
        <v>599</v>
      </c>
      <c r="T4616" s="4">
        <f>R4616*S4616</f>
        <v>11980</v>
      </c>
      <c r="U4616" s="4">
        <f>T4616*1.12</f>
        <v>13417.600000000002</v>
      </c>
      <c r="V4616" s="3"/>
      <c r="W4616" s="3">
        <v>2014</v>
      </c>
      <c r="X4616" s="3"/>
    </row>
    <row r="4617" spans="1:24" ht="76.5">
      <c r="A4617" s="3" t="s">
        <v>10586</v>
      </c>
      <c r="B4617" s="6" t="s">
        <v>361</v>
      </c>
      <c r="C4617" s="6" t="s">
        <v>5659</v>
      </c>
      <c r="D4617" s="6" t="s">
        <v>423</v>
      </c>
      <c r="E4617" s="6" t="s">
        <v>5332</v>
      </c>
      <c r="F4617" s="107" t="s">
        <v>8059</v>
      </c>
      <c r="G4617" s="3" t="s">
        <v>11449</v>
      </c>
      <c r="H4617" s="54">
        <v>0</v>
      </c>
      <c r="I4617" s="16">
        <v>470000000</v>
      </c>
      <c r="J4617" s="16" t="s">
        <v>229</v>
      </c>
      <c r="K4617" s="57" t="s">
        <v>641</v>
      </c>
      <c r="L4617" s="183" t="s">
        <v>364</v>
      </c>
      <c r="M4617" s="162" t="s">
        <v>230</v>
      </c>
      <c r="N4617" s="8" t="s">
        <v>8899</v>
      </c>
      <c r="O4617" s="6" t="s">
        <v>622</v>
      </c>
      <c r="P4617" s="3">
        <v>796</v>
      </c>
      <c r="Q4617" s="27" t="s">
        <v>234</v>
      </c>
      <c r="R4617" s="26">
        <v>20</v>
      </c>
      <c r="S4617" s="59">
        <f>107*1.07</f>
        <v>114.49000000000001</v>
      </c>
      <c r="T4617" s="4">
        <v>0</v>
      </c>
      <c r="U4617" s="4">
        <f t="shared" si="218"/>
        <v>0</v>
      </c>
      <c r="V4617" s="3"/>
      <c r="W4617" s="3">
        <v>2014</v>
      </c>
      <c r="X4617" s="3">
        <v>11.12</v>
      </c>
    </row>
    <row r="4618" spans="1:24" ht="76.5">
      <c r="A4618" s="3" t="s">
        <v>13303</v>
      </c>
      <c r="B4618" s="6" t="s">
        <v>361</v>
      </c>
      <c r="C4618" s="6" t="s">
        <v>5659</v>
      </c>
      <c r="D4618" s="6" t="s">
        <v>423</v>
      </c>
      <c r="E4618" s="6" t="s">
        <v>5332</v>
      </c>
      <c r="F4618" s="107" t="s">
        <v>8059</v>
      </c>
      <c r="G4618" s="3" t="s">
        <v>11449</v>
      </c>
      <c r="H4618" s="54">
        <v>0</v>
      </c>
      <c r="I4618" s="16">
        <v>470000000</v>
      </c>
      <c r="J4618" s="16" t="s">
        <v>229</v>
      </c>
      <c r="K4618" s="57" t="s">
        <v>642</v>
      </c>
      <c r="L4618" s="12" t="s">
        <v>404</v>
      </c>
      <c r="M4618" s="162" t="s">
        <v>230</v>
      </c>
      <c r="N4618" s="8" t="s">
        <v>8899</v>
      </c>
      <c r="O4618" s="6" t="s">
        <v>622</v>
      </c>
      <c r="P4618" s="3">
        <v>796</v>
      </c>
      <c r="Q4618" s="27" t="s">
        <v>234</v>
      </c>
      <c r="R4618" s="26">
        <v>20</v>
      </c>
      <c r="S4618" s="59">
        <f>107*1.07</f>
        <v>114.49000000000001</v>
      </c>
      <c r="T4618" s="4">
        <f>R4618*S4618</f>
        <v>2289.8000000000002</v>
      </c>
      <c r="U4618" s="4">
        <f>T4618*1.12</f>
        <v>2564.5760000000005</v>
      </c>
      <c r="V4618" s="3"/>
      <c r="W4618" s="3">
        <v>2014</v>
      </c>
      <c r="X4618" s="3"/>
    </row>
    <row r="4619" spans="1:24" ht="76.5">
      <c r="A4619" s="3" t="s">
        <v>10587</v>
      </c>
      <c r="B4619" s="6" t="s">
        <v>361</v>
      </c>
      <c r="C4619" s="6" t="s">
        <v>5660</v>
      </c>
      <c r="D4619" s="6" t="s">
        <v>4451</v>
      </c>
      <c r="E4619" s="6" t="s">
        <v>5661</v>
      </c>
      <c r="F4619" s="107" t="s">
        <v>8060</v>
      </c>
      <c r="G4619" s="3" t="s">
        <v>11449</v>
      </c>
      <c r="H4619" s="54">
        <v>0</v>
      </c>
      <c r="I4619" s="16">
        <v>470000000</v>
      </c>
      <c r="J4619" s="16" t="s">
        <v>229</v>
      </c>
      <c r="K4619" s="57" t="s">
        <v>641</v>
      </c>
      <c r="L4619" s="183" t="s">
        <v>364</v>
      </c>
      <c r="M4619" s="162" t="s">
        <v>230</v>
      </c>
      <c r="N4619" s="8" t="s">
        <v>8899</v>
      </c>
      <c r="O4619" s="6" t="s">
        <v>622</v>
      </c>
      <c r="P4619" s="3">
        <v>796</v>
      </c>
      <c r="Q4619" s="27" t="s">
        <v>234</v>
      </c>
      <c r="R4619" s="26">
        <v>30</v>
      </c>
      <c r="S4619" s="59">
        <f>882*1.07</f>
        <v>943.74</v>
      </c>
      <c r="T4619" s="4">
        <v>0</v>
      </c>
      <c r="U4619" s="4">
        <f t="shared" si="218"/>
        <v>0</v>
      </c>
      <c r="V4619" s="3"/>
      <c r="W4619" s="3">
        <v>2014</v>
      </c>
      <c r="X4619" s="3">
        <v>11.12</v>
      </c>
    </row>
    <row r="4620" spans="1:24" ht="76.5">
      <c r="A4620" s="3" t="s">
        <v>13304</v>
      </c>
      <c r="B4620" s="6" t="s">
        <v>361</v>
      </c>
      <c r="C4620" s="6" t="s">
        <v>5660</v>
      </c>
      <c r="D4620" s="6" t="s">
        <v>4451</v>
      </c>
      <c r="E4620" s="6" t="s">
        <v>5661</v>
      </c>
      <c r="F4620" s="107" t="s">
        <v>8060</v>
      </c>
      <c r="G4620" s="3" t="s">
        <v>11449</v>
      </c>
      <c r="H4620" s="54">
        <v>0</v>
      </c>
      <c r="I4620" s="16">
        <v>470000000</v>
      </c>
      <c r="J4620" s="16" t="s">
        <v>229</v>
      </c>
      <c r="K4620" s="57" t="s">
        <v>642</v>
      </c>
      <c r="L4620" s="12" t="s">
        <v>404</v>
      </c>
      <c r="M4620" s="162" t="s">
        <v>230</v>
      </c>
      <c r="N4620" s="8" t="s">
        <v>8899</v>
      </c>
      <c r="O4620" s="6" t="s">
        <v>622</v>
      </c>
      <c r="P4620" s="3">
        <v>796</v>
      </c>
      <c r="Q4620" s="27" t="s">
        <v>234</v>
      </c>
      <c r="R4620" s="26">
        <v>30</v>
      </c>
      <c r="S4620" s="59">
        <f>882*1.07</f>
        <v>943.74</v>
      </c>
      <c r="T4620" s="4">
        <f>R4620*S4620</f>
        <v>28312.2</v>
      </c>
      <c r="U4620" s="4">
        <f>T4620*1.12</f>
        <v>31709.664000000004</v>
      </c>
      <c r="V4620" s="3"/>
      <c r="W4620" s="3">
        <v>2014</v>
      </c>
      <c r="X4620" s="3"/>
    </row>
    <row r="4621" spans="1:24" ht="76.5">
      <c r="A4621" s="3" t="s">
        <v>10588</v>
      </c>
      <c r="B4621" s="6" t="s">
        <v>361</v>
      </c>
      <c r="C4621" s="6" t="s">
        <v>5466</v>
      </c>
      <c r="D4621" s="6" t="s">
        <v>5467</v>
      </c>
      <c r="E4621" s="6" t="s">
        <v>3115</v>
      </c>
      <c r="F4621" s="107" t="s">
        <v>8061</v>
      </c>
      <c r="G4621" s="3" t="s">
        <v>11449</v>
      </c>
      <c r="H4621" s="54">
        <v>0</v>
      </c>
      <c r="I4621" s="16">
        <v>470000000</v>
      </c>
      <c r="J4621" s="16" t="s">
        <v>229</v>
      </c>
      <c r="K4621" s="57" t="s">
        <v>641</v>
      </c>
      <c r="L4621" s="183" t="s">
        <v>364</v>
      </c>
      <c r="M4621" s="162" t="s">
        <v>230</v>
      </c>
      <c r="N4621" s="8" t="s">
        <v>8899</v>
      </c>
      <c r="O4621" s="6" t="s">
        <v>622</v>
      </c>
      <c r="P4621" s="3">
        <v>796</v>
      </c>
      <c r="Q4621" s="27" t="s">
        <v>234</v>
      </c>
      <c r="R4621" s="26">
        <v>20</v>
      </c>
      <c r="S4621" s="59">
        <f>386*1.07</f>
        <v>413.02000000000004</v>
      </c>
      <c r="T4621" s="4">
        <v>0</v>
      </c>
      <c r="U4621" s="4">
        <f t="shared" si="218"/>
        <v>0</v>
      </c>
      <c r="V4621" s="3"/>
      <c r="W4621" s="3">
        <v>2014</v>
      </c>
      <c r="X4621" s="3">
        <v>11.12</v>
      </c>
    </row>
    <row r="4622" spans="1:24" ht="76.5">
      <c r="A4622" s="3" t="s">
        <v>13305</v>
      </c>
      <c r="B4622" s="6" t="s">
        <v>361</v>
      </c>
      <c r="C4622" s="6" t="s">
        <v>5466</v>
      </c>
      <c r="D4622" s="6" t="s">
        <v>5467</v>
      </c>
      <c r="E4622" s="6" t="s">
        <v>3115</v>
      </c>
      <c r="F4622" s="107" t="s">
        <v>8061</v>
      </c>
      <c r="G4622" s="3" t="s">
        <v>11449</v>
      </c>
      <c r="H4622" s="54">
        <v>0</v>
      </c>
      <c r="I4622" s="16">
        <v>470000000</v>
      </c>
      <c r="J4622" s="16" t="s">
        <v>229</v>
      </c>
      <c r="K4622" s="57" t="s">
        <v>642</v>
      </c>
      <c r="L4622" s="12" t="s">
        <v>404</v>
      </c>
      <c r="M4622" s="162" t="s">
        <v>230</v>
      </c>
      <c r="N4622" s="8" t="s">
        <v>8899</v>
      </c>
      <c r="O4622" s="6" t="s">
        <v>622</v>
      </c>
      <c r="P4622" s="3">
        <v>796</v>
      </c>
      <c r="Q4622" s="27" t="s">
        <v>234</v>
      </c>
      <c r="R4622" s="26">
        <v>20</v>
      </c>
      <c r="S4622" s="59">
        <f>386*1.07</f>
        <v>413.02000000000004</v>
      </c>
      <c r="T4622" s="4">
        <v>0</v>
      </c>
      <c r="U4622" s="4">
        <f>T4622*1.12</f>
        <v>0</v>
      </c>
      <c r="V4622" s="3"/>
      <c r="W4622" s="3">
        <v>2014</v>
      </c>
      <c r="X4622" s="3" t="s">
        <v>14785</v>
      </c>
    </row>
    <row r="4623" spans="1:24" ht="76.5">
      <c r="A4623" s="3" t="s">
        <v>16676</v>
      </c>
      <c r="B4623" s="6" t="s">
        <v>361</v>
      </c>
      <c r="C4623" s="6" t="s">
        <v>5466</v>
      </c>
      <c r="D4623" s="6" t="s">
        <v>5467</v>
      </c>
      <c r="E4623" s="6" t="s">
        <v>3115</v>
      </c>
      <c r="F4623" s="107" t="s">
        <v>8061</v>
      </c>
      <c r="G4623" s="3" t="s">
        <v>11449</v>
      </c>
      <c r="H4623" s="54">
        <v>0</v>
      </c>
      <c r="I4623" s="16">
        <v>470000000</v>
      </c>
      <c r="J4623" s="16" t="s">
        <v>229</v>
      </c>
      <c r="K4623" s="57" t="s">
        <v>8950</v>
      </c>
      <c r="L4623" s="12" t="s">
        <v>404</v>
      </c>
      <c r="M4623" s="162" t="s">
        <v>230</v>
      </c>
      <c r="N4623" s="8" t="s">
        <v>8899</v>
      </c>
      <c r="O4623" s="6" t="s">
        <v>622</v>
      </c>
      <c r="P4623" s="3">
        <v>796</v>
      </c>
      <c r="Q4623" s="27" t="s">
        <v>234</v>
      </c>
      <c r="R4623" s="26">
        <v>20</v>
      </c>
      <c r="S4623" s="59">
        <v>495.62400000000002</v>
      </c>
      <c r="T4623" s="4">
        <v>0</v>
      </c>
      <c r="U4623" s="4">
        <f>T4623*1.12</f>
        <v>0</v>
      </c>
      <c r="V4623" s="3"/>
      <c r="W4623" s="3">
        <v>2014</v>
      </c>
      <c r="X4623" s="3">
        <v>11</v>
      </c>
    </row>
    <row r="4624" spans="1:24" ht="76.5">
      <c r="A4624" s="3" t="s">
        <v>18792</v>
      </c>
      <c r="B4624" s="6" t="s">
        <v>361</v>
      </c>
      <c r="C4624" s="6" t="s">
        <v>5466</v>
      </c>
      <c r="D4624" s="6" t="s">
        <v>5467</v>
      </c>
      <c r="E4624" s="6" t="s">
        <v>3115</v>
      </c>
      <c r="F4624" s="107" t="s">
        <v>8061</v>
      </c>
      <c r="G4624" s="3" t="s">
        <v>11449</v>
      </c>
      <c r="H4624" s="54">
        <v>0</v>
      </c>
      <c r="I4624" s="16">
        <v>470000000</v>
      </c>
      <c r="J4624" s="16" t="s">
        <v>229</v>
      </c>
      <c r="K4624" s="57" t="s">
        <v>18437</v>
      </c>
      <c r="L4624" s="12" t="s">
        <v>404</v>
      </c>
      <c r="M4624" s="162" t="s">
        <v>230</v>
      </c>
      <c r="N4624" s="8" t="s">
        <v>8899</v>
      </c>
      <c r="O4624" s="6" t="s">
        <v>622</v>
      </c>
      <c r="P4624" s="3">
        <v>796</v>
      </c>
      <c r="Q4624" s="27" t="s">
        <v>234</v>
      </c>
      <c r="R4624" s="26">
        <v>20</v>
      </c>
      <c r="S4624" s="59">
        <v>495.62400000000002</v>
      </c>
      <c r="T4624" s="4">
        <v>0</v>
      </c>
      <c r="U4624" s="4">
        <f>T4624*1.12</f>
        <v>0</v>
      </c>
      <c r="V4624" s="3"/>
      <c r="W4624" s="3">
        <v>2014</v>
      </c>
      <c r="X4624" s="3">
        <v>14.15</v>
      </c>
    </row>
    <row r="4625" spans="1:24" ht="76.5">
      <c r="A4625" s="3" t="s">
        <v>19512</v>
      </c>
      <c r="B4625" s="6" t="s">
        <v>361</v>
      </c>
      <c r="C4625" s="6" t="s">
        <v>5466</v>
      </c>
      <c r="D4625" s="6" t="s">
        <v>5467</v>
      </c>
      <c r="E4625" s="6" t="s">
        <v>3115</v>
      </c>
      <c r="F4625" s="107" t="s">
        <v>8061</v>
      </c>
      <c r="G4625" s="3" t="s">
        <v>11449</v>
      </c>
      <c r="H4625" s="54">
        <v>0</v>
      </c>
      <c r="I4625" s="16">
        <v>470000000</v>
      </c>
      <c r="J4625" s="16" t="s">
        <v>229</v>
      </c>
      <c r="K4625" s="57" t="s">
        <v>18437</v>
      </c>
      <c r="L4625" s="12" t="s">
        <v>404</v>
      </c>
      <c r="M4625" s="162" t="s">
        <v>230</v>
      </c>
      <c r="N4625" s="8" t="s">
        <v>19369</v>
      </c>
      <c r="O4625" s="6" t="s">
        <v>19407</v>
      </c>
      <c r="P4625" s="3">
        <v>796</v>
      </c>
      <c r="Q4625" s="27" t="s">
        <v>234</v>
      </c>
      <c r="R4625" s="26">
        <v>20</v>
      </c>
      <c r="S4625" s="59">
        <v>495.62400000000002</v>
      </c>
      <c r="T4625" s="4">
        <f>R4625*S4625</f>
        <v>9912.48</v>
      </c>
      <c r="U4625" s="4">
        <f>T4625*1.12</f>
        <v>11101.9776</v>
      </c>
      <c r="V4625" s="3"/>
      <c r="W4625" s="3">
        <v>2014</v>
      </c>
      <c r="X4625" s="3"/>
    </row>
    <row r="4626" spans="1:24" ht="76.5">
      <c r="A4626" s="3" t="s">
        <v>10589</v>
      </c>
      <c r="B4626" s="6" t="s">
        <v>361</v>
      </c>
      <c r="C4626" s="6" t="s">
        <v>5662</v>
      </c>
      <c r="D4626" s="6" t="s">
        <v>425</v>
      </c>
      <c r="E4626" s="6" t="s">
        <v>5183</v>
      </c>
      <c r="F4626" s="107" t="s">
        <v>8062</v>
      </c>
      <c r="G4626" s="3" t="s">
        <v>11449</v>
      </c>
      <c r="H4626" s="54">
        <v>0</v>
      </c>
      <c r="I4626" s="16">
        <v>470000000</v>
      </c>
      <c r="J4626" s="16" t="s">
        <v>229</v>
      </c>
      <c r="K4626" s="57" t="s">
        <v>641</v>
      </c>
      <c r="L4626" s="183" t="s">
        <v>364</v>
      </c>
      <c r="M4626" s="162" t="s">
        <v>230</v>
      </c>
      <c r="N4626" s="8" t="s">
        <v>8899</v>
      </c>
      <c r="O4626" s="6" t="s">
        <v>622</v>
      </c>
      <c r="P4626" s="3">
        <v>796</v>
      </c>
      <c r="Q4626" s="27" t="s">
        <v>234</v>
      </c>
      <c r="R4626" s="26">
        <v>10</v>
      </c>
      <c r="S4626" s="59">
        <f>872*1.07</f>
        <v>933.04000000000008</v>
      </c>
      <c r="T4626" s="4">
        <v>0</v>
      </c>
      <c r="U4626" s="4">
        <f t="shared" si="218"/>
        <v>0</v>
      </c>
      <c r="V4626" s="3"/>
      <c r="W4626" s="3">
        <v>2014</v>
      </c>
      <c r="X4626" s="3">
        <v>11.12</v>
      </c>
    </row>
    <row r="4627" spans="1:24" ht="76.5">
      <c r="A4627" s="3" t="s">
        <v>13306</v>
      </c>
      <c r="B4627" s="6" t="s">
        <v>361</v>
      </c>
      <c r="C4627" s="6" t="s">
        <v>5662</v>
      </c>
      <c r="D4627" s="6" t="s">
        <v>425</v>
      </c>
      <c r="E4627" s="6" t="s">
        <v>5183</v>
      </c>
      <c r="F4627" s="107" t="s">
        <v>8062</v>
      </c>
      <c r="G4627" s="3" t="s">
        <v>11449</v>
      </c>
      <c r="H4627" s="54">
        <v>0</v>
      </c>
      <c r="I4627" s="16">
        <v>470000000</v>
      </c>
      <c r="J4627" s="16" t="s">
        <v>229</v>
      </c>
      <c r="K4627" s="57" t="s">
        <v>642</v>
      </c>
      <c r="L4627" s="12" t="s">
        <v>404</v>
      </c>
      <c r="M4627" s="162" t="s">
        <v>230</v>
      </c>
      <c r="N4627" s="8" t="s">
        <v>8899</v>
      </c>
      <c r="O4627" s="6" t="s">
        <v>622</v>
      </c>
      <c r="P4627" s="3">
        <v>796</v>
      </c>
      <c r="Q4627" s="27" t="s">
        <v>234</v>
      </c>
      <c r="R4627" s="26">
        <v>10</v>
      </c>
      <c r="S4627" s="59">
        <f>872*1.07</f>
        <v>933.04000000000008</v>
      </c>
      <c r="T4627" s="4">
        <v>0</v>
      </c>
      <c r="U4627" s="4">
        <f>T4627*1.12</f>
        <v>0</v>
      </c>
      <c r="V4627" s="3"/>
      <c r="W4627" s="3">
        <v>2014</v>
      </c>
      <c r="X4627" s="3" t="s">
        <v>14785</v>
      </c>
    </row>
    <row r="4628" spans="1:24" ht="76.5">
      <c r="A4628" s="3" t="s">
        <v>16677</v>
      </c>
      <c r="B4628" s="6" t="s">
        <v>361</v>
      </c>
      <c r="C4628" s="6" t="s">
        <v>5662</v>
      </c>
      <c r="D4628" s="6" t="s">
        <v>425</v>
      </c>
      <c r="E4628" s="6" t="s">
        <v>5183</v>
      </c>
      <c r="F4628" s="107" t="s">
        <v>8062</v>
      </c>
      <c r="G4628" s="3" t="s">
        <v>11449</v>
      </c>
      <c r="H4628" s="54">
        <v>0</v>
      </c>
      <c r="I4628" s="16">
        <v>470000000</v>
      </c>
      <c r="J4628" s="16" t="s">
        <v>229</v>
      </c>
      <c r="K4628" s="57" t="s">
        <v>8950</v>
      </c>
      <c r="L4628" s="12" t="s">
        <v>404</v>
      </c>
      <c r="M4628" s="162" t="s">
        <v>230</v>
      </c>
      <c r="N4628" s="8" t="s">
        <v>8899</v>
      </c>
      <c r="O4628" s="6" t="s">
        <v>622</v>
      </c>
      <c r="P4628" s="3">
        <v>796</v>
      </c>
      <c r="Q4628" s="27" t="s">
        <v>234</v>
      </c>
      <c r="R4628" s="26">
        <v>10</v>
      </c>
      <c r="S4628" s="59">
        <v>1119.6480000000001</v>
      </c>
      <c r="T4628" s="4">
        <v>0</v>
      </c>
      <c r="U4628" s="4">
        <f>T4628*1.12</f>
        <v>0</v>
      </c>
      <c r="V4628" s="3"/>
      <c r="W4628" s="3">
        <v>2014</v>
      </c>
      <c r="X4628" s="3">
        <v>11</v>
      </c>
    </row>
    <row r="4629" spans="1:24" ht="76.5">
      <c r="A4629" s="3" t="s">
        <v>18793</v>
      </c>
      <c r="B4629" s="6" t="s">
        <v>361</v>
      </c>
      <c r="C4629" s="6" t="s">
        <v>5662</v>
      </c>
      <c r="D4629" s="6" t="s">
        <v>425</v>
      </c>
      <c r="E4629" s="6" t="s">
        <v>5183</v>
      </c>
      <c r="F4629" s="107" t="s">
        <v>8062</v>
      </c>
      <c r="G4629" s="3" t="s">
        <v>11449</v>
      </c>
      <c r="H4629" s="54">
        <v>0</v>
      </c>
      <c r="I4629" s="16">
        <v>470000000</v>
      </c>
      <c r="J4629" s="16" t="s">
        <v>229</v>
      </c>
      <c r="K4629" s="57" t="s">
        <v>18437</v>
      </c>
      <c r="L4629" s="12" t="s">
        <v>404</v>
      </c>
      <c r="M4629" s="162" t="s">
        <v>230</v>
      </c>
      <c r="N4629" s="8" t="s">
        <v>8899</v>
      </c>
      <c r="O4629" s="6" t="s">
        <v>622</v>
      </c>
      <c r="P4629" s="3">
        <v>796</v>
      </c>
      <c r="Q4629" s="27" t="s">
        <v>234</v>
      </c>
      <c r="R4629" s="26">
        <v>10</v>
      </c>
      <c r="S4629" s="59">
        <v>1119.6480000000001</v>
      </c>
      <c r="T4629" s="4">
        <f>R4629*S4629</f>
        <v>11196.480000000001</v>
      </c>
      <c r="U4629" s="4">
        <f>T4629*1.12</f>
        <v>12540.057600000002</v>
      </c>
      <c r="V4629" s="3"/>
      <c r="W4629" s="3">
        <v>2014</v>
      </c>
      <c r="X4629" s="3"/>
    </row>
    <row r="4630" spans="1:24" ht="76.5">
      <c r="A4630" s="3" t="s">
        <v>10590</v>
      </c>
      <c r="B4630" s="6" t="s">
        <v>361</v>
      </c>
      <c r="C4630" s="6" t="s">
        <v>5489</v>
      </c>
      <c r="D4630" s="6" t="s">
        <v>5490</v>
      </c>
      <c r="E4630" s="6" t="s">
        <v>5332</v>
      </c>
      <c r="F4630" s="223" t="s">
        <v>8063</v>
      </c>
      <c r="G4630" s="3" t="s">
        <v>11449</v>
      </c>
      <c r="H4630" s="54">
        <v>0</v>
      </c>
      <c r="I4630" s="16">
        <v>470000000</v>
      </c>
      <c r="J4630" s="16" t="s">
        <v>229</v>
      </c>
      <c r="K4630" s="57" t="s">
        <v>641</v>
      </c>
      <c r="L4630" s="183" t="s">
        <v>364</v>
      </c>
      <c r="M4630" s="162" t="s">
        <v>230</v>
      </c>
      <c r="N4630" s="8" t="s">
        <v>8899</v>
      </c>
      <c r="O4630" s="6" t="s">
        <v>622</v>
      </c>
      <c r="P4630" s="3">
        <v>796</v>
      </c>
      <c r="Q4630" s="27" t="s">
        <v>234</v>
      </c>
      <c r="R4630" s="26">
        <v>10</v>
      </c>
      <c r="S4630" s="59">
        <f>1183*1.07</f>
        <v>1265.8100000000002</v>
      </c>
      <c r="T4630" s="4">
        <v>0</v>
      </c>
      <c r="U4630" s="4">
        <f t="shared" si="218"/>
        <v>0</v>
      </c>
      <c r="V4630" s="3"/>
      <c r="W4630" s="3">
        <v>2014</v>
      </c>
      <c r="X4630" s="3">
        <v>11.12</v>
      </c>
    </row>
    <row r="4631" spans="1:24" ht="76.5">
      <c r="A4631" s="3" t="s">
        <v>13307</v>
      </c>
      <c r="B4631" s="6" t="s">
        <v>361</v>
      </c>
      <c r="C4631" s="6" t="s">
        <v>5489</v>
      </c>
      <c r="D4631" s="6" t="s">
        <v>5490</v>
      </c>
      <c r="E4631" s="6" t="s">
        <v>5332</v>
      </c>
      <c r="F4631" s="223" t="s">
        <v>8063</v>
      </c>
      <c r="G4631" s="3" t="s">
        <v>11449</v>
      </c>
      <c r="H4631" s="54">
        <v>0</v>
      </c>
      <c r="I4631" s="16">
        <v>470000000</v>
      </c>
      <c r="J4631" s="16" t="s">
        <v>229</v>
      </c>
      <c r="K4631" s="57" t="s">
        <v>642</v>
      </c>
      <c r="L4631" s="12" t="s">
        <v>404</v>
      </c>
      <c r="M4631" s="162" t="s">
        <v>230</v>
      </c>
      <c r="N4631" s="8" t="s">
        <v>8899</v>
      </c>
      <c r="O4631" s="6" t="s">
        <v>622</v>
      </c>
      <c r="P4631" s="3">
        <v>796</v>
      </c>
      <c r="Q4631" s="27" t="s">
        <v>234</v>
      </c>
      <c r="R4631" s="26">
        <v>10</v>
      </c>
      <c r="S4631" s="59">
        <f>1183*1.07</f>
        <v>1265.8100000000002</v>
      </c>
      <c r="T4631" s="4">
        <f>R4631*S4631</f>
        <v>12658.100000000002</v>
      </c>
      <c r="U4631" s="4">
        <f>T4631*1.12</f>
        <v>14177.072000000004</v>
      </c>
      <c r="V4631" s="3"/>
      <c r="W4631" s="3">
        <v>2014</v>
      </c>
      <c r="X4631" s="3"/>
    </row>
    <row r="4632" spans="1:24" ht="76.5">
      <c r="A4632" s="3" t="s">
        <v>10591</v>
      </c>
      <c r="B4632" s="6" t="s">
        <v>361</v>
      </c>
      <c r="C4632" s="6" t="s">
        <v>5663</v>
      </c>
      <c r="D4632" s="6" t="s">
        <v>5483</v>
      </c>
      <c r="E4632" s="6" t="s">
        <v>5664</v>
      </c>
      <c r="F4632" s="26" t="s">
        <v>8064</v>
      </c>
      <c r="G4632" s="3" t="s">
        <v>11449</v>
      </c>
      <c r="H4632" s="54">
        <v>0</v>
      </c>
      <c r="I4632" s="16">
        <v>470000000</v>
      </c>
      <c r="J4632" s="16" t="s">
        <v>229</v>
      </c>
      <c r="K4632" s="57" t="s">
        <v>641</v>
      </c>
      <c r="L4632" s="183" t="s">
        <v>364</v>
      </c>
      <c r="M4632" s="162" t="s">
        <v>230</v>
      </c>
      <c r="N4632" s="8" t="s">
        <v>8899</v>
      </c>
      <c r="O4632" s="6" t="s">
        <v>622</v>
      </c>
      <c r="P4632" s="3">
        <v>796</v>
      </c>
      <c r="Q4632" s="27" t="s">
        <v>234</v>
      </c>
      <c r="R4632" s="26">
        <v>6</v>
      </c>
      <c r="S4632" s="59">
        <f>22491*1.07</f>
        <v>24065.370000000003</v>
      </c>
      <c r="T4632" s="4">
        <v>0</v>
      </c>
      <c r="U4632" s="4">
        <f t="shared" si="218"/>
        <v>0</v>
      </c>
      <c r="V4632" s="3"/>
      <c r="W4632" s="3">
        <v>2014</v>
      </c>
      <c r="X4632" s="3">
        <v>11.12</v>
      </c>
    </row>
    <row r="4633" spans="1:24" ht="76.5">
      <c r="A4633" s="3" t="s">
        <v>13308</v>
      </c>
      <c r="B4633" s="6" t="s">
        <v>361</v>
      </c>
      <c r="C4633" s="6" t="s">
        <v>5663</v>
      </c>
      <c r="D4633" s="6" t="s">
        <v>5483</v>
      </c>
      <c r="E4633" s="6" t="s">
        <v>5664</v>
      </c>
      <c r="F4633" s="26" t="s">
        <v>8064</v>
      </c>
      <c r="G4633" s="3" t="s">
        <v>11449</v>
      </c>
      <c r="H4633" s="54">
        <v>0</v>
      </c>
      <c r="I4633" s="16">
        <v>470000000</v>
      </c>
      <c r="J4633" s="16" t="s">
        <v>229</v>
      </c>
      <c r="K4633" s="57" t="s">
        <v>642</v>
      </c>
      <c r="L4633" s="12" t="s">
        <v>404</v>
      </c>
      <c r="M4633" s="162" t="s">
        <v>230</v>
      </c>
      <c r="N4633" s="8" t="s">
        <v>8899</v>
      </c>
      <c r="O4633" s="6" t="s">
        <v>622</v>
      </c>
      <c r="P4633" s="3">
        <v>796</v>
      </c>
      <c r="Q4633" s="27" t="s">
        <v>234</v>
      </c>
      <c r="R4633" s="26">
        <v>6</v>
      </c>
      <c r="S4633" s="59">
        <f>22491*1.07</f>
        <v>24065.370000000003</v>
      </c>
      <c r="T4633" s="4">
        <f>R4633*S4633</f>
        <v>144392.22000000003</v>
      </c>
      <c r="U4633" s="4">
        <f>T4633*1.12</f>
        <v>161719.28640000004</v>
      </c>
      <c r="V4633" s="3"/>
      <c r="W4633" s="3">
        <v>2014</v>
      </c>
      <c r="X4633" s="3"/>
    </row>
    <row r="4634" spans="1:24" ht="76.5">
      <c r="A4634" s="3" t="s">
        <v>10592</v>
      </c>
      <c r="B4634" s="6" t="s">
        <v>361</v>
      </c>
      <c r="C4634" s="6" t="s">
        <v>5617</v>
      </c>
      <c r="D4634" s="6" t="s">
        <v>419</v>
      </c>
      <c r="E4634" s="6" t="s">
        <v>5183</v>
      </c>
      <c r="F4634" s="130" t="s">
        <v>8065</v>
      </c>
      <c r="G4634" s="3" t="s">
        <v>11449</v>
      </c>
      <c r="H4634" s="54">
        <v>0</v>
      </c>
      <c r="I4634" s="16">
        <v>470000000</v>
      </c>
      <c r="J4634" s="16" t="s">
        <v>229</v>
      </c>
      <c r="K4634" s="57" t="s">
        <v>641</v>
      </c>
      <c r="L4634" s="183" t="s">
        <v>364</v>
      </c>
      <c r="M4634" s="162" t="s">
        <v>230</v>
      </c>
      <c r="N4634" s="8" t="s">
        <v>8899</v>
      </c>
      <c r="O4634" s="6" t="s">
        <v>622</v>
      </c>
      <c r="P4634" s="3">
        <v>796</v>
      </c>
      <c r="Q4634" s="27" t="s">
        <v>234</v>
      </c>
      <c r="R4634" s="26">
        <v>6</v>
      </c>
      <c r="S4634" s="59">
        <f>22089*1.07</f>
        <v>23635.23</v>
      </c>
      <c r="T4634" s="4">
        <v>0</v>
      </c>
      <c r="U4634" s="4">
        <f t="shared" si="218"/>
        <v>0</v>
      </c>
      <c r="V4634" s="3"/>
      <c r="W4634" s="3">
        <v>2014</v>
      </c>
      <c r="X4634" s="3">
        <v>11.12</v>
      </c>
    </row>
    <row r="4635" spans="1:24" ht="76.5">
      <c r="A4635" s="3" t="s">
        <v>13309</v>
      </c>
      <c r="B4635" s="6" t="s">
        <v>361</v>
      </c>
      <c r="C4635" s="6" t="s">
        <v>5617</v>
      </c>
      <c r="D4635" s="6" t="s">
        <v>419</v>
      </c>
      <c r="E4635" s="6" t="s">
        <v>5183</v>
      </c>
      <c r="F4635" s="130" t="s">
        <v>8065</v>
      </c>
      <c r="G4635" s="3" t="s">
        <v>11449</v>
      </c>
      <c r="H4635" s="54">
        <v>0</v>
      </c>
      <c r="I4635" s="16">
        <v>470000000</v>
      </c>
      <c r="J4635" s="16" t="s">
        <v>229</v>
      </c>
      <c r="K4635" s="57" t="s">
        <v>642</v>
      </c>
      <c r="L4635" s="12" t="s">
        <v>404</v>
      </c>
      <c r="M4635" s="162" t="s">
        <v>230</v>
      </c>
      <c r="N4635" s="8" t="s">
        <v>8899</v>
      </c>
      <c r="O4635" s="6" t="s">
        <v>622</v>
      </c>
      <c r="P4635" s="3">
        <v>796</v>
      </c>
      <c r="Q4635" s="27" t="s">
        <v>234</v>
      </c>
      <c r="R4635" s="26">
        <v>6</v>
      </c>
      <c r="S4635" s="59">
        <f>22089*1.07</f>
        <v>23635.23</v>
      </c>
      <c r="T4635" s="4">
        <f>R4635*S4635</f>
        <v>141811.38</v>
      </c>
      <c r="U4635" s="4">
        <f>T4635*1.12</f>
        <v>158828.74560000002</v>
      </c>
      <c r="V4635" s="3"/>
      <c r="W4635" s="3">
        <v>2014</v>
      </c>
      <c r="X4635" s="3"/>
    </row>
    <row r="4636" spans="1:24" ht="76.5">
      <c r="A4636" s="3" t="s">
        <v>10593</v>
      </c>
      <c r="B4636" s="6" t="s">
        <v>361</v>
      </c>
      <c r="C4636" s="6" t="s">
        <v>5617</v>
      </c>
      <c r="D4636" s="6" t="s">
        <v>419</v>
      </c>
      <c r="E4636" s="6" t="s">
        <v>5183</v>
      </c>
      <c r="F4636" s="130" t="s">
        <v>8066</v>
      </c>
      <c r="G4636" s="3" t="s">
        <v>11449</v>
      </c>
      <c r="H4636" s="54">
        <v>0</v>
      </c>
      <c r="I4636" s="16">
        <v>470000000</v>
      </c>
      <c r="J4636" s="16" t="s">
        <v>229</v>
      </c>
      <c r="K4636" s="57" t="s">
        <v>641</v>
      </c>
      <c r="L4636" s="183" t="s">
        <v>364</v>
      </c>
      <c r="M4636" s="162" t="s">
        <v>230</v>
      </c>
      <c r="N4636" s="8" t="s">
        <v>8899</v>
      </c>
      <c r="O4636" s="6" t="s">
        <v>622</v>
      </c>
      <c r="P4636" s="3">
        <v>796</v>
      </c>
      <c r="Q4636" s="27" t="s">
        <v>234</v>
      </c>
      <c r="R4636" s="26">
        <v>6</v>
      </c>
      <c r="S4636" s="59">
        <f>45674*1.07</f>
        <v>48871.18</v>
      </c>
      <c r="T4636" s="4">
        <v>0</v>
      </c>
      <c r="U4636" s="4">
        <f t="shared" si="218"/>
        <v>0</v>
      </c>
      <c r="V4636" s="3"/>
      <c r="W4636" s="3">
        <v>2014</v>
      </c>
      <c r="X4636" s="3">
        <v>11.12</v>
      </c>
    </row>
    <row r="4637" spans="1:24" ht="76.5">
      <c r="A4637" s="3" t="s">
        <v>13310</v>
      </c>
      <c r="B4637" s="6" t="s">
        <v>361</v>
      </c>
      <c r="C4637" s="6" t="s">
        <v>5617</v>
      </c>
      <c r="D4637" s="6" t="s">
        <v>419</v>
      </c>
      <c r="E4637" s="6" t="s">
        <v>5183</v>
      </c>
      <c r="F4637" s="130" t="s">
        <v>8066</v>
      </c>
      <c r="G4637" s="3" t="s">
        <v>11449</v>
      </c>
      <c r="H4637" s="54">
        <v>0</v>
      </c>
      <c r="I4637" s="16">
        <v>470000000</v>
      </c>
      <c r="J4637" s="16" t="s">
        <v>229</v>
      </c>
      <c r="K4637" s="57" t="s">
        <v>642</v>
      </c>
      <c r="L4637" s="12" t="s">
        <v>404</v>
      </c>
      <c r="M4637" s="162" t="s">
        <v>230</v>
      </c>
      <c r="N4637" s="8" t="s">
        <v>8899</v>
      </c>
      <c r="O4637" s="6" t="s">
        <v>622</v>
      </c>
      <c r="P4637" s="3">
        <v>796</v>
      </c>
      <c r="Q4637" s="27" t="s">
        <v>234</v>
      </c>
      <c r="R4637" s="26">
        <v>6</v>
      </c>
      <c r="S4637" s="59">
        <f>45674*1.07</f>
        <v>48871.18</v>
      </c>
      <c r="T4637" s="4">
        <f>R4637*S4637</f>
        <v>293227.08</v>
      </c>
      <c r="U4637" s="4">
        <f>T4637*1.12</f>
        <v>328414.32960000006</v>
      </c>
      <c r="V4637" s="3"/>
      <c r="W4637" s="3">
        <v>2014</v>
      </c>
      <c r="X4637" s="3"/>
    </row>
    <row r="4638" spans="1:24" ht="76.5">
      <c r="A4638" s="3" t="s">
        <v>10594</v>
      </c>
      <c r="B4638" s="6" t="s">
        <v>361</v>
      </c>
      <c r="C4638" s="6" t="s">
        <v>5523</v>
      </c>
      <c r="D4638" s="6" t="s">
        <v>416</v>
      </c>
      <c r="E4638" s="6" t="s">
        <v>5332</v>
      </c>
      <c r="F4638" s="130" t="s">
        <v>8067</v>
      </c>
      <c r="G4638" s="3" t="s">
        <v>11449</v>
      </c>
      <c r="H4638" s="54">
        <v>0</v>
      </c>
      <c r="I4638" s="16">
        <v>470000000</v>
      </c>
      <c r="J4638" s="16" t="s">
        <v>229</v>
      </c>
      <c r="K4638" s="57" t="s">
        <v>641</v>
      </c>
      <c r="L4638" s="183" t="s">
        <v>364</v>
      </c>
      <c r="M4638" s="162" t="s">
        <v>230</v>
      </c>
      <c r="N4638" s="8" t="s">
        <v>8899</v>
      </c>
      <c r="O4638" s="6" t="s">
        <v>622</v>
      </c>
      <c r="P4638" s="3">
        <v>796</v>
      </c>
      <c r="Q4638" s="27" t="s">
        <v>234</v>
      </c>
      <c r="R4638" s="26">
        <v>12</v>
      </c>
      <c r="S4638" s="59">
        <f>1400*1.07</f>
        <v>1498</v>
      </c>
      <c r="T4638" s="4">
        <v>0</v>
      </c>
      <c r="U4638" s="4">
        <f t="shared" si="218"/>
        <v>0</v>
      </c>
      <c r="V4638" s="3"/>
      <c r="W4638" s="3">
        <v>2014</v>
      </c>
      <c r="X4638" s="3">
        <v>11.12</v>
      </c>
    </row>
    <row r="4639" spans="1:24" ht="76.5">
      <c r="A4639" s="3" t="s">
        <v>13311</v>
      </c>
      <c r="B4639" s="6" t="s">
        <v>361</v>
      </c>
      <c r="C4639" s="6" t="s">
        <v>5523</v>
      </c>
      <c r="D4639" s="6" t="s">
        <v>416</v>
      </c>
      <c r="E4639" s="6" t="s">
        <v>5332</v>
      </c>
      <c r="F4639" s="130" t="s">
        <v>8067</v>
      </c>
      <c r="G4639" s="3" t="s">
        <v>11449</v>
      </c>
      <c r="H4639" s="54">
        <v>0</v>
      </c>
      <c r="I4639" s="16">
        <v>470000000</v>
      </c>
      <c r="J4639" s="16" t="s">
        <v>229</v>
      </c>
      <c r="K4639" s="57" t="s">
        <v>642</v>
      </c>
      <c r="L4639" s="12" t="s">
        <v>404</v>
      </c>
      <c r="M4639" s="162" t="s">
        <v>230</v>
      </c>
      <c r="N4639" s="8" t="s">
        <v>8899</v>
      </c>
      <c r="O4639" s="6" t="s">
        <v>622</v>
      </c>
      <c r="P4639" s="3">
        <v>796</v>
      </c>
      <c r="Q4639" s="27" t="s">
        <v>234</v>
      </c>
      <c r="R4639" s="26">
        <v>12</v>
      </c>
      <c r="S4639" s="59">
        <f>1400*1.07</f>
        <v>1498</v>
      </c>
      <c r="T4639" s="4">
        <f>R4639*S4639</f>
        <v>17976</v>
      </c>
      <c r="U4639" s="4">
        <f>T4639*1.12</f>
        <v>20133.120000000003</v>
      </c>
      <c r="V4639" s="3"/>
      <c r="W4639" s="3">
        <v>2014</v>
      </c>
      <c r="X4639" s="3"/>
    </row>
    <row r="4640" spans="1:24" ht="76.5">
      <c r="A4640" s="3" t="s">
        <v>10595</v>
      </c>
      <c r="B4640" s="6" t="s">
        <v>361</v>
      </c>
      <c r="C4640" s="6" t="s">
        <v>5523</v>
      </c>
      <c r="D4640" s="6" t="s">
        <v>416</v>
      </c>
      <c r="E4640" s="6" t="s">
        <v>5332</v>
      </c>
      <c r="F4640" s="130" t="s">
        <v>8068</v>
      </c>
      <c r="G4640" s="3" t="s">
        <v>11449</v>
      </c>
      <c r="H4640" s="54">
        <v>0</v>
      </c>
      <c r="I4640" s="16">
        <v>470000000</v>
      </c>
      <c r="J4640" s="16" t="s">
        <v>229</v>
      </c>
      <c r="K4640" s="57" t="s">
        <v>641</v>
      </c>
      <c r="L4640" s="183" t="s">
        <v>364</v>
      </c>
      <c r="M4640" s="162" t="s">
        <v>230</v>
      </c>
      <c r="N4640" s="8" t="s">
        <v>8899</v>
      </c>
      <c r="O4640" s="6" t="s">
        <v>622</v>
      </c>
      <c r="P4640" s="3">
        <v>796</v>
      </c>
      <c r="Q4640" s="27" t="s">
        <v>234</v>
      </c>
      <c r="R4640" s="26">
        <v>12</v>
      </c>
      <c r="S4640" s="59">
        <f>1486*1.07</f>
        <v>1590.02</v>
      </c>
      <c r="T4640" s="4">
        <v>0</v>
      </c>
      <c r="U4640" s="4">
        <f t="shared" si="218"/>
        <v>0</v>
      </c>
      <c r="V4640" s="3"/>
      <c r="W4640" s="3">
        <v>2014</v>
      </c>
      <c r="X4640" s="3">
        <v>11.12</v>
      </c>
    </row>
    <row r="4641" spans="1:24" ht="76.5">
      <c r="A4641" s="3" t="s">
        <v>13312</v>
      </c>
      <c r="B4641" s="6" t="s">
        <v>361</v>
      </c>
      <c r="C4641" s="6" t="s">
        <v>5523</v>
      </c>
      <c r="D4641" s="6" t="s">
        <v>416</v>
      </c>
      <c r="E4641" s="6" t="s">
        <v>5332</v>
      </c>
      <c r="F4641" s="130" t="s">
        <v>8068</v>
      </c>
      <c r="G4641" s="3" t="s">
        <v>11449</v>
      </c>
      <c r="H4641" s="54">
        <v>0</v>
      </c>
      <c r="I4641" s="16">
        <v>470000000</v>
      </c>
      <c r="J4641" s="16" t="s">
        <v>229</v>
      </c>
      <c r="K4641" s="57" t="s">
        <v>642</v>
      </c>
      <c r="L4641" s="12" t="s">
        <v>404</v>
      </c>
      <c r="M4641" s="162" t="s">
        <v>230</v>
      </c>
      <c r="N4641" s="8" t="s">
        <v>8899</v>
      </c>
      <c r="O4641" s="6" t="s">
        <v>622</v>
      </c>
      <c r="P4641" s="3">
        <v>796</v>
      </c>
      <c r="Q4641" s="27" t="s">
        <v>234</v>
      </c>
      <c r="R4641" s="26">
        <v>12</v>
      </c>
      <c r="S4641" s="59">
        <f>1486*1.07</f>
        <v>1590.02</v>
      </c>
      <c r="T4641" s="4">
        <f>R4641*S4641</f>
        <v>19080.239999999998</v>
      </c>
      <c r="U4641" s="4">
        <f>T4641*1.12</f>
        <v>21369.8688</v>
      </c>
      <c r="V4641" s="3"/>
      <c r="W4641" s="3">
        <v>2014</v>
      </c>
      <c r="X4641" s="3"/>
    </row>
    <row r="4642" spans="1:24" ht="76.5">
      <c r="A4642" s="3" t="s">
        <v>10596</v>
      </c>
      <c r="B4642" s="6" t="s">
        <v>361</v>
      </c>
      <c r="C4642" s="6" t="s">
        <v>5665</v>
      </c>
      <c r="D4642" s="6" t="s">
        <v>387</v>
      </c>
      <c r="E4642" s="6" t="s">
        <v>5666</v>
      </c>
      <c r="F4642" s="130" t="s">
        <v>8069</v>
      </c>
      <c r="G4642" s="3" t="s">
        <v>11449</v>
      </c>
      <c r="H4642" s="54">
        <v>0</v>
      </c>
      <c r="I4642" s="16">
        <v>470000000</v>
      </c>
      <c r="J4642" s="16" t="s">
        <v>229</v>
      </c>
      <c r="K4642" s="57" t="s">
        <v>641</v>
      </c>
      <c r="L4642" s="183" t="s">
        <v>364</v>
      </c>
      <c r="M4642" s="162" t="s">
        <v>230</v>
      </c>
      <c r="N4642" s="8" t="s">
        <v>8899</v>
      </c>
      <c r="O4642" s="6" t="s">
        <v>622</v>
      </c>
      <c r="P4642" s="3">
        <v>796</v>
      </c>
      <c r="Q4642" s="27" t="s">
        <v>234</v>
      </c>
      <c r="R4642" s="26">
        <v>40</v>
      </c>
      <c r="S4642" s="59">
        <f>34*1.07</f>
        <v>36.380000000000003</v>
      </c>
      <c r="T4642" s="4">
        <v>0</v>
      </c>
      <c r="U4642" s="4">
        <f t="shared" si="218"/>
        <v>0</v>
      </c>
      <c r="V4642" s="3"/>
      <c r="W4642" s="3">
        <v>2014</v>
      </c>
      <c r="X4642" s="3">
        <v>11.12</v>
      </c>
    </row>
    <row r="4643" spans="1:24" ht="76.5">
      <c r="A4643" s="3" t="s">
        <v>13313</v>
      </c>
      <c r="B4643" s="6" t="s">
        <v>361</v>
      </c>
      <c r="C4643" s="6" t="s">
        <v>5665</v>
      </c>
      <c r="D4643" s="6" t="s">
        <v>387</v>
      </c>
      <c r="E4643" s="6" t="s">
        <v>5666</v>
      </c>
      <c r="F4643" s="130" t="s">
        <v>8069</v>
      </c>
      <c r="G4643" s="3" t="s">
        <v>11449</v>
      </c>
      <c r="H4643" s="54">
        <v>0</v>
      </c>
      <c r="I4643" s="16">
        <v>470000000</v>
      </c>
      <c r="J4643" s="16" t="s">
        <v>229</v>
      </c>
      <c r="K4643" s="57" t="s">
        <v>642</v>
      </c>
      <c r="L4643" s="12" t="s">
        <v>404</v>
      </c>
      <c r="M4643" s="162" t="s">
        <v>230</v>
      </c>
      <c r="N4643" s="8" t="s">
        <v>8899</v>
      </c>
      <c r="O4643" s="6" t="s">
        <v>622</v>
      </c>
      <c r="P4643" s="3">
        <v>796</v>
      </c>
      <c r="Q4643" s="27" t="s">
        <v>234</v>
      </c>
      <c r="R4643" s="26">
        <v>40</v>
      </c>
      <c r="S4643" s="59">
        <f>34*1.07</f>
        <v>36.380000000000003</v>
      </c>
      <c r="T4643" s="4">
        <f>R4643*S4643</f>
        <v>1455.2</v>
      </c>
      <c r="U4643" s="4">
        <f>T4643*1.12</f>
        <v>1629.8240000000003</v>
      </c>
      <c r="V4643" s="3"/>
      <c r="W4643" s="3">
        <v>2014</v>
      </c>
      <c r="X4643" s="3"/>
    </row>
    <row r="4644" spans="1:24" ht="76.5">
      <c r="A4644" s="3" t="s">
        <v>10597</v>
      </c>
      <c r="B4644" s="6" t="s">
        <v>361</v>
      </c>
      <c r="C4644" s="6" t="s">
        <v>5667</v>
      </c>
      <c r="D4644" s="6" t="s">
        <v>407</v>
      </c>
      <c r="E4644" s="6" t="s">
        <v>5668</v>
      </c>
      <c r="F4644" s="130" t="s">
        <v>8070</v>
      </c>
      <c r="G4644" s="3" t="s">
        <v>11449</v>
      </c>
      <c r="H4644" s="54">
        <v>0</v>
      </c>
      <c r="I4644" s="16">
        <v>470000000</v>
      </c>
      <c r="J4644" s="16" t="s">
        <v>229</v>
      </c>
      <c r="K4644" s="57" t="s">
        <v>641</v>
      </c>
      <c r="L4644" s="183" t="s">
        <v>364</v>
      </c>
      <c r="M4644" s="162" t="s">
        <v>230</v>
      </c>
      <c r="N4644" s="8" t="s">
        <v>8899</v>
      </c>
      <c r="O4644" s="6" t="s">
        <v>622</v>
      </c>
      <c r="P4644" s="3">
        <v>796</v>
      </c>
      <c r="Q4644" s="27" t="s">
        <v>234</v>
      </c>
      <c r="R4644" s="26">
        <v>6</v>
      </c>
      <c r="S4644" s="59">
        <f>53217*1.07</f>
        <v>56942.19</v>
      </c>
      <c r="T4644" s="4">
        <v>0</v>
      </c>
      <c r="U4644" s="4">
        <f t="shared" si="218"/>
        <v>0</v>
      </c>
      <c r="V4644" s="3"/>
      <c r="W4644" s="3">
        <v>2014</v>
      </c>
      <c r="X4644" s="3">
        <v>11.12</v>
      </c>
    </row>
    <row r="4645" spans="1:24" ht="76.5">
      <c r="A4645" s="3" t="s">
        <v>13314</v>
      </c>
      <c r="B4645" s="6" t="s">
        <v>361</v>
      </c>
      <c r="C4645" s="6" t="s">
        <v>5667</v>
      </c>
      <c r="D4645" s="6" t="s">
        <v>407</v>
      </c>
      <c r="E4645" s="6" t="s">
        <v>5668</v>
      </c>
      <c r="F4645" s="130" t="s">
        <v>8070</v>
      </c>
      <c r="G4645" s="3" t="s">
        <v>11449</v>
      </c>
      <c r="H4645" s="54">
        <v>0</v>
      </c>
      <c r="I4645" s="16">
        <v>470000000</v>
      </c>
      <c r="J4645" s="16" t="s">
        <v>229</v>
      </c>
      <c r="K4645" s="57" t="s">
        <v>642</v>
      </c>
      <c r="L4645" s="12" t="s">
        <v>404</v>
      </c>
      <c r="M4645" s="162" t="s">
        <v>230</v>
      </c>
      <c r="N4645" s="8" t="s">
        <v>8899</v>
      </c>
      <c r="O4645" s="6" t="s">
        <v>622</v>
      </c>
      <c r="P4645" s="3">
        <v>796</v>
      </c>
      <c r="Q4645" s="27" t="s">
        <v>234</v>
      </c>
      <c r="R4645" s="26">
        <v>6</v>
      </c>
      <c r="S4645" s="59">
        <f>53217*1.07</f>
        <v>56942.19</v>
      </c>
      <c r="T4645" s="4">
        <v>0</v>
      </c>
      <c r="U4645" s="4">
        <f>T4645*1.12</f>
        <v>0</v>
      </c>
      <c r="V4645" s="3"/>
      <c r="W4645" s="3">
        <v>2014</v>
      </c>
      <c r="X4645" s="3" t="s">
        <v>14785</v>
      </c>
    </row>
    <row r="4646" spans="1:24" ht="76.5">
      <c r="A4646" s="3" t="s">
        <v>16678</v>
      </c>
      <c r="B4646" s="6" t="s">
        <v>361</v>
      </c>
      <c r="C4646" s="6" t="s">
        <v>5667</v>
      </c>
      <c r="D4646" s="6" t="s">
        <v>407</v>
      </c>
      <c r="E4646" s="6" t="s">
        <v>5668</v>
      </c>
      <c r="F4646" s="130" t="s">
        <v>8070</v>
      </c>
      <c r="G4646" s="3" t="s">
        <v>11449</v>
      </c>
      <c r="H4646" s="54">
        <v>0</v>
      </c>
      <c r="I4646" s="16">
        <v>470000000</v>
      </c>
      <c r="J4646" s="16" t="s">
        <v>229</v>
      </c>
      <c r="K4646" s="57" t="s">
        <v>8950</v>
      </c>
      <c r="L4646" s="12" t="s">
        <v>404</v>
      </c>
      <c r="M4646" s="162" t="s">
        <v>230</v>
      </c>
      <c r="N4646" s="8" t="s">
        <v>8899</v>
      </c>
      <c r="O4646" s="6" t="s">
        <v>622</v>
      </c>
      <c r="P4646" s="3">
        <v>796</v>
      </c>
      <c r="Q4646" s="27" t="s">
        <v>234</v>
      </c>
      <c r="R4646" s="26">
        <v>6</v>
      </c>
      <c r="S4646" s="59">
        <v>68330.627999999997</v>
      </c>
      <c r="T4646" s="4">
        <v>0</v>
      </c>
      <c r="U4646" s="4">
        <f>T4646*1.12</f>
        <v>0</v>
      </c>
      <c r="V4646" s="3"/>
      <c r="W4646" s="3">
        <v>2014</v>
      </c>
      <c r="X4646" s="3">
        <v>11</v>
      </c>
    </row>
    <row r="4647" spans="1:24" ht="76.5">
      <c r="A4647" s="3" t="s">
        <v>18794</v>
      </c>
      <c r="B4647" s="6" t="s">
        <v>361</v>
      </c>
      <c r="C4647" s="6" t="s">
        <v>5667</v>
      </c>
      <c r="D4647" s="6" t="s">
        <v>407</v>
      </c>
      <c r="E4647" s="6" t="s">
        <v>5668</v>
      </c>
      <c r="F4647" s="130" t="s">
        <v>8070</v>
      </c>
      <c r="G4647" s="3" t="s">
        <v>11449</v>
      </c>
      <c r="H4647" s="54">
        <v>0</v>
      </c>
      <c r="I4647" s="16">
        <v>470000000</v>
      </c>
      <c r="J4647" s="16" t="s">
        <v>229</v>
      </c>
      <c r="K4647" s="57" t="s">
        <v>18437</v>
      </c>
      <c r="L4647" s="12" t="s">
        <v>404</v>
      </c>
      <c r="M4647" s="162" t="s">
        <v>230</v>
      </c>
      <c r="N4647" s="8" t="s">
        <v>8899</v>
      </c>
      <c r="O4647" s="6" t="s">
        <v>622</v>
      </c>
      <c r="P4647" s="3">
        <v>796</v>
      </c>
      <c r="Q4647" s="27" t="s">
        <v>234</v>
      </c>
      <c r="R4647" s="26">
        <v>6</v>
      </c>
      <c r="S4647" s="59">
        <v>68330.627999999997</v>
      </c>
      <c r="T4647" s="4">
        <v>0</v>
      </c>
      <c r="U4647" s="4">
        <f>T4647*1.12</f>
        <v>0</v>
      </c>
      <c r="V4647" s="3"/>
      <c r="W4647" s="3">
        <v>2014</v>
      </c>
      <c r="X4647" s="3">
        <v>14.15</v>
      </c>
    </row>
    <row r="4648" spans="1:24" ht="76.5">
      <c r="A4648" s="3" t="s">
        <v>19513</v>
      </c>
      <c r="B4648" s="6" t="s">
        <v>361</v>
      </c>
      <c r="C4648" s="6" t="s">
        <v>5667</v>
      </c>
      <c r="D4648" s="6" t="s">
        <v>407</v>
      </c>
      <c r="E4648" s="6" t="s">
        <v>5668</v>
      </c>
      <c r="F4648" s="130" t="s">
        <v>8070</v>
      </c>
      <c r="G4648" s="3" t="s">
        <v>11449</v>
      </c>
      <c r="H4648" s="54">
        <v>0</v>
      </c>
      <c r="I4648" s="16">
        <v>470000000</v>
      </c>
      <c r="J4648" s="16" t="s">
        <v>229</v>
      </c>
      <c r="K4648" s="57" t="s">
        <v>18437</v>
      </c>
      <c r="L4648" s="12" t="s">
        <v>404</v>
      </c>
      <c r="M4648" s="162" t="s">
        <v>230</v>
      </c>
      <c r="N4648" s="8" t="s">
        <v>19369</v>
      </c>
      <c r="O4648" s="6" t="s">
        <v>19407</v>
      </c>
      <c r="P4648" s="3">
        <v>796</v>
      </c>
      <c r="Q4648" s="27" t="s">
        <v>234</v>
      </c>
      <c r="R4648" s="26">
        <v>6</v>
      </c>
      <c r="S4648" s="59">
        <v>68330.627999999997</v>
      </c>
      <c r="T4648" s="4">
        <f>R4648*S4648</f>
        <v>409983.76799999998</v>
      </c>
      <c r="U4648" s="4">
        <f>T4648*1.12</f>
        <v>459181.82016</v>
      </c>
      <c r="V4648" s="3"/>
      <c r="W4648" s="3">
        <v>2014</v>
      </c>
      <c r="X4648" s="3"/>
    </row>
    <row r="4649" spans="1:24" ht="76.5">
      <c r="A4649" s="3" t="s">
        <v>10598</v>
      </c>
      <c r="B4649" s="6" t="s">
        <v>361</v>
      </c>
      <c r="C4649" s="6" t="s">
        <v>5669</v>
      </c>
      <c r="D4649" s="6" t="s">
        <v>5670</v>
      </c>
      <c r="E4649" s="6" t="s">
        <v>5671</v>
      </c>
      <c r="F4649" s="130" t="s">
        <v>8071</v>
      </c>
      <c r="G4649" s="3" t="s">
        <v>11449</v>
      </c>
      <c r="H4649" s="54">
        <v>0</v>
      </c>
      <c r="I4649" s="16">
        <v>470000000</v>
      </c>
      <c r="J4649" s="16" t="s">
        <v>229</v>
      </c>
      <c r="K4649" s="57" t="s">
        <v>641</v>
      </c>
      <c r="L4649" s="183" t="s">
        <v>364</v>
      </c>
      <c r="M4649" s="162" t="s">
        <v>230</v>
      </c>
      <c r="N4649" s="8" t="s">
        <v>8899</v>
      </c>
      <c r="O4649" s="6" t="s">
        <v>622</v>
      </c>
      <c r="P4649" s="3">
        <v>796</v>
      </c>
      <c r="Q4649" s="27" t="s">
        <v>234</v>
      </c>
      <c r="R4649" s="26">
        <v>6</v>
      </c>
      <c r="S4649" s="59">
        <f>3680*1.07</f>
        <v>3937.6000000000004</v>
      </c>
      <c r="T4649" s="4">
        <v>0</v>
      </c>
      <c r="U4649" s="4">
        <f t="shared" si="218"/>
        <v>0</v>
      </c>
      <c r="V4649" s="3"/>
      <c r="W4649" s="3">
        <v>2014</v>
      </c>
      <c r="X4649" s="3">
        <v>11.12</v>
      </c>
    </row>
    <row r="4650" spans="1:24" ht="76.5">
      <c r="A4650" s="3" t="s">
        <v>13315</v>
      </c>
      <c r="B4650" s="6" t="s">
        <v>361</v>
      </c>
      <c r="C4650" s="6" t="s">
        <v>5669</v>
      </c>
      <c r="D4650" s="6" t="s">
        <v>5670</v>
      </c>
      <c r="E4650" s="6" t="s">
        <v>5671</v>
      </c>
      <c r="F4650" s="130" t="s">
        <v>8071</v>
      </c>
      <c r="G4650" s="3" t="s">
        <v>11449</v>
      </c>
      <c r="H4650" s="54">
        <v>0</v>
      </c>
      <c r="I4650" s="16">
        <v>470000000</v>
      </c>
      <c r="J4650" s="16" t="s">
        <v>229</v>
      </c>
      <c r="K4650" s="57" t="s">
        <v>642</v>
      </c>
      <c r="L4650" s="12" t="s">
        <v>404</v>
      </c>
      <c r="M4650" s="162" t="s">
        <v>230</v>
      </c>
      <c r="N4650" s="8" t="s">
        <v>8899</v>
      </c>
      <c r="O4650" s="6" t="s">
        <v>622</v>
      </c>
      <c r="P4650" s="3">
        <v>796</v>
      </c>
      <c r="Q4650" s="27" t="s">
        <v>234</v>
      </c>
      <c r="R4650" s="26">
        <v>6</v>
      </c>
      <c r="S4650" s="59">
        <f>3680*1.07</f>
        <v>3937.6000000000004</v>
      </c>
      <c r="T4650" s="4">
        <f>R4650*S4650</f>
        <v>23625.600000000002</v>
      </c>
      <c r="U4650" s="4">
        <f>T4650*1.12</f>
        <v>26460.672000000006</v>
      </c>
      <c r="V4650" s="3"/>
      <c r="W4650" s="3">
        <v>2014</v>
      </c>
      <c r="X4650" s="3"/>
    </row>
    <row r="4651" spans="1:24" ht="76.5">
      <c r="A4651" s="3" t="s">
        <v>10599</v>
      </c>
      <c r="B4651" s="6" t="s">
        <v>361</v>
      </c>
      <c r="C4651" s="6" t="s">
        <v>5669</v>
      </c>
      <c r="D4651" s="6" t="s">
        <v>5670</v>
      </c>
      <c r="E4651" s="6" t="s">
        <v>5671</v>
      </c>
      <c r="F4651" s="130" t="s">
        <v>8072</v>
      </c>
      <c r="G4651" s="3" t="s">
        <v>11449</v>
      </c>
      <c r="H4651" s="54">
        <v>0</v>
      </c>
      <c r="I4651" s="16">
        <v>470000000</v>
      </c>
      <c r="J4651" s="16" t="s">
        <v>229</v>
      </c>
      <c r="K4651" s="57" t="s">
        <v>641</v>
      </c>
      <c r="L4651" s="183" t="s">
        <v>364</v>
      </c>
      <c r="M4651" s="162" t="s">
        <v>230</v>
      </c>
      <c r="N4651" s="8" t="s">
        <v>8899</v>
      </c>
      <c r="O4651" s="6" t="s">
        <v>622</v>
      </c>
      <c r="P4651" s="3">
        <v>796</v>
      </c>
      <c r="Q4651" s="27" t="s">
        <v>234</v>
      </c>
      <c r="R4651" s="26">
        <v>6</v>
      </c>
      <c r="S4651" s="59">
        <f>3603*1.07</f>
        <v>3855.21</v>
      </c>
      <c r="T4651" s="4">
        <v>0</v>
      </c>
      <c r="U4651" s="4">
        <f t="shared" si="218"/>
        <v>0</v>
      </c>
      <c r="V4651" s="3"/>
      <c r="W4651" s="3">
        <v>2014</v>
      </c>
      <c r="X4651" s="3">
        <v>11.12</v>
      </c>
    </row>
    <row r="4652" spans="1:24" ht="76.5">
      <c r="A4652" s="3" t="s">
        <v>13316</v>
      </c>
      <c r="B4652" s="6" t="s">
        <v>361</v>
      </c>
      <c r="C4652" s="6" t="s">
        <v>5669</v>
      </c>
      <c r="D4652" s="6" t="s">
        <v>5670</v>
      </c>
      <c r="E4652" s="6" t="s">
        <v>5671</v>
      </c>
      <c r="F4652" s="130" t="s">
        <v>8072</v>
      </c>
      <c r="G4652" s="3" t="s">
        <v>11449</v>
      </c>
      <c r="H4652" s="54">
        <v>0</v>
      </c>
      <c r="I4652" s="16">
        <v>470000000</v>
      </c>
      <c r="J4652" s="16" t="s">
        <v>229</v>
      </c>
      <c r="K4652" s="57" t="s">
        <v>642</v>
      </c>
      <c r="L4652" s="12" t="s">
        <v>404</v>
      </c>
      <c r="M4652" s="162" t="s">
        <v>230</v>
      </c>
      <c r="N4652" s="8" t="s">
        <v>8899</v>
      </c>
      <c r="O4652" s="6" t="s">
        <v>622</v>
      </c>
      <c r="P4652" s="3">
        <v>796</v>
      </c>
      <c r="Q4652" s="27" t="s">
        <v>234</v>
      </c>
      <c r="R4652" s="26">
        <v>6</v>
      </c>
      <c r="S4652" s="59">
        <f>3603*1.07</f>
        <v>3855.21</v>
      </c>
      <c r="T4652" s="4">
        <f>R4652*S4652</f>
        <v>23131.260000000002</v>
      </c>
      <c r="U4652" s="4">
        <f>T4652*1.12</f>
        <v>25907.011200000004</v>
      </c>
      <c r="V4652" s="3"/>
      <c r="W4652" s="3">
        <v>2014</v>
      </c>
      <c r="X4652" s="3"/>
    </row>
    <row r="4653" spans="1:24" ht="76.5">
      <c r="A4653" s="3" t="s">
        <v>10600</v>
      </c>
      <c r="B4653" s="6" t="s">
        <v>361</v>
      </c>
      <c r="C4653" s="6" t="s">
        <v>5672</v>
      </c>
      <c r="D4653" s="6" t="s">
        <v>426</v>
      </c>
      <c r="E4653" s="6" t="s">
        <v>5673</v>
      </c>
      <c r="F4653" s="130" t="s">
        <v>8073</v>
      </c>
      <c r="G4653" s="3" t="s">
        <v>11449</v>
      </c>
      <c r="H4653" s="54">
        <v>0</v>
      </c>
      <c r="I4653" s="16">
        <v>470000000</v>
      </c>
      <c r="J4653" s="16" t="s">
        <v>229</v>
      </c>
      <c r="K4653" s="57" t="s">
        <v>641</v>
      </c>
      <c r="L4653" s="183" t="s">
        <v>364</v>
      </c>
      <c r="M4653" s="162" t="s">
        <v>230</v>
      </c>
      <c r="N4653" s="8" t="s">
        <v>8899</v>
      </c>
      <c r="O4653" s="6" t="s">
        <v>622</v>
      </c>
      <c r="P4653" s="3">
        <v>796</v>
      </c>
      <c r="Q4653" s="27" t="s">
        <v>234</v>
      </c>
      <c r="R4653" s="26">
        <v>4</v>
      </c>
      <c r="S4653" s="59">
        <f>12455*1.07</f>
        <v>13326.85</v>
      </c>
      <c r="T4653" s="4">
        <v>0</v>
      </c>
      <c r="U4653" s="4">
        <f t="shared" si="218"/>
        <v>0</v>
      </c>
      <c r="V4653" s="3"/>
      <c r="W4653" s="3">
        <v>2014</v>
      </c>
      <c r="X4653" s="3">
        <v>11.12</v>
      </c>
    </row>
    <row r="4654" spans="1:24" ht="76.5">
      <c r="A4654" s="3" t="s">
        <v>13317</v>
      </c>
      <c r="B4654" s="6" t="s">
        <v>361</v>
      </c>
      <c r="C4654" s="6" t="s">
        <v>5672</v>
      </c>
      <c r="D4654" s="6" t="s">
        <v>426</v>
      </c>
      <c r="E4654" s="6" t="s">
        <v>5673</v>
      </c>
      <c r="F4654" s="130" t="s">
        <v>8073</v>
      </c>
      <c r="G4654" s="3" t="s">
        <v>11449</v>
      </c>
      <c r="H4654" s="54">
        <v>0</v>
      </c>
      <c r="I4654" s="16">
        <v>470000000</v>
      </c>
      <c r="J4654" s="16" t="s">
        <v>229</v>
      </c>
      <c r="K4654" s="57" t="s">
        <v>642</v>
      </c>
      <c r="L4654" s="12" t="s">
        <v>404</v>
      </c>
      <c r="M4654" s="162" t="s">
        <v>230</v>
      </c>
      <c r="N4654" s="8" t="s">
        <v>8899</v>
      </c>
      <c r="O4654" s="6" t="s">
        <v>622</v>
      </c>
      <c r="P4654" s="3">
        <v>796</v>
      </c>
      <c r="Q4654" s="27" t="s">
        <v>234</v>
      </c>
      <c r="R4654" s="26">
        <v>4</v>
      </c>
      <c r="S4654" s="59">
        <f>12455*1.07</f>
        <v>13326.85</v>
      </c>
      <c r="T4654" s="4">
        <f>R4654*S4654</f>
        <v>53307.4</v>
      </c>
      <c r="U4654" s="4">
        <f>T4654*1.12</f>
        <v>59704.288000000008</v>
      </c>
      <c r="V4654" s="3"/>
      <c r="W4654" s="3">
        <v>2014</v>
      </c>
      <c r="X4654" s="3"/>
    </row>
    <row r="4655" spans="1:24" ht="76.5">
      <c r="A4655" s="3" t="s">
        <v>10601</v>
      </c>
      <c r="B4655" s="6" t="s">
        <v>361</v>
      </c>
      <c r="C4655" s="6" t="s">
        <v>5674</v>
      </c>
      <c r="D4655" s="6" t="s">
        <v>426</v>
      </c>
      <c r="E4655" s="6" t="s">
        <v>5675</v>
      </c>
      <c r="F4655" s="130" t="s">
        <v>8074</v>
      </c>
      <c r="G4655" s="3" t="s">
        <v>11449</v>
      </c>
      <c r="H4655" s="54">
        <v>0</v>
      </c>
      <c r="I4655" s="16">
        <v>470000000</v>
      </c>
      <c r="J4655" s="16" t="s">
        <v>229</v>
      </c>
      <c r="K4655" s="57" t="s">
        <v>641</v>
      </c>
      <c r="L4655" s="183" t="s">
        <v>364</v>
      </c>
      <c r="M4655" s="162" t="s">
        <v>230</v>
      </c>
      <c r="N4655" s="8" t="s">
        <v>8899</v>
      </c>
      <c r="O4655" s="6" t="s">
        <v>622</v>
      </c>
      <c r="P4655" s="3">
        <v>796</v>
      </c>
      <c r="Q4655" s="27" t="s">
        <v>234</v>
      </c>
      <c r="R4655" s="26">
        <v>4</v>
      </c>
      <c r="S4655" s="59">
        <f>14322*1.07</f>
        <v>15324.54</v>
      </c>
      <c r="T4655" s="4">
        <v>0</v>
      </c>
      <c r="U4655" s="4">
        <f t="shared" si="218"/>
        <v>0</v>
      </c>
      <c r="V4655" s="3"/>
      <c r="W4655" s="3">
        <v>2014</v>
      </c>
      <c r="X4655" s="3">
        <v>11.12</v>
      </c>
    </row>
    <row r="4656" spans="1:24" ht="76.5">
      <c r="A4656" s="3" t="s">
        <v>13318</v>
      </c>
      <c r="B4656" s="6" t="s">
        <v>361</v>
      </c>
      <c r="C4656" s="6" t="s">
        <v>5674</v>
      </c>
      <c r="D4656" s="6" t="s">
        <v>426</v>
      </c>
      <c r="E4656" s="6" t="s">
        <v>5675</v>
      </c>
      <c r="F4656" s="130" t="s">
        <v>8074</v>
      </c>
      <c r="G4656" s="3" t="s">
        <v>11449</v>
      </c>
      <c r="H4656" s="54">
        <v>0</v>
      </c>
      <c r="I4656" s="16">
        <v>470000000</v>
      </c>
      <c r="J4656" s="16" t="s">
        <v>229</v>
      </c>
      <c r="K4656" s="57" t="s">
        <v>642</v>
      </c>
      <c r="L4656" s="12" t="s">
        <v>404</v>
      </c>
      <c r="M4656" s="162" t="s">
        <v>230</v>
      </c>
      <c r="N4656" s="8" t="s">
        <v>8899</v>
      </c>
      <c r="O4656" s="6" t="s">
        <v>622</v>
      </c>
      <c r="P4656" s="3">
        <v>796</v>
      </c>
      <c r="Q4656" s="27" t="s">
        <v>234</v>
      </c>
      <c r="R4656" s="26">
        <v>4</v>
      </c>
      <c r="S4656" s="59">
        <f>14322*1.07</f>
        <v>15324.54</v>
      </c>
      <c r="T4656" s="4">
        <f>R4656*S4656</f>
        <v>61298.16</v>
      </c>
      <c r="U4656" s="4">
        <f>T4656*1.12</f>
        <v>68653.939200000008</v>
      </c>
      <c r="V4656" s="3"/>
      <c r="W4656" s="3">
        <v>2014</v>
      </c>
      <c r="X4656" s="3"/>
    </row>
    <row r="4657" spans="1:24" ht="76.5">
      <c r="A4657" s="3" t="s">
        <v>10602</v>
      </c>
      <c r="B4657" s="6" t="s">
        <v>361</v>
      </c>
      <c r="C4657" s="6" t="s">
        <v>5676</v>
      </c>
      <c r="D4657" s="6" t="s">
        <v>426</v>
      </c>
      <c r="E4657" s="6" t="s">
        <v>5677</v>
      </c>
      <c r="F4657" s="130" t="s">
        <v>8075</v>
      </c>
      <c r="G4657" s="3" t="s">
        <v>11449</v>
      </c>
      <c r="H4657" s="54">
        <v>0</v>
      </c>
      <c r="I4657" s="16">
        <v>470000000</v>
      </c>
      <c r="J4657" s="16" t="s">
        <v>229</v>
      </c>
      <c r="K4657" s="57" t="s">
        <v>641</v>
      </c>
      <c r="L4657" s="183" t="s">
        <v>364</v>
      </c>
      <c r="M4657" s="162" t="s">
        <v>230</v>
      </c>
      <c r="N4657" s="8" t="s">
        <v>8899</v>
      </c>
      <c r="O4657" s="6" t="s">
        <v>622</v>
      </c>
      <c r="P4657" s="3">
        <v>796</v>
      </c>
      <c r="Q4657" s="27" t="s">
        <v>234</v>
      </c>
      <c r="R4657" s="26">
        <v>4</v>
      </c>
      <c r="S4657" s="59">
        <f>18729*1.07</f>
        <v>20040.030000000002</v>
      </c>
      <c r="T4657" s="4">
        <v>0</v>
      </c>
      <c r="U4657" s="4">
        <f t="shared" si="218"/>
        <v>0</v>
      </c>
      <c r="V4657" s="3"/>
      <c r="W4657" s="3">
        <v>2014</v>
      </c>
      <c r="X4657" s="3">
        <v>11.12</v>
      </c>
    </row>
    <row r="4658" spans="1:24" ht="76.5">
      <c r="A4658" s="3" t="s">
        <v>13319</v>
      </c>
      <c r="B4658" s="6" t="s">
        <v>361</v>
      </c>
      <c r="C4658" s="6" t="s">
        <v>5676</v>
      </c>
      <c r="D4658" s="6" t="s">
        <v>426</v>
      </c>
      <c r="E4658" s="6" t="s">
        <v>5677</v>
      </c>
      <c r="F4658" s="130" t="s">
        <v>8075</v>
      </c>
      <c r="G4658" s="3" t="s">
        <v>11449</v>
      </c>
      <c r="H4658" s="54">
        <v>0</v>
      </c>
      <c r="I4658" s="16">
        <v>470000000</v>
      </c>
      <c r="J4658" s="16" t="s">
        <v>229</v>
      </c>
      <c r="K4658" s="57" t="s">
        <v>642</v>
      </c>
      <c r="L4658" s="12" t="s">
        <v>404</v>
      </c>
      <c r="M4658" s="162" t="s">
        <v>230</v>
      </c>
      <c r="N4658" s="8" t="s">
        <v>8899</v>
      </c>
      <c r="O4658" s="6" t="s">
        <v>622</v>
      </c>
      <c r="P4658" s="3">
        <v>796</v>
      </c>
      <c r="Q4658" s="27" t="s">
        <v>234</v>
      </c>
      <c r="R4658" s="26">
        <v>4</v>
      </c>
      <c r="S4658" s="59">
        <f>18729*1.07</f>
        <v>20040.030000000002</v>
      </c>
      <c r="T4658" s="4">
        <f>R4658*S4658</f>
        <v>80160.12000000001</v>
      </c>
      <c r="U4658" s="4">
        <f>T4658*1.12</f>
        <v>89779.334400000022</v>
      </c>
      <c r="V4658" s="3"/>
      <c r="W4658" s="3">
        <v>2014</v>
      </c>
      <c r="X4658" s="3"/>
    </row>
    <row r="4659" spans="1:24" ht="76.5">
      <c r="A4659" s="3" t="s">
        <v>10603</v>
      </c>
      <c r="B4659" s="6" t="s">
        <v>361</v>
      </c>
      <c r="C4659" s="6" t="s">
        <v>5678</v>
      </c>
      <c r="D4659" s="6" t="s">
        <v>426</v>
      </c>
      <c r="E4659" s="6" t="s">
        <v>5679</v>
      </c>
      <c r="F4659" s="130" t="s">
        <v>8076</v>
      </c>
      <c r="G4659" s="3" t="s">
        <v>11449</v>
      </c>
      <c r="H4659" s="54">
        <v>0</v>
      </c>
      <c r="I4659" s="16">
        <v>470000000</v>
      </c>
      <c r="J4659" s="16" t="s">
        <v>229</v>
      </c>
      <c r="K4659" s="57" t="s">
        <v>641</v>
      </c>
      <c r="L4659" s="183" t="s">
        <v>364</v>
      </c>
      <c r="M4659" s="162" t="s">
        <v>230</v>
      </c>
      <c r="N4659" s="8" t="s">
        <v>8899</v>
      </c>
      <c r="O4659" s="6" t="s">
        <v>622</v>
      </c>
      <c r="P4659" s="3">
        <v>796</v>
      </c>
      <c r="Q4659" s="27" t="s">
        <v>234</v>
      </c>
      <c r="R4659" s="26">
        <v>4</v>
      </c>
      <c r="S4659" s="59">
        <f>16288*1.07</f>
        <v>17428.16</v>
      </c>
      <c r="T4659" s="4">
        <v>0</v>
      </c>
      <c r="U4659" s="4">
        <f t="shared" si="218"/>
        <v>0</v>
      </c>
      <c r="V4659" s="3"/>
      <c r="W4659" s="3">
        <v>2014</v>
      </c>
      <c r="X4659" s="3">
        <v>11.12</v>
      </c>
    </row>
    <row r="4660" spans="1:24" ht="76.5">
      <c r="A4660" s="3" t="s">
        <v>13320</v>
      </c>
      <c r="B4660" s="6" t="s">
        <v>361</v>
      </c>
      <c r="C4660" s="6" t="s">
        <v>5678</v>
      </c>
      <c r="D4660" s="6" t="s">
        <v>426</v>
      </c>
      <c r="E4660" s="6" t="s">
        <v>5679</v>
      </c>
      <c r="F4660" s="130" t="s">
        <v>8076</v>
      </c>
      <c r="G4660" s="3" t="s">
        <v>11449</v>
      </c>
      <c r="H4660" s="54">
        <v>0</v>
      </c>
      <c r="I4660" s="16">
        <v>470000000</v>
      </c>
      <c r="J4660" s="16" t="s">
        <v>229</v>
      </c>
      <c r="K4660" s="57" t="s">
        <v>642</v>
      </c>
      <c r="L4660" s="12" t="s">
        <v>404</v>
      </c>
      <c r="M4660" s="162" t="s">
        <v>230</v>
      </c>
      <c r="N4660" s="8" t="s">
        <v>8899</v>
      </c>
      <c r="O4660" s="6" t="s">
        <v>622</v>
      </c>
      <c r="P4660" s="3">
        <v>796</v>
      </c>
      <c r="Q4660" s="27" t="s">
        <v>234</v>
      </c>
      <c r="R4660" s="26">
        <v>4</v>
      </c>
      <c r="S4660" s="59">
        <f>16288*1.07</f>
        <v>17428.16</v>
      </c>
      <c r="T4660" s="4">
        <f>R4660*S4660</f>
        <v>69712.639999999999</v>
      </c>
      <c r="U4660" s="4">
        <f>T4660*1.12</f>
        <v>78078.156800000012</v>
      </c>
      <c r="V4660" s="3"/>
      <c r="W4660" s="3">
        <v>2014</v>
      </c>
      <c r="X4660" s="3"/>
    </row>
    <row r="4661" spans="1:24" ht="76.5">
      <c r="A4661" s="3" t="s">
        <v>10604</v>
      </c>
      <c r="B4661" s="6" t="s">
        <v>361</v>
      </c>
      <c r="C4661" s="6" t="s">
        <v>5680</v>
      </c>
      <c r="D4661" s="6" t="s">
        <v>427</v>
      </c>
      <c r="E4661" s="6" t="s">
        <v>5183</v>
      </c>
      <c r="F4661" s="130" t="s">
        <v>8077</v>
      </c>
      <c r="G4661" s="3" t="s">
        <v>11449</v>
      </c>
      <c r="H4661" s="54">
        <v>0</v>
      </c>
      <c r="I4661" s="16">
        <v>470000000</v>
      </c>
      <c r="J4661" s="16" t="s">
        <v>229</v>
      </c>
      <c r="K4661" s="57" t="s">
        <v>641</v>
      </c>
      <c r="L4661" s="183" t="s">
        <v>364</v>
      </c>
      <c r="M4661" s="162" t="s">
        <v>230</v>
      </c>
      <c r="N4661" s="8" t="s">
        <v>8899</v>
      </c>
      <c r="O4661" s="6" t="s">
        <v>622</v>
      </c>
      <c r="P4661" s="3">
        <v>796</v>
      </c>
      <c r="Q4661" s="27" t="s">
        <v>234</v>
      </c>
      <c r="R4661" s="26">
        <v>2</v>
      </c>
      <c r="S4661" s="59">
        <f>73481*1.07</f>
        <v>78624.67</v>
      </c>
      <c r="T4661" s="4">
        <v>0</v>
      </c>
      <c r="U4661" s="4">
        <f t="shared" si="218"/>
        <v>0</v>
      </c>
      <c r="V4661" s="3"/>
      <c r="W4661" s="3">
        <v>2014</v>
      </c>
      <c r="X4661" s="3">
        <v>11.12</v>
      </c>
    </row>
    <row r="4662" spans="1:24" ht="76.5">
      <c r="A4662" s="3" t="s">
        <v>13321</v>
      </c>
      <c r="B4662" s="6" t="s">
        <v>361</v>
      </c>
      <c r="C4662" s="6" t="s">
        <v>5680</v>
      </c>
      <c r="D4662" s="6" t="s">
        <v>427</v>
      </c>
      <c r="E4662" s="6" t="s">
        <v>5183</v>
      </c>
      <c r="F4662" s="130" t="s">
        <v>8077</v>
      </c>
      <c r="G4662" s="3" t="s">
        <v>11449</v>
      </c>
      <c r="H4662" s="54">
        <v>0</v>
      </c>
      <c r="I4662" s="16">
        <v>470000000</v>
      </c>
      <c r="J4662" s="16" t="s">
        <v>229</v>
      </c>
      <c r="K4662" s="57" t="s">
        <v>642</v>
      </c>
      <c r="L4662" s="12" t="s">
        <v>404</v>
      </c>
      <c r="M4662" s="162" t="s">
        <v>230</v>
      </c>
      <c r="N4662" s="8" t="s">
        <v>8899</v>
      </c>
      <c r="O4662" s="6" t="s">
        <v>622</v>
      </c>
      <c r="P4662" s="3">
        <v>796</v>
      </c>
      <c r="Q4662" s="27" t="s">
        <v>234</v>
      </c>
      <c r="R4662" s="26">
        <v>2</v>
      </c>
      <c r="S4662" s="59">
        <f>73481*1.07</f>
        <v>78624.67</v>
      </c>
      <c r="T4662" s="4">
        <f>R4662*S4662</f>
        <v>157249.34</v>
      </c>
      <c r="U4662" s="4">
        <f>T4662*1.12</f>
        <v>176119.26080000002</v>
      </c>
      <c r="V4662" s="3"/>
      <c r="W4662" s="3">
        <v>2014</v>
      </c>
      <c r="X4662" s="3"/>
    </row>
    <row r="4663" spans="1:24" ht="76.5">
      <c r="A4663" s="3" t="s">
        <v>10605</v>
      </c>
      <c r="B4663" s="6" t="s">
        <v>361</v>
      </c>
      <c r="C4663" s="41" t="s">
        <v>7337</v>
      </c>
      <c r="D4663" s="184" t="s">
        <v>11530</v>
      </c>
      <c r="E4663" s="46" t="s">
        <v>11531</v>
      </c>
      <c r="F4663" s="130" t="s">
        <v>8078</v>
      </c>
      <c r="G4663" s="3" t="s">
        <v>11449</v>
      </c>
      <c r="H4663" s="54">
        <v>0</v>
      </c>
      <c r="I4663" s="16">
        <v>470000000</v>
      </c>
      <c r="J4663" s="16" t="s">
        <v>229</v>
      </c>
      <c r="K4663" s="57" t="s">
        <v>641</v>
      </c>
      <c r="L4663" s="183" t="s">
        <v>364</v>
      </c>
      <c r="M4663" s="162" t="s">
        <v>230</v>
      </c>
      <c r="N4663" s="8" t="s">
        <v>8899</v>
      </c>
      <c r="O4663" s="6" t="s">
        <v>622</v>
      </c>
      <c r="P4663" s="3">
        <v>796</v>
      </c>
      <c r="Q4663" s="27" t="s">
        <v>234</v>
      </c>
      <c r="R4663" s="26">
        <v>2</v>
      </c>
      <c r="S4663" s="59">
        <f>14546*1.07</f>
        <v>15564.220000000001</v>
      </c>
      <c r="T4663" s="4">
        <v>0</v>
      </c>
      <c r="U4663" s="4">
        <f t="shared" si="218"/>
        <v>0</v>
      </c>
      <c r="V4663" s="3"/>
      <c r="W4663" s="3">
        <v>2014</v>
      </c>
      <c r="X4663" s="3">
        <v>11.12</v>
      </c>
    </row>
    <row r="4664" spans="1:24" ht="76.5">
      <c r="A4664" s="3" t="s">
        <v>13322</v>
      </c>
      <c r="B4664" s="6" t="s">
        <v>361</v>
      </c>
      <c r="C4664" s="41" t="s">
        <v>7337</v>
      </c>
      <c r="D4664" s="184" t="s">
        <v>11530</v>
      </c>
      <c r="E4664" s="46" t="s">
        <v>11531</v>
      </c>
      <c r="F4664" s="130" t="s">
        <v>8078</v>
      </c>
      <c r="G4664" s="3" t="s">
        <v>11449</v>
      </c>
      <c r="H4664" s="54">
        <v>0</v>
      </c>
      <c r="I4664" s="16">
        <v>470000000</v>
      </c>
      <c r="J4664" s="16" t="s">
        <v>229</v>
      </c>
      <c r="K4664" s="57" t="s">
        <v>642</v>
      </c>
      <c r="L4664" s="12" t="s">
        <v>404</v>
      </c>
      <c r="M4664" s="162" t="s">
        <v>230</v>
      </c>
      <c r="N4664" s="8" t="s">
        <v>8899</v>
      </c>
      <c r="O4664" s="6" t="s">
        <v>622</v>
      </c>
      <c r="P4664" s="3">
        <v>796</v>
      </c>
      <c r="Q4664" s="27" t="s">
        <v>234</v>
      </c>
      <c r="R4664" s="26">
        <v>2</v>
      </c>
      <c r="S4664" s="59">
        <f>14546*1.07</f>
        <v>15564.220000000001</v>
      </c>
      <c r="T4664" s="4">
        <f>R4664*S4664</f>
        <v>31128.440000000002</v>
      </c>
      <c r="U4664" s="4">
        <f>T4664*1.12</f>
        <v>34863.852800000008</v>
      </c>
      <c r="V4664" s="3"/>
      <c r="W4664" s="3">
        <v>2014</v>
      </c>
      <c r="X4664" s="3"/>
    </row>
    <row r="4665" spans="1:24" ht="76.5">
      <c r="A4665" s="3" t="s">
        <v>10606</v>
      </c>
      <c r="B4665" s="6" t="s">
        <v>361</v>
      </c>
      <c r="C4665" s="41" t="s">
        <v>7334</v>
      </c>
      <c r="D4665" s="184" t="s">
        <v>7335</v>
      </c>
      <c r="E4665" s="46" t="s">
        <v>7336</v>
      </c>
      <c r="F4665" s="130" t="s">
        <v>8079</v>
      </c>
      <c r="G4665" s="3" t="s">
        <v>11449</v>
      </c>
      <c r="H4665" s="54">
        <v>0</v>
      </c>
      <c r="I4665" s="16">
        <v>470000000</v>
      </c>
      <c r="J4665" s="16" t="s">
        <v>229</v>
      </c>
      <c r="K4665" s="57" t="s">
        <v>641</v>
      </c>
      <c r="L4665" s="183" t="s">
        <v>364</v>
      </c>
      <c r="M4665" s="162" t="s">
        <v>230</v>
      </c>
      <c r="N4665" s="8" t="s">
        <v>8899</v>
      </c>
      <c r="O4665" s="6" t="s">
        <v>622</v>
      </c>
      <c r="P4665" s="3">
        <v>796</v>
      </c>
      <c r="Q4665" s="27" t="s">
        <v>234</v>
      </c>
      <c r="R4665" s="26">
        <v>1</v>
      </c>
      <c r="S4665" s="59">
        <f>900000*1.07</f>
        <v>963000</v>
      </c>
      <c r="T4665" s="4">
        <v>0</v>
      </c>
      <c r="U4665" s="4">
        <f t="shared" si="218"/>
        <v>0</v>
      </c>
      <c r="V4665" s="3"/>
      <c r="W4665" s="3">
        <v>2014</v>
      </c>
      <c r="X4665" s="3">
        <v>11.12</v>
      </c>
    </row>
    <row r="4666" spans="1:24" ht="76.5">
      <c r="A4666" s="3" t="s">
        <v>13323</v>
      </c>
      <c r="B4666" s="6" t="s">
        <v>361</v>
      </c>
      <c r="C4666" s="41" t="s">
        <v>7334</v>
      </c>
      <c r="D4666" s="184" t="s">
        <v>7335</v>
      </c>
      <c r="E4666" s="46" t="s">
        <v>7336</v>
      </c>
      <c r="F4666" s="130" t="s">
        <v>8079</v>
      </c>
      <c r="G4666" s="3" t="s">
        <v>11449</v>
      </c>
      <c r="H4666" s="54">
        <v>0</v>
      </c>
      <c r="I4666" s="16">
        <v>470000000</v>
      </c>
      <c r="J4666" s="16" t="s">
        <v>229</v>
      </c>
      <c r="K4666" s="57" t="s">
        <v>642</v>
      </c>
      <c r="L4666" s="12" t="s">
        <v>404</v>
      </c>
      <c r="M4666" s="162" t="s">
        <v>230</v>
      </c>
      <c r="N4666" s="8" t="s">
        <v>8899</v>
      </c>
      <c r="O4666" s="6" t="s">
        <v>622</v>
      </c>
      <c r="P4666" s="3">
        <v>796</v>
      </c>
      <c r="Q4666" s="27" t="s">
        <v>234</v>
      </c>
      <c r="R4666" s="26">
        <v>1</v>
      </c>
      <c r="S4666" s="59">
        <f>900000*1.07</f>
        <v>963000</v>
      </c>
      <c r="T4666" s="4">
        <v>0</v>
      </c>
      <c r="U4666" s="4">
        <f>T4666*1.12</f>
        <v>0</v>
      </c>
      <c r="V4666" s="3"/>
      <c r="W4666" s="3">
        <v>2014</v>
      </c>
      <c r="X4666" s="3" t="s">
        <v>14785</v>
      </c>
    </row>
    <row r="4667" spans="1:24" ht="76.5">
      <c r="A4667" s="3" t="s">
        <v>16679</v>
      </c>
      <c r="B4667" s="6" t="s">
        <v>361</v>
      </c>
      <c r="C4667" s="41" t="s">
        <v>7334</v>
      </c>
      <c r="D4667" s="184" t="s">
        <v>7335</v>
      </c>
      <c r="E4667" s="46" t="s">
        <v>7336</v>
      </c>
      <c r="F4667" s="130" t="s">
        <v>8079</v>
      </c>
      <c r="G4667" s="3" t="s">
        <v>11449</v>
      </c>
      <c r="H4667" s="54">
        <v>0</v>
      </c>
      <c r="I4667" s="16">
        <v>470000000</v>
      </c>
      <c r="J4667" s="16" t="s">
        <v>229</v>
      </c>
      <c r="K4667" s="57" t="s">
        <v>8950</v>
      </c>
      <c r="L4667" s="12" t="s">
        <v>404</v>
      </c>
      <c r="M4667" s="162" t="s">
        <v>230</v>
      </c>
      <c r="N4667" s="8" t="s">
        <v>8899</v>
      </c>
      <c r="O4667" s="6" t="s">
        <v>622</v>
      </c>
      <c r="P4667" s="3">
        <v>796</v>
      </c>
      <c r="Q4667" s="27" t="s">
        <v>234</v>
      </c>
      <c r="R4667" s="26">
        <v>1</v>
      </c>
      <c r="S4667" s="59">
        <v>1155600</v>
      </c>
      <c r="T4667" s="4">
        <v>0</v>
      </c>
      <c r="U4667" s="4">
        <f>T4667*1.12</f>
        <v>0</v>
      </c>
      <c r="V4667" s="3"/>
      <c r="W4667" s="3">
        <v>2014</v>
      </c>
      <c r="X4667" s="3">
        <v>11</v>
      </c>
    </row>
    <row r="4668" spans="1:24" ht="76.5">
      <c r="A4668" s="3" t="s">
        <v>18795</v>
      </c>
      <c r="B4668" s="6" t="s">
        <v>361</v>
      </c>
      <c r="C4668" s="41" t="s">
        <v>7334</v>
      </c>
      <c r="D4668" s="184" t="s">
        <v>7335</v>
      </c>
      <c r="E4668" s="46" t="s">
        <v>7336</v>
      </c>
      <c r="F4668" s="130" t="s">
        <v>8079</v>
      </c>
      <c r="G4668" s="3" t="s">
        <v>11449</v>
      </c>
      <c r="H4668" s="54">
        <v>0</v>
      </c>
      <c r="I4668" s="16">
        <v>470000000</v>
      </c>
      <c r="J4668" s="16" t="s">
        <v>229</v>
      </c>
      <c r="K4668" s="57" t="s">
        <v>18437</v>
      </c>
      <c r="L4668" s="12" t="s">
        <v>404</v>
      </c>
      <c r="M4668" s="162" t="s">
        <v>230</v>
      </c>
      <c r="N4668" s="8" t="s">
        <v>8899</v>
      </c>
      <c r="O4668" s="6" t="s">
        <v>622</v>
      </c>
      <c r="P4668" s="3">
        <v>796</v>
      </c>
      <c r="Q4668" s="27" t="s">
        <v>234</v>
      </c>
      <c r="R4668" s="26">
        <v>1</v>
      </c>
      <c r="S4668" s="59">
        <v>1155600</v>
      </c>
      <c r="T4668" s="4">
        <v>0</v>
      </c>
      <c r="U4668" s="4">
        <f>T4668*1.12</f>
        <v>0</v>
      </c>
      <c r="V4668" s="3"/>
      <c r="W4668" s="3">
        <v>2014</v>
      </c>
      <c r="X4668" s="3">
        <v>14.15</v>
      </c>
    </row>
    <row r="4669" spans="1:24" ht="76.5">
      <c r="A4669" s="3" t="s">
        <v>19514</v>
      </c>
      <c r="B4669" s="6" t="s">
        <v>361</v>
      </c>
      <c r="C4669" s="41" t="s">
        <v>7334</v>
      </c>
      <c r="D4669" s="184" t="s">
        <v>7335</v>
      </c>
      <c r="E4669" s="46" t="s">
        <v>7336</v>
      </c>
      <c r="F4669" s="130" t="s">
        <v>8079</v>
      </c>
      <c r="G4669" s="3" t="s">
        <v>11449</v>
      </c>
      <c r="H4669" s="54">
        <v>0</v>
      </c>
      <c r="I4669" s="16">
        <v>470000000</v>
      </c>
      <c r="J4669" s="16" t="s">
        <v>229</v>
      </c>
      <c r="K4669" s="57" t="s">
        <v>18437</v>
      </c>
      <c r="L4669" s="12" t="s">
        <v>404</v>
      </c>
      <c r="M4669" s="162" t="s">
        <v>230</v>
      </c>
      <c r="N4669" s="8" t="s">
        <v>19369</v>
      </c>
      <c r="O4669" s="6" t="s">
        <v>19407</v>
      </c>
      <c r="P4669" s="3">
        <v>796</v>
      </c>
      <c r="Q4669" s="27" t="s">
        <v>234</v>
      </c>
      <c r="R4669" s="26">
        <v>1</v>
      </c>
      <c r="S4669" s="59">
        <v>1155600</v>
      </c>
      <c r="T4669" s="4">
        <f>R4669*S4669</f>
        <v>1155600</v>
      </c>
      <c r="U4669" s="4">
        <f>T4669*1.12</f>
        <v>1294272.0000000002</v>
      </c>
      <c r="V4669" s="3"/>
      <c r="W4669" s="3">
        <v>2014</v>
      </c>
      <c r="X4669" s="3"/>
    </row>
    <row r="4670" spans="1:24" ht="76.5">
      <c r="A4670" s="3" t="s">
        <v>10607</v>
      </c>
      <c r="B4670" s="6" t="s">
        <v>361</v>
      </c>
      <c r="C4670" s="6" t="s">
        <v>5564</v>
      </c>
      <c r="D4670" s="6" t="s">
        <v>467</v>
      </c>
      <c r="E4670" s="6" t="s">
        <v>5565</v>
      </c>
      <c r="F4670" s="130" t="s">
        <v>8080</v>
      </c>
      <c r="G4670" s="3" t="s">
        <v>11449</v>
      </c>
      <c r="H4670" s="54">
        <v>0</v>
      </c>
      <c r="I4670" s="16">
        <v>470000000</v>
      </c>
      <c r="J4670" s="16" t="s">
        <v>229</v>
      </c>
      <c r="K4670" s="57" t="s">
        <v>641</v>
      </c>
      <c r="L4670" s="183" t="s">
        <v>364</v>
      </c>
      <c r="M4670" s="162" t="s">
        <v>230</v>
      </c>
      <c r="N4670" s="8" t="s">
        <v>8899</v>
      </c>
      <c r="O4670" s="6" t="s">
        <v>622</v>
      </c>
      <c r="P4670" s="3">
        <v>796</v>
      </c>
      <c r="Q4670" s="27" t="s">
        <v>234</v>
      </c>
      <c r="R4670" s="26">
        <v>4</v>
      </c>
      <c r="S4670" s="59">
        <f>5491*1.07</f>
        <v>5875.37</v>
      </c>
      <c r="T4670" s="4">
        <v>0</v>
      </c>
      <c r="U4670" s="4">
        <f t="shared" si="218"/>
        <v>0</v>
      </c>
      <c r="V4670" s="3"/>
      <c r="W4670" s="3">
        <v>2014</v>
      </c>
      <c r="X4670" s="3">
        <v>11.12</v>
      </c>
    </row>
    <row r="4671" spans="1:24" ht="76.5">
      <c r="A4671" s="3" t="s">
        <v>13324</v>
      </c>
      <c r="B4671" s="6" t="s">
        <v>361</v>
      </c>
      <c r="C4671" s="6" t="s">
        <v>5564</v>
      </c>
      <c r="D4671" s="6" t="s">
        <v>467</v>
      </c>
      <c r="E4671" s="6" t="s">
        <v>5565</v>
      </c>
      <c r="F4671" s="130" t="s">
        <v>8080</v>
      </c>
      <c r="G4671" s="3" t="s">
        <v>11449</v>
      </c>
      <c r="H4671" s="54">
        <v>0</v>
      </c>
      <c r="I4671" s="16">
        <v>470000000</v>
      </c>
      <c r="J4671" s="16" t="s">
        <v>229</v>
      </c>
      <c r="K4671" s="57" t="s">
        <v>642</v>
      </c>
      <c r="L4671" s="12" t="s">
        <v>404</v>
      </c>
      <c r="M4671" s="162" t="s">
        <v>230</v>
      </c>
      <c r="N4671" s="8" t="s">
        <v>8899</v>
      </c>
      <c r="O4671" s="6" t="s">
        <v>622</v>
      </c>
      <c r="P4671" s="3">
        <v>796</v>
      </c>
      <c r="Q4671" s="27" t="s">
        <v>234</v>
      </c>
      <c r="R4671" s="26">
        <v>4</v>
      </c>
      <c r="S4671" s="59">
        <f>5491*1.07</f>
        <v>5875.37</v>
      </c>
      <c r="T4671" s="4">
        <f>R4671*S4671</f>
        <v>23501.48</v>
      </c>
      <c r="U4671" s="4">
        <f>T4671*1.12</f>
        <v>26321.657600000002</v>
      </c>
      <c r="V4671" s="3"/>
      <c r="W4671" s="3">
        <v>2014</v>
      </c>
      <c r="X4671" s="3"/>
    </row>
    <row r="4672" spans="1:24" ht="76.5">
      <c r="A4672" s="3" t="s">
        <v>10608</v>
      </c>
      <c r="B4672" s="6" t="s">
        <v>361</v>
      </c>
      <c r="C4672" s="6" t="s">
        <v>5681</v>
      </c>
      <c r="D4672" s="6" t="s">
        <v>5682</v>
      </c>
      <c r="E4672" s="6" t="s">
        <v>5183</v>
      </c>
      <c r="F4672" s="130" t="s">
        <v>5683</v>
      </c>
      <c r="G4672" s="3" t="s">
        <v>11449</v>
      </c>
      <c r="H4672" s="54">
        <v>0</v>
      </c>
      <c r="I4672" s="16">
        <v>470000000</v>
      </c>
      <c r="J4672" s="16" t="s">
        <v>229</v>
      </c>
      <c r="K4672" s="57" t="s">
        <v>641</v>
      </c>
      <c r="L4672" s="183" t="s">
        <v>364</v>
      </c>
      <c r="M4672" s="162" t="s">
        <v>230</v>
      </c>
      <c r="N4672" s="8" t="s">
        <v>8899</v>
      </c>
      <c r="O4672" s="6" t="s">
        <v>622</v>
      </c>
      <c r="P4672" s="3">
        <v>796</v>
      </c>
      <c r="Q4672" s="27" t="s">
        <v>234</v>
      </c>
      <c r="R4672" s="26">
        <v>20</v>
      </c>
      <c r="S4672" s="59">
        <f>478*1.07</f>
        <v>511.46000000000004</v>
      </c>
      <c r="T4672" s="4">
        <v>0</v>
      </c>
      <c r="U4672" s="4">
        <f t="shared" si="218"/>
        <v>0</v>
      </c>
      <c r="V4672" s="3"/>
      <c r="W4672" s="3">
        <v>2014</v>
      </c>
      <c r="X4672" s="3">
        <v>11.12</v>
      </c>
    </row>
    <row r="4673" spans="1:24" ht="76.5">
      <c r="A4673" s="3" t="s">
        <v>13325</v>
      </c>
      <c r="B4673" s="6" t="s">
        <v>361</v>
      </c>
      <c r="C4673" s="6" t="s">
        <v>5681</v>
      </c>
      <c r="D4673" s="6" t="s">
        <v>5682</v>
      </c>
      <c r="E4673" s="6" t="s">
        <v>5183</v>
      </c>
      <c r="F4673" s="130" t="s">
        <v>5683</v>
      </c>
      <c r="G4673" s="3" t="s">
        <v>11449</v>
      </c>
      <c r="H4673" s="54">
        <v>0</v>
      </c>
      <c r="I4673" s="16">
        <v>470000000</v>
      </c>
      <c r="J4673" s="16" t="s">
        <v>229</v>
      </c>
      <c r="K4673" s="57" t="s">
        <v>642</v>
      </c>
      <c r="L4673" s="12" t="s">
        <v>404</v>
      </c>
      <c r="M4673" s="162" t="s">
        <v>230</v>
      </c>
      <c r="N4673" s="8" t="s">
        <v>8899</v>
      </c>
      <c r="O4673" s="6" t="s">
        <v>622</v>
      </c>
      <c r="P4673" s="3">
        <v>796</v>
      </c>
      <c r="Q4673" s="27" t="s">
        <v>234</v>
      </c>
      <c r="R4673" s="26">
        <v>20</v>
      </c>
      <c r="S4673" s="59">
        <f>478*1.07</f>
        <v>511.46000000000004</v>
      </c>
      <c r="T4673" s="4">
        <v>0</v>
      </c>
      <c r="U4673" s="4">
        <f>T4673*1.12</f>
        <v>0</v>
      </c>
      <c r="V4673" s="3"/>
      <c r="W4673" s="3">
        <v>2014</v>
      </c>
      <c r="X4673" s="3" t="s">
        <v>14785</v>
      </c>
    </row>
    <row r="4674" spans="1:24" ht="76.5">
      <c r="A4674" s="3" t="s">
        <v>16680</v>
      </c>
      <c r="B4674" s="6" t="s">
        <v>361</v>
      </c>
      <c r="C4674" s="6" t="s">
        <v>5681</v>
      </c>
      <c r="D4674" s="6" t="s">
        <v>5682</v>
      </c>
      <c r="E4674" s="6" t="s">
        <v>5183</v>
      </c>
      <c r="F4674" s="130" t="s">
        <v>5683</v>
      </c>
      <c r="G4674" s="3" t="s">
        <v>11449</v>
      </c>
      <c r="H4674" s="54">
        <v>0</v>
      </c>
      <c r="I4674" s="16">
        <v>470000000</v>
      </c>
      <c r="J4674" s="16" t="s">
        <v>229</v>
      </c>
      <c r="K4674" s="57" t="s">
        <v>8950</v>
      </c>
      <c r="L4674" s="12" t="s">
        <v>404</v>
      </c>
      <c r="M4674" s="162" t="s">
        <v>230</v>
      </c>
      <c r="N4674" s="8" t="s">
        <v>8899</v>
      </c>
      <c r="O4674" s="6" t="s">
        <v>622</v>
      </c>
      <c r="P4674" s="3">
        <v>796</v>
      </c>
      <c r="Q4674" s="27" t="s">
        <v>234</v>
      </c>
      <c r="R4674" s="26">
        <v>20</v>
      </c>
      <c r="S4674" s="59">
        <v>613.75200000000007</v>
      </c>
      <c r="T4674" s="4">
        <v>0</v>
      </c>
      <c r="U4674" s="4">
        <f>T4674*1.12</f>
        <v>0</v>
      </c>
      <c r="V4674" s="3"/>
      <c r="W4674" s="3">
        <v>2014</v>
      </c>
      <c r="X4674" s="3">
        <v>11</v>
      </c>
    </row>
    <row r="4675" spans="1:24" ht="76.5">
      <c r="A4675" s="3" t="s">
        <v>18796</v>
      </c>
      <c r="B4675" s="6" t="s">
        <v>361</v>
      </c>
      <c r="C4675" s="6" t="s">
        <v>5681</v>
      </c>
      <c r="D4675" s="6" t="s">
        <v>5682</v>
      </c>
      <c r="E4675" s="6" t="s">
        <v>5183</v>
      </c>
      <c r="F4675" s="130" t="s">
        <v>5683</v>
      </c>
      <c r="G4675" s="3" t="s">
        <v>11449</v>
      </c>
      <c r="H4675" s="54">
        <v>0</v>
      </c>
      <c r="I4675" s="16">
        <v>470000000</v>
      </c>
      <c r="J4675" s="16" t="s">
        <v>229</v>
      </c>
      <c r="K4675" s="57" t="s">
        <v>18437</v>
      </c>
      <c r="L4675" s="12" t="s">
        <v>404</v>
      </c>
      <c r="M4675" s="162" t="s">
        <v>230</v>
      </c>
      <c r="N4675" s="8" t="s">
        <v>8899</v>
      </c>
      <c r="O4675" s="6" t="s">
        <v>622</v>
      </c>
      <c r="P4675" s="3">
        <v>796</v>
      </c>
      <c r="Q4675" s="27" t="s">
        <v>234</v>
      </c>
      <c r="R4675" s="26">
        <v>20</v>
      </c>
      <c r="S4675" s="59">
        <v>613.75200000000007</v>
      </c>
      <c r="T4675" s="4">
        <v>0</v>
      </c>
      <c r="U4675" s="4">
        <f>T4675*1.12</f>
        <v>0</v>
      </c>
      <c r="V4675" s="3"/>
      <c r="W4675" s="3">
        <v>2014</v>
      </c>
      <c r="X4675" s="3">
        <v>14.15</v>
      </c>
    </row>
    <row r="4676" spans="1:24" ht="76.5">
      <c r="A4676" s="3" t="s">
        <v>19515</v>
      </c>
      <c r="B4676" s="6" t="s">
        <v>361</v>
      </c>
      <c r="C4676" s="6" t="s">
        <v>5681</v>
      </c>
      <c r="D4676" s="6" t="s">
        <v>5682</v>
      </c>
      <c r="E4676" s="6" t="s">
        <v>5183</v>
      </c>
      <c r="F4676" s="130" t="s">
        <v>5683</v>
      </c>
      <c r="G4676" s="3" t="s">
        <v>11449</v>
      </c>
      <c r="H4676" s="54">
        <v>0</v>
      </c>
      <c r="I4676" s="16">
        <v>470000000</v>
      </c>
      <c r="J4676" s="16" t="s">
        <v>229</v>
      </c>
      <c r="K4676" s="57" t="s">
        <v>18437</v>
      </c>
      <c r="L4676" s="12" t="s">
        <v>404</v>
      </c>
      <c r="M4676" s="162" t="s">
        <v>230</v>
      </c>
      <c r="N4676" s="8" t="s">
        <v>19369</v>
      </c>
      <c r="O4676" s="6" t="s">
        <v>19407</v>
      </c>
      <c r="P4676" s="3">
        <v>796</v>
      </c>
      <c r="Q4676" s="27" t="s">
        <v>234</v>
      </c>
      <c r="R4676" s="26">
        <v>20</v>
      </c>
      <c r="S4676" s="59">
        <v>613.75200000000007</v>
      </c>
      <c r="T4676" s="4">
        <f>R4676*S4676</f>
        <v>12275.04</v>
      </c>
      <c r="U4676" s="4">
        <f>T4676*1.12</f>
        <v>13748.044800000001</v>
      </c>
      <c r="V4676" s="3"/>
      <c r="W4676" s="3">
        <v>2014</v>
      </c>
      <c r="X4676" s="3"/>
    </row>
    <row r="4677" spans="1:24" ht="76.5">
      <c r="A4677" s="3" t="s">
        <v>10609</v>
      </c>
      <c r="B4677" s="6" t="s">
        <v>361</v>
      </c>
      <c r="C4677" s="6" t="s">
        <v>5344</v>
      </c>
      <c r="D4677" s="6" t="s">
        <v>460</v>
      </c>
      <c r="E4677" s="6" t="s">
        <v>5345</v>
      </c>
      <c r="F4677" s="130" t="s">
        <v>8081</v>
      </c>
      <c r="G4677" s="3" t="s">
        <v>11449</v>
      </c>
      <c r="H4677" s="54">
        <v>0</v>
      </c>
      <c r="I4677" s="16">
        <v>470000000</v>
      </c>
      <c r="J4677" s="16" t="s">
        <v>229</v>
      </c>
      <c r="K4677" s="57" t="s">
        <v>641</v>
      </c>
      <c r="L4677" s="183" t="s">
        <v>364</v>
      </c>
      <c r="M4677" s="162" t="s">
        <v>230</v>
      </c>
      <c r="N4677" s="8" t="s">
        <v>8899</v>
      </c>
      <c r="O4677" s="6" t="s">
        <v>622</v>
      </c>
      <c r="P4677" s="3">
        <v>796</v>
      </c>
      <c r="Q4677" s="27" t="s">
        <v>234</v>
      </c>
      <c r="R4677" s="26">
        <v>100</v>
      </c>
      <c r="S4677" s="59">
        <f>1306*1.07</f>
        <v>1397.42</v>
      </c>
      <c r="T4677" s="4">
        <v>0</v>
      </c>
      <c r="U4677" s="4">
        <f t="shared" si="218"/>
        <v>0</v>
      </c>
      <c r="V4677" s="3"/>
      <c r="W4677" s="3">
        <v>2014</v>
      </c>
      <c r="X4677" s="3">
        <v>11.12</v>
      </c>
    </row>
    <row r="4678" spans="1:24" ht="76.5">
      <c r="A4678" s="3" t="s">
        <v>13326</v>
      </c>
      <c r="B4678" s="6" t="s">
        <v>361</v>
      </c>
      <c r="C4678" s="6" t="s">
        <v>5344</v>
      </c>
      <c r="D4678" s="6" t="s">
        <v>460</v>
      </c>
      <c r="E4678" s="6" t="s">
        <v>5345</v>
      </c>
      <c r="F4678" s="130" t="s">
        <v>8081</v>
      </c>
      <c r="G4678" s="3" t="s">
        <v>11449</v>
      </c>
      <c r="H4678" s="54">
        <v>0</v>
      </c>
      <c r="I4678" s="16">
        <v>470000000</v>
      </c>
      <c r="J4678" s="16" t="s">
        <v>229</v>
      </c>
      <c r="K4678" s="57" t="s">
        <v>642</v>
      </c>
      <c r="L4678" s="12" t="s">
        <v>404</v>
      </c>
      <c r="M4678" s="162" t="s">
        <v>230</v>
      </c>
      <c r="N4678" s="8" t="s">
        <v>8899</v>
      </c>
      <c r="O4678" s="6" t="s">
        <v>622</v>
      </c>
      <c r="P4678" s="3">
        <v>796</v>
      </c>
      <c r="Q4678" s="27" t="s">
        <v>234</v>
      </c>
      <c r="R4678" s="26">
        <v>100</v>
      </c>
      <c r="S4678" s="59">
        <f>1306*1.07</f>
        <v>1397.42</v>
      </c>
      <c r="T4678" s="4">
        <f>R4678*S4678</f>
        <v>139742</v>
      </c>
      <c r="U4678" s="4">
        <f>T4678*1.12</f>
        <v>156511.04000000001</v>
      </c>
      <c r="V4678" s="3"/>
      <c r="W4678" s="3">
        <v>2014</v>
      </c>
      <c r="X4678" s="3"/>
    </row>
    <row r="4679" spans="1:24" ht="76.5">
      <c r="A4679" s="3" t="s">
        <v>10610</v>
      </c>
      <c r="B4679" s="6" t="s">
        <v>361</v>
      </c>
      <c r="C4679" s="6" t="s">
        <v>5344</v>
      </c>
      <c r="D4679" s="6" t="s">
        <v>460</v>
      </c>
      <c r="E4679" s="6" t="s">
        <v>5345</v>
      </c>
      <c r="F4679" s="130" t="s">
        <v>8082</v>
      </c>
      <c r="G4679" s="3" t="s">
        <v>11449</v>
      </c>
      <c r="H4679" s="54">
        <v>0</v>
      </c>
      <c r="I4679" s="16">
        <v>470000000</v>
      </c>
      <c r="J4679" s="16" t="s">
        <v>229</v>
      </c>
      <c r="K4679" s="57" t="s">
        <v>641</v>
      </c>
      <c r="L4679" s="183" t="s">
        <v>364</v>
      </c>
      <c r="M4679" s="162" t="s">
        <v>230</v>
      </c>
      <c r="N4679" s="8" t="s">
        <v>8899</v>
      </c>
      <c r="O4679" s="6" t="s">
        <v>622</v>
      </c>
      <c r="P4679" s="3">
        <v>796</v>
      </c>
      <c r="Q4679" s="27" t="s">
        <v>234</v>
      </c>
      <c r="R4679" s="26">
        <v>100</v>
      </c>
      <c r="S4679" s="59">
        <f>299*1.07</f>
        <v>319.93</v>
      </c>
      <c r="T4679" s="4">
        <v>0</v>
      </c>
      <c r="U4679" s="4">
        <f t="shared" si="218"/>
        <v>0</v>
      </c>
      <c r="V4679" s="3"/>
      <c r="W4679" s="3">
        <v>2014</v>
      </c>
      <c r="X4679" s="3">
        <v>11.12</v>
      </c>
    </row>
    <row r="4680" spans="1:24" ht="76.5">
      <c r="A4680" s="3" t="s">
        <v>13327</v>
      </c>
      <c r="B4680" s="6" t="s">
        <v>361</v>
      </c>
      <c r="C4680" s="6" t="s">
        <v>5344</v>
      </c>
      <c r="D4680" s="6" t="s">
        <v>460</v>
      </c>
      <c r="E4680" s="6" t="s">
        <v>5345</v>
      </c>
      <c r="F4680" s="130" t="s">
        <v>8082</v>
      </c>
      <c r="G4680" s="3" t="s">
        <v>11449</v>
      </c>
      <c r="H4680" s="54">
        <v>0</v>
      </c>
      <c r="I4680" s="16">
        <v>470000000</v>
      </c>
      <c r="J4680" s="16" t="s">
        <v>229</v>
      </c>
      <c r="K4680" s="57" t="s">
        <v>642</v>
      </c>
      <c r="L4680" s="12" t="s">
        <v>404</v>
      </c>
      <c r="M4680" s="162" t="s">
        <v>230</v>
      </c>
      <c r="N4680" s="8" t="s">
        <v>8899</v>
      </c>
      <c r="O4680" s="6" t="s">
        <v>622</v>
      </c>
      <c r="P4680" s="3">
        <v>796</v>
      </c>
      <c r="Q4680" s="27" t="s">
        <v>234</v>
      </c>
      <c r="R4680" s="26">
        <v>100</v>
      </c>
      <c r="S4680" s="59">
        <f>299*1.07</f>
        <v>319.93</v>
      </c>
      <c r="T4680" s="4">
        <f>R4680*S4680</f>
        <v>31993</v>
      </c>
      <c r="U4680" s="4">
        <f>T4680*1.12</f>
        <v>35832.160000000003</v>
      </c>
      <c r="V4680" s="3"/>
      <c r="W4680" s="3">
        <v>2014</v>
      </c>
      <c r="X4680" s="3"/>
    </row>
    <row r="4681" spans="1:24" ht="76.5">
      <c r="A4681" s="3" t="s">
        <v>10611</v>
      </c>
      <c r="B4681" s="6" t="s">
        <v>361</v>
      </c>
      <c r="C4681" s="6" t="s">
        <v>5658</v>
      </c>
      <c r="D4681" s="6" t="s">
        <v>5541</v>
      </c>
      <c r="E4681" s="6" t="s">
        <v>3115</v>
      </c>
      <c r="F4681" s="130" t="s">
        <v>8083</v>
      </c>
      <c r="G4681" s="3" t="s">
        <v>11449</v>
      </c>
      <c r="H4681" s="54">
        <v>0</v>
      </c>
      <c r="I4681" s="16">
        <v>470000000</v>
      </c>
      <c r="J4681" s="16" t="s">
        <v>229</v>
      </c>
      <c r="K4681" s="57" t="s">
        <v>641</v>
      </c>
      <c r="L4681" s="183" t="s">
        <v>364</v>
      </c>
      <c r="M4681" s="162" t="s">
        <v>230</v>
      </c>
      <c r="N4681" s="8" t="s">
        <v>8899</v>
      </c>
      <c r="O4681" s="6" t="s">
        <v>622</v>
      </c>
      <c r="P4681" s="3">
        <v>796</v>
      </c>
      <c r="Q4681" s="27" t="s">
        <v>234</v>
      </c>
      <c r="R4681" s="26">
        <v>20</v>
      </c>
      <c r="S4681" s="59">
        <v>431.28800000000001</v>
      </c>
      <c r="T4681" s="4">
        <v>0</v>
      </c>
      <c r="U4681" s="4">
        <f t="shared" si="218"/>
        <v>0</v>
      </c>
      <c r="V4681" s="3"/>
      <c r="W4681" s="3">
        <v>2014</v>
      </c>
      <c r="X4681" s="3">
        <v>11.12</v>
      </c>
    </row>
    <row r="4682" spans="1:24" ht="76.5">
      <c r="A4682" s="3" t="s">
        <v>13328</v>
      </c>
      <c r="B4682" s="6" t="s">
        <v>361</v>
      </c>
      <c r="C4682" s="6" t="s">
        <v>5658</v>
      </c>
      <c r="D4682" s="6" t="s">
        <v>5541</v>
      </c>
      <c r="E4682" s="6" t="s">
        <v>3115</v>
      </c>
      <c r="F4682" s="130" t="s">
        <v>8083</v>
      </c>
      <c r="G4682" s="3" t="s">
        <v>11449</v>
      </c>
      <c r="H4682" s="54">
        <v>0</v>
      </c>
      <c r="I4682" s="16">
        <v>470000000</v>
      </c>
      <c r="J4682" s="16" t="s">
        <v>229</v>
      </c>
      <c r="K4682" s="57" t="s">
        <v>642</v>
      </c>
      <c r="L4682" s="12" t="s">
        <v>404</v>
      </c>
      <c r="M4682" s="162" t="s">
        <v>230</v>
      </c>
      <c r="N4682" s="8" t="s">
        <v>8899</v>
      </c>
      <c r="O4682" s="6" t="s">
        <v>622</v>
      </c>
      <c r="P4682" s="3">
        <v>796</v>
      </c>
      <c r="Q4682" s="27" t="s">
        <v>234</v>
      </c>
      <c r="R4682" s="26">
        <v>20</v>
      </c>
      <c r="S4682" s="59">
        <v>431.28800000000001</v>
      </c>
      <c r="T4682" s="4">
        <f>R4682*S4682</f>
        <v>8625.76</v>
      </c>
      <c r="U4682" s="4">
        <f>T4682*1.12</f>
        <v>9660.851200000001</v>
      </c>
      <c r="V4682" s="3"/>
      <c r="W4682" s="3">
        <v>2014</v>
      </c>
      <c r="X4682" s="3"/>
    </row>
    <row r="4683" spans="1:24" ht="76.5">
      <c r="A4683" s="3" t="s">
        <v>10612</v>
      </c>
      <c r="B4683" s="6" t="s">
        <v>361</v>
      </c>
      <c r="C4683" s="6" t="s">
        <v>5684</v>
      </c>
      <c r="D4683" s="6" t="s">
        <v>5685</v>
      </c>
      <c r="E4683" s="6" t="s">
        <v>5332</v>
      </c>
      <c r="F4683" s="130" t="s">
        <v>5686</v>
      </c>
      <c r="G4683" s="3" t="s">
        <v>11449</v>
      </c>
      <c r="H4683" s="54">
        <v>0</v>
      </c>
      <c r="I4683" s="16">
        <v>470000000</v>
      </c>
      <c r="J4683" s="16" t="s">
        <v>229</v>
      </c>
      <c r="K4683" s="57" t="s">
        <v>641</v>
      </c>
      <c r="L4683" s="183" t="s">
        <v>364</v>
      </c>
      <c r="M4683" s="162" t="s">
        <v>230</v>
      </c>
      <c r="N4683" s="8" t="s">
        <v>8899</v>
      </c>
      <c r="O4683" s="6" t="s">
        <v>622</v>
      </c>
      <c r="P4683" s="3">
        <v>796</v>
      </c>
      <c r="Q4683" s="27" t="s">
        <v>234</v>
      </c>
      <c r="R4683" s="26">
        <v>20</v>
      </c>
      <c r="S4683" s="59">
        <v>1265</v>
      </c>
      <c r="T4683" s="4">
        <v>0</v>
      </c>
      <c r="U4683" s="4">
        <f t="shared" si="218"/>
        <v>0</v>
      </c>
      <c r="V4683" s="3"/>
      <c r="W4683" s="3">
        <v>2014</v>
      </c>
      <c r="X4683" s="3">
        <v>11.12</v>
      </c>
    </row>
    <row r="4684" spans="1:24" ht="76.5">
      <c r="A4684" s="3" t="s">
        <v>13329</v>
      </c>
      <c r="B4684" s="6" t="s">
        <v>361</v>
      </c>
      <c r="C4684" s="6" t="s">
        <v>5684</v>
      </c>
      <c r="D4684" s="6" t="s">
        <v>5685</v>
      </c>
      <c r="E4684" s="6" t="s">
        <v>5332</v>
      </c>
      <c r="F4684" s="130" t="s">
        <v>5686</v>
      </c>
      <c r="G4684" s="3" t="s">
        <v>11449</v>
      </c>
      <c r="H4684" s="54">
        <v>0</v>
      </c>
      <c r="I4684" s="16">
        <v>470000000</v>
      </c>
      <c r="J4684" s="16" t="s">
        <v>229</v>
      </c>
      <c r="K4684" s="57" t="s">
        <v>642</v>
      </c>
      <c r="L4684" s="12" t="s">
        <v>404</v>
      </c>
      <c r="M4684" s="162" t="s">
        <v>230</v>
      </c>
      <c r="N4684" s="8" t="s">
        <v>8899</v>
      </c>
      <c r="O4684" s="6" t="s">
        <v>622</v>
      </c>
      <c r="P4684" s="3">
        <v>796</v>
      </c>
      <c r="Q4684" s="27" t="s">
        <v>234</v>
      </c>
      <c r="R4684" s="26">
        <v>20</v>
      </c>
      <c r="S4684" s="59">
        <v>1265</v>
      </c>
      <c r="T4684" s="4">
        <f>R4684*S4684</f>
        <v>25300</v>
      </c>
      <c r="U4684" s="4">
        <f>T4684*1.12</f>
        <v>28336.000000000004</v>
      </c>
      <c r="V4684" s="3"/>
      <c r="W4684" s="3">
        <v>2014</v>
      </c>
      <c r="X4684" s="3"/>
    </row>
    <row r="4685" spans="1:24" ht="76.5">
      <c r="A4685" s="3" t="s">
        <v>10613</v>
      </c>
      <c r="B4685" s="6" t="s">
        <v>361</v>
      </c>
      <c r="C4685" s="6" t="s">
        <v>5427</v>
      </c>
      <c r="D4685" s="6" t="s">
        <v>444</v>
      </c>
      <c r="E4685" s="6" t="s">
        <v>5183</v>
      </c>
      <c r="F4685" s="130" t="s">
        <v>5687</v>
      </c>
      <c r="G4685" s="3" t="s">
        <v>11449</v>
      </c>
      <c r="H4685" s="54">
        <v>0</v>
      </c>
      <c r="I4685" s="16">
        <v>470000000</v>
      </c>
      <c r="J4685" s="16" t="s">
        <v>229</v>
      </c>
      <c r="K4685" s="57" t="s">
        <v>641</v>
      </c>
      <c r="L4685" s="183" t="s">
        <v>364</v>
      </c>
      <c r="M4685" s="162" t="s">
        <v>230</v>
      </c>
      <c r="N4685" s="8" t="s">
        <v>8899</v>
      </c>
      <c r="O4685" s="6" t="s">
        <v>622</v>
      </c>
      <c r="P4685" s="3">
        <v>796</v>
      </c>
      <c r="Q4685" s="27" t="s">
        <v>234</v>
      </c>
      <c r="R4685" s="26">
        <v>2</v>
      </c>
      <c r="S4685" s="59">
        <v>69575</v>
      </c>
      <c r="T4685" s="4">
        <v>0</v>
      </c>
      <c r="U4685" s="4">
        <f t="shared" si="218"/>
        <v>0</v>
      </c>
      <c r="V4685" s="3"/>
      <c r="W4685" s="3">
        <v>2014</v>
      </c>
      <c r="X4685" s="3">
        <v>11.12</v>
      </c>
    </row>
    <row r="4686" spans="1:24" ht="76.5">
      <c r="A4686" s="3" t="s">
        <v>13330</v>
      </c>
      <c r="B4686" s="6" t="s">
        <v>361</v>
      </c>
      <c r="C4686" s="6" t="s">
        <v>5427</v>
      </c>
      <c r="D4686" s="6" t="s">
        <v>444</v>
      </c>
      <c r="E4686" s="6" t="s">
        <v>5183</v>
      </c>
      <c r="F4686" s="130" t="s">
        <v>5687</v>
      </c>
      <c r="G4686" s="3" t="s">
        <v>11449</v>
      </c>
      <c r="H4686" s="54">
        <v>0</v>
      </c>
      <c r="I4686" s="16">
        <v>470000000</v>
      </c>
      <c r="J4686" s="16" t="s">
        <v>229</v>
      </c>
      <c r="K4686" s="57" t="s">
        <v>642</v>
      </c>
      <c r="L4686" s="12" t="s">
        <v>404</v>
      </c>
      <c r="M4686" s="162" t="s">
        <v>230</v>
      </c>
      <c r="N4686" s="8" t="s">
        <v>8899</v>
      </c>
      <c r="O4686" s="6" t="s">
        <v>622</v>
      </c>
      <c r="P4686" s="3">
        <v>796</v>
      </c>
      <c r="Q4686" s="27" t="s">
        <v>234</v>
      </c>
      <c r="R4686" s="26">
        <v>2</v>
      </c>
      <c r="S4686" s="59">
        <v>69575</v>
      </c>
      <c r="T4686" s="4">
        <f>R4686*S4686</f>
        <v>139150</v>
      </c>
      <c r="U4686" s="4">
        <f>T4686*1.12</f>
        <v>155848.00000000003</v>
      </c>
      <c r="V4686" s="3"/>
      <c r="W4686" s="3">
        <v>2014</v>
      </c>
      <c r="X4686" s="3"/>
    </row>
    <row r="4687" spans="1:24" ht="76.5">
      <c r="A4687" s="3" t="s">
        <v>10614</v>
      </c>
      <c r="B4687" s="6" t="s">
        <v>361</v>
      </c>
      <c r="C4687" s="6" t="s">
        <v>5427</v>
      </c>
      <c r="D4687" s="6" t="s">
        <v>444</v>
      </c>
      <c r="E4687" s="6" t="s">
        <v>5183</v>
      </c>
      <c r="F4687" s="130" t="s">
        <v>5688</v>
      </c>
      <c r="G4687" s="3" t="s">
        <v>11449</v>
      </c>
      <c r="H4687" s="54">
        <v>0</v>
      </c>
      <c r="I4687" s="16">
        <v>470000000</v>
      </c>
      <c r="J4687" s="16" t="s">
        <v>229</v>
      </c>
      <c r="K4687" s="57" t="s">
        <v>641</v>
      </c>
      <c r="L4687" s="183" t="s">
        <v>364</v>
      </c>
      <c r="M4687" s="162" t="s">
        <v>230</v>
      </c>
      <c r="N4687" s="8" t="s">
        <v>8899</v>
      </c>
      <c r="O4687" s="6" t="s">
        <v>622</v>
      </c>
      <c r="P4687" s="3">
        <v>796</v>
      </c>
      <c r="Q4687" s="27" t="s">
        <v>234</v>
      </c>
      <c r="R4687" s="26">
        <v>2</v>
      </c>
      <c r="S4687" s="59">
        <v>69575</v>
      </c>
      <c r="T4687" s="4">
        <v>0</v>
      </c>
      <c r="U4687" s="4">
        <f t="shared" si="218"/>
        <v>0</v>
      </c>
      <c r="V4687" s="3"/>
      <c r="W4687" s="3">
        <v>2014</v>
      </c>
      <c r="X4687" s="3">
        <v>11.12</v>
      </c>
    </row>
    <row r="4688" spans="1:24" ht="76.5">
      <c r="A4688" s="3" t="s">
        <v>13331</v>
      </c>
      <c r="B4688" s="6" t="s">
        <v>361</v>
      </c>
      <c r="C4688" s="6" t="s">
        <v>5427</v>
      </c>
      <c r="D4688" s="6" t="s">
        <v>444</v>
      </c>
      <c r="E4688" s="6" t="s">
        <v>5183</v>
      </c>
      <c r="F4688" s="130" t="s">
        <v>5688</v>
      </c>
      <c r="G4688" s="3" t="s">
        <v>11449</v>
      </c>
      <c r="H4688" s="54">
        <v>0</v>
      </c>
      <c r="I4688" s="16">
        <v>470000000</v>
      </c>
      <c r="J4688" s="16" t="s">
        <v>229</v>
      </c>
      <c r="K4688" s="57" t="s">
        <v>642</v>
      </c>
      <c r="L4688" s="12" t="s">
        <v>404</v>
      </c>
      <c r="M4688" s="162" t="s">
        <v>230</v>
      </c>
      <c r="N4688" s="8" t="s">
        <v>8899</v>
      </c>
      <c r="O4688" s="6" t="s">
        <v>622</v>
      </c>
      <c r="P4688" s="3">
        <v>796</v>
      </c>
      <c r="Q4688" s="27" t="s">
        <v>234</v>
      </c>
      <c r="R4688" s="26">
        <v>2</v>
      </c>
      <c r="S4688" s="59">
        <v>69575</v>
      </c>
      <c r="T4688" s="4">
        <f>R4688*S4688</f>
        <v>139150</v>
      </c>
      <c r="U4688" s="4">
        <f>T4688*1.12</f>
        <v>155848.00000000003</v>
      </c>
      <c r="V4688" s="3"/>
      <c r="W4688" s="3">
        <v>2014</v>
      </c>
      <c r="X4688" s="3"/>
    </row>
    <row r="4689" spans="1:24" ht="76.5">
      <c r="A4689" s="3" t="s">
        <v>10615</v>
      </c>
      <c r="B4689" s="6" t="s">
        <v>361</v>
      </c>
      <c r="C4689" s="6" t="s">
        <v>5523</v>
      </c>
      <c r="D4689" s="6" t="s">
        <v>416</v>
      </c>
      <c r="E4689" s="6" t="s">
        <v>5332</v>
      </c>
      <c r="F4689" s="130" t="s">
        <v>8084</v>
      </c>
      <c r="G4689" s="3" t="s">
        <v>11449</v>
      </c>
      <c r="H4689" s="54">
        <v>0</v>
      </c>
      <c r="I4689" s="16">
        <v>470000000</v>
      </c>
      <c r="J4689" s="16" t="s">
        <v>229</v>
      </c>
      <c r="K4689" s="57" t="s">
        <v>641</v>
      </c>
      <c r="L4689" s="183" t="s">
        <v>364</v>
      </c>
      <c r="M4689" s="162" t="s">
        <v>230</v>
      </c>
      <c r="N4689" s="8" t="s">
        <v>8899</v>
      </c>
      <c r="O4689" s="6" t="s">
        <v>622</v>
      </c>
      <c r="P4689" s="3">
        <v>796</v>
      </c>
      <c r="Q4689" s="27" t="s">
        <v>234</v>
      </c>
      <c r="R4689" s="26">
        <v>30</v>
      </c>
      <c r="S4689" s="59">
        <v>615</v>
      </c>
      <c r="T4689" s="4">
        <v>0</v>
      </c>
      <c r="U4689" s="4">
        <f t="shared" si="218"/>
        <v>0</v>
      </c>
      <c r="V4689" s="3"/>
      <c r="W4689" s="3">
        <v>2014</v>
      </c>
      <c r="X4689" s="3">
        <v>11.12</v>
      </c>
    </row>
    <row r="4690" spans="1:24" ht="76.5">
      <c r="A4690" s="3" t="s">
        <v>13332</v>
      </c>
      <c r="B4690" s="6" t="s">
        <v>361</v>
      </c>
      <c r="C4690" s="6" t="s">
        <v>5523</v>
      </c>
      <c r="D4690" s="6" t="s">
        <v>416</v>
      </c>
      <c r="E4690" s="6" t="s">
        <v>5332</v>
      </c>
      <c r="F4690" s="130" t="s">
        <v>8084</v>
      </c>
      <c r="G4690" s="3" t="s">
        <v>11449</v>
      </c>
      <c r="H4690" s="54">
        <v>0</v>
      </c>
      <c r="I4690" s="16">
        <v>470000000</v>
      </c>
      <c r="J4690" s="16" t="s">
        <v>229</v>
      </c>
      <c r="K4690" s="57" t="s">
        <v>642</v>
      </c>
      <c r="L4690" s="12" t="s">
        <v>404</v>
      </c>
      <c r="M4690" s="162" t="s">
        <v>230</v>
      </c>
      <c r="N4690" s="8" t="s">
        <v>8899</v>
      </c>
      <c r="O4690" s="6" t="s">
        <v>622</v>
      </c>
      <c r="P4690" s="3">
        <v>796</v>
      </c>
      <c r="Q4690" s="27" t="s">
        <v>234</v>
      </c>
      <c r="R4690" s="26">
        <v>30</v>
      </c>
      <c r="S4690" s="59">
        <v>615</v>
      </c>
      <c r="T4690" s="4">
        <f>R4690*S4690</f>
        <v>18450</v>
      </c>
      <c r="U4690" s="4">
        <f>T4690*1.12</f>
        <v>20664.000000000004</v>
      </c>
      <c r="V4690" s="3"/>
      <c r="W4690" s="3">
        <v>2014</v>
      </c>
      <c r="X4690" s="3"/>
    </row>
    <row r="4691" spans="1:24" ht="76.5">
      <c r="A4691" s="3" t="s">
        <v>10616</v>
      </c>
      <c r="B4691" s="6" t="s">
        <v>361</v>
      </c>
      <c r="C4691" s="6" t="s">
        <v>5689</v>
      </c>
      <c r="D4691" s="6" t="s">
        <v>5690</v>
      </c>
      <c r="E4691" s="6" t="s">
        <v>5332</v>
      </c>
      <c r="F4691" s="130" t="s">
        <v>8085</v>
      </c>
      <c r="G4691" s="3" t="s">
        <v>11449</v>
      </c>
      <c r="H4691" s="54">
        <v>0</v>
      </c>
      <c r="I4691" s="16">
        <v>470000000</v>
      </c>
      <c r="J4691" s="16" t="s">
        <v>229</v>
      </c>
      <c r="K4691" s="57" t="s">
        <v>641</v>
      </c>
      <c r="L4691" s="183" t="s">
        <v>364</v>
      </c>
      <c r="M4691" s="162" t="s">
        <v>230</v>
      </c>
      <c r="N4691" s="8" t="s">
        <v>8899</v>
      </c>
      <c r="O4691" s="6" t="s">
        <v>622</v>
      </c>
      <c r="P4691" s="3">
        <v>796</v>
      </c>
      <c r="Q4691" s="27" t="s">
        <v>234</v>
      </c>
      <c r="R4691" s="26">
        <v>5</v>
      </c>
      <c r="S4691" s="59">
        <v>41855</v>
      </c>
      <c r="T4691" s="4">
        <v>0</v>
      </c>
      <c r="U4691" s="4">
        <f t="shared" si="218"/>
        <v>0</v>
      </c>
      <c r="V4691" s="3"/>
      <c r="W4691" s="3">
        <v>2014</v>
      </c>
      <c r="X4691" s="3">
        <v>11.12</v>
      </c>
    </row>
    <row r="4692" spans="1:24" ht="76.5">
      <c r="A4692" s="3" t="s">
        <v>13333</v>
      </c>
      <c r="B4692" s="6" t="s">
        <v>361</v>
      </c>
      <c r="C4692" s="6" t="s">
        <v>5689</v>
      </c>
      <c r="D4692" s="6" t="s">
        <v>5690</v>
      </c>
      <c r="E4692" s="6" t="s">
        <v>5332</v>
      </c>
      <c r="F4692" s="130" t="s">
        <v>8085</v>
      </c>
      <c r="G4692" s="3" t="s">
        <v>11449</v>
      </c>
      <c r="H4692" s="54">
        <v>0</v>
      </c>
      <c r="I4692" s="16">
        <v>470000000</v>
      </c>
      <c r="J4692" s="16" t="s">
        <v>229</v>
      </c>
      <c r="K4692" s="57" t="s">
        <v>642</v>
      </c>
      <c r="L4692" s="12" t="s">
        <v>404</v>
      </c>
      <c r="M4692" s="162" t="s">
        <v>230</v>
      </c>
      <c r="N4692" s="8" t="s">
        <v>8899</v>
      </c>
      <c r="O4692" s="6" t="s">
        <v>622</v>
      </c>
      <c r="P4692" s="3">
        <v>796</v>
      </c>
      <c r="Q4692" s="27" t="s">
        <v>234</v>
      </c>
      <c r="R4692" s="26">
        <v>5</v>
      </c>
      <c r="S4692" s="59">
        <v>41855</v>
      </c>
      <c r="T4692" s="4">
        <f>R4692*S4692</f>
        <v>209275</v>
      </c>
      <c r="U4692" s="4">
        <f>T4692*1.12</f>
        <v>234388.00000000003</v>
      </c>
      <c r="V4692" s="3"/>
      <c r="W4692" s="3">
        <v>2014</v>
      </c>
      <c r="X4692" s="3"/>
    </row>
    <row r="4693" spans="1:24" ht="76.5">
      <c r="A4693" s="3" t="s">
        <v>10617</v>
      </c>
      <c r="B4693" s="6" t="s">
        <v>361</v>
      </c>
      <c r="C4693" s="6" t="s">
        <v>5691</v>
      </c>
      <c r="D4693" s="6" t="s">
        <v>384</v>
      </c>
      <c r="E4693" s="6" t="s">
        <v>5332</v>
      </c>
      <c r="F4693" s="130" t="s">
        <v>8086</v>
      </c>
      <c r="G4693" s="3" t="s">
        <v>11449</v>
      </c>
      <c r="H4693" s="54">
        <v>0</v>
      </c>
      <c r="I4693" s="16">
        <v>470000000</v>
      </c>
      <c r="J4693" s="16" t="s">
        <v>229</v>
      </c>
      <c r="K4693" s="57" t="s">
        <v>641</v>
      </c>
      <c r="L4693" s="183" t="s">
        <v>364</v>
      </c>
      <c r="M4693" s="162" t="s">
        <v>230</v>
      </c>
      <c r="N4693" s="8" t="s">
        <v>8899</v>
      </c>
      <c r="O4693" s="6" t="s">
        <v>622</v>
      </c>
      <c r="P4693" s="3">
        <v>796</v>
      </c>
      <c r="Q4693" s="27" t="s">
        <v>234</v>
      </c>
      <c r="R4693" s="26">
        <v>10</v>
      </c>
      <c r="S4693" s="59">
        <v>1012.0000000000001</v>
      </c>
      <c r="T4693" s="4">
        <v>0</v>
      </c>
      <c r="U4693" s="4">
        <f t="shared" si="218"/>
        <v>0</v>
      </c>
      <c r="V4693" s="3"/>
      <c r="W4693" s="3">
        <v>2014</v>
      </c>
      <c r="X4693" s="3">
        <v>11.12</v>
      </c>
    </row>
    <row r="4694" spans="1:24" ht="76.5">
      <c r="A4694" s="3" t="s">
        <v>13334</v>
      </c>
      <c r="B4694" s="6" t="s">
        <v>361</v>
      </c>
      <c r="C4694" s="6" t="s">
        <v>5691</v>
      </c>
      <c r="D4694" s="6" t="s">
        <v>384</v>
      </c>
      <c r="E4694" s="6" t="s">
        <v>5332</v>
      </c>
      <c r="F4694" s="130" t="s">
        <v>8086</v>
      </c>
      <c r="G4694" s="3" t="s">
        <v>11449</v>
      </c>
      <c r="H4694" s="54">
        <v>0</v>
      </c>
      <c r="I4694" s="16">
        <v>470000000</v>
      </c>
      <c r="J4694" s="16" t="s">
        <v>229</v>
      </c>
      <c r="K4694" s="57" t="s">
        <v>642</v>
      </c>
      <c r="L4694" s="12" t="s">
        <v>404</v>
      </c>
      <c r="M4694" s="162" t="s">
        <v>230</v>
      </c>
      <c r="N4694" s="8" t="s">
        <v>8899</v>
      </c>
      <c r="O4694" s="6" t="s">
        <v>622</v>
      </c>
      <c r="P4694" s="3">
        <v>796</v>
      </c>
      <c r="Q4694" s="27" t="s">
        <v>234</v>
      </c>
      <c r="R4694" s="26">
        <v>10</v>
      </c>
      <c r="S4694" s="59">
        <v>1012.0000000000001</v>
      </c>
      <c r="T4694" s="4">
        <f>R4694*S4694</f>
        <v>10120.000000000002</v>
      </c>
      <c r="U4694" s="4">
        <f>T4694*1.12</f>
        <v>11334.400000000003</v>
      </c>
      <c r="V4694" s="3"/>
      <c r="W4694" s="3">
        <v>2014</v>
      </c>
      <c r="X4694" s="3"/>
    </row>
    <row r="4695" spans="1:24" ht="76.5">
      <c r="A4695" s="3" t="s">
        <v>10618</v>
      </c>
      <c r="B4695" s="6" t="s">
        <v>361</v>
      </c>
      <c r="C4695" s="6" t="s">
        <v>5339</v>
      </c>
      <c r="D4695" s="6" t="s">
        <v>5340</v>
      </c>
      <c r="E4695" s="6" t="s">
        <v>5183</v>
      </c>
      <c r="F4695" s="130" t="s">
        <v>8087</v>
      </c>
      <c r="G4695" s="3" t="s">
        <v>11449</v>
      </c>
      <c r="H4695" s="54">
        <v>0</v>
      </c>
      <c r="I4695" s="16">
        <v>470000000</v>
      </c>
      <c r="J4695" s="16" t="s">
        <v>229</v>
      </c>
      <c r="K4695" s="57" t="s">
        <v>641</v>
      </c>
      <c r="L4695" s="183" t="s">
        <v>364</v>
      </c>
      <c r="M4695" s="162" t="s">
        <v>230</v>
      </c>
      <c r="N4695" s="8" t="s">
        <v>8899</v>
      </c>
      <c r="O4695" s="6" t="s">
        <v>622</v>
      </c>
      <c r="P4695" s="3">
        <v>839</v>
      </c>
      <c r="Q4695" s="26" t="s">
        <v>239</v>
      </c>
      <c r="R4695" s="26">
        <v>20</v>
      </c>
      <c r="S4695" s="59">
        <v>6320.5670000000009</v>
      </c>
      <c r="T4695" s="4">
        <v>0</v>
      </c>
      <c r="U4695" s="4">
        <f t="shared" si="218"/>
        <v>0</v>
      </c>
      <c r="V4695" s="3"/>
      <c r="W4695" s="3">
        <v>2014</v>
      </c>
      <c r="X4695" s="3">
        <v>11.12</v>
      </c>
    </row>
    <row r="4696" spans="1:24" ht="76.5">
      <c r="A4696" s="3" t="s">
        <v>13335</v>
      </c>
      <c r="B4696" s="6" t="s">
        <v>361</v>
      </c>
      <c r="C4696" s="6" t="s">
        <v>5339</v>
      </c>
      <c r="D4696" s="6" t="s">
        <v>5340</v>
      </c>
      <c r="E4696" s="6" t="s">
        <v>5183</v>
      </c>
      <c r="F4696" s="130" t="s">
        <v>8087</v>
      </c>
      <c r="G4696" s="3" t="s">
        <v>11449</v>
      </c>
      <c r="H4696" s="54">
        <v>0</v>
      </c>
      <c r="I4696" s="16">
        <v>470000000</v>
      </c>
      <c r="J4696" s="16" t="s">
        <v>229</v>
      </c>
      <c r="K4696" s="57" t="s">
        <v>642</v>
      </c>
      <c r="L4696" s="12" t="s">
        <v>404</v>
      </c>
      <c r="M4696" s="162" t="s">
        <v>230</v>
      </c>
      <c r="N4696" s="8" t="s">
        <v>8899</v>
      </c>
      <c r="O4696" s="6" t="s">
        <v>622</v>
      </c>
      <c r="P4696" s="3">
        <v>839</v>
      </c>
      <c r="Q4696" s="26" t="s">
        <v>239</v>
      </c>
      <c r="R4696" s="26">
        <v>20</v>
      </c>
      <c r="S4696" s="59">
        <v>6320.5670000000009</v>
      </c>
      <c r="T4696" s="4">
        <f>R4696*S4696</f>
        <v>126411.34000000003</v>
      </c>
      <c r="U4696" s="4">
        <f>T4696*1.12</f>
        <v>141580.70080000005</v>
      </c>
      <c r="V4696" s="3"/>
      <c r="W4696" s="3">
        <v>2014</v>
      </c>
      <c r="X4696" s="3"/>
    </row>
    <row r="4697" spans="1:24" ht="76.5">
      <c r="A4697" s="3" t="s">
        <v>10619</v>
      </c>
      <c r="B4697" s="6" t="s">
        <v>361</v>
      </c>
      <c r="C4697" s="6" t="s">
        <v>5692</v>
      </c>
      <c r="D4697" s="6" t="s">
        <v>5693</v>
      </c>
      <c r="E4697" s="6" t="s">
        <v>5694</v>
      </c>
      <c r="F4697" s="130" t="s">
        <v>8088</v>
      </c>
      <c r="G4697" s="3" t="s">
        <v>11449</v>
      </c>
      <c r="H4697" s="54">
        <v>0</v>
      </c>
      <c r="I4697" s="16">
        <v>470000000</v>
      </c>
      <c r="J4697" s="16" t="s">
        <v>229</v>
      </c>
      <c r="K4697" s="57" t="s">
        <v>641</v>
      </c>
      <c r="L4697" s="183" t="s">
        <v>364</v>
      </c>
      <c r="M4697" s="162" t="s">
        <v>230</v>
      </c>
      <c r="N4697" s="8" t="s">
        <v>8899</v>
      </c>
      <c r="O4697" s="6" t="s">
        <v>622</v>
      </c>
      <c r="P4697" s="3">
        <v>839</v>
      </c>
      <c r="Q4697" s="26" t="s">
        <v>239</v>
      </c>
      <c r="R4697" s="26">
        <v>20</v>
      </c>
      <c r="S4697" s="59">
        <v>807.82900000000006</v>
      </c>
      <c r="T4697" s="4">
        <v>0</v>
      </c>
      <c r="U4697" s="4">
        <f t="shared" si="218"/>
        <v>0</v>
      </c>
      <c r="V4697" s="3"/>
      <c r="W4697" s="3">
        <v>2014</v>
      </c>
      <c r="X4697" s="3">
        <v>11.12</v>
      </c>
    </row>
    <row r="4698" spans="1:24" ht="76.5">
      <c r="A4698" s="3" t="s">
        <v>13336</v>
      </c>
      <c r="B4698" s="6" t="s">
        <v>361</v>
      </c>
      <c r="C4698" s="6" t="s">
        <v>5692</v>
      </c>
      <c r="D4698" s="6" t="s">
        <v>5693</v>
      </c>
      <c r="E4698" s="6" t="s">
        <v>5694</v>
      </c>
      <c r="F4698" s="130" t="s">
        <v>8088</v>
      </c>
      <c r="G4698" s="3" t="s">
        <v>11449</v>
      </c>
      <c r="H4698" s="54">
        <v>0</v>
      </c>
      <c r="I4698" s="16">
        <v>470000000</v>
      </c>
      <c r="J4698" s="16" t="s">
        <v>229</v>
      </c>
      <c r="K4698" s="57" t="s">
        <v>642</v>
      </c>
      <c r="L4698" s="12" t="s">
        <v>404</v>
      </c>
      <c r="M4698" s="162" t="s">
        <v>230</v>
      </c>
      <c r="N4698" s="8" t="s">
        <v>8899</v>
      </c>
      <c r="O4698" s="6" t="s">
        <v>622</v>
      </c>
      <c r="P4698" s="3">
        <v>839</v>
      </c>
      <c r="Q4698" s="26" t="s">
        <v>239</v>
      </c>
      <c r="R4698" s="26">
        <v>20</v>
      </c>
      <c r="S4698" s="59">
        <v>807.82900000000006</v>
      </c>
      <c r="T4698" s="4">
        <f>R4698*S4698</f>
        <v>16156.580000000002</v>
      </c>
      <c r="U4698" s="4">
        <f>T4698*1.12</f>
        <v>18095.369600000005</v>
      </c>
      <c r="V4698" s="3"/>
      <c r="W4698" s="3">
        <v>2014</v>
      </c>
      <c r="X4698" s="3"/>
    </row>
    <row r="4699" spans="1:24" ht="76.5">
      <c r="A4699" s="3" t="s">
        <v>10620</v>
      </c>
      <c r="B4699" s="6" t="s">
        <v>361</v>
      </c>
      <c r="C4699" s="6" t="s">
        <v>5695</v>
      </c>
      <c r="D4699" s="6" t="s">
        <v>5696</v>
      </c>
      <c r="E4699" s="6" t="s">
        <v>5183</v>
      </c>
      <c r="F4699" s="130" t="s">
        <v>8089</v>
      </c>
      <c r="G4699" s="3" t="s">
        <v>11449</v>
      </c>
      <c r="H4699" s="54">
        <v>0</v>
      </c>
      <c r="I4699" s="16">
        <v>470000000</v>
      </c>
      <c r="J4699" s="16" t="s">
        <v>229</v>
      </c>
      <c r="K4699" s="57" t="s">
        <v>641</v>
      </c>
      <c r="L4699" s="183" t="s">
        <v>364</v>
      </c>
      <c r="M4699" s="162" t="s">
        <v>230</v>
      </c>
      <c r="N4699" s="8" t="s">
        <v>8899</v>
      </c>
      <c r="O4699" s="6" t="s">
        <v>622</v>
      </c>
      <c r="P4699" s="3">
        <v>796</v>
      </c>
      <c r="Q4699" s="27" t="s">
        <v>234</v>
      </c>
      <c r="R4699" s="26">
        <v>10</v>
      </c>
      <c r="S4699" s="59">
        <v>1118.5240000000001</v>
      </c>
      <c r="T4699" s="4">
        <v>0</v>
      </c>
      <c r="U4699" s="4">
        <f t="shared" si="218"/>
        <v>0</v>
      </c>
      <c r="V4699" s="3"/>
      <c r="W4699" s="3">
        <v>2014</v>
      </c>
      <c r="X4699" s="3">
        <v>11.12</v>
      </c>
    </row>
    <row r="4700" spans="1:24" ht="76.5">
      <c r="A4700" s="3" t="s">
        <v>13340</v>
      </c>
      <c r="B4700" s="6" t="s">
        <v>361</v>
      </c>
      <c r="C4700" s="6" t="s">
        <v>5695</v>
      </c>
      <c r="D4700" s="6" t="s">
        <v>5696</v>
      </c>
      <c r="E4700" s="6" t="s">
        <v>5183</v>
      </c>
      <c r="F4700" s="130" t="s">
        <v>8089</v>
      </c>
      <c r="G4700" s="3" t="s">
        <v>11449</v>
      </c>
      <c r="H4700" s="54">
        <v>0</v>
      </c>
      <c r="I4700" s="16">
        <v>470000000</v>
      </c>
      <c r="J4700" s="16" t="s">
        <v>229</v>
      </c>
      <c r="K4700" s="57" t="s">
        <v>642</v>
      </c>
      <c r="L4700" s="12" t="s">
        <v>404</v>
      </c>
      <c r="M4700" s="162" t="s">
        <v>230</v>
      </c>
      <c r="N4700" s="8" t="s">
        <v>8899</v>
      </c>
      <c r="O4700" s="6" t="s">
        <v>622</v>
      </c>
      <c r="P4700" s="3">
        <v>796</v>
      </c>
      <c r="Q4700" s="27" t="s">
        <v>234</v>
      </c>
      <c r="R4700" s="26">
        <v>10</v>
      </c>
      <c r="S4700" s="59">
        <v>1118.5240000000001</v>
      </c>
      <c r="T4700" s="4">
        <f>R4700*S4700</f>
        <v>11185.240000000002</v>
      </c>
      <c r="U4700" s="4">
        <f>T4700*1.12</f>
        <v>12527.468800000002</v>
      </c>
      <c r="V4700" s="3"/>
      <c r="W4700" s="3">
        <v>2014</v>
      </c>
      <c r="X4700" s="3"/>
    </row>
    <row r="4701" spans="1:24" ht="76.5">
      <c r="A4701" s="3" t="s">
        <v>10621</v>
      </c>
      <c r="B4701" s="6" t="s">
        <v>361</v>
      </c>
      <c r="C4701" s="6" t="s">
        <v>5412</v>
      </c>
      <c r="D4701" s="6" t="s">
        <v>5413</v>
      </c>
      <c r="E4701" s="6" t="s">
        <v>5183</v>
      </c>
      <c r="F4701" s="130" t="s">
        <v>8090</v>
      </c>
      <c r="G4701" s="3" t="s">
        <v>11449</v>
      </c>
      <c r="H4701" s="54">
        <v>0</v>
      </c>
      <c r="I4701" s="16">
        <v>470000000</v>
      </c>
      <c r="J4701" s="16" t="s">
        <v>229</v>
      </c>
      <c r="K4701" s="57" t="s">
        <v>641</v>
      </c>
      <c r="L4701" s="183" t="s">
        <v>364</v>
      </c>
      <c r="M4701" s="162" t="s">
        <v>230</v>
      </c>
      <c r="N4701" s="8" t="s">
        <v>8899</v>
      </c>
      <c r="O4701" s="6" t="s">
        <v>622</v>
      </c>
      <c r="P4701" s="3">
        <v>796</v>
      </c>
      <c r="Q4701" s="27" t="s">
        <v>234</v>
      </c>
      <c r="R4701" s="26">
        <v>3</v>
      </c>
      <c r="S4701" s="59">
        <v>55533.500000000007</v>
      </c>
      <c r="T4701" s="4">
        <v>0</v>
      </c>
      <c r="U4701" s="4">
        <f t="shared" si="218"/>
        <v>0</v>
      </c>
      <c r="V4701" s="3"/>
      <c r="W4701" s="3">
        <v>2014</v>
      </c>
      <c r="X4701" s="3">
        <v>11.12</v>
      </c>
    </row>
    <row r="4702" spans="1:24" ht="76.5">
      <c r="A4702" s="3" t="s">
        <v>13341</v>
      </c>
      <c r="B4702" s="6" t="s">
        <v>361</v>
      </c>
      <c r="C4702" s="6" t="s">
        <v>5412</v>
      </c>
      <c r="D4702" s="6" t="s">
        <v>5413</v>
      </c>
      <c r="E4702" s="6" t="s">
        <v>5183</v>
      </c>
      <c r="F4702" s="130" t="s">
        <v>8090</v>
      </c>
      <c r="G4702" s="3" t="s">
        <v>11449</v>
      </c>
      <c r="H4702" s="54">
        <v>0</v>
      </c>
      <c r="I4702" s="16">
        <v>470000000</v>
      </c>
      <c r="J4702" s="16" t="s">
        <v>229</v>
      </c>
      <c r="K4702" s="57" t="s">
        <v>642</v>
      </c>
      <c r="L4702" s="12" t="s">
        <v>404</v>
      </c>
      <c r="M4702" s="162" t="s">
        <v>230</v>
      </c>
      <c r="N4702" s="8" t="s">
        <v>8899</v>
      </c>
      <c r="O4702" s="6" t="s">
        <v>622</v>
      </c>
      <c r="P4702" s="3">
        <v>796</v>
      </c>
      <c r="Q4702" s="27" t="s">
        <v>234</v>
      </c>
      <c r="R4702" s="26">
        <v>3</v>
      </c>
      <c r="S4702" s="59">
        <v>55533.500000000007</v>
      </c>
      <c r="T4702" s="4">
        <f>R4702*S4702</f>
        <v>166600.50000000003</v>
      </c>
      <c r="U4702" s="4">
        <f>T4702*1.12</f>
        <v>186592.56000000006</v>
      </c>
      <c r="V4702" s="3"/>
      <c r="W4702" s="3">
        <v>2014</v>
      </c>
      <c r="X4702" s="3"/>
    </row>
    <row r="4703" spans="1:24" ht="76.5">
      <c r="A4703" s="3" t="s">
        <v>10622</v>
      </c>
      <c r="B4703" s="6" t="s">
        <v>361</v>
      </c>
      <c r="C4703" s="6" t="s">
        <v>5586</v>
      </c>
      <c r="D4703" s="6" t="s">
        <v>5587</v>
      </c>
      <c r="E4703" s="6" t="s">
        <v>5183</v>
      </c>
      <c r="F4703" s="130" t="s">
        <v>5697</v>
      </c>
      <c r="G4703" s="3" t="s">
        <v>11449</v>
      </c>
      <c r="H4703" s="54">
        <v>0</v>
      </c>
      <c r="I4703" s="16">
        <v>470000000</v>
      </c>
      <c r="J4703" s="16" t="s">
        <v>229</v>
      </c>
      <c r="K4703" s="57" t="s">
        <v>641</v>
      </c>
      <c r="L4703" s="183" t="s">
        <v>364</v>
      </c>
      <c r="M4703" s="162" t="s">
        <v>230</v>
      </c>
      <c r="N4703" s="8" t="s">
        <v>8899</v>
      </c>
      <c r="O4703" s="6" t="s">
        <v>622</v>
      </c>
      <c r="P4703" s="3">
        <v>796</v>
      </c>
      <c r="Q4703" s="27" t="s">
        <v>234</v>
      </c>
      <c r="R4703" s="26">
        <v>3</v>
      </c>
      <c r="S4703" s="59">
        <v>33902</v>
      </c>
      <c r="T4703" s="4">
        <v>0</v>
      </c>
      <c r="U4703" s="4">
        <f t="shared" si="218"/>
        <v>0</v>
      </c>
      <c r="V4703" s="3"/>
      <c r="W4703" s="3">
        <v>2014</v>
      </c>
      <c r="X4703" s="3">
        <v>11.12</v>
      </c>
    </row>
    <row r="4704" spans="1:24" ht="76.5">
      <c r="A4704" s="3" t="s">
        <v>13342</v>
      </c>
      <c r="B4704" s="6" t="s">
        <v>361</v>
      </c>
      <c r="C4704" s="6" t="s">
        <v>5586</v>
      </c>
      <c r="D4704" s="6" t="s">
        <v>5587</v>
      </c>
      <c r="E4704" s="6" t="s">
        <v>5183</v>
      </c>
      <c r="F4704" s="130" t="s">
        <v>5697</v>
      </c>
      <c r="G4704" s="3" t="s">
        <v>11449</v>
      </c>
      <c r="H4704" s="54">
        <v>0</v>
      </c>
      <c r="I4704" s="16">
        <v>470000000</v>
      </c>
      <c r="J4704" s="16" t="s">
        <v>229</v>
      </c>
      <c r="K4704" s="57" t="s">
        <v>642</v>
      </c>
      <c r="L4704" s="12" t="s">
        <v>404</v>
      </c>
      <c r="M4704" s="162" t="s">
        <v>230</v>
      </c>
      <c r="N4704" s="8" t="s">
        <v>8899</v>
      </c>
      <c r="O4704" s="6" t="s">
        <v>622</v>
      </c>
      <c r="P4704" s="3">
        <v>796</v>
      </c>
      <c r="Q4704" s="27" t="s">
        <v>234</v>
      </c>
      <c r="R4704" s="26">
        <v>3</v>
      </c>
      <c r="S4704" s="59">
        <v>33902</v>
      </c>
      <c r="T4704" s="4">
        <f>R4704*S4704</f>
        <v>101706</v>
      </c>
      <c r="U4704" s="4">
        <f>T4704*1.12</f>
        <v>113910.72000000002</v>
      </c>
      <c r="V4704" s="3"/>
      <c r="W4704" s="3">
        <v>2014</v>
      </c>
      <c r="X4704" s="3"/>
    </row>
    <row r="4705" spans="1:24" ht="76.5">
      <c r="A4705" s="3" t="s">
        <v>10623</v>
      </c>
      <c r="B4705" s="6" t="s">
        <v>361</v>
      </c>
      <c r="C4705" s="6" t="s">
        <v>5698</v>
      </c>
      <c r="D4705" s="6" t="s">
        <v>5699</v>
      </c>
      <c r="E4705" s="6" t="s">
        <v>5183</v>
      </c>
      <c r="F4705" s="130" t="s">
        <v>5700</v>
      </c>
      <c r="G4705" s="3" t="s">
        <v>11449</v>
      </c>
      <c r="H4705" s="54">
        <v>0</v>
      </c>
      <c r="I4705" s="16">
        <v>470000000</v>
      </c>
      <c r="J4705" s="16" t="s">
        <v>229</v>
      </c>
      <c r="K4705" s="57" t="s">
        <v>641</v>
      </c>
      <c r="L4705" s="183" t="s">
        <v>364</v>
      </c>
      <c r="M4705" s="162" t="s">
        <v>230</v>
      </c>
      <c r="N4705" s="8" t="s">
        <v>8899</v>
      </c>
      <c r="O4705" s="6" t="s">
        <v>622</v>
      </c>
      <c r="P4705" s="3">
        <v>796</v>
      </c>
      <c r="Q4705" s="27" t="s">
        <v>234</v>
      </c>
      <c r="R4705" s="26">
        <v>2</v>
      </c>
      <c r="S4705" s="59">
        <v>85893.5</v>
      </c>
      <c r="T4705" s="4">
        <v>0</v>
      </c>
      <c r="U4705" s="4">
        <f t="shared" si="218"/>
        <v>0</v>
      </c>
      <c r="V4705" s="3"/>
      <c r="W4705" s="3">
        <v>2014</v>
      </c>
      <c r="X4705" s="3">
        <v>11.12</v>
      </c>
    </row>
    <row r="4706" spans="1:24" ht="76.5">
      <c r="A4706" s="3" t="s">
        <v>13343</v>
      </c>
      <c r="B4706" s="6" t="s">
        <v>361</v>
      </c>
      <c r="C4706" s="6" t="s">
        <v>5698</v>
      </c>
      <c r="D4706" s="6" t="s">
        <v>5699</v>
      </c>
      <c r="E4706" s="6" t="s">
        <v>5183</v>
      </c>
      <c r="F4706" s="130" t="s">
        <v>5700</v>
      </c>
      <c r="G4706" s="3" t="s">
        <v>11449</v>
      </c>
      <c r="H4706" s="54">
        <v>0</v>
      </c>
      <c r="I4706" s="16">
        <v>470000000</v>
      </c>
      <c r="J4706" s="16" t="s">
        <v>229</v>
      </c>
      <c r="K4706" s="57" t="s">
        <v>642</v>
      </c>
      <c r="L4706" s="12" t="s">
        <v>404</v>
      </c>
      <c r="M4706" s="162" t="s">
        <v>230</v>
      </c>
      <c r="N4706" s="8" t="s">
        <v>8899</v>
      </c>
      <c r="O4706" s="6" t="s">
        <v>622</v>
      </c>
      <c r="P4706" s="3">
        <v>796</v>
      </c>
      <c r="Q4706" s="27" t="s">
        <v>234</v>
      </c>
      <c r="R4706" s="26">
        <v>2</v>
      </c>
      <c r="S4706" s="59">
        <v>85893.5</v>
      </c>
      <c r="T4706" s="4">
        <f>R4706*S4706</f>
        <v>171787</v>
      </c>
      <c r="U4706" s="4">
        <f>T4706*1.12</f>
        <v>192401.44000000003</v>
      </c>
      <c r="V4706" s="3"/>
      <c r="W4706" s="3">
        <v>2014</v>
      </c>
      <c r="X4706" s="3"/>
    </row>
    <row r="4707" spans="1:24" ht="76.5">
      <c r="A4707" s="3" t="s">
        <v>10624</v>
      </c>
      <c r="B4707" s="6" t="s">
        <v>361</v>
      </c>
      <c r="C4707" s="6" t="s">
        <v>5698</v>
      </c>
      <c r="D4707" s="6" t="s">
        <v>5699</v>
      </c>
      <c r="E4707" s="6" t="s">
        <v>5183</v>
      </c>
      <c r="F4707" s="130" t="s">
        <v>5701</v>
      </c>
      <c r="G4707" s="3" t="s">
        <v>11449</v>
      </c>
      <c r="H4707" s="54">
        <v>0</v>
      </c>
      <c r="I4707" s="16">
        <v>470000000</v>
      </c>
      <c r="J4707" s="16" t="s">
        <v>229</v>
      </c>
      <c r="K4707" s="57" t="s">
        <v>641</v>
      </c>
      <c r="L4707" s="183" t="s">
        <v>364</v>
      </c>
      <c r="M4707" s="162" t="s">
        <v>230</v>
      </c>
      <c r="N4707" s="8" t="s">
        <v>8899</v>
      </c>
      <c r="O4707" s="6" t="s">
        <v>622</v>
      </c>
      <c r="P4707" s="3">
        <v>796</v>
      </c>
      <c r="Q4707" s="27" t="s">
        <v>234</v>
      </c>
      <c r="R4707" s="26">
        <v>4</v>
      </c>
      <c r="S4707" s="59">
        <v>85893.5</v>
      </c>
      <c r="T4707" s="4">
        <v>0</v>
      </c>
      <c r="U4707" s="4">
        <f t="shared" si="218"/>
        <v>0</v>
      </c>
      <c r="V4707" s="3"/>
      <c r="W4707" s="3">
        <v>2014</v>
      </c>
      <c r="X4707" s="3">
        <v>11.12</v>
      </c>
    </row>
    <row r="4708" spans="1:24" ht="76.5">
      <c r="A4708" s="3" t="s">
        <v>13344</v>
      </c>
      <c r="B4708" s="6" t="s">
        <v>361</v>
      </c>
      <c r="C4708" s="6" t="s">
        <v>5698</v>
      </c>
      <c r="D4708" s="6" t="s">
        <v>5699</v>
      </c>
      <c r="E4708" s="6" t="s">
        <v>5183</v>
      </c>
      <c r="F4708" s="130" t="s">
        <v>5701</v>
      </c>
      <c r="G4708" s="3" t="s">
        <v>11449</v>
      </c>
      <c r="H4708" s="54">
        <v>0</v>
      </c>
      <c r="I4708" s="16">
        <v>470000000</v>
      </c>
      <c r="J4708" s="16" t="s">
        <v>229</v>
      </c>
      <c r="K4708" s="57" t="s">
        <v>642</v>
      </c>
      <c r="L4708" s="12" t="s">
        <v>404</v>
      </c>
      <c r="M4708" s="162" t="s">
        <v>230</v>
      </c>
      <c r="N4708" s="8" t="s">
        <v>8899</v>
      </c>
      <c r="O4708" s="6" t="s">
        <v>622</v>
      </c>
      <c r="P4708" s="3">
        <v>796</v>
      </c>
      <c r="Q4708" s="27" t="s">
        <v>234</v>
      </c>
      <c r="R4708" s="26">
        <v>4</v>
      </c>
      <c r="S4708" s="59">
        <v>85893.5</v>
      </c>
      <c r="T4708" s="4">
        <f>R4708*S4708</f>
        <v>343574</v>
      </c>
      <c r="U4708" s="4">
        <f>T4708*1.12</f>
        <v>384802.88000000006</v>
      </c>
      <c r="V4708" s="3"/>
      <c r="W4708" s="3">
        <v>2014</v>
      </c>
      <c r="X4708" s="3"/>
    </row>
    <row r="4709" spans="1:24" ht="76.5">
      <c r="A4709" s="3" t="s">
        <v>10625</v>
      </c>
      <c r="B4709" s="6" t="s">
        <v>361</v>
      </c>
      <c r="C4709" s="6" t="s">
        <v>5702</v>
      </c>
      <c r="D4709" s="6" t="s">
        <v>5703</v>
      </c>
      <c r="E4709" s="6" t="s">
        <v>5183</v>
      </c>
      <c r="F4709" s="130" t="s">
        <v>5704</v>
      </c>
      <c r="G4709" s="3" t="s">
        <v>11449</v>
      </c>
      <c r="H4709" s="54">
        <v>0</v>
      </c>
      <c r="I4709" s="16">
        <v>470000000</v>
      </c>
      <c r="J4709" s="16" t="s">
        <v>229</v>
      </c>
      <c r="K4709" s="57" t="s">
        <v>641</v>
      </c>
      <c r="L4709" s="183" t="s">
        <v>364</v>
      </c>
      <c r="M4709" s="162" t="s">
        <v>230</v>
      </c>
      <c r="N4709" s="8" t="s">
        <v>8899</v>
      </c>
      <c r="O4709" s="6" t="s">
        <v>622</v>
      </c>
      <c r="P4709" s="3">
        <v>796</v>
      </c>
      <c r="Q4709" s="27" t="s">
        <v>234</v>
      </c>
      <c r="R4709" s="26">
        <v>6</v>
      </c>
      <c r="S4709" s="59">
        <v>25932.500000000004</v>
      </c>
      <c r="T4709" s="4">
        <v>0</v>
      </c>
      <c r="U4709" s="4">
        <f t="shared" si="218"/>
        <v>0</v>
      </c>
      <c r="V4709" s="3"/>
      <c r="W4709" s="3">
        <v>2014</v>
      </c>
      <c r="X4709" s="3">
        <v>11.12</v>
      </c>
    </row>
    <row r="4710" spans="1:24" ht="76.5">
      <c r="A4710" s="3" t="s">
        <v>13345</v>
      </c>
      <c r="B4710" s="6" t="s">
        <v>361</v>
      </c>
      <c r="C4710" s="6" t="s">
        <v>5702</v>
      </c>
      <c r="D4710" s="6" t="s">
        <v>5703</v>
      </c>
      <c r="E4710" s="6" t="s">
        <v>5183</v>
      </c>
      <c r="F4710" s="130" t="s">
        <v>5704</v>
      </c>
      <c r="G4710" s="3" t="s">
        <v>11449</v>
      </c>
      <c r="H4710" s="54">
        <v>0</v>
      </c>
      <c r="I4710" s="16">
        <v>470000000</v>
      </c>
      <c r="J4710" s="16" t="s">
        <v>229</v>
      </c>
      <c r="K4710" s="57" t="s">
        <v>642</v>
      </c>
      <c r="L4710" s="12" t="s">
        <v>404</v>
      </c>
      <c r="M4710" s="162" t="s">
        <v>230</v>
      </c>
      <c r="N4710" s="8" t="s">
        <v>8899</v>
      </c>
      <c r="O4710" s="6" t="s">
        <v>622</v>
      </c>
      <c r="P4710" s="3">
        <v>796</v>
      </c>
      <c r="Q4710" s="27" t="s">
        <v>234</v>
      </c>
      <c r="R4710" s="26">
        <v>6</v>
      </c>
      <c r="S4710" s="59">
        <v>25932.500000000004</v>
      </c>
      <c r="T4710" s="4">
        <f>R4710*S4710</f>
        <v>155595.00000000003</v>
      </c>
      <c r="U4710" s="4">
        <f>T4710*1.12</f>
        <v>174266.40000000005</v>
      </c>
      <c r="V4710" s="3"/>
      <c r="W4710" s="3">
        <v>2014</v>
      </c>
      <c r="X4710" s="3"/>
    </row>
    <row r="4711" spans="1:24" ht="76.5">
      <c r="A4711" s="3" t="s">
        <v>10626</v>
      </c>
      <c r="B4711" s="6" t="s">
        <v>361</v>
      </c>
      <c r="C4711" s="6" t="s">
        <v>5705</v>
      </c>
      <c r="D4711" s="6" t="s">
        <v>5706</v>
      </c>
      <c r="E4711" s="6" t="s">
        <v>5707</v>
      </c>
      <c r="F4711" s="130" t="s">
        <v>8091</v>
      </c>
      <c r="G4711" s="3" t="s">
        <v>11449</v>
      </c>
      <c r="H4711" s="54">
        <v>0</v>
      </c>
      <c r="I4711" s="16">
        <v>470000000</v>
      </c>
      <c r="J4711" s="16" t="s">
        <v>229</v>
      </c>
      <c r="K4711" s="57" t="s">
        <v>641</v>
      </c>
      <c r="L4711" s="183" t="s">
        <v>364</v>
      </c>
      <c r="M4711" s="162" t="s">
        <v>230</v>
      </c>
      <c r="N4711" s="8" t="s">
        <v>8899</v>
      </c>
      <c r="O4711" s="6" t="s">
        <v>622</v>
      </c>
      <c r="P4711" s="3">
        <v>796</v>
      </c>
      <c r="Q4711" s="27" t="s">
        <v>234</v>
      </c>
      <c r="R4711" s="26">
        <v>6</v>
      </c>
      <c r="S4711" s="59">
        <v>17325</v>
      </c>
      <c r="T4711" s="4">
        <v>0</v>
      </c>
      <c r="U4711" s="4">
        <f t="shared" si="218"/>
        <v>0</v>
      </c>
      <c r="V4711" s="3"/>
      <c r="W4711" s="3">
        <v>2014</v>
      </c>
      <c r="X4711" s="3">
        <v>11.12</v>
      </c>
    </row>
    <row r="4712" spans="1:24" ht="76.5">
      <c r="A4712" s="3" t="s">
        <v>13346</v>
      </c>
      <c r="B4712" s="6" t="s">
        <v>361</v>
      </c>
      <c r="C4712" s="6" t="s">
        <v>5705</v>
      </c>
      <c r="D4712" s="6" t="s">
        <v>5706</v>
      </c>
      <c r="E4712" s="6" t="s">
        <v>5707</v>
      </c>
      <c r="F4712" s="130" t="s">
        <v>8091</v>
      </c>
      <c r="G4712" s="3" t="s">
        <v>11449</v>
      </c>
      <c r="H4712" s="54">
        <v>0</v>
      </c>
      <c r="I4712" s="16">
        <v>470000000</v>
      </c>
      <c r="J4712" s="16" t="s">
        <v>229</v>
      </c>
      <c r="K4712" s="57" t="s">
        <v>642</v>
      </c>
      <c r="L4712" s="12" t="s">
        <v>404</v>
      </c>
      <c r="M4712" s="162" t="s">
        <v>230</v>
      </c>
      <c r="N4712" s="8" t="s">
        <v>8899</v>
      </c>
      <c r="O4712" s="6" t="s">
        <v>622</v>
      </c>
      <c r="P4712" s="3">
        <v>796</v>
      </c>
      <c r="Q4712" s="27" t="s">
        <v>234</v>
      </c>
      <c r="R4712" s="26">
        <v>6</v>
      </c>
      <c r="S4712" s="59">
        <v>17325</v>
      </c>
      <c r="T4712" s="4">
        <f>R4712*S4712</f>
        <v>103950</v>
      </c>
      <c r="U4712" s="4">
        <f>T4712*1.12</f>
        <v>116424.00000000001</v>
      </c>
      <c r="V4712" s="3"/>
      <c r="W4712" s="3">
        <v>2014</v>
      </c>
      <c r="X4712" s="3"/>
    </row>
    <row r="4713" spans="1:24" ht="76.5">
      <c r="A4713" s="3" t="s">
        <v>10627</v>
      </c>
      <c r="B4713" s="6" t="s">
        <v>361</v>
      </c>
      <c r="C4713" s="6" t="s">
        <v>5708</v>
      </c>
      <c r="D4713" s="6" t="s">
        <v>5709</v>
      </c>
      <c r="E4713" s="6" t="s">
        <v>5332</v>
      </c>
      <c r="F4713" s="130" t="s">
        <v>8092</v>
      </c>
      <c r="G4713" s="3" t="s">
        <v>11449</v>
      </c>
      <c r="H4713" s="54">
        <v>0</v>
      </c>
      <c r="I4713" s="16">
        <v>470000000</v>
      </c>
      <c r="J4713" s="16" t="s">
        <v>229</v>
      </c>
      <c r="K4713" s="57" t="s">
        <v>641</v>
      </c>
      <c r="L4713" s="183" t="s">
        <v>364</v>
      </c>
      <c r="M4713" s="162" t="s">
        <v>230</v>
      </c>
      <c r="N4713" s="8" t="s">
        <v>8899</v>
      </c>
      <c r="O4713" s="6" t="s">
        <v>622</v>
      </c>
      <c r="P4713" s="3">
        <v>796</v>
      </c>
      <c r="Q4713" s="27" t="s">
        <v>234</v>
      </c>
      <c r="R4713" s="26">
        <v>6</v>
      </c>
      <c r="S4713" s="59">
        <v>7210.5000000000009</v>
      </c>
      <c r="T4713" s="4">
        <v>0</v>
      </c>
      <c r="U4713" s="4">
        <f t="shared" si="218"/>
        <v>0</v>
      </c>
      <c r="V4713" s="3"/>
      <c r="W4713" s="3">
        <v>2014</v>
      </c>
      <c r="X4713" s="3">
        <v>11.12</v>
      </c>
    </row>
    <row r="4714" spans="1:24" ht="76.5">
      <c r="A4714" s="3" t="s">
        <v>13347</v>
      </c>
      <c r="B4714" s="6" t="s">
        <v>361</v>
      </c>
      <c r="C4714" s="6" t="s">
        <v>5708</v>
      </c>
      <c r="D4714" s="6" t="s">
        <v>5709</v>
      </c>
      <c r="E4714" s="6" t="s">
        <v>5332</v>
      </c>
      <c r="F4714" s="130" t="s">
        <v>8092</v>
      </c>
      <c r="G4714" s="3" t="s">
        <v>11449</v>
      </c>
      <c r="H4714" s="54">
        <v>0</v>
      </c>
      <c r="I4714" s="16">
        <v>470000000</v>
      </c>
      <c r="J4714" s="16" t="s">
        <v>229</v>
      </c>
      <c r="K4714" s="57" t="s">
        <v>642</v>
      </c>
      <c r="L4714" s="12" t="s">
        <v>404</v>
      </c>
      <c r="M4714" s="162" t="s">
        <v>230</v>
      </c>
      <c r="N4714" s="8" t="s">
        <v>8899</v>
      </c>
      <c r="O4714" s="6" t="s">
        <v>622</v>
      </c>
      <c r="P4714" s="3">
        <v>796</v>
      </c>
      <c r="Q4714" s="27" t="s">
        <v>234</v>
      </c>
      <c r="R4714" s="26">
        <v>6</v>
      </c>
      <c r="S4714" s="59">
        <v>7210.5000000000009</v>
      </c>
      <c r="T4714" s="4">
        <f>R4714*S4714</f>
        <v>43263.000000000007</v>
      </c>
      <c r="U4714" s="4">
        <f>T4714*1.12</f>
        <v>48454.560000000012</v>
      </c>
      <c r="V4714" s="3"/>
      <c r="W4714" s="3">
        <v>2014</v>
      </c>
      <c r="X4714" s="3"/>
    </row>
    <row r="4715" spans="1:24" ht="76.5">
      <c r="A4715" s="3" t="s">
        <v>10628</v>
      </c>
      <c r="B4715" s="6" t="s">
        <v>361</v>
      </c>
      <c r="C4715" s="6" t="s">
        <v>5708</v>
      </c>
      <c r="D4715" s="6" t="s">
        <v>5709</v>
      </c>
      <c r="E4715" s="6" t="s">
        <v>5332</v>
      </c>
      <c r="F4715" s="130" t="s">
        <v>8093</v>
      </c>
      <c r="G4715" s="3" t="s">
        <v>11449</v>
      </c>
      <c r="H4715" s="54">
        <v>0</v>
      </c>
      <c r="I4715" s="16">
        <v>470000000</v>
      </c>
      <c r="J4715" s="16" t="s">
        <v>229</v>
      </c>
      <c r="K4715" s="57" t="s">
        <v>641</v>
      </c>
      <c r="L4715" s="183" t="s">
        <v>364</v>
      </c>
      <c r="M4715" s="162" t="s">
        <v>230</v>
      </c>
      <c r="N4715" s="8" t="s">
        <v>8899</v>
      </c>
      <c r="O4715" s="6" t="s">
        <v>622</v>
      </c>
      <c r="P4715" s="3">
        <v>796</v>
      </c>
      <c r="Q4715" s="27" t="s">
        <v>234</v>
      </c>
      <c r="R4715" s="26">
        <v>6</v>
      </c>
      <c r="S4715" s="59">
        <v>6831.0000000000009</v>
      </c>
      <c r="T4715" s="4">
        <v>0</v>
      </c>
      <c r="U4715" s="4">
        <f t="shared" si="218"/>
        <v>0</v>
      </c>
      <c r="V4715" s="3"/>
      <c r="W4715" s="3">
        <v>2014</v>
      </c>
      <c r="X4715" s="3">
        <v>11.12</v>
      </c>
    </row>
    <row r="4716" spans="1:24" ht="76.5">
      <c r="A4716" s="3" t="s">
        <v>13348</v>
      </c>
      <c r="B4716" s="6" t="s">
        <v>361</v>
      </c>
      <c r="C4716" s="6" t="s">
        <v>5708</v>
      </c>
      <c r="D4716" s="6" t="s">
        <v>5709</v>
      </c>
      <c r="E4716" s="6" t="s">
        <v>5332</v>
      </c>
      <c r="F4716" s="130" t="s">
        <v>8093</v>
      </c>
      <c r="G4716" s="3" t="s">
        <v>11449</v>
      </c>
      <c r="H4716" s="54">
        <v>0</v>
      </c>
      <c r="I4716" s="16">
        <v>470000000</v>
      </c>
      <c r="J4716" s="16" t="s">
        <v>229</v>
      </c>
      <c r="K4716" s="57" t="s">
        <v>642</v>
      </c>
      <c r="L4716" s="12" t="s">
        <v>404</v>
      </c>
      <c r="M4716" s="162" t="s">
        <v>230</v>
      </c>
      <c r="N4716" s="8" t="s">
        <v>8899</v>
      </c>
      <c r="O4716" s="6" t="s">
        <v>622</v>
      </c>
      <c r="P4716" s="3">
        <v>796</v>
      </c>
      <c r="Q4716" s="27" t="s">
        <v>234</v>
      </c>
      <c r="R4716" s="26">
        <v>6</v>
      </c>
      <c r="S4716" s="59">
        <v>6831.0000000000009</v>
      </c>
      <c r="T4716" s="4">
        <v>0</v>
      </c>
      <c r="U4716" s="4">
        <f>T4716*1.12</f>
        <v>0</v>
      </c>
      <c r="V4716" s="3"/>
      <c r="W4716" s="3">
        <v>2014</v>
      </c>
      <c r="X4716" s="3" t="s">
        <v>14785</v>
      </c>
    </row>
    <row r="4717" spans="1:24" ht="76.5">
      <c r="A4717" s="3" t="s">
        <v>16889</v>
      </c>
      <c r="B4717" s="6" t="s">
        <v>361</v>
      </c>
      <c r="C4717" s="6" t="s">
        <v>5708</v>
      </c>
      <c r="D4717" s="6" t="s">
        <v>5709</v>
      </c>
      <c r="E4717" s="6" t="s">
        <v>5332</v>
      </c>
      <c r="F4717" s="130" t="s">
        <v>8093</v>
      </c>
      <c r="G4717" s="3" t="s">
        <v>11449</v>
      </c>
      <c r="H4717" s="54">
        <v>0</v>
      </c>
      <c r="I4717" s="16">
        <v>470000000</v>
      </c>
      <c r="J4717" s="16" t="s">
        <v>229</v>
      </c>
      <c r="K4717" s="57" t="s">
        <v>8950</v>
      </c>
      <c r="L4717" s="12" t="s">
        <v>404</v>
      </c>
      <c r="M4717" s="162" t="s">
        <v>230</v>
      </c>
      <c r="N4717" s="8" t="s">
        <v>8899</v>
      </c>
      <c r="O4717" s="6" t="s">
        <v>622</v>
      </c>
      <c r="P4717" s="3">
        <v>796</v>
      </c>
      <c r="Q4717" s="27" t="s">
        <v>234</v>
      </c>
      <c r="R4717" s="26">
        <v>6</v>
      </c>
      <c r="S4717" s="59">
        <v>8197.2000000000007</v>
      </c>
      <c r="T4717" s="4">
        <v>0</v>
      </c>
      <c r="U4717" s="4">
        <f>T4717*1.12</f>
        <v>0</v>
      </c>
      <c r="V4717" s="3"/>
      <c r="W4717" s="3">
        <v>2014</v>
      </c>
      <c r="X4717" s="3">
        <v>11</v>
      </c>
    </row>
    <row r="4718" spans="1:24" ht="76.5">
      <c r="A4718" s="3" t="s">
        <v>18797</v>
      </c>
      <c r="B4718" s="6" t="s">
        <v>361</v>
      </c>
      <c r="C4718" s="6" t="s">
        <v>5708</v>
      </c>
      <c r="D4718" s="6" t="s">
        <v>5709</v>
      </c>
      <c r="E4718" s="6" t="s">
        <v>5332</v>
      </c>
      <c r="F4718" s="130" t="s">
        <v>8093</v>
      </c>
      <c r="G4718" s="3" t="s">
        <v>11449</v>
      </c>
      <c r="H4718" s="54">
        <v>0</v>
      </c>
      <c r="I4718" s="16">
        <v>470000000</v>
      </c>
      <c r="J4718" s="16" t="s">
        <v>229</v>
      </c>
      <c r="K4718" s="57" t="s">
        <v>18437</v>
      </c>
      <c r="L4718" s="12" t="s">
        <v>404</v>
      </c>
      <c r="M4718" s="162" t="s">
        <v>230</v>
      </c>
      <c r="N4718" s="8" t="s">
        <v>8899</v>
      </c>
      <c r="O4718" s="6" t="s">
        <v>622</v>
      </c>
      <c r="P4718" s="3">
        <v>796</v>
      </c>
      <c r="Q4718" s="27" t="s">
        <v>234</v>
      </c>
      <c r="R4718" s="26">
        <v>6</v>
      </c>
      <c r="S4718" s="59">
        <v>8197.2000000000007</v>
      </c>
      <c r="T4718" s="4">
        <f>R4718*S4718</f>
        <v>49183.200000000004</v>
      </c>
      <c r="U4718" s="4">
        <f>T4718*1.12</f>
        <v>55085.184000000008</v>
      </c>
      <c r="V4718" s="3"/>
      <c r="W4718" s="3">
        <v>2014</v>
      </c>
      <c r="X4718" s="3"/>
    </row>
    <row r="4719" spans="1:24" ht="76.5">
      <c r="A4719" s="3" t="s">
        <v>10629</v>
      </c>
      <c r="B4719" s="6" t="s">
        <v>361</v>
      </c>
      <c r="C4719" s="6" t="s">
        <v>5619</v>
      </c>
      <c r="D4719" s="6" t="s">
        <v>5401</v>
      </c>
      <c r="E4719" s="6" t="s">
        <v>5620</v>
      </c>
      <c r="F4719" s="130" t="s">
        <v>8094</v>
      </c>
      <c r="G4719" s="3" t="s">
        <v>11449</v>
      </c>
      <c r="H4719" s="54">
        <v>0</v>
      </c>
      <c r="I4719" s="16">
        <v>470000000</v>
      </c>
      <c r="J4719" s="16" t="s">
        <v>229</v>
      </c>
      <c r="K4719" s="57" t="s">
        <v>641</v>
      </c>
      <c r="L4719" s="183" t="s">
        <v>364</v>
      </c>
      <c r="M4719" s="162" t="s">
        <v>230</v>
      </c>
      <c r="N4719" s="8" t="s">
        <v>8899</v>
      </c>
      <c r="O4719" s="6" t="s">
        <v>622</v>
      </c>
      <c r="P4719" s="3">
        <v>796</v>
      </c>
      <c r="Q4719" s="27" t="s">
        <v>234</v>
      </c>
      <c r="R4719" s="26">
        <v>8</v>
      </c>
      <c r="S4719" s="59">
        <v>23529.000000000004</v>
      </c>
      <c r="T4719" s="4">
        <v>0</v>
      </c>
      <c r="U4719" s="4">
        <f t="shared" si="218"/>
        <v>0</v>
      </c>
      <c r="V4719" s="3"/>
      <c r="W4719" s="3">
        <v>2014</v>
      </c>
      <c r="X4719" s="3">
        <v>11.12</v>
      </c>
    </row>
    <row r="4720" spans="1:24" ht="76.5">
      <c r="A4720" s="3" t="s">
        <v>13349</v>
      </c>
      <c r="B4720" s="6" t="s">
        <v>361</v>
      </c>
      <c r="C4720" s="6" t="s">
        <v>5619</v>
      </c>
      <c r="D4720" s="6" t="s">
        <v>5401</v>
      </c>
      <c r="E4720" s="6" t="s">
        <v>5620</v>
      </c>
      <c r="F4720" s="130" t="s">
        <v>8094</v>
      </c>
      <c r="G4720" s="3" t="s">
        <v>11449</v>
      </c>
      <c r="H4720" s="54">
        <v>0</v>
      </c>
      <c r="I4720" s="16">
        <v>470000000</v>
      </c>
      <c r="J4720" s="16" t="s">
        <v>229</v>
      </c>
      <c r="K4720" s="57" t="s">
        <v>642</v>
      </c>
      <c r="L4720" s="12" t="s">
        <v>404</v>
      </c>
      <c r="M4720" s="162" t="s">
        <v>230</v>
      </c>
      <c r="N4720" s="8" t="s">
        <v>8899</v>
      </c>
      <c r="O4720" s="6" t="s">
        <v>622</v>
      </c>
      <c r="P4720" s="3">
        <v>796</v>
      </c>
      <c r="Q4720" s="27" t="s">
        <v>234</v>
      </c>
      <c r="R4720" s="26">
        <v>8</v>
      </c>
      <c r="S4720" s="59">
        <v>23529.000000000004</v>
      </c>
      <c r="T4720" s="4">
        <f>R4720*S4720</f>
        <v>188232.00000000003</v>
      </c>
      <c r="U4720" s="4">
        <f>T4720*1.12</f>
        <v>210819.84000000005</v>
      </c>
      <c r="V4720" s="3"/>
      <c r="W4720" s="3">
        <v>2014</v>
      </c>
      <c r="X4720" s="3"/>
    </row>
    <row r="4721" spans="1:24" ht="76.5">
      <c r="A4721" s="3" t="s">
        <v>10630</v>
      </c>
      <c r="B4721" s="6" t="s">
        <v>361</v>
      </c>
      <c r="C4721" s="6" t="s">
        <v>5710</v>
      </c>
      <c r="D4721" s="6" t="s">
        <v>5711</v>
      </c>
      <c r="E4721" s="6" t="s">
        <v>5332</v>
      </c>
      <c r="F4721" s="130" t="s">
        <v>8095</v>
      </c>
      <c r="G4721" s="3" t="s">
        <v>11449</v>
      </c>
      <c r="H4721" s="54">
        <v>0</v>
      </c>
      <c r="I4721" s="16">
        <v>470000000</v>
      </c>
      <c r="J4721" s="16" t="s">
        <v>229</v>
      </c>
      <c r="K4721" s="57" t="s">
        <v>641</v>
      </c>
      <c r="L4721" s="183" t="s">
        <v>364</v>
      </c>
      <c r="M4721" s="162" t="s">
        <v>230</v>
      </c>
      <c r="N4721" s="8" t="s">
        <v>8899</v>
      </c>
      <c r="O4721" s="6" t="s">
        <v>622</v>
      </c>
      <c r="P4721" s="3">
        <v>839</v>
      </c>
      <c r="Q4721" s="26" t="s">
        <v>239</v>
      </c>
      <c r="R4721" s="26">
        <v>8</v>
      </c>
      <c r="S4721" s="59">
        <v>379.50000000000006</v>
      </c>
      <c r="T4721" s="4">
        <v>0</v>
      </c>
      <c r="U4721" s="4">
        <f t="shared" si="218"/>
        <v>0</v>
      </c>
      <c r="V4721" s="3"/>
      <c r="W4721" s="3">
        <v>2014</v>
      </c>
      <c r="X4721" s="3">
        <v>11.12</v>
      </c>
    </row>
    <row r="4722" spans="1:24" ht="76.5">
      <c r="A4722" s="3" t="s">
        <v>13350</v>
      </c>
      <c r="B4722" s="6" t="s">
        <v>361</v>
      </c>
      <c r="C4722" s="6" t="s">
        <v>5710</v>
      </c>
      <c r="D4722" s="6" t="s">
        <v>5711</v>
      </c>
      <c r="E4722" s="6" t="s">
        <v>5332</v>
      </c>
      <c r="F4722" s="130" t="s">
        <v>8095</v>
      </c>
      <c r="G4722" s="3" t="s">
        <v>11449</v>
      </c>
      <c r="H4722" s="54">
        <v>0</v>
      </c>
      <c r="I4722" s="16">
        <v>470000000</v>
      </c>
      <c r="J4722" s="16" t="s">
        <v>229</v>
      </c>
      <c r="K4722" s="57" t="s">
        <v>642</v>
      </c>
      <c r="L4722" s="12" t="s">
        <v>404</v>
      </c>
      <c r="M4722" s="162" t="s">
        <v>230</v>
      </c>
      <c r="N4722" s="8" t="s">
        <v>8899</v>
      </c>
      <c r="O4722" s="6" t="s">
        <v>622</v>
      </c>
      <c r="P4722" s="3">
        <v>839</v>
      </c>
      <c r="Q4722" s="26" t="s">
        <v>239</v>
      </c>
      <c r="R4722" s="26">
        <v>8</v>
      </c>
      <c r="S4722" s="59">
        <v>379.50000000000006</v>
      </c>
      <c r="T4722" s="4">
        <f>R4722*S4722</f>
        <v>3036.0000000000005</v>
      </c>
      <c r="U4722" s="4">
        <f>T4722*1.12</f>
        <v>3400.3200000000006</v>
      </c>
      <c r="V4722" s="3"/>
      <c r="W4722" s="3">
        <v>2014</v>
      </c>
      <c r="X4722" s="3"/>
    </row>
    <row r="4723" spans="1:24" ht="76.5">
      <c r="A4723" s="3" t="s">
        <v>10631</v>
      </c>
      <c r="B4723" s="6" t="s">
        <v>361</v>
      </c>
      <c r="C4723" s="6" t="s">
        <v>5712</v>
      </c>
      <c r="D4723" s="6" t="s">
        <v>5713</v>
      </c>
      <c r="E4723" s="6" t="s">
        <v>3115</v>
      </c>
      <c r="F4723" s="130" t="s">
        <v>8096</v>
      </c>
      <c r="G4723" s="3" t="s">
        <v>11449</v>
      </c>
      <c r="H4723" s="54">
        <v>0</v>
      </c>
      <c r="I4723" s="16">
        <v>470000000</v>
      </c>
      <c r="J4723" s="16" t="s">
        <v>229</v>
      </c>
      <c r="K4723" s="57" t="s">
        <v>641</v>
      </c>
      <c r="L4723" s="183" t="s">
        <v>364</v>
      </c>
      <c r="M4723" s="162" t="s">
        <v>230</v>
      </c>
      <c r="N4723" s="8" t="s">
        <v>8899</v>
      </c>
      <c r="O4723" s="6" t="s">
        <v>622</v>
      </c>
      <c r="P4723" s="3">
        <v>796</v>
      </c>
      <c r="Q4723" s="27" t="s">
        <v>234</v>
      </c>
      <c r="R4723" s="26">
        <v>8</v>
      </c>
      <c r="S4723" s="59">
        <v>2277</v>
      </c>
      <c r="T4723" s="4">
        <v>0</v>
      </c>
      <c r="U4723" s="4">
        <f t="shared" si="218"/>
        <v>0</v>
      </c>
      <c r="V4723" s="3"/>
      <c r="W4723" s="3">
        <v>2014</v>
      </c>
      <c r="X4723" s="3">
        <v>11.12</v>
      </c>
    </row>
    <row r="4724" spans="1:24" ht="76.5">
      <c r="A4724" s="3" t="s">
        <v>13351</v>
      </c>
      <c r="B4724" s="6" t="s">
        <v>361</v>
      </c>
      <c r="C4724" s="6" t="s">
        <v>5712</v>
      </c>
      <c r="D4724" s="6" t="s">
        <v>5713</v>
      </c>
      <c r="E4724" s="6" t="s">
        <v>3115</v>
      </c>
      <c r="F4724" s="130" t="s">
        <v>8096</v>
      </c>
      <c r="G4724" s="3" t="s">
        <v>11449</v>
      </c>
      <c r="H4724" s="54">
        <v>0</v>
      </c>
      <c r="I4724" s="16">
        <v>470000000</v>
      </c>
      <c r="J4724" s="16" t="s">
        <v>229</v>
      </c>
      <c r="K4724" s="57" t="s">
        <v>642</v>
      </c>
      <c r="L4724" s="12" t="s">
        <v>404</v>
      </c>
      <c r="M4724" s="162" t="s">
        <v>230</v>
      </c>
      <c r="N4724" s="8" t="s">
        <v>8899</v>
      </c>
      <c r="O4724" s="6" t="s">
        <v>622</v>
      </c>
      <c r="P4724" s="3">
        <v>796</v>
      </c>
      <c r="Q4724" s="27" t="s">
        <v>234</v>
      </c>
      <c r="R4724" s="26">
        <v>8</v>
      </c>
      <c r="S4724" s="59">
        <v>2277</v>
      </c>
      <c r="T4724" s="4">
        <f>R4724*S4724</f>
        <v>18216</v>
      </c>
      <c r="U4724" s="4">
        <f>T4724*1.12</f>
        <v>20401.920000000002</v>
      </c>
      <c r="V4724" s="3"/>
      <c r="W4724" s="3">
        <v>2014</v>
      </c>
      <c r="X4724" s="3"/>
    </row>
    <row r="4725" spans="1:24" ht="76.5">
      <c r="A4725" s="3" t="s">
        <v>10632</v>
      </c>
      <c r="B4725" s="6" t="s">
        <v>361</v>
      </c>
      <c r="C4725" s="6" t="s">
        <v>5356</v>
      </c>
      <c r="D4725" s="6" t="s">
        <v>5357</v>
      </c>
      <c r="E4725" s="6" t="s">
        <v>5358</v>
      </c>
      <c r="F4725" s="130" t="s">
        <v>8097</v>
      </c>
      <c r="G4725" s="3" t="s">
        <v>11449</v>
      </c>
      <c r="H4725" s="54">
        <v>0</v>
      </c>
      <c r="I4725" s="16">
        <v>470000000</v>
      </c>
      <c r="J4725" s="16" t="s">
        <v>229</v>
      </c>
      <c r="K4725" s="57" t="s">
        <v>641</v>
      </c>
      <c r="L4725" s="183" t="s">
        <v>364</v>
      </c>
      <c r="M4725" s="162" t="s">
        <v>230</v>
      </c>
      <c r="N4725" s="8" t="s">
        <v>8899</v>
      </c>
      <c r="O4725" s="6" t="s">
        <v>622</v>
      </c>
      <c r="P4725" s="3">
        <v>839</v>
      </c>
      <c r="Q4725" s="26" t="s">
        <v>239</v>
      </c>
      <c r="R4725" s="26">
        <v>20</v>
      </c>
      <c r="S4725" s="59">
        <v>1518.0000000000002</v>
      </c>
      <c r="T4725" s="4">
        <v>0</v>
      </c>
      <c r="U4725" s="4">
        <f t="shared" ref="U4725:U4735" si="219">T4725*1.12</f>
        <v>0</v>
      </c>
      <c r="V4725" s="3"/>
      <c r="W4725" s="3">
        <v>2014</v>
      </c>
      <c r="X4725" s="3">
        <v>11.12</v>
      </c>
    </row>
    <row r="4726" spans="1:24" ht="76.5">
      <c r="A4726" s="3" t="s">
        <v>13352</v>
      </c>
      <c r="B4726" s="6" t="s">
        <v>361</v>
      </c>
      <c r="C4726" s="6" t="s">
        <v>5356</v>
      </c>
      <c r="D4726" s="6" t="s">
        <v>5357</v>
      </c>
      <c r="E4726" s="6" t="s">
        <v>5358</v>
      </c>
      <c r="F4726" s="130" t="s">
        <v>8097</v>
      </c>
      <c r="G4726" s="3" t="s">
        <v>11449</v>
      </c>
      <c r="H4726" s="54">
        <v>0</v>
      </c>
      <c r="I4726" s="16">
        <v>470000000</v>
      </c>
      <c r="J4726" s="16" t="s">
        <v>229</v>
      </c>
      <c r="K4726" s="57" t="s">
        <v>642</v>
      </c>
      <c r="L4726" s="12" t="s">
        <v>404</v>
      </c>
      <c r="M4726" s="162" t="s">
        <v>230</v>
      </c>
      <c r="N4726" s="8" t="s">
        <v>8899</v>
      </c>
      <c r="O4726" s="6" t="s">
        <v>622</v>
      </c>
      <c r="P4726" s="3">
        <v>839</v>
      </c>
      <c r="Q4726" s="26" t="s">
        <v>239</v>
      </c>
      <c r="R4726" s="26">
        <v>20</v>
      </c>
      <c r="S4726" s="59">
        <v>1518.0000000000002</v>
      </c>
      <c r="T4726" s="4">
        <f>R4726*S4726</f>
        <v>30360.000000000004</v>
      </c>
      <c r="U4726" s="4">
        <f>T4726*1.12</f>
        <v>34003.200000000004</v>
      </c>
      <c r="V4726" s="3"/>
      <c r="W4726" s="3">
        <v>2014</v>
      </c>
      <c r="X4726" s="3"/>
    </row>
    <row r="4727" spans="1:24" ht="76.5">
      <c r="A4727" s="3" t="s">
        <v>10633</v>
      </c>
      <c r="B4727" s="6" t="s">
        <v>361</v>
      </c>
      <c r="C4727" s="6" t="s">
        <v>5714</v>
      </c>
      <c r="D4727" s="6" t="s">
        <v>5715</v>
      </c>
      <c r="E4727" s="6" t="s">
        <v>5183</v>
      </c>
      <c r="F4727" s="130" t="s">
        <v>5716</v>
      </c>
      <c r="G4727" s="3" t="s">
        <v>11449</v>
      </c>
      <c r="H4727" s="54">
        <v>0</v>
      </c>
      <c r="I4727" s="16">
        <v>470000000</v>
      </c>
      <c r="J4727" s="16" t="s">
        <v>229</v>
      </c>
      <c r="K4727" s="57" t="s">
        <v>641</v>
      </c>
      <c r="L4727" s="183" t="s">
        <v>364</v>
      </c>
      <c r="M4727" s="162" t="s">
        <v>230</v>
      </c>
      <c r="N4727" s="8" t="s">
        <v>8899</v>
      </c>
      <c r="O4727" s="6" t="s">
        <v>622</v>
      </c>
      <c r="P4727" s="3">
        <v>796</v>
      </c>
      <c r="Q4727" s="27" t="s">
        <v>234</v>
      </c>
      <c r="R4727" s="26">
        <v>6</v>
      </c>
      <c r="S4727" s="59">
        <v>29854.000000000004</v>
      </c>
      <c r="T4727" s="4">
        <v>0</v>
      </c>
      <c r="U4727" s="4">
        <f t="shared" si="219"/>
        <v>0</v>
      </c>
      <c r="V4727" s="3"/>
      <c r="W4727" s="3">
        <v>2014</v>
      </c>
      <c r="X4727" s="3">
        <v>11.12</v>
      </c>
    </row>
    <row r="4728" spans="1:24" ht="76.5">
      <c r="A4728" s="3" t="s">
        <v>13353</v>
      </c>
      <c r="B4728" s="6" t="s">
        <v>361</v>
      </c>
      <c r="C4728" s="6" t="s">
        <v>5714</v>
      </c>
      <c r="D4728" s="6" t="s">
        <v>5715</v>
      </c>
      <c r="E4728" s="6" t="s">
        <v>5183</v>
      </c>
      <c r="F4728" s="130" t="s">
        <v>5716</v>
      </c>
      <c r="G4728" s="3" t="s">
        <v>11449</v>
      </c>
      <c r="H4728" s="54">
        <v>0</v>
      </c>
      <c r="I4728" s="16">
        <v>470000000</v>
      </c>
      <c r="J4728" s="16" t="s">
        <v>229</v>
      </c>
      <c r="K4728" s="57" t="s">
        <v>642</v>
      </c>
      <c r="L4728" s="12" t="s">
        <v>404</v>
      </c>
      <c r="M4728" s="162" t="s">
        <v>230</v>
      </c>
      <c r="N4728" s="8" t="s">
        <v>8899</v>
      </c>
      <c r="O4728" s="6" t="s">
        <v>622</v>
      </c>
      <c r="P4728" s="3">
        <v>796</v>
      </c>
      <c r="Q4728" s="27" t="s">
        <v>234</v>
      </c>
      <c r="R4728" s="26">
        <v>6</v>
      </c>
      <c r="S4728" s="59">
        <v>29854.000000000004</v>
      </c>
      <c r="T4728" s="4">
        <f>R4728*S4728</f>
        <v>179124.00000000003</v>
      </c>
      <c r="U4728" s="4">
        <f>T4728*1.12</f>
        <v>200618.88000000006</v>
      </c>
      <c r="V4728" s="3"/>
      <c r="W4728" s="3">
        <v>2014</v>
      </c>
      <c r="X4728" s="3"/>
    </row>
    <row r="4729" spans="1:24" ht="76.5">
      <c r="A4729" s="3" t="s">
        <v>10634</v>
      </c>
      <c r="B4729" s="6" t="s">
        <v>361</v>
      </c>
      <c r="C4729" s="6" t="s">
        <v>5461</v>
      </c>
      <c r="D4729" s="6" t="s">
        <v>5357</v>
      </c>
      <c r="E4729" s="6" t="s">
        <v>5462</v>
      </c>
      <c r="F4729" s="130" t="s">
        <v>5717</v>
      </c>
      <c r="G4729" s="3" t="s">
        <v>11449</v>
      </c>
      <c r="H4729" s="54">
        <v>0</v>
      </c>
      <c r="I4729" s="16">
        <v>470000000</v>
      </c>
      <c r="J4729" s="16" t="s">
        <v>229</v>
      </c>
      <c r="K4729" s="57" t="s">
        <v>641</v>
      </c>
      <c r="L4729" s="183" t="s">
        <v>364</v>
      </c>
      <c r="M4729" s="162" t="s">
        <v>230</v>
      </c>
      <c r="N4729" s="8" t="s">
        <v>8899</v>
      </c>
      <c r="O4729" s="6" t="s">
        <v>622</v>
      </c>
      <c r="P4729" s="3">
        <v>839</v>
      </c>
      <c r="Q4729" s="26" t="s">
        <v>239</v>
      </c>
      <c r="R4729" s="26">
        <v>12</v>
      </c>
      <c r="S4729" s="59">
        <v>442.75000000000006</v>
      </c>
      <c r="T4729" s="4">
        <v>0</v>
      </c>
      <c r="U4729" s="4">
        <f t="shared" si="219"/>
        <v>0</v>
      </c>
      <c r="V4729" s="3"/>
      <c r="W4729" s="3">
        <v>2014</v>
      </c>
      <c r="X4729" s="3">
        <v>11.12</v>
      </c>
    </row>
    <row r="4730" spans="1:24" ht="76.5">
      <c r="A4730" s="3" t="s">
        <v>13354</v>
      </c>
      <c r="B4730" s="6" t="s">
        <v>361</v>
      </c>
      <c r="C4730" s="6" t="s">
        <v>5461</v>
      </c>
      <c r="D4730" s="6" t="s">
        <v>5357</v>
      </c>
      <c r="E4730" s="6" t="s">
        <v>5462</v>
      </c>
      <c r="F4730" s="130" t="s">
        <v>5717</v>
      </c>
      <c r="G4730" s="3" t="s">
        <v>11449</v>
      </c>
      <c r="H4730" s="54">
        <v>0</v>
      </c>
      <c r="I4730" s="16">
        <v>470000000</v>
      </c>
      <c r="J4730" s="16" t="s">
        <v>229</v>
      </c>
      <c r="K4730" s="57" t="s">
        <v>642</v>
      </c>
      <c r="L4730" s="12" t="s">
        <v>404</v>
      </c>
      <c r="M4730" s="162" t="s">
        <v>230</v>
      </c>
      <c r="N4730" s="8" t="s">
        <v>8899</v>
      </c>
      <c r="O4730" s="6" t="s">
        <v>622</v>
      </c>
      <c r="P4730" s="3">
        <v>839</v>
      </c>
      <c r="Q4730" s="26" t="s">
        <v>239</v>
      </c>
      <c r="R4730" s="26">
        <v>12</v>
      </c>
      <c r="S4730" s="59">
        <v>442.75000000000006</v>
      </c>
      <c r="T4730" s="4">
        <f>R4730*S4730</f>
        <v>5313.0000000000009</v>
      </c>
      <c r="U4730" s="4">
        <f>T4730*1.12</f>
        <v>5950.5600000000013</v>
      </c>
      <c r="V4730" s="3"/>
      <c r="W4730" s="3">
        <v>2014</v>
      </c>
      <c r="X4730" s="3"/>
    </row>
    <row r="4731" spans="1:24" ht="76.5">
      <c r="A4731" s="3" t="s">
        <v>10635</v>
      </c>
      <c r="B4731" s="6" t="s">
        <v>361</v>
      </c>
      <c r="C4731" s="6" t="s">
        <v>5710</v>
      </c>
      <c r="D4731" s="6" t="s">
        <v>5711</v>
      </c>
      <c r="E4731" s="6" t="s">
        <v>5332</v>
      </c>
      <c r="F4731" s="130" t="s">
        <v>8098</v>
      </c>
      <c r="G4731" s="3" t="s">
        <v>11449</v>
      </c>
      <c r="H4731" s="54">
        <v>0</v>
      </c>
      <c r="I4731" s="16">
        <v>470000000</v>
      </c>
      <c r="J4731" s="16" t="s">
        <v>229</v>
      </c>
      <c r="K4731" s="57" t="s">
        <v>641</v>
      </c>
      <c r="L4731" s="183" t="s">
        <v>364</v>
      </c>
      <c r="M4731" s="162" t="s">
        <v>230</v>
      </c>
      <c r="N4731" s="8" t="s">
        <v>8899</v>
      </c>
      <c r="O4731" s="6" t="s">
        <v>622</v>
      </c>
      <c r="P4731" s="3">
        <v>796</v>
      </c>
      <c r="Q4731" s="27" t="s">
        <v>234</v>
      </c>
      <c r="R4731" s="26">
        <v>40</v>
      </c>
      <c r="S4731" s="59">
        <v>506.00000000000006</v>
      </c>
      <c r="T4731" s="4">
        <v>0</v>
      </c>
      <c r="U4731" s="4">
        <f t="shared" si="219"/>
        <v>0</v>
      </c>
      <c r="V4731" s="3"/>
      <c r="W4731" s="3">
        <v>2014</v>
      </c>
      <c r="X4731" s="3">
        <v>11.12</v>
      </c>
    </row>
    <row r="4732" spans="1:24" ht="76.5">
      <c r="A4732" s="3" t="s">
        <v>13355</v>
      </c>
      <c r="B4732" s="6" t="s">
        <v>361</v>
      </c>
      <c r="C4732" s="6" t="s">
        <v>5710</v>
      </c>
      <c r="D4732" s="6" t="s">
        <v>5711</v>
      </c>
      <c r="E4732" s="6" t="s">
        <v>5332</v>
      </c>
      <c r="F4732" s="130" t="s">
        <v>8098</v>
      </c>
      <c r="G4732" s="3" t="s">
        <v>11449</v>
      </c>
      <c r="H4732" s="54">
        <v>0</v>
      </c>
      <c r="I4732" s="16">
        <v>470000000</v>
      </c>
      <c r="J4732" s="16" t="s">
        <v>229</v>
      </c>
      <c r="K4732" s="57" t="s">
        <v>642</v>
      </c>
      <c r="L4732" s="12" t="s">
        <v>404</v>
      </c>
      <c r="M4732" s="162" t="s">
        <v>230</v>
      </c>
      <c r="N4732" s="8" t="s">
        <v>8899</v>
      </c>
      <c r="O4732" s="6" t="s">
        <v>622</v>
      </c>
      <c r="P4732" s="3">
        <v>796</v>
      </c>
      <c r="Q4732" s="27" t="s">
        <v>234</v>
      </c>
      <c r="R4732" s="26">
        <v>40</v>
      </c>
      <c r="S4732" s="59">
        <v>506.00000000000006</v>
      </c>
      <c r="T4732" s="4">
        <f>R4732*S4732</f>
        <v>20240.000000000004</v>
      </c>
      <c r="U4732" s="4">
        <f>T4732*1.12</f>
        <v>22668.800000000007</v>
      </c>
      <c r="V4732" s="3"/>
      <c r="W4732" s="3">
        <v>2014</v>
      </c>
      <c r="X4732" s="3"/>
    </row>
    <row r="4733" spans="1:24" ht="76.5">
      <c r="A4733" s="3" t="s">
        <v>10636</v>
      </c>
      <c r="B4733" s="6" t="s">
        <v>361</v>
      </c>
      <c r="C4733" s="6" t="s">
        <v>5705</v>
      </c>
      <c r="D4733" s="6" t="s">
        <v>5706</v>
      </c>
      <c r="E4733" s="6" t="s">
        <v>5707</v>
      </c>
      <c r="F4733" s="130" t="s">
        <v>8099</v>
      </c>
      <c r="G4733" s="3" t="s">
        <v>11449</v>
      </c>
      <c r="H4733" s="54">
        <v>0</v>
      </c>
      <c r="I4733" s="16">
        <v>470000000</v>
      </c>
      <c r="J4733" s="16" t="s">
        <v>229</v>
      </c>
      <c r="K4733" s="57" t="s">
        <v>641</v>
      </c>
      <c r="L4733" s="183" t="s">
        <v>364</v>
      </c>
      <c r="M4733" s="162" t="s">
        <v>230</v>
      </c>
      <c r="N4733" s="8" t="s">
        <v>8899</v>
      </c>
      <c r="O4733" s="6" t="s">
        <v>622</v>
      </c>
      <c r="P4733" s="3">
        <v>796</v>
      </c>
      <c r="Q4733" s="27" t="s">
        <v>234</v>
      </c>
      <c r="R4733" s="26">
        <v>10</v>
      </c>
      <c r="S4733" s="59">
        <v>5692.5000000000009</v>
      </c>
      <c r="T4733" s="4">
        <v>0</v>
      </c>
      <c r="U4733" s="4">
        <f t="shared" si="219"/>
        <v>0</v>
      </c>
      <c r="V4733" s="3"/>
      <c r="W4733" s="3">
        <v>2014</v>
      </c>
      <c r="X4733" s="3">
        <v>11.12</v>
      </c>
    </row>
    <row r="4734" spans="1:24" ht="76.5">
      <c r="A4734" s="3" t="s">
        <v>13356</v>
      </c>
      <c r="B4734" s="6" t="s">
        <v>361</v>
      </c>
      <c r="C4734" s="6" t="s">
        <v>5705</v>
      </c>
      <c r="D4734" s="6" t="s">
        <v>5706</v>
      </c>
      <c r="E4734" s="6" t="s">
        <v>5707</v>
      </c>
      <c r="F4734" s="130" t="s">
        <v>8099</v>
      </c>
      <c r="G4734" s="3" t="s">
        <v>11449</v>
      </c>
      <c r="H4734" s="54">
        <v>0</v>
      </c>
      <c r="I4734" s="16">
        <v>470000000</v>
      </c>
      <c r="J4734" s="16" t="s">
        <v>229</v>
      </c>
      <c r="K4734" s="57" t="s">
        <v>642</v>
      </c>
      <c r="L4734" s="12" t="s">
        <v>404</v>
      </c>
      <c r="M4734" s="162" t="s">
        <v>230</v>
      </c>
      <c r="N4734" s="8" t="s">
        <v>8899</v>
      </c>
      <c r="O4734" s="6" t="s">
        <v>622</v>
      </c>
      <c r="P4734" s="3">
        <v>796</v>
      </c>
      <c r="Q4734" s="27" t="s">
        <v>234</v>
      </c>
      <c r="R4734" s="26">
        <v>10</v>
      </c>
      <c r="S4734" s="59">
        <v>5692.5000000000009</v>
      </c>
      <c r="T4734" s="4">
        <f>R4734*S4734</f>
        <v>56925.000000000007</v>
      </c>
      <c r="U4734" s="4">
        <f>T4734*1.12</f>
        <v>63756.000000000015</v>
      </c>
      <c r="V4734" s="3"/>
      <c r="W4734" s="3">
        <v>2014</v>
      </c>
      <c r="X4734" s="3"/>
    </row>
    <row r="4735" spans="1:24" ht="76.5">
      <c r="A4735" s="3" t="s">
        <v>10637</v>
      </c>
      <c r="B4735" s="6" t="s">
        <v>361</v>
      </c>
      <c r="C4735" s="6" t="s">
        <v>5665</v>
      </c>
      <c r="D4735" s="6" t="s">
        <v>387</v>
      </c>
      <c r="E4735" s="6" t="s">
        <v>5666</v>
      </c>
      <c r="F4735" s="130" t="s">
        <v>8069</v>
      </c>
      <c r="G4735" s="3" t="s">
        <v>11449</v>
      </c>
      <c r="H4735" s="54">
        <v>0</v>
      </c>
      <c r="I4735" s="16">
        <v>470000000</v>
      </c>
      <c r="J4735" s="16" t="s">
        <v>229</v>
      </c>
      <c r="K4735" s="57" t="s">
        <v>641</v>
      </c>
      <c r="L4735" s="183" t="s">
        <v>364</v>
      </c>
      <c r="M4735" s="162" t="s">
        <v>230</v>
      </c>
      <c r="N4735" s="8" t="s">
        <v>8899</v>
      </c>
      <c r="O4735" s="6" t="s">
        <v>622</v>
      </c>
      <c r="P4735" s="3">
        <v>796</v>
      </c>
      <c r="Q4735" s="27" t="s">
        <v>234</v>
      </c>
      <c r="R4735" s="26">
        <v>20</v>
      </c>
      <c r="S4735" s="59">
        <v>150</v>
      </c>
      <c r="T4735" s="4">
        <v>0</v>
      </c>
      <c r="U4735" s="4">
        <f t="shared" si="219"/>
        <v>0</v>
      </c>
      <c r="V4735" s="3"/>
      <c r="W4735" s="3">
        <v>2014</v>
      </c>
      <c r="X4735" s="3">
        <v>11.12</v>
      </c>
    </row>
    <row r="4736" spans="1:24" ht="76.5">
      <c r="A4736" s="3" t="s">
        <v>13357</v>
      </c>
      <c r="B4736" s="6" t="s">
        <v>361</v>
      </c>
      <c r="C4736" s="6" t="s">
        <v>5665</v>
      </c>
      <c r="D4736" s="6" t="s">
        <v>387</v>
      </c>
      <c r="E4736" s="6" t="s">
        <v>5666</v>
      </c>
      <c r="F4736" s="130" t="s">
        <v>8069</v>
      </c>
      <c r="G4736" s="3" t="s">
        <v>11449</v>
      </c>
      <c r="H4736" s="54">
        <v>0</v>
      </c>
      <c r="I4736" s="16">
        <v>470000000</v>
      </c>
      <c r="J4736" s="16" t="s">
        <v>229</v>
      </c>
      <c r="K4736" s="57" t="s">
        <v>642</v>
      </c>
      <c r="L4736" s="12" t="s">
        <v>404</v>
      </c>
      <c r="M4736" s="162" t="s">
        <v>230</v>
      </c>
      <c r="N4736" s="8" t="s">
        <v>8899</v>
      </c>
      <c r="O4736" s="6" t="s">
        <v>622</v>
      </c>
      <c r="P4736" s="3">
        <v>796</v>
      </c>
      <c r="Q4736" s="27" t="s">
        <v>234</v>
      </c>
      <c r="R4736" s="26">
        <v>20</v>
      </c>
      <c r="S4736" s="59">
        <v>150</v>
      </c>
      <c r="T4736" s="4">
        <f>R4736*S4736</f>
        <v>3000</v>
      </c>
      <c r="U4736" s="4">
        <f>T4736*1.12</f>
        <v>3360.0000000000005</v>
      </c>
      <c r="V4736" s="3"/>
      <c r="W4736" s="3">
        <v>2014</v>
      </c>
      <c r="X4736" s="3"/>
    </row>
    <row r="4737" spans="1:24" ht="114.75">
      <c r="A4737" s="3" t="s">
        <v>10638</v>
      </c>
      <c r="B4737" s="6" t="s">
        <v>361</v>
      </c>
      <c r="C4737" s="6" t="s">
        <v>5599</v>
      </c>
      <c r="D4737" s="6" t="s">
        <v>432</v>
      </c>
      <c r="E4737" s="6" t="s">
        <v>3115</v>
      </c>
      <c r="F4737" s="9" t="s">
        <v>8100</v>
      </c>
      <c r="G4737" s="3" t="s">
        <v>11449</v>
      </c>
      <c r="H4737" s="54">
        <v>0</v>
      </c>
      <c r="I4737" s="16">
        <v>470000000</v>
      </c>
      <c r="J4737" s="56" t="s">
        <v>229</v>
      </c>
      <c r="K4737" s="57" t="s">
        <v>641</v>
      </c>
      <c r="L4737" s="183" t="s">
        <v>364</v>
      </c>
      <c r="M4737" s="3" t="s">
        <v>230</v>
      </c>
      <c r="N4737" s="8" t="s">
        <v>8899</v>
      </c>
      <c r="O4737" s="6" t="s">
        <v>365</v>
      </c>
      <c r="P4737" s="58">
        <v>796</v>
      </c>
      <c r="Q4737" s="26" t="s">
        <v>234</v>
      </c>
      <c r="R4737" s="27">
        <v>2</v>
      </c>
      <c r="S4737" s="59">
        <f>74491*1.07</f>
        <v>79705.37000000001</v>
      </c>
      <c r="T4737" s="4">
        <v>0</v>
      </c>
      <c r="U4737" s="4">
        <f t="shared" ref="U4737:U4747" si="220">T4737*1.12</f>
        <v>0</v>
      </c>
      <c r="V4737" s="3"/>
      <c r="W4737" s="3">
        <v>2014</v>
      </c>
      <c r="X4737" s="3">
        <v>11.12</v>
      </c>
    </row>
    <row r="4738" spans="1:24" ht="114.75">
      <c r="A4738" s="3" t="s">
        <v>13358</v>
      </c>
      <c r="B4738" s="6" t="s">
        <v>361</v>
      </c>
      <c r="C4738" s="6" t="s">
        <v>5599</v>
      </c>
      <c r="D4738" s="6" t="s">
        <v>432</v>
      </c>
      <c r="E4738" s="6" t="s">
        <v>3115</v>
      </c>
      <c r="F4738" s="9" t="s">
        <v>8100</v>
      </c>
      <c r="G4738" s="3" t="s">
        <v>11449</v>
      </c>
      <c r="H4738" s="54">
        <v>0</v>
      </c>
      <c r="I4738" s="16">
        <v>470000000</v>
      </c>
      <c r="J4738" s="56" t="s">
        <v>229</v>
      </c>
      <c r="K4738" s="57" t="s">
        <v>642</v>
      </c>
      <c r="L4738" s="12" t="s">
        <v>404</v>
      </c>
      <c r="M4738" s="3" t="s">
        <v>230</v>
      </c>
      <c r="N4738" s="8" t="s">
        <v>8899</v>
      </c>
      <c r="O4738" s="6" t="s">
        <v>365</v>
      </c>
      <c r="P4738" s="58">
        <v>796</v>
      </c>
      <c r="Q4738" s="26" t="s">
        <v>234</v>
      </c>
      <c r="R4738" s="27">
        <v>2</v>
      </c>
      <c r="S4738" s="59">
        <f>74491*1.07</f>
        <v>79705.37000000001</v>
      </c>
      <c r="T4738" s="4">
        <f>R4738*S4738</f>
        <v>159410.74000000002</v>
      </c>
      <c r="U4738" s="4">
        <f>T4738*1.12</f>
        <v>178540.02880000003</v>
      </c>
      <c r="V4738" s="3"/>
      <c r="W4738" s="3">
        <v>2014</v>
      </c>
      <c r="X4738" s="3"/>
    </row>
    <row r="4739" spans="1:24" ht="114.75">
      <c r="A4739" s="3" t="s">
        <v>10639</v>
      </c>
      <c r="B4739" s="6" t="s">
        <v>361</v>
      </c>
      <c r="C4739" s="6" t="s">
        <v>5417</v>
      </c>
      <c r="D4739" s="6" t="s">
        <v>5418</v>
      </c>
      <c r="E4739" s="6" t="s">
        <v>5183</v>
      </c>
      <c r="F4739" s="9" t="s">
        <v>5718</v>
      </c>
      <c r="G4739" s="3" t="s">
        <v>11449</v>
      </c>
      <c r="H4739" s="54">
        <v>0</v>
      </c>
      <c r="I4739" s="16">
        <v>470000000</v>
      </c>
      <c r="J4739" s="56" t="s">
        <v>229</v>
      </c>
      <c r="K4739" s="57" t="s">
        <v>641</v>
      </c>
      <c r="L4739" s="183" t="s">
        <v>364</v>
      </c>
      <c r="M4739" s="3" t="s">
        <v>230</v>
      </c>
      <c r="N4739" s="8" t="s">
        <v>8899</v>
      </c>
      <c r="O4739" s="6" t="s">
        <v>365</v>
      </c>
      <c r="P4739" s="58">
        <v>796</v>
      </c>
      <c r="Q4739" s="26" t="s">
        <v>234</v>
      </c>
      <c r="R4739" s="27">
        <v>2</v>
      </c>
      <c r="S4739" s="59">
        <f>43859*1.07</f>
        <v>46929.130000000005</v>
      </c>
      <c r="T4739" s="4">
        <v>0</v>
      </c>
      <c r="U4739" s="4">
        <f t="shared" si="220"/>
        <v>0</v>
      </c>
      <c r="V4739" s="3"/>
      <c r="W4739" s="3">
        <v>2014</v>
      </c>
      <c r="X4739" s="3">
        <v>11.12</v>
      </c>
    </row>
    <row r="4740" spans="1:24" ht="114.75">
      <c r="A4740" s="3" t="s">
        <v>13359</v>
      </c>
      <c r="B4740" s="6" t="s">
        <v>361</v>
      </c>
      <c r="C4740" s="6" t="s">
        <v>5417</v>
      </c>
      <c r="D4740" s="6" t="s">
        <v>5418</v>
      </c>
      <c r="E4740" s="6" t="s">
        <v>5183</v>
      </c>
      <c r="F4740" s="9" t="s">
        <v>5718</v>
      </c>
      <c r="G4740" s="3" t="s">
        <v>11449</v>
      </c>
      <c r="H4740" s="54">
        <v>0</v>
      </c>
      <c r="I4740" s="16">
        <v>470000000</v>
      </c>
      <c r="J4740" s="56" t="s">
        <v>229</v>
      </c>
      <c r="K4740" s="57" t="s">
        <v>642</v>
      </c>
      <c r="L4740" s="12" t="s">
        <v>404</v>
      </c>
      <c r="M4740" s="3" t="s">
        <v>230</v>
      </c>
      <c r="N4740" s="8" t="s">
        <v>8899</v>
      </c>
      <c r="O4740" s="6" t="s">
        <v>365</v>
      </c>
      <c r="P4740" s="58">
        <v>796</v>
      </c>
      <c r="Q4740" s="26" t="s">
        <v>234</v>
      </c>
      <c r="R4740" s="27">
        <v>2</v>
      </c>
      <c r="S4740" s="59">
        <f>43859*1.07</f>
        <v>46929.130000000005</v>
      </c>
      <c r="T4740" s="4">
        <f>R4740*S4740</f>
        <v>93858.260000000009</v>
      </c>
      <c r="U4740" s="4">
        <f>T4740*1.12</f>
        <v>105121.25120000001</v>
      </c>
      <c r="V4740" s="3"/>
      <c r="W4740" s="3">
        <v>2014</v>
      </c>
      <c r="X4740" s="3"/>
    </row>
    <row r="4741" spans="1:24" ht="114.75">
      <c r="A4741" s="3" t="s">
        <v>10640</v>
      </c>
      <c r="B4741" s="6" t="s">
        <v>361</v>
      </c>
      <c r="C4741" s="6" t="s">
        <v>5419</v>
      </c>
      <c r="D4741" s="6" t="s">
        <v>5420</v>
      </c>
      <c r="E4741" s="6" t="s">
        <v>5183</v>
      </c>
      <c r="F4741" s="9" t="s">
        <v>5719</v>
      </c>
      <c r="G4741" s="3" t="s">
        <v>11449</v>
      </c>
      <c r="H4741" s="54">
        <v>0</v>
      </c>
      <c r="I4741" s="16">
        <v>470000000</v>
      </c>
      <c r="J4741" s="56" t="s">
        <v>229</v>
      </c>
      <c r="K4741" s="57" t="s">
        <v>641</v>
      </c>
      <c r="L4741" s="183" t="s">
        <v>364</v>
      </c>
      <c r="M4741" s="3" t="s">
        <v>230</v>
      </c>
      <c r="N4741" s="8" t="s">
        <v>8899</v>
      </c>
      <c r="O4741" s="6" t="s">
        <v>365</v>
      </c>
      <c r="P4741" s="58">
        <v>796</v>
      </c>
      <c r="Q4741" s="26" t="s">
        <v>234</v>
      </c>
      <c r="R4741" s="27">
        <v>2</v>
      </c>
      <c r="S4741" s="59">
        <f>50139*1.07</f>
        <v>53648.73</v>
      </c>
      <c r="T4741" s="4">
        <v>0</v>
      </c>
      <c r="U4741" s="4">
        <f t="shared" si="220"/>
        <v>0</v>
      </c>
      <c r="V4741" s="3"/>
      <c r="W4741" s="3">
        <v>2014</v>
      </c>
      <c r="X4741" s="3">
        <v>11.12</v>
      </c>
    </row>
    <row r="4742" spans="1:24" ht="114.75">
      <c r="A4742" s="3" t="s">
        <v>13360</v>
      </c>
      <c r="B4742" s="6" t="s">
        <v>361</v>
      </c>
      <c r="C4742" s="6" t="s">
        <v>5419</v>
      </c>
      <c r="D4742" s="6" t="s">
        <v>5420</v>
      </c>
      <c r="E4742" s="6" t="s">
        <v>5183</v>
      </c>
      <c r="F4742" s="9" t="s">
        <v>5719</v>
      </c>
      <c r="G4742" s="3" t="s">
        <v>11449</v>
      </c>
      <c r="H4742" s="54">
        <v>0</v>
      </c>
      <c r="I4742" s="16">
        <v>470000000</v>
      </c>
      <c r="J4742" s="56" t="s">
        <v>229</v>
      </c>
      <c r="K4742" s="57" t="s">
        <v>642</v>
      </c>
      <c r="L4742" s="12" t="s">
        <v>404</v>
      </c>
      <c r="M4742" s="3" t="s">
        <v>230</v>
      </c>
      <c r="N4742" s="8" t="s">
        <v>8899</v>
      </c>
      <c r="O4742" s="6" t="s">
        <v>365</v>
      </c>
      <c r="P4742" s="58">
        <v>796</v>
      </c>
      <c r="Q4742" s="26" t="s">
        <v>234</v>
      </c>
      <c r="R4742" s="27">
        <v>2</v>
      </c>
      <c r="S4742" s="59">
        <f>50139*1.07</f>
        <v>53648.73</v>
      </c>
      <c r="T4742" s="4">
        <f>R4742*S4742</f>
        <v>107297.46</v>
      </c>
      <c r="U4742" s="4">
        <f>T4742*1.12</f>
        <v>120173.15520000002</v>
      </c>
      <c r="V4742" s="3"/>
      <c r="W4742" s="3">
        <v>2014</v>
      </c>
      <c r="X4742" s="3"/>
    </row>
    <row r="4743" spans="1:24" ht="114.75">
      <c r="A4743" s="3" t="s">
        <v>10641</v>
      </c>
      <c r="B4743" s="6" t="s">
        <v>361</v>
      </c>
      <c r="C4743" s="6" t="s">
        <v>5419</v>
      </c>
      <c r="D4743" s="6" t="s">
        <v>5420</v>
      </c>
      <c r="E4743" s="6" t="s">
        <v>5183</v>
      </c>
      <c r="F4743" s="9" t="s">
        <v>5720</v>
      </c>
      <c r="G4743" s="3" t="s">
        <v>11449</v>
      </c>
      <c r="H4743" s="54">
        <v>0</v>
      </c>
      <c r="I4743" s="16">
        <v>470000000</v>
      </c>
      <c r="J4743" s="56" t="s">
        <v>229</v>
      </c>
      <c r="K4743" s="57" t="s">
        <v>641</v>
      </c>
      <c r="L4743" s="183" t="s">
        <v>364</v>
      </c>
      <c r="M4743" s="3" t="s">
        <v>230</v>
      </c>
      <c r="N4743" s="8" t="s">
        <v>8899</v>
      </c>
      <c r="O4743" s="6" t="s">
        <v>365</v>
      </c>
      <c r="P4743" s="58">
        <v>796</v>
      </c>
      <c r="Q4743" s="26" t="s">
        <v>234</v>
      </c>
      <c r="R4743" s="27">
        <v>2</v>
      </c>
      <c r="S4743" s="59">
        <v>119426.53</v>
      </c>
      <c r="T4743" s="4">
        <v>0</v>
      </c>
      <c r="U4743" s="4">
        <f t="shared" si="220"/>
        <v>0</v>
      </c>
      <c r="V4743" s="3"/>
      <c r="W4743" s="3">
        <v>2014</v>
      </c>
      <c r="X4743" s="3">
        <v>11.12</v>
      </c>
    </row>
    <row r="4744" spans="1:24" ht="114.75">
      <c r="A4744" s="3" t="s">
        <v>13361</v>
      </c>
      <c r="B4744" s="6" t="s">
        <v>361</v>
      </c>
      <c r="C4744" s="6" t="s">
        <v>5419</v>
      </c>
      <c r="D4744" s="6" t="s">
        <v>5420</v>
      </c>
      <c r="E4744" s="6" t="s">
        <v>5183</v>
      </c>
      <c r="F4744" s="9" t="s">
        <v>5720</v>
      </c>
      <c r="G4744" s="3" t="s">
        <v>11449</v>
      </c>
      <c r="H4744" s="54">
        <v>0</v>
      </c>
      <c r="I4744" s="16">
        <v>470000000</v>
      </c>
      <c r="J4744" s="56" t="s">
        <v>229</v>
      </c>
      <c r="K4744" s="57" t="s">
        <v>642</v>
      </c>
      <c r="L4744" s="12" t="s">
        <v>404</v>
      </c>
      <c r="M4744" s="3" t="s">
        <v>230</v>
      </c>
      <c r="N4744" s="8" t="s">
        <v>8899</v>
      </c>
      <c r="O4744" s="6" t="s">
        <v>365</v>
      </c>
      <c r="P4744" s="58">
        <v>796</v>
      </c>
      <c r="Q4744" s="26" t="s">
        <v>234</v>
      </c>
      <c r="R4744" s="27">
        <v>2</v>
      </c>
      <c r="S4744" s="59">
        <v>119426.53</v>
      </c>
      <c r="T4744" s="4">
        <f>R4744*S4744</f>
        <v>238853.06</v>
      </c>
      <c r="U4744" s="4">
        <f>T4744*1.12</f>
        <v>267515.42720000003</v>
      </c>
      <c r="V4744" s="3"/>
      <c r="W4744" s="3">
        <v>2014</v>
      </c>
      <c r="X4744" s="3"/>
    </row>
    <row r="4745" spans="1:24" ht="114.75">
      <c r="A4745" s="3" t="s">
        <v>10642</v>
      </c>
      <c r="B4745" s="6" t="s">
        <v>361</v>
      </c>
      <c r="C4745" s="6" t="s">
        <v>5721</v>
      </c>
      <c r="D4745" s="6" t="s">
        <v>472</v>
      </c>
      <c r="E4745" s="6" t="s">
        <v>3115</v>
      </c>
      <c r="F4745" s="130" t="s">
        <v>8101</v>
      </c>
      <c r="G4745" s="3" t="s">
        <v>11449</v>
      </c>
      <c r="H4745" s="54">
        <v>0</v>
      </c>
      <c r="I4745" s="16">
        <v>470000000</v>
      </c>
      <c r="J4745" s="56" t="s">
        <v>229</v>
      </c>
      <c r="K4745" s="57" t="s">
        <v>641</v>
      </c>
      <c r="L4745" s="183" t="s">
        <v>364</v>
      </c>
      <c r="M4745" s="3" t="s">
        <v>230</v>
      </c>
      <c r="N4745" s="8" t="s">
        <v>8899</v>
      </c>
      <c r="O4745" s="6" t="s">
        <v>365</v>
      </c>
      <c r="P4745" s="58">
        <v>796</v>
      </c>
      <c r="Q4745" s="26" t="s">
        <v>234</v>
      </c>
      <c r="R4745" s="26">
        <v>20</v>
      </c>
      <c r="S4745" s="59">
        <v>2571.4299999999998</v>
      </c>
      <c r="T4745" s="4">
        <v>0</v>
      </c>
      <c r="U4745" s="4">
        <f t="shared" si="220"/>
        <v>0</v>
      </c>
      <c r="V4745" s="3"/>
      <c r="W4745" s="3">
        <v>2014</v>
      </c>
      <c r="X4745" s="3">
        <v>11.12</v>
      </c>
    </row>
    <row r="4746" spans="1:24" ht="114.75">
      <c r="A4746" s="3" t="s">
        <v>13362</v>
      </c>
      <c r="B4746" s="6" t="s">
        <v>361</v>
      </c>
      <c r="C4746" s="6" t="s">
        <v>5721</v>
      </c>
      <c r="D4746" s="6" t="s">
        <v>472</v>
      </c>
      <c r="E4746" s="6" t="s">
        <v>3115</v>
      </c>
      <c r="F4746" s="130" t="s">
        <v>8101</v>
      </c>
      <c r="G4746" s="3" t="s">
        <v>11449</v>
      </c>
      <c r="H4746" s="54">
        <v>0</v>
      </c>
      <c r="I4746" s="16">
        <v>470000000</v>
      </c>
      <c r="J4746" s="56" t="s">
        <v>229</v>
      </c>
      <c r="K4746" s="57" t="s">
        <v>642</v>
      </c>
      <c r="L4746" s="12" t="s">
        <v>404</v>
      </c>
      <c r="M4746" s="3" t="s">
        <v>230</v>
      </c>
      <c r="N4746" s="8" t="s">
        <v>8899</v>
      </c>
      <c r="O4746" s="6" t="s">
        <v>365</v>
      </c>
      <c r="P4746" s="58">
        <v>796</v>
      </c>
      <c r="Q4746" s="26" t="s">
        <v>234</v>
      </c>
      <c r="R4746" s="26">
        <v>20</v>
      </c>
      <c r="S4746" s="59">
        <v>2571.4299999999998</v>
      </c>
      <c r="T4746" s="4">
        <f>R4746*S4746</f>
        <v>51428.6</v>
      </c>
      <c r="U4746" s="4">
        <f>T4746*1.12</f>
        <v>57600.032000000007</v>
      </c>
      <c r="V4746" s="3"/>
      <c r="W4746" s="3">
        <v>2014</v>
      </c>
      <c r="X4746" s="3"/>
    </row>
    <row r="4747" spans="1:24" ht="114.75">
      <c r="A4747" s="3" t="s">
        <v>10643</v>
      </c>
      <c r="B4747" s="6" t="s">
        <v>361</v>
      </c>
      <c r="C4747" s="6" t="s">
        <v>5722</v>
      </c>
      <c r="D4747" s="6" t="s">
        <v>5723</v>
      </c>
      <c r="E4747" s="6" t="s">
        <v>5724</v>
      </c>
      <c r="F4747" s="130" t="s">
        <v>5725</v>
      </c>
      <c r="G4747" s="3" t="s">
        <v>11449</v>
      </c>
      <c r="H4747" s="54">
        <v>0</v>
      </c>
      <c r="I4747" s="16">
        <v>470000000</v>
      </c>
      <c r="J4747" s="56" t="s">
        <v>229</v>
      </c>
      <c r="K4747" s="57" t="s">
        <v>641</v>
      </c>
      <c r="L4747" s="183" t="s">
        <v>364</v>
      </c>
      <c r="M4747" s="3" t="s">
        <v>230</v>
      </c>
      <c r="N4747" s="8" t="s">
        <v>8899</v>
      </c>
      <c r="O4747" s="6" t="s">
        <v>365</v>
      </c>
      <c r="P4747" s="58">
        <v>796</v>
      </c>
      <c r="Q4747" s="26" t="s">
        <v>234</v>
      </c>
      <c r="R4747" s="26">
        <v>2</v>
      </c>
      <c r="S4747" s="59">
        <v>587892</v>
      </c>
      <c r="T4747" s="4">
        <v>0</v>
      </c>
      <c r="U4747" s="4">
        <f t="shared" si="220"/>
        <v>0</v>
      </c>
      <c r="V4747" s="3"/>
      <c r="W4747" s="3">
        <v>2014</v>
      </c>
      <c r="X4747" s="3">
        <v>11.12</v>
      </c>
    </row>
    <row r="4748" spans="1:24" ht="114.75">
      <c r="A4748" s="3" t="s">
        <v>13363</v>
      </c>
      <c r="B4748" s="6" t="s">
        <v>361</v>
      </c>
      <c r="C4748" s="6" t="s">
        <v>5722</v>
      </c>
      <c r="D4748" s="6" t="s">
        <v>5723</v>
      </c>
      <c r="E4748" s="6" t="s">
        <v>5724</v>
      </c>
      <c r="F4748" s="130" t="s">
        <v>5725</v>
      </c>
      <c r="G4748" s="3" t="s">
        <v>11449</v>
      </c>
      <c r="H4748" s="54">
        <v>0</v>
      </c>
      <c r="I4748" s="16">
        <v>470000000</v>
      </c>
      <c r="J4748" s="56" t="s">
        <v>229</v>
      </c>
      <c r="K4748" s="57" t="s">
        <v>642</v>
      </c>
      <c r="L4748" s="12" t="s">
        <v>404</v>
      </c>
      <c r="M4748" s="3" t="s">
        <v>230</v>
      </c>
      <c r="N4748" s="8" t="s">
        <v>8899</v>
      </c>
      <c r="O4748" s="6" t="s">
        <v>365</v>
      </c>
      <c r="P4748" s="58">
        <v>796</v>
      </c>
      <c r="Q4748" s="26" t="s">
        <v>234</v>
      </c>
      <c r="R4748" s="26">
        <v>2</v>
      </c>
      <c r="S4748" s="59">
        <v>587892</v>
      </c>
      <c r="T4748" s="4">
        <f>R4748*S4748</f>
        <v>1175784</v>
      </c>
      <c r="U4748" s="4">
        <f>T4748*1.12</f>
        <v>1316878.08</v>
      </c>
      <c r="V4748" s="3"/>
      <c r="W4748" s="3">
        <v>2014</v>
      </c>
      <c r="X4748" s="3"/>
    </row>
    <row r="4749" spans="1:24" ht="114.75">
      <c r="A4749" s="3" t="s">
        <v>10644</v>
      </c>
      <c r="B4749" s="6" t="s">
        <v>361</v>
      </c>
      <c r="C4749" s="6" t="s">
        <v>11532</v>
      </c>
      <c r="D4749" s="6" t="s">
        <v>416</v>
      </c>
      <c r="E4749" s="6" t="s">
        <v>6365</v>
      </c>
      <c r="F4749" s="30" t="s">
        <v>8102</v>
      </c>
      <c r="G4749" s="57" t="s">
        <v>11450</v>
      </c>
      <c r="H4749" s="54">
        <v>0</v>
      </c>
      <c r="I4749" s="16">
        <v>470000000</v>
      </c>
      <c r="J4749" s="56" t="s">
        <v>229</v>
      </c>
      <c r="K4749" s="57" t="s">
        <v>641</v>
      </c>
      <c r="L4749" s="12" t="s">
        <v>404</v>
      </c>
      <c r="M4749" s="3" t="s">
        <v>230</v>
      </c>
      <c r="N4749" s="8" t="s">
        <v>8898</v>
      </c>
      <c r="O4749" s="6" t="s">
        <v>365</v>
      </c>
      <c r="P4749" s="58">
        <v>796</v>
      </c>
      <c r="Q4749" s="26" t="s">
        <v>234</v>
      </c>
      <c r="R4749" s="28">
        <v>30</v>
      </c>
      <c r="S4749" s="1">
        <v>800</v>
      </c>
      <c r="T4749" s="4">
        <v>0</v>
      </c>
      <c r="U4749" s="4">
        <f t="shared" ref="U4749:U4815" si="221">T4749*1.12</f>
        <v>0</v>
      </c>
      <c r="V4749" s="3"/>
      <c r="W4749" s="3">
        <v>2014</v>
      </c>
      <c r="X4749" s="3">
        <v>11.12</v>
      </c>
    </row>
    <row r="4750" spans="1:24" ht="114.75">
      <c r="A4750" s="3" t="s">
        <v>10645</v>
      </c>
      <c r="B4750" s="6" t="s">
        <v>361</v>
      </c>
      <c r="C4750" s="6" t="s">
        <v>5627</v>
      </c>
      <c r="D4750" s="6" t="s">
        <v>5628</v>
      </c>
      <c r="E4750" s="6" t="s">
        <v>5629</v>
      </c>
      <c r="F4750" s="9" t="s">
        <v>8103</v>
      </c>
      <c r="G4750" s="57" t="s">
        <v>11450</v>
      </c>
      <c r="H4750" s="54">
        <v>0</v>
      </c>
      <c r="I4750" s="16">
        <v>470000000</v>
      </c>
      <c r="J4750" s="56" t="s">
        <v>229</v>
      </c>
      <c r="K4750" s="57" t="s">
        <v>641</v>
      </c>
      <c r="L4750" s="12" t="s">
        <v>404</v>
      </c>
      <c r="M4750" s="3" t="s">
        <v>230</v>
      </c>
      <c r="N4750" s="8" t="s">
        <v>8898</v>
      </c>
      <c r="O4750" s="6" t="s">
        <v>365</v>
      </c>
      <c r="P4750" s="58">
        <v>796</v>
      </c>
      <c r="Q4750" s="26" t="s">
        <v>234</v>
      </c>
      <c r="R4750" s="27">
        <v>2</v>
      </c>
      <c r="S4750" s="59">
        <f>33100*1.07</f>
        <v>35417</v>
      </c>
      <c r="T4750" s="4">
        <f t="shared" ref="T4750:T4755" si="222">R4750*S4750</f>
        <v>70834</v>
      </c>
      <c r="U4750" s="4">
        <f t="shared" si="221"/>
        <v>79334.080000000002</v>
      </c>
      <c r="V4750" s="3"/>
      <c r="W4750" s="3">
        <v>2014</v>
      </c>
      <c r="X4750" s="3"/>
    </row>
    <row r="4751" spans="1:24" ht="114.75">
      <c r="A4751" s="3" t="s">
        <v>10646</v>
      </c>
      <c r="B4751" s="6" t="s">
        <v>361</v>
      </c>
      <c r="C4751" s="6" t="s">
        <v>5408</v>
      </c>
      <c r="D4751" s="6" t="s">
        <v>5409</v>
      </c>
      <c r="E4751" s="6" t="s">
        <v>5183</v>
      </c>
      <c r="F4751" s="9" t="s">
        <v>5726</v>
      </c>
      <c r="G4751" s="57" t="s">
        <v>11450</v>
      </c>
      <c r="H4751" s="54">
        <v>0</v>
      </c>
      <c r="I4751" s="16">
        <v>470000000</v>
      </c>
      <c r="J4751" s="56" t="s">
        <v>229</v>
      </c>
      <c r="K4751" s="57" t="s">
        <v>641</v>
      </c>
      <c r="L4751" s="12" t="s">
        <v>404</v>
      </c>
      <c r="M4751" s="3" t="s">
        <v>230</v>
      </c>
      <c r="N4751" s="8" t="s">
        <v>8898</v>
      </c>
      <c r="O4751" s="6" t="s">
        <v>365</v>
      </c>
      <c r="P4751" s="58">
        <v>796</v>
      </c>
      <c r="Q4751" s="26" t="s">
        <v>234</v>
      </c>
      <c r="R4751" s="27">
        <v>2</v>
      </c>
      <c r="S4751" s="59">
        <v>64217.59</v>
      </c>
      <c r="T4751" s="4">
        <f t="shared" si="222"/>
        <v>128435.18</v>
      </c>
      <c r="U4751" s="4">
        <f t="shared" si="221"/>
        <v>143847.40160000001</v>
      </c>
      <c r="V4751" s="3"/>
      <c r="W4751" s="3">
        <v>2014</v>
      </c>
      <c r="X4751" s="3"/>
    </row>
    <row r="4752" spans="1:24" ht="114.75">
      <c r="A4752" s="3" t="s">
        <v>10647</v>
      </c>
      <c r="B4752" s="6" t="s">
        <v>361</v>
      </c>
      <c r="C4752" s="6" t="s">
        <v>5412</v>
      </c>
      <c r="D4752" s="6" t="s">
        <v>5413</v>
      </c>
      <c r="E4752" s="6" t="s">
        <v>5183</v>
      </c>
      <c r="F4752" s="9" t="s">
        <v>5727</v>
      </c>
      <c r="G4752" s="57" t="s">
        <v>11450</v>
      </c>
      <c r="H4752" s="54">
        <v>0</v>
      </c>
      <c r="I4752" s="16">
        <v>470000000</v>
      </c>
      <c r="J4752" s="56" t="s">
        <v>229</v>
      </c>
      <c r="K4752" s="57" t="s">
        <v>641</v>
      </c>
      <c r="L4752" s="12" t="s">
        <v>404</v>
      </c>
      <c r="M4752" s="3" t="s">
        <v>230</v>
      </c>
      <c r="N4752" s="8" t="s">
        <v>8898</v>
      </c>
      <c r="O4752" s="6" t="s">
        <v>365</v>
      </c>
      <c r="P4752" s="58">
        <v>796</v>
      </c>
      <c r="Q4752" s="26" t="s">
        <v>234</v>
      </c>
      <c r="R4752" s="27">
        <v>2</v>
      </c>
      <c r="S4752" s="59">
        <f>31100*1.07</f>
        <v>33277</v>
      </c>
      <c r="T4752" s="4">
        <f t="shared" si="222"/>
        <v>66554</v>
      </c>
      <c r="U4752" s="4">
        <f t="shared" si="221"/>
        <v>74540.48000000001</v>
      </c>
      <c r="V4752" s="3"/>
      <c r="W4752" s="3">
        <v>2014</v>
      </c>
      <c r="X4752" s="3"/>
    </row>
    <row r="4753" spans="1:24" ht="153">
      <c r="A4753" s="3" t="s">
        <v>10648</v>
      </c>
      <c r="B4753" s="6" t="s">
        <v>361</v>
      </c>
      <c r="C4753" s="6" t="s">
        <v>5526</v>
      </c>
      <c r="D4753" s="6" t="s">
        <v>5527</v>
      </c>
      <c r="E4753" s="6" t="s">
        <v>5528</v>
      </c>
      <c r="F4753" s="9" t="s">
        <v>8104</v>
      </c>
      <c r="G4753" s="57" t="s">
        <v>11450</v>
      </c>
      <c r="H4753" s="54">
        <v>0</v>
      </c>
      <c r="I4753" s="16">
        <v>470000000</v>
      </c>
      <c r="J4753" s="56" t="s">
        <v>229</v>
      </c>
      <c r="K4753" s="57" t="s">
        <v>641</v>
      </c>
      <c r="L4753" s="12" t="s">
        <v>404</v>
      </c>
      <c r="M4753" s="3" t="s">
        <v>230</v>
      </c>
      <c r="N4753" s="8" t="s">
        <v>8898</v>
      </c>
      <c r="O4753" s="6" t="s">
        <v>365</v>
      </c>
      <c r="P4753" s="58">
        <v>796</v>
      </c>
      <c r="Q4753" s="26" t="s">
        <v>234</v>
      </c>
      <c r="R4753" s="27">
        <v>1</v>
      </c>
      <c r="S4753" s="59">
        <v>236700.05</v>
      </c>
      <c r="T4753" s="4">
        <f t="shared" si="222"/>
        <v>236700.05</v>
      </c>
      <c r="U4753" s="4">
        <f t="shared" si="221"/>
        <v>265104.05600000004</v>
      </c>
      <c r="V4753" s="3"/>
      <c r="W4753" s="3">
        <v>2014</v>
      </c>
      <c r="X4753" s="3"/>
    </row>
    <row r="4754" spans="1:24" ht="153">
      <c r="A4754" s="3" t="s">
        <v>10649</v>
      </c>
      <c r="B4754" s="6" t="s">
        <v>361</v>
      </c>
      <c r="C4754" s="6" t="s">
        <v>5526</v>
      </c>
      <c r="D4754" s="6" t="s">
        <v>5527</v>
      </c>
      <c r="E4754" s="6" t="s">
        <v>5528</v>
      </c>
      <c r="F4754" s="9" t="s">
        <v>8105</v>
      </c>
      <c r="G4754" s="57" t="s">
        <v>11450</v>
      </c>
      <c r="H4754" s="54">
        <v>0</v>
      </c>
      <c r="I4754" s="16">
        <v>470000000</v>
      </c>
      <c r="J4754" s="56" t="s">
        <v>229</v>
      </c>
      <c r="K4754" s="57" t="s">
        <v>641</v>
      </c>
      <c r="L4754" s="12" t="s">
        <v>404</v>
      </c>
      <c r="M4754" s="3" t="s">
        <v>230</v>
      </c>
      <c r="N4754" s="8" t="s">
        <v>8898</v>
      </c>
      <c r="O4754" s="6" t="s">
        <v>365</v>
      </c>
      <c r="P4754" s="58">
        <v>796</v>
      </c>
      <c r="Q4754" s="26" t="s">
        <v>234</v>
      </c>
      <c r="R4754" s="27">
        <v>1</v>
      </c>
      <c r="S4754" s="59">
        <v>233282</v>
      </c>
      <c r="T4754" s="4">
        <f t="shared" si="222"/>
        <v>233282</v>
      </c>
      <c r="U4754" s="4">
        <f t="shared" si="221"/>
        <v>261275.84000000003</v>
      </c>
      <c r="V4754" s="3"/>
      <c r="W4754" s="3">
        <v>2014</v>
      </c>
      <c r="X4754" s="3"/>
    </row>
    <row r="4755" spans="1:24" ht="114.75">
      <c r="A4755" s="3" t="s">
        <v>10650</v>
      </c>
      <c r="B4755" s="6" t="s">
        <v>361</v>
      </c>
      <c r="C4755" s="6" t="s">
        <v>5728</v>
      </c>
      <c r="D4755" s="6" t="s">
        <v>5504</v>
      </c>
      <c r="E4755" s="6" t="s">
        <v>5332</v>
      </c>
      <c r="F4755" s="9" t="s">
        <v>8106</v>
      </c>
      <c r="G4755" s="57" t="s">
        <v>11450</v>
      </c>
      <c r="H4755" s="54">
        <v>0</v>
      </c>
      <c r="I4755" s="16">
        <v>470000000</v>
      </c>
      <c r="J4755" s="56" t="s">
        <v>229</v>
      </c>
      <c r="K4755" s="57" t="s">
        <v>641</v>
      </c>
      <c r="L4755" s="12" t="s">
        <v>404</v>
      </c>
      <c r="M4755" s="3" t="s">
        <v>230</v>
      </c>
      <c r="N4755" s="8" t="s">
        <v>8898</v>
      </c>
      <c r="O4755" s="6" t="s">
        <v>365</v>
      </c>
      <c r="P4755" s="58">
        <v>796</v>
      </c>
      <c r="Q4755" s="26" t="s">
        <v>234</v>
      </c>
      <c r="R4755" s="27">
        <v>6</v>
      </c>
      <c r="S4755" s="59">
        <f>10800*1.07</f>
        <v>11556</v>
      </c>
      <c r="T4755" s="4">
        <f t="shared" si="222"/>
        <v>69336</v>
      </c>
      <c r="U4755" s="4">
        <f t="shared" si="221"/>
        <v>77656.320000000007</v>
      </c>
      <c r="V4755" s="3"/>
      <c r="W4755" s="3">
        <v>2014</v>
      </c>
      <c r="X4755" s="3"/>
    </row>
    <row r="4756" spans="1:24" ht="114.75">
      <c r="A4756" s="3" t="s">
        <v>10651</v>
      </c>
      <c r="B4756" s="6" t="s">
        <v>361</v>
      </c>
      <c r="C4756" s="6" t="s">
        <v>5417</v>
      </c>
      <c r="D4756" s="6" t="s">
        <v>5418</v>
      </c>
      <c r="E4756" s="6" t="s">
        <v>5183</v>
      </c>
      <c r="F4756" s="9" t="s">
        <v>5729</v>
      </c>
      <c r="G4756" s="57" t="s">
        <v>11450</v>
      </c>
      <c r="H4756" s="54">
        <v>0</v>
      </c>
      <c r="I4756" s="16">
        <v>470000000</v>
      </c>
      <c r="J4756" s="56" t="s">
        <v>229</v>
      </c>
      <c r="K4756" s="57" t="s">
        <v>641</v>
      </c>
      <c r="L4756" s="12" t="s">
        <v>404</v>
      </c>
      <c r="M4756" s="3" t="s">
        <v>230</v>
      </c>
      <c r="N4756" s="8" t="s">
        <v>8898</v>
      </c>
      <c r="O4756" s="6" t="s">
        <v>365</v>
      </c>
      <c r="P4756" s="58">
        <v>796</v>
      </c>
      <c r="Q4756" s="26" t="s">
        <v>234</v>
      </c>
      <c r="R4756" s="27">
        <v>4</v>
      </c>
      <c r="S4756" s="59">
        <f>35200*1.07</f>
        <v>37664</v>
      </c>
      <c r="T4756" s="4">
        <v>0</v>
      </c>
      <c r="U4756" s="4">
        <f t="shared" si="221"/>
        <v>0</v>
      </c>
      <c r="V4756" s="3"/>
      <c r="W4756" s="3">
        <v>2014</v>
      </c>
      <c r="X4756" s="3">
        <v>11</v>
      </c>
    </row>
    <row r="4757" spans="1:24" ht="114.75">
      <c r="A4757" s="3" t="s">
        <v>14177</v>
      </c>
      <c r="B4757" s="6" t="s">
        <v>361</v>
      </c>
      <c r="C4757" s="6" t="s">
        <v>5417</v>
      </c>
      <c r="D4757" s="6" t="s">
        <v>5418</v>
      </c>
      <c r="E4757" s="6" t="s">
        <v>5183</v>
      </c>
      <c r="F4757" s="9" t="s">
        <v>5729</v>
      </c>
      <c r="G4757" s="57" t="s">
        <v>11450</v>
      </c>
      <c r="H4757" s="54">
        <v>0</v>
      </c>
      <c r="I4757" s="16">
        <v>470000000</v>
      </c>
      <c r="J4757" s="56" t="s">
        <v>229</v>
      </c>
      <c r="K4757" s="57" t="s">
        <v>369</v>
      </c>
      <c r="L4757" s="12" t="s">
        <v>404</v>
      </c>
      <c r="M4757" s="3" t="s">
        <v>230</v>
      </c>
      <c r="N4757" s="8" t="s">
        <v>8898</v>
      </c>
      <c r="O4757" s="6" t="s">
        <v>365</v>
      </c>
      <c r="P4757" s="58">
        <v>796</v>
      </c>
      <c r="Q4757" s="26" t="s">
        <v>234</v>
      </c>
      <c r="R4757" s="27">
        <v>4</v>
      </c>
      <c r="S4757" s="59">
        <f>35200*1.07</f>
        <v>37664</v>
      </c>
      <c r="T4757" s="4">
        <v>0</v>
      </c>
      <c r="U4757" s="4">
        <f>T4757*1.12</f>
        <v>0</v>
      </c>
      <c r="V4757" s="3"/>
      <c r="W4757" s="3">
        <v>2014</v>
      </c>
      <c r="X4757" s="3" t="s">
        <v>14785</v>
      </c>
    </row>
    <row r="4758" spans="1:24" ht="114.75">
      <c r="A4758" s="3" t="s">
        <v>16890</v>
      </c>
      <c r="B4758" s="6" t="s">
        <v>361</v>
      </c>
      <c r="C4758" s="6" t="s">
        <v>5417</v>
      </c>
      <c r="D4758" s="6" t="s">
        <v>5418</v>
      </c>
      <c r="E4758" s="6" t="s">
        <v>5183</v>
      </c>
      <c r="F4758" s="9" t="s">
        <v>5729</v>
      </c>
      <c r="G4758" s="3" t="s">
        <v>11450</v>
      </c>
      <c r="H4758" s="54">
        <v>0</v>
      </c>
      <c r="I4758" s="16">
        <v>470000000</v>
      </c>
      <c r="J4758" s="56" t="s">
        <v>229</v>
      </c>
      <c r="K4758" s="57" t="s">
        <v>8950</v>
      </c>
      <c r="L4758" s="12" t="s">
        <v>404</v>
      </c>
      <c r="M4758" s="3" t="s">
        <v>230</v>
      </c>
      <c r="N4758" s="8" t="s">
        <v>8898</v>
      </c>
      <c r="O4758" s="6" t="s">
        <v>365</v>
      </c>
      <c r="P4758" s="58">
        <v>796</v>
      </c>
      <c r="Q4758" s="26" t="s">
        <v>234</v>
      </c>
      <c r="R4758" s="27">
        <v>4</v>
      </c>
      <c r="S4758" s="59">
        <v>45196.799999999996</v>
      </c>
      <c r="T4758" s="4">
        <v>0</v>
      </c>
      <c r="U4758" s="4">
        <f>T4758*1.12</f>
        <v>0</v>
      </c>
      <c r="V4758" s="3"/>
      <c r="W4758" s="3">
        <v>2014</v>
      </c>
      <c r="X4758" s="3">
        <v>11</v>
      </c>
    </row>
    <row r="4759" spans="1:24" ht="114.75">
      <c r="A4759" s="3" t="s">
        <v>18798</v>
      </c>
      <c r="B4759" s="6" t="s">
        <v>361</v>
      </c>
      <c r="C4759" s="6" t="s">
        <v>5417</v>
      </c>
      <c r="D4759" s="6" t="s">
        <v>5418</v>
      </c>
      <c r="E4759" s="6" t="s">
        <v>5183</v>
      </c>
      <c r="F4759" s="9" t="s">
        <v>5729</v>
      </c>
      <c r="G4759" s="3" t="s">
        <v>11450</v>
      </c>
      <c r="H4759" s="54">
        <v>0</v>
      </c>
      <c r="I4759" s="16">
        <v>470000000</v>
      </c>
      <c r="J4759" s="56" t="s">
        <v>229</v>
      </c>
      <c r="K4759" s="57" t="s">
        <v>18437</v>
      </c>
      <c r="L4759" s="12" t="s">
        <v>404</v>
      </c>
      <c r="M4759" s="3" t="s">
        <v>230</v>
      </c>
      <c r="N4759" s="8" t="s">
        <v>8898</v>
      </c>
      <c r="O4759" s="6" t="s">
        <v>365</v>
      </c>
      <c r="P4759" s="58">
        <v>796</v>
      </c>
      <c r="Q4759" s="26" t="s">
        <v>234</v>
      </c>
      <c r="R4759" s="27">
        <v>4</v>
      </c>
      <c r="S4759" s="59">
        <v>45196.799999999996</v>
      </c>
      <c r="T4759" s="4">
        <v>0</v>
      </c>
      <c r="U4759" s="4">
        <f>T4759*1.12</f>
        <v>0</v>
      </c>
      <c r="V4759" s="3"/>
      <c r="W4759" s="3">
        <v>2014</v>
      </c>
      <c r="X4759" s="3">
        <v>15</v>
      </c>
    </row>
    <row r="4760" spans="1:24" ht="76.5">
      <c r="A4760" s="3" t="s">
        <v>19495</v>
      </c>
      <c r="B4760" s="6" t="s">
        <v>361</v>
      </c>
      <c r="C4760" s="6" t="s">
        <v>5417</v>
      </c>
      <c r="D4760" s="6" t="s">
        <v>5418</v>
      </c>
      <c r="E4760" s="6" t="s">
        <v>5183</v>
      </c>
      <c r="F4760" s="9" t="s">
        <v>5729</v>
      </c>
      <c r="G4760" s="3" t="s">
        <v>11450</v>
      </c>
      <c r="H4760" s="54">
        <v>0</v>
      </c>
      <c r="I4760" s="16">
        <v>470000000</v>
      </c>
      <c r="J4760" s="56" t="s">
        <v>229</v>
      </c>
      <c r="K4760" s="57" t="s">
        <v>18437</v>
      </c>
      <c r="L4760" s="12" t="s">
        <v>404</v>
      </c>
      <c r="M4760" s="3" t="s">
        <v>230</v>
      </c>
      <c r="N4760" s="8" t="s">
        <v>8898</v>
      </c>
      <c r="O4760" s="6" t="s">
        <v>19407</v>
      </c>
      <c r="P4760" s="58">
        <v>796</v>
      </c>
      <c r="Q4760" s="26" t="s">
        <v>234</v>
      </c>
      <c r="R4760" s="27">
        <v>4</v>
      </c>
      <c r="S4760" s="59">
        <v>45196.799999999996</v>
      </c>
      <c r="T4760" s="4">
        <f>R4760*S4760</f>
        <v>180787.19999999998</v>
      </c>
      <c r="U4760" s="4">
        <f>T4760*1.12</f>
        <v>202481.66399999999</v>
      </c>
      <c r="V4760" s="3"/>
      <c r="W4760" s="3">
        <v>2014</v>
      </c>
      <c r="X4760" s="3"/>
    </row>
    <row r="4761" spans="1:24" ht="114.75">
      <c r="A4761" s="3" t="s">
        <v>10652</v>
      </c>
      <c r="B4761" s="6" t="s">
        <v>361</v>
      </c>
      <c r="C4761" s="6" t="s">
        <v>5419</v>
      </c>
      <c r="D4761" s="6" t="s">
        <v>5420</v>
      </c>
      <c r="E4761" s="6" t="s">
        <v>5183</v>
      </c>
      <c r="F4761" s="9" t="s">
        <v>5730</v>
      </c>
      <c r="G4761" s="57" t="s">
        <v>11450</v>
      </c>
      <c r="H4761" s="54">
        <v>0</v>
      </c>
      <c r="I4761" s="16">
        <v>470000000</v>
      </c>
      <c r="J4761" s="56" t="s">
        <v>229</v>
      </c>
      <c r="K4761" s="57" t="s">
        <v>641</v>
      </c>
      <c r="L4761" s="12" t="s">
        <v>404</v>
      </c>
      <c r="M4761" s="3" t="s">
        <v>230</v>
      </c>
      <c r="N4761" s="8" t="s">
        <v>8898</v>
      </c>
      <c r="O4761" s="6" t="s">
        <v>365</v>
      </c>
      <c r="P4761" s="58">
        <v>796</v>
      </c>
      <c r="Q4761" s="26" t="s">
        <v>234</v>
      </c>
      <c r="R4761" s="27">
        <v>2</v>
      </c>
      <c r="S4761" s="59">
        <f>52400*1.07</f>
        <v>56068</v>
      </c>
      <c r="T4761" s="4">
        <v>0</v>
      </c>
      <c r="U4761" s="4">
        <f t="shared" si="221"/>
        <v>0</v>
      </c>
      <c r="V4761" s="3"/>
      <c r="W4761" s="3">
        <v>2014</v>
      </c>
      <c r="X4761" s="3">
        <v>11</v>
      </c>
    </row>
    <row r="4762" spans="1:24" ht="114.75">
      <c r="A4762" s="3" t="s">
        <v>14178</v>
      </c>
      <c r="B4762" s="6" t="s">
        <v>361</v>
      </c>
      <c r="C4762" s="6" t="s">
        <v>5419</v>
      </c>
      <c r="D4762" s="6" t="s">
        <v>5420</v>
      </c>
      <c r="E4762" s="6" t="s">
        <v>5183</v>
      </c>
      <c r="F4762" s="9" t="s">
        <v>5730</v>
      </c>
      <c r="G4762" s="57" t="s">
        <v>11450</v>
      </c>
      <c r="H4762" s="54">
        <v>0</v>
      </c>
      <c r="I4762" s="16">
        <v>470000000</v>
      </c>
      <c r="J4762" s="56" t="s">
        <v>229</v>
      </c>
      <c r="K4762" s="57" t="s">
        <v>369</v>
      </c>
      <c r="L4762" s="12" t="s">
        <v>404</v>
      </c>
      <c r="M4762" s="3" t="s">
        <v>230</v>
      </c>
      <c r="N4762" s="8" t="s">
        <v>8898</v>
      </c>
      <c r="O4762" s="6" t="s">
        <v>365</v>
      </c>
      <c r="P4762" s="58">
        <v>796</v>
      </c>
      <c r="Q4762" s="26" t="s">
        <v>234</v>
      </c>
      <c r="R4762" s="27">
        <v>2</v>
      </c>
      <c r="S4762" s="59">
        <f>52400*1.07</f>
        <v>56068</v>
      </c>
      <c r="T4762" s="4">
        <v>0</v>
      </c>
      <c r="U4762" s="4">
        <f>T4762*1.12</f>
        <v>0</v>
      </c>
      <c r="V4762" s="3"/>
      <c r="W4762" s="3">
        <v>2014</v>
      </c>
      <c r="X4762" s="3" t="s">
        <v>14785</v>
      </c>
    </row>
    <row r="4763" spans="1:24" ht="114.75">
      <c r="A4763" s="3" t="s">
        <v>16891</v>
      </c>
      <c r="B4763" s="6" t="s">
        <v>361</v>
      </c>
      <c r="C4763" s="6" t="s">
        <v>5419</v>
      </c>
      <c r="D4763" s="6" t="s">
        <v>5420</v>
      </c>
      <c r="E4763" s="6" t="s">
        <v>5183</v>
      </c>
      <c r="F4763" s="9" t="s">
        <v>5730</v>
      </c>
      <c r="G4763" s="57" t="s">
        <v>11450</v>
      </c>
      <c r="H4763" s="54">
        <v>0</v>
      </c>
      <c r="I4763" s="16">
        <v>470000000</v>
      </c>
      <c r="J4763" s="56" t="s">
        <v>229</v>
      </c>
      <c r="K4763" s="57" t="s">
        <v>8950</v>
      </c>
      <c r="L4763" s="12" t="s">
        <v>404</v>
      </c>
      <c r="M4763" s="3" t="s">
        <v>230</v>
      </c>
      <c r="N4763" s="8" t="s">
        <v>8898</v>
      </c>
      <c r="O4763" s="6" t="s">
        <v>365</v>
      </c>
      <c r="P4763" s="58">
        <v>796</v>
      </c>
      <c r="Q4763" s="26" t="s">
        <v>234</v>
      </c>
      <c r="R4763" s="27">
        <v>2</v>
      </c>
      <c r="S4763" s="59">
        <v>67281.599999999991</v>
      </c>
      <c r="T4763" s="4">
        <v>0</v>
      </c>
      <c r="U4763" s="4">
        <f>T4763*1.12</f>
        <v>0</v>
      </c>
      <c r="V4763" s="3"/>
      <c r="W4763" s="3">
        <v>2014</v>
      </c>
      <c r="X4763" s="3">
        <v>11</v>
      </c>
    </row>
    <row r="4764" spans="1:24" ht="114.75">
      <c r="A4764" s="3" t="s">
        <v>18799</v>
      </c>
      <c r="B4764" s="6" t="s">
        <v>361</v>
      </c>
      <c r="C4764" s="6" t="s">
        <v>5419</v>
      </c>
      <c r="D4764" s="6" t="s">
        <v>5420</v>
      </c>
      <c r="E4764" s="6" t="s">
        <v>5183</v>
      </c>
      <c r="F4764" s="9" t="s">
        <v>5730</v>
      </c>
      <c r="G4764" s="57" t="s">
        <v>11450</v>
      </c>
      <c r="H4764" s="54">
        <v>0</v>
      </c>
      <c r="I4764" s="16">
        <v>470000000</v>
      </c>
      <c r="J4764" s="56" t="s">
        <v>229</v>
      </c>
      <c r="K4764" s="57" t="s">
        <v>18437</v>
      </c>
      <c r="L4764" s="12" t="s">
        <v>404</v>
      </c>
      <c r="M4764" s="3" t="s">
        <v>230</v>
      </c>
      <c r="N4764" s="8" t="s">
        <v>8898</v>
      </c>
      <c r="O4764" s="6" t="s">
        <v>365</v>
      </c>
      <c r="P4764" s="58">
        <v>796</v>
      </c>
      <c r="Q4764" s="26" t="s">
        <v>234</v>
      </c>
      <c r="R4764" s="27">
        <v>2</v>
      </c>
      <c r="S4764" s="59">
        <v>67281.599999999991</v>
      </c>
      <c r="T4764" s="4">
        <v>0</v>
      </c>
      <c r="U4764" s="4">
        <f>T4764*1.12</f>
        <v>0</v>
      </c>
      <c r="V4764" s="3"/>
      <c r="W4764" s="3">
        <v>2014</v>
      </c>
      <c r="X4764" s="3">
        <v>15</v>
      </c>
    </row>
    <row r="4765" spans="1:24" ht="76.5">
      <c r="A4765" s="3" t="s">
        <v>19496</v>
      </c>
      <c r="B4765" s="6" t="s">
        <v>361</v>
      </c>
      <c r="C4765" s="6" t="s">
        <v>5419</v>
      </c>
      <c r="D4765" s="6" t="s">
        <v>5420</v>
      </c>
      <c r="E4765" s="6" t="s">
        <v>5183</v>
      </c>
      <c r="F4765" s="9" t="s">
        <v>5730</v>
      </c>
      <c r="G4765" s="57" t="s">
        <v>11450</v>
      </c>
      <c r="H4765" s="54">
        <v>0</v>
      </c>
      <c r="I4765" s="16">
        <v>470000000</v>
      </c>
      <c r="J4765" s="56" t="s">
        <v>229</v>
      </c>
      <c r="K4765" s="57" t="s">
        <v>18437</v>
      </c>
      <c r="L4765" s="12" t="s">
        <v>404</v>
      </c>
      <c r="M4765" s="3" t="s">
        <v>230</v>
      </c>
      <c r="N4765" s="8" t="s">
        <v>8898</v>
      </c>
      <c r="O4765" s="6" t="s">
        <v>19407</v>
      </c>
      <c r="P4765" s="58">
        <v>796</v>
      </c>
      <c r="Q4765" s="26" t="s">
        <v>234</v>
      </c>
      <c r="R4765" s="27">
        <v>2</v>
      </c>
      <c r="S4765" s="59">
        <v>67281.599999999991</v>
      </c>
      <c r="T4765" s="4">
        <f>R4765*S4765</f>
        <v>134563.19999999998</v>
      </c>
      <c r="U4765" s="4">
        <f>T4765*1.12</f>
        <v>150710.78399999999</v>
      </c>
      <c r="V4765" s="3"/>
      <c r="W4765" s="3">
        <v>2014</v>
      </c>
      <c r="X4765" s="3"/>
    </row>
    <row r="4766" spans="1:24" ht="114.75">
      <c r="A4766" s="3" t="s">
        <v>10653</v>
      </c>
      <c r="B4766" s="6" t="s">
        <v>361</v>
      </c>
      <c r="C4766" s="6" t="s">
        <v>5731</v>
      </c>
      <c r="D4766" s="6" t="s">
        <v>5430</v>
      </c>
      <c r="E4766" s="6" t="s">
        <v>5732</v>
      </c>
      <c r="F4766" s="9" t="s">
        <v>8107</v>
      </c>
      <c r="G4766" s="57" t="s">
        <v>11450</v>
      </c>
      <c r="H4766" s="54">
        <v>0</v>
      </c>
      <c r="I4766" s="16">
        <v>470000000</v>
      </c>
      <c r="J4766" s="56" t="s">
        <v>229</v>
      </c>
      <c r="K4766" s="57" t="s">
        <v>641</v>
      </c>
      <c r="L4766" s="12" t="s">
        <v>404</v>
      </c>
      <c r="M4766" s="3" t="s">
        <v>230</v>
      </c>
      <c r="N4766" s="8" t="s">
        <v>8898</v>
      </c>
      <c r="O4766" s="6" t="s">
        <v>365</v>
      </c>
      <c r="P4766" s="58">
        <v>796</v>
      </c>
      <c r="Q4766" s="26" t="s">
        <v>234</v>
      </c>
      <c r="R4766" s="27">
        <v>2</v>
      </c>
      <c r="S4766" s="59">
        <v>30084.560000000001</v>
      </c>
      <c r="T4766" s="4">
        <f t="shared" ref="T4766:T4832" si="223">R4766*S4766</f>
        <v>60169.120000000003</v>
      </c>
      <c r="U4766" s="4">
        <f t="shared" si="221"/>
        <v>67389.414400000009</v>
      </c>
      <c r="V4766" s="3"/>
      <c r="W4766" s="3">
        <v>2014</v>
      </c>
      <c r="X4766" s="3"/>
    </row>
    <row r="4767" spans="1:24" ht="114.75">
      <c r="A4767" s="3" t="s">
        <v>10654</v>
      </c>
      <c r="B4767" s="6" t="s">
        <v>361</v>
      </c>
      <c r="C4767" s="6" t="s">
        <v>5433</v>
      </c>
      <c r="D4767" s="6" t="s">
        <v>5434</v>
      </c>
      <c r="E4767" s="6" t="s">
        <v>5183</v>
      </c>
      <c r="F4767" s="9" t="s">
        <v>8108</v>
      </c>
      <c r="G4767" s="57" t="s">
        <v>11450</v>
      </c>
      <c r="H4767" s="54">
        <v>0</v>
      </c>
      <c r="I4767" s="16">
        <v>470000000</v>
      </c>
      <c r="J4767" s="56" t="s">
        <v>229</v>
      </c>
      <c r="K4767" s="57" t="s">
        <v>641</v>
      </c>
      <c r="L4767" s="12" t="s">
        <v>404</v>
      </c>
      <c r="M4767" s="3" t="s">
        <v>230</v>
      </c>
      <c r="N4767" s="8" t="s">
        <v>8898</v>
      </c>
      <c r="O4767" s="6" t="s">
        <v>365</v>
      </c>
      <c r="P4767" s="58">
        <v>796</v>
      </c>
      <c r="Q4767" s="26" t="s">
        <v>234</v>
      </c>
      <c r="R4767" s="27">
        <v>2</v>
      </c>
      <c r="S4767" s="59">
        <f>12300*1.07</f>
        <v>13161</v>
      </c>
      <c r="T4767" s="4">
        <v>0</v>
      </c>
      <c r="U4767" s="4">
        <f t="shared" si="221"/>
        <v>0</v>
      </c>
      <c r="V4767" s="3"/>
      <c r="W4767" s="3">
        <v>2014</v>
      </c>
      <c r="X4767" s="3">
        <v>11</v>
      </c>
    </row>
    <row r="4768" spans="1:24" ht="114.75">
      <c r="A4768" s="3" t="s">
        <v>14179</v>
      </c>
      <c r="B4768" s="6" t="s">
        <v>361</v>
      </c>
      <c r="C4768" s="6" t="s">
        <v>5433</v>
      </c>
      <c r="D4768" s="6" t="s">
        <v>5434</v>
      </c>
      <c r="E4768" s="6" t="s">
        <v>5183</v>
      </c>
      <c r="F4768" s="9" t="s">
        <v>8108</v>
      </c>
      <c r="G4768" s="57" t="s">
        <v>11450</v>
      </c>
      <c r="H4768" s="54">
        <v>0</v>
      </c>
      <c r="I4768" s="16">
        <v>470000000</v>
      </c>
      <c r="J4768" s="56" t="s">
        <v>229</v>
      </c>
      <c r="K4768" s="57" t="s">
        <v>369</v>
      </c>
      <c r="L4768" s="12" t="s">
        <v>404</v>
      </c>
      <c r="M4768" s="3" t="s">
        <v>230</v>
      </c>
      <c r="N4768" s="8" t="s">
        <v>8898</v>
      </c>
      <c r="O4768" s="6" t="s">
        <v>365</v>
      </c>
      <c r="P4768" s="58">
        <v>796</v>
      </c>
      <c r="Q4768" s="26" t="s">
        <v>234</v>
      </c>
      <c r="R4768" s="27">
        <v>2</v>
      </c>
      <c r="S4768" s="59">
        <f>12300*1.07</f>
        <v>13161</v>
      </c>
      <c r="T4768" s="4">
        <v>0</v>
      </c>
      <c r="U4768" s="4">
        <f>T4768*1.12</f>
        <v>0</v>
      </c>
      <c r="V4768" s="3"/>
      <c r="W4768" s="3">
        <v>2014</v>
      </c>
      <c r="X4768" s="3" t="s">
        <v>14785</v>
      </c>
    </row>
    <row r="4769" spans="1:24" ht="114.75">
      <c r="A4769" s="3" t="s">
        <v>16892</v>
      </c>
      <c r="B4769" s="6" t="s">
        <v>361</v>
      </c>
      <c r="C4769" s="6" t="s">
        <v>5433</v>
      </c>
      <c r="D4769" s="6" t="s">
        <v>5434</v>
      </c>
      <c r="E4769" s="6" t="s">
        <v>5183</v>
      </c>
      <c r="F4769" s="9" t="s">
        <v>8108</v>
      </c>
      <c r="G4769" s="3" t="s">
        <v>11450</v>
      </c>
      <c r="H4769" s="54">
        <v>0</v>
      </c>
      <c r="I4769" s="16">
        <v>470000000</v>
      </c>
      <c r="J4769" s="56" t="s">
        <v>229</v>
      </c>
      <c r="K4769" s="57" t="s">
        <v>8950</v>
      </c>
      <c r="L4769" s="12" t="s">
        <v>404</v>
      </c>
      <c r="M4769" s="3" t="s">
        <v>230</v>
      </c>
      <c r="N4769" s="8" t="s">
        <v>8898</v>
      </c>
      <c r="O4769" s="6" t="s">
        <v>365</v>
      </c>
      <c r="P4769" s="58">
        <v>796</v>
      </c>
      <c r="Q4769" s="26" t="s">
        <v>234</v>
      </c>
      <c r="R4769" s="27">
        <v>2</v>
      </c>
      <c r="S4769" s="59">
        <v>15793.199999999999</v>
      </c>
      <c r="T4769" s="4">
        <v>0</v>
      </c>
      <c r="U4769" s="4">
        <f>T4769*1.12</f>
        <v>0</v>
      </c>
      <c r="V4769" s="3"/>
      <c r="W4769" s="3">
        <v>2014</v>
      </c>
      <c r="X4769" s="3">
        <v>11</v>
      </c>
    </row>
    <row r="4770" spans="1:24" ht="114.75">
      <c r="A4770" s="3" t="s">
        <v>18800</v>
      </c>
      <c r="B4770" s="6" t="s">
        <v>361</v>
      </c>
      <c r="C4770" s="6" t="s">
        <v>5433</v>
      </c>
      <c r="D4770" s="6" t="s">
        <v>5434</v>
      </c>
      <c r="E4770" s="6" t="s">
        <v>5183</v>
      </c>
      <c r="F4770" s="9" t="s">
        <v>8108</v>
      </c>
      <c r="G4770" s="3" t="s">
        <v>11450</v>
      </c>
      <c r="H4770" s="54">
        <v>0</v>
      </c>
      <c r="I4770" s="16">
        <v>470000000</v>
      </c>
      <c r="J4770" s="56" t="s">
        <v>229</v>
      </c>
      <c r="K4770" s="57" t="s">
        <v>18437</v>
      </c>
      <c r="L4770" s="12" t="s">
        <v>404</v>
      </c>
      <c r="M4770" s="3" t="s">
        <v>230</v>
      </c>
      <c r="N4770" s="8" t="s">
        <v>8898</v>
      </c>
      <c r="O4770" s="6" t="s">
        <v>365</v>
      </c>
      <c r="P4770" s="58">
        <v>796</v>
      </c>
      <c r="Q4770" s="26" t="s">
        <v>234</v>
      </c>
      <c r="R4770" s="27">
        <v>2</v>
      </c>
      <c r="S4770" s="59">
        <v>15793.199999999999</v>
      </c>
      <c r="T4770" s="4">
        <v>0</v>
      </c>
      <c r="U4770" s="4">
        <f>T4770*1.12</f>
        <v>0</v>
      </c>
      <c r="V4770" s="3"/>
      <c r="W4770" s="3">
        <v>2014</v>
      </c>
      <c r="X4770" s="3">
        <v>15</v>
      </c>
    </row>
    <row r="4771" spans="1:24" ht="76.5">
      <c r="A4771" s="3" t="s">
        <v>19497</v>
      </c>
      <c r="B4771" s="6" t="s">
        <v>361</v>
      </c>
      <c r="C4771" s="6" t="s">
        <v>5433</v>
      </c>
      <c r="D4771" s="6" t="s">
        <v>5434</v>
      </c>
      <c r="E4771" s="6" t="s">
        <v>5183</v>
      </c>
      <c r="F4771" s="9" t="s">
        <v>8108</v>
      </c>
      <c r="G4771" s="3" t="s">
        <v>11450</v>
      </c>
      <c r="H4771" s="54">
        <v>0</v>
      </c>
      <c r="I4771" s="16">
        <v>470000000</v>
      </c>
      <c r="J4771" s="56" t="s">
        <v>229</v>
      </c>
      <c r="K4771" s="57" t="s">
        <v>18437</v>
      </c>
      <c r="L4771" s="12" t="s">
        <v>404</v>
      </c>
      <c r="M4771" s="3" t="s">
        <v>230</v>
      </c>
      <c r="N4771" s="8" t="s">
        <v>8898</v>
      </c>
      <c r="O4771" s="6" t="s">
        <v>19407</v>
      </c>
      <c r="P4771" s="58">
        <v>796</v>
      </c>
      <c r="Q4771" s="26" t="s">
        <v>234</v>
      </c>
      <c r="R4771" s="27">
        <v>2</v>
      </c>
      <c r="S4771" s="59">
        <v>15793.199999999999</v>
      </c>
      <c r="T4771" s="4">
        <f>R4771*S4771</f>
        <v>31586.399999999998</v>
      </c>
      <c r="U4771" s="4">
        <f>T4771*1.12</f>
        <v>35376.768000000004</v>
      </c>
      <c r="V4771" s="3"/>
      <c r="W4771" s="3">
        <v>2014</v>
      </c>
      <c r="X4771" s="3"/>
    </row>
    <row r="4772" spans="1:24" ht="114.75">
      <c r="A4772" s="3" t="s">
        <v>10655</v>
      </c>
      <c r="B4772" s="6" t="s">
        <v>361</v>
      </c>
      <c r="C4772" s="6" t="s">
        <v>5641</v>
      </c>
      <c r="D4772" s="6" t="s">
        <v>430</v>
      </c>
      <c r="E4772" s="6" t="s">
        <v>5642</v>
      </c>
      <c r="F4772" s="9" t="s">
        <v>8109</v>
      </c>
      <c r="G4772" s="57" t="s">
        <v>11450</v>
      </c>
      <c r="H4772" s="54">
        <v>0</v>
      </c>
      <c r="I4772" s="16">
        <v>470000000</v>
      </c>
      <c r="J4772" s="56" t="s">
        <v>229</v>
      </c>
      <c r="K4772" s="57" t="s">
        <v>641</v>
      </c>
      <c r="L4772" s="12" t="s">
        <v>404</v>
      </c>
      <c r="M4772" s="3" t="s">
        <v>230</v>
      </c>
      <c r="N4772" s="8" t="s">
        <v>8898</v>
      </c>
      <c r="O4772" s="6" t="s">
        <v>365</v>
      </c>
      <c r="P4772" s="58">
        <v>796</v>
      </c>
      <c r="Q4772" s="26" t="s">
        <v>234</v>
      </c>
      <c r="R4772" s="27">
        <v>2</v>
      </c>
      <c r="S4772" s="59">
        <f>25500*1.07</f>
        <v>27285</v>
      </c>
      <c r="T4772" s="4">
        <f t="shared" si="223"/>
        <v>54570</v>
      </c>
      <c r="U4772" s="4">
        <f t="shared" si="221"/>
        <v>61118.400000000009</v>
      </c>
      <c r="V4772" s="3"/>
      <c r="W4772" s="3">
        <v>2014</v>
      </c>
      <c r="X4772" s="3"/>
    </row>
    <row r="4773" spans="1:24" ht="114.75">
      <c r="A4773" s="3" t="s">
        <v>10656</v>
      </c>
      <c r="B4773" s="6" t="s">
        <v>361</v>
      </c>
      <c r="C4773" s="6" t="s">
        <v>5461</v>
      </c>
      <c r="D4773" s="6" t="s">
        <v>5357</v>
      </c>
      <c r="E4773" s="6" t="s">
        <v>5462</v>
      </c>
      <c r="F4773" s="8" t="s">
        <v>8110</v>
      </c>
      <c r="G4773" s="57" t="s">
        <v>11450</v>
      </c>
      <c r="H4773" s="54">
        <v>0</v>
      </c>
      <c r="I4773" s="16">
        <v>470000000</v>
      </c>
      <c r="J4773" s="56" t="s">
        <v>229</v>
      </c>
      <c r="K4773" s="57" t="s">
        <v>641</v>
      </c>
      <c r="L4773" s="12" t="s">
        <v>404</v>
      </c>
      <c r="M4773" s="3" t="s">
        <v>230</v>
      </c>
      <c r="N4773" s="8" t="s">
        <v>8898</v>
      </c>
      <c r="O4773" s="6" t="s">
        <v>365</v>
      </c>
      <c r="P4773" s="58">
        <v>839</v>
      </c>
      <c r="Q4773" s="27" t="s">
        <v>239</v>
      </c>
      <c r="R4773" s="29">
        <v>6</v>
      </c>
      <c r="S4773" s="59">
        <f>2200*1.07</f>
        <v>2354</v>
      </c>
      <c r="T4773" s="4">
        <v>0</v>
      </c>
      <c r="U4773" s="4">
        <f t="shared" si="221"/>
        <v>0</v>
      </c>
      <c r="V4773" s="3"/>
      <c r="W4773" s="3">
        <v>2014</v>
      </c>
      <c r="X4773" s="3">
        <v>11</v>
      </c>
    </row>
    <row r="4774" spans="1:24" ht="114.75">
      <c r="A4774" s="3" t="s">
        <v>14180</v>
      </c>
      <c r="B4774" s="6" t="s">
        <v>361</v>
      </c>
      <c r="C4774" s="6" t="s">
        <v>5461</v>
      </c>
      <c r="D4774" s="6" t="s">
        <v>5357</v>
      </c>
      <c r="E4774" s="6" t="s">
        <v>5462</v>
      </c>
      <c r="F4774" s="8" t="s">
        <v>8110</v>
      </c>
      <c r="G4774" s="57" t="s">
        <v>11450</v>
      </c>
      <c r="H4774" s="54">
        <v>0</v>
      </c>
      <c r="I4774" s="16">
        <v>470000000</v>
      </c>
      <c r="J4774" s="56" t="s">
        <v>229</v>
      </c>
      <c r="K4774" s="57" t="s">
        <v>369</v>
      </c>
      <c r="L4774" s="12" t="s">
        <v>404</v>
      </c>
      <c r="M4774" s="3" t="s">
        <v>230</v>
      </c>
      <c r="N4774" s="8" t="s">
        <v>8898</v>
      </c>
      <c r="O4774" s="6" t="s">
        <v>365</v>
      </c>
      <c r="P4774" s="58">
        <v>839</v>
      </c>
      <c r="Q4774" s="27" t="s">
        <v>239</v>
      </c>
      <c r="R4774" s="29">
        <v>6</v>
      </c>
      <c r="S4774" s="59">
        <f>2200*1.07</f>
        <v>2354</v>
      </c>
      <c r="T4774" s="4">
        <f>R4774*S4774</f>
        <v>14124</v>
      </c>
      <c r="U4774" s="4">
        <f>T4774*1.12</f>
        <v>15818.880000000001</v>
      </c>
      <c r="V4774" s="3"/>
      <c r="W4774" s="3">
        <v>2014</v>
      </c>
      <c r="X4774" s="3"/>
    </row>
    <row r="4775" spans="1:24" ht="114.75">
      <c r="A4775" s="3" t="s">
        <v>10657</v>
      </c>
      <c r="B4775" s="6" t="s">
        <v>361</v>
      </c>
      <c r="C4775" s="6" t="s">
        <v>5733</v>
      </c>
      <c r="D4775" s="6" t="s">
        <v>398</v>
      </c>
      <c r="E4775" s="6" t="s">
        <v>5332</v>
      </c>
      <c r="F4775" s="8" t="s">
        <v>8111</v>
      </c>
      <c r="G4775" s="57" t="s">
        <v>11450</v>
      </c>
      <c r="H4775" s="54">
        <v>0</v>
      </c>
      <c r="I4775" s="16">
        <v>470000000</v>
      </c>
      <c r="J4775" s="56" t="s">
        <v>229</v>
      </c>
      <c r="K4775" s="57" t="s">
        <v>641</v>
      </c>
      <c r="L4775" s="12" t="s">
        <v>404</v>
      </c>
      <c r="M4775" s="3" t="s">
        <v>230</v>
      </c>
      <c r="N4775" s="8" t="s">
        <v>8898</v>
      </c>
      <c r="O4775" s="6" t="s">
        <v>365</v>
      </c>
      <c r="P4775" s="58">
        <v>796</v>
      </c>
      <c r="Q4775" s="26" t="s">
        <v>234</v>
      </c>
      <c r="R4775" s="29">
        <v>20</v>
      </c>
      <c r="S4775" s="59">
        <f>1000*1.07</f>
        <v>1070</v>
      </c>
      <c r="T4775" s="4">
        <v>0</v>
      </c>
      <c r="U4775" s="4">
        <f t="shared" si="221"/>
        <v>0</v>
      </c>
      <c r="V4775" s="3"/>
      <c r="W4775" s="3">
        <v>2014</v>
      </c>
      <c r="X4775" s="3">
        <v>11</v>
      </c>
    </row>
    <row r="4776" spans="1:24" ht="114.75">
      <c r="A4776" s="3" t="s">
        <v>14181</v>
      </c>
      <c r="B4776" s="6" t="s">
        <v>361</v>
      </c>
      <c r="C4776" s="6" t="s">
        <v>5733</v>
      </c>
      <c r="D4776" s="6" t="s">
        <v>398</v>
      </c>
      <c r="E4776" s="6" t="s">
        <v>5332</v>
      </c>
      <c r="F4776" s="8" t="s">
        <v>8111</v>
      </c>
      <c r="G4776" s="57" t="s">
        <v>11450</v>
      </c>
      <c r="H4776" s="54">
        <v>0</v>
      </c>
      <c r="I4776" s="16">
        <v>470000000</v>
      </c>
      <c r="J4776" s="56" t="s">
        <v>229</v>
      </c>
      <c r="K4776" s="57" t="s">
        <v>369</v>
      </c>
      <c r="L4776" s="12" t="s">
        <v>404</v>
      </c>
      <c r="M4776" s="3" t="s">
        <v>230</v>
      </c>
      <c r="N4776" s="8" t="s">
        <v>8898</v>
      </c>
      <c r="O4776" s="6" t="s">
        <v>365</v>
      </c>
      <c r="P4776" s="58">
        <v>796</v>
      </c>
      <c r="Q4776" s="26" t="s">
        <v>234</v>
      </c>
      <c r="R4776" s="29">
        <v>20</v>
      </c>
      <c r="S4776" s="59">
        <f>1000*1.07</f>
        <v>1070</v>
      </c>
      <c r="T4776" s="4">
        <f>R4776*S4776</f>
        <v>21400</v>
      </c>
      <c r="U4776" s="4">
        <f>T4776*1.12</f>
        <v>23968.000000000004</v>
      </c>
      <c r="V4776" s="3"/>
      <c r="W4776" s="3">
        <v>2014</v>
      </c>
      <c r="X4776" s="3"/>
    </row>
    <row r="4777" spans="1:24" ht="114.75">
      <c r="A4777" s="3" t="s">
        <v>10658</v>
      </c>
      <c r="B4777" s="6" t="s">
        <v>361</v>
      </c>
      <c r="C4777" s="6" t="s">
        <v>5461</v>
      </c>
      <c r="D4777" s="6" t="s">
        <v>5357</v>
      </c>
      <c r="E4777" s="6" t="s">
        <v>5462</v>
      </c>
      <c r="F4777" s="8" t="s">
        <v>8112</v>
      </c>
      <c r="G4777" s="57" t="s">
        <v>11450</v>
      </c>
      <c r="H4777" s="54">
        <v>0</v>
      </c>
      <c r="I4777" s="16">
        <v>470000000</v>
      </c>
      <c r="J4777" s="56" t="s">
        <v>229</v>
      </c>
      <c r="K4777" s="57" t="s">
        <v>641</v>
      </c>
      <c r="L4777" s="12" t="s">
        <v>404</v>
      </c>
      <c r="M4777" s="3" t="s">
        <v>230</v>
      </c>
      <c r="N4777" s="8" t="s">
        <v>8898</v>
      </c>
      <c r="O4777" s="6" t="s">
        <v>365</v>
      </c>
      <c r="P4777" s="58">
        <v>839</v>
      </c>
      <c r="Q4777" s="27" t="s">
        <v>239</v>
      </c>
      <c r="R4777" s="29">
        <v>20</v>
      </c>
      <c r="S4777" s="59">
        <f>700*1.07</f>
        <v>749</v>
      </c>
      <c r="T4777" s="4">
        <v>0</v>
      </c>
      <c r="U4777" s="4">
        <f t="shared" si="221"/>
        <v>0</v>
      </c>
      <c r="V4777" s="3"/>
      <c r="W4777" s="3">
        <v>2014</v>
      </c>
      <c r="X4777" s="3">
        <v>11</v>
      </c>
    </row>
    <row r="4778" spans="1:24" ht="114.75">
      <c r="A4778" s="3" t="s">
        <v>14182</v>
      </c>
      <c r="B4778" s="6" t="s">
        <v>361</v>
      </c>
      <c r="C4778" s="6" t="s">
        <v>5461</v>
      </c>
      <c r="D4778" s="6" t="s">
        <v>5357</v>
      </c>
      <c r="E4778" s="6" t="s">
        <v>5462</v>
      </c>
      <c r="F4778" s="8" t="s">
        <v>8112</v>
      </c>
      <c r="G4778" s="57" t="s">
        <v>11450</v>
      </c>
      <c r="H4778" s="54">
        <v>0</v>
      </c>
      <c r="I4778" s="16">
        <v>470000000</v>
      </c>
      <c r="J4778" s="56" t="s">
        <v>229</v>
      </c>
      <c r="K4778" s="57" t="s">
        <v>369</v>
      </c>
      <c r="L4778" s="12" t="s">
        <v>404</v>
      </c>
      <c r="M4778" s="3" t="s">
        <v>230</v>
      </c>
      <c r="N4778" s="8" t="s">
        <v>8898</v>
      </c>
      <c r="O4778" s="6" t="s">
        <v>365</v>
      </c>
      <c r="P4778" s="58">
        <v>839</v>
      </c>
      <c r="Q4778" s="27" t="s">
        <v>239</v>
      </c>
      <c r="R4778" s="29">
        <v>20</v>
      </c>
      <c r="S4778" s="59">
        <f>700*1.07</f>
        <v>749</v>
      </c>
      <c r="T4778" s="4">
        <f>R4778*S4778</f>
        <v>14980</v>
      </c>
      <c r="U4778" s="4">
        <f>T4778*1.12</f>
        <v>16777.600000000002</v>
      </c>
      <c r="V4778" s="3"/>
      <c r="W4778" s="3">
        <v>2014</v>
      </c>
      <c r="X4778" s="3"/>
    </row>
    <row r="4779" spans="1:24" ht="114.75">
      <c r="A4779" s="3" t="s">
        <v>10659</v>
      </c>
      <c r="B4779" s="6" t="s">
        <v>361</v>
      </c>
      <c r="C4779" s="6" t="s">
        <v>5393</v>
      </c>
      <c r="D4779" s="6" t="s">
        <v>5394</v>
      </c>
      <c r="E4779" s="6" t="s">
        <v>5735</v>
      </c>
      <c r="F4779" s="8" t="s">
        <v>8113</v>
      </c>
      <c r="G4779" s="57" t="s">
        <v>11450</v>
      </c>
      <c r="H4779" s="54">
        <v>0</v>
      </c>
      <c r="I4779" s="16">
        <v>470000000</v>
      </c>
      <c r="J4779" s="56" t="s">
        <v>229</v>
      </c>
      <c r="K4779" s="57" t="s">
        <v>641</v>
      </c>
      <c r="L4779" s="12" t="s">
        <v>404</v>
      </c>
      <c r="M4779" s="3" t="s">
        <v>230</v>
      </c>
      <c r="N4779" s="8" t="s">
        <v>8898</v>
      </c>
      <c r="O4779" s="6" t="s">
        <v>365</v>
      </c>
      <c r="P4779" s="58">
        <v>796</v>
      </c>
      <c r="Q4779" s="27" t="s">
        <v>234</v>
      </c>
      <c r="R4779" s="29">
        <v>1</v>
      </c>
      <c r="S4779" s="59">
        <v>34375</v>
      </c>
      <c r="T4779" s="4">
        <f t="shared" si="223"/>
        <v>34375</v>
      </c>
      <c r="U4779" s="4">
        <f t="shared" si="221"/>
        <v>38500.000000000007</v>
      </c>
      <c r="V4779" s="3"/>
      <c r="W4779" s="3">
        <v>2014</v>
      </c>
      <c r="X4779" s="3"/>
    </row>
    <row r="4780" spans="1:24" ht="114.75">
      <c r="A4780" s="3" t="s">
        <v>10660</v>
      </c>
      <c r="B4780" s="6" t="s">
        <v>361</v>
      </c>
      <c r="C4780" s="6" t="s">
        <v>5736</v>
      </c>
      <c r="D4780" s="6" t="s">
        <v>5737</v>
      </c>
      <c r="E4780" s="6" t="s">
        <v>5738</v>
      </c>
      <c r="F4780" s="8" t="s">
        <v>8114</v>
      </c>
      <c r="G4780" s="57" t="s">
        <v>11450</v>
      </c>
      <c r="H4780" s="54">
        <v>0</v>
      </c>
      <c r="I4780" s="16">
        <v>470000000</v>
      </c>
      <c r="J4780" s="56" t="s">
        <v>229</v>
      </c>
      <c r="K4780" s="57" t="s">
        <v>641</v>
      </c>
      <c r="L4780" s="12" t="s">
        <v>404</v>
      </c>
      <c r="M4780" s="3" t="s">
        <v>230</v>
      </c>
      <c r="N4780" s="8" t="s">
        <v>8898</v>
      </c>
      <c r="O4780" s="6" t="s">
        <v>365</v>
      </c>
      <c r="P4780" s="58">
        <v>796</v>
      </c>
      <c r="Q4780" s="27" t="s">
        <v>234</v>
      </c>
      <c r="R4780" s="29">
        <v>1</v>
      </c>
      <c r="S4780" s="59">
        <v>35062.5</v>
      </c>
      <c r="T4780" s="4">
        <f t="shared" si="223"/>
        <v>35062.5</v>
      </c>
      <c r="U4780" s="4">
        <f t="shared" si="221"/>
        <v>39270.000000000007</v>
      </c>
      <c r="V4780" s="3"/>
      <c r="W4780" s="3">
        <v>2014</v>
      </c>
      <c r="X4780" s="3"/>
    </row>
    <row r="4781" spans="1:24" ht="114.75">
      <c r="A4781" s="3" t="s">
        <v>10661</v>
      </c>
      <c r="B4781" s="6" t="s">
        <v>361</v>
      </c>
      <c r="C4781" s="6" t="s">
        <v>5702</v>
      </c>
      <c r="D4781" s="6" t="s">
        <v>5703</v>
      </c>
      <c r="E4781" s="6" t="s">
        <v>5183</v>
      </c>
      <c r="F4781" s="8" t="s">
        <v>8115</v>
      </c>
      <c r="G4781" s="57" t="s">
        <v>11450</v>
      </c>
      <c r="H4781" s="54">
        <v>0</v>
      </c>
      <c r="I4781" s="16">
        <v>470000000</v>
      </c>
      <c r="J4781" s="56" t="s">
        <v>229</v>
      </c>
      <c r="K4781" s="57" t="s">
        <v>641</v>
      </c>
      <c r="L4781" s="12" t="s">
        <v>404</v>
      </c>
      <c r="M4781" s="3" t="s">
        <v>230</v>
      </c>
      <c r="N4781" s="8" t="s">
        <v>8898</v>
      </c>
      <c r="O4781" s="6" t="s">
        <v>365</v>
      </c>
      <c r="P4781" s="58">
        <v>796</v>
      </c>
      <c r="Q4781" s="27" t="s">
        <v>234</v>
      </c>
      <c r="R4781" s="29">
        <v>3</v>
      </c>
      <c r="S4781" s="59">
        <v>8800</v>
      </c>
      <c r="T4781" s="4">
        <f t="shared" si="223"/>
        <v>26400</v>
      </c>
      <c r="U4781" s="4">
        <f t="shared" si="221"/>
        <v>29568.000000000004</v>
      </c>
      <c r="V4781" s="3"/>
      <c r="W4781" s="3">
        <v>2014</v>
      </c>
      <c r="X4781" s="3"/>
    </row>
    <row r="4782" spans="1:24" ht="127.5">
      <c r="A4782" s="3" t="s">
        <v>10662</v>
      </c>
      <c r="B4782" s="6" t="s">
        <v>361</v>
      </c>
      <c r="C4782" s="6" t="s">
        <v>5739</v>
      </c>
      <c r="D4782" s="6" t="s">
        <v>3119</v>
      </c>
      <c r="E4782" s="6" t="s">
        <v>5740</v>
      </c>
      <c r="F4782" s="224" t="s">
        <v>5741</v>
      </c>
      <c r="G4782" s="57" t="s">
        <v>11449</v>
      </c>
      <c r="H4782" s="54">
        <v>0</v>
      </c>
      <c r="I4782" s="16">
        <v>470000000</v>
      </c>
      <c r="J4782" s="56" t="s">
        <v>229</v>
      </c>
      <c r="K4782" s="57" t="s">
        <v>641</v>
      </c>
      <c r="L4782" s="12" t="s">
        <v>404</v>
      </c>
      <c r="M4782" s="3" t="s">
        <v>230</v>
      </c>
      <c r="N4782" s="8" t="s">
        <v>8899</v>
      </c>
      <c r="O4782" s="6" t="s">
        <v>365</v>
      </c>
      <c r="P4782" s="58">
        <v>839</v>
      </c>
      <c r="Q4782" s="26" t="s">
        <v>431</v>
      </c>
      <c r="R4782" s="26">
        <v>1</v>
      </c>
      <c r="S4782" s="59">
        <f>1300000*1.07</f>
        <v>1391000</v>
      </c>
      <c r="T4782" s="4">
        <f t="shared" si="223"/>
        <v>1391000</v>
      </c>
      <c r="U4782" s="4">
        <f t="shared" si="221"/>
        <v>1557920.0000000002</v>
      </c>
      <c r="V4782" s="3"/>
      <c r="W4782" s="3">
        <v>2014</v>
      </c>
      <c r="X4782" s="3"/>
    </row>
    <row r="4783" spans="1:24" ht="114.75">
      <c r="A4783" s="3" t="s">
        <v>10663</v>
      </c>
      <c r="B4783" s="6" t="s">
        <v>361</v>
      </c>
      <c r="C4783" s="6" t="s">
        <v>5742</v>
      </c>
      <c r="D4783" s="6" t="s">
        <v>432</v>
      </c>
      <c r="E4783" s="6" t="s">
        <v>5743</v>
      </c>
      <c r="F4783" s="8" t="s">
        <v>5744</v>
      </c>
      <c r="G4783" s="57" t="s">
        <v>11449</v>
      </c>
      <c r="H4783" s="54">
        <v>0</v>
      </c>
      <c r="I4783" s="16">
        <v>470000000</v>
      </c>
      <c r="J4783" s="56" t="s">
        <v>229</v>
      </c>
      <c r="K4783" s="57" t="s">
        <v>641</v>
      </c>
      <c r="L4783" s="12" t="s">
        <v>404</v>
      </c>
      <c r="M4783" s="3" t="s">
        <v>230</v>
      </c>
      <c r="N4783" s="8" t="s">
        <v>8899</v>
      </c>
      <c r="O4783" s="6" t="s">
        <v>365</v>
      </c>
      <c r="P4783" s="58">
        <v>796</v>
      </c>
      <c r="Q4783" s="28" t="s">
        <v>234</v>
      </c>
      <c r="R4783" s="28">
        <v>2</v>
      </c>
      <c r="S4783" s="59">
        <f>430000*1.07</f>
        <v>460100</v>
      </c>
      <c r="T4783" s="4">
        <f t="shared" si="223"/>
        <v>920200</v>
      </c>
      <c r="U4783" s="4">
        <f t="shared" si="221"/>
        <v>1030624.0000000001</v>
      </c>
      <c r="V4783" s="3"/>
      <c r="W4783" s="3">
        <v>2014</v>
      </c>
      <c r="X4783" s="3"/>
    </row>
    <row r="4784" spans="1:24" ht="114.75">
      <c r="A4784" s="3" t="s">
        <v>10664</v>
      </c>
      <c r="B4784" s="6" t="s">
        <v>361</v>
      </c>
      <c r="C4784" s="6" t="s">
        <v>5745</v>
      </c>
      <c r="D4784" s="6" t="s">
        <v>3117</v>
      </c>
      <c r="E4784" s="6" t="s">
        <v>5746</v>
      </c>
      <c r="F4784" s="8" t="s">
        <v>5747</v>
      </c>
      <c r="G4784" s="57" t="s">
        <v>11449</v>
      </c>
      <c r="H4784" s="54">
        <v>0</v>
      </c>
      <c r="I4784" s="16">
        <v>470000000</v>
      </c>
      <c r="J4784" s="56" t="s">
        <v>229</v>
      </c>
      <c r="K4784" s="57" t="s">
        <v>641</v>
      </c>
      <c r="L4784" s="12" t="s">
        <v>404</v>
      </c>
      <c r="M4784" s="3" t="s">
        <v>230</v>
      </c>
      <c r="N4784" s="8" t="s">
        <v>8899</v>
      </c>
      <c r="O4784" s="6" t="s">
        <v>365</v>
      </c>
      <c r="P4784" s="58">
        <v>796</v>
      </c>
      <c r="Q4784" s="28" t="s">
        <v>234</v>
      </c>
      <c r="R4784" s="28">
        <v>2</v>
      </c>
      <c r="S4784" s="59">
        <f>135000*1.07</f>
        <v>144450</v>
      </c>
      <c r="T4784" s="4">
        <f t="shared" si="223"/>
        <v>288900</v>
      </c>
      <c r="U4784" s="4">
        <f t="shared" si="221"/>
        <v>323568.00000000006</v>
      </c>
      <c r="V4784" s="3"/>
      <c r="W4784" s="3">
        <v>2014</v>
      </c>
      <c r="X4784" s="3"/>
    </row>
    <row r="4785" spans="1:24" ht="114.75">
      <c r="A4785" s="3" t="s">
        <v>10665</v>
      </c>
      <c r="B4785" s="6" t="s">
        <v>361</v>
      </c>
      <c r="C4785" s="6" t="s">
        <v>6159</v>
      </c>
      <c r="D4785" s="6" t="s">
        <v>3122</v>
      </c>
      <c r="E4785" s="6" t="s">
        <v>5743</v>
      </c>
      <c r="F4785" s="30" t="s">
        <v>11727</v>
      </c>
      <c r="G4785" s="57" t="s">
        <v>11449</v>
      </c>
      <c r="H4785" s="54">
        <v>0</v>
      </c>
      <c r="I4785" s="16">
        <v>470000000</v>
      </c>
      <c r="J4785" s="56" t="s">
        <v>229</v>
      </c>
      <c r="K4785" s="57" t="s">
        <v>641</v>
      </c>
      <c r="L4785" s="12" t="s">
        <v>404</v>
      </c>
      <c r="M4785" s="3" t="s">
        <v>230</v>
      </c>
      <c r="N4785" s="8" t="s">
        <v>8899</v>
      </c>
      <c r="O4785" s="6" t="s">
        <v>365</v>
      </c>
      <c r="P4785" s="58">
        <v>839</v>
      </c>
      <c r="Q4785" s="27" t="s">
        <v>239</v>
      </c>
      <c r="R4785" s="27">
        <v>10</v>
      </c>
      <c r="S4785" s="59">
        <f>2500*1.07</f>
        <v>2675</v>
      </c>
      <c r="T4785" s="4">
        <f t="shared" si="223"/>
        <v>26750</v>
      </c>
      <c r="U4785" s="4">
        <f t="shared" si="221"/>
        <v>29960.000000000004</v>
      </c>
      <c r="V4785" s="3"/>
      <c r="W4785" s="3">
        <v>2014</v>
      </c>
      <c r="X4785" s="3"/>
    </row>
    <row r="4786" spans="1:24" ht="114.75">
      <c r="A4786" s="3" t="s">
        <v>10666</v>
      </c>
      <c r="B4786" s="6" t="s">
        <v>361</v>
      </c>
      <c r="C4786" s="6" t="s">
        <v>6159</v>
      </c>
      <c r="D4786" s="6" t="s">
        <v>3122</v>
      </c>
      <c r="E4786" s="6" t="s">
        <v>5743</v>
      </c>
      <c r="F4786" s="8" t="s">
        <v>11728</v>
      </c>
      <c r="G4786" s="57" t="s">
        <v>11449</v>
      </c>
      <c r="H4786" s="54">
        <v>0</v>
      </c>
      <c r="I4786" s="16">
        <v>470000000</v>
      </c>
      <c r="J4786" s="56" t="s">
        <v>229</v>
      </c>
      <c r="K4786" s="57" t="s">
        <v>641</v>
      </c>
      <c r="L4786" s="12" t="s">
        <v>404</v>
      </c>
      <c r="M4786" s="3" t="s">
        <v>230</v>
      </c>
      <c r="N4786" s="8" t="s">
        <v>8899</v>
      </c>
      <c r="O4786" s="6" t="s">
        <v>365</v>
      </c>
      <c r="P4786" s="58">
        <v>839</v>
      </c>
      <c r="Q4786" s="27" t="s">
        <v>239</v>
      </c>
      <c r="R4786" s="27">
        <v>10</v>
      </c>
      <c r="S4786" s="59">
        <f>2500*1.07</f>
        <v>2675</v>
      </c>
      <c r="T4786" s="4">
        <f t="shared" si="223"/>
        <v>26750</v>
      </c>
      <c r="U4786" s="4">
        <f t="shared" si="221"/>
        <v>29960.000000000004</v>
      </c>
      <c r="V4786" s="3"/>
      <c r="W4786" s="3">
        <v>2014</v>
      </c>
      <c r="X4786" s="3"/>
    </row>
    <row r="4787" spans="1:24" ht="114.75">
      <c r="A4787" s="3" t="s">
        <v>10667</v>
      </c>
      <c r="B4787" s="6" t="s">
        <v>361</v>
      </c>
      <c r="C4787" s="6" t="s">
        <v>7338</v>
      </c>
      <c r="D4787" s="6" t="s">
        <v>3125</v>
      </c>
      <c r="E4787" s="6" t="s">
        <v>5743</v>
      </c>
      <c r="F4787" s="8" t="s">
        <v>11729</v>
      </c>
      <c r="G4787" s="57" t="s">
        <v>11449</v>
      </c>
      <c r="H4787" s="54">
        <v>0</v>
      </c>
      <c r="I4787" s="16">
        <v>470000000</v>
      </c>
      <c r="J4787" s="56" t="s">
        <v>229</v>
      </c>
      <c r="K4787" s="57" t="s">
        <v>641</v>
      </c>
      <c r="L4787" s="12" t="s">
        <v>404</v>
      </c>
      <c r="M4787" s="3" t="s">
        <v>230</v>
      </c>
      <c r="N4787" s="8" t="s">
        <v>8899</v>
      </c>
      <c r="O4787" s="6" t="s">
        <v>365</v>
      </c>
      <c r="P4787" s="58">
        <v>839</v>
      </c>
      <c r="Q4787" s="27" t="s">
        <v>239</v>
      </c>
      <c r="R4787" s="27">
        <v>10</v>
      </c>
      <c r="S4787" s="59">
        <f>2500*1.07</f>
        <v>2675</v>
      </c>
      <c r="T4787" s="4">
        <f t="shared" si="223"/>
        <v>26750</v>
      </c>
      <c r="U4787" s="4">
        <f t="shared" si="221"/>
        <v>29960.000000000004</v>
      </c>
      <c r="V4787" s="3"/>
      <c r="W4787" s="3">
        <v>2014</v>
      </c>
      <c r="X4787" s="3"/>
    </row>
    <row r="4788" spans="1:24" ht="114.75">
      <c r="A4788" s="3" t="s">
        <v>10668</v>
      </c>
      <c r="B4788" s="6" t="s">
        <v>361</v>
      </c>
      <c r="C4788" s="6" t="s">
        <v>7338</v>
      </c>
      <c r="D4788" s="6" t="s">
        <v>3125</v>
      </c>
      <c r="E4788" s="6" t="s">
        <v>5743</v>
      </c>
      <c r="F4788" s="8" t="s">
        <v>11730</v>
      </c>
      <c r="G4788" s="57" t="s">
        <v>11449</v>
      </c>
      <c r="H4788" s="54">
        <v>0</v>
      </c>
      <c r="I4788" s="16">
        <v>470000000</v>
      </c>
      <c r="J4788" s="56" t="s">
        <v>229</v>
      </c>
      <c r="K4788" s="57" t="s">
        <v>641</v>
      </c>
      <c r="L4788" s="12" t="s">
        <v>404</v>
      </c>
      <c r="M4788" s="3" t="s">
        <v>230</v>
      </c>
      <c r="N4788" s="8" t="s">
        <v>8899</v>
      </c>
      <c r="O4788" s="6" t="s">
        <v>365</v>
      </c>
      <c r="P4788" s="58">
        <v>839</v>
      </c>
      <c r="Q4788" s="27" t="s">
        <v>239</v>
      </c>
      <c r="R4788" s="27">
        <v>10</v>
      </c>
      <c r="S4788" s="59">
        <f>2500*1.07</f>
        <v>2675</v>
      </c>
      <c r="T4788" s="4">
        <f t="shared" si="223"/>
        <v>26750</v>
      </c>
      <c r="U4788" s="4">
        <f t="shared" si="221"/>
        <v>29960.000000000004</v>
      </c>
      <c r="V4788" s="3"/>
      <c r="W4788" s="3">
        <v>2014</v>
      </c>
      <c r="X4788" s="3"/>
    </row>
    <row r="4789" spans="1:24" ht="114.75">
      <c r="A4789" s="3" t="s">
        <v>10669</v>
      </c>
      <c r="B4789" s="6" t="s">
        <v>361</v>
      </c>
      <c r="C4789" s="6" t="s">
        <v>7339</v>
      </c>
      <c r="D4789" s="6" t="s">
        <v>11533</v>
      </c>
      <c r="E4789" s="6" t="s">
        <v>3115</v>
      </c>
      <c r="F4789" s="30" t="s">
        <v>11731</v>
      </c>
      <c r="G4789" s="57" t="s">
        <v>11449</v>
      </c>
      <c r="H4789" s="54">
        <v>0</v>
      </c>
      <c r="I4789" s="16">
        <v>470000000</v>
      </c>
      <c r="J4789" s="56" t="s">
        <v>229</v>
      </c>
      <c r="K4789" s="57" t="s">
        <v>641</v>
      </c>
      <c r="L4789" s="12" t="s">
        <v>404</v>
      </c>
      <c r="M4789" s="3" t="s">
        <v>230</v>
      </c>
      <c r="N4789" s="8" t="s">
        <v>8899</v>
      </c>
      <c r="O4789" s="6" t="s">
        <v>365</v>
      </c>
      <c r="P4789" s="58">
        <v>839</v>
      </c>
      <c r="Q4789" s="27" t="s">
        <v>239</v>
      </c>
      <c r="R4789" s="28">
        <v>32</v>
      </c>
      <c r="S4789" s="59">
        <f>11000*1.07</f>
        <v>11770</v>
      </c>
      <c r="T4789" s="4">
        <f t="shared" si="223"/>
        <v>376640</v>
      </c>
      <c r="U4789" s="4">
        <f t="shared" si="221"/>
        <v>421836.80000000005</v>
      </c>
      <c r="V4789" s="3"/>
      <c r="W4789" s="3">
        <v>2014</v>
      </c>
      <c r="X4789" s="3"/>
    </row>
    <row r="4790" spans="1:24" ht="114.75">
      <c r="A4790" s="3" t="s">
        <v>10670</v>
      </c>
      <c r="B4790" s="6" t="s">
        <v>361</v>
      </c>
      <c r="C4790" s="6" t="s">
        <v>5748</v>
      </c>
      <c r="D4790" s="6" t="s">
        <v>507</v>
      </c>
      <c r="E4790" s="6" t="s">
        <v>5743</v>
      </c>
      <c r="F4790" s="8" t="s">
        <v>5749</v>
      </c>
      <c r="G4790" s="57" t="s">
        <v>11449</v>
      </c>
      <c r="H4790" s="54">
        <v>0</v>
      </c>
      <c r="I4790" s="16">
        <v>470000000</v>
      </c>
      <c r="J4790" s="56" t="s">
        <v>229</v>
      </c>
      <c r="K4790" s="57" t="s">
        <v>641</v>
      </c>
      <c r="L4790" s="12" t="s">
        <v>404</v>
      </c>
      <c r="M4790" s="3" t="s">
        <v>230</v>
      </c>
      <c r="N4790" s="8" t="s">
        <v>8899</v>
      </c>
      <c r="O4790" s="6" t="s">
        <v>365</v>
      </c>
      <c r="P4790" s="58">
        <v>796</v>
      </c>
      <c r="Q4790" s="28" t="s">
        <v>234</v>
      </c>
      <c r="R4790" s="28">
        <v>4</v>
      </c>
      <c r="S4790" s="59">
        <f>140000*1.07</f>
        <v>149800</v>
      </c>
      <c r="T4790" s="4">
        <f t="shared" si="223"/>
        <v>599200</v>
      </c>
      <c r="U4790" s="4">
        <f t="shared" si="221"/>
        <v>671104.00000000012</v>
      </c>
      <c r="V4790" s="3"/>
      <c r="W4790" s="3">
        <v>2014</v>
      </c>
      <c r="X4790" s="3"/>
    </row>
    <row r="4791" spans="1:24" ht="114.75">
      <c r="A4791" s="3" t="s">
        <v>10671</v>
      </c>
      <c r="B4791" s="6" t="s">
        <v>361</v>
      </c>
      <c r="C4791" s="6" t="s">
        <v>5750</v>
      </c>
      <c r="D4791" s="6" t="s">
        <v>472</v>
      </c>
      <c r="E4791" s="6" t="s">
        <v>5743</v>
      </c>
      <c r="F4791" s="8" t="s">
        <v>5751</v>
      </c>
      <c r="G4791" s="57" t="s">
        <v>11449</v>
      </c>
      <c r="H4791" s="54">
        <v>0</v>
      </c>
      <c r="I4791" s="16">
        <v>470000000</v>
      </c>
      <c r="J4791" s="56" t="s">
        <v>229</v>
      </c>
      <c r="K4791" s="57" t="s">
        <v>641</v>
      </c>
      <c r="L4791" s="12" t="s">
        <v>404</v>
      </c>
      <c r="M4791" s="3" t="s">
        <v>230</v>
      </c>
      <c r="N4791" s="8" t="s">
        <v>8899</v>
      </c>
      <c r="O4791" s="6" t="s">
        <v>365</v>
      </c>
      <c r="P4791" s="58">
        <v>796</v>
      </c>
      <c r="Q4791" s="28" t="s">
        <v>234</v>
      </c>
      <c r="R4791" s="28">
        <v>30</v>
      </c>
      <c r="S4791" s="59">
        <f>600*1.07</f>
        <v>642</v>
      </c>
      <c r="T4791" s="4">
        <f t="shared" si="223"/>
        <v>19260</v>
      </c>
      <c r="U4791" s="4">
        <f t="shared" si="221"/>
        <v>21571.200000000001</v>
      </c>
      <c r="V4791" s="3"/>
      <c r="W4791" s="3">
        <v>2014</v>
      </c>
      <c r="X4791" s="3"/>
    </row>
    <row r="4792" spans="1:24" ht="114.75">
      <c r="A4792" s="3" t="s">
        <v>10672</v>
      </c>
      <c r="B4792" s="6" t="s">
        <v>361</v>
      </c>
      <c r="C4792" s="6" t="s">
        <v>5542</v>
      </c>
      <c r="D4792" s="6" t="s">
        <v>5543</v>
      </c>
      <c r="E4792" s="6" t="s">
        <v>5332</v>
      </c>
      <c r="F4792" s="8" t="s">
        <v>8116</v>
      </c>
      <c r="G4792" s="57" t="s">
        <v>11449</v>
      </c>
      <c r="H4792" s="54">
        <v>0</v>
      </c>
      <c r="I4792" s="16">
        <v>470000000</v>
      </c>
      <c r="J4792" s="56" t="s">
        <v>229</v>
      </c>
      <c r="K4792" s="57" t="s">
        <v>641</v>
      </c>
      <c r="L4792" s="12" t="s">
        <v>404</v>
      </c>
      <c r="M4792" s="3" t="s">
        <v>230</v>
      </c>
      <c r="N4792" s="8" t="s">
        <v>8899</v>
      </c>
      <c r="O4792" s="6" t="s">
        <v>365</v>
      </c>
      <c r="P4792" s="58">
        <v>796</v>
      </c>
      <c r="Q4792" s="28" t="s">
        <v>234</v>
      </c>
      <c r="R4792" s="29">
        <v>10</v>
      </c>
      <c r="S4792" s="59">
        <f>200*1.07</f>
        <v>214</v>
      </c>
      <c r="T4792" s="4">
        <f t="shared" si="223"/>
        <v>2140</v>
      </c>
      <c r="U4792" s="4">
        <f t="shared" si="221"/>
        <v>2396.8000000000002</v>
      </c>
      <c r="V4792" s="3"/>
      <c r="W4792" s="3">
        <v>2014</v>
      </c>
      <c r="X4792" s="3"/>
    </row>
    <row r="4793" spans="1:24" ht="114.75">
      <c r="A4793" s="3" t="s">
        <v>10673</v>
      </c>
      <c r="B4793" s="6" t="s">
        <v>361</v>
      </c>
      <c r="C4793" s="6" t="s">
        <v>7193</v>
      </c>
      <c r="D4793" s="6" t="s">
        <v>5342</v>
      </c>
      <c r="E4793" s="6" t="s">
        <v>5752</v>
      </c>
      <c r="F4793" s="8" t="s">
        <v>8117</v>
      </c>
      <c r="G4793" s="57" t="s">
        <v>11449</v>
      </c>
      <c r="H4793" s="54">
        <v>0</v>
      </c>
      <c r="I4793" s="16">
        <v>470000000</v>
      </c>
      <c r="J4793" s="56" t="s">
        <v>229</v>
      </c>
      <c r="K4793" s="57" t="s">
        <v>641</v>
      </c>
      <c r="L4793" s="12" t="s">
        <v>404</v>
      </c>
      <c r="M4793" s="3" t="s">
        <v>230</v>
      </c>
      <c r="N4793" s="8" t="s">
        <v>8899</v>
      </c>
      <c r="O4793" s="6" t="s">
        <v>365</v>
      </c>
      <c r="P4793" s="58">
        <v>796</v>
      </c>
      <c r="Q4793" s="28" t="s">
        <v>234</v>
      </c>
      <c r="R4793" s="28">
        <v>3</v>
      </c>
      <c r="S4793" s="59">
        <f>20000*1.07</f>
        <v>21400</v>
      </c>
      <c r="T4793" s="4">
        <f t="shared" si="223"/>
        <v>64200</v>
      </c>
      <c r="U4793" s="4">
        <f t="shared" si="221"/>
        <v>71904</v>
      </c>
      <c r="V4793" s="3"/>
      <c r="W4793" s="3">
        <v>2014</v>
      </c>
      <c r="X4793" s="3"/>
    </row>
    <row r="4794" spans="1:24" ht="114.75">
      <c r="A4794" s="3" t="s">
        <v>10674</v>
      </c>
      <c r="B4794" s="6" t="s">
        <v>361</v>
      </c>
      <c r="C4794" s="6" t="s">
        <v>5753</v>
      </c>
      <c r="D4794" s="6" t="s">
        <v>5754</v>
      </c>
      <c r="E4794" s="6" t="s">
        <v>5183</v>
      </c>
      <c r="F4794" s="8" t="s">
        <v>5755</v>
      </c>
      <c r="G4794" s="57" t="s">
        <v>11449</v>
      </c>
      <c r="H4794" s="54">
        <v>0</v>
      </c>
      <c r="I4794" s="16">
        <v>470000000</v>
      </c>
      <c r="J4794" s="56" t="s">
        <v>229</v>
      </c>
      <c r="K4794" s="57" t="s">
        <v>641</v>
      </c>
      <c r="L4794" s="12" t="s">
        <v>404</v>
      </c>
      <c r="M4794" s="3" t="s">
        <v>230</v>
      </c>
      <c r="N4794" s="8" t="s">
        <v>8899</v>
      </c>
      <c r="O4794" s="6" t="s">
        <v>365</v>
      </c>
      <c r="P4794" s="58">
        <v>796</v>
      </c>
      <c r="Q4794" s="28" t="s">
        <v>234</v>
      </c>
      <c r="R4794" s="28">
        <v>6</v>
      </c>
      <c r="S4794" s="59">
        <f>3500*1.07</f>
        <v>3745</v>
      </c>
      <c r="T4794" s="4">
        <f t="shared" si="223"/>
        <v>22470</v>
      </c>
      <c r="U4794" s="4">
        <f t="shared" si="221"/>
        <v>25166.400000000001</v>
      </c>
      <c r="V4794" s="3"/>
      <c r="W4794" s="3">
        <v>2014</v>
      </c>
      <c r="X4794" s="3"/>
    </row>
    <row r="4795" spans="1:24" ht="114.75">
      <c r="A4795" s="3" t="s">
        <v>10675</v>
      </c>
      <c r="B4795" s="6" t="s">
        <v>361</v>
      </c>
      <c r="C4795" s="6" t="s">
        <v>5756</v>
      </c>
      <c r="D4795" s="6" t="s">
        <v>438</v>
      </c>
      <c r="E4795" s="6" t="s">
        <v>5183</v>
      </c>
      <c r="F4795" s="8" t="s">
        <v>5757</v>
      </c>
      <c r="G4795" s="57" t="s">
        <v>11449</v>
      </c>
      <c r="H4795" s="54">
        <v>0</v>
      </c>
      <c r="I4795" s="16">
        <v>470000000</v>
      </c>
      <c r="J4795" s="56" t="s">
        <v>229</v>
      </c>
      <c r="K4795" s="57" t="s">
        <v>641</v>
      </c>
      <c r="L4795" s="12" t="s">
        <v>404</v>
      </c>
      <c r="M4795" s="3" t="s">
        <v>230</v>
      </c>
      <c r="N4795" s="8" t="s">
        <v>8899</v>
      </c>
      <c r="O4795" s="6" t="s">
        <v>365</v>
      </c>
      <c r="P4795" s="58">
        <v>796</v>
      </c>
      <c r="Q4795" s="28" t="s">
        <v>234</v>
      </c>
      <c r="R4795" s="28">
        <v>6</v>
      </c>
      <c r="S4795" s="59">
        <f>20000*1.07</f>
        <v>21400</v>
      </c>
      <c r="T4795" s="4">
        <f t="shared" si="223"/>
        <v>128400</v>
      </c>
      <c r="U4795" s="4">
        <f t="shared" si="221"/>
        <v>143808</v>
      </c>
      <c r="V4795" s="3"/>
      <c r="W4795" s="3">
        <v>2014</v>
      </c>
      <c r="X4795" s="3"/>
    </row>
    <row r="4796" spans="1:24" ht="114.75">
      <c r="A4796" s="3" t="s">
        <v>10676</v>
      </c>
      <c r="B4796" s="6" t="s">
        <v>361</v>
      </c>
      <c r="C4796" s="6" t="s">
        <v>5461</v>
      </c>
      <c r="D4796" s="6" t="s">
        <v>5357</v>
      </c>
      <c r="E4796" s="6" t="s">
        <v>5462</v>
      </c>
      <c r="F4796" s="8" t="s">
        <v>5758</v>
      </c>
      <c r="G4796" s="57" t="s">
        <v>11449</v>
      </c>
      <c r="H4796" s="54">
        <v>0</v>
      </c>
      <c r="I4796" s="16">
        <v>470000000</v>
      </c>
      <c r="J4796" s="56" t="s">
        <v>229</v>
      </c>
      <c r="K4796" s="57" t="s">
        <v>641</v>
      </c>
      <c r="L4796" s="12" t="s">
        <v>404</v>
      </c>
      <c r="M4796" s="3" t="s">
        <v>230</v>
      </c>
      <c r="N4796" s="8" t="s">
        <v>8899</v>
      </c>
      <c r="O4796" s="6" t="s">
        <v>365</v>
      </c>
      <c r="P4796" s="58">
        <v>839</v>
      </c>
      <c r="Q4796" s="28" t="s">
        <v>239</v>
      </c>
      <c r="R4796" s="28">
        <v>8</v>
      </c>
      <c r="S4796" s="59">
        <f>1000*1.07</f>
        <v>1070</v>
      </c>
      <c r="T4796" s="4">
        <f t="shared" si="223"/>
        <v>8560</v>
      </c>
      <c r="U4796" s="4">
        <f t="shared" si="221"/>
        <v>9587.2000000000007</v>
      </c>
      <c r="V4796" s="3"/>
      <c r="W4796" s="3">
        <v>2014</v>
      </c>
      <c r="X4796" s="3"/>
    </row>
    <row r="4797" spans="1:24" ht="114.75">
      <c r="A4797" s="3" t="s">
        <v>10677</v>
      </c>
      <c r="B4797" s="6" t="s">
        <v>361</v>
      </c>
      <c r="C4797" s="6" t="s">
        <v>5613</v>
      </c>
      <c r="D4797" s="6" t="s">
        <v>5614</v>
      </c>
      <c r="E4797" s="6" t="s">
        <v>5183</v>
      </c>
      <c r="F4797" s="30" t="s">
        <v>5759</v>
      </c>
      <c r="G4797" s="57" t="s">
        <v>11449</v>
      </c>
      <c r="H4797" s="54">
        <v>0</v>
      </c>
      <c r="I4797" s="16">
        <v>470000000</v>
      </c>
      <c r="J4797" s="56" t="s">
        <v>229</v>
      </c>
      <c r="K4797" s="57" t="s">
        <v>641</v>
      </c>
      <c r="L4797" s="12" t="s">
        <v>404</v>
      </c>
      <c r="M4797" s="3" t="s">
        <v>230</v>
      </c>
      <c r="N4797" s="8" t="s">
        <v>8899</v>
      </c>
      <c r="O4797" s="6" t="s">
        <v>365</v>
      </c>
      <c r="P4797" s="58">
        <v>796</v>
      </c>
      <c r="Q4797" s="28" t="s">
        <v>234</v>
      </c>
      <c r="R4797" s="28">
        <v>4</v>
      </c>
      <c r="S4797" s="1">
        <v>3296</v>
      </c>
      <c r="T4797" s="4">
        <f t="shared" si="223"/>
        <v>13184</v>
      </c>
      <c r="U4797" s="4">
        <f t="shared" si="221"/>
        <v>14766.080000000002</v>
      </c>
      <c r="V4797" s="3"/>
      <c r="W4797" s="3">
        <v>2014</v>
      </c>
      <c r="X4797" s="3"/>
    </row>
    <row r="4798" spans="1:24" ht="114.75">
      <c r="A4798" s="3" t="s">
        <v>10678</v>
      </c>
      <c r="B4798" s="6" t="s">
        <v>361</v>
      </c>
      <c r="C4798" s="6" t="s">
        <v>5760</v>
      </c>
      <c r="D4798" s="6" t="s">
        <v>5761</v>
      </c>
      <c r="E4798" s="6" t="s">
        <v>5762</v>
      </c>
      <c r="F4798" s="8" t="s">
        <v>5763</v>
      </c>
      <c r="G4798" s="57" t="s">
        <v>11449</v>
      </c>
      <c r="H4798" s="54">
        <v>0</v>
      </c>
      <c r="I4798" s="16">
        <v>470000000</v>
      </c>
      <c r="J4798" s="56" t="s">
        <v>229</v>
      </c>
      <c r="K4798" s="57" t="s">
        <v>641</v>
      </c>
      <c r="L4798" s="12" t="s">
        <v>404</v>
      </c>
      <c r="M4798" s="3" t="s">
        <v>230</v>
      </c>
      <c r="N4798" s="8" t="s">
        <v>8899</v>
      </c>
      <c r="O4798" s="6" t="s">
        <v>365</v>
      </c>
      <c r="P4798" s="58">
        <v>796</v>
      </c>
      <c r="Q4798" s="28" t="s">
        <v>234</v>
      </c>
      <c r="R4798" s="28">
        <v>6</v>
      </c>
      <c r="S4798" s="59">
        <f>45000*1.07</f>
        <v>48150</v>
      </c>
      <c r="T4798" s="4">
        <f t="shared" si="223"/>
        <v>288900</v>
      </c>
      <c r="U4798" s="4">
        <f t="shared" si="221"/>
        <v>323568.00000000006</v>
      </c>
      <c r="V4798" s="3"/>
      <c r="W4798" s="3">
        <v>2014</v>
      </c>
      <c r="X4798" s="3"/>
    </row>
    <row r="4799" spans="1:24" ht="114.75">
      <c r="A4799" s="3" t="s">
        <v>10679</v>
      </c>
      <c r="B4799" s="6" t="s">
        <v>361</v>
      </c>
      <c r="C4799" s="6" t="s">
        <v>5764</v>
      </c>
      <c r="D4799" s="6" t="s">
        <v>5376</v>
      </c>
      <c r="E4799" s="6" t="s">
        <v>5743</v>
      </c>
      <c r="F4799" s="8" t="s">
        <v>5765</v>
      </c>
      <c r="G4799" s="57" t="s">
        <v>11449</v>
      </c>
      <c r="H4799" s="54">
        <v>0</v>
      </c>
      <c r="I4799" s="16">
        <v>470000000</v>
      </c>
      <c r="J4799" s="56" t="s">
        <v>229</v>
      </c>
      <c r="K4799" s="57" t="s">
        <v>641</v>
      </c>
      <c r="L4799" s="12" t="s">
        <v>404</v>
      </c>
      <c r="M4799" s="3" t="s">
        <v>230</v>
      </c>
      <c r="N4799" s="8" t="s">
        <v>8899</v>
      </c>
      <c r="O4799" s="6" t="s">
        <v>365</v>
      </c>
      <c r="P4799" s="58">
        <v>796</v>
      </c>
      <c r="Q4799" s="28" t="s">
        <v>234</v>
      </c>
      <c r="R4799" s="28">
        <v>6</v>
      </c>
      <c r="S4799" s="59">
        <f>24000*1.07</f>
        <v>25680</v>
      </c>
      <c r="T4799" s="4">
        <f t="shared" si="223"/>
        <v>154080</v>
      </c>
      <c r="U4799" s="4">
        <f t="shared" si="221"/>
        <v>172569.60000000001</v>
      </c>
      <c r="V4799" s="3"/>
      <c r="W4799" s="3">
        <v>2014</v>
      </c>
      <c r="X4799" s="3"/>
    </row>
    <row r="4800" spans="1:24" ht="114.75">
      <c r="A4800" s="3" t="s">
        <v>10680</v>
      </c>
      <c r="B4800" s="6" t="s">
        <v>361</v>
      </c>
      <c r="C4800" s="6" t="s">
        <v>5461</v>
      </c>
      <c r="D4800" s="6" t="s">
        <v>5357</v>
      </c>
      <c r="E4800" s="6" t="s">
        <v>5462</v>
      </c>
      <c r="F4800" s="8" t="s">
        <v>5766</v>
      </c>
      <c r="G4800" s="57" t="s">
        <v>11449</v>
      </c>
      <c r="H4800" s="54">
        <v>0</v>
      </c>
      <c r="I4800" s="16">
        <v>470000000</v>
      </c>
      <c r="J4800" s="56" t="s">
        <v>229</v>
      </c>
      <c r="K4800" s="57" t="s">
        <v>641</v>
      </c>
      <c r="L4800" s="12" t="s">
        <v>404</v>
      </c>
      <c r="M4800" s="3" t="s">
        <v>230</v>
      </c>
      <c r="N4800" s="8" t="s">
        <v>8899</v>
      </c>
      <c r="O4800" s="6" t="s">
        <v>365</v>
      </c>
      <c r="P4800" s="58">
        <v>839</v>
      </c>
      <c r="Q4800" s="28" t="s">
        <v>239</v>
      </c>
      <c r="R4800" s="28">
        <v>20</v>
      </c>
      <c r="S4800" s="59">
        <f>3000*1.07</f>
        <v>3210</v>
      </c>
      <c r="T4800" s="4">
        <f t="shared" si="223"/>
        <v>64200</v>
      </c>
      <c r="U4800" s="4">
        <f t="shared" si="221"/>
        <v>71904</v>
      </c>
      <c r="V4800" s="3"/>
      <c r="W4800" s="3">
        <v>2014</v>
      </c>
      <c r="X4800" s="3"/>
    </row>
    <row r="4801" spans="1:24" ht="114.75">
      <c r="A4801" s="3" t="s">
        <v>10681</v>
      </c>
      <c r="B4801" s="6" t="s">
        <v>361</v>
      </c>
      <c r="C4801" s="6" t="s">
        <v>5387</v>
      </c>
      <c r="D4801" s="6" t="s">
        <v>5388</v>
      </c>
      <c r="E4801" s="6" t="s">
        <v>5183</v>
      </c>
      <c r="F4801" s="8" t="s">
        <v>5767</v>
      </c>
      <c r="G4801" s="57" t="s">
        <v>11449</v>
      </c>
      <c r="H4801" s="54">
        <v>0</v>
      </c>
      <c r="I4801" s="16">
        <v>470000000</v>
      </c>
      <c r="J4801" s="56" t="s">
        <v>229</v>
      </c>
      <c r="K4801" s="57" t="s">
        <v>641</v>
      </c>
      <c r="L4801" s="12" t="s">
        <v>404</v>
      </c>
      <c r="M4801" s="3" t="s">
        <v>230</v>
      </c>
      <c r="N4801" s="8" t="s">
        <v>8899</v>
      </c>
      <c r="O4801" s="6" t="s">
        <v>365</v>
      </c>
      <c r="P4801" s="58">
        <v>796</v>
      </c>
      <c r="Q4801" s="28" t="s">
        <v>234</v>
      </c>
      <c r="R4801" s="28">
        <v>6</v>
      </c>
      <c r="S4801" s="59">
        <v>6993</v>
      </c>
      <c r="T4801" s="4">
        <f t="shared" si="223"/>
        <v>41958</v>
      </c>
      <c r="U4801" s="4">
        <f t="shared" si="221"/>
        <v>46992.960000000006</v>
      </c>
      <c r="V4801" s="3"/>
      <c r="W4801" s="3">
        <v>2014</v>
      </c>
      <c r="X4801" s="3"/>
    </row>
    <row r="4802" spans="1:24" ht="114.75">
      <c r="A4802" s="3" t="s">
        <v>10682</v>
      </c>
      <c r="B4802" s="6" t="s">
        <v>361</v>
      </c>
      <c r="C4802" s="6" t="s">
        <v>5386</v>
      </c>
      <c r="D4802" s="6" t="s">
        <v>408</v>
      </c>
      <c r="E4802" s="6" t="s">
        <v>5183</v>
      </c>
      <c r="F4802" s="8" t="s">
        <v>5768</v>
      </c>
      <c r="G4802" s="57" t="s">
        <v>11449</v>
      </c>
      <c r="H4802" s="54">
        <v>0</v>
      </c>
      <c r="I4802" s="16">
        <v>470000000</v>
      </c>
      <c r="J4802" s="56" t="s">
        <v>229</v>
      </c>
      <c r="K4802" s="57" t="s">
        <v>641</v>
      </c>
      <c r="L4802" s="12" t="s">
        <v>404</v>
      </c>
      <c r="M4802" s="3" t="s">
        <v>230</v>
      </c>
      <c r="N4802" s="8" t="s">
        <v>8899</v>
      </c>
      <c r="O4802" s="6" t="s">
        <v>365</v>
      </c>
      <c r="P4802" s="58">
        <v>796</v>
      </c>
      <c r="Q4802" s="28" t="s">
        <v>234</v>
      </c>
      <c r="R4802" s="28">
        <v>10</v>
      </c>
      <c r="S4802" s="59">
        <v>5851.29</v>
      </c>
      <c r="T4802" s="4">
        <f t="shared" si="223"/>
        <v>58512.9</v>
      </c>
      <c r="U4802" s="4">
        <f t="shared" si="221"/>
        <v>65534.448000000011</v>
      </c>
      <c r="V4802" s="3"/>
      <c r="W4802" s="3">
        <v>2014</v>
      </c>
      <c r="X4802" s="3"/>
    </row>
    <row r="4803" spans="1:24" ht="114.75">
      <c r="A4803" s="3" t="s">
        <v>10683</v>
      </c>
      <c r="B4803" s="6" t="s">
        <v>361</v>
      </c>
      <c r="C4803" s="6" t="s">
        <v>5389</v>
      </c>
      <c r="D4803" s="6" t="s">
        <v>5390</v>
      </c>
      <c r="E4803" s="6" t="s">
        <v>5391</v>
      </c>
      <c r="F4803" s="8" t="s">
        <v>5769</v>
      </c>
      <c r="G4803" s="57" t="s">
        <v>11449</v>
      </c>
      <c r="H4803" s="54">
        <v>0</v>
      </c>
      <c r="I4803" s="16">
        <v>470000000</v>
      </c>
      <c r="J4803" s="56" t="s">
        <v>229</v>
      </c>
      <c r="K4803" s="57" t="s">
        <v>641</v>
      </c>
      <c r="L4803" s="12" t="s">
        <v>404</v>
      </c>
      <c r="M4803" s="3" t="s">
        <v>230</v>
      </c>
      <c r="N4803" s="8" t="s">
        <v>8899</v>
      </c>
      <c r="O4803" s="6" t="s">
        <v>365</v>
      </c>
      <c r="P4803" s="58">
        <v>796</v>
      </c>
      <c r="Q4803" s="28" t="s">
        <v>234</v>
      </c>
      <c r="R4803" s="29">
        <v>10</v>
      </c>
      <c r="S4803" s="59">
        <f>3500*1.07</f>
        <v>3745</v>
      </c>
      <c r="T4803" s="4">
        <f t="shared" si="223"/>
        <v>37450</v>
      </c>
      <c r="U4803" s="4">
        <f t="shared" si="221"/>
        <v>41944.000000000007</v>
      </c>
      <c r="V4803" s="3"/>
      <c r="W4803" s="3">
        <v>2014</v>
      </c>
      <c r="X4803" s="3"/>
    </row>
    <row r="4804" spans="1:24" ht="114.75">
      <c r="A4804" s="3" t="s">
        <v>10684</v>
      </c>
      <c r="B4804" s="6" t="s">
        <v>361</v>
      </c>
      <c r="C4804" s="6" t="s">
        <v>5770</v>
      </c>
      <c r="D4804" s="6" t="s">
        <v>5771</v>
      </c>
      <c r="E4804" s="6" t="s">
        <v>5772</v>
      </c>
      <c r="F4804" s="8" t="s">
        <v>5773</v>
      </c>
      <c r="G4804" s="57" t="s">
        <v>11449</v>
      </c>
      <c r="H4804" s="54">
        <v>0</v>
      </c>
      <c r="I4804" s="16">
        <v>470000000</v>
      </c>
      <c r="J4804" s="56" t="s">
        <v>229</v>
      </c>
      <c r="K4804" s="57" t="s">
        <v>641</v>
      </c>
      <c r="L4804" s="12" t="s">
        <v>404</v>
      </c>
      <c r="M4804" s="3" t="s">
        <v>230</v>
      </c>
      <c r="N4804" s="8" t="s">
        <v>8898</v>
      </c>
      <c r="O4804" s="6" t="s">
        <v>365</v>
      </c>
      <c r="P4804" s="58">
        <v>796</v>
      </c>
      <c r="Q4804" s="28" t="s">
        <v>234</v>
      </c>
      <c r="R4804" s="28">
        <v>1</v>
      </c>
      <c r="S4804" s="59">
        <f>290000*1.07</f>
        <v>310300</v>
      </c>
      <c r="T4804" s="4">
        <f t="shared" si="223"/>
        <v>310300</v>
      </c>
      <c r="U4804" s="4">
        <f t="shared" si="221"/>
        <v>347536.00000000006</v>
      </c>
      <c r="V4804" s="3"/>
      <c r="W4804" s="3">
        <v>2014</v>
      </c>
      <c r="X4804" s="3"/>
    </row>
    <row r="4805" spans="1:24" ht="114.75">
      <c r="A4805" s="3" t="s">
        <v>10685</v>
      </c>
      <c r="B4805" s="6" t="s">
        <v>361</v>
      </c>
      <c r="C4805" s="6" t="s">
        <v>7340</v>
      </c>
      <c r="D4805" s="6" t="s">
        <v>5399</v>
      </c>
      <c r="E4805" s="6" t="s">
        <v>5626</v>
      </c>
      <c r="F4805" s="8" t="s">
        <v>5774</v>
      </c>
      <c r="G4805" s="57" t="s">
        <v>11449</v>
      </c>
      <c r="H4805" s="54">
        <v>0</v>
      </c>
      <c r="I4805" s="16">
        <v>470000000</v>
      </c>
      <c r="J4805" s="56" t="s">
        <v>229</v>
      </c>
      <c r="K4805" s="57" t="s">
        <v>641</v>
      </c>
      <c r="L4805" s="12" t="s">
        <v>404</v>
      </c>
      <c r="M4805" s="3" t="s">
        <v>230</v>
      </c>
      <c r="N4805" s="8" t="s">
        <v>8899</v>
      </c>
      <c r="O4805" s="6" t="s">
        <v>365</v>
      </c>
      <c r="P4805" s="58">
        <v>796</v>
      </c>
      <c r="Q4805" s="28" t="s">
        <v>234</v>
      </c>
      <c r="R4805" s="28">
        <v>4</v>
      </c>
      <c r="S4805" s="59">
        <f>10000*1.07</f>
        <v>10700</v>
      </c>
      <c r="T4805" s="4">
        <f t="shared" si="223"/>
        <v>42800</v>
      </c>
      <c r="U4805" s="4">
        <f t="shared" si="221"/>
        <v>47936.000000000007</v>
      </c>
      <c r="V4805" s="3"/>
      <c r="W4805" s="3">
        <v>2014</v>
      </c>
      <c r="X4805" s="3"/>
    </row>
    <row r="4806" spans="1:24" ht="114.75">
      <c r="A4806" s="3" t="s">
        <v>10686</v>
      </c>
      <c r="B4806" s="6" t="s">
        <v>361</v>
      </c>
      <c r="C4806" s="6" t="s">
        <v>5403</v>
      </c>
      <c r="D4806" s="6" t="s">
        <v>5401</v>
      </c>
      <c r="E4806" s="6" t="s">
        <v>5402</v>
      </c>
      <c r="F4806" s="8" t="s">
        <v>5775</v>
      </c>
      <c r="G4806" s="57" t="s">
        <v>11449</v>
      </c>
      <c r="H4806" s="54">
        <v>0</v>
      </c>
      <c r="I4806" s="16">
        <v>470000000</v>
      </c>
      <c r="J4806" s="56" t="s">
        <v>229</v>
      </c>
      <c r="K4806" s="57" t="s">
        <v>641</v>
      </c>
      <c r="L4806" s="12" t="s">
        <v>404</v>
      </c>
      <c r="M4806" s="3" t="s">
        <v>230</v>
      </c>
      <c r="N4806" s="8" t="s">
        <v>8899</v>
      </c>
      <c r="O4806" s="6" t="s">
        <v>365</v>
      </c>
      <c r="P4806" s="58">
        <v>796</v>
      </c>
      <c r="Q4806" s="28" t="s">
        <v>234</v>
      </c>
      <c r="R4806" s="28">
        <v>8</v>
      </c>
      <c r="S4806" s="59">
        <f>7000*1.07</f>
        <v>7490</v>
      </c>
      <c r="T4806" s="4">
        <f t="shared" si="223"/>
        <v>59920</v>
      </c>
      <c r="U4806" s="4">
        <f t="shared" si="221"/>
        <v>67110.400000000009</v>
      </c>
      <c r="V4806" s="3"/>
      <c r="W4806" s="3">
        <v>2014</v>
      </c>
      <c r="X4806" s="3"/>
    </row>
    <row r="4807" spans="1:24" ht="114.75">
      <c r="A4807" s="3" t="s">
        <v>1937</v>
      </c>
      <c r="B4807" s="6" t="s">
        <v>361</v>
      </c>
      <c r="C4807" s="6" t="s">
        <v>5776</v>
      </c>
      <c r="D4807" s="6" t="s">
        <v>5777</v>
      </c>
      <c r="E4807" s="6" t="s">
        <v>5778</v>
      </c>
      <c r="F4807" s="30" t="s">
        <v>5779</v>
      </c>
      <c r="G4807" s="57" t="s">
        <v>11449</v>
      </c>
      <c r="H4807" s="54">
        <v>0</v>
      </c>
      <c r="I4807" s="16">
        <v>470000000</v>
      </c>
      <c r="J4807" s="56" t="s">
        <v>229</v>
      </c>
      <c r="K4807" s="57" t="s">
        <v>641</v>
      </c>
      <c r="L4807" s="12" t="s">
        <v>404</v>
      </c>
      <c r="M4807" s="3" t="s">
        <v>230</v>
      </c>
      <c r="N4807" s="8" t="s">
        <v>8899</v>
      </c>
      <c r="O4807" s="6" t="s">
        <v>365</v>
      </c>
      <c r="P4807" s="58">
        <v>796</v>
      </c>
      <c r="Q4807" s="28" t="s">
        <v>234</v>
      </c>
      <c r="R4807" s="28">
        <v>5</v>
      </c>
      <c r="S4807" s="59">
        <f>11000*1.07</f>
        <v>11770</v>
      </c>
      <c r="T4807" s="4">
        <f t="shared" si="223"/>
        <v>58850</v>
      </c>
      <c r="U4807" s="4">
        <f t="shared" si="221"/>
        <v>65912</v>
      </c>
      <c r="V4807" s="3"/>
      <c r="W4807" s="3">
        <v>2014</v>
      </c>
      <c r="X4807" s="3"/>
    </row>
    <row r="4808" spans="1:24" ht="114.75">
      <c r="A4808" s="3" t="s">
        <v>1938</v>
      </c>
      <c r="B4808" s="6" t="s">
        <v>361</v>
      </c>
      <c r="C4808" s="6" t="s">
        <v>5780</v>
      </c>
      <c r="D4808" s="6" t="s">
        <v>5777</v>
      </c>
      <c r="E4808" s="6" t="s">
        <v>5781</v>
      </c>
      <c r="F4808" s="30" t="s">
        <v>5782</v>
      </c>
      <c r="G4808" s="57" t="s">
        <v>11449</v>
      </c>
      <c r="H4808" s="54">
        <v>0</v>
      </c>
      <c r="I4808" s="16">
        <v>470000000</v>
      </c>
      <c r="J4808" s="56" t="s">
        <v>229</v>
      </c>
      <c r="K4808" s="57" t="s">
        <v>641</v>
      </c>
      <c r="L4808" s="12" t="s">
        <v>404</v>
      </c>
      <c r="M4808" s="3" t="s">
        <v>230</v>
      </c>
      <c r="N4808" s="8" t="s">
        <v>8899</v>
      </c>
      <c r="O4808" s="6" t="s">
        <v>365</v>
      </c>
      <c r="P4808" s="58">
        <v>796</v>
      </c>
      <c r="Q4808" s="28" t="s">
        <v>234</v>
      </c>
      <c r="R4808" s="28">
        <v>5</v>
      </c>
      <c r="S4808" s="59">
        <f>6500*1.07</f>
        <v>6955</v>
      </c>
      <c r="T4808" s="4">
        <f t="shared" si="223"/>
        <v>34775</v>
      </c>
      <c r="U4808" s="4">
        <f t="shared" si="221"/>
        <v>38948.000000000007</v>
      </c>
      <c r="V4808" s="3"/>
      <c r="W4808" s="3">
        <v>2014</v>
      </c>
      <c r="X4808" s="3"/>
    </row>
    <row r="4809" spans="1:24" ht="114.75">
      <c r="A4809" s="3" t="s">
        <v>1939</v>
      </c>
      <c r="B4809" s="6" t="s">
        <v>361</v>
      </c>
      <c r="C4809" s="6" t="s">
        <v>5783</v>
      </c>
      <c r="D4809" s="6" t="s">
        <v>5777</v>
      </c>
      <c r="E4809" s="6" t="s">
        <v>5784</v>
      </c>
      <c r="F4809" s="30" t="s">
        <v>5785</v>
      </c>
      <c r="G4809" s="57" t="s">
        <v>11449</v>
      </c>
      <c r="H4809" s="54">
        <v>0</v>
      </c>
      <c r="I4809" s="16">
        <v>470000000</v>
      </c>
      <c r="J4809" s="56" t="s">
        <v>229</v>
      </c>
      <c r="K4809" s="57" t="s">
        <v>641</v>
      </c>
      <c r="L4809" s="12" t="s">
        <v>404</v>
      </c>
      <c r="M4809" s="3" t="s">
        <v>230</v>
      </c>
      <c r="N4809" s="8" t="s">
        <v>8899</v>
      </c>
      <c r="O4809" s="6" t="s">
        <v>365</v>
      </c>
      <c r="P4809" s="58">
        <v>796</v>
      </c>
      <c r="Q4809" s="28" t="s">
        <v>234</v>
      </c>
      <c r="R4809" s="28">
        <v>5</v>
      </c>
      <c r="S4809" s="59">
        <f>7000*1.07</f>
        <v>7490</v>
      </c>
      <c r="T4809" s="4">
        <f t="shared" si="223"/>
        <v>37450</v>
      </c>
      <c r="U4809" s="4">
        <f t="shared" si="221"/>
        <v>41944.000000000007</v>
      </c>
      <c r="V4809" s="3"/>
      <c r="W4809" s="3">
        <v>2014</v>
      </c>
      <c r="X4809" s="3"/>
    </row>
    <row r="4810" spans="1:24" ht="114.75">
      <c r="A4810" s="3" t="s">
        <v>1940</v>
      </c>
      <c r="B4810" s="6" t="s">
        <v>361</v>
      </c>
      <c r="C4810" s="6" t="s">
        <v>5786</v>
      </c>
      <c r="D4810" s="6" t="s">
        <v>5777</v>
      </c>
      <c r="E4810" s="6" t="s">
        <v>5787</v>
      </c>
      <c r="F4810" s="30" t="s">
        <v>5788</v>
      </c>
      <c r="G4810" s="57" t="s">
        <v>11449</v>
      </c>
      <c r="H4810" s="54">
        <v>0</v>
      </c>
      <c r="I4810" s="16">
        <v>470000000</v>
      </c>
      <c r="J4810" s="56" t="s">
        <v>229</v>
      </c>
      <c r="K4810" s="57" t="s">
        <v>641</v>
      </c>
      <c r="L4810" s="12" t="s">
        <v>404</v>
      </c>
      <c r="M4810" s="3" t="s">
        <v>230</v>
      </c>
      <c r="N4810" s="8" t="s">
        <v>8899</v>
      </c>
      <c r="O4810" s="6" t="s">
        <v>365</v>
      </c>
      <c r="P4810" s="58">
        <v>796</v>
      </c>
      <c r="Q4810" s="28" t="s">
        <v>234</v>
      </c>
      <c r="R4810" s="28">
        <v>5</v>
      </c>
      <c r="S4810" s="59">
        <f>3500*1.07</f>
        <v>3745</v>
      </c>
      <c r="T4810" s="4">
        <f t="shared" si="223"/>
        <v>18725</v>
      </c>
      <c r="U4810" s="4">
        <f t="shared" si="221"/>
        <v>20972.000000000004</v>
      </c>
      <c r="V4810" s="3"/>
      <c r="W4810" s="3">
        <v>2014</v>
      </c>
      <c r="X4810" s="3"/>
    </row>
    <row r="4811" spans="1:24" ht="114.75">
      <c r="A4811" s="3" t="s">
        <v>1941</v>
      </c>
      <c r="B4811" s="6" t="s">
        <v>361</v>
      </c>
      <c r="C4811" s="6" t="s">
        <v>5404</v>
      </c>
      <c r="D4811" s="6" t="s">
        <v>415</v>
      </c>
      <c r="E4811" s="6" t="s">
        <v>5405</v>
      </c>
      <c r="F4811" s="30" t="s">
        <v>5789</v>
      </c>
      <c r="G4811" s="57" t="s">
        <v>11449</v>
      </c>
      <c r="H4811" s="54">
        <v>0</v>
      </c>
      <c r="I4811" s="16">
        <v>470000000</v>
      </c>
      <c r="J4811" s="56" t="s">
        <v>229</v>
      </c>
      <c r="K4811" s="57" t="s">
        <v>641</v>
      </c>
      <c r="L4811" s="12" t="s">
        <v>404</v>
      </c>
      <c r="M4811" s="3" t="s">
        <v>230</v>
      </c>
      <c r="N4811" s="8" t="s">
        <v>8899</v>
      </c>
      <c r="O4811" s="6" t="s">
        <v>365</v>
      </c>
      <c r="P4811" s="58">
        <v>796</v>
      </c>
      <c r="Q4811" s="28" t="s">
        <v>234</v>
      </c>
      <c r="R4811" s="28">
        <v>5</v>
      </c>
      <c r="S4811" s="59">
        <f>2500*1.07</f>
        <v>2675</v>
      </c>
      <c r="T4811" s="4">
        <f t="shared" si="223"/>
        <v>13375</v>
      </c>
      <c r="U4811" s="4">
        <f t="shared" si="221"/>
        <v>14980.000000000002</v>
      </c>
      <c r="V4811" s="3"/>
      <c r="W4811" s="3">
        <v>2014</v>
      </c>
      <c r="X4811" s="3"/>
    </row>
    <row r="4812" spans="1:24" ht="114.75">
      <c r="A4812" s="3" t="s">
        <v>1942</v>
      </c>
      <c r="B4812" s="6" t="s">
        <v>361</v>
      </c>
      <c r="C4812" s="6" t="s">
        <v>5404</v>
      </c>
      <c r="D4812" s="6" t="s">
        <v>415</v>
      </c>
      <c r="E4812" s="6" t="s">
        <v>5405</v>
      </c>
      <c r="F4812" s="30" t="s">
        <v>5790</v>
      </c>
      <c r="G4812" s="57" t="s">
        <v>11449</v>
      </c>
      <c r="H4812" s="54">
        <v>0</v>
      </c>
      <c r="I4812" s="16">
        <v>470000000</v>
      </c>
      <c r="J4812" s="56" t="s">
        <v>229</v>
      </c>
      <c r="K4812" s="57" t="s">
        <v>641</v>
      </c>
      <c r="L4812" s="12" t="s">
        <v>404</v>
      </c>
      <c r="M4812" s="3" t="s">
        <v>230</v>
      </c>
      <c r="N4812" s="8" t="s">
        <v>8899</v>
      </c>
      <c r="O4812" s="6" t="s">
        <v>365</v>
      </c>
      <c r="P4812" s="58">
        <v>796</v>
      </c>
      <c r="Q4812" s="28" t="s">
        <v>234</v>
      </c>
      <c r="R4812" s="28">
        <v>5</v>
      </c>
      <c r="S4812" s="59">
        <f>4500*1.07</f>
        <v>4815</v>
      </c>
      <c r="T4812" s="4">
        <f t="shared" si="223"/>
        <v>24075</v>
      </c>
      <c r="U4812" s="4">
        <f t="shared" si="221"/>
        <v>26964.000000000004</v>
      </c>
      <c r="V4812" s="3"/>
      <c r="W4812" s="3">
        <v>2014</v>
      </c>
      <c r="X4812" s="3"/>
    </row>
    <row r="4813" spans="1:24" ht="114.75">
      <c r="A4813" s="3" t="s">
        <v>1943</v>
      </c>
      <c r="B4813" s="6" t="s">
        <v>361</v>
      </c>
      <c r="C4813" s="6" t="s">
        <v>5791</v>
      </c>
      <c r="D4813" s="6" t="s">
        <v>434</v>
      </c>
      <c r="E4813" s="6" t="s">
        <v>5183</v>
      </c>
      <c r="F4813" s="30" t="s">
        <v>5792</v>
      </c>
      <c r="G4813" s="57" t="s">
        <v>11449</v>
      </c>
      <c r="H4813" s="54">
        <v>0</v>
      </c>
      <c r="I4813" s="16">
        <v>470000000</v>
      </c>
      <c r="J4813" s="56" t="s">
        <v>229</v>
      </c>
      <c r="K4813" s="57" t="s">
        <v>641</v>
      </c>
      <c r="L4813" s="12" t="s">
        <v>404</v>
      </c>
      <c r="M4813" s="3" t="s">
        <v>230</v>
      </c>
      <c r="N4813" s="8" t="s">
        <v>8899</v>
      </c>
      <c r="O4813" s="6" t="s">
        <v>365</v>
      </c>
      <c r="P4813" s="58">
        <v>796</v>
      </c>
      <c r="Q4813" s="28" t="s">
        <v>234</v>
      </c>
      <c r="R4813" s="28">
        <v>2</v>
      </c>
      <c r="S4813" s="59">
        <f>310000*1.07</f>
        <v>331700</v>
      </c>
      <c r="T4813" s="4">
        <f t="shared" si="223"/>
        <v>663400</v>
      </c>
      <c r="U4813" s="4">
        <f t="shared" si="221"/>
        <v>743008.00000000012</v>
      </c>
      <c r="V4813" s="3"/>
      <c r="W4813" s="3">
        <v>2014</v>
      </c>
      <c r="X4813" s="3"/>
    </row>
    <row r="4814" spans="1:24" ht="114.75">
      <c r="A4814" s="3" t="s">
        <v>1944</v>
      </c>
      <c r="B4814" s="6" t="s">
        <v>361</v>
      </c>
      <c r="C4814" s="6" t="s">
        <v>5793</v>
      </c>
      <c r="D4814" s="6" t="s">
        <v>5430</v>
      </c>
      <c r="E4814" s="6" t="s">
        <v>5732</v>
      </c>
      <c r="F4814" s="9" t="s">
        <v>5794</v>
      </c>
      <c r="G4814" s="57" t="s">
        <v>11449</v>
      </c>
      <c r="H4814" s="54">
        <v>0</v>
      </c>
      <c r="I4814" s="16">
        <v>470000000</v>
      </c>
      <c r="J4814" s="56" t="s">
        <v>229</v>
      </c>
      <c r="K4814" s="57" t="s">
        <v>641</v>
      </c>
      <c r="L4814" s="12" t="s">
        <v>404</v>
      </c>
      <c r="M4814" s="3" t="s">
        <v>230</v>
      </c>
      <c r="N4814" s="8" t="s">
        <v>8899</v>
      </c>
      <c r="O4814" s="6" t="s">
        <v>365</v>
      </c>
      <c r="P4814" s="58">
        <v>796</v>
      </c>
      <c r="Q4814" s="28" t="s">
        <v>234</v>
      </c>
      <c r="R4814" s="27">
        <v>3</v>
      </c>
      <c r="S4814" s="59">
        <f>102000*1.07</f>
        <v>109140</v>
      </c>
      <c r="T4814" s="4">
        <f t="shared" si="223"/>
        <v>327420</v>
      </c>
      <c r="U4814" s="4">
        <f t="shared" si="221"/>
        <v>366710.4</v>
      </c>
      <c r="V4814" s="3"/>
      <c r="W4814" s="3">
        <v>2014</v>
      </c>
      <c r="X4814" s="3"/>
    </row>
    <row r="4815" spans="1:24" ht="114.75">
      <c r="A4815" s="3" t="s">
        <v>1945</v>
      </c>
      <c r="B4815" s="6" t="s">
        <v>361</v>
      </c>
      <c r="C4815" s="6" t="s">
        <v>5433</v>
      </c>
      <c r="D4815" s="6" t="s">
        <v>5434</v>
      </c>
      <c r="E4815" s="6" t="s">
        <v>5183</v>
      </c>
      <c r="F4815" s="8" t="s">
        <v>5795</v>
      </c>
      <c r="G4815" s="57" t="s">
        <v>11449</v>
      </c>
      <c r="H4815" s="54">
        <v>0</v>
      </c>
      <c r="I4815" s="16">
        <v>470000000</v>
      </c>
      <c r="J4815" s="56" t="s">
        <v>229</v>
      </c>
      <c r="K4815" s="57" t="s">
        <v>641</v>
      </c>
      <c r="L4815" s="12" t="s">
        <v>404</v>
      </c>
      <c r="M4815" s="3" t="s">
        <v>230</v>
      </c>
      <c r="N4815" s="8" t="s">
        <v>8899</v>
      </c>
      <c r="O4815" s="6" t="s">
        <v>365</v>
      </c>
      <c r="P4815" s="58">
        <v>796</v>
      </c>
      <c r="Q4815" s="28" t="s">
        <v>234</v>
      </c>
      <c r="R4815" s="28">
        <v>6</v>
      </c>
      <c r="S4815" s="59">
        <f>14000*1.07</f>
        <v>14980</v>
      </c>
      <c r="T4815" s="4">
        <f t="shared" si="223"/>
        <v>89880</v>
      </c>
      <c r="U4815" s="4">
        <f t="shared" si="221"/>
        <v>100665.60000000001</v>
      </c>
      <c r="V4815" s="3"/>
      <c r="W4815" s="3">
        <v>2014</v>
      </c>
      <c r="X4815" s="3"/>
    </row>
    <row r="4816" spans="1:24" ht="114.75">
      <c r="A4816" s="3" t="s">
        <v>1946</v>
      </c>
      <c r="B4816" s="6" t="s">
        <v>361</v>
      </c>
      <c r="C4816" s="6" t="s">
        <v>5641</v>
      </c>
      <c r="D4816" s="6" t="s">
        <v>430</v>
      </c>
      <c r="E4816" s="6" t="s">
        <v>5642</v>
      </c>
      <c r="F4816" s="8" t="s">
        <v>5796</v>
      </c>
      <c r="G4816" s="57" t="s">
        <v>11449</v>
      </c>
      <c r="H4816" s="54">
        <v>0</v>
      </c>
      <c r="I4816" s="16">
        <v>470000000</v>
      </c>
      <c r="J4816" s="56" t="s">
        <v>229</v>
      </c>
      <c r="K4816" s="57" t="s">
        <v>641</v>
      </c>
      <c r="L4816" s="12" t="s">
        <v>404</v>
      </c>
      <c r="M4816" s="3" t="s">
        <v>230</v>
      </c>
      <c r="N4816" s="8" t="s">
        <v>8899</v>
      </c>
      <c r="O4816" s="6" t="s">
        <v>365</v>
      </c>
      <c r="P4816" s="58">
        <v>796</v>
      </c>
      <c r="Q4816" s="28" t="s">
        <v>234</v>
      </c>
      <c r="R4816" s="28">
        <v>6</v>
      </c>
      <c r="S4816" s="59">
        <f>21000*1.07</f>
        <v>22470</v>
      </c>
      <c r="T4816" s="4">
        <f t="shared" si="223"/>
        <v>134820</v>
      </c>
      <c r="U4816" s="4">
        <f t="shared" ref="U4816:U4878" si="224">T4816*1.12</f>
        <v>150998.40000000002</v>
      </c>
      <c r="V4816" s="3"/>
      <c r="W4816" s="3">
        <v>2014</v>
      </c>
      <c r="X4816" s="3"/>
    </row>
    <row r="4817" spans="1:24" ht="114.75">
      <c r="A4817" s="3" t="s">
        <v>1947</v>
      </c>
      <c r="B4817" s="6" t="s">
        <v>361</v>
      </c>
      <c r="C4817" s="6" t="s">
        <v>5646</v>
      </c>
      <c r="D4817" s="6" t="s">
        <v>464</v>
      </c>
      <c r="E4817" s="6" t="s">
        <v>5647</v>
      </c>
      <c r="F4817" s="8" t="s">
        <v>5797</v>
      </c>
      <c r="G4817" s="57" t="s">
        <v>11449</v>
      </c>
      <c r="H4817" s="54">
        <v>0</v>
      </c>
      <c r="I4817" s="16">
        <v>470000000</v>
      </c>
      <c r="J4817" s="56" t="s">
        <v>229</v>
      </c>
      <c r="K4817" s="57" t="s">
        <v>641</v>
      </c>
      <c r="L4817" s="12" t="s">
        <v>404</v>
      </c>
      <c r="M4817" s="3" t="s">
        <v>230</v>
      </c>
      <c r="N4817" s="8" t="s">
        <v>8899</v>
      </c>
      <c r="O4817" s="6" t="s">
        <v>365</v>
      </c>
      <c r="P4817" s="58">
        <v>796</v>
      </c>
      <c r="Q4817" s="28" t="s">
        <v>234</v>
      </c>
      <c r="R4817" s="28">
        <v>12</v>
      </c>
      <c r="S4817" s="59">
        <f>4200*1.07</f>
        <v>4494</v>
      </c>
      <c r="T4817" s="4">
        <f t="shared" si="223"/>
        <v>53928</v>
      </c>
      <c r="U4817" s="4">
        <f t="shared" si="224"/>
        <v>60399.360000000008</v>
      </c>
      <c r="V4817" s="3"/>
      <c r="W4817" s="3">
        <v>2014</v>
      </c>
      <c r="X4817" s="3"/>
    </row>
    <row r="4818" spans="1:24" ht="114.75">
      <c r="A4818" s="3" t="s">
        <v>1948</v>
      </c>
      <c r="B4818" s="6" t="s">
        <v>361</v>
      </c>
      <c r="C4818" s="6" t="s">
        <v>5474</v>
      </c>
      <c r="D4818" s="6" t="s">
        <v>441</v>
      </c>
      <c r="E4818" s="6" t="s">
        <v>5475</v>
      </c>
      <c r="F4818" s="8" t="s">
        <v>5798</v>
      </c>
      <c r="G4818" s="57" t="s">
        <v>11449</v>
      </c>
      <c r="H4818" s="54">
        <v>0</v>
      </c>
      <c r="I4818" s="16">
        <v>470000000</v>
      </c>
      <c r="J4818" s="56" t="s">
        <v>229</v>
      </c>
      <c r="K4818" s="57" t="s">
        <v>641</v>
      </c>
      <c r="L4818" s="12" t="s">
        <v>404</v>
      </c>
      <c r="M4818" s="3" t="s">
        <v>230</v>
      </c>
      <c r="N4818" s="8" t="s">
        <v>8899</v>
      </c>
      <c r="O4818" s="6" t="s">
        <v>365</v>
      </c>
      <c r="P4818" s="58">
        <v>796</v>
      </c>
      <c r="Q4818" s="28" t="s">
        <v>234</v>
      </c>
      <c r="R4818" s="28">
        <v>6</v>
      </c>
      <c r="S4818" s="59">
        <f>20500*1.07</f>
        <v>21935</v>
      </c>
      <c r="T4818" s="4">
        <f t="shared" si="223"/>
        <v>131610</v>
      </c>
      <c r="U4818" s="4">
        <f t="shared" si="224"/>
        <v>147403.20000000001</v>
      </c>
      <c r="V4818" s="3"/>
      <c r="W4818" s="3">
        <v>2014</v>
      </c>
      <c r="X4818" s="3"/>
    </row>
    <row r="4819" spans="1:24" ht="114.75">
      <c r="A4819" s="3" t="s">
        <v>1949</v>
      </c>
      <c r="B4819" s="6" t="s">
        <v>361</v>
      </c>
      <c r="C4819" s="6" t="s">
        <v>5799</v>
      </c>
      <c r="D4819" s="6" t="s">
        <v>422</v>
      </c>
      <c r="E4819" s="6" t="s">
        <v>5800</v>
      </c>
      <c r="F4819" s="8" t="s">
        <v>5801</v>
      </c>
      <c r="G4819" s="57" t="s">
        <v>11449</v>
      </c>
      <c r="H4819" s="54">
        <v>0</v>
      </c>
      <c r="I4819" s="16">
        <v>470000000</v>
      </c>
      <c r="J4819" s="56" t="s">
        <v>229</v>
      </c>
      <c r="K4819" s="57" t="s">
        <v>641</v>
      </c>
      <c r="L4819" s="12" t="s">
        <v>404</v>
      </c>
      <c r="M4819" s="3" t="s">
        <v>230</v>
      </c>
      <c r="N4819" s="8" t="s">
        <v>8899</v>
      </c>
      <c r="O4819" s="6" t="s">
        <v>365</v>
      </c>
      <c r="P4819" s="58">
        <v>796</v>
      </c>
      <c r="Q4819" s="28" t="s">
        <v>234</v>
      </c>
      <c r="R4819" s="27">
        <v>10</v>
      </c>
      <c r="S4819" s="59">
        <f>500*1.07</f>
        <v>535</v>
      </c>
      <c r="T4819" s="4">
        <f t="shared" si="223"/>
        <v>5350</v>
      </c>
      <c r="U4819" s="4">
        <f t="shared" si="224"/>
        <v>5992.0000000000009</v>
      </c>
      <c r="V4819" s="3"/>
      <c r="W4819" s="3">
        <v>2014</v>
      </c>
      <c r="X4819" s="3"/>
    </row>
    <row r="4820" spans="1:24" ht="114.75">
      <c r="A4820" s="3" t="s">
        <v>1950</v>
      </c>
      <c r="B4820" s="6" t="s">
        <v>361</v>
      </c>
      <c r="C4820" s="6" t="s">
        <v>5802</v>
      </c>
      <c r="D4820" s="6" t="s">
        <v>5803</v>
      </c>
      <c r="E4820" s="6" t="s">
        <v>5804</v>
      </c>
      <c r="F4820" s="8" t="s">
        <v>5805</v>
      </c>
      <c r="G4820" s="57" t="s">
        <v>11449</v>
      </c>
      <c r="H4820" s="54">
        <v>0</v>
      </c>
      <c r="I4820" s="16">
        <v>470000000</v>
      </c>
      <c r="J4820" s="56" t="s">
        <v>229</v>
      </c>
      <c r="K4820" s="57" t="s">
        <v>641</v>
      </c>
      <c r="L4820" s="12" t="s">
        <v>404</v>
      </c>
      <c r="M4820" s="3" t="s">
        <v>230</v>
      </c>
      <c r="N4820" s="8" t="s">
        <v>8899</v>
      </c>
      <c r="O4820" s="6" t="s">
        <v>365</v>
      </c>
      <c r="P4820" s="58">
        <v>796</v>
      </c>
      <c r="Q4820" s="28" t="s">
        <v>234</v>
      </c>
      <c r="R4820" s="28">
        <v>10</v>
      </c>
      <c r="S4820" s="59">
        <v>9990</v>
      </c>
      <c r="T4820" s="4">
        <f t="shared" si="223"/>
        <v>99900</v>
      </c>
      <c r="U4820" s="4">
        <f t="shared" si="224"/>
        <v>111888.00000000001</v>
      </c>
      <c r="V4820" s="3"/>
      <c r="W4820" s="3">
        <v>2014</v>
      </c>
      <c r="X4820" s="3"/>
    </row>
    <row r="4821" spans="1:24" ht="114.75">
      <c r="A4821" s="3" t="s">
        <v>1951</v>
      </c>
      <c r="B4821" s="6" t="s">
        <v>361</v>
      </c>
      <c r="C4821" s="6" t="s">
        <v>5648</v>
      </c>
      <c r="D4821" s="6" t="s">
        <v>5649</v>
      </c>
      <c r="E4821" s="6" t="s">
        <v>5183</v>
      </c>
      <c r="F4821" s="8" t="s">
        <v>5806</v>
      </c>
      <c r="G4821" s="57" t="s">
        <v>11449</v>
      </c>
      <c r="H4821" s="54">
        <v>0</v>
      </c>
      <c r="I4821" s="16">
        <v>470000000</v>
      </c>
      <c r="J4821" s="56" t="s">
        <v>229</v>
      </c>
      <c r="K4821" s="57" t="s">
        <v>641</v>
      </c>
      <c r="L4821" s="12" t="s">
        <v>404</v>
      </c>
      <c r="M4821" s="3" t="s">
        <v>230</v>
      </c>
      <c r="N4821" s="8" t="s">
        <v>8899</v>
      </c>
      <c r="O4821" s="6" t="s">
        <v>365</v>
      </c>
      <c r="P4821" s="58">
        <v>796</v>
      </c>
      <c r="Q4821" s="28" t="s">
        <v>234</v>
      </c>
      <c r="R4821" s="28">
        <v>10</v>
      </c>
      <c r="S4821" s="59">
        <f>1000*1.07</f>
        <v>1070</v>
      </c>
      <c r="T4821" s="4">
        <f t="shared" si="223"/>
        <v>10700</v>
      </c>
      <c r="U4821" s="4">
        <f t="shared" si="224"/>
        <v>11984.000000000002</v>
      </c>
      <c r="V4821" s="3"/>
      <c r="W4821" s="3">
        <v>2014</v>
      </c>
      <c r="X4821" s="3"/>
    </row>
    <row r="4822" spans="1:24" ht="114.75">
      <c r="A4822" s="3" t="s">
        <v>1952</v>
      </c>
      <c r="B4822" s="6" t="s">
        <v>361</v>
      </c>
      <c r="C4822" s="6" t="s">
        <v>5506</v>
      </c>
      <c r="D4822" s="6" t="s">
        <v>5507</v>
      </c>
      <c r="E4822" s="6" t="s">
        <v>5183</v>
      </c>
      <c r="F4822" s="30" t="s">
        <v>5807</v>
      </c>
      <c r="G4822" s="57" t="s">
        <v>11449</v>
      </c>
      <c r="H4822" s="54">
        <v>0</v>
      </c>
      <c r="I4822" s="16">
        <v>470000000</v>
      </c>
      <c r="J4822" s="56" t="s">
        <v>229</v>
      </c>
      <c r="K4822" s="57" t="s">
        <v>641</v>
      </c>
      <c r="L4822" s="12" t="s">
        <v>404</v>
      </c>
      <c r="M4822" s="3" t="s">
        <v>230</v>
      </c>
      <c r="N4822" s="8" t="s">
        <v>8899</v>
      </c>
      <c r="O4822" s="6" t="s">
        <v>365</v>
      </c>
      <c r="P4822" s="58">
        <v>796</v>
      </c>
      <c r="Q4822" s="28" t="s">
        <v>234</v>
      </c>
      <c r="R4822" s="28">
        <v>10</v>
      </c>
      <c r="S4822" s="59">
        <f>9000*1.07</f>
        <v>9630</v>
      </c>
      <c r="T4822" s="4">
        <f t="shared" si="223"/>
        <v>96300</v>
      </c>
      <c r="U4822" s="4">
        <f t="shared" si="224"/>
        <v>107856.00000000001</v>
      </c>
      <c r="V4822" s="3"/>
      <c r="W4822" s="3">
        <v>2014</v>
      </c>
      <c r="X4822" s="3"/>
    </row>
    <row r="4823" spans="1:24" ht="114.75">
      <c r="A4823" s="3" t="s">
        <v>1953</v>
      </c>
      <c r="B4823" s="6" t="s">
        <v>361</v>
      </c>
      <c r="C4823" s="6" t="s">
        <v>5508</v>
      </c>
      <c r="D4823" s="6" t="s">
        <v>5509</v>
      </c>
      <c r="E4823" s="6" t="s">
        <v>5510</v>
      </c>
      <c r="F4823" s="30" t="s">
        <v>8118</v>
      </c>
      <c r="G4823" s="57" t="s">
        <v>11449</v>
      </c>
      <c r="H4823" s="54">
        <v>0</v>
      </c>
      <c r="I4823" s="16">
        <v>470000000</v>
      </c>
      <c r="J4823" s="56" t="s">
        <v>229</v>
      </c>
      <c r="K4823" s="57" t="s">
        <v>641</v>
      </c>
      <c r="L4823" s="12" t="s">
        <v>404</v>
      </c>
      <c r="M4823" s="3" t="s">
        <v>230</v>
      </c>
      <c r="N4823" s="8" t="s">
        <v>8899</v>
      </c>
      <c r="O4823" s="6" t="s">
        <v>365</v>
      </c>
      <c r="P4823" s="58">
        <v>796</v>
      </c>
      <c r="Q4823" s="28" t="s">
        <v>234</v>
      </c>
      <c r="R4823" s="28">
        <v>10</v>
      </c>
      <c r="S4823" s="59">
        <f>6000*1.07</f>
        <v>6420</v>
      </c>
      <c r="T4823" s="4">
        <f t="shared" si="223"/>
        <v>64200</v>
      </c>
      <c r="U4823" s="4">
        <f t="shared" si="224"/>
        <v>71904</v>
      </c>
      <c r="V4823" s="3"/>
      <c r="W4823" s="3">
        <v>2014</v>
      </c>
      <c r="X4823" s="3"/>
    </row>
    <row r="4824" spans="1:24" ht="114.75">
      <c r="A4824" s="3" t="s">
        <v>1954</v>
      </c>
      <c r="B4824" s="6" t="s">
        <v>361</v>
      </c>
      <c r="C4824" s="6" t="s">
        <v>5523</v>
      </c>
      <c r="D4824" s="6" t="s">
        <v>416</v>
      </c>
      <c r="E4824" s="6" t="s">
        <v>5332</v>
      </c>
      <c r="F4824" s="107" t="s">
        <v>8119</v>
      </c>
      <c r="G4824" s="57" t="s">
        <v>11449</v>
      </c>
      <c r="H4824" s="54">
        <v>0</v>
      </c>
      <c r="I4824" s="16">
        <v>470000000</v>
      </c>
      <c r="J4824" s="56" t="s">
        <v>229</v>
      </c>
      <c r="K4824" s="57" t="s">
        <v>641</v>
      </c>
      <c r="L4824" s="12" t="s">
        <v>404</v>
      </c>
      <c r="M4824" s="3" t="s">
        <v>230</v>
      </c>
      <c r="N4824" s="8" t="s">
        <v>8899</v>
      </c>
      <c r="O4824" s="6" t="s">
        <v>365</v>
      </c>
      <c r="P4824" s="58">
        <v>796</v>
      </c>
      <c r="Q4824" s="28" t="s">
        <v>234</v>
      </c>
      <c r="R4824" s="26">
        <v>30</v>
      </c>
      <c r="S4824" s="59">
        <f>200*1.07</f>
        <v>214</v>
      </c>
      <c r="T4824" s="4">
        <f t="shared" si="223"/>
        <v>6420</v>
      </c>
      <c r="U4824" s="4">
        <f t="shared" si="224"/>
        <v>7190.4000000000005</v>
      </c>
      <c r="V4824" s="3"/>
      <c r="W4824" s="3">
        <v>2014</v>
      </c>
      <c r="X4824" s="3"/>
    </row>
    <row r="4825" spans="1:24" ht="114.75">
      <c r="A4825" s="3" t="s">
        <v>1955</v>
      </c>
      <c r="B4825" s="6" t="s">
        <v>361</v>
      </c>
      <c r="C4825" s="6" t="s">
        <v>7341</v>
      </c>
      <c r="D4825" s="6" t="s">
        <v>7342</v>
      </c>
      <c r="E4825" s="6" t="s">
        <v>5183</v>
      </c>
      <c r="F4825" s="107" t="s">
        <v>8120</v>
      </c>
      <c r="G4825" s="57" t="s">
        <v>11449</v>
      </c>
      <c r="H4825" s="54">
        <v>0</v>
      </c>
      <c r="I4825" s="16">
        <v>470000000</v>
      </c>
      <c r="J4825" s="56" t="s">
        <v>229</v>
      </c>
      <c r="K4825" s="57" t="s">
        <v>641</v>
      </c>
      <c r="L4825" s="12" t="s">
        <v>404</v>
      </c>
      <c r="M4825" s="3" t="s">
        <v>230</v>
      </c>
      <c r="N4825" s="8" t="s">
        <v>8899</v>
      </c>
      <c r="O4825" s="6" t="s">
        <v>365</v>
      </c>
      <c r="P4825" s="58">
        <v>796</v>
      </c>
      <c r="Q4825" s="28" t="s">
        <v>234</v>
      </c>
      <c r="R4825" s="26">
        <v>40</v>
      </c>
      <c r="S4825" s="59">
        <f>300*1.07</f>
        <v>321</v>
      </c>
      <c r="T4825" s="4">
        <f t="shared" si="223"/>
        <v>12840</v>
      </c>
      <c r="U4825" s="4">
        <f t="shared" si="224"/>
        <v>14380.800000000001</v>
      </c>
      <c r="V4825" s="3"/>
      <c r="W4825" s="3">
        <v>2014</v>
      </c>
      <c r="X4825" s="3"/>
    </row>
    <row r="4826" spans="1:24" ht="114.75">
      <c r="A4826" s="3" t="s">
        <v>1956</v>
      </c>
      <c r="B4826" s="6" t="s">
        <v>361</v>
      </c>
      <c r="C4826" s="6" t="s">
        <v>5808</v>
      </c>
      <c r="D4826" s="6" t="s">
        <v>5809</v>
      </c>
      <c r="E4826" s="6" t="s">
        <v>5332</v>
      </c>
      <c r="F4826" s="107" t="s">
        <v>8121</v>
      </c>
      <c r="G4826" s="57" t="s">
        <v>11449</v>
      </c>
      <c r="H4826" s="54">
        <v>0</v>
      </c>
      <c r="I4826" s="16">
        <v>470000000</v>
      </c>
      <c r="J4826" s="56" t="s">
        <v>229</v>
      </c>
      <c r="K4826" s="57" t="s">
        <v>641</v>
      </c>
      <c r="L4826" s="12" t="s">
        <v>404</v>
      </c>
      <c r="M4826" s="3" t="s">
        <v>230</v>
      </c>
      <c r="N4826" s="8" t="s">
        <v>8899</v>
      </c>
      <c r="O4826" s="6" t="s">
        <v>365</v>
      </c>
      <c r="P4826" s="58">
        <v>796</v>
      </c>
      <c r="Q4826" s="28" t="s">
        <v>234</v>
      </c>
      <c r="R4826" s="26">
        <v>6</v>
      </c>
      <c r="S4826" s="59">
        <f>7500*1.07</f>
        <v>8025.0000000000009</v>
      </c>
      <c r="T4826" s="4">
        <f t="shared" si="223"/>
        <v>48150.000000000007</v>
      </c>
      <c r="U4826" s="4">
        <f t="shared" si="224"/>
        <v>53928.000000000015</v>
      </c>
      <c r="V4826" s="3"/>
      <c r="W4826" s="3">
        <v>2014</v>
      </c>
      <c r="X4826" s="3"/>
    </row>
    <row r="4827" spans="1:24" ht="114.75">
      <c r="A4827" s="3" t="s">
        <v>1957</v>
      </c>
      <c r="B4827" s="6" t="s">
        <v>361</v>
      </c>
      <c r="C4827" s="6" t="s">
        <v>5810</v>
      </c>
      <c r="D4827" s="6" t="s">
        <v>457</v>
      </c>
      <c r="E4827" s="6" t="s">
        <v>5332</v>
      </c>
      <c r="F4827" s="107" t="s">
        <v>8122</v>
      </c>
      <c r="G4827" s="57" t="s">
        <v>11449</v>
      </c>
      <c r="H4827" s="54">
        <v>0</v>
      </c>
      <c r="I4827" s="16">
        <v>470000000</v>
      </c>
      <c r="J4827" s="56" t="s">
        <v>229</v>
      </c>
      <c r="K4827" s="57" t="s">
        <v>641</v>
      </c>
      <c r="L4827" s="12" t="s">
        <v>404</v>
      </c>
      <c r="M4827" s="3" t="s">
        <v>230</v>
      </c>
      <c r="N4827" s="8" t="s">
        <v>8899</v>
      </c>
      <c r="O4827" s="6" t="s">
        <v>365</v>
      </c>
      <c r="P4827" s="58">
        <v>796</v>
      </c>
      <c r="Q4827" s="28" t="s">
        <v>234</v>
      </c>
      <c r="R4827" s="26">
        <v>10</v>
      </c>
      <c r="S4827" s="59">
        <f>2000*1.07</f>
        <v>2140</v>
      </c>
      <c r="T4827" s="4">
        <f t="shared" si="223"/>
        <v>21400</v>
      </c>
      <c r="U4827" s="4">
        <f t="shared" si="224"/>
        <v>23968.000000000004</v>
      </c>
      <c r="V4827" s="3"/>
      <c r="W4827" s="3">
        <v>2014</v>
      </c>
      <c r="X4827" s="3"/>
    </row>
    <row r="4828" spans="1:24" ht="114.75">
      <c r="A4828" s="3" t="s">
        <v>1958</v>
      </c>
      <c r="B4828" s="6" t="s">
        <v>361</v>
      </c>
      <c r="C4828" s="6" t="s">
        <v>5523</v>
      </c>
      <c r="D4828" s="6" t="s">
        <v>416</v>
      </c>
      <c r="E4828" s="6" t="s">
        <v>5332</v>
      </c>
      <c r="F4828" s="30" t="s">
        <v>5811</v>
      </c>
      <c r="G4828" s="57" t="s">
        <v>11449</v>
      </c>
      <c r="H4828" s="54">
        <v>0</v>
      </c>
      <c r="I4828" s="16">
        <v>470000000</v>
      </c>
      <c r="J4828" s="56" t="s">
        <v>229</v>
      </c>
      <c r="K4828" s="57" t="s">
        <v>641</v>
      </c>
      <c r="L4828" s="12" t="s">
        <v>404</v>
      </c>
      <c r="M4828" s="3" t="s">
        <v>230</v>
      </c>
      <c r="N4828" s="8" t="s">
        <v>8899</v>
      </c>
      <c r="O4828" s="6" t="s">
        <v>365</v>
      </c>
      <c r="P4828" s="58">
        <v>796</v>
      </c>
      <c r="Q4828" s="28" t="s">
        <v>234</v>
      </c>
      <c r="R4828" s="26">
        <v>40</v>
      </c>
      <c r="S4828" s="59">
        <f>400*1.07</f>
        <v>428</v>
      </c>
      <c r="T4828" s="4">
        <f t="shared" si="223"/>
        <v>17120</v>
      </c>
      <c r="U4828" s="4">
        <f t="shared" si="224"/>
        <v>19174.400000000001</v>
      </c>
      <c r="V4828" s="3"/>
      <c r="W4828" s="3">
        <v>2014</v>
      </c>
      <c r="X4828" s="3"/>
    </row>
    <row r="4829" spans="1:24" ht="114.75">
      <c r="A4829" s="3" t="s">
        <v>1959</v>
      </c>
      <c r="B4829" s="6" t="s">
        <v>361</v>
      </c>
      <c r="C4829" s="6" t="s">
        <v>5812</v>
      </c>
      <c r="D4829" s="6" t="s">
        <v>5813</v>
      </c>
      <c r="E4829" s="6" t="s">
        <v>5743</v>
      </c>
      <c r="F4829" s="30" t="s">
        <v>5814</v>
      </c>
      <c r="G4829" s="57" t="s">
        <v>11449</v>
      </c>
      <c r="H4829" s="54">
        <v>0</v>
      </c>
      <c r="I4829" s="16">
        <v>470000000</v>
      </c>
      <c r="J4829" s="56" t="s">
        <v>229</v>
      </c>
      <c r="K4829" s="57" t="s">
        <v>641</v>
      </c>
      <c r="L4829" s="12" t="s">
        <v>404</v>
      </c>
      <c r="M4829" s="3" t="s">
        <v>230</v>
      </c>
      <c r="N4829" s="8" t="s">
        <v>8899</v>
      </c>
      <c r="O4829" s="6" t="s">
        <v>365</v>
      </c>
      <c r="P4829" s="58">
        <v>796</v>
      </c>
      <c r="Q4829" s="28" t="s">
        <v>234</v>
      </c>
      <c r="R4829" s="26">
        <v>20</v>
      </c>
      <c r="S4829" s="59">
        <v>1236.433</v>
      </c>
      <c r="T4829" s="4">
        <f t="shared" si="223"/>
        <v>24728.66</v>
      </c>
      <c r="U4829" s="4">
        <f t="shared" si="224"/>
        <v>27696.099200000004</v>
      </c>
      <c r="V4829" s="3"/>
      <c r="W4829" s="3">
        <v>2014</v>
      </c>
      <c r="X4829" s="3"/>
    </row>
    <row r="4830" spans="1:24" ht="114.75">
      <c r="A4830" s="3" t="s">
        <v>1960</v>
      </c>
      <c r="B4830" s="6" t="s">
        <v>361</v>
      </c>
      <c r="C4830" s="6" t="s">
        <v>5815</v>
      </c>
      <c r="D4830" s="6" t="s">
        <v>5401</v>
      </c>
      <c r="E4830" s="6" t="s">
        <v>5620</v>
      </c>
      <c r="F4830" s="30" t="s">
        <v>5816</v>
      </c>
      <c r="G4830" s="57" t="s">
        <v>11449</v>
      </c>
      <c r="H4830" s="54">
        <v>0</v>
      </c>
      <c r="I4830" s="16">
        <v>470000000</v>
      </c>
      <c r="J4830" s="56" t="s">
        <v>229</v>
      </c>
      <c r="K4830" s="57" t="s">
        <v>641</v>
      </c>
      <c r="L4830" s="12" t="s">
        <v>404</v>
      </c>
      <c r="M4830" s="3" t="s">
        <v>230</v>
      </c>
      <c r="N4830" s="8" t="s">
        <v>8899</v>
      </c>
      <c r="O4830" s="6" t="s">
        <v>365</v>
      </c>
      <c r="P4830" s="58">
        <v>796</v>
      </c>
      <c r="Q4830" s="28" t="s">
        <v>234</v>
      </c>
      <c r="R4830" s="26">
        <v>10</v>
      </c>
      <c r="S4830" s="59">
        <v>15692.6</v>
      </c>
      <c r="T4830" s="4">
        <f t="shared" si="223"/>
        <v>156926</v>
      </c>
      <c r="U4830" s="4">
        <f t="shared" si="224"/>
        <v>175757.12000000002</v>
      </c>
      <c r="V4830" s="3"/>
      <c r="W4830" s="3">
        <v>2014</v>
      </c>
      <c r="X4830" s="3"/>
    </row>
    <row r="4831" spans="1:24" ht="114.75">
      <c r="A4831" s="3" t="s">
        <v>1961</v>
      </c>
      <c r="B4831" s="6" t="s">
        <v>361</v>
      </c>
      <c r="C4831" s="6" t="s">
        <v>5817</v>
      </c>
      <c r="D4831" s="6" t="s">
        <v>467</v>
      </c>
      <c r="E4831" s="6" t="s">
        <v>5818</v>
      </c>
      <c r="F4831" s="30" t="s">
        <v>5819</v>
      </c>
      <c r="G4831" s="57" t="s">
        <v>11449</v>
      </c>
      <c r="H4831" s="54">
        <v>0</v>
      </c>
      <c r="I4831" s="16">
        <v>470000000</v>
      </c>
      <c r="J4831" s="56" t="s">
        <v>229</v>
      </c>
      <c r="K4831" s="57" t="s">
        <v>641</v>
      </c>
      <c r="L4831" s="12" t="s">
        <v>404</v>
      </c>
      <c r="M4831" s="3" t="s">
        <v>230</v>
      </c>
      <c r="N4831" s="8" t="s">
        <v>8898</v>
      </c>
      <c r="O4831" s="6" t="s">
        <v>365</v>
      </c>
      <c r="P4831" s="58">
        <v>796</v>
      </c>
      <c r="Q4831" s="28" t="s">
        <v>234</v>
      </c>
      <c r="R4831" s="26">
        <v>2</v>
      </c>
      <c r="S4831" s="59">
        <v>6505.4000000000005</v>
      </c>
      <c r="T4831" s="4">
        <f t="shared" si="223"/>
        <v>13010.800000000001</v>
      </c>
      <c r="U4831" s="4">
        <f t="shared" si="224"/>
        <v>14572.096000000003</v>
      </c>
      <c r="V4831" s="3"/>
      <c r="W4831" s="3">
        <v>2014</v>
      </c>
      <c r="X4831" s="3"/>
    </row>
    <row r="4832" spans="1:24" ht="114.75">
      <c r="A4832" s="3" t="s">
        <v>1962</v>
      </c>
      <c r="B4832" s="6" t="s">
        <v>361</v>
      </c>
      <c r="C4832" s="6" t="s">
        <v>5428</v>
      </c>
      <c r="D4832" s="6" t="s">
        <v>416</v>
      </c>
      <c r="E4832" s="6" t="s">
        <v>5429</v>
      </c>
      <c r="F4832" s="30" t="s">
        <v>5820</v>
      </c>
      <c r="G4832" s="57" t="s">
        <v>11449</v>
      </c>
      <c r="H4832" s="54">
        <v>0</v>
      </c>
      <c r="I4832" s="16">
        <v>470000000</v>
      </c>
      <c r="J4832" s="56" t="s">
        <v>229</v>
      </c>
      <c r="K4832" s="57" t="s">
        <v>641</v>
      </c>
      <c r="L4832" s="12" t="s">
        <v>404</v>
      </c>
      <c r="M4832" s="3" t="s">
        <v>230</v>
      </c>
      <c r="N4832" s="8" t="s">
        <v>8899</v>
      </c>
      <c r="O4832" s="6" t="s">
        <v>365</v>
      </c>
      <c r="P4832" s="58">
        <v>796</v>
      </c>
      <c r="Q4832" s="28" t="s">
        <v>234</v>
      </c>
      <c r="R4832" s="26">
        <v>30</v>
      </c>
      <c r="S4832" s="59">
        <v>344.3</v>
      </c>
      <c r="T4832" s="4">
        <f t="shared" si="223"/>
        <v>10329</v>
      </c>
      <c r="U4832" s="4">
        <f t="shared" si="224"/>
        <v>11568.480000000001</v>
      </c>
      <c r="V4832" s="3"/>
      <c r="W4832" s="3">
        <v>2014</v>
      </c>
      <c r="X4832" s="3"/>
    </row>
    <row r="4833" spans="1:24" ht="114.75">
      <c r="A4833" s="3" t="s">
        <v>1963</v>
      </c>
      <c r="B4833" s="6" t="s">
        <v>361</v>
      </c>
      <c r="C4833" s="6" t="s">
        <v>5821</v>
      </c>
      <c r="D4833" s="6" t="s">
        <v>5601</v>
      </c>
      <c r="E4833" s="6" t="s">
        <v>5743</v>
      </c>
      <c r="F4833" s="8" t="s">
        <v>5822</v>
      </c>
      <c r="G4833" s="57" t="s">
        <v>11449</v>
      </c>
      <c r="H4833" s="54">
        <v>0</v>
      </c>
      <c r="I4833" s="16">
        <v>470000000</v>
      </c>
      <c r="J4833" s="56" t="s">
        <v>229</v>
      </c>
      <c r="K4833" s="57" t="s">
        <v>641</v>
      </c>
      <c r="L4833" s="12" t="s">
        <v>404</v>
      </c>
      <c r="M4833" s="3" t="s">
        <v>230</v>
      </c>
      <c r="N4833" s="8" t="s">
        <v>9479</v>
      </c>
      <c r="O4833" s="6" t="s">
        <v>365</v>
      </c>
      <c r="P4833" s="58">
        <v>796</v>
      </c>
      <c r="Q4833" s="28" t="s">
        <v>234</v>
      </c>
      <c r="R4833" s="27">
        <v>2</v>
      </c>
      <c r="S4833" s="59">
        <f>15000*1.07</f>
        <v>16050.000000000002</v>
      </c>
      <c r="T4833" s="4">
        <v>0</v>
      </c>
      <c r="U4833" s="4">
        <f t="shared" si="224"/>
        <v>0</v>
      </c>
      <c r="V4833" s="3"/>
      <c r="W4833" s="3">
        <v>2014</v>
      </c>
      <c r="X4833" s="3">
        <v>11</v>
      </c>
    </row>
    <row r="4834" spans="1:24" ht="114.75">
      <c r="A4834" s="3" t="s">
        <v>12664</v>
      </c>
      <c r="B4834" s="6" t="s">
        <v>361</v>
      </c>
      <c r="C4834" s="6" t="s">
        <v>5821</v>
      </c>
      <c r="D4834" s="6" t="s">
        <v>5601</v>
      </c>
      <c r="E4834" s="6" t="s">
        <v>5743</v>
      </c>
      <c r="F4834" s="8" t="s">
        <v>5822</v>
      </c>
      <c r="G4834" s="57" t="s">
        <v>11449</v>
      </c>
      <c r="H4834" s="54">
        <v>0</v>
      </c>
      <c r="I4834" s="16">
        <v>470000000</v>
      </c>
      <c r="J4834" s="56" t="s">
        <v>229</v>
      </c>
      <c r="K4834" s="57" t="s">
        <v>642</v>
      </c>
      <c r="L4834" s="12" t="s">
        <v>404</v>
      </c>
      <c r="M4834" s="3" t="s">
        <v>230</v>
      </c>
      <c r="N4834" s="8" t="s">
        <v>9479</v>
      </c>
      <c r="O4834" s="6" t="s">
        <v>365</v>
      </c>
      <c r="P4834" s="58">
        <v>796</v>
      </c>
      <c r="Q4834" s="28" t="s">
        <v>234</v>
      </c>
      <c r="R4834" s="27">
        <v>2</v>
      </c>
      <c r="S4834" s="59">
        <f>15000*1.07</f>
        <v>16050.000000000002</v>
      </c>
      <c r="T4834" s="4">
        <f>R4834*S4834</f>
        <v>32100.000000000004</v>
      </c>
      <c r="U4834" s="4">
        <f>T4834*1.12</f>
        <v>35952.000000000007</v>
      </c>
      <c r="V4834" s="3"/>
      <c r="W4834" s="3">
        <v>2014</v>
      </c>
      <c r="X4834" s="3"/>
    </row>
    <row r="4835" spans="1:24" ht="114.75">
      <c r="A4835" s="3" t="s">
        <v>1964</v>
      </c>
      <c r="B4835" s="6" t="s">
        <v>361</v>
      </c>
      <c r="C4835" s="6" t="s">
        <v>7339</v>
      </c>
      <c r="D4835" s="6" t="s">
        <v>11533</v>
      </c>
      <c r="E4835" s="6" t="s">
        <v>3115</v>
      </c>
      <c r="F4835" s="30" t="s">
        <v>8123</v>
      </c>
      <c r="G4835" s="57" t="s">
        <v>11449</v>
      </c>
      <c r="H4835" s="54">
        <v>0</v>
      </c>
      <c r="I4835" s="16">
        <v>470000000</v>
      </c>
      <c r="J4835" s="56" t="s">
        <v>229</v>
      </c>
      <c r="K4835" s="57" t="s">
        <v>641</v>
      </c>
      <c r="L4835" s="12" t="s">
        <v>404</v>
      </c>
      <c r="M4835" s="3" t="s">
        <v>230</v>
      </c>
      <c r="N4835" s="8" t="s">
        <v>9479</v>
      </c>
      <c r="O4835" s="6" t="s">
        <v>365</v>
      </c>
      <c r="P4835" s="58">
        <v>839</v>
      </c>
      <c r="Q4835" s="28" t="s">
        <v>239</v>
      </c>
      <c r="R4835" s="28">
        <v>4</v>
      </c>
      <c r="S4835" s="59">
        <v>5994</v>
      </c>
      <c r="T4835" s="4">
        <v>0</v>
      </c>
      <c r="U4835" s="4">
        <f t="shared" si="224"/>
        <v>0</v>
      </c>
      <c r="V4835" s="3"/>
      <c r="W4835" s="3">
        <v>2014</v>
      </c>
      <c r="X4835" s="3">
        <v>11</v>
      </c>
    </row>
    <row r="4836" spans="1:24" ht="114.75">
      <c r="A4836" s="3" t="s">
        <v>12665</v>
      </c>
      <c r="B4836" s="6" t="s">
        <v>361</v>
      </c>
      <c r="C4836" s="6" t="s">
        <v>7339</v>
      </c>
      <c r="D4836" s="6" t="s">
        <v>11533</v>
      </c>
      <c r="E4836" s="6" t="s">
        <v>3115</v>
      </c>
      <c r="F4836" s="30" t="s">
        <v>8123</v>
      </c>
      <c r="G4836" s="57" t="s">
        <v>11449</v>
      </c>
      <c r="H4836" s="54">
        <v>0</v>
      </c>
      <c r="I4836" s="16">
        <v>470000000</v>
      </c>
      <c r="J4836" s="56" t="s">
        <v>229</v>
      </c>
      <c r="K4836" s="57" t="s">
        <v>642</v>
      </c>
      <c r="L4836" s="12" t="s">
        <v>404</v>
      </c>
      <c r="M4836" s="3" t="s">
        <v>230</v>
      </c>
      <c r="N4836" s="8" t="s">
        <v>9479</v>
      </c>
      <c r="O4836" s="6" t="s">
        <v>365</v>
      </c>
      <c r="P4836" s="58">
        <v>839</v>
      </c>
      <c r="Q4836" s="28" t="s">
        <v>239</v>
      </c>
      <c r="R4836" s="28">
        <v>4</v>
      </c>
      <c r="S4836" s="59">
        <v>5994</v>
      </c>
      <c r="T4836" s="4">
        <v>0</v>
      </c>
      <c r="U4836" s="4">
        <f>T4836*1.12</f>
        <v>0</v>
      </c>
      <c r="V4836" s="3"/>
      <c r="W4836" s="3">
        <v>2014</v>
      </c>
      <c r="X4836" s="3" t="s">
        <v>14785</v>
      </c>
    </row>
    <row r="4837" spans="1:24" ht="114.75">
      <c r="A4837" s="3" t="s">
        <v>16893</v>
      </c>
      <c r="B4837" s="6" t="s">
        <v>361</v>
      </c>
      <c r="C4837" s="6" t="s">
        <v>7339</v>
      </c>
      <c r="D4837" s="6" t="s">
        <v>11533</v>
      </c>
      <c r="E4837" s="6" t="s">
        <v>3115</v>
      </c>
      <c r="F4837" s="30" t="s">
        <v>8123</v>
      </c>
      <c r="G4837" s="3" t="s">
        <v>11449</v>
      </c>
      <c r="H4837" s="54">
        <v>0</v>
      </c>
      <c r="I4837" s="16">
        <v>470000000</v>
      </c>
      <c r="J4837" s="56" t="s">
        <v>229</v>
      </c>
      <c r="K4837" s="57" t="s">
        <v>8950</v>
      </c>
      <c r="L4837" s="12" t="s">
        <v>404</v>
      </c>
      <c r="M4837" s="3" t="s">
        <v>230</v>
      </c>
      <c r="N4837" s="8" t="s">
        <v>9479</v>
      </c>
      <c r="O4837" s="6" t="s">
        <v>365</v>
      </c>
      <c r="P4837" s="58">
        <v>839</v>
      </c>
      <c r="Q4837" s="28" t="s">
        <v>239</v>
      </c>
      <c r="R4837" s="28">
        <v>4</v>
      </c>
      <c r="S4837" s="59">
        <v>18618</v>
      </c>
      <c r="T4837" s="4">
        <f>R4837*S4837</f>
        <v>74472</v>
      </c>
      <c r="U4837" s="4">
        <f>T4837*1.12</f>
        <v>83408.640000000014</v>
      </c>
      <c r="V4837" s="3"/>
      <c r="W4837" s="3">
        <v>2014</v>
      </c>
      <c r="X4837" s="3"/>
    </row>
    <row r="4838" spans="1:24" ht="114.75">
      <c r="A4838" s="3" t="s">
        <v>1965</v>
      </c>
      <c r="B4838" s="6" t="s">
        <v>361</v>
      </c>
      <c r="C4838" s="174" t="s">
        <v>6159</v>
      </c>
      <c r="D4838" s="49" t="s">
        <v>3122</v>
      </c>
      <c r="E4838" s="49" t="s">
        <v>5743</v>
      </c>
      <c r="F4838" s="30" t="s">
        <v>11732</v>
      </c>
      <c r="G4838" s="57" t="s">
        <v>11449</v>
      </c>
      <c r="H4838" s="54">
        <v>0</v>
      </c>
      <c r="I4838" s="16">
        <v>470000000</v>
      </c>
      <c r="J4838" s="56" t="s">
        <v>229</v>
      </c>
      <c r="K4838" s="57" t="s">
        <v>641</v>
      </c>
      <c r="L4838" s="12" t="s">
        <v>404</v>
      </c>
      <c r="M4838" s="3" t="s">
        <v>230</v>
      </c>
      <c r="N4838" s="8" t="s">
        <v>9479</v>
      </c>
      <c r="O4838" s="6" t="s">
        <v>365</v>
      </c>
      <c r="P4838" s="58">
        <v>839</v>
      </c>
      <c r="Q4838" s="28" t="s">
        <v>239</v>
      </c>
      <c r="R4838" s="27">
        <v>15</v>
      </c>
      <c r="S4838" s="59">
        <f>1000*1.07</f>
        <v>1070</v>
      </c>
      <c r="T4838" s="4">
        <v>0</v>
      </c>
      <c r="U4838" s="4">
        <f t="shared" si="224"/>
        <v>0</v>
      </c>
      <c r="V4838" s="3"/>
      <c r="W4838" s="3">
        <v>2014</v>
      </c>
      <c r="X4838" s="3">
        <v>11</v>
      </c>
    </row>
    <row r="4839" spans="1:24" ht="114.75">
      <c r="A4839" s="3" t="s">
        <v>12666</v>
      </c>
      <c r="B4839" s="6" t="s">
        <v>361</v>
      </c>
      <c r="C4839" s="174" t="s">
        <v>6159</v>
      </c>
      <c r="D4839" s="49" t="s">
        <v>3122</v>
      </c>
      <c r="E4839" s="49" t="s">
        <v>5743</v>
      </c>
      <c r="F4839" s="30" t="s">
        <v>11732</v>
      </c>
      <c r="G4839" s="57" t="s">
        <v>11449</v>
      </c>
      <c r="H4839" s="54">
        <v>0</v>
      </c>
      <c r="I4839" s="16">
        <v>470000000</v>
      </c>
      <c r="J4839" s="56" t="s">
        <v>229</v>
      </c>
      <c r="K4839" s="57" t="s">
        <v>642</v>
      </c>
      <c r="L4839" s="12" t="s">
        <v>404</v>
      </c>
      <c r="M4839" s="3" t="s">
        <v>230</v>
      </c>
      <c r="N4839" s="8" t="s">
        <v>9479</v>
      </c>
      <c r="O4839" s="6" t="s">
        <v>365</v>
      </c>
      <c r="P4839" s="58">
        <v>839</v>
      </c>
      <c r="Q4839" s="28" t="s">
        <v>239</v>
      </c>
      <c r="R4839" s="27">
        <v>15</v>
      </c>
      <c r="S4839" s="59">
        <f>1000*1.07</f>
        <v>1070</v>
      </c>
      <c r="T4839" s="4">
        <f>R4839*S4839</f>
        <v>16050</v>
      </c>
      <c r="U4839" s="4">
        <f>T4839*1.12</f>
        <v>17976</v>
      </c>
      <c r="V4839" s="3"/>
      <c r="W4839" s="3">
        <v>2014</v>
      </c>
      <c r="X4839" s="3"/>
    </row>
    <row r="4840" spans="1:24" ht="114.75">
      <c r="A4840" s="3" t="s">
        <v>1966</v>
      </c>
      <c r="B4840" s="6" t="s">
        <v>361</v>
      </c>
      <c r="C4840" s="174" t="s">
        <v>7343</v>
      </c>
      <c r="D4840" s="49" t="s">
        <v>3125</v>
      </c>
      <c r="E4840" s="49" t="s">
        <v>5743</v>
      </c>
      <c r="F4840" s="30" t="s">
        <v>11733</v>
      </c>
      <c r="G4840" s="57" t="s">
        <v>11449</v>
      </c>
      <c r="H4840" s="54">
        <v>0</v>
      </c>
      <c r="I4840" s="16">
        <v>470000000</v>
      </c>
      <c r="J4840" s="56" t="s">
        <v>229</v>
      </c>
      <c r="K4840" s="57" t="s">
        <v>641</v>
      </c>
      <c r="L4840" s="12" t="s">
        <v>404</v>
      </c>
      <c r="M4840" s="3" t="s">
        <v>230</v>
      </c>
      <c r="N4840" s="8" t="s">
        <v>9479</v>
      </c>
      <c r="O4840" s="6" t="s">
        <v>365</v>
      </c>
      <c r="P4840" s="58">
        <v>839</v>
      </c>
      <c r="Q4840" s="28" t="s">
        <v>239</v>
      </c>
      <c r="R4840" s="27">
        <v>15</v>
      </c>
      <c r="S4840" s="59">
        <f>500*1.07</f>
        <v>535</v>
      </c>
      <c r="T4840" s="4">
        <v>0</v>
      </c>
      <c r="U4840" s="4">
        <f t="shared" si="224"/>
        <v>0</v>
      </c>
      <c r="V4840" s="3"/>
      <c r="W4840" s="3">
        <v>2014</v>
      </c>
      <c r="X4840" s="3">
        <v>11</v>
      </c>
    </row>
    <row r="4841" spans="1:24" ht="114.75">
      <c r="A4841" s="3" t="s">
        <v>12667</v>
      </c>
      <c r="B4841" s="6" t="s">
        <v>361</v>
      </c>
      <c r="C4841" s="174" t="s">
        <v>7343</v>
      </c>
      <c r="D4841" s="49" t="s">
        <v>3125</v>
      </c>
      <c r="E4841" s="49" t="s">
        <v>5743</v>
      </c>
      <c r="F4841" s="30" t="s">
        <v>11733</v>
      </c>
      <c r="G4841" s="57" t="s">
        <v>11449</v>
      </c>
      <c r="H4841" s="54">
        <v>0</v>
      </c>
      <c r="I4841" s="16">
        <v>470000000</v>
      </c>
      <c r="J4841" s="56" t="s">
        <v>229</v>
      </c>
      <c r="K4841" s="57" t="s">
        <v>642</v>
      </c>
      <c r="L4841" s="12" t="s">
        <v>404</v>
      </c>
      <c r="M4841" s="3" t="s">
        <v>230</v>
      </c>
      <c r="N4841" s="8" t="s">
        <v>9479</v>
      </c>
      <c r="O4841" s="6" t="s">
        <v>365</v>
      </c>
      <c r="P4841" s="58">
        <v>839</v>
      </c>
      <c r="Q4841" s="28" t="s">
        <v>239</v>
      </c>
      <c r="R4841" s="27">
        <v>15</v>
      </c>
      <c r="S4841" s="59">
        <f>500*1.07</f>
        <v>535</v>
      </c>
      <c r="T4841" s="4">
        <f>R4841*S4841</f>
        <v>8025</v>
      </c>
      <c r="U4841" s="4">
        <f>T4841*1.12</f>
        <v>8988</v>
      </c>
      <c r="V4841" s="3"/>
      <c r="W4841" s="3">
        <v>2014</v>
      </c>
      <c r="X4841" s="3"/>
    </row>
    <row r="4842" spans="1:24" ht="114.75">
      <c r="A4842" s="3" t="s">
        <v>1967</v>
      </c>
      <c r="B4842" s="6" t="s">
        <v>361</v>
      </c>
      <c r="C4842" s="174" t="s">
        <v>7343</v>
      </c>
      <c r="D4842" s="49" t="s">
        <v>3125</v>
      </c>
      <c r="E4842" s="49" t="s">
        <v>5743</v>
      </c>
      <c r="F4842" s="30" t="s">
        <v>5823</v>
      </c>
      <c r="G4842" s="57" t="s">
        <v>11449</v>
      </c>
      <c r="H4842" s="54">
        <v>0</v>
      </c>
      <c r="I4842" s="16">
        <v>470000000</v>
      </c>
      <c r="J4842" s="56" t="s">
        <v>229</v>
      </c>
      <c r="K4842" s="57" t="s">
        <v>641</v>
      </c>
      <c r="L4842" s="12" t="s">
        <v>404</v>
      </c>
      <c r="M4842" s="3" t="s">
        <v>230</v>
      </c>
      <c r="N4842" s="8" t="s">
        <v>9479</v>
      </c>
      <c r="O4842" s="6" t="s">
        <v>365</v>
      </c>
      <c r="P4842" s="58">
        <v>839</v>
      </c>
      <c r="Q4842" s="28" t="s">
        <v>239</v>
      </c>
      <c r="R4842" s="30">
        <v>20</v>
      </c>
      <c r="S4842" s="59">
        <v>1298</v>
      </c>
      <c r="T4842" s="4">
        <v>0</v>
      </c>
      <c r="U4842" s="4">
        <f t="shared" si="224"/>
        <v>0</v>
      </c>
      <c r="V4842" s="3"/>
      <c r="W4842" s="3">
        <v>2014</v>
      </c>
      <c r="X4842" s="3">
        <v>11</v>
      </c>
    </row>
    <row r="4843" spans="1:24" ht="114.75">
      <c r="A4843" s="3" t="s">
        <v>12668</v>
      </c>
      <c r="B4843" s="6" t="s">
        <v>361</v>
      </c>
      <c r="C4843" s="174" t="s">
        <v>7343</v>
      </c>
      <c r="D4843" s="49" t="s">
        <v>3125</v>
      </c>
      <c r="E4843" s="49" t="s">
        <v>5743</v>
      </c>
      <c r="F4843" s="30" t="s">
        <v>5823</v>
      </c>
      <c r="G4843" s="57" t="s">
        <v>11449</v>
      </c>
      <c r="H4843" s="54">
        <v>0</v>
      </c>
      <c r="I4843" s="16">
        <v>470000000</v>
      </c>
      <c r="J4843" s="56" t="s">
        <v>229</v>
      </c>
      <c r="K4843" s="57" t="s">
        <v>642</v>
      </c>
      <c r="L4843" s="12" t="s">
        <v>404</v>
      </c>
      <c r="M4843" s="3" t="s">
        <v>230</v>
      </c>
      <c r="N4843" s="8" t="s">
        <v>9479</v>
      </c>
      <c r="O4843" s="6" t="s">
        <v>365</v>
      </c>
      <c r="P4843" s="58">
        <v>839</v>
      </c>
      <c r="Q4843" s="28" t="s">
        <v>239</v>
      </c>
      <c r="R4843" s="30">
        <v>20</v>
      </c>
      <c r="S4843" s="59">
        <v>1298</v>
      </c>
      <c r="T4843" s="4">
        <f>R4843*S4843</f>
        <v>25960</v>
      </c>
      <c r="U4843" s="4">
        <f>T4843*1.12</f>
        <v>29075.200000000004</v>
      </c>
      <c r="V4843" s="3"/>
      <c r="W4843" s="3">
        <v>2014</v>
      </c>
      <c r="X4843" s="3"/>
    </row>
    <row r="4844" spans="1:24" ht="114.75">
      <c r="A4844" s="3" t="s">
        <v>1968</v>
      </c>
      <c r="B4844" s="6" t="s">
        <v>361</v>
      </c>
      <c r="C4844" s="174" t="s">
        <v>7344</v>
      </c>
      <c r="D4844" s="49" t="s">
        <v>3122</v>
      </c>
      <c r="E4844" s="49" t="s">
        <v>5743</v>
      </c>
      <c r="F4844" s="30" t="s">
        <v>5824</v>
      </c>
      <c r="G4844" s="57" t="s">
        <v>11449</v>
      </c>
      <c r="H4844" s="54">
        <v>0</v>
      </c>
      <c r="I4844" s="16">
        <v>470000000</v>
      </c>
      <c r="J4844" s="56" t="s">
        <v>229</v>
      </c>
      <c r="K4844" s="57" t="s">
        <v>641</v>
      </c>
      <c r="L4844" s="12" t="s">
        <v>404</v>
      </c>
      <c r="M4844" s="3" t="s">
        <v>230</v>
      </c>
      <c r="N4844" s="8" t="s">
        <v>9479</v>
      </c>
      <c r="O4844" s="6" t="s">
        <v>365</v>
      </c>
      <c r="P4844" s="58">
        <v>839</v>
      </c>
      <c r="Q4844" s="28" t="s">
        <v>239</v>
      </c>
      <c r="R4844" s="30">
        <v>20</v>
      </c>
      <c r="S4844" s="59">
        <v>1300</v>
      </c>
      <c r="T4844" s="4">
        <v>0</v>
      </c>
      <c r="U4844" s="4">
        <f t="shared" si="224"/>
        <v>0</v>
      </c>
      <c r="V4844" s="3"/>
      <c r="W4844" s="3">
        <v>2014</v>
      </c>
      <c r="X4844" s="3">
        <v>11</v>
      </c>
    </row>
    <row r="4845" spans="1:24" ht="114.75">
      <c r="A4845" s="3" t="s">
        <v>12669</v>
      </c>
      <c r="B4845" s="6" t="s">
        <v>361</v>
      </c>
      <c r="C4845" s="174" t="s">
        <v>7344</v>
      </c>
      <c r="D4845" s="49" t="s">
        <v>3122</v>
      </c>
      <c r="E4845" s="49" t="s">
        <v>5743</v>
      </c>
      <c r="F4845" s="30" t="s">
        <v>5824</v>
      </c>
      <c r="G4845" s="57" t="s">
        <v>11449</v>
      </c>
      <c r="H4845" s="54">
        <v>0</v>
      </c>
      <c r="I4845" s="16">
        <v>470000000</v>
      </c>
      <c r="J4845" s="56" t="s">
        <v>229</v>
      </c>
      <c r="K4845" s="57" t="s">
        <v>642</v>
      </c>
      <c r="L4845" s="12" t="s">
        <v>404</v>
      </c>
      <c r="M4845" s="3" t="s">
        <v>230</v>
      </c>
      <c r="N4845" s="8" t="s">
        <v>9479</v>
      </c>
      <c r="O4845" s="6" t="s">
        <v>365</v>
      </c>
      <c r="P4845" s="58">
        <v>839</v>
      </c>
      <c r="Q4845" s="28" t="s">
        <v>239</v>
      </c>
      <c r="R4845" s="30">
        <v>20</v>
      </c>
      <c r="S4845" s="59">
        <v>1300</v>
      </c>
      <c r="T4845" s="4">
        <f>R4845*S4845</f>
        <v>26000</v>
      </c>
      <c r="U4845" s="4">
        <f>T4845*1.12</f>
        <v>29120.000000000004</v>
      </c>
      <c r="V4845" s="3"/>
      <c r="W4845" s="3">
        <v>2014</v>
      </c>
      <c r="X4845" s="3"/>
    </row>
    <row r="4846" spans="1:24" ht="114.75">
      <c r="A4846" s="3" t="s">
        <v>1969</v>
      </c>
      <c r="B4846" s="6" t="s">
        <v>361</v>
      </c>
      <c r="C4846" s="174" t="s">
        <v>7343</v>
      </c>
      <c r="D4846" s="49" t="s">
        <v>3125</v>
      </c>
      <c r="E4846" s="49" t="s">
        <v>5743</v>
      </c>
      <c r="F4846" s="30" t="s">
        <v>5825</v>
      </c>
      <c r="G4846" s="57" t="s">
        <v>11449</v>
      </c>
      <c r="H4846" s="54">
        <v>0</v>
      </c>
      <c r="I4846" s="16">
        <v>470000000</v>
      </c>
      <c r="J4846" s="56" t="s">
        <v>229</v>
      </c>
      <c r="K4846" s="57" t="s">
        <v>641</v>
      </c>
      <c r="L4846" s="12" t="s">
        <v>404</v>
      </c>
      <c r="M4846" s="3" t="s">
        <v>230</v>
      </c>
      <c r="N4846" s="8" t="s">
        <v>9479</v>
      </c>
      <c r="O4846" s="6" t="s">
        <v>365</v>
      </c>
      <c r="P4846" s="58">
        <v>839</v>
      </c>
      <c r="Q4846" s="28" t="s">
        <v>239</v>
      </c>
      <c r="R4846" s="27">
        <v>10</v>
      </c>
      <c r="S4846" s="59">
        <v>3150</v>
      </c>
      <c r="T4846" s="4">
        <v>0</v>
      </c>
      <c r="U4846" s="4">
        <f t="shared" si="224"/>
        <v>0</v>
      </c>
      <c r="V4846" s="3"/>
      <c r="W4846" s="3">
        <v>2014</v>
      </c>
      <c r="X4846" s="3">
        <v>11</v>
      </c>
    </row>
    <row r="4847" spans="1:24" ht="114.75">
      <c r="A4847" s="3" t="s">
        <v>12670</v>
      </c>
      <c r="B4847" s="6" t="s">
        <v>361</v>
      </c>
      <c r="C4847" s="174" t="s">
        <v>7343</v>
      </c>
      <c r="D4847" s="49" t="s">
        <v>3125</v>
      </c>
      <c r="E4847" s="49" t="s">
        <v>5743</v>
      </c>
      <c r="F4847" s="30" t="s">
        <v>5825</v>
      </c>
      <c r="G4847" s="57" t="s">
        <v>11449</v>
      </c>
      <c r="H4847" s="54">
        <v>0</v>
      </c>
      <c r="I4847" s="16">
        <v>470000000</v>
      </c>
      <c r="J4847" s="56" t="s">
        <v>229</v>
      </c>
      <c r="K4847" s="57" t="s">
        <v>642</v>
      </c>
      <c r="L4847" s="12" t="s">
        <v>404</v>
      </c>
      <c r="M4847" s="3" t="s">
        <v>230</v>
      </c>
      <c r="N4847" s="8" t="s">
        <v>9479</v>
      </c>
      <c r="O4847" s="6" t="s">
        <v>365</v>
      </c>
      <c r="P4847" s="58">
        <v>839</v>
      </c>
      <c r="Q4847" s="28" t="s">
        <v>239</v>
      </c>
      <c r="R4847" s="27">
        <v>10</v>
      </c>
      <c r="S4847" s="59">
        <v>3150</v>
      </c>
      <c r="T4847" s="4">
        <f>R4847*S4847</f>
        <v>31500</v>
      </c>
      <c r="U4847" s="4">
        <f>T4847*1.12</f>
        <v>35280</v>
      </c>
      <c r="V4847" s="3"/>
      <c r="W4847" s="3">
        <v>2014</v>
      </c>
      <c r="X4847" s="3"/>
    </row>
    <row r="4848" spans="1:24" ht="114.75">
      <c r="A4848" s="3" t="s">
        <v>1970</v>
      </c>
      <c r="B4848" s="6" t="s">
        <v>361</v>
      </c>
      <c r="C4848" s="174" t="s">
        <v>7344</v>
      </c>
      <c r="D4848" s="49" t="s">
        <v>3122</v>
      </c>
      <c r="E4848" s="49" t="s">
        <v>5743</v>
      </c>
      <c r="F4848" s="30" t="s">
        <v>5826</v>
      </c>
      <c r="G4848" s="57" t="s">
        <v>11449</v>
      </c>
      <c r="H4848" s="54">
        <v>0</v>
      </c>
      <c r="I4848" s="16">
        <v>470000000</v>
      </c>
      <c r="J4848" s="56" t="s">
        <v>229</v>
      </c>
      <c r="K4848" s="57" t="s">
        <v>641</v>
      </c>
      <c r="L4848" s="12" t="s">
        <v>404</v>
      </c>
      <c r="M4848" s="3" t="s">
        <v>230</v>
      </c>
      <c r="N4848" s="8" t="s">
        <v>9479</v>
      </c>
      <c r="O4848" s="6" t="s">
        <v>365</v>
      </c>
      <c r="P4848" s="58">
        <v>839</v>
      </c>
      <c r="Q4848" s="28" t="s">
        <v>239</v>
      </c>
      <c r="R4848" s="27">
        <v>10</v>
      </c>
      <c r="S4848" s="59">
        <v>3200</v>
      </c>
      <c r="T4848" s="4">
        <v>0</v>
      </c>
      <c r="U4848" s="4">
        <f t="shared" si="224"/>
        <v>0</v>
      </c>
      <c r="V4848" s="3"/>
      <c r="W4848" s="3">
        <v>2014</v>
      </c>
      <c r="X4848" s="3">
        <v>11</v>
      </c>
    </row>
    <row r="4849" spans="1:24" ht="114.75">
      <c r="A4849" s="3" t="s">
        <v>12671</v>
      </c>
      <c r="B4849" s="6" t="s">
        <v>361</v>
      </c>
      <c r="C4849" s="174" t="s">
        <v>7344</v>
      </c>
      <c r="D4849" s="49" t="s">
        <v>3122</v>
      </c>
      <c r="E4849" s="49" t="s">
        <v>5743</v>
      </c>
      <c r="F4849" s="30" t="s">
        <v>5826</v>
      </c>
      <c r="G4849" s="57" t="s">
        <v>11449</v>
      </c>
      <c r="H4849" s="54">
        <v>0</v>
      </c>
      <c r="I4849" s="16">
        <v>470000000</v>
      </c>
      <c r="J4849" s="56" t="s">
        <v>229</v>
      </c>
      <c r="K4849" s="57" t="s">
        <v>642</v>
      </c>
      <c r="L4849" s="12" t="s">
        <v>404</v>
      </c>
      <c r="M4849" s="3" t="s">
        <v>230</v>
      </c>
      <c r="N4849" s="8" t="s">
        <v>9479</v>
      </c>
      <c r="O4849" s="6" t="s">
        <v>365</v>
      </c>
      <c r="P4849" s="58">
        <v>839</v>
      </c>
      <c r="Q4849" s="28" t="s">
        <v>239</v>
      </c>
      <c r="R4849" s="27">
        <v>10</v>
      </c>
      <c r="S4849" s="59">
        <v>3200</v>
      </c>
      <c r="T4849" s="4">
        <f>R4849*S4849</f>
        <v>32000</v>
      </c>
      <c r="U4849" s="4">
        <f>T4849*1.12</f>
        <v>35840</v>
      </c>
      <c r="V4849" s="3"/>
      <c r="W4849" s="3">
        <v>2014</v>
      </c>
      <c r="X4849" s="3"/>
    </row>
    <row r="4850" spans="1:24" ht="114.75">
      <c r="A4850" s="3" t="s">
        <v>1971</v>
      </c>
      <c r="B4850" s="6" t="s">
        <v>361</v>
      </c>
      <c r="C4850" s="174" t="s">
        <v>6394</v>
      </c>
      <c r="D4850" s="49" t="s">
        <v>6395</v>
      </c>
      <c r="E4850" s="49" t="s">
        <v>6396</v>
      </c>
      <c r="F4850" s="8" t="s">
        <v>5827</v>
      </c>
      <c r="G4850" s="57" t="s">
        <v>11449</v>
      </c>
      <c r="H4850" s="54">
        <v>0</v>
      </c>
      <c r="I4850" s="16">
        <v>470000000</v>
      </c>
      <c r="J4850" s="56" t="s">
        <v>229</v>
      </c>
      <c r="K4850" s="57" t="s">
        <v>641</v>
      </c>
      <c r="L4850" s="12" t="s">
        <v>404</v>
      </c>
      <c r="M4850" s="3" t="s">
        <v>230</v>
      </c>
      <c r="N4850" s="8" t="s">
        <v>9479</v>
      </c>
      <c r="O4850" s="6" t="s">
        <v>365</v>
      </c>
      <c r="P4850" s="58">
        <v>839</v>
      </c>
      <c r="Q4850" s="28" t="s">
        <v>239</v>
      </c>
      <c r="R4850" s="27">
        <v>40</v>
      </c>
      <c r="S4850" s="59">
        <f>2500*1.07</f>
        <v>2675</v>
      </c>
      <c r="T4850" s="4">
        <v>0</v>
      </c>
      <c r="U4850" s="4">
        <f t="shared" si="224"/>
        <v>0</v>
      </c>
      <c r="V4850" s="3"/>
      <c r="W4850" s="3">
        <v>2014</v>
      </c>
      <c r="X4850" s="3">
        <v>11</v>
      </c>
    </row>
    <row r="4851" spans="1:24" ht="114.75">
      <c r="A4851" s="3" t="s">
        <v>12672</v>
      </c>
      <c r="B4851" s="6" t="s">
        <v>361</v>
      </c>
      <c r="C4851" s="174" t="s">
        <v>6394</v>
      </c>
      <c r="D4851" s="49" t="s">
        <v>6395</v>
      </c>
      <c r="E4851" s="49" t="s">
        <v>6396</v>
      </c>
      <c r="F4851" s="8" t="s">
        <v>5827</v>
      </c>
      <c r="G4851" s="57" t="s">
        <v>11449</v>
      </c>
      <c r="H4851" s="54">
        <v>0</v>
      </c>
      <c r="I4851" s="16">
        <v>470000000</v>
      </c>
      <c r="J4851" s="56" t="s">
        <v>229</v>
      </c>
      <c r="K4851" s="57" t="s">
        <v>642</v>
      </c>
      <c r="L4851" s="12" t="s">
        <v>404</v>
      </c>
      <c r="M4851" s="3" t="s">
        <v>230</v>
      </c>
      <c r="N4851" s="8" t="s">
        <v>9479</v>
      </c>
      <c r="O4851" s="6" t="s">
        <v>365</v>
      </c>
      <c r="P4851" s="58">
        <v>839</v>
      </c>
      <c r="Q4851" s="28" t="s">
        <v>239</v>
      </c>
      <c r="R4851" s="27">
        <v>40</v>
      </c>
      <c r="S4851" s="59">
        <f>2500*1.07</f>
        <v>2675</v>
      </c>
      <c r="T4851" s="4">
        <f>R4851*S4851</f>
        <v>107000</v>
      </c>
      <c r="U4851" s="4">
        <f>T4851*1.12</f>
        <v>119840.00000000001</v>
      </c>
      <c r="V4851" s="3"/>
      <c r="W4851" s="3">
        <v>2014</v>
      </c>
      <c r="X4851" s="3"/>
    </row>
    <row r="4852" spans="1:24" ht="114.75">
      <c r="A4852" s="3" t="s">
        <v>1972</v>
      </c>
      <c r="B4852" s="6" t="s">
        <v>361</v>
      </c>
      <c r="C4852" s="174" t="s">
        <v>5339</v>
      </c>
      <c r="D4852" s="49" t="s">
        <v>5340</v>
      </c>
      <c r="E4852" s="49" t="s">
        <v>5183</v>
      </c>
      <c r="F4852" s="8" t="s">
        <v>5828</v>
      </c>
      <c r="G4852" s="57" t="s">
        <v>11449</v>
      </c>
      <c r="H4852" s="54">
        <v>0</v>
      </c>
      <c r="I4852" s="16">
        <v>470000000</v>
      </c>
      <c r="J4852" s="56" t="s">
        <v>229</v>
      </c>
      <c r="K4852" s="57" t="s">
        <v>641</v>
      </c>
      <c r="L4852" s="12" t="s">
        <v>404</v>
      </c>
      <c r="M4852" s="3" t="s">
        <v>230</v>
      </c>
      <c r="N4852" s="8" t="s">
        <v>9479</v>
      </c>
      <c r="O4852" s="6" t="s">
        <v>365</v>
      </c>
      <c r="P4852" s="58">
        <v>839</v>
      </c>
      <c r="Q4852" s="28" t="s">
        <v>239</v>
      </c>
      <c r="R4852" s="27">
        <v>100</v>
      </c>
      <c r="S4852" s="59">
        <v>2870</v>
      </c>
      <c r="T4852" s="4">
        <v>0</v>
      </c>
      <c r="U4852" s="4">
        <f t="shared" si="224"/>
        <v>0</v>
      </c>
      <c r="V4852" s="3"/>
      <c r="W4852" s="3">
        <v>2014</v>
      </c>
      <c r="X4852" s="3">
        <v>11</v>
      </c>
    </row>
    <row r="4853" spans="1:24" ht="114.75">
      <c r="A4853" s="3" t="s">
        <v>12673</v>
      </c>
      <c r="B4853" s="6" t="s">
        <v>361</v>
      </c>
      <c r="C4853" s="174" t="s">
        <v>5339</v>
      </c>
      <c r="D4853" s="49" t="s">
        <v>5340</v>
      </c>
      <c r="E4853" s="49" t="s">
        <v>5183</v>
      </c>
      <c r="F4853" s="8" t="s">
        <v>5828</v>
      </c>
      <c r="G4853" s="57" t="s">
        <v>11449</v>
      </c>
      <c r="H4853" s="54">
        <v>0</v>
      </c>
      <c r="I4853" s="16">
        <v>470000000</v>
      </c>
      <c r="J4853" s="56" t="s">
        <v>229</v>
      </c>
      <c r="K4853" s="57" t="s">
        <v>642</v>
      </c>
      <c r="L4853" s="12" t="s">
        <v>404</v>
      </c>
      <c r="M4853" s="3" t="s">
        <v>230</v>
      </c>
      <c r="N4853" s="8" t="s">
        <v>9479</v>
      </c>
      <c r="O4853" s="6" t="s">
        <v>365</v>
      </c>
      <c r="P4853" s="58">
        <v>839</v>
      </c>
      <c r="Q4853" s="28" t="s">
        <v>239</v>
      </c>
      <c r="R4853" s="27">
        <v>100</v>
      </c>
      <c r="S4853" s="59">
        <v>2870</v>
      </c>
      <c r="T4853" s="4">
        <f>R4853*S4853</f>
        <v>287000</v>
      </c>
      <c r="U4853" s="4">
        <f>T4853*1.12</f>
        <v>321440.00000000006</v>
      </c>
      <c r="V4853" s="3"/>
      <c r="W4853" s="3">
        <v>2014</v>
      </c>
      <c r="X4853" s="3"/>
    </row>
    <row r="4854" spans="1:24" ht="114.75">
      <c r="A4854" s="3" t="s">
        <v>1973</v>
      </c>
      <c r="B4854" s="6" t="s">
        <v>361</v>
      </c>
      <c r="C4854" s="174" t="s">
        <v>7193</v>
      </c>
      <c r="D4854" s="49" t="s">
        <v>5342</v>
      </c>
      <c r="E4854" s="49" t="s">
        <v>5752</v>
      </c>
      <c r="F4854" s="8" t="s">
        <v>5829</v>
      </c>
      <c r="G4854" s="57" t="s">
        <v>11449</v>
      </c>
      <c r="H4854" s="54">
        <v>0</v>
      </c>
      <c r="I4854" s="16">
        <v>470000000</v>
      </c>
      <c r="J4854" s="56" t="s">
        <v>229</v>
      </c>
      <c r="K4854" s="57" t="s">
        <v>641</v>
      </c>
      <c r="L4854" s="12" t="s">
        <v>404</v>
      </c>
      <c r="M4854" s="3" t="s">
        <v>230</v>
      </c>
      <c r="N4854" s="8" t="s">
        <v>9479</v>
      </c>
      <c r="O4854" s="6" t="s">
        <v>365</v>
      </c>
      <c r="P4854" s="58">
        <v>796</v>
      </c>
      <c r="Q4854" s="27" t="s">
        <v>234</v>
      </c>
      <c r="R4854" s="27">
        <v>8</v>
      </c>
      <c r="S4854" s="59">
        <f>3700*1.07</f>
        <v>3959.0000000000005</v>
      </c>
      <c r="T4854" s="4">
        <v>0</v>
      </c>
      <c r="U4854" s="4">
        <f t="shared" si="224"/>
        <v>0</v>
      </c>
      <c r="V4854" s="3"/>
      <c r="W4854" s="3">
        <v>2014</v>
      </c>
      <c r="X4854" s="3">
        <v>11</v>
      </c>
    </row>
    <row r="4855" spans="1:24" ht="114.75">
      <c r="A4855" s="3" t="s">
        <v>12674</v>
      </c>
      <c r="B4855" s="6" t="s">
        <v>361</v>
      </c>
      <c r="C4855" s="174" t="s">
        <v>7193</v>
      </c>
      <c r="D4855" s="49" t="s">
        <v>5342</v>
      </c>
      <c r="E4855" s="49" t="s">
        <v>5752</v>
      </c>
      <c r="F4855" s="8" t="s">
        <v>5829</v>
      </c>
      <c r="G4855" s="57" t="s">
        <v>11449</v>
      </c>
      <c r="H4855" s="54">
        <v>0</v>
      </c>
      <c r="I4855" s="16">
        <v>470000000</v>
      </c>
      <c r="J4855" s="56" t="s">
        <v>229</v>
      </c>
      <c r="K4855" s="57" t="s">
        <v>642</v>
      </c>
      <c r="L4855" s="12" t="s">
        <v>404</v>
      </c>
      <c r="M4855" s="3" t="s">
        <v>230</v>
      </c>
      <c r="N4855" s="8" t="s">
        <v>9479</v>
      </c>
      <c r="O4855" s="6" t="s">
        <v>365</v>
      </c>
      <c r="P4855" s="58">
        <v>796</v>
      </c>
      <c r="Q4855" s="27" t="s">
        <v>234</v>
      </c>
      <c r="R4855" s="27">
        <v>8</v>
      </c>
      <c r="S4855" s="59">
        <f>3700*1.07</f>
        <v>3959.0000000000005</v>
      </c>
      <c r="T4855" s="4">
        <f>R4855*S4855</f>
        <v>31672.000000000004</v>
      </c>
      <c r="U4855" s="4">
        <f>T4855*1.12</f>
        <v>35472.640000000007</v>
      </c>
      <c r="V4855" s="3"/>
      <c r="W4855" s="3">
        <v>2014</v>
      </c>
      <c r="X4855" s="3"/>
    </row>
    <row r="4856" spans="1:24" ht="114.75">
      <c r="A4856" s="3" t="s">
        <v>1974</v>
      </c>
      <c r="B4856" s="6" t="s">
        <v>361</v>
      </c>
      <c r="C4856" s="174" t="s">
        <v>5349</v>
      </c>
      <c r="D4856" s="49" t="s">
        <v>390</v>
      </c>
      <c r="E4856" s="49" t="s">
        <v>6700</v>
      </c>
      <c r="F4856" s="9" t="s">
        <v>5830</v>
      </c>
      <c r="G4856" s="57" t="s">
        <v>11449</v>
      </c>
      <c r="H4856" s="54">
        <v>0</v>
      </c>
      <c r="I4856" s="16">
        <v>470000000</v>
      </c>
      <c r="J4856" s="56" t="s">
        <v>229</v>
      </c>
      <c r="K4856" s="57" t="s">
        <v>641</v>
      </c>
      <c r="L4856" s="12" t="s">
        <v>404</v>
      </c>
      <c r="M4856" s="3" t="s">
        <v>230</v>
      </c>
      <c r="N4856" s="8" t="s">
        <v>9479</v>
      </c>
      <c r="O4856" s="6" t="s">
        <v>365</v>
      </c>
      <c r="P4856" s="58">
        <v>796</v>
      </c>
      <c r="Q4856" s="27" t="s">
        <v>234</v>
      </c>
      <c r="R4856" s="27">
        <v>100</v>
      </c>
      <c r="S4856" s="59">
        <f>100*1.07</f>
        <v>107</v>
      </c>
      <c r="T4856" s="4">
        <v>0</v>
      </c>
      <c r="U4856" s="4">
        <f t="shared" si="224"/>
        <v>0</v>
      </c>
      <c r="V4856" s="3"/>
      <c r="W4856" s="3">
        <v>2014</v>
      </c>
      <c r="X4856" s="3">
        <v>11</v>
      </c>
    </row>
    <row r="4857" spans="1:24" ht="114.75">
      <c r="A4857" s="3" t="s">
        <v>12675</v>
      </c>
      <c r="B4857" s="6" t="s">
        <v>361</v>
      </c>
      <c r="C4857" s="174" t="s">
        <v>5349</v>
      </c>
      <c r="D4857" s="49" t="s">
        <v>390</v>
      </c>
      <c r="E4857" s="49" t="s">
        <v>6700</v>
      </c>
      <c r="F4857" s="9" t="s">
        <v>5830</v>
      </c>
      <c r="G4857" s="57" t="s">
        <v>11449</v>
      </c>
      <c r="H4857" s="54">
        <v>0</v>
      </c>
      <c r="I4857" s="16">
        <v>470000000</v>
      </c>
      <c r="J4857" s="56" t="s">
        <v>229</v>
      </c>
      <c r="K4857" s="57" t="s">
        <v>642</v>
      </c>
      <c r="L4857" s="12" t="s">
        <v>404</v>
      </c>
      <c r="M4857" s="3" t="s">
        <v>230</v>
      </c>
      <c r="N4857" s="8" t="s">
        <v>9479</v>
      </c>
      <c r="O4857" s="6" t="s">
        <v>365</v>
      </c>
      <c r="P4857" s="58">
        <v>796</v>
      </c>
      <c r="Q4857" s="27" t="s">
        <v>234</v>
      </c>
      <c r="R4857" s="27">
        <v>100</v>
      </c>
      <c r="S4857" s="59">
        <f>100*1.07</f>
        <v>107</v>
      </c>
      <c r="T4857" s="4">
        <v>0</v>
      </c>
      <c r="U4857" s="4">
        <f>T4857*1.12</f>
        <v>0</v>
      </c>
      <c r="V4857" s="3"/>
      <c r="W4857" s="3">
        <v>2014</v>
      </c>
      <c r="X4857" s="3" t="s">
        <v>16431</v>
      </c>
    </row>
    <row r="4858" spans="1:24" ht="114.75">
      <c r="A4858" s="3" t="s">
        <v>16894</v>
      </c>
      <c r="B4858" s="6" t="s">
        <v>361</v>
      </c>
      <c r="C4858" s="174" t="s">
        <v>5349</v>
      </c>
      <c r="D4858" s="49" t="s">
        <v>390</v>
      </c>
      <c r="E4858" s="49" t="s">
        <v>6700</v>
      </c>
      <c r="F4858" s="9" t="s">
        <v>5830</v>
      </c>
      <c r="G4858" s="3" t="s">
        <v>11449</v>
      </c>
      <c r="H4858" s="54">
        <v>0</v>
      </c>
      <c r="I4858" s="16">
        <v>470000000</v>
      </c>
      <c r="J4858" s="56" t="s">
        <v>229</v>
      </c>
      <c r="K4858" s="57" t="s">
        <v>8950</v>
      </c>
      <c r="L4858" s="12" t="s">
        <v>404</v>
      </c>
      <c r="M4858" s="3" t="s">
        <v>230</v>
      </c>
      <c r="N4858" s="8" t="s">
        <v>9479</v>
      </c>
      <c r="O4858" s="6" t="s">
        <v>365</v>
      </c>
      <c r="P4858" s="58">
        <v>796</v>
      </c>
      <c r="Q4858" s="27" t="s">
        <v>234</v>
      </c>
      <c r="R4858" s="27">
        <v>100</v>
      </c>
      <c r="S4858" s="59">
        <v>128.4</v>
      </c>
      <c r="T4858" s="4">
        <f>R4858*S4858</f>
        <v>12840</v>
      </c>
      <c r="U4858" s="4">
        <f>T4858*1.12</f>
        <v>14380.800000000001</v>
      </c>
      <c r="V4858" s="3"/>
      <c r="W4858" s="3">
        <v>2014</v>
      </c>
      <c r="X4858" s="3"/>
    </row>
    <row r="4859" spans="1:24" ht="114.75">
      <c r="A4859" s="3" t="s">
        <v>1975</v>
      </c>
      <c r="B4859" s="6" t="s">
        <v>361</v>
      </c>
      <c r="C4859" s="6" t="s">
        <v>5753</v>
      </c>
      <c r="D4859" s="6" t="s">
        <v>5754</v>
      </c>
      <c r="E4859" s="6" t="s">
        <v>5183</v>
      </c>
      <c r="F4859" s="8" t="s">
        <v>5831</v>
      </c>
      <c r="G4859" s="57" t="s">
        <v>11449</v>
      </c>
      <c r="H4859" s="54">
        <v>0</v>
      </c>
      <c r="I4859" s="16">
        <v>470000000</v>
      </c>
      <c r="J4859" s="56" t="s">
        <v>229</v>
      </c>
      <c r="K4859" s="57" t="s">
        <v>641</v>
      </c>
      <c r="L4859" s="12" t="s">
        <v>404</v>
      </c>
      <c r="M4859" s="3" t="s">
        <v>230</v>
      </c>
      <c r="N4859" s="8" t="s">
        <v>9479</v>
      </c>
      <c r="O4859" s="6" t="s">
        <v>365</v>
      </c>
      <c r="P4859" s="58">
        <v>796</v>
      </c>
      <c r="Q4859" s="27" t="s">
        <v>234</v>
      </c>
      <c r="R4859" s="27">
        <v>15</v>
      </c>
      <c r="S4859" s="59">
        <f>2100*1.07</f>
        <v>2247</v>
      </c>
      <c r="T4859" s="4">
        <v>0</v>
      </c>
      <c r="U4859" s="4">
        <f t="shared" si="224"/>
        <v>0</v>
      </c>
      <c r="V4859" s="3"/>
      <c r="W4859" s="3">
        <v>2014</v>
      </c>
      <c r="X4859" s="3">
        <v>11</v>
      </c>
    </row>
    <row r="4860" spans="1:24" ht="114.75">
      <c r="A4860" s="3" t="s">
        <v>12676</v>
      </c>
      <c r="B4860" s="6" t="s">
        <v>361</v>
      </c>
      <c r="C4860" s="6" t="s">
        <v>5753</v>
      </c>
      <c r="D4860" s="6" t="s">
        <v>5754</v>
      </c>
      <c r="E4860" s="6" t="s">
        <v>5183</v>
      </c>
      <c r="F4860" s="8" t="s">
        <v>5831</v>
      </c>
      <c r="G4860" s="57" t="s">
        <v>11449</v>
      </c>
      <c r="H4860" s="54">
        <v>0</v>
      </c>
      <c r="I4860" s="16">
        <v>470000000</v>
      </c>
      <c r="J4860" s="56" t="s">
        <v>229</v>
      </c>
      <c r="K4860" s="57" t="s">
        <v>642</v>
      </c>
      <c r="L4860" s="12" t="s">
        <v>404</v>
      </c>
      <c r="M4860" s="3" t="s">
        <v>230</v>
      </c>
      <c r="N4860" s="8" t="s">
        <v>9479</v>
      </c>
      <c r="O4860" s="6" t="s">
        <v>365</v>
      </c>
      <c r="P4860" s="58">
        <v>796</v>
      </c>
      <c r="Q4860" s="27" t="s">
        <v>234</v>
      </c>
      <c r="R4860" s="27">
        <v>15</v>
      </c>
      <c r="S4860" s="59">
        <f>2100*1.07</f>
        <v>2247</v>
      </c>
      <c r="T4860" s="4">
        <v>0</v>
      </c>
      <c r="U4860" s="4">
        <f>T4860*1.12</f>
        <v>0</v>
      </c>
      <c r="V4860" s="3"/>
      <c r="W4860" s="3">
        <v>2014</v>
      </c>
      <c r="X4860" s="3" t="s">
        <v>14785</v>
      </c>
    </row>
    <row r="4861" spans="1:24" ht="114.75">
      <c r="A4861" s="3" t="s">
        <v>16895</v>
      </c>
      <c r="B4861" s="6" t="s">
        <v>361</v>
      </c>
      <c r="C4861" s="6" t="s">
        <v>5753</v>
      </c>
      <c r="D4861" s="6" t="s">
        <v>5754</v>
      </c>
      <c r="E4861" s="6" t="s">
        <v>5183</v>
      </c>
      <c r="F4861" s="8" t="s">
        <v>5831</v>
      </c>
      <c r="G4861" s="3" t="s">
        <v>11449</v>
      </c>
      <c r="H4861" s="54">
        <v>0</v>
      </c>
      <c r="I4861" s="16">
        <v>470000000</v>
      </c>
      <c r="J4861" s="56" t="s">
        <v>229</v>
      </c>
      <c r="K4861" s="57" t="s">
        <v>8950</v>
      </c>
      <c r="L4861" s="12" t="s">
        <v>404</v>
      </c>
      <c r="M4861" s="3" t="s">
        <v>230</v>
      </c>
      <c r="N4861" s="8" t="s">
        <v>9479</v>
      </c>
      <c r="O4861" s="6" t="s">
        <v>365</v>
      </c>
      <c r="P4861" s="58">
        <v>796</v>
      </c>
      <c r="Q4861" s="27" t="s">
        <v>234</v>
      </c>
      <c r="R4861" s="27">
        <v>15</v>
      </c>
      <c r="S4861" s="59">
        <v>2696.4</v>
      </c>
      <c r="T4861" s="4">
        <f>R4861*S4861</f>
        <v>40446</v>
      </c>
      <c r="U4861" s="4">
        <f>T4861*1.12</f>
        <v>45299.520000000004</v>
      </c>
      <c r="V4861" s="3"/>
      <c r="W4861" s="3">
        <v>2014</v>
      </c>
      <c r="X4861" s="3"/>
    </row>
    <row r="4862" spans="1:24" ht="114.75">
      <c r="A4862" s="3" t="s">
        <v>1976</v>
      </c>
      <c r="B4862" s="6" t="s">
        <v>361</v>
      </c>
      <c r="C4862" s="6" t="s">
        <v>5339</v>
      </c>
      <c r="D4862" s="6" t="s">
        <v>5340</v>
      </c>
      <c r="E4862" s="6" t="s">
        <v>5183</v>
      </c>
      <c r="F4862" s="8" t="s">
        <v>5832</v>
      </c>
      <c r="G4862" s="57" t="s">
        <v>11449</v>
      </c>
      <c r="H4862" s="54">
        <v>0</v>
      </c>
      <c r="I4862" s="16">
        <v>470000000</v>
      </c>
      <c r="J4862" s="56" t="s">
        <v>229</v>
      </c>
      <c r="K4862" s="57" t="s">
        <v>641</v>
      </c>
      <c r="L4862" s="12" t="s">
        <v>404</v>
      </c>
      <c r="M4862" s="3" t="s">
        <v>230</v>
      </c>
      <c r="N4862" s="8" t="s">
        <v>9479</v>
      </c>
      <c r="O4862" s="6" t="s">
        <v>365</v>
      </c>
      <c r="P4862" s="58">
        <v>839</v>
      </c>
      <c r="Q4862" s="27" t="s">
        <v>239</v>
      </c>
      <c r="R4862" s="27">
        <v>30</v>
      </c>
      <c r="S4862" s="59">
        <f>400*1.07</f>
        <v>428</v>
      </c>
      <c r="T4862" s="4">
        <v>0</v>
      </c>
      <c r="U4862" s="4">
        <f t="shared" si="224"/>
        <v>0</v>
      </c>
      <c r="V4862" s="3"/>
      <c r="W4862" s="3">
        <v>2014</v>
      </c>
      <c r="X4862" s="3">
        <v>11</v>
      </c>
    </row>
    <row r="4863" spans="1:24" ht="114.75">
      <c r="A4863" s="3" t="s">
        <v>12677</v>
      </c>
      <c r="B4863" s="6" t="s">
        <v>361</v>
      </c>
      <c r="C4863" s="6" t="s">
        <v>5339</v>
      </c>
      <c r="D4863" s="6" t="s">
        <v>5340</v>
      </c>
      <c r="E4863" s="6" t="s">
        <v>5183</v>
      </c>
      <c r="F4863" s="8" t="s">
        <v>5832</v>
      </c>
      <c r="G4863" s="57" t="s">
        <v>11449</v>
      </c>
      <c r="H4863" s="54">
        <v>0</v>
      </c>
      <c r="I4863" s="16">
        <v>470000000</v>
      </c>
      <c r="J4863" s="56" t="s">
        <v>229</v>
      </c>
      <c r="K4863" s="57" t="s">
        <v>642</v>
      </c>
      <c r="L4863" s="12" t="s">
        <v>404</v>
      </c>
      <c r="M4863" s="3" t="s">
        <v>230</v>
      </c>
      <c r="N4863" s="8" t="s">
        <v>9479</v>
      </c>
      <c r="O4863" s="6" t="s">
        <v>365</v>
      </c>
      <c r="P4863" s="58">
        <v>839</v>
      </c>
      <c r="Q4863" s="27" t="s">
        <v>239</v>
      </c>
      <c r="R4863" s="27">
        <v>30</v>
      </c>
      <c r="S4863" s="59">
        <f>400*1.07</f>
        <v>428</v>
      </c>
      <c r="T4863" s="4">
        <f>R4863*S4863</f>
        <v>12840</v>
      </c>
      <c r="U4863" s="4">
        <f>T4863*1.12</f>
        <v>14380.800000000001</v>
      </c>
      <c r="V4863" s="3"/>
      <c r="W4863" s="3">
        <v>2014</v>
      </c>
      <c r="X4863" s="3"/>
    </row>
    <row r="4864" spans="1:24" ht="114.75">
      <c r="A4864" s="3" t="s">
        <v>1977</v>
      </c>
      <c r="B4864" s="6" t="s">
        <v>361</v>
      </c>
      <c r="C4864" s="179" t="s">
        <v>5351</v>
      </c>
      <c r="D4864" s="180" t="s">
        <v>389</v>
      </c>
      <c r="E4864" s="180" t="s">
        <v>5183</v>
      </c>
      <c r="F4864" s="9" t="s">
        <v>5833</v>
      </c>
      <c r="G4864" s="57" t="s">
        <v>11449</v>
      </c>
      <c r="H4864" s="54">
        <v>0</v>
      </c>
      <c r="I4864" s="16">
        <v>470000000</v>
      </c>
      <c r="J4864" s="56" t="s">
        <v>229</v>
      </c>
      <c r="K4864" s="57" t="s">
        <v>641</v>
      </c>
      <c r="L4864" s="12" t="s">
        <v>404</v>
      </c>
      <c r="M4864" s="3" t="s">
        <v>230</v>
      </c>
      <c r="N4864" s="8" t="s">
        <v>9479</v>
      </c>
      <c r="O4864" s="6" t="s">
        <v>365</v>
      </c>
      <c r="P4864" s="58">
        <v>796</v>
      </c>
      <c r="Q4864" s="27" t="s">
        <v>234</v>
      </c>
      <c r="R4864" s="27">
        <v>80</v>
      </c>
      <c r="S4864" s="59">
        <f>100*1.07</f>
        <v>107</v>
      </c>
      <c r="T4864" s="4">
        <v>0</v>
      </c>
      <c r="U4864" s="4">
        <f t="shared" si="224"/>
        <v>0</v>
      </c>
      <c r="V4864" s="3"/>
      <c r="W4864" s="3">
        <v>2014</v>
      </c>
      <c r="X4864" s="3">
        <v>11</v>
      </c>
    </row>
    <row r="4865" spans="1:24" ht="114.75">
      <c r="A4865" s="3" t="s">
        <v>12678</v>
      </c>
      <c r="B4865" s="6" t="s">
        <v>361</v>
      </c>
      <c r="C4865" s="179" t="s">
        <v>5351</v>
      </c>
      <c r="D4865" s="180" t="s">
        <v>389</v>
      </c>
      <c r="E4865" s="180" t="s">
        <v>5183</v>
      </c>
      <c r="F4865" s="9" t="s">
        <v>5833</v>
      </c>
      <c r="G4865" s="57" t="s">
        <v>11449</v>
      </c>
      <c r="H4865" s="54">
        <v>0</v>
      </c>
      <c r="I4865" s="16">
        <v>470000000</v>
      </c>
      <c r="J4865" s="56" t="s">
        <v>229</v>
      </c>
      <c r="K4865" s="57" t="s">
        <v>642</v>
      </c>
      <c r="L4865" s="12" t="s">
        <v>404</v>
      </c>
      <c r="M4865" s="3" t="s">
        <v>230</v>
      </c>
      <c r="N4865" s="8" t="s">
        <v>9479</v>
      </c>
      <c r="O4865" s="6" t="s">
        <v>365</v>
      </c>
      <c r="P4865" s="58">
        <v>796</v>
      </c>
      <c r="Q4865" s="27" t="s">
        <v>234</v>
      </c>
      <c r="R4865" s="27">
        <v>80</v>
      </c>
      <c r="S4865" s="59">
        <f>100*1.07</f>
        <v>107</v>
      </c>
      <c r="T4865" s="4">
        <v>0</v>
      </c>
      <c r="U4865" s="4">
        <f>T4865*1.12</f>
        <v>0</v>
      </c>
      <c r="V4865" s="3"/>
      <c r="W4865" s="3">
        <v>2014</v>
      </c>
      <c r="X4865" s="3" t="s">
        <v>14785</v>
      </c>
    </row>
    <row r="4866" spans="1:24" ht="114.75">
      <c r="A4866" s="3" t="s">
        <v>16896</v>
      </c>
      <c r="B4866" s="6" t="s">
        <v>361</v>
      </c>
      <c r="C4866" s="179" t="s">
        <v>5351</v>
      </c>
      <c r="D4866" s="180" t="s">
        <v>389</v>
      </c>
      <c r="E4866" s="180" t="s">
        <v>5183</v>
      </c>
      <c r="F4866" s="9" t="s">
        <v>5833</v>
      </c>
      <c r="G4866" s="3" t="s">
        <v>11449</v>
      </c>
      <c r="H4866" s="54">
        <v>0</v>
      </c>
      <c r="I4866" s="16">
        <v>470000000</v>
      </c>
      <c r="J4866" s="56" t="s">
        <v>229</v>
      </c>
      <c r="K4866" s="57" t="s">
        <v>8950</v>
      </c>
      <c r="L4866" s="12" t="s">
        <v>404</v>
      </c>
      <c r="M4866" s="3" t="s">
        <v>230</v>
      </c>
      <c r="N4866" s="8" t="s">
        <v>9479</v>
      </c>
      <c r="O4866" s="6" t="s">
        <v>365</v>
      </c>
      <c r="P4866" s="58">
        <v>796</v>
      </c>
      <c r="Q4866" s="27" t="s">
        <v>234</v>
      </c>
      <c r="R4866" s="27">
        <v>80</v>
      </c>
      <c r="S4866" s="59">
        <v>128.4</v>
      </c>
      <c r="T4866" s="4">
        <f>R4866*S4866</f>
        <v>10272</v>
      </c>
      <c r="U4866" s="4">
        <f>T4866*1.12</f>
        <v>11504.640000000001</v>
      </c>
      <c r="V4866" s="3"/>
      <c r="W4866" s="3">
        <v>2014</v>
      </c>
      <c r="X4866" s="3"/>
    </row>
    <row r="4867" spans="1:24" ht="114.75">
      <c r="A4867" s="3" t="s">
        <v>1978</v>
      </c>
      <c r="B4867" s="6" t="s">
        <v>361</v>
      </c>
      <c r="C4867" s="6" t="s">
        <v>5760</v>
      </c>
      <c r="D4867" s="6" t="s">
        <v>5761</v>
      </c>
      <c r="E4867" s="6" t="s">
        <v>5762</v>
      </c>
      <c r="F4867" s="8" t="s">
        <v>5834</v>
      </c>
      <c r="G4867" s="57" t="s">
        <v>11449</v>
      </c>
      <c r="H4867" s="54">
        <v>0</v>
      </c>
      <c r="I4867" s="16">
        <v>470000000</v>
      </c>
      <c r="J4867" s="56" t="s">
        <v>229</v>
      </c>
      <c r="K4867" s="57" t="s">
        <v>641</v>
      </c>
      <c r="L4867" s="12" t="s">
        <v>404</v>
      </c>
      <c r="M4867" s="3" t="s">
        <v>230</v>
      </c>
      <c r="N4867" s="8" t="s">
        <v>9479</v>
      </c>
      <c r="O4867" s="6" t="s">
        <v>365</v>
      </c>
      <c r="P4867" s="58">
        <v>796</v>
      </c>
      <c r="Q4867" s="27" t="s">
        <v>234</v>
      </c>
      <c r="R4867" s="27">
        <v>6</v>
      </c>
      <c r="S4867" s="59">
        <f>30000*1.07</f>
        <v>32100.000000000004</v>
      </c>
      <c r="T4867" s="4">
        <v>0</v>
      </c>
      <c r="U4867" s="4">
        <f t="shared" si="224"/>
        <v>0</v>
      </c>
      <c r="V4867" s="3"/>
      <c r="W4867" s="3">
        <v>2014</v>
      </c>
      <c r="X4867" s="3">
        <v>11</v>
      </c>
    </row>
    <row r="4868" spans="1:24" ht="114.75">
      <c r="A4868" s="3" t="s">
        <v>12679</v>
      </c>
      <c r="B4868" s="6" t="s">
        <v>361</v>
      </c>
      <c r="C4868" s="6" t="s">
        <v>5760</v>
      </c>
      <c r="D4868" s="6" t="s">
        <v>5761</v>
      </c>
      <c r="E4868" s="6" t="s">
        <v>5762</v>
      </c>
      <c r="F4868" s="8" t="s">
        <v>5834</v>
      </c>
      <c r="G4868" s="57" t="s">
        <v>11449</v>
      </c>
      <c r="H4868" s="54">
        <v>0</v>
      </c>
      <c r="I4868" s="16">
        <v>470000000</v>
      </c>
      <c r="J4868" s="56" t="s">
        <v>229</v>
      </c>
      <c r="K4868" s="57" t="s">
        <v>642</v>
      </c>
      <c r="L4868" s="12" t="s">
        <v>404</v>
      </c>
      <c r="M4868" s="3" t="s">
        <v>230</v>
      </c>
      <c r="N4868" s="8" t="s">
        <v>9479</v>
      </c>
      <c r="O4868" s="6" t="s">
        <v>365</v>
      </c>
      <c r="P4868" s="58">
        <v>796</v>
      </c>
      <c r="Q4868" s="27" t="s">
        <v>234</v>
      </c>
      <c r="R4868" s="27">
        <v>6</v>
      </c>
      <c r="S4868" s="59">
        <f>30000*1.07</f>
        <v>32100.000000000004</v>
      </c>
      <c r="T4868" s="4">
        <f>R4868*S4868</f>
        <v>192600.00000000003</v>
      </c>
      <c r="U4868" s="4">
        <f>T4868*1.12</f>
        <v>215712.00000000006</v>
      </c>
      <c r="V4868" s="3"/>
      <c r="W4868" s="3">
        <v>2014</v>
      </c>
      <c r="X4868" s="3"/>
    </row>
    <row r="4869" spans="1:24" ht="114.75">
      <c r="A4869" s="3" t="s">
        <v>1979</v>
      </c>
      <c r="B4869" s="6" t="s">
        <v>361</v>
      </c>
      <c r="C4869" s="6" t="s">
        <v>5764</v>
      </c>
      <c r="D4869" s="6" t="s">
        <v>5376</v>
      </c>
      <c r="E4869" s="6" t="s">
        <v>5743</v>
      </c>
      <c r="F4869" s="8" t="s">
        <v>5835</v>
      </c>
      <c r="G4869" s="57" t="s">
        <v>11449</v>
      </c>
      <c r="H4869" s="54">
        <v>0</v>
      </c>
      <c r="I4869" s="16">
        <v>470000000</v>
      </c>
      <c r="J4869" s="56" t="s">
        <v>229</v>
      </c>
      <c r="K4869" s="57" t="s">
        <v>641</v>
      </c>
      <c r="L4869" s="12" t="s">
        <v>404</v>
      </c>
      <c r="M4869" s="3" t="s">
        <v>230</v>
      </c>
      <c r="N4869" s="8" t="s">
        <v>9479</v>
      </c>
      <c r="O4869" s="6" t="s">
        <v>365</v>
      </c>
      <c r="P4869" s="58">
        <v>796</v>
      </c>
      <c r="Q4869" s="27" t="s">
        <v>234</v>
      </c>
      <c r="R4869" s="27">
        <v>12</v>
      </c>
      <c r="S4869" s="59">
        <f>3300*1.07</f>
        <v>3531</v>
      </c>
      <c r="T4869" s="4">
        <v>0</v>
      </c>
      <c r="U4869" s="4">
        <f t="shared" si="224"/>
        <v>0</v>
      </c>
      <c r="V4869" s="3"/>
      <c r="W4869" s="3">
        <v>2014</v>
      </c>
      <c r="X4869" s="3">
        <v>11</v>
      </c>
    </row>
    <row r="4870" spans="1:24" ht="114.75">
      <c r="A4870" s="3" t="s">
        <v>12680</v>
      </c>
      <c r="B4870" s="6" t="s">
        <v>361</v>
      </c>
      <c r="C4870" s="6" t="s">
        <v>5764</v>
      </c>
      <c r="D4870" s="6" t="s">
        <v>5376</v>
      </c>
      <c r="E4870" s="6" t="s">
        <v>5743</v>
      </c>
      <c r="F4870" s="8" t="s">
        <v>5835</v>
      </c>
      <c r="G4870" s="57" t="s">
        <v>11449</v>
      </c>
      <c r="H4870" s="54">
        <v>0</v>
      </c>
      <c r="I4870" s="16">
        <v>470000000</v>
      </c>
      <c r="J4870" s="56" t="s">
        <v>229</v>
      </c>
      <c r="K4870" s="57" t="s">
        <v>642</v>
      </c>
      <c r="L4870" s="12" t="s">
        <v>404</v>
      </c>
      <c r="M4870" s="3" t="s">
        <v>230</v>
      </c>
      <c r="N4870" s="8" t="s">
        <v>9479</v>
      </c>
      <c r="O4870" s="6" t="s">
        <v>365</v>
      </c>
      <c r="P4870" s="58">
        <v>796</v>
      </c>
      <c r="Q4870" s="27" t="s">
        <v>234</v>
      </c>
      <c r="R4870" s="27">
        <v>12</v>
      </c>
      <c r="S4870" s="59">
        <f>3300*1.07</f>
        <v>3531</v>
      </c>
      <c r="T4870" s="4">
        <v>0</v>
      </c>
      <c r="U4870" s="4">
        <f>T4870*1.12</f>
        <v>0</v>
      </c>
      <c r="V4870" s="3"/>
      <c r="W4870" s="3">
        <v>2014</v>
      </c>
      <c r="X4870" s="3" t="s">
        <v>14785</v>
      </c>
    </row>
    <row r="4871" spans="1:24" ht="114.75">
      <c r="A4871" s="3" t="s">
        <v>16897</v>
      </c>
      <c r="B4871" s="6" t="s">
        <v>361</v>
      </c>
      <c r="C4871" s="6" t="s">
        <v>5764</v>
      </c>
      <c r="D4871" s="6" t="s">
        <v>5376</v>
      </c>
      <c r="E4871" s="6" t="s">
        <v>5743</v>
      </c>
      <c r="F4871" s="8" t="s">
        <v>5835</v>
      </c>
      <c r="G4871" s="3" t="s">
        <v>11449</v>
      </c>
      <c r="H4871" s="54">
        <v>0</v>
      </c>
      <c r="I4871" s="16">
        <v>470000000</v>
      </c>
      <c r="J4871" s="56" t="s">
        <v>229</v>
      </c>
      <c r="K4871" s="57" t="s">
        <v>8950</v>
      </c>
      <c r="L4871" s="12" t="s">
        <v>404</v>
      </c>
      <c r="M4871" s="3" t="s">
        <v>230</v>
      </c>
      <c r="N4871" s="8" t="s">
        <v>9479</v>
      </c>
      <c r="O4871" s="6" t="s">
        <v>365</v>
      </c>
      <c r="P4871" s="58">
        <v>796</v>
      </c>
      <c r="Q4871" s="27" t="s">
        <v>234</v>
      </c>
      <c r="R4871" s="27">
        <v>12</v>
      </c>
      <c r="S4871" s="59">
        <v>4237.2</v>
      </c>
      <c r="T4871" s="4">
        <f>R4871*S4871</f>
        <v>50846.399999999994</v>
      </c>
      <c r="U4871" s="4">
        <f>T4871*1.12</f>
        <v>56947.968000000001</v>
      </c>
      <c r="V4871" s="3"/>
      <c r="W4871" s="3">
        <v>2014</v>
      </c>
      <c r="X4871" s="3"/>
    </row>
    <row r="4872" spans="1:24" ht="114.75">
      <c r="A4872" s="3" t="s">
        <v>1980</v>
      </c>
      <c r="B4872" s="6" t="s">
        <v>361</v>
      </c>
      <c r="C4872" s="6" t="s">
        <v>5386</v>
      </c>
      <c r="D4872" s="6" t="s">
        <v>408</v>
      </c>
      <c r="E4872" s="6" t="s">
        <v>5183</v>
      </c>
      <c r="F4872" s="8" t="s">
        <v>5836</v>
      </c>
      <c r="G4872" s="57" t="s">
        <v>11449</v>
      </c>
      <c r="H4872" s="54">
        <v>0</v>
      </c>
      <c r="I4872" s="16">
        <v>470000000</v>
      </c>
      <c r="J4872" s="56" t="s">
        <v>229</v>
      </c>
      <c r="K4872" s="57" t="s">
        <v>641</v>
      </c>
      <c r="L4872" s="12" t="s">
        <v>404</v>
      </c>
      <c r="M4872" s="3" t="s">
        <v>230</v>
      </c>
      <c r="N4872" s="8" t="s">
        <v>9479</v>
      </c>
      <c r="O4872" s="6" t="s">
        <v>365</v>
      </c>
      <c r="P4872" s="58">
        <v>796</v>
      </c>
      <c r="Q4872" s="27" t="s">
        <v>234</v>
      </c>
      <c r="R4872" s="27">
        <v>20</v>
      </c>
      <c r="S4872" s="59">
        <f>2200*1.07</f>
        <v>2354</v>
      </c>
      <c r="T4872" s="4">
        <v>0</v>
      </c>
      <c r="U4872" s="4">
        <f t="shared" si="224"/>
        <v>0</v>
      </c>
      <c r="V4872" s="3"/>
      <c r="W4872" s="3">
        <v>2014</v>
      </c>
      <c r="X4872" s="3">
        <v>11</v>
      </c>
    </row>
    <row r="4873" spans="1:24" ht="114.75">
      <c r="A4873" s="3" t="s">
        <v>12681</v>
      </c>
      <c r="B4873" s="6" t="s">
        <v>361</v>
      </c>
      <c r="C4873" s="6" t="s">
        <v>5386</v>
      </c>
      <c r="D4873" s="6" t="s">
        <v>408</v>
      </c>
      <c r="E4873" s="6" t="s">
        <v>5183</v>
      </c>
      <c r="F4873" s="8" t="s">
        <v>5836</v>
      </c>
      <c r="G4873" s="57" t="s">
        <v>11449</v>
      </c>
      <c r="H4873" s="54">
        <v>0</v>
      </c>
      <c r="I4873" s="16">
        <v>470000000</v>
      </c>
      <c r="J4873" s="56" t="s">
        <v>229</v>
      </c>
      <c r="K4873" s="57" t="s">
        <v>642</v>
      </c>
      <c r="L4873" s="12" t="s">
        <v>404</v>
      </c>
      <c r="M4873" s="3" t="s">
        <v>230</v>
      </c>
      <c r="N4873" s="8" t="s">
        <v>9479</v>
      </c>
      <c r="O4873" s="6" t="s">
        <v>365</v>
      </c>
      <c r="P4873" s="58">
        <v>796</v>
      </c>
      <c r="Q4873" s="27" t="s">
        <v>234</v>
      </c>
      <c r="R4873" s="27">
        <v>20</v>
      </c>
      <c r="S4873" s="59">
        <f>2200*1.07</f>
        <v>2354</v>
      </c>
      <c r="T4873" s="4">
        <f>R4873*S4873</f>
        <v>47080</v>
      </c>
      <c r="U4873" s="4">
        <f>T4873*1.12</f>
        <v>52729.600000000006</v>
      </c>
      <c r="V4873" s="3"/>
      <c r="W4873" s="3">
        <v>2014</v>
      </c>
      <c r="X4873" s="3"/>
    </row>
    <row r="4874" spans="1:24" ht="114.75">
      <c r="A4874" s="3" t="s">
        <v>1981</v>
      </c>
      <c r="B4874" s="6" t="s">
        <v>361</v>
      </c>
      <c r="C4874" s="6" t="s">
        <v>5387</v>
      </c>
      <c r="D4874" s="6" t="s">
        <v>5388</v>
      </c>
      <c r="E4874" s="6" t="s">
        <v>5183</v>
      </c>
      <c r="F4874" s="9" t="s">
        <v>5837</v>
      </c>
      <c r="G4874" s="57" t="s">
        <v>11449</v>
      </c>
      <c r="H4874" s="54">
        <v>0</v>
      </c>
      <c r="I4874" s="16">
        <v>470000000</v>
      </c>
      <c r="J4874" s="56" t="s">
        <v>229</v>
      </c>
      <c r="K4874" s="57" t="s">
        <v>641</v>
      </c>
      <c r="L4874" s="12" t="s">
        <v>404</v>
      </c>
      <c r="M4874" s="3" t="s">
        <v>230</v>
      </c>
      <c r="N4874" s="8" t="s">
        <v>9479</v>
      </c>
      <c r="O4874" s="6" t="s">
        <v>365</v>
      </c>
      <c r="P4874" s="58">
        <v>796</v>
      </c>
      <c r="Q4874" s="27" t="s">
        <v>234</v>
      </c>
      <c r="R4874" s="27">
        <v>12</v>
      </c>
      <c r="S4874" s="59">
        <f>4400*1.07</f>
        <v>4708</v>
      </c>
      <c r="T4874" s="4">
        <v>0</v>
      </c>
      <c r="U4874" s="4">
        <f t="shared" si="224"/>
        <v>0</v>
      </c>
      <c r="V4874" s="3"/>
      <c r="W4874" s="3">
        <v>2014</v>
      </c>
      <c r="X4874" s="3">
        <v>11</v>
      </c>
    </row>
    <row r="4875" spans="1:24" ht="114.75">
      <c r="A4875" s="3" t="s">
        <v>12682</v>
      </c>
      <c r="B4875" s="6" t="s">
        <v>361</v>
      </c>
      <c r="C4875" s="6" t="s">
        <v>5387</v>
      </c>
      <c r="D4875" s="6" t="s">
        <v>5388</v>
      </c>
      <c r="E4875" s="6" t="s">
        <v>5183</v>
      </c>
      <c r="F4875" s="9" t="s">
        <v>5837</v>
      </c>
      <c r="G4875" s="57" t="s">
        <v>11449</v>
      </c>
      <c r="H4875" s="54">
        <v>0</v>
      </c>
      <c r="I4875" s="16">
        <v>470000000</v>
      </c>
      <c r="J4875" s="56" t="s">
        <v>229</v>
      </c>
      <c r="K4875" s="57" t="s">
        <v>642</v>
      </c>
      <c r="L4875" s="12" t="s">
        <v>404</v>
      </c>
      <c r="M4875" s="3" t="s">
        <v>230</v>
      </c>
      <c r="N4875" s="8" t="s">
        <v>9479</v>
      </c>
      <c r="O4875" s="6" t="s">
        <v>365</v>
      </c>
      <c r="P4875" s="58">
        <v>796</v>
      </c>
      <c r="Q4875" s="27" t="s">
        <v>234</v>
      </c>
      <c r="R4875" s="27">
        <v>12</v>
      </c>
      <c r="S4875" s="59">
        <f>4400*1.07</f>
        <v>4708</v>
      </c>
      <c r="T4875" s="4">
        <f>R4875*S4875</f>
        <v>56496</v>
      </c>
      <c r="U4875" s="4">
        <f>T4875*1.12</f>
        <v>63275.520000000004</v>
      </c>
      <c r="V4875" s="3"/>
      <c r="W4875" s="3">
        <v>2014</v>
      </c>
      <c r="X4875" s="3"/>
    </row>
    <row r="4876" spans="1:24" ht="114.75">
      <c r="A4876" s="3" t="s">
        <v>1982</v>
      </c>
      <c r="B4876" s="6" t="s">
        <v>361</v>
      </c>
      <c r="C4876" s="6" t="s">
        <v>5702</v>
      </c>
      <c r="D4876" s="6" t="s">
        <v>5703</v>
      </c>
      <c r="E4876" s="6" t="s">
        <v>5183</v>
      </c>
      <c r="F4876" s="8" t="s">
        <v>5838</v>
      </c>
      <c r="G4876" s="57" t="s">
        <v>11449</v>
      </c>
      <c r="H4876" s="54">
        <v>0</v>
      </c>
      <c r="I4876" s="16">
        <v>470000000</v>
      </c>
      <c r="J4876" s="56" t="s">
        <v>229</v>
      </c>
      <c r="K4876" s="57" t="s">
        <v>641</v>
      </c>
      <c r="L4876" s="12" t="s">
        <v>404</v>
      </c>
      <c r="M4876" s="3" t="s">
        <v>230</v>
      </c>
      <c r="N4876" s="8" t="s">
        <v>9479</v>
      </c>
      <c r="O4876" s="6" t="s">
        <v>365</v>
      </c>
      <c r="P4876" s="58">
        <v>796</v>
      </c>
      <c r="Q4876" s="27" t="s">
        <v>234</v>
      </c>
      <c r="R4876" s="27">
        <v>10</v>
      </c>
      <c r="S4876" s="59">
        <f>1400*1.07</f>
        <v>1498</v>
      </c>
      <c r="T4876" s="4">
        <v>0</v>
      </c>
      <c r="U4876" s="4">
        <f t="shared" si="224"/>
        <v>0</v>
      </c>
      <c r="V4876" s="3"/>
      <c r="W4876" s="3">
        <v>2014</v>
      </c>
      <c r="X4876" s="3">
        <v>11</v>
      </c>
    </row>
    <row r="4877" spans="1:24" ht="114.75">
      <c r="A4877" s="3" t="s">
        <v>12683</v>
      </c>
      <c r="B4877" s="6" t="s">
        <v>361</v>
      </c>
      <c r="C4877" s="6" t="s">
        <v>5702</v>
      </c>
      <c r="D4877" s="6" t="s">
        <v>5703</v>
      </c>
      <c r="E4877" s="6" t="s">
        <v>5183</v>
      </c>
      <c r="F4877" s="8" t="s">
        <v>5838</v>
      </c>
      <c r="G4877" s="57" t="s">
        <v>11449</v>
      </c>
      <c r="H4877" s="54">
        <v>0</v>
      </c>
      <c r="I4877" s="16">
        <v>470000000</v>
      </c>
      <c r="J4877" s="56" t="s">
        <v>229</v>
      </c>
      <c r="K4877" s="57" t="s">
        <v>642</v>
      </c>
      <c r="L4877" s="12" t="s">
        <v>404</v>
      </c>
      <c r="M4877" s="3" t="s">
        <v>230</v>
      </c>
      <c r="N4877" s="8" t="s">
        <v>9479</v>
      </c>
      <c r="O4877" s="6" t="s">
        <v>365</v>
      </c>
      <c r="P4877" s="58">
        <v>796</v>
      </c>
      <c r="Q4877" s="27" t="s">
        <v>234</v>
      </c>
      <c r="R4877" s="27">
        <v>10</v>
      </c>
      <c r="S4877" s="59">
        <f>1400*1.07</f>
        <v>1498</v>
      </c>
      <c r="T4877" s="4">
        <f>R4877*S4877</f>
        <v>14980</v>
      </c>
      <c r="U4877" s="4">
        <f>T4877*1.12</f>
        <v>16777.600000000002</v>
      </c>
      <c r="V4877" s="3"/>
      <c r="W4877" s="3">
        <v>2014</v>
      </c>
      <c r="X4877" s="3"/>
    </row>
    <row r="4878" spans="1:24" ht="114.75">
      <c r="A4878" s="3" t="s">
        <v>1983</v>
      </c>
      <c r="B4878" s="6" t="s">
        <v>361</v>
      </c>
      <c r="C4878" s="6" t="s">
        <v>5392</v>
      </c>
      <c r="D4878" s="6" t="s">
        <v>439</v>
      </c>
      <c r="E4878" s="6" t="s">
        <v>5183</v>
      </c>
      <c r="F4878" s="8" t="s">
        <v>5839</v>
      </c>
      <c r="G4878" s="57" t="s">
        <v>11449</v>
      </c>
      <c r="H4878" s="54">
        <v>0</v>
      </c>
      <c r="I4878" s="16">
        <v>470000000</v>
      </c>
      <c r="J4878" s="56" t="s">
        <v>229</v>
      </c>
      <c r="K4878" s="57" t="s">
        <v>641</v>
      </c>
      <c r="L4878" s="12" t="s">
        <v>404</v>
      </c>
      <c r="M4878" s="3" t="s">
        <v>230</v>
      </c>
      <c r="N4878" s="8" t="s">
        <v>9479</v>
      </c>
      <c r="O4878" s="6" t="s">
        <v>365</v>
      </c>
      <c r="P4878" s="58">
        <v>796</v>
      </c>
      <c r="Q4878" s="27" t="s">
        <v>234</v>
      </c>
      <c r="R4878" s="27">
        <v>20</v>
      </c>
      <c r="S4878" s="59">
        <f>1100*1.07</f>
        <v>1177</v>
      </c>
      <c r="T4878" s="4">
        <v>0</v>
      </c>
      <c r="U4878" s="4">
        <f t="shared" si="224"/>
        <v>0</v>
      </c>
      <c r="V4878" s="3"/>
      <c r="W4878" s="3">
        <v>2014</v>
      </c>
      <c r="X4878" s="3">
        <v>11</v>
      </c>
    </row>
    <row r="4879" spans="1:24" ht="114.75">
      <c r="A4879" s="3" t="s">
        <v>12684</v>
      </c>
      <c r="B4879" s="6" t="s">
        <v>361</v>
      </c>
      <c r="C4879" s="6" t="s">
        <v>5392</v>
      </c>
      <c r="D4879" s="6" t="s">
        <v>439</v>
      </c>
      <c r="E4879" s="6" t="s">
        <v>5183</v>
      </c>
      <c r="F4879" s="8" t="s">
        <v>5839</v>
      </c>
      <c r="G4879" s="57" t="s">
        <v>11449</v>
      </c>
      <c r="H4879" s="54">
        <v>0</v>
      </c>
      <c r="I4879" s="16">
        <v>470000000</v>
      </c>
      <c r="J4879" s="56" t="s">
        <v>229</v>
      </c>
      <c r="K4879" s="57" t="s">
        <v>642</v>
      </c>
      <c r="L4879" s="12" t="s">
        <v>404</v>
      </c>
      <c r="M4879" s="3" t="s">
        <v>230</v>
      </c>
      <c r="N4879" s="8" t="s">
        <v>9479</v>
      </c>
      <c r="O4879" s="6" t="s">
        <v>365</v>
      </c>
      <c r="P4879" s="58">
        <v>796</v>
      </c>
      <c r="Q4879" s="27" t="s">
        <v>234</v>
      </c>
      <c r="R4879" s="27">
        <v>20</v>
      </c>
      <c r="S4879" s="59">
        <f>1100*1.07</f>
        <v>1177</v>
      </c>
      <c r="T4879" s="4">
        <v>0</v>
      </c>
      <c r="U4879" s="4">
        <f>T4879*1.12</f>
        <v>0</v>
      </c>
      <c r="V4879" s="3"/>
      <c r="W4879" s="3">
        <v>2014</v>
      </c>
      <c r="X4879" s="3" t="s">
        <v>14785</v>
      </c>
    </row>
    <row r="4880" spans="1:24" ht="114.75">
      <c r="A4880" s="3" t="s">
        <v>16898</v>
      </c>
      <c r="B4880" s="6" t="s">
        <v>361</v>
      </c>
      <c r="C4880" s="6" t="s">
        <v>5392</v>
      </c>
      <c r="D4880" s="6" t="s">
        <v>439</v>
      </c>
      <c r="E4880" s="6" t="s">
        <v>5183</v>
      </c>
      <c r="F4880" s="8" t="s">
        <v>5839</v>
      </c>
      <c r="G4880" s="3" t="s">
        <v>11449</v>
      </c>
      <c r="H4880" s="54">
        <v>0</v>
      </c>
      <c r="I4880" s="16">
        <v>470000000</v>
      </c>
      <c r="J4880" s="56" t="s">
        <v>229</v>
      </c>
      <c r="K4880" s="57" t="s">
        <v>8950</v>
      </c>
      <c r="L4880" s="12" t="s">
        <v>404</v>
      </c>
      <c r="M4880" s="3" t="s">
        <v>230</v>
      </c>
      <c r="N4880" s="8" t="s">
        <v>9479</v>
      </c>
      <c r="O4880" s="6" t="s">
        <v>365</v>
      </c>
      <c r="P4880" s="58">
        <v>796</v>
      </c>
      <c r="Q4880" s="27" t="s">
        <v>234</v>
      </c>
      <c r="R4880" s="27">
        <v>20</v>
      </c>
      <c r="S4880" s="59">
        <v>1412.3999999999999</v>
      </c>
      <c r="T4880" s="4">
        <f>R4880*S4880</f>
        <v>28247.999999999996</v>
      </c>
      <c r="U4880" s="4">
        <f>T4880*1.12</f>
        <v>31637.759999999998</v>
      </c>
      <c r="V4880" s="3"/>
      <c r="W4880" s="3">
        <v>2014</v>
      </c>
      <c r="X4880" s="3"/>
    </row>
    <row r="4881" spans="1:24" ht="114.75">
      <c r="A4881" s="3" t="s">
        <v>1984</v>
      </c>
      <c r="B4881" s="6" t="s">
        <v>361</v>
      </c>
      <c r="C4881" s="6" t="s">
        <v>5389</v>
      </c>
      <c r="D4881" s="6" t="s">
        <v>5390</v>
      </c>
      <c r="E4881" s="6" t="s">
        <v>5391</v>
      </c>
      <c r="F4881" s="8" t="s">
        <v>5840</v>
      </c>
      <c r="G4881" s="57" t="s">
        <v>11449</v>
      </c>
      <c r="H4881" s="54">
        <v>0</v>
      </c>
      <c r="I4881" s="16">
        <v>470000000</v>
      </c>
      <c r="J4881" s="56" t="s">
        <v>229</v>
      </c>
      <c r="K4881" s="57" t="s">
        <v>641</v>
      </c>
      <c r="L4881" s="12" t="s">
        <v>404</v>
      </c>
      <c r="M4881" s="3" t="s">
        <v>230</v>
      </c>
      <c r="N4881" s="8" t="s">
        <v>9479</v>
      </c>
      <c r="O4881" s="6" t="s">
        <v>365</v>
      </c>
      <c r="P4881" s="58">
        <v>796</v>
      </c>
      <c r="Q4881" s="27" t="s">
        <v>234</v>
      </c>
      <c r="R4881" s="27">
        <v>20</v>
      </c>
      <c r="S4881" s="59">
        <f>1300*1.07</f>
        <v>1391</v>
      </c>
      <c r="T4881" s="4">
        <v>0</v>
      </c>
      <c r="U4881" s="4">
        <f t="shared" ref="U4881:U4981" si="225">T4881*1.12</f>
        <v>0</v>
      </c>
      <c r="V4881" s="3"/>
      <c r="W4881" s="3">
        <v>2014</v>
      </c>
      <c r="X4881" s="3">
        <v>11</v>
      </c>
    </row>
    <row r="4882" spans="1:24" ht="114.75">
      <c r="A4882" s="3" t="s">
        <v>12685</v>
      </c>
      <c r="B4882" s="6" t="s">
        <v>361</v>
      </c>
      <c r="C4882" s="6" t="s">
        <v>5389</v>
      </c>
      <c r="D4882" s="6" t="s">
        <v>5390</v>
      </c>
      <c r="E4882" s="6" t="s">
        <v>5391</v>
      </c>
      <c r="F4882" s="8" t="s">
        <v>5840</v>
      </c>
      <c r="G4882" s="57" t="s">
        <v>11449</v>
      </c>
      <c r="H4882" s="54">
        <v>0</v>
      </c>
      <c r="I4882" s="16">
        <v>470000000</v>
      </c>
      <c r="J4882" s="56" t="s">
        <v>229</v>
      </c>
      <c r="K4882" s="57" t="s">
        <v>642</v>
      </c>
      <c r="L4882" s="12" t="s">
        <v>404</v>
      </c>
      <c r="M4882" s="3" t="s">
        <v>230</v>
      </c>
      <c r="N4882" s="8" t="s">
        <v>9479</v>
      </c>
      <c r="O4882" s="6" t="s">
        <v>365</v>
      </c>
      <c r="P4882" s="58">
        <v>796</v>
      </c>
      <c r="Q4882" s="27" t="s">
        <v>234</v>
      </c>
      <c r="R4882" s="27">
        <v>20</v>
      </c>
      <c r="S4882" s="59">
        <f>1300*1.07</f>
        <v>1391</v>
      </c>
      <c r="T4882" s="4">
        <v>0</v>
      </c>
      <c r="U4882" s="4">
        <f>T4882*1.12</f>
        <v>0</v>
      </c>
      <c r="V4882" s="3"/>
      <c r="W4882" s="3">
        <v>2014</v>
      </c>
      <c r="X4882" s="3" t="s">
        <v>14785</v>
      </c>
    </row>
    <row r="4883" spans="1:24" ht="114.75">
      <c r="A4883" s="3" t="s">
        <v>16899</v>
      </c>
      <c r="B4883" s="6" t="s">
        <v>361</v>
      </c>
      <c r="C4883" s="6" t="s">
        <v>5389</v>
      </c>
      <c r="D4883" s="6" t="s">
        <v>5390</v>
      </c>
      <c r="E4883" s="6" t="s">
        <v>5391</v>
      </c>
      <c r="F4883" s="8" t="s">
        <v>5840</v>
      </c>
      <c r="G4883" s="3" t="s">
        <v>11449</v>
      </c>
      <c r="H4883" s="54">
        <v>0</v>
      </c>
      <c r="I4883" s="16">
        <v>470000000</v>
      </c>
      <c r="J4883" s="56" t="s">
        <v>229</v>
      </c>
      <c r="K4883" s="57" t="s">
        <v>8950</v>
      </c>
      <c r="L4883" s="12" t="s">
        <v>404</v>
      </c>
      <c r="M4883" s="3" t="s">
        <v>230</v>
      </c>
      <c r="N4883" s="8" t="s">
        <v>9479</v>
      </c>
      <c r="O4883" s="6" t="s">
        <v>365</v>
      </c>
      <c r="P4883" s="58">
        <v>796</v>
      </c>
      <c r="Q4883" s="27" t="s">
        <v>234</v>
      </c>
      <c r="R4883" s="27">
        <v>20</v>
      </c>
      <c r="S4883" s="59">
        <v>1669.2</v>
      </c>
      <c r="T4883" s="4">
        <f>R4883*S4883</f>
        <v>33384</v>
      </c>
      <c r="U4883" s="4">
        <f>T4883*1.12</f>
        <v>37390.080000000002</v>
      </c>
      <c r="V4883" s="3"/>
      <c r="W4883" s="3">
        <v>2014</v>
      </c>
      <c r="X4883" s="3"/>
    </row>
    <row r="4884" spans="1:24" ht="114.75">
      <c r="A4884" s="3" t="s">
        <v>1985</v>
      </c>
      <c r="B4884" s="6" t="s">
        <v>361</v>
      </c>
      <c r="C4884" s="6" t="s">
        <v>5770</v>
      </c>
      <c r="D4884" s="6" t="s">
        <v>5771</v>
      </c>
      <c r="E4884" s="6" t="s">
        <v>5772</v>
      </c>
      <c r="F4884" s="8" t="s">
        <v>5841</v>
      </c>
      <c r="G4884" s="57" t="s">
        <v>11449</v>
      </c>
      <c r="H4884" s="54">
        <v>0</v>
      </c>
      <c r="I4884" s="16">
        <v>470000000</v>
      </c>
      <c r="J4884" s="56" t="s">
        <v>229</v>
      </c>
      <c r="K4884" s="57" t="s">
        <v>641</v>
      </c>
      <c r="L4884" s="12" t="s">
        <v>404</v>
      </c>
      <c r="M4884" s="3" t="s">
        <v>230</v>
      </c>
      <c r="N4884" s="8" t="s">
        <v>9479</v>
      </c>
      <c r="O4884" s="6" t="s">
        <v>365</v>
      </c>
      <c r="P4884" s="58">
        <v>796</v>
      </c>
      <c r="Q4884" s="27" t="s">
        <v>234</v>
      </c>
      <c r="R4884" s="27">
        <v>3</v>
      </c>
      <c r="S4884" s="59">
        <f>129000*1.07</f>
        <v>138030</v>
      </c>
      <c r="T4884" s="4">
        <v>0</v>
      </c>
      <c r="U4884" s="4">
        <f t="shared" si="225"/>
        <v>0</v>
      </c>
      <c r="V4884" s="3"/>
      <c r="W4884" s="3">
        <v>2014</v>
      </c>
      <c r="X4884" s="3">
        <v>11</v>
      </c>
    </row>
    <row r="4885" spans="1:24" ht="114.75">
      <c r="A4885" s="3" t="s">
        <v>12686</v>
      </c>
      <c r="B4885" s="6" t="s">
        <v>361</v>
      </c>
      <c r="C4885" s="6" t="s">
        <v>5770</v>
      </c>
      <c r="D4885" s="6" t="s">
        <v>5771</v>
      </c>
      <c r="E4885" s="6" t="s">
        <v>5772</v>
      </c>
      <c r="F4885" s="8" t="s">
        <v>5841</v>
      </c>
      <c r="G4885" s="57" t="s">
        <v>11449</v>
      </c>
      <c r="H4885" s="54">
        <v>0</v>
      </c>
      <c r="I4885" s="16">
        <v>470000000</v>
      </c>
      <c r="J4885" s="56" t="s">
        <v>229</v>
      </c>
      <c r="K4885" s="57" t="s">
        <v>642</v>
      </c>
      <c r="L4885" s="12" t="s">
        <v>404</v>
      </c>
      <c r="M4885" s="3" t="s">
        <v>230</v>
      </c>
      <c r="N4885" s="8" t="s">
        <v>9479</v>
      </c>
      <c r="O4885" s="6" t="s">
        <v>365</v>
      </c>
      <c r="P4885" s="58">
        <v>796</v>
      </c>
      <c r="Q4885" s="27" t="s">
        <v>234</v>
      </c>
      <c r="R4885" s="27">
        <v>3</v>
      </c>
      <c r="S4885" s="59">
        <f>129000*1.07</f>
        <v>138030</v>
      </c>
      <c r="T4885" s="4">
        <f>R4885*S4885</f>
        <v>414090</v>
      </c>
      <c r="U4885" s="4">
        <f>T4885*1.12</f>
        <v>463780.80000000005</v>
      </c>
      <c r="V4885" s="3"/>
      <c r="W4885" s="3">
        <v>2014</v>
      </c>
      <c r="X4885" s="3"/>
    </row>
    <row r="4886" spans="1:24" ht="114.75">
      <c r="A4886" s="3" t="s">
        <v>1986</v>
      </c>
      <c r="B4886" s="6" t="s">
        <v>361</v>
      </c>
      <c r="C4886" s="6" t="s">
        <v>7345</v>
      </c>
      <c r="D4886" s="6" t="s">
        <v>5399</v>
      </c>
      <c r="E4886" s="6" t="s">
        <v>7346</v>
      </c>
      <c r="F4886" s="8" t="s">
        <v>5842</v>
      </c>
      <c r="G4886" s="57" t="s">
        <v>11449</v>
      </c>
      <c r="H4886" s="54">
        <v>0</v>
      </c>
      <c r="I4886" s="16">
        <v>470000000</v>
      </c>
      <c r="J4886" s="56" t="s">
        <v>229</v>
      </c>
      <c r="K4886" s="57" t="s">
        <v>641</v>
      </c>
      <c r="L4886" s="12" t="s">
        <v>404</v>
      </c>
      <c r="M4886" s="3" t="s">
        <v>230</v>
      </c>
      <c r="N4886" s="8" t="s">
        <v>9479</v>
      </c>
      <c r="O4886" s="6" t="s">
        <v>365</v>
      </c>
      <c r="P4886" s="58">
        <v>796</v>
      </c>
      <c r="Q4886" s="27" t="s">
        <v>234</v>
      </c>
      <c r="R4886" s="27">
        <v>10</v>
      </c>
      <c r="S4886" s="59">
        <f>9300*1.07</f>
        <v>9951</v>
      </c>
      <c r="T4886" s="4">
        <v>0</v>
      </c>
      <c r="U4886" s="4">
        <f t="shared" si="225"/>
        <v>0</v>
      </c>
      <c r="V4886" s="3"/>
      <c r="W4886" s="3">
        <v>2014</v>
      </c>
      <c r="X4886" s="3">
        <v>11</v>
      </c>
    </row>
    <row r="4887" spans="1:24" ht="114.75">
      <c r="A4887" s="3" t="s">
        <v>12687</v>
      </c>
      <c r="B4887" s="6" t="s">
        <v>361</v>
      </c>
      <c r="C4887" s="6" t="s">
        <v>7345</v>
      </c>
      <c r="D4887" s="6" t="s">
        <v>5399</v>
      </c>
      <c r="E4887" s="6" t="s">
        <v>7346</v>
      </c>
      <c r="F4887" s="8" t="s">
        <v>5842</v>
      </c>
      <c r="G4887" s="57" t="s">
        <v>11449</v>
      </c>
      <c r="H4887" s="54">
        <v>0</v>
      </c>
      <c r="I4887" s="16">
        <v>470000000</v>
      </c>
      <c r="J4887" s="56" t="s">
        <v>229</v>
      </c>
      <c r="K4887" s="57" t="s">
        <v>642</v>
      </c>
      <c r="L4887" s="12" t="s">
        <v>404</v>
      </c>
      <c r="M4887" s="3" t="s">
        <v>230</v>
      </c>
      <c r="N4887" s="8" t="s">
        <v>9479</v>
      </c>
      <c r="O4887" s="6" t="s">
        <v>365</v>
      </c>
      <c r="P4887" s="58">
        <v>796</v>
      </c>
      <c r="Q4887" s="27" t="s">
        <v>234</v>
      </c>
      <c r="R4887" s="27">
        <v>10</v>
      </c>
      <c r="S4887" s="59">
        <f>9300*1.07</f>
        <v>9951</v>
      </c>
      <c r="T4887" s="4">
        <f>R4887*S4887</f>
        <v>99510</v>
      </c>
      <c r="U4887" s="4">
        <f>T4887*1.12</f>
        <v>111451.20000000001</v>
      </c>
      <c r="V4887" s="3"/>
      <c r="W4887" s="3">
        <v>2014</v>
      </c>
      <c r="X4887" s="3"/>
    </row>
    <row r="4888" spans="1:24" ht="114.75">
      <c r="A4888" s="3" t="s">
        <v>1987</v>
      </c>
      <c r="B4888" s="6" t="s">
        <v>361</v>
      </c>
      <c r="C4888" s="6" t="s">
        <v>5776</v>
      </c>
      <c r="D4888" s="6" t="s">
        <v>5777</v>
      </c>
      <c r="E4888" s="6" t="s">
        <v>5778</v>
      </c>
      <c r="F4888" s="8" t="s">
        <v>5843</v>
      </c>
      <c r="G4888" s="57" t="s">
        <v>11449</v>
      </c>
      <c r="H4888" s="54">
        <v>0</v>
      </c>
      <c r="I4888" s="16">
        <v>470000000</v>
      </c>
      <c r="J4888" s="56" t="s">
        <v>229</v>
      </c>
      <c r="K4888" s="57" t="s">
        <v>641</v>
      </c>
      <c r="L4888" s="12" t="s">
        <v>404</v>
      </c>
      <c r="M4888" s="3" t="s">
        <v>230</v>
      </c>
      <c r="N4888" s="8" t="s">
        <v>9479</v>
      </c>
      <c r="O4888" s="6" t="s">
        <v>365</v>
      </c>
      <c r="P4888" s="58">
        <v>796</v>
      </c>
      <c r="Q4888" s="27" t="s">
        <v>234</v>
      </c>
      <c r="R4888" s="27">
        <v>10</v>
      </c>
      <c r="S4888" s="59">
        <v>5494</v>
      </c>
      <c r="T4888" s="4">
        <v>0</v>
      </c>
      <c r="U4888" s="4">
        <f t="shared" si="225"/>
        <v>0</v>
      </c>
      <c r="V4888" s="3"/>
      <c r="W4888" s="3">
        <v>2014</v>
      </c>
      <c r="X4888" s="3">
        <v>11</v>
      </c>
    </row>
    <row r="4889" spans="1:24" ht="114.75">
      <c r="A4889" s="3" t="s">
        <v>12688</v>
      </c>
      <c r="B4889" s="6" t="s">
        <v>361</v>
      </c>
      <c r="C4889" s="6" t="s">
        <v>5776</v>
      </c>
      <c r="D4889" s="6" t="s">
        <v>5777</v>
      </c>
      <c r="E4889" s="6" t="s">
        <v>5778</v>
      </c>
      <c r="F4889" s="8" t="s">
        <v>5843</v>
      </c>
      <c r="G4889" s="57" t="s">
        <v>11449</v>
      </c>
      <c r="H4889" s="54">
        <v>0</v>
      </c>
      <c r="I4889" s="16">
        <v>470000000</v>
      </c>
      <c r="J4889" s="56" t="s">
        <v>229</v>
      </c>
      <c r="K4889" s="57" t="s">
        <v>642</v>
      </c>
      <c r="L4889" s="12" t="s">
        <v>404</v>
      </c>
      <c r="M4889" s="3" t="s">
        <v>230</v>
      </c>
      <c r="N4889" s="8" t="s">
        <v>9479</v>
      </c>
      <c r="O4889" s="6" t="s">
        <v>365</v>
      </c>
      <c r="P4889" s="58">
        <v>796</v>
      </c>
      <c r="Q4889" s="27" t="s">
        <v>234</v>
      </c>
      <c r="R4889" s="27">
        <v>10</v>
      </c>
      <c r="S4889" s="59">
        <v>5494</v>
      </c>
      <c r="T4889" s="4">
        <v>0</v>
      </c>
      <c r="U4889" s="4">
        <f>T4889*1.12</f>
        <v>0</v>
      </c>
      <c r="V4889" s="3"/>
      <c r="W4889" s="3">
        <v>2014</v>
      </c>
      <c r="X4889" s="3" t="s">
        <v>14785</v>
      </c>
    </row>
    <row r="4890" spans="1:24" ht="114.75">
      <c r="A4890" s="3" t="s">
        <v>16900</v>
      </c>
      <c r="B4890" s="6" t="s">
        <v>361</v>
      </c>
      <c r="C4890" s="6" t="s">
        <v>5776</v>
      </c>
      <c r="D4890" s="6" t="s">
        <v>5777</v>
      </c>
      <c r="E4890" s="6" t="s">
        <v>5778</v>
      </c>
      <c r="F4890" s="8" t="s">
        <v>5843</v>
      </c>
      <c r="G4890" s="3" t="s">
        <v>11449</v>
      </c>
      <c r="H4890" s="54">
        <v>0</v>
      </c>
      <c r="I4890" s="16">
        <v>470000000</v>
      </c>
      <c r="J4890" s="56" t="s">
        <v>229</v>
      </c>
      <c r="K4890" s="57" t="s">
        <v>8950</v>
      </c>
      <c r="L4890" s="12" t="s">
        <v>404</v>
      </c>
      <c r="M4890" s="3" t="s">
        <v>230</v>
      </c>
      <c r="N4890" s="8" t="s">
        <v>9479</v>
      </c>
      <c r="O4890" s="6" t="s">
        <v>365</v>
      </c>
      <c r="P4890" s="58">
        <v>796</v>
      </c>
      <c r="Q4890" s="27" t="s">
        <v>234</v>
      </c>
      <c r="R4890" s="27">
        <v>10</v>
      </c>
      <c r="S4890" s="59">
        <v>6805.2</v>
      </c>
      <c r="T4890" s="4">
        <f>R4890*S4890</f>
        <v>68052</v>
      </c>
      <c r="U4890" s="4">
        <f>T4890*1.12</f>
        <v>76218.240000000005</v>
      </c>
      <c r="V4890" s="3"/>
      <c r="W4890" s="3">
        <v>2014</v>
      </c>
      <c r="X4890" s="3"/>
    </row>
    <row r="4891" spans="1:24" ht="114.75">
      <c r="A4891" s="3" t="s">
        <v>1988</v>
      </c>
      <c r="B4891" s="6" t="s">
        <v>361</v>
      </c>
      <c r="C4891" s="6" t="s">
        <v>5780</v>
      </c>
      <c r="D4891" s="6" t="s">
        <v>5777</v>
      </c>
      <c r="E4891" s="6" t="s">
        <v>5781</v>
      </c>
      <c r="F4891" s="8" t="s">
        <v>5844</v>
      </c>
      <c r="G4891" s="57" t="s">
        <v>11449</v>
      </c>
      <c r="H4891" s="54">
        <v>0</v>
      </c>
      <c r="I4891" s="16">
        <v>470000000</v>
      </c>
      <c r="J4891" s="56" t="s">
        <v>229</v>
      </c>
      <c r="K4891" s="57" t="s">
        <v>641</v>
      </c>
      <c r="L4891" s="12" t="s">
        <v>404</v>
      </c>
      <c r="M4891" s="3" t="s">
        <v>230</v>
      </c>
      <c r="N4891" s="8" t="s">
        <v>9479</v>
      </c>
      <c r="O4891" s="6" t="s">
        <v>365</v>
      </c>
      <c r="P4891" s="58">
        <v>796</v>
      </c>
      <c r="Q4891" s="27" t="s">
        <v>234</v>
      </c>
      <c r="R4891" s="27">
        <v>10</v>
      </c>
      <c r="S4891" s="59">
        <f>4600*1.07</f>
        <v>4922</v>
      </c>
      <c r="T4891" s="4">
        <v>0</v>
      </c>
      <c r="U4891" s="4">
        <f t="shared" si="225"/>
        <v>0</v>
      </c>
      <c r="V4891" s="3"/>
      <c r="W4891" s="3">
        <v>2014</v>
      </c>
      <c r="X4891" s="3">
        <v>11</v>
      </c>
    </row>
    <row r="4892" spans="1:24" ht="114.75">
      <c r="A4892" s="3" t="s">
        <v>12689</v>
      </c>
      <c r="B4892" s="6" t="s">
        <v>361</v>
      </c>
      <c r="C4892" s="6" t="s">
        <v>5780</v>
      </c>
      <c r="D4892" s="6" t="s">
        <v>5777</v>
      </c>
      <c r="E4892" s="6" t="s">
        <v>5781</v>
      </c>
      <c r="F4892" s="8" t="s">
        <v>5844</v>
      </c>
      <c r="G4892" s="57" t="s">
        <v>11449</v>
      </c>
      <c r="H4892" s="54">
        <v>0</v>
      </c>
      <c r="I4892" s="16">
        <v>470000000</v>
      </c>
      <c r="J4892" s="56" t="s">
        <v>229</v>
      </c>
      <c r="K4892" s="57" t="s">
        <v>642</v>
      </c>
      <c r="L4892" s="12" t="s">
        <v>404</v>
      </c>
      <c r="M4892" s="3" t="s">
        <v>230</v>
      </c>
      <c r="N4892" s="8" t="s">
        <v>9479</v>
      </c>
      <c r="O4892" s="6" t="s">
        <v>365</v>
      </c>
      <c r="P4892" s="58">
        <v>796</v>
      </c>
      <c r="Q4892" s="27" t="s">
        <v>234</v>
      </c>
      <c r="R4892" s="27">
        <v>10</v>
      </c>
      <c r="S4892" s="59">
        <f>4600*1.07</f>
        <v>4922</v>
      </c>
      <c r="T4892" s="4">
        <f>R4892*S4892</f>
        <v>49220</v>
      </c>
      <c r="U4892" s="4">
        <f>T4892*1.12</f>
        <v>55126.400000000009</v>
      </c>
      <c r="V4892" s="3"/>
      <c r="W4892" s="3">
        <v>2014</v>
      </c>
      <c r="X4892" s="3"/>
    </row>
    <row r="4893" spans="1:24" ht="114.75">
      <c r="A4893" s="3" t="s">
        <v>1989</v>
      </c>
      <c r="B4893" s="6" t="s">
        <v>361</v>
      </c>
      <c r="C4893" s="6" t="s">
        <v>5783</v>
      </c>
      <c r="D4893" s="6" t="s">
        <v>5777</v>
      </c>
      <c r="E4893" s="6" t="s">
        <v>5784</v>
      </c>
      <c r="F4893" s="8" t="s">
        <v>5845</v>
      </c>
      <c r="G4893" s="57" t="s">
        <v>11449</v>
      </c>
      <c r="H4893" s="54">
        <v>0</v>
      </c>
      <c r="I4893" s="16">
        <v>470000000</v>
      </c>
      <c r="J4893" s="56" t="s">
        <v>229</v>
      </c>
      <c r="K4893" s="57" t="s">
        <v>641</v>
      </c>
      <c r="L4893" s="12" t="s">
        <v>404</v>
      </c>
      <c r="M4893" s="3" t="s">
        <v>230</v>
      </c>
      <c r="N4893" s="8" t="s">
        <v>9479</v>
      </c>
      <c r="O4893" s="6" t="s">
        <v>365</v>
      </c>
      <c r="P4893" s="58">
        <v>796</v>
      </c>
      <c r="Q4893" s="27" t="s">
        <v>234</v>
      </c>
      <c r="R4893" s="27">
        <v>10</v>
      </c>
      <c r="S4893" s="59">
        <v>3596</v>
      </c>
      <c r="T4893" s="4">
        <v>0</v>
      </c>
      <c r="U4893" s="4">
        <f t="shared" si="225"/>
        <v>0</v>
      </c>
      <c r="V4893" s="3"/>
      <c r="W4893" s="3">
        <v>2014</v>
      </c>
      <c r="X4893" s="3">
        <v>11</v>
      </c>
    </row>
    <row r="4894" spans="1:24" ht="114.75">
      <c r="A4894" s="3" t="s">
        <v>12690</v>
      </c>
      <c r="B4894" s="6" t="s">
        <v>361</v>
      </c>
      <c r="C4894" s="6" t="s">
        <v>5783</v>
      </c>
      <c r="D4894" s="6" t="s">
        <v>5777</v>
      </c>
      <c r="E4894" s="6" t="s">
        <v>5784</v>
      </c>
      <c r="F4894" s="8" t="s">
        <v>5845</v>
      </c>
      <c r="G4894" s="57" t="s">
        <v>11449</v>
      </c>
      <c r="H4894" s="54">
        <v>0</v>
      </c>
      <c r="I4894" s="16">
        <v>470000000</v>
      </c>
      <c r="J4894" s="56" t="s">
        <v>229</v>
      </c>
      <c r="K4894" s="57" t="s">
        <v>642</v>
      </c>
      <c r="L4894" s="12" t="s">
        <v>404</v>
      </c>
      <c r="M4894" s="3" t="s">
        <v>230</v>
      </c>
      <c r="N4894" s="8" t="s">
        <v>9479</v>
      </c>
      <c r="O4894" s="6" t="s">
        <v>365</v>
      </c>
      <c r="P4894" s="58">
        <v>796</v>
      </c>
      <c r="Q4894" s="27" t="s">
        <v>234</v>
      </c>
      <c r="R4894" s="27">
        <v>10</v>
      </c>
      <c r="S4894" s="59">
        <v>3596</v>
      </c>
      <c r="T4894" s="4">
        <v>0</v>
      </c>
      <c r="U4894" s="4">
        <f>T4894*1.12</f>
        <v>0</v>
      </c>
      <c r="V4894" s="3"/>
      <c r="W4894" s="3">
        <v>2014</v>
      </c>
      <c r="X4894" s="3" t="s">
        <v>14785</v>
      </c>
    </row>
    <row r="4895" spans="1:24" ht="114.75">
      <c r="A4895" s="3" t="s">
        <v>16901</v>
      </c>
      <c r="B4895" s="6" t="s">
        <v>361</v>
      </c>
      <c r="C4895" s="6" t="s">
        <v>5783</v>
      </c>
      <c r="D4895" s="6" t="s">
        <v>5777</v>
      </c>
      <c r="E4895" s="6" t="s">
        <v>5784</v>
      </c>
      <c r="F4895" s="8" t="s">
        <v>5845</v>
      </c>
      <c r="G4895" s="3" t="s">
        <v>11449</v>
      </c>
      <c r="H4895" s="54">
        <v>0</v>
      </c>
      <c r="I4895" s="16">
        <v>470000000</v>
      </c>
      <c r="J4895" s="56" t="s">
        <v>229</v>
      </c>
      <c r="K4895" s="57" t="s">
        <v>8950</v>
      </c>
      <c r="L4895" s="12" t="s">
        <v>404</v>
      </c>
      <c r="M4895" s="3" t="s">
        <v>230</v>
      </c>
      <c r="N4895" s="8" t="s">
        <v>9479</v>
      </c>
      <c r="O4895" s="6" t="s">
        <v>365</v>
      </c>
      <c r="P4895" s="58">
        <v>796</v>
      </c>
      <c r="Q4895" s="27" t="s">
        <v>234</v>
      </c>
      <c r="R4895" s="27">
        <v>10</v>
      </c>
      <c r="S4895" s="59">
        <v>5136</v>
      </c>
      <c r="T4895" s="4">
        <f>R4895*S4895</f>
        <v>51360</v>
      </c>
      <c r="U4895" s="4">
        <f>T4895*1.12</f>
        <v>57523.200000000004</v>
      </c>
      <c r="V4895" s="3"/>
      <c r="W4895" s="3">
        <v>2014</v>
      </c>
      <c r="X4895" s="3"/>
    </row>
    <row r="4896" spans="1:24" ht="114.75">
      <c r="A4896" s="3" t="s">
        <v>1990</v>
      </c>
      <c r="B4896" s="6" t="s">
        <v>361</v>
      </c>
      <c r="C4896" s="6" t="s">
        <v>7347</v>
      </c>
      <c r="D4896" s="6" t="s">
        <v>7348</v>
      </c>
      <c r="E4896" s="6" t="s">
        <v>6024</v>
      </c>
      <c r="F4896" s="9" t="s">
        <v>5846</v>
      </c>
      <c r="G4896" s="57" t="s">
        <v>11449</v>
      </c>
      <c r="H4896" s="54">
        <v>0</v>
      </c>
      <c r="I4896" s="16">
        <v>470000000</v>
      </c>
      <c r="J4896" s="56" t="s">
        <v>229</v>
      </c>
      <c r="K4896" s="57" t="s">
        <v>641</v>
      </c>
      <c r="L4896" s="12" t="s">
        <v>404</v>
      </c>
      <c r="M4896" s="3" t="s">
        <v>230</v>
      </c>
      <c r="N4896" s="8" t="s">
        <v>9479</v>
      </c>
      <c r="O4896" s="6" t="s">
        <v>365</v>
      </c>
      <c r="P4896" s="58">
        <v>796</v>
      </c>
      <c r="Q4896" s="27" t="s">
        <v>234</v>
      </c>
      <c r="R4896" s="27">
        <v>10</v>
      </c>
      <c r="S4896" s="59">
        <f>11600*1.07</f>
        <v>12412</v>
      </c>
      <c r="T4896" s="4">
        <v>0</v>
      </c>
      <c r="U4896" s="4">
        <f t="shared" si="225"/>
        <v>0</v>
      </c>
      <c r="V4896" s="3"/>
      <c r="W4896" s="3">
        <v>2014</v>
      </c>
      <c r="X4896" s="3">
        <v>11</v>
      </c>
    </row>
    <row r="4897" spans="1:24" ht="114.75">
      <c r="A4897" s="3" t="s">
        <v>12691</v>
      </c>
      <c r="B4897" s="6" t="s">
        <v>361</v>
      </c>
      <c r="C4897" s="6" t="s">
        <v>7347</v>
      </c>
      <c r="D4897" s="6" t="s">
        <v>7348</v>
      </c>
      <c r="E4897" s="6" t="s">
        <v>6024</v>
      </c>
      <c r="F4897" s="9" t="s">
        <v>5846</v>
      </c>
      <c r="G4897" s="57" t="s">
        <v>11449</v>
      </c>
      <c r="H4897" s="54">
        <v>0</v>
      </c>
      <c r="I4897" s="16">
        <v>470000000</v>
      </c>
      <c r="J4897" s="56" t="s">
        <v>229</v>
      </c>
      <c r="K4897" s="57" t="s">
        <v>642</v>
      </c>
      <c r="L4897" s="12" t="s">
        <v>404</v>
      </c>
      <c r="M4897" s="3" t="s">
        <v>230</v>
      </c>
      <c r="N4897" s="8" t="s">
        <v>9479</v>
      </c>
      <c r="O4897" s="6" t="s">
        <v>365</v>
      </c>
      <c r="P4897" s="58">
        <v>796</v>
      </c>
      <c r="Q4897" s="27" t="s">
        <v>234</v>
      </c>
      <c r="R4897" s="27">
        <v>10</v>
      </c>
      <c r="S4897" s="59">
        <f>11600*1.07</f>
        <v>12412</v>
      </c>
      <c r="T4897" s="4">
        <v>0</v>
      </c>
      <c r="U4897" s="4">
        <f>T4897*1.12</f>
        <v>0</v>
      </c>
      <c r="V4897" s="3"/>
      <c r="W4897" s="3">
        <v>2014</v>
      </c>
      <c r="X4897" s="3" t="s">
        <v>14785</v>
      </c>
    </row>
    <row r="4898" spans="1:24" ht="114.75">
      <c r="A4898" s="3" t="s">
        <v>16902</v>
      </c>
      <c r="B4898" s="6" t="s">
        <v>361</v>
      </c>
      <c r="C4898" s="6" t="s">
        <v>7347</v>
      </c>
      <c r="D4898" s="6" t="s">
        <v>7348</v>
      </c>
      <c r="E4898" s="6" t="s">
        <v>6024</v>
      </c>
      <c r="F4898" s="9" t="s">
        <v>5846</v>
      </c>
      <c r="G4898" s="3" t="s">
        <v>11449</v>
      </c>
      <c r="H4898" s="54">
        <v>0</v>
      </c>
      <c r="I4898" s="16">
        <v>470000000</v>
      </c>
      <c r="J4898" s="56" t="s">
        <v>229</v>
      </c>
      <c r="K4898" s="57" t="s">
        <v>8950</v>
      </c>
      <c r="L4898" s="12" t="s">
        <v>404</v>
      </c>
      <c r="M4898" s="3" t="s">
        <v>230</v>
      </c>
      <c r="N4898" s="8" t="s">
        <v>9479</v>
      </c>
      <c r="O4898" s="6" t="s">
        <v>365</v>
      </c>
      <c r="P4898" s="58">
        <v>796</v>
      </c>
      <c r="Q4898" s="27" t="s">
        <v>234</v>
      </c>
      <c r="R4898" s="27">
        <v>10</v>
      </c>
      <c r="S4898" s="59">
        <v>14894.4</v>
      </c>
      <c r="T4898" s="4">
        <f>R4898*S4898</f>
        <v>148944</v>
      </c>
      <c r="U4898" s="4">
        <f>T4898*1.12</f>
        <v>166817.28000000003</v>
      </c>
      <c r="V4898" s="3"/>
      <c r="W4898" s="3">
        <v>2014</v>
      </c>
      <c r="X4898" s="3"/>
    </row>
    <row r="4899" spans="1:24" ht="114.75">
      <c r="A4899" s="3" t="s">
        <v>1991</v>
      </c>
      <c r="B4899" s="6" t="s">
        <v>361</v>
      </c>
      <c r="C4899" s="6" t="s">
        <v>5389</v>
      </c>
      <c r="D4899" s="6" t="s">
        <v>5390</v>
      </c>
      <c r="E4899" s="6" t="s">
        <v>5391</v>
      </c>
      <c r="F4899" s="8" t="s">
        <v>5847</v>
      </c>
      <c r="G4899" s="57" t="s">
        <v>11449</v>
      </c>
      <c r="H4899" s="54">
        <v>0</v>
      </c>
      <c r="I4899" s="16">
        <v>470000000</v>
      </c>
      <c r="J4899" s="56" t="s">
        <v>229</v>
      </c>
      <c r="K4899" s="57" t="s">
        <v>641</v>
      </c>
      <c r="L4899" s="12" t="s">
        <v>404</v>
      </c>
      <c r="M4899" s="3" t="s">
        <v>230</v>
      </c>
      <c r="N4899" s="8" t="s">
        <v>9479</v>
      </c>
      <c r="O4899" s="6" t="s">
        <v>365</v>
      </c>
      <c r="P4899" s="58">
        <v>796</v>
      </c>
      <c r="Q4899" s="27" t="s">
        <v>234</v>
      </c>
      <c r="R4899" s="27">
        <v>10</v>
      </c>
      <c r="S4899" s="59">
        <v>3596</v>
      </c>
      <c r="T4899" s="4">
        <v>0</v>
      </c>
      <c r="U4899" s="4">
        <f t="shared" si="225"/>
        <v>0</v>
      </c>
      <c r="V4899" s="3"/>
      <c r="W4899" s="3">
        <v>2014</v>
      </c>
      <c r="X4899" s="3">
        <v>11</v>
      </c>
    </row>
    <row r="4900" spans="1:24" ht="114.75">
      <c r="A4900" s="3" t="s">
        <v>12692</v>
      </c>
      <c r="B4900" s="6" t="s">
        <v>361</v>
      </c>
      <c r="C4900" s="6" t="s">
        <v>5389</v>
      </c>
      <c r="D4900" s="6" t="s">
        <v>5390</v>
      </c>
      <c r="E4900" s="6" t="s">
        <v>5391</v>
      </c>
      <c r="F4900" s="8" t="s">
        <v>5847</v>
      </c>
      <c r="G4900" s="57" t="s">
        <v>11449</v>
      </c>
      <c r="H4900" s="54">
        <v>0</v>
      </c>
      <c r="I4900" s="16">
        <v>470000000</v>
      </c>
      <c r="J4900" s="56" t="s">
        <v>229</v>
      </c>
      <c r="K4900" s="57" t="s">
        <v>642</v>
      </c>
      <c r="L4900" s="12" t="s">
        <v>404</v>
      </c>
      <c r="M4900" s="3" t="s">
        <v>230</v>
      </c>
      <c r="N4900" s="8" t="s">
        <v>9479</v>
      </c>
      <c r="O4900" s="6" t="s">
        <v>365</v>
      </c>
      <c r="P4900" s="58">
        <v>796</v>
      </c>
      <c r="Q4900" s="27" t="s">
        <v>234</v>
      </c>
      <c r="R4900" s="27">
        <v>10</v>
      </c>
      <c r="S4900" s="59">
        <v>3596</v>
      </c>
      <c r="T4900" s="4">
        <f>R4900*S4900</f>
        <v>35960</v>
      </c>
      <c r="U4900" s="4">
        <f>T4900*1.12</f>
        <v>40275.200000000004</v>
      </c>
      <c r="V4900" s="3"/>
      <c r="W4900" s="3">
        <v>2014</v>
      </c>
      <c r="X4900" s="3"/>
    </row>
    <row r="4901" spans="1:24" ht="114.75">
      <c r="A4901" s="3" t="s">
        <v>1992</v>
      </c>
      <c r="B4901" s="6" t="s">
        <v>361</v>
      </c>
      <c r="C4901" s="6" t="s">
        <v>5533</v>
      </c>
      <c r="D4901" s="6" t="s">
        <v>446</v>
      </c>
      <c r="E4901" s="6" t="s">
        <v>5534</v>
      </c>
      <c r="F4901" s="30" t="s">
        <v>5848</v>
      </c>
      <c r="G4901" s="57" t="s">
        <v>11449</v>
      </c>
      <c r="H4901" s="54">
        <v>0</v>
      </c>
      <c r="I4901" s="16">
        <v>470000000</v>
      </c>
      <c r="J4901" s="56" t="s">
        <v>229</v>
      </c>
      <c r="K4901" s="57" t="s">
        <v>641</v>
      </c>
      <c r="L4901" s="12" t="s">
        <v>404</v>
      </c>
      <c r="M4901" s="3" t="s">
        <v>230</v>
      </c>
      <c r="N4901" s="8" t="s">
        <v>9479</v>
      </c>
      <c r="O4901" s="6" t="s">
        <v>365</v>
      </c>
      <c r="P4901" s="58">
        <v>796</v>
      </c>
      <c r="Q4901" s="27" t="s">
        <v>234</v>
      </c>
      <c r="R4901" s="27">
        <v>4</v>
      </c>
      <c r="S4901" s="59">
        <f>3300*1.07</f>
        <v>3531</v>
      </c>
      <c r="T4901" s="4">
        <v>0</v>
      </c>
      <c r="U4901" s="4">
        <f t="shared" si="225"/>
        <v>0</v>
      </c>
      <c r="V4901" s="3"/>
      <c r="W4901" s="3">
        <v>2014</v>
      </c>
      <c r="X4901" s="3">
        <v>11</v>
      </c>
    </row>
    <row r="4902" spans="1:24" ht="114.75">
      <c r="A4902" s="3" t="s">
        <v>12693</v>
      </c>
      <c r="B4902" s="6" t="s">
        <v>361</v>
      </c>
      <c r="C4902" s="6" t="s">
        <v>5533</v>
      </c>
      <c r="D4902" s="6" t="s">
        <v>446</v>
      </c>
      <c r="E4902" s="6" t="s">
        <v>5534</v>
      </c>
      <c r="F4902" s="30" t="s">
        <v>5848</v>
      </c>
      <c r="G4902" s="57" t="s">
        <v>11449</v>
      </c>
      <c r="H4902" s="54">
        <v>0</v>
      </c>
      <c r="I4902" s="16">
        <v>470000000</v>
      </c>
      <c r="J4902" s="56" t="s">
        <v>229</v>
      </c>
      <c r="K4902" s="57" t="s">
        <v>642</v>
      </c>
      <c r="L4902" s="12" t="s">
        <v>404</v>
      </c>
      <c r="M4902" s="3" t="s">
        <v>230</v>
      </c>
      <c r="N4902" s="8" t="s">
        <v>9479</v>
      </c>
      <c r="O4902" s="6" t="s">
        <v>365</v>
      </c>
      <c r="P4902" s="58">
        <v>796</v>
      </c>
      <c r="Q4902" s="27" t="s">
        <v>234</v>
      </c>
      <c r="R4902" s="27">
        <v>4</v>
      </c>
      <c r="S4902" s="59">
        <f>3300*1.07</f>
        <v>3531</v>
      </c>
      <c r="T4902" s="4">
        <f>R4902*S4902</f>
        <v>14124</v>
      </c>
      <c r="U4902" s="4">
        <f>T4902*1.12</f>
        <v>15818.880000000001</v>
      </c>
      <c r="V4902" s="3"/>
      <c r="W4902" s="3">
        <v>2014</v>
      </c>
      <c r="X4902" s="3"/>
    </row>
    <row r="4903" spans="1:24" ht="114.75">
      <c r="A4903" s="3" t="s">
        <v>1993</v>
      </c>
      <c r="B4903" s="6" t="s">
        <v>361</v>
      </c>
      <c r="C4903" s="6" t="s">
        <v>5733</v>
      </c>
      <c r="D4903" s="6" t="s">
        <v>398</v>
      </c>
      <c r="E4903" s="6" t="s">
        <v>5332</v>
      </c>
      <c r="F4903" s="30" t="s">
        <v>5849</v>
      </c>
      <c r="G4903" s="57" t="s">
        <v>11449</v>
      </c>
      <c r="H4903" s="54">
        <v>0</v>
      </c>
      <c r="I4903" s="16">
        <v>470000000</v>
      </c>
      <c r="J4903" s="56" t="s">
        <v>229</v>
      </c>
      <c r="K4903" s="57" t="s">
        <v>641</v>
      </c>
      <c r="L4903" s="12" t="s">
        <v>404</v>
      </c>
      <c r="M4903" s="3" t="s">
        <v>230</v>
      </c>
      <c r="N4903" s="8" t="s">
        <v>9479</v>
      </c>
      <c r="O4903" s="6" t="s">
        <v>365</v>
      </c>
      <c r="P4903" s="58">
        <v>796</v>
      </c>
      <c r="Q4903" s="27" t="s">
        <v>234</v>
      </c>
      <c r="R4903" s="28">
        <v>40</v>
      </c>
      <c r="S4903" s="59">
        <f>100*1.07</f>
        <v>107</v>
      </c>
      <c r="T4903" s="4">
        <v>0</v>
      </c>
      <c r="U4903" s="4">
        <f t="shared" si="225"/>
        <v>0</v>
      </c>
      <c r="V4903" s="3"/>
      <c r="W4903" s="3">
        <v>2014</v>
      </c>
      <c r="X4903" s="3">
        <v>11</v>
      </c>
    </row>
    <row r="4904" spans="1:24" ht="114.75">
      <c r="A4904" s="3" t="s">
        <v>12694</v>
      </c>
      <c r="B4904" s="6" t="s">
        <v>361</v>
      </c>
      <c r="C4904" s="6" t="s">
        <v>5733</v>
      </c>
      <c r="D4904" s="6" t="s">
        <v>398</v>
      </c>
      <c r="E4904" s="6" t="s">
        <v>5332</v>
      </c>
      <c r="F4904" s="30" t="s">
        <v>5849</v>
      </c>
      <c r="G4904" s="57" t="s">
        <v>11449</v>
      </c>
      <c r="H4904" s="54">
        <v>0</v>
      </c>
      <c r="I4904" s="16">
        <v>470000000</v>
      </c>
      <c r="J4904" s="56" t="s">
        <v>229</v>
      </c>
      <c r="K4904" s="57" t="s">
        <v>642</v>
      </c>
      <c r="L4904" s="12" t="s">
        <v>404</v>
      </c>
      <c r="M4904" s="3" t="s">
        <v>230</v>
      </c>
      <c r="N4904" s="8" t="s">
        <v>9479</v>
      </c>
      <c r="O4904" s="6" t="s">
        <v>365</v>
      </c>
      <c r="P4904" s="58">
        <v>796</v>
      </c>
      <c r="Q4904" s="27" t="s">
        <v>234</v>
      </c>
      <c r="R4904" s="28">
        <v>40</v>
      </c>
      <c r="S4904" s="59">
        <f>100*1.07</f>
        <v>107</v>
      </c>
      <c r="T4904" s="4">
        <v>0</v>
      </c>
      <c r="U4904" s="4">
        <f>T4904*1.12</f>
        <v>0</v>
      </c>
      <c r="V4904" s="3"/>
      <c r="W4904" s="3">
        <v>2014</v>
      </c>
      <c r="X4904" s="3" t="s">
        <v>14785</v>
      </c>
    </row>
    <row r="4905" spans="1:24" ht="114.75">
      <c r="A4905" s="3" t="s">
        <v>16903</v>
      </c>
      <c r="B4905" s="6" t="s">
        <v>361</v>
      </c>
      <c r="C4905" s="6" t="s">
        <v>5733</v>
      </c>
      <c r="D4905" s="6" t="s">
        <v>398</v>
      </c>
      <c r="E4905" s="6" t="s">
        <v>5332</v>
      </c>
      <c r="F4905" s="30" t="s">
        <v>5849</v>
      </c>
      <c r="G4905" s="3" t="s">
        <v>11449</v>
      </c>
      <c r="H4905" s="54">
        <v>0</v>
      </c>
      <c r="I4905" s="16">
        <v>470000000</v>
      </c>
      <c r="J4905" s="56" t="s">
        <v>229</v>
      </c>
      <c r="K4905" s="57" t="s">
        <v>8950</v>
      </c>
      <c r="L4905" s="12" t="s">
        <v>404</v>
      </c>
      <c r="M4905" s="3" t="s">
        <v>230</v>
      </c>
      <c r="N4905" s="8" t="s">
        <v>9479</v>
      </c>
      <c r="O4905" s="6" t="s">
        <v>365</v>
      </c>
      <c r="P4905" s="58">
        <v>796</v>
      </c>
      <c r="Q4905" s="27" t="s">
        <v>234</v>
      </c>
      <c r="R4905" s="28">
        <v>40</v>
      </c>
      <c r="S4905" s="59">
        <v>128.4</v>
      </c>
      <c r="T4905" s="4">
        <f>R4905*S4905</f>
        <v>5136</v>
      </c>
      <c r="U4905" s="4">
        <f>T4905*1.12</f>
        <v>5752.3200000000006</v>
      </c>
      <c r="V4905" s="3"/>
      <c r="W4905" s="3">
        <v>2014</v>
      </c>
      <c r="X4905" s="3"/>
    </row>
    <row r="4906" spans="1:24" ht="114.75">
      <c r="A4906" s="3" t="s">
        <v>1994</v>
      </c>
      <c r="B4906" s="6" t="s">
        <v>361</v>
      </c>
      <c r="C4906" s="6" t="s">
        <v>5412</v>
      </c>
      <c r="D4906" s="6" t="s">
        <v>5413</v>
      </c>
      <c r="E4906" s="6" t="s">
        <v>5183</v>
      </c>
      <c r="F4906" s="8" t="s">
        <v>5850</v>
      </c>
      <c r="G4906" s="57" t="s">
        <v>11449</v>
      </c>
      <c r="H4906" s="54">
        <v>0</v>
      </c>
      <c r="I4906" s="16">
        <v>470000000</v>
      </c>
      <c r="J4906" s="56" t="s">
        <v>229</v>
      </c>
      <c r="K4906" s="57" t="s">
        <v>641</v>
      </c>
      <c r="L4906" s="12" t="s">
        <v>404</v>
      </c>
      <c r="M4906" s="3" t="s">
        <v>230</v>
      </c>
      <c r="N4906" s="8" t="s">
        <v>9479</v>
      </c>
      <c r="O4906" s="6" t="s">
        <v>365</v>
      </c>
      <c r="P4906" s="58">
        <v>796</v>
      </c>
      <c r="Q4906" s="27" t="s">
        <v>234</v>
      </c>
      <c r="R4906" s="27">
        <v>6</v>
      </c>
      <c r="S4906" s="59">
        <f>25600*1.07</f>
        <v>27392</v>
      </c>
      <c r="T4906" s="4">
        <v>0</v>
      </c>
      <c r="U4906" s="4">
        <f t="shared" si="225"/>
        <v>0</v>
      </c>
      <c r="V4906" s="3"/>
      <c r="W4906" s="3">
        <v>2014</v>
      </c>
      <c r="X4906" s="3">
        <v>11</v>
      </c>
    </row>
    <row r="4907" spans="1:24" ht="114.75">
      <c r="A4907" s="3" t="s">
        <v>12695</v>
      </c>
      <c r="B4907" s="6" t="s">
        <v>361</v>
      </c>
      <c r="C4907" s="6" t="s">
        <v>5412</v>
      </c>
      <c r="D4907" s="6" t="s">
        <v>5413</v>
      </c>
      <c r="E4907" s="6" t="s">
        <v>5183</v>
      </c>
      <c r="F4907" s="8" t="s">
        <v>5850</v>
      </c>
      <c r="G4907" s="57" t="s">
        <v>11449</v>
      </c>
      <c r="H4907" s="54">
        <v>0</v>
      </c>
      <c r="I4907" s="16">
        <v>470000000</v>
      </c>
      <c r="J4907" s="56" t="s">
        <v>229</v>
      </c>
      <c r="K4907" s="57" t="s">
        <v>642</v>
      </c>
      <c r="L4907" s="12" t="s">
        <v>404</v>
      </c>
      <c r="M4907" s="3" t="s">
        <v>230</v>
      </c>
      <c r="N4907" s="8" t="s">
        <v>9479</v>
      </c>
      <c r="O4907" s="6" t="s">
        <v>365</v>
      </c>
      <c r="P4907" s="58">
        <v>796</v>
      </c>
      <c r="Q4907" s="27" t="s">
        <v>234</v>
      </c>
      <c r="R4907" s="27">
        <v>6</v>
      </c>
      <c r="S4907" s="59">
        <f>25600*1.07</f>
        <v>27392</v>
      </c>
      <c r="T4907" s="4">
        <v>0</v>
      </c>
      <c r="U4907" s="4">
        <f>T4907*1.12</f>
        <v>0</v>
      </c>
      <c r="V4907" s="3"/>
      <c r="W4907" s="3">
        <v>2014</v>
      </c>
      <c r="X4907" s="3" t="s">
        <v>14785</v>
      </c>
    </row>
    <row r="4908" spans="1:24" ht="114.75">
      <c r="A4908" s="3" t="s">
        <v>16904</v>
      </c>
      <c r="B4908" s="6" t="s">
        <v>361</v>
      </c>
      <c r="C4908" s="6" t="s">
        <v>5412</v>
      </c>
      <c r="D4908" s="6" t="s">
        <v>5413</v>
      </c>
      <c r="E4908" s="6" t="s">
        <v>5183</v>
      </c>
      <c r="F4908" s="8" t="s">
        <v>5850</v>
      </c>
      <c r="G4908" s="3" t="s">
        <v>11449</v>
      </c>
      <c r="H4908" s="54">
        <v>0</v>
      </c>
      <c r="I4908" s="16">
        <v>470000000</v>
      </c>
      <c r="J4908" s="56" t="s">
        <v>229</v>
      </c>
      <c r="K4908" s="57" t="s">
        <v>8950</v>
      </c>
      <c r="L4908" s="12" t="s">
        <v>404</v>
      </c>
      <c r="M4908" s="3" t="s">
        <v>230</v>
      </c>
      <c r="N4908" s="8" t="s">
        <v>9479</v>
      </c>
      <c r="O4908" s="6" t="s">
        <v>365</v>
      </c>
      <c r="P4908" s="58">
        <v>796</v>
      </c>
      <c r="Q4908" s="27" t="s">
        <v>234</v>
      </c>
      <c r="R4908" s="27">
        <v>6</v>
      </c>
      <c r="S4908" s="59">
        <v>32870.400000000001</v>
      </c>
      <c r="T4908" s="4">
        <f>R4908*S4908</f>
        <v>197222.40000000002</v>
      </c>
      <c r="U4908" s="4">
        <f>T4908*1.12</f>
        <v>220889.08800000005</v>
      </c>
      <c r="V4908" s="3"/>
      <c r="W4908" s="3">
        <v>2014</v>
      </c>
      <c r="X4908" s="3"/>
    </row>
    <row r="4909" spans="1:24" ht="114.75">
      <c r="A4909" s="3" t="s">
        <v>1995</v>
      </c>
      <c r="B4909" s="6" t="s">
        <v>361</v>
      </c>
      <c r="C4909" s="179" t="s">
        <v>5414</v>
      </c>
      <c r="D4909" s="3" t="s">
        <v>508</v>
      </c>
      <c r="E4909" s="180" t="s">
        <v>5183</v>
      </c>
      <c r="F4909" s="8" t="s">
        <v>5851</v>
      </c>
      <c r="G4909" s="57" t="s">
        <v>11449</v>
      </c>
      <c r="H4909" s="54">
        <v>0</v>
      </c>
      <c r="I4909" s="16">
        <v>470000000</v>
      </c>
      <c r="J4909" s="56" t="s">
        <v>229</v>
      </c>
      <c r="K4909" s="57" t="s">
        <v>641</v>
      </c>
      <c r="L4909" s="12" t="s">
        <v>404</v>
      </c>
      <c r="M4909" s="3" t="s">
        <v>230</v>
      </c>
      <c r="N4909" s="8" t="s">
        <v>9479</v>
      </c>
      <c r="O4909" s="6" t="s">
        <v>365</v>
      </c>
      <c r="P4909" s="58">
        <v>796</v>
      </c>
      <c r="Q4909" s="27" t="s">
        <v>234</v>
      </c>
      <c r="R4909" s="27">
        <v>60</v>
      </c>
      <c r="S4909" s="59">
        <f>1100*1.07</f>
        <v>1177</v>
      </c>
      <c r="T4909" s="4">
        <v>0</v>
      </c>
      <c r="U4909" s="4">
        <f t="shared" si="225"/>
        <v>0</v>
      </c>
      <c r="V4909" s="3"/>
      <c r="W4909" s="3">
        <v>2014</v>
      </c>
      <c r="X4909" s="3">
        <v>11</v>
      </c>
    </row>
    <row r="4910" spans="1:24" ht="114.75">
      <c r="A4910" s="3" t="s">
        <v>12696</v>
      </c>
      <c r="B4910" s="6" t="s">
        <v>361</v>
      </c>
      <c r="C4910" s="179" t="s">
        <v>5414</v>
      </c>
      <c r="D4910" s="3" t="s">
        <v>508</v>
      </c>
      <c r="E4910" s="180" t="s">
        <v>5183</v>
      </c>
      <c r="F4910" s="8" t="s">
        <v>5851</v>
      </c>
      <c r="G4910" s="57" t="s">
        <v>11449</v>
      </c>
      <c r="H4910" s="54">
        <v>0</v>
      </c>
      <c r="I4910" s="16">
        <v>470000000</v>
      </c>
      <c r="J4910" s="56" t="s">
        <v>229</v>
      </c>
      <c r="K4910" s="57" t="s">
        <v>642</v>
      </c>
      <c r="L4910" s="12" t="s">
        <v>404</v>
      </c>
      <c r="M4910" s="3" t="s">
        <v>230</v>
      </c>
      <c r="N4910" s="8" t="s">
        <v>9479</v>
      </c>
      <c r="O4910" s="6" t="s">
        <v>365</v>
      </c>
      <c r="P4910" s="58">
        <v>796</v>
      </c>
      <c r="Q4910" s="27" t="s">
        <v>234</v>
      </c>
      <c r="R4910" s="27">
        <v>60</v>
      </c>
      <c r="S4910" s="59">
        <f>1100*1.07</f>
        <v>1177</v>
      </c>
      <c r="T4910" s="4">
        <f>R4910*S4910</f>
        <v>70620</v>
      </c>
      <c r="U4910" s="4">
        <f>T4910*1.12</f>
        <v>79094.400000000009</v>
      </c>
      <c r="V4910" s="3"/>
      <c r="W4910" s="3">
        <v>2014</v>
      </c>
      <c r="X4910" s="3"/>
    </row>
    <row r="4911" spans="1:24" ht="114.75">
      <c r="A4911" s="3" t="s">
        <v>1996</v>
      </c>
      <c r="B4911" s="6" t="s">
        <v>361</v>
      </c>
      <c r="C4911" s="6" t="s">
        <v>5791</v>
      </c>
      <c r="D4911" s="6" t="s">
        <v>434</v>
      </c>
      <c r="E4911" s="6" t="s">
        <v>5183</v>
      </c>
      <c r="F4911" s="30" t="s">
        <v>5852</v>
      </c>
      <c r="G4911" s="57" t="s">
        <v>11449</v>
      </c>
      <c r="H4911" s="54">
        <v>0</v>
      </c>
      <c r="I4911" s="16">
        <v>470000000</v>
      </c>
      <c r="J4911" s="56" t="s">
        <v>229</v>
      </c>
      <c r="K4911" s="57" t="s">
        <v>641</v>
      </c>
      <c r="L4911" s="12" t="s">
        <v>404</v>
      </c>
      <c r="M4911" s="3" t="s">
        <v>230</v>
      </c>
      <c r="N4911" s="8" t="s">
        <v>9479</v>
      </c>
      <c r="O4911" s="6" t="s">
        <v>365</v>
      </c>
      <c r="P4911" s="58">
        <v>796</v>
      </c>
      <c r="Q4911" s="27" t="s">
        <v>234</v>
      </c>
      <c r="R4911" s="27">
        <v>2</v>
      </c>
      <c r="S4911" s="59">
        <f>105000*1.07</f>
        <v>112350</v>
      </c>
      <c r="T4911" s="4">
        <v>0</v>
      </c>
      <c r="U4911" s="4">
        <f t="shared" si="225"/>
        <v>0</v>
      </c>
      <c r="V4911" s="3"/>
      <c r="W4911" s="3">
        <v>2014</v>
      </c>
      <c r="X4911" s="3">
        <v>11</v>
      </c>
    </row>
    <row r="4912" spans="1:24" ht="114.75">
      <c r="A4912" s="3" t="s">
        <v>12697</v>
      </c>
      <c r="B4912" s="6" t="s">
        <v>361</v>
      </c>
      <c r="C4912" s="6" t="s">
        <v>5791</v>
      </c>
      <c r="D4912" s="6" t="s">
        <v>434</v>
      </c>
      <c r="E4912" s="6" t="s">
        <v>5183</v>
      </c>
      <c r="F4912" s="30" t="s">
        <v>5852</v>
      </c>
      <c r="G4912" s="57" t="s">
        <v>11449</v>
      </c>
      <c r="H4912" s="54">
        <v>0</v>
      </c>
      <c r="I4912" s="16">
        <v>470000000</v>
      </c>
      <c r="J4912" s="56" t="s">
        <v>229</v>
      </c>
      <c r="K4912" s="57" t="s">
        <v>642</v>
      </c>
      <c r="L4912" s="12" t="s">
        <v>404</v>
      </c>
      <c r="M4912" s="3" t="s">
        <v>230</v>
      </c>
      <c r="N4912" s="8" t="s">
        <v>9479</v>
      </c>
      <c r="O4912" s="6" t="s">
        <v>365</v>
      </c>
      <c r="P4912" s="58">
        <v>796</v>
      </c>
      <c r="Q4912" s="27" t="s">
        <v>234</v>
      </c>
      <c r="R4912" s="27">
        <v>2</v>
      </c>
      <c r="S4912" s="59">
        <f>105000*1.07</f>
        <v>112350</v>
      </c>
      <c r="T4912" s="4">
        <f>R4912*S4912</f>
        <v>224700</v>
      </c>
      <c r="U4912" s="4">
        <f>T4912*1.12</f>
        <v>251664.00000000003</v>
      </c>
      <c r="V4912" s="3"/>
      <c r="W4912" s="3">
        <v>2014</v>
      </c>
      <c r="X4912" s="3"/>
    </row>
    <row r="4913" spans="1:24" ht="153">
      <c r="A4913" s="3" t="s">
        <v>1997</v>
      </c>
      <c r="B4913" s="6" t="s">
        <v>361</v>
      </c>
      <c r="C4913" s="6" t="s">
        <v>5526</v>
      </c>
      <c r="D4913" s="6" t="s">
        <v>5527</v>
      </c>
      <c r="E4913" s="6" t="s">
        <v>5528</v>
      </c>
      <c r="F4913" s="8" t="s">
        <v>5853</v>
      </c>
      <c r="G4913" s="57" t="s">
        <v>11449</v>
      </c>
      <c r="H4913" s="54">
        <v>0</v>
      </c>
      <c r="I4913" s="16">
        <v>470000000</v>
      </c>
      <c r="J4913" s="56" t="s">
        <v>229</v>
      </c>
      <c r="K4913" s="57" t="s">
        <v>641</v>
      </c>
      <c r="L4913" s="12" t="s">
        <v>404</v>
      </c>
      <c r="M4913" s="3" t="s">
        <v>230</v>
      </c>
      <c r="N4913" s="8" t="s">
        <v>9479</v>
      </c>
      <c r="O4913" s="6" t="s">
        <v>365</v>
      </c>
      <c r="P4913" s="58">
        <v>796</v>
      </c>
      <c r="Q4913" s="27" t="s">
        <v>234</v>
      </c>
      <c r="R4913" s="27">
        <v>2</v>
      </c>
      <c r="S4913" s="59">
        <f>93800*1.07</f>
        <v>100366</v>
      </c>
      <c r="T4913" s="4">
        <v>0</v>
      </c>
      <c r="U4913" s="4">
        <f t="shared" si="225"/>
        <v>0</v>
      </c>
      <c r="V4913" s="3"/>
      <c r="W4913" s="3">
        <v>2014</v>
      </c>
      <c r="X4913" s="3">
        <v>11</v>
      </c>
    </row>
    <row r="4914" spans="1:24" ht="153">
      <c r="A4914" s="3" t="s">
        <v>12698</v>
      </c>
      <c r="B4914" s="6" t="s">
        <v>361</v>
      </c>
      <c r="C4914" s="6" t="s">
        <v>5526</v>
      </c>
      <c r="D4914" s="6" t="s">
        <v>5527</v>
      </c>
      <c r="E4914" s="6" t="s">
        <v>5528</v>
      </c>
      <c r="F4914" s="8" t="s">
        <v>5853</v>
      </c>
      <c r="G4914" s="57" t="s">
        <v>11449</v>
      </c>
      <c r="H4914" s="54">
        <v>0</v>
      </c>
      <c r="I4914" s="16">
        <v>470000000</v>
      </c>
      <c r="J4914" s="56" t="s">
        <v>229</v>
      </c>
      <c r="K4914" s="57" t="s">
        <v>642</v>
      </c>
      <c r="L4914" s="12" t="s">
        <v>404</v>
      </c>
      <c r="M4914" s="3" t="s">
        <v>230</v>
      </c>
      <c r="N4914" s="8" t="s">
        <v>9479</v>
      </c>
      <c r="O4914" s="6" t="s">
        <v>365</v>
      </c>
      <c r="P4914" s="58">
        <v>796</v>
      </c>
      <c r="Q4914" s="27" t="s">
        <v>234</v>
      </c>
      <c r="R4914" s="27">
        <v>2</v>
      </c>
      <c r="S4914" s="59">
        <f>93800*1.07</f>
        <v>100366</v>
      </c>
      <c r="T4914" s="4">
        <f>R4914*S4914</f>
        <v>200732</v>
      </c>
      <c r="U4914" s="4">
        <f>T4914*1.12</f>
        <v>224819.84000000003</v>
      </c>
      <c r="V4914" s="3"/>
      <c r="W4914" s="3">
        <v>2014</v>
      </c>
      <c r="X4914" s="3"/>
    </row>
    <row r="4915" spans="1:24" ht="114.75">
      <c r="A4915" s="3" t="s">
        <v>1998</v>
      </c>
      <c r="B4915" s="6" t="s">
        <v>361</v>
      </c>
      <c r="C4915" s="6" t="s">
        <v>5415</v>
      </c>
      <c r="D4915" s="6" t="s">
        <v>5416</v>
      </c>
      <c r="E4915" s="6" t="s">
        <v>5183</v>
      </c>
      <c r="F4915" s="9" t="s">
        <v>5854</v>
      </c>
      <c r="G4915" s="57" t="s">
        <v>11449</v>
      </c>
      <c r="H4915" s="54">
        <v>0</v>
      </c>
      <c r="I4915" s="16">
        <v>470000000</v>
      </c>
      <c r="J4915" s="56" t="s">
        <v>229</v>
      </c>
      <c r="K4915" s="57" t="s">
        <v>641</v>
      </c>
      <c r="L4915" s="12" t="s">
        <v>404</v>
      </c>
      <c r="M4915" s="3" t="s">
        <v>230</v>
      </c>
      <c r="N4915" s="8" t="s">
        <v>9479</v>
      </c>
      <c r="O4915" s="6" t="s">
        <v>365</v>
      </c>
      <c r="P4915" s="58">
        <v>796</v>
      </c>
      <c r="Q4915" s="27" t="s">
        <v>234</v>
      </c>
      <c r="R4915" s="27">
        <v>20</v>
      </c>
      <c r="S4915" s="59">
        <f>4600*1.07</f>
        <v>4922</v>
      </c>
      <c r="T4915" s="4">
        <v>0</v>
      </c>
      <c r="U4915" s="4">
        <f t="shared" si="225"/>
        <v>0</v>
      </c>
      <c r="V4915" s="3"/>
      <c r="W4915" s="3">
        <v>2014</v>
      </c>
      <c r="X4915" s="3">
        <v>11</v>
      </c>
    </row>
    <row r="4916" spans="1:24" ht="114.75">
      <c r="A4916" s="3" t="s">
        <v>12699</v>
      </c>
      <c r="B4916" s="6" t="s">
        <v>361</v>
      </c>
      <c r="C4916" s="6" t="s">
        <v>5415</v>
      </c>
      <c r="D4916" s="6" t="s">
        <v>5416</v>
      </c>
      <c r="E4916" s="6" t="s">
        <v>5183</v>
      </c>
      <c r="F4916" s="9" t="s">
        <v>5854</v>
      </c>
      <c r="G4916" s="57" t="s">
        <v>11449</v>
      </c>
      <c r="H4916" s="54">
        <v>0</v>
      </c>
      <c r="I4916" s="16">
        <v>470000000</v>
      </c>
      <c r="J4916" s="56" t="s">
        <v>229</v>
      </c>
      <c r="K4916" s="57" t="s">
        <v>642</v>
      </c>
      <c r="L4916" s="12" t="s">
        <v>404</v>
      </c>
      <c r="M4916" s="3" t="s">
        <v>230</v>
      </c>
      <c r="N4916" s="8" t="s">
        <v>9479</v>
      </c>
      <c r="O4916" s="6" t="s">
        <v>365</v>
      </c>
      <c r="P4916" s="58">
        <v>796</v>
      </c>
      <c r="Q4916" s="27" t="s">
        <v>234</v>
      </c>
      <c r="R4916" s="27">
        <v>20</v>
      </c>
      <c r="S4916" s="59">
        <f>4600*1.07</f>
        <v>4922</v>
      </c>
      <c r="T4916" s="4">
        <f>R4916*S4916</f>
        <v>98440</v>
      </c>
      <c r="U4916" s="4">
        <f>T4916*1.12</f>
        <v>110252.80000000002</v>
      </c>
      <c r="V4916" s="3"/>
      <c r="W4916" s="3">
        <v>2014</v>
      </c>
      <c r="X4916" s="3"/>
    </row>
    <row r="4917" spans="1:24" ht="114.75">
      <c r="A4917" s="3" t="s">
        <v>1999</v>
      </c>
      <c r="B4917" s="6" t="s">
        <v>361</v>
      </c>
      <c r="C4917" s="6" t="s">
        <v>5417</v>
      </c>
      <c r="D4917" s="6" t="s">
        <v>5418</v>
      </c>
      <c r="E4917" s="6" t="s">
        <v>5183</v>
      </c>
      <c r="F4917" s="8" t="s">
        <v>5855</v>
      </c>
      <c r="G4917" s="57" t="s">
        <v>11449</v>
      </c>
      <c r="H4917" s="54">
        <v>0</v>
      </c>
      <c r="I4917" s="16">
        <v>470000000</v>
      </c>
      <c r="J4917" s="56" t="s">
        <v>229</v>
      </c>
      <c r="K4917" s="57" t="s">
        <v>641</v>
      </c>
      <c r="L4917" s="12" t="s">
        <v>404</v>
      </c>
      <c r="M4917" s="3" t="s">
        <v>230</v>
      </c>
      <c r="N4917" s="8" t="s">
        <v>9479</v>
      </c>
      <c r="O4917" s="6" t="s">
        <v>365</v>
      </c>
      <c r="P4917" s="58">
        <v>796</v>
      </c>
      <c r="Q4917" s="27" t="s">
        <v>234</v>
      </c>
      <c r="R4917" s="27">
        <v>10</v>
      </c>
      <c r="S4917" s="59">
        <f>8800*1.07</f>
        <v>9416</v>
      </c>
      <c r="T4917" s="4">
        <v>0</v>
      </c>
      <c r="U4917" s="4">
        <f t="shared" si="225"/>
        <v>0</v>
      </c>
      <c r="V4917" s="3"/>
      <c r="W4917" s="3">
        <v>2014</v>
      </c>
      <c r="X4917" s="3">
        <v>11</v>
      </c>
    </row>
    <row r="4918" spans="1:24" ht="114.75">
      <c r="A4918" s="3" t="s">
        <v>12700</v>
      </c>
      <c r="B4918" s="6" t="s">
        <v>361</v>
      </c>
      <c r="C4918" s="6" t="s">
        <v>5417</v>
      </c>
      <c r="D4918" s="6" t="s">
        <v>5418</v>
      </c>
      <c r="E4918" s="6" t="s">
        <v>5183</v>
      </c>
      <c r="F4918" s="8" t="s">
        <v>5855</v>
      </c>
      <c r="G4918" s="57" t="s">
        <v>11449</v>
      </c>
      <c r="H4918" s="54">
        <v>0</v>
      </c>
      <c r="I4918" s="16">
        <v>470000000</v>
      </c>
      <c r="J4918" s="56" t="s">
        <v>229</v>
      </c>
      <c r="K4918" s="57" t="s">
        <v>642</v>
      </c>
      <c r="L4918" s="12" t="s">
        <v>404</v>
      </c>
      <c r="M4918" s="3" t="s">
        <v>230</v>
      </c>
      <c r="N4918" s="8" t="s">
        <v>9479</v>
      </c>
      <c r="O4918" s="6" t="s">
        <v>365</v>
      </c>
      <c r="P4918" s="58">
        <v>796</v>
      </c>
      <c r="Q4918" s="27" t="s">
        <v>234</v>
      </c>
      <c r="R4918" s="27">
        <v>10</v>
      </c>
      <c r="S4918" s="59">
        <f>8800*1.07</f>
        <v>9416</v>
      </c>
      <c r="T4918" s="4">
        <f>R4918*S4918</f>
        <v>94160</v>
      </c>
      <c r="U4918" s="4">
        <f>T4918*1.12</f>
        <v>105459.20000000001</v>
      </c>
      <c r="V4918" s="3"/>
      <c r="W4918" s="3">
        <v>2014</v>
      </c>
      <c r="X4918" s="3"/>
    </row>
    <row r="4919" spans="1:24" ht="114.75">
      <c r="A4919" s="3" t="s">
        <v>2000</v>
      </c>
      <c r="B4919" s="6" t="s">
        <v>361</v>
      </c>
      <c r="C4919" s="6" t="s">
        <v>11695</v>
      </c>
      <c r="D4919" s="6" t="s">
        <v>5430</v>
      </c>
      <c r="E4919" s="6" t="s">
        <v>11696</v>
      </c>
      <c r="F4919" s="8" t="s">
        <v>5856</v>
      </c>
      <c r="G4919" s="57" t="s">
        <v>11449</v>
      </c>
      <c r="H4919" s="54">
        <v>0</v>
      </c>
      <c r="I4919" s="16">
        <v>470000000</v>
      </c>
      <c r="J4919" s="56" t="s">
        <v>229</v>
      </c>
      <c r="K4919" s="57" t="s">
        <v>641</v>
      </c>
      <c r="L4919" s="12" t="s">
        <v>404</v>
      </c>
      <c r="M4919" s="3" t="s">
        <v>230</v>
      </c>
      <c r="N4919" s="8" t="s">
        <v>9479</v>
      </c>
      <c r="O4919" s="6" t="s">
        <v>365</v>
      </c>
      <c r="P4919" s="58">
        <v>796</v>
      </c>
      <c r="Q4919" s="27" t="s">
        <v>234</v>
      </c>
      <c r="R4919" s="27">
        <v>4</v>
      </c>
      <c r="S4919" s="59">
        <v>19565.5</v>
      </c>
      <c r="T4919" s="4">
        <v>0</v>
      </c>
      <c r="U4919" s="4">
        <f t="shared" si="225"/>
        <v>0</v>
      </c>
      <c r="V4919" s="3"/>
      <c r="W4919" s="3">
        <v>2014</v>
      </c>
      <c r="X4919" s="3">
        <v>11</v>
      </c>
    </row>
    <row r="4920" spans="1:24" ht="114.75">
      <c r="A4920" s="3" t="s">
        <v>12701</v>
      </c>
      <c r="B4920" s="6" t="s">
        <v>361</v>
      </c>
      <c r="C4920" s="6" t="s">
        <v>11695</v>
      </c>
      <c r="D4920" s="6" t="s">
        <v>5430</v>
      </c>
      <c r="E4920" s="6" t="s">
        <v>11696</v>
      </c>
      <c r="F4920" s="8" t="s">
        <v>5856</v>
      </c>
      <c r="G4920" s="57" t="s">
        <v>11449</v>
      </c>
      <c r="H4920" s="54">
        <v>0</v>
      </c>
      <c r="I4920" s="16">
        <v>470000000</v>
      </c>
      <c r="J4920" s="56" t="s">
        <v>229</v>
      </c>
      <c r="K4920" s="57" t="s">
        <v>642</v>
      </c>
      <c r="L4920" s="12" t="s">
        <v>404</v>
      </c>
      <c r="M4920" s="3" t="s">
        <v>230</v>
      </c>
      <c r="N4920" s="8" t="s">
        <v>9479</v>
      </c>
      <c r="O4920" s="6" t="s">
        <v>365</v>
      </c>
      <c r="P4920" s="58">
        <v>796</v>
      </c>
      <c r="Q4920" s="27" t="s">
        <v>234</v>
      </c>
      <c r="R4920" s="27">
        <v>4</v>
      </c>
      <c r="S4920" s="59">
        <v>19565.5</v>
      </c>
      <c r="T4920" s="4">
        <f>R4920*S4920</f>
        <v>78262</v>
      </c>
      <c r="U4920" s="4">
        <f>T4920*1.12</f>
        <v>87653.440000000002</v>
      </c>
      <c r="V4920" s="3"/>
      <c r="W4920" s="3">
        <v>2014</v>
      </c>
      <c r="X4920" s="3"/>
    </row>
    <row r="4921" spans="1:24" ht="114.75">
      <c r="A4921" s="3" t="s">
        <v>2001</v>
      </c>
      <c r="B4921" s="6" t="s">
        <v>361</v>
      </c>
      <c r="C4921" s="6" t="s">
        <v>5427</v>
      </c>
      <c r="D4921" s="6" t="s">
        <v>444</v>
      </c>
      <c r="E4921" s="6" t="s">
        <v>5183</v>
      </c>
      <c r="F4921" s="8" t="s">
        <v>5857</v>
      </c>
      <c r="G4921" s="57" t="s">
        <v>11449</v>
      </c>
      <c r="H4921" s="54">
        <v>0</v>
      </c>
      <c r="I4921" s="16">
        <v>470000000</v>
      </c>
      <c r="J4921" s="56" t="s">
        <v>229</v>
      </c>
      <c r="K4921" s="57" t="s">
        <v>641</v>
      </c>
      <c r="L4921" s="12" t="s">
        <v>404</v>
      </c>
      <c r="M4921" s="3" t="s">
        <v>230</v>
      </c>
      <c r="N4921" s="8" t="s">
        <v>9479</v>
      </c>
      <c r="O4921" s="6" t="s">
        <v>365</v>
      </c>
      <c r="P4921" s="58">
        <v>796</v>
      </c>
      <c r="Q4921" s="27" t="s">
        <v>234</v>
      </c>
      <c r="R4921" s="27">
        <v>6</v>
      </c>
      <c r="S4921" s="59">
        <v>9490</v>
      </c>
      <c r="T4921" s="4">
        <v>0</v>
      </c>
      <c r="U4921" s="4">
        <f t="shared" si="225"/>
        <v>0</v>
      </c>
      <c r="V4921" s="3"/>
      <c r="W4921" s="3">
        <v>2014</v>
      </c>
      <c r="X4921" s="3">
        <v>11</v>
      </c>
    </row>
    <row r="4922" spans="1:24" ht="114.75">
      <c r="A4922" s="3" t="s">
        <v>12702</v>
      </c>
      <c r="B4922" s="6" t="s">
        <v>361</v>
      </c>
      <c r="C4922" s="6" t="s">
        <v>5427</v>
      </c>
      <c r="D4922" s="6" t="s">
        <v>444</v>
      </c>
      <c r="E4922" s="6" t="s">
        <v>5183</v>
      </c>
      <c r="F4922" s="8" t="s">
        <v>5857</v>
      </c>
      <c r="G4922" s="57" t="s">
        <v>11449</v>
      </c>
      <c r="H4922" s="54">
        <v>0</v>
      </c>
      <c r="I4922" s="16">
        <v>470000000</v>
      </c>
      <c r="J4922" s="56" t="s">
        <v>229</v>
      </c>
      <c r="K4922" s="57" t="s">
        <v>642</v>
      </c>
      <c r="L4922" s="12" t="s">
        <v>404</v>
      </c>
      <c r="M4922" s="3" t="s">
        <v>230</v>
      </c>
      <c r="N4922" s="8" t="s">
        <v>9479</v>
      </c>
      <c r="O4922" s="6" t="s">
        <v>365</v>
      </c>
      <c r="P4922" s="58">
        <v>796</v>
      </c>
      <c r="Q4922" s="27" t="s">
        <v>234</v>
      </c>
      <c r="R4922" s="27">
        <v>6</v>
      </c>
      <c r="S4922" s="59">
        <v>9490</v>
      </c>
      <c r="T4922" s="4">
        <f>R4922*S4922</f>
        <v>56940</v>
      </c>
      <c r="U4922" s="4">
        <f>T4922*1.12</f>
        <v>63772.800000000003</v>
      </c>
      <c r="V4922" s="3"/>
      <c r="W4922" s="3">
        <v>2014</v>
      </c>
      <c r="X4922" s="3"/>
    </row>
    <row r="4923" spans="1:24" ht="114.75">
      <c r="A4923" s="3" t="s">
        <v>2002</v>
      </c>
      <c r="B4923" s="6" t="s">
        <v>361</v>
      </c>
      <c r="C4923" s="6" t="s">
        <v>5427</v>
      </c>
      <c r="D4923" s="6" t="s">
        <v>444</v>
      </c>
      <c r="E4923" s="6" t="s">
        <v>5183</v>
      </c>
      <c r="F4923" s="8" t="s">
        <v>5858</v>
      </c>
      <c r="G4923" s="57" t="s">
        <v>11449</v>
      </c>
      <c r="H4923" s="54">
        <v>0</v>
      </c>
      <c r="I4923" s="16">
        <v>470000000</v>
      </c>
      <c r="J4923" s="56" t="s">
        <v>229</v>
      </c>
      <c r="K4923" s="57" t="s">
        <v>641</v>
      </c>
      <c r="L4923" s="12" t="s">
        <v>404</v>
      </c>
      <c r="M4923" s="3" t="s">
        <v>230</v>
      </c>
      <c r="N4923" s="8" t="s">
        <v>9479</v>
      </c>
      <c r="O4923" s="6" t="s">
        <v>365</v>
      </c>
      <c r="P4923" s="58">
        <v>796</v>
      </c>
      <c r="Q4923" s="27" t="s">
        <v>234</v>
      </c>
      <c r="R4923" s="27">
        <v>6</v>
      </c>
      <c r="S4923" s="59">
        <v>9490</v>
      </c>
      <c r="T4923" s="4">
        <v>0</v>
      </c>
      <c r="U4923" s="4">
        <f t="shared" si="225"/>
        <v>0</v>
      </c>
      <c r="V4923" s="3"/>
      <c r="W4923" s="3">
        <v>2014</v>
      </c>
      <c r="X4923" s="3">
        <v>11</v>
      </c>
    </row>
    <row r="4924" spans="1:24" ht="114.75">
      <c r="A4924" s="3" t="s">
        <v>12703</v>
      </c>
      <c r="B4924" s="6" t="s">
        <v>361</v>
      </c>
      <c r="C4924" s="6" t="s">
        <v>5427</v>
      </c>
      <c r="D4924" s="6" t="s">
        <v>444</v>
      </c>
      <c r="E4924" s="6" t="s">
        <v>5183</v>
      </c>
      <c r="F4924" s="8" t="s">
        <v>5858</v>
      </c>
      <c r="G4924" s="57" t="s">
        <v>11449</v>
      </c>
      <c r="H4924" s="54">
        <v>0</v>
      </c>
      <c r="I4924" s="16">
        <v>470000000</v>
      </c>
      <c r="J4924" s="56" t="s">
        <v>229</v>
      </c>
      <c r="K4924" s="57" t="s">
        <v>642</v>
      </c>
      <c r="L4924" s="12" t="s">
        <v>404</v>
      </c>
      <c r="M4924" s="3" t="s">
        <v>230</v>
      </c>
      <c r="N4924" s="8" t="s">
        <v>9479</v>
      </c>
      <c r="O4924" s="6" t="s">
        <v>365</v>
      </c>
      <c r="P4924" s="58">
        <v>796</v>
      </c>
      <c r="Q4924" s="27" t="s">
        <v>234</v>
      </c>
      <c r="R4924" s="27">
        <v>6</v>
      </c>
      <c r="S4924" s="59">
        <v>9490</v>
      </c>
      <c r="T4924" s="4">
        <f>R4924*S4924</f>
        <v>56940</v>
      </c>
      <c r="U4924" s="4">
        <f>T4924*1.12</f>
        <v>63772.800000000003</v>
      </c>
      <c r="V4924" s="3"/>
      <c r="W4924" s="3">
        <v>2014</v>
      </c>
      <c r="X4924" s="3"/>
    </row>
    <row r="4925" spans="1:24" ht="114.75">
      <c r="A4925" s="3" t="s">
        <v>2003</v>
      </c>
      <c r="B4925" s="6" t="s">
        <v>361</v>
      </c>
      <c r="C4925" s="6" t="s">
        <v>5702</v>
      </c>
      <c r="D4925" s="6" t="s">
        <v>5703</v>
      </c>
      <c r="E4925" s="6" t="s">
        <v>5183</v>
      </c>
      <c r="F4925" s="8" t="s">
        <v>5859</v>
      </c>
      <c r="G4925" s="57" t="s">
        <v>11449</v>
      </c>
      <c r="H4925" s="54">
        <v>0</v>
      </c>
      <c r="I4925" s="16">
        <v>470000000</v>
      </c>
      <c r="J4925" s="56" t="s">
        <v>229</v>
      </c>
      <c r="K4925" s="57" t="s">
        <v>641</v>
      </c>
      <c r="L4925" s="12" t="s">
        <v>404</v>
      </c>
      <c r="M4925" s="3" t="s">
        <v>230</v>
      </c>
      <c r="N4925" s="8" t="s">
        <v>9479</v>
      </c>
      <c r="O4925" s="6" t="s">
        <v>365</v>
      </c>
      <c r="P4925" s="58">
        <v>796</v>
      </c>
      <c r="Q4925" s="27" t="s">
        <v>234</v>
      </c>
      <c r="R4925" s="27">
        <v>10</v>
      </c>
      <c r="S4925" s="59">
        <f>12000*1.07</f>
        <v>12840</v>
      </c>
      <c r="T4925" s="4">
        <v>0</v>
      </c>
      <c r="U4925" s="4">
        <f t="shared" si="225"/>
        <v>0</v>
      </c>
      <c r="V4925" s="3"/>
      <c r="W4925" s="3">
        <v>2014</v>
      </c>
      <c r="X4925" s="3">
        <v>11</v>
      </c>
    </row>
    <row r="4926" spans="1:24" ht="114.75">
      <c r="A4926" s="3" t="s">
        <v>12704</v>
      </c>
      <c r="B4926" s="6" t="s">
        <v>361</v>
      </c>
      <c r="C4926" s="6" t="s">
        <v>5702</v>
      </c>
      <c r="D4926" s="6" t="s">
        <v>5703</v>
      </c>
      <c r="E4926" s="6" t="s">
        <v>5183</v>
      </c>
      <c r="F4926" s="8" t="s">
        <v>5859</v>
      </c>
      <c r="G4926" s="57" t="s">
        <v>11449</v>
      </c>
      <c r="H4926" s="54">
        <v>0</v>
      </c>
      <c r="I4926" s="16">
        <v>470000000</v>
      </c>
      <c r="J4926" s="56" t="s">
        <v>229</v>
      </c>
      <c r="K4926" s="57" t="s">
        <v>642</v>
      </c>
      <c r="L4926" s="12" t="s">
        <v>404</v>
      </c>
      <c r="M4926" s="3" t="s">
        <v>230</v>
      </c>
      <c r="N4926" s="8" t="s">
        <v>9479</v>
      </c>
      <c r="O4926" s="6" t="s">
        <v>365</v>
      </c>
      <c r="P4926" s="58">
        <v>796</v>
      </c>
      <c r="Q4926" s="27" t="s">
        <v>234</v>
      </c>
      <c r="R4926" s="27">
        <v>10</v>
      </c>
      <c r="S4926" s="59">
        <f>12000*1.07</f>
        <v>12840</v>
      </c>
      <c r="T4926" s="4">
        <f>R4926*S4926</f>
        <v>128400</v>
      </c>
      <c r="U4926" s="4">
        <f>T4926*1.12</f>
        <v>143808</v>
      </c>
      <c r="V4926" s="3"/>
      <c r="W4926" s="3">
        <v>2014</v>
      </c>
      <c r="X4926" s="3"/>
    </row>
    <row r="4927" spans="1:24" ht="114.75">
      <c r="A4927" s="3" t="s">
        <v>2004</v>
      </c>
      <c r="B4927" s="6" t="s">
        <v>361</v>
      </c>
      <c r="C4927" s="6" t="s">
        <v>5860</v>
      </c>
      <c r="D4927" s="6" t="s">
        <v>5861</v>
      </c>
      <c r="E4927" s="6" t="s">
        <v>5537</v>
      </c>
      <c r="F4927" s="8" t="s">
        <v>5862</v>
      </c>
      <c r="G4927" s="57" t="s">
        <v>11449</v>
      </c>
      <c r="H4927" s="54">
        <v>0</v>
      </c>
      <c r="I4927" s="16">
        <v>470000000</v>
      </c>
      <c r="J4927" s="56" t="s">
        <v>229</v>
      </c>
      <c r="K4927" s="57" t="s">
        <v>641</v>
      </c>
      <c r="L4927" s="12" t="s">
        <v>404</v>
      </c>
      <c r="M4927" s="3" t="s">
        <v>230</v>
      </c>
      <c r="N4927" s="8" t="s">
        <v>9479</v>
      </c>
      <c r="O4927" s="6" t="s">
        <v>365</v>
      </c>
      <c r="P4927" s="58">
        <v>796</v>
      </c>
      <c r="Q4927" s="27" t="s">
        <v>234</v>
      </c>
      <c r="R4927" s="27">
        <v>30</v>
      </c>
      <c r="S4927" s="59">
        <f>1300*1.07</f>
        <v>1391</v>
      </c>
      <c r="T4927" s="4">
        <v>0</v>
      </c>
      <c r="U4927" s="4">
        <f t="shared" si="225"/>
        <v>0</v>
      </c>
      <c r="V4927" s="3"/>
      <c r="W4927" s="3">
        <v>2014</v>
      </c>
      <c r="X4927" s="3">
        <v>11</v>
      </c>
    </row>
    <row r="4928" spans="1:24" ht="114.75">
      <c r="A4928" s="3" t="s">
        <v>12705</v>
      </c>
      <c r="B4928" s="6" t="s">
        <v>361</v>
      </c>
      <c r="C4928" s="6" t="s">
        <v>5860</v>
      </c>
      <c r="D4928" s="6" t="s">
        <v>5861</v>
      </c>
      <c r="E4928" s="6" t="s">
        <v>5537</v>
      </c>
      <c r="F4928" s="8" t="s">
        <v>5862</v>
      </c>
      <c r="G4928" s="57" t="s">
        <v>11449</v>
      </c>
      <c r="H4928" s="54">
        <v>0</v>
      </c>
      <c r="I4928" s="16">
        <v>470000000</v>
      </c>
      <c r="J4928" s="56" t="s">
        <v>229</v>
      </c>
      <c r="K4928" s="57" t="s">
        <v>642</v>
      </c>
      <c r="L4928" s="12" t="s">
        <v>404</v>
      </c>
      <c r="M4928" s="3" t="s">
        <v>230</v>
      </c>
      <c r="N4928" s="8" t="s">
        <v>9479</v>
      </c>
      <c r="O4928" s="6" t="s">
        <v>365</v>
      </c>
      <c r="P4928" s="58">
        <v>796</v>
      </c>
      <c r="Q4928" s="27" t="s">
        <v>234</v>
      </c>
      <c r="R4928" s="27">
        <v>30</v>
      </c>
      <c r="S4928" s="59">
        <f>1300*1.07</f>
        <v>1391</v>
      </c>
      <c r="T4928" s="4">
        <v>0</v>
      </c>
      <c r="U4928" s="4">
        <f>T4928*1.12</f>
        <v>0</v>
      </c>
      <c r="V4928" s="3"/>
      <c r="W4928" s="3">
        <v>2014</v>
      </c>
      <c r="X4928" s="3" t="s">
        <v>14785</v>
      </c>
    </row>
    <row r="4929" spans="1:24" ht="114.75">
      <c r="A4929" s="3" t="s">
        <v>16905</v>
      </c>
      <c r="B4929" s="6" t="s">
        <v>361</v>
      </c>
      <c r="C4929" s="6" t="s">
        <v>5860</v>
      </c>
      <c r="D4929" s="6" t="s">
        <v>5861</v>
      </c>
      <c r="E4929" s="6" t="s">
        <v>5537</v>
      </c>
      <c r="F4929" s="8" t="s">
        <v>5862</v>
      </c>
      <c r="G4929" s="3" t="s">
        <v>11449</v>
      </c>
      <c r="H4929" s="54">
        <v>0</v>
      </c>
      <c r="I4929" s="16">
        <v>470000000</v>
      </c>
      <c r="J4929" s="56" t="s">
        <v>229</v>
      </c>
      <c r="K4929" s="57" t="s">
        <v>8950</v>
      </c>
      <c r="L4929" s="12" t="s">
        <v>404</v>
      </c>
      <c r="M4929" s="3" t="s">
        <v>230</v>
      </c>
      <c r="N4929" s="8" t="s">
        <v>9479</v>
      </c>
      <c r="O4929" s="6" t="s">
        <v>365</v>
      </c>
      <c r="P4929" s="58">
        <v>796</v>
      </c>
      <c r="Q4929" s="27" t="s">
        <v>234</v>
      </c>
      <c r="R4929" s="27">
        <v>30</v>
      </c>
      <c r="S4929" s="59">
        <v>1669.2</v>
      </c>
      <c r="T4929" s="4">
        <f>R4929*S4929</f>
        <v>50076</v>
      </c>
      <c r="U4929" s="4">
        <f>T4929*1.12</f>
        <v>56085.120000000003</v>
      </c>
      <c r="V4929" s="3"/>
      <c r="W4929" s="3">
        <v>2014</v>
      </c>
      <c r="X4929" s="3"/>
    </row>
    <row r="4930" spans="1:24" ht="114.75">
      <c r="A4930" s="3" t="s">
        <v>2005</v>
      </c>
      <c r="B4930" s="6" t="s">
        <v>361</v>
      </c>
      <c r="C4930" s="6" t="s">
        <v>5863</v>
      </c>
      <c r="D4930" s="6" t="s">
        <v>5861</v>
      </c>
      <c r="E4930" s="6" t="s">
        <v>5864</v>
      </c>
      <c r="F4930" s="8" t="s">
        <v>5865</v>
      </c>
      <c r="G4930" s="57" t="s">
        <v>11449</v>
      </c>
      <c r="H4930" s="54">
        <v>0</v>
      </c>
      <c r="I4930" s="16">
        <v>470000000</v>
      </c>
      <c r="J4930" s="56" t="s">
        <v>229</v>
      </c>
      <c r="K4930" s="57" t="s">
        <v>641</v>
      </c>
      <c r="L4930" s="12" t="s">
        <v>404</v>
      </c>
      <c r="M4930" s="3" t="s">
        <v>230</v>
      </c>
      <c r="N4930" s="8" t="s">
        <v>9479</v>
      </c>
      <c r="O4930" s="6" t="s">
        <v>365</v>
      </c>
      <c r="P4930" s="58">
        <v>796</v>
      </c>
      <c r="Q4930" s="27" t="s">
        <v>234</v>
      </c>
      <c r="R4930" s="27">
        <v>30</v>
      </c>
      <c r="S4930" s="59">
        <f>1300*1.07</f>
        <v>1391</v>
      </c>
      <c r="T4930" s="4">
        <v>0</v>
      </c>
      <c r="U4930" s="4">
        <f t="shared" si="225"/>
        <v>0</v>
      </c>
      <c r="V4930" s="3"/>
      <c r="W4930" s="3">
        <v>2014</v>
      </c>
      <c r="X4930" s="3">
        <v>11</v>
      </c>
    </row>
    <row r="4931" spans="1:24" ht="114.75">
      <c r="A4931" s="3" t="s">
        <v>12706</v>
      </c>
      <c r="B4931" s="6" t="s">
        <v>361</v>
      </c>
      <c r="C4931" s="6" t="s">
        <v>5863</v>
      </c>
      <c r="D4931" s="6" t="s">
        <v>5861</v>
      </c>
      <c r="E4931" s="6" t="s">
        <v>5864</v>
      </c>
      <c r="F4931" s="8" t="s">
        <v>5865</v>
      </c>
      <c r="G4931" s="57" t="s">
        <v>11449</v>
      </c>
      <c r="H4931" s="54">
        <v>0</v>
      </c>
      <c r="I4931" s="16">
        <v>470000000</v>
      </c>
      <c r="J4931" s="56" t="s">
        <v>229</v>
      </c>
      <c r="K4931" s="57" t="s">
        <v>642</v>
      </c>
      <c r="L4931" s="12" t="s">
        <v>404</v>
      </c>
      <c r="M4931" s="3" t="s">
        <v>230</v>
      </c>
      <c r="N4931" s="8" t="s">
        <v>9479</v>
      </c>
      <c r="O4931" s="6" t="s">
        <v>365</v>
      </c>
      <c r="P4931" s="58">
        <v>796</v>
      </c>
      <c r="Q4931" s="27" t="s">
        <v>234</v>
      </c>
      <c r="R4931" s="27">
        <v>30</v>
      </c>
      <c r="S4931" s="59">
        <f>1300*1.07</f>
        <v>1391</v>
      </c>
      <c r="T4931" s="4">
        <v>0</v>
      </c>
      <c r="U4931" s="4">
        <f>T4931*1.12</f>
        <v>0</v>
      </c>
      <c r="V4931" s="3"/>
      <c r="W4931" s="3">
        <v>2014</v>
      </c>
      <c r="X4931" s="3" t="s">
        <v>14785</v>
      </c>
    </row>
    <row r="4932" spans="1:24" ht="114.75">
      <c r="A4932" s="3" t="s">
        <v>16906</v>
      </c>
      <c r="B4932" s="6" t="s">
        <v>361</v>
      </c>
      <c r="C4932" s="6" t="s">
        <v>5863</v>
      </c>
      <c r="D4932" s="6" t="s">
        <v>5861</v>
      </c>
      <c r="E4932" s="6" t="s">
        <v>5864</v>
      </c>
      <c r="F4932" s="8" t="s">
        <v>5865</v>
      </c>
      <c r="G4932" s="3" t="s">
        <v>11449</v>
      </c>
      <c r="H4932" s="54">
        <v>0</v>
      </c>
      <c r="I4932" s="16">
        <v>470000000</v>
      </c>
      <c r="J4932" s="56" t="s">
        <v>229</v>
      </c>
      <c r="K4932" s="57" t="s">
        <v>8950</v>
      </c>
      <c r="L4932" s="12" t="s">
        <v>404</v>
      </c>
      <c r="M4932" s="3" t="s">
        <v>230</v>
      </c>
      <c r="N4932" s="8" t="s">
        <v>9479</v>
      </c>
      <c r="O4932" s="6" t="s">
        <v>365</v>
      </c>
      <c r="P4932" s="58">
        <v>796</v>
      </c>
      <c r="Q4932" s="27" t="s">
        <v>234</v>
      </c>
      <c r="R4932" s="27">
        <v>30</v>
      </c>
      <c r="S4932" s="59">
        <v>1669.2</v>
      </c>
      <c r="T4932" s="4">
        <f>R4932*S4932</f>
        <v>50076</v>
      </c>
      <c r="U4932" s="4">
        <f>T4932*1.12</f>
        <v>56085.120000000003</v>
      </c>
      <c r="V4932" s="3"/>
      <c r="W4932" s="3">
        <v>2014</v>
      </c>
      <c r="X4932" s="3"/>
    </row>
    <row r="4933" spans="1:24" ht="114.75">
      <c r="A4933" s="3" t="s">
        <v>2006</v>
      </c>
      <c r="B4933" s="6" t="s">
        <v>361</v>
      </c>
      <c r="C4933" s="6" t="s">
        <v>5866</v>
      </c>
      <c r="D4933" s="6" t="s">
        <v>5867</v>
      </c>
      <c r="E4933" s="6" t="s">
        <v>5183</v>
      </c>
      <c r="F4933" s="8" t="s">
        <v>5868</v>
      </c>
      <c r="G4933" s="57" t="s">
        <v>11449</v>
      </c>
      <c r="H4933" s="54">
        <v>0</v>
      </c>
      <c r="I4933" s="16">
        <v>470000000</v>
      </c>
      <c r="J4933" s="56" t="s">
        <v>229</v>
      </c>
      <c r="K4933" s="57" t="s">
        <v>641</v>
      </c>
      <c r="L4933" s="12" t="s">
        <v>404</v>
      </c>
      <c r="M4933" s="3" t="s">
        <v>230</v>
      </c>
      <c r="N4933" s="8" t="s">
        <v>9479</v>
      </c>
      <c r="O4933" s="6" t="s">
        <v>365</v>
      </c>
      <c r="P4933" s="58">
        <v>796</v>
      </c>
      <c r="Q4933" s="27" t="s">
        <v>234</v>
      </c>
      <c r="R4933" s="27">
        <v>20</v>
      </c>
      <c r="S4933" s="59">
        <f>12300*1.07</f>
        <v>13161</v>
      </c>
      <c r="T4933" s="4">
        <v>0</v>
      </c>
      <c r="U4933" s="4">
        <f t="shared" si="225"/>
        <v>0</v>
      </c>
      <c r="V4933" s="3"/>
      <c r="W4933" s="3">
        <v>2014</v>
      </c>
      <c r="X4933" s="3">
        <v>11</v>
      </c>
    </row>
    <row r="4934" spans="1:24" ht="114.75">
      <c r="A4934" s="3" t="s">
        <v>12707</v>
      </c>
      <c r="B4934" s="6" t="s">
        <v>361</v>
      </c>
      <c r="C4934" s="6" t="s">
        <v>5866</v>
      </c>
      <c r="D4934" s="6" t="s">
        <v>5867</v>
      </c>
      <c r="E4934" s="6" t="s">
        <v>5183</v>
      </c>
      <c r="F4934" s="8" t="s">
        <v>5868</v>
      </c>
      <c r="G4934" s="57" t="s">
        <v>11449</v>
      </c>
      <c r="H4934" s="54">
        <v>0</v>
      </c>
      <c r="I4934" s="16">
        <v>470000000</v>
      </c>
      <c r="J4934" s="56" t="s">
        <v>229</v>
      </c>
      <c r="K4934" s="57" t="s">
        <v>642</v>
      </c>
      <c r="L4934" s="12" t="s">
        <v>404</v>
      </c>
      <c r="M4934" s="3" t="s">
        <v>230</v>
      </c>
      <c r="N4934" s="8" t="s">
        <v>9479</v>
      </c>
      <c r="O4934" s="6" t="s">
        <v>365</v>
      </c>
      <c r="P4934" s="58">
        <v>796</v>
      </c>
      <c r="Q4934" s="27" t="s">
        <v>234</v>
      </c>
      <c r="R4934" s="27">
        <v>20</v>
      </c>
      <c r="S4934" s="59">
        <f>12300*1.07</f>
        <v>13161</v>
      </c>
      <c r="T4934" s="4">
        <f>R4934*S4934</f>
        <v>263220</v>
      </c>
      <c r="U4934" s="4">
        <f>T4934*1.12</f>
        <v>294806.40000000002</v>
      </c>
      <c r="V4934" s="3"/>
      <c r="W4934" s="3">
        <v>2014</v>
      </c>
      <c r="X4934" s="3"/>
    </row>
    <row r="4935" spans="1:24" ht="114.75">
      <c r="A4935" s="3" t="s">
        <v>2007</v>
      </c>
      <c r="B4935" s="6" t="s">
        <v>361</v>
      </c>
      <c r="C4935" s="6" t="s">
        <v>5474</v>
      </c>
      <c r="D4935" s="6" t="s">
        <v>441</v>
      </c>
      <c r="E4935" s="6" t="s">
        <v>5475</v>
      </c>
      <c r="F4935" s="8" t="s">
        <v>5869</v>
      </c>
      <c r="G4935" s="57" t="s">
        <v>11449</v>
      </c>
      <c r="H4935" s="54">
        <v>0</v>
      </c>
      <c r="I4935" s="16">
        <v>470000000</v>
      </c>
      <c r="J4935" s="56" t="s">
        <v>229</v>
      </c>
      <c r="K4935" s="57" t="s">
        <v>641</v>
      </c>
      <c r="L4935" s="12" t="s">
        <v>404</v>
      </c>
      <c r="M4935" s="3" t="s">
        <v>230</v>
      </c>
      <c r="N4935" s="8" t="s">
        <v>9479</v>
      </c>
      <c r="O4935" s="6" t="s">
        <v>365</v>
      </c>
      <c r="P4935" s="58">
        <v>796</v>
      </c>
      <c r="Q4935" s="27" t="s">
        <v>234</v>
      </c>
      <c r="R4935" s="27">
        <v>20</v>
      </c>
      <c r="S4935" s="59">
        <f>10800*1.07</f>
        <v>11556</v>
      </c>
      <c r="T4935" s="4">
        <v>0</v>
      </c>
      <c r="U4935" s="4">
        <f t="shared" si="225"/>
        <v>0</v>
      </c>
      <c r="V4935" s="3"/>
      <c r="W4935" s="3">
        <v>2014</v>
      </c>
      <c r="X4935" s="3">
        <v>11</v>
      </c>
    </row>
    <row r="4936" spans="1:24" ht="114.75">
      <c r="A4936" s="3" t="s">
        <v>12708</v>
      </c>
      <c r="B4936" s="6" t="s">
        <v>361</v>
      </c>
      <c r="C4936" s="6" t="s">
        <v>5474</v>
      </c>
      <c r="D4936" s="6" t="s">
        <v>441</v>
      </c>
      <c r="E4936" s="6" t="s">
        <v>5475</v>
      </c>
      <c r="F4936" s="8" t="s">
        <v>5869</v>
      </c>
      <c r="G4936" s="57" t="s">
        <v>11449</v>
      </c>
      <c r="H4936" s="54">
        <v>0</v>
      </c>
      <c r="I4936" s="16">
        <v>470000000</v>
      </c>
      <c r="J4936" s="56" t="s">
        <v>229</v>
      </c>
      <c r="K4936" s="57" t="s">
        <v>642</v>
      </c>
      <c r="L4936" s="12" t="s">
        <v>404</v>
      </c>
      <c r="M4936" s="3" t="s">
        <v>230</v>
      </c>
      <c r="N4936" s="8" t="s">
        <v>9479</v>
      </c>
      <c r="O4936" s="6" t="s">
        <v>365</v>
      </c>
      <c r="P4936" s="58">
        <v>796</v>
      </c>
      <c r="Q4936" s="27" t="s">
        <v>234</v>
      </c>
      <c r="R4936" s="27">
        <v>20</v>
      </c>
      <c r="S4936" s="59">
        <f>10800*1.07</f>
        <v>11556</v>
      </c>
      <c r="T4936" s="4">
        <v>0</v>
      </c>
      <c r="U4936" s="4">
        <f>T4936*1.12</f>
        <v>0</v>
      </c>
      <c r="V4936" s="3"/>
      <c r="W4936" s="3">
        <v>2014</v>
      </c>
      <c r="X4936" s="3" t="s">
        <v>14785</v>
      </c>
    </row>
    <row r="4937" spans="1:24" ht="114.75">
      <c r="A4937" s="3" t="s">
        <v>16907</v>
      </c>
      <c r="B4937" s="6" t="s">
        <v>361</v>
      </c>
      <c r="C4937" s="6" t="s">
        <v>5474</v>
      </c>
      <c r="D4937" s="6" t="s">
        <v>441</v>
      </c>
      <c r="E4937" s="6" t="s">
        <v>5475</v>
      </c>
      <c r="F4937" s="8" t="s">
        <v>5869</v>
      </c>
      <c r="G4937" s="3" t="s">
        <v>11449</v>
      </c>
      <c r="H4937" s="54">
        <v>0</v>
      </c>
      <c r="I4937" s="16">
        <v>470000000</v>
      </c>
      <c r="J4937" s="56" t="s">
        <v>229</v>
      </c>
      <c r="K4937" s="57" t="s">
        <v>8950</v>
      </c>
      <c r="L4937" s="12" t="s">
        <v>404</v>
      </c>
      <c r="M4937" s="3" t="s">
        <v>230</v>
      </c>
      <c r="N4937" s="8" t="s">
        <v>9479</v>
      </c>
      <c r="O4937" s="6" t="s">
        <v>365</v>
      </c>
      <c r="P4937" s="58">
        <v>796</v>
      </c>
      <c r="Q4937" s="27" t="s">
        <v>234</v>
      </c>
      <c r="R4937" s="27">
        <v>20</v>
      </c>
      <c r="S4937" s="59">
        <v>13867.199999999999</v>
      </c>
      <c r="T4937" s="4">
        <f>R4937*S4937</f>
        <v>277344</v>
      </c>
      <c r="U4937" s="4">
        <f>T4937*1.12</f>
        <v>310625.28000000003</v>
      </c>
      <c r="V4937" s="3"/>
      <c r="W4937" s="3">
        <v>2014</v>
      </c>
      <c r="X4937" s="3"/>
    </row>
    <row r="4938" spans="1:24" ht="114.75">
      <c r="A4938" s="3" t="s">
        <v>2008</v>
      </c>
      <c r="B4938" s="6" t="s">
        <v>361</v>
      </c>
      <c r="C4938" s="6" t="s">
        <v>5870</v>
      </c>
      <c r="D4938" s="6" t="s">
        <v>5871</v>
      </c>
      <c r="E4938" s="6" t="s">
        <v>5872</v>
      </c>
      <c r="F4938" s="8" t="s">
        <v>5873</v>
      </c>
      <c r="G4938" s="57" t="s">
        <v>11449</v>
      </c>
      <c r="H4938" s="54">
        <v>0</v>
      </c>
      <c r="I4938" s="16">
        <v>470000000</v>
      </c>
      <c r="J4938" s="56" t="s">
        <v>229</v>
      </c>
      <c r="K4938" s="57" t="s">
        <v>641</v>
      </c>
      <c r="L4938" s="12" t="s">
        <v>404</v>
      </c>
      <c r="M4938" s="3" t="s">
        <v>230</v>
      </c>
      <c r="N4938" s="8" t="s">
        <v>9479</v>
      </c>
      <c r="O4938" s="6" t="s">
        <v>365</v>
      </c>
      <c r="P4938" s="58">
        <v>796</v>
      </c>
      <c r="Q4938" s="27" t="s">
        <v>234</v>
      </c>
      <c r="R4938" s="28">
        <v>20</v>
      </c>
      <c r="S4938" s="59">
        <f>1400*1.07</f>
        <v>1498</v>
      </c>
      <c r="T4938" s="4">
        <v>0</v>
      </c>
      <c r="U4938" s="4">
        <f t="shared" si="225"/>
        <v>0</v>
      </c>
      <c r="V4938" s="3"/>
      <c r="W4938" s="3">
        <v>2014</v>
      </c>
      <c r="X4938" s="3">
        <v>11</v>
      </c>
    </row>
    <row r="4939" spans="1:24" ht="114.75">
      <c r="A4939" s="3" t="s">
        <v>12709</v>
      </c>
      <c r="B4939" s="6" t="s">
        <v>361</v>
      </c>
      <c r="C4939" s="6" t="s">
        <v>5870</v>
      </c>
      <c r="D4939" s="6" t="s">
        <v>5871</v>
      </c>
      <c r="E4939" s="6" t="s">
        <v>5872</v>
      </c>
      <c r="F4939" s="8" t="s">
        <v>5873</v>
      </c>
      <c r="G4939" s="57" t="s">
        <v>11449</v>
      </c>
      <c r="H4939" s="54">
        <v>0</v>
      </c>
      <c r="I4939" s="16">
        <v>470000000</v>
      </c>
      <c r="J4939" s="56" t="s">
        <v>229</v>
      </c>
      <c r="K4939" s="57" t="s">
        <v>642</v>
      </c>
      <c r="L4939" s="12" t="s">
        <v>404</v>
      </c>
      <c r="M4939" s="3" t="s">
        <v>230</v>
      </c>
      <c r="N4939" s="8" t="s">
        <v>9479</v>
      </c>
      <c r="O4939" s="6" t="s">
        <v>365</v>
      </c>
      <c r="P4939" s="58">
        <v>796</v>
      </c>
      <c r="Q4939" s="27" t="s">
        <v>234</v>
      </c>
      <c r="R4939" s="28">
        <v>20</v>
      </c>
      <c r="S4939" s="59">
        <f>1400*1.07</f>
        <v>1498</v>
      </c>
      <c r="T4939" s="4">
        <v>0</v>
      </c>
      <c r="U4939" s="4">
        <f>T4939*1.12</f>
        <v>0</v>
      </c>
      <c r="V4939" s="3"/>
      <c r="W4939" s="3">
        <v>2014</v>
      </c>
      <c r="X4939" s="3" t="s">
        <v>14785</v>
      </c>
    </row>
    <row r="4940" spans="1:24" ht="114.75">
      <c r="A4940" s="3" t="s">
        <v>16908</v>
      </c>
      <c r="B4940" s="6" t="s">
        <v>361</v>
      </c>
      <c r="C4940" s="6" t="s">
        <v>5870</v>
      </c>
      <c r="D4940" s="6" t="s">
        <v>5871</v>
      </c>
      <c r="E4940" s="6" t="s">
        <v>5872</v>
      </c>
      <c r="F4940" s="8" t="s">
        <v>5873</v>
      </c>
      <c r="G4940" s="3" t="s">
        <v>11449</v>
      </c>
      <c r="H4940" s="54">
        <v>0</v>
      </c>
      <c r="I4940" s="16">
        <v>470000000</v>
      </c>
      <c r="J4940" s="56" t="s">
        <v>229</v>
      </c>
      <c r="K4940" s="57" t="s">
        <v>8950</v>
      </c>
      <c r="L4940" s="12" t="s">
        <v>404</v>
      </c>
      <c r="M4940" s="3" t="s">
        <v>230</v>
      </c>
      <c r="N4940" s="8" t="s">
        <v>9479</v>
      </c>
      <c r="O4940" s="6" t="s">
        <v>365</v>
      </c>
      <c r="P4940" s="58">
        <v>796</v>
      </c>
      <c r="Q4940" s="27" t="s">
        <v>234</v>
      </c>
      <c r="R4940" s="28">
        <v>20</v>
      </c>
      <c r="S4940" s="59">
        <v>1797.6</v>
      </c>
      <c r="T4940" s="4">
        <f>R4940*S4940</f>
        <v>35952</v>
      </c>
      <c r="U4940" s="4">
        <f>T4940*1.12</f>
        <v>40266.240000000005</v>
      </c>
      <c r="V4940" s="3"/>
      <c r="W4940" s="3">
        <v>2014</v>
      </c>
      <c r="X4940" s="3"/>
    </row>
    <row r="4941" spans="1:24" ht="114.75">
      <c r="A4941" s="3" t="s">
        <v>2009</v>
      </c>
      <c r="B4941" s="6" t="s">
        <v>361</v>
      </c>
      <c r="C4941" s="6" t="s">
        <v>5874</v>
      </c>
      <c r="D4941" s="6" t="s">
        <v>5803</v>
      </c>
      <c r="E4941" s="6" t="s">
        <v>5875</v>
      </c>
      <c r="F4941" s="8" t="s">
        <v>5876</v>
      </c>
      <c r="G4941" s="57" t="s">
        <v>11449</v>
      </c>
      <c r="H4941" s="54">
        <v>0</v>
      </c>
      <c r="I4941" s="16">
        <v>470000000</v>
      </c>
      <c r="J4941" s="56" t="s">
        <v>229</v>
      </c>
      <c r="K4941" s="57" t="s">
        <v>641</v>
      </c>
      <c r="L4941" s="12" t="s">
        <v>404</v>
      </c>
      <c r="M4941" s="3" t="s">
        <v>230</v>
      </c>
      <c r="N4941" s="8" t="s">
        <v>9479</v>
      </c>
      <c r="O4941" s="6" t="s">
        <v>365</v>
      </c>
      <c r="P4941" s="58">
        <v>796</v>
      </c>
      <c r="Q4941" s="27" t="s">
        <v>234</v>
      </c>
      <c r="R4941" s="27">
        <v>20</v>
      </c>
      <c r="S4941" s="59">
        <f>5100*1.07</f>
        <v>5457</v>
      </c>
      <c r="T4941" s="4">
        <v>0</v>
      </c>
      <c r="U4941" s="4">
        <f t="shared" si="225"/>
        <v>0</v>
      </c>
      <c r="V4941" s="3"/>
      <c r="W4941" s="3">
        <v>2014</v>
      </c>
      <c r="X4941" s="3">
        <v>11</v>
      </c>
    </row>
    <row r="4942" spans="1:24" ht="114.75">
      <c r="A4942" s="3" t="s">
        <v>12710</v>
      </c>
      <c r="B4942" s="6" t="s">
        <v>361</v>
      </c>
      <c r="C4942" s="6" t="s">
        <v>5874</v>
      </c>
      <c r="D4942" s="6" t="s">
        <v>5803</v>
      </c>
      <c r="E4942" s="6" t="s">
        <v>5875</v>
      </c>
      <c r="F4942" s="8" t="s">
        <v>5876</v>
      </c>
      <c r="G4942" s="57" t="s">
        <v>11449</v>
      </c>
      <c r="H4942" s="54">
        <v>0</v>
      </c>
      <c r="I4942" s="16">
        <v>470000000</v>
      </c>
      <c r="J4942" s="56" t="s">
        <v>229</v>
      </c>
      <c r="K4942" s="57" t="s">
        <v>642</v>
      </c>
      <c r="L4942" s="12" t="s">
        <v>404</v>
      </c>
      <c r="M4942" s="3" t="s">
        <v>230</v>
      </c>
      <c r="N4942" s="8" t="s">
        <v>9479</v>
      </c>
      <c r="O4942" s="6" t="s">
        <v>365</v>
      </c>
      <c r="P4942" s="58">
        <v>796</v>
      </c>
      <c r="Q4942" s="27" t="s">
        <v>234</v>
      </c>
      <c r="R4942" s="27">
        <v>20</v>
      </c>
      <c r="S4942" s="59">
        <f>5100*1.07</f>
        <v>5457</v>
      </c>
      <c r="T4942" s="4">
        <f>R4942*S4942</f>
        <v>109140</v>
      </c>
      <c r="U4942" s="4">
        <f>T4942*1.12</f>
        <v>122236.80000000002</v>
      </c>
      <c r="V4942" s="3"/>
      <c r="W4942" s="3">
        <v>2014</v>
      </c>
      <c r="X4942" s="3"/>
    </row>
    <row r="4943" spans="1:24" ht="114.75">
      <c r="A4943" s="3" t="s">
        <v>2010</v>
      </c>
      <c r="B4943" s="6" t="s">
        <v>361</v>
      </c>
      <c r="C4943" s="6" t="s">
        <v>5648</v>
      </c>
      <c r="D4943" s="6" t="s">
        <v>5649</v>
      </c>
      <c r="E4943" s="6" t="s">
        <v>5183</v>
      </c>
      <c r="F4943" s="8" t="s">
        <v>5877</v>
      </c>
      <c r="G4943" s="57" t="s">
        <v>11449</v>
      </c>
      <c r="H4943" s="54">
        <v>0</v>
      </c>
      <c r="I4943" s="16">
        <v>470000000</v>
      </c>
      <c r="J4943" s="56" t="s">
        <v>229</v>
      </c>
      <c r="K4943" s="57" t="s">
        <v>641</v>
      </c>
      <c r="L4943" s="12" t="s">
        <v>404</v>
      </c>
      <c r="M4943" s="3" t="s">
        <v>230</v>
      </c>
      <c r="N4943" s="8" t="s">
        <v>9479</v>
      </c>
      <c r="O4943" s="6" t="s">
        <v>365</v>
      </c>
      <c r="P4943" s="58">
        <v>796</v>
      </c>
      <c r="Q4943" s="27" t="s">
        <v>234</v>
      </c>
      <c r="R4943" s="27">
        <v>40</v>
      </c>
      <c r="S4943" s="59">
        <f>100*1.07</f>
        <v>107</v>
      </c>
      <c r="T4943" s="4">
        <v>0</v>
      </c>
      <c r="U4943" s="4">
        <f t="shared" si="225"/>
        <v>0</v>
      </c>
      <c r="V4943" s="3"/>
      <c r="W4943" s="3">
        <v>2014</v>
      </c>
      <c r="X4943" s="3">
        <v>11</v>
      </c>
    </row>
    <row r="4944" spans="1:24" ht="114.75">
      <c r="A4944" s="3" t="s">
        <v>12711</v>
      </c>
      <c r="B4944" s="6" t="s">
        <v>361</v>
      </c>
      <c r="C4944" s="6" t="s">
        <v>5648</v>
      </c>
      <c r="D4944" s="6" t="s">
        <v>5649</v>
      </c>
      <c r="E4944" s="6" t="s">
        <v>5183</v>
      </c>
      <c r="F4944" s="8" t="s">
        <v>5877</v>
      </c>
      <c r="G4944" s="57" t="s">
        <v>11449</v>
      </c>
      <c r="H4944" s="54">
        <v>0</v>
      </c>
      <c r="I4944" s="16">
        <v>470000000</v>
      </c>
      <c r="J4944" s="56" t="s">
        <v>229</v>
      </c>
      <c r="K4944" s="57" t="s">
        <v>642</v>
      </c>
      <c r="L4944" s="12" t="s">
        <v>404</v>
      </c>
      <c r="M4944" s="3" t="s">
        <v>230</v>
      </c>
      <c r="N4944" s="8" t="s">
        <v>9479</v>
      </c>
      <c r="O4944" s="6" t="s">
        <v>365</v>
      </c>
      <c r="P4944" s="58">
        <v>796</v>
      </c>
      <c r="Q4944" s="27" t="s">
        <v>234</v>
      </c>
      <c r="R4944" s="27">
        <v>40</v>
      </c>
      <c r="S4944" s="59">
        <f>100*1.07</f>
        <v>107</v>
      </c>
      <c r="T4944" s="4">
        <f>R4944*S4944</f>
        <v>4280</v>
      </c>
      <c r="U4944" s="4">
        <f>T4944*1.12</f>
        <v>4793.6000000000004</v>
      </c>
      <c r="V4944" s="3"/>
      <c r="W4944" s="3">
        <v>2014</v>
      </c>
      <c r="X4944" s="3"/>
    </row>
    <row r="4945" spans="1:24" ht="114.75">
      <c r="A4945" s="3" t="s">
        <v>2011</v>
      </c>
      <c r="B4945" s="6" t="s">
        <v>361</v>
      </c>
      <c r="C4945" s="6" t="s">
        <v>5812</v>
      </c>
      <c r="D4945" s="6" t="s">
        <v>5813</v>
      </c>
      <c r="E4945" s="6" t="s">
        <v>5743</v>
      </c>
      <c r="F4945" s="9" t="s">
        <v>5878</v>
      </c>
      <c r="G4945" s="57" t="s">
        <v>11449</v>
      </c>
      <c r="H4945" s="54">
        <v>0</v>
      </c>
      <c r="I4945" s="16">
        <v>470000000</v>
      </c>
      <c r="J4945" s="56" t="s">
        <v>229</v>
      </c>
      <c r="K4945" s="57" t="s">
        <v>641</v>
      </c>
      <c r="L4945" s="12" t="s">
        <v>404</v>
      </c>
      <c r="M4945" s="3" t="s">
        <v>230</v>
      </c>
      <c r="N4945" s="8" t="s">
        <v>9479</v>
      </c>
      <c r="O4945" s="6" t="s">
        <v>365</v>
      </c>
      <c r="P4945" s="58">
        <v>796</v>
      </c>
      <c r="Q4945" s="27" t="s">
        <v>234</v>
      </c>
      <c r="R4945" s="27">
        <v>40</v>
      </c>
      <c r="S4945" s="59">
        <f>900*1.07</f>
        <v>963</v>
      </c>
      <c r="T4945" s="4">
        <v>0</v>
      </c>
      <c r="U4945" s="4">
        <f t="shared" si="225"/>
        <v>0</v>
      </c>
      <c r="V4945" s="3"/>
      <c r="W4945" s="3">
        <v>2014</v>
      </c>
      <c r="X4945" s="3">
        <v>11</v>
      </c>
    </row>
    <row r="4946" spans="1:24" ht="114.75">
      <c r="A4946" s="3" t="s">
        <v>12712</v>
      </c>
      <c r="B4946" s="6" t="s">
        <v>361</v>
      </c>
      <c r="C4946" s="6" t="s">
        <v>5812</v>
      </c>
      <c r="D4946" s="6" t="s">
        <v>5813</v>
      </c>
      <c r="E4946" s="6" t="s">
        <v>5743</v>
      </c>
      <c r="F4946" s="9" t="s">
        <v>5878</v>
      </c>
      <c r="G4946" s="57" t="s">
        <v>11449</v>
      </c>
      <c r="H4946" s="54">
        <v>0</v>
      </c>
      <c r="I4946" s="16">
        <v>470000000</v>
      </c>
      <c r="J4946" s="56" t="s">
        <v>229</v>
      </c>
      <c r="K4946" s="57" t="s">
        <v>642</v>
      </c>
      <c r="L4946" s="12" t="s">
        <v>404</v>
      </c>
      <c r="M4946" s="3" t="s">
        <v>230</v>
      </c>
      <c r="N4946" s="8" t="s">
        <v>9479</v>
      </c>
      <c r="O4946" s="6" t="s">
        <v>365</v>
      </c>
      <c r="P4946" s="58">
        <v>796</v>
      </c>
      <c r="Q4946" s="27" t="s">
        <v>234</v>
      </c>
      <c r="R4946" s="27">
        <v>40</v>
      </c>
      <c r="S4946" s="59">
        <f>900*1.07</f>
        <v>963</v>
      </c>
      <c r="T4946" s="4">
        <v>0</v>
      </c>
      <c r="U4946" s="4">
        <f>T4946*1.12</f>
        <v>0</v>
      </c>
      <c r="V4946" s="3"/>
      <c r="W4946" s="3">
        <v>2014</v>
      </c>
      <c r="X4946" s="3" t="s">
        <v>14785</v>
      </c>
    </row>
    <row r="4947" spans="1:24" ht="114.75">
      <c r="A4947" s="3" t="s">
        <v>16909</v>
      </c>
      <c r="B4947" s="6" t="s">
        <v>361</v>
      </c>
      <c r="C4947" s="6" t="s">
        <v>5812</v>
      </c>
      <c r="D4947" s="6" t="s">
        <v>5813</v>
      </c>
      <c r="E4947" s="6" t="s">
        <v>5743</v>
      </c>
      <c r="F4947" s="9" t="s">
        <v>5878</v>
      </c>
      <c r="G4947" s="3" t="s">
        <v>11449</v>
      </c>
      <c r="H4947" s="54">
        <v>0</v>
      </c>
      <c r="I4947" s="16">
        <v>470000000</v>
      </c>
      <c r="J4947" s="56" t="s">
        <v>229</v>
      </c>
      <c r="K4947" s="57" t="s">
        <v>8950</v>
      </c>
      <c r="L4947" s="12" t="s">
        <v>404</v>
      </c>
      <c r="M4947" s="3" t="s">
        <v>230</v>
      </c>
      <c r="N4947" s="8" t="s">
        <v>9479</v>
      </c>
      <c r="O4947" s="6" t="s">
        <v>365</v>
      </c>
      <c r="P4947" s="58">
        <v>796</v>
      </c>
      <c r="Q4947" s="27" t="s">
        <v>234</v>
      </c>
      <c r="R4947" s="27">
        <v>40</v>
      </c>
      <c r="S4947" s="59">
        <v>1155.5999999999999</v>
      </c>
      <c r="T4947" s="4">
        <f>R4947*S4947</f>
        <v>46224</v>
      </c>
      <c r="U4947" s="4">
        <f>T4947*1.12</f>
        <v>51770.880000000005</v>
      </c>
      <c r="V4947" s="3"/>
      <c r="W4947" s="3">
        <v>2014</v>
      </c>
      <c r="X4947" s="3"/>
    </row>
    <row r="4948" spans="1:24" ht="114.75">
      <c r="A4948" s="3" t="s">
        <v>2012</v>
      </c>
      <c r="B4948" s="6" t="s">
        <v>361</v>
      </c>
      <c r="C4948" s="6" t="s">
        <v>5879</v>
      </c>
      <c r="D4948" s="6" t="s">
        <v>5880</v>
      </c>
      <c r="E4948" s="6" t="s">
        <v>5332</v>
      </c>
      <c r="F4948" s="9" t="s">
        <v>5881</v>
      </c>
      <c r="G4948" s="57" t="s">
        <v>11449</v>
      </c>
      <c r="H4948" s="54">
        <v>0</v>
      </c>
      <c r="I4948" s="16">
        <v>470000000</v>
      </c>
      <c r="J4948" s="56" t="s">
        <v>229</v>
      </c>
      <c r="K4948" s="57" t="s">
        <v>641</v>
      </c>
      <c r="L4948" s="12" t="s">
        <v>404</v>
      </c>
      <c r="M4948" s="3" t="s">
        <v>230</v>
      </c>
      <c r="N4948" s="8" t="s">
        <v>9479</v>
      </c>
      <c r="O4948" s="6" t="s">
        <v>365</v>
      </c>
      <c r="P4948" s="58">
        <v>796</v>
      </c>
      <c r="Q4948" s="27" t="s">
        <v>234</v>
      </c>
      <c r="R4948" s="27">
        <v>40</v>
      </c>
      <c r="S4948" s="59">
        <f>400*1.07</f>
        <v>428</v>
      </c>
      <c r="T4948" s="4">
        <v>0</v>
      </c>
      <c r="U4948" s="4">
        <f t="shared" si="225"/>
        <v>0</v>
      </c>
      <c r="V4948" s="3"/>
      <c r="W4948" s="3">
        <v>2014</v>
      </c>
      <c r="X4948" s="3">
        <v>11</v>
      </c>
    </row>
    <row r="4949" spans="1:24" ht="114.75">
      <c r="A4949" s="3" t="s">
        <v>12713</v>
      </c>
      <c r="B4949" s="6" t="s">
        <v>361</v>
      </c>
      <c r="C4949" s="6" t="s">
        <v>5879</v>
      </c>
      <c r="D4949" s="6" t="s">
        <v>5880</v>
      </c>
      <c r="E4949" s="6" t="s">
        <v>5332</v>
      </c>
      <c r="F4949" s="9" t="s">
        <v>5881</v>
      </c>
      <c r="G4949" s="57" t="s">
        <v>11449</v>
      </c>
      <c r="H4949" s="54">
        <v>0</v>
      </c>
      <c r="I4949" s="16">
        <v>470000000</v>
      </c>
      <c r="J4949" s="56" t="s">
        <v>229</v>
      </c>
      <c r="K4949" s="57" t="s">
        <v>642</v>
      </c>
      <c r="L4949" s="12" t="s">
        <v>404</v>
      </c>
      <c r="M4949" s="3" t="s">
        <v>230</v>
      </c>
      <c r="N4949" s="8" t="s">
        <v>9479</v>
      </c>
      <c r="O4949" s="6" t="s">
        <v>365</v>
      </c>
      <c r="P4949" s="58">
        <v>796</v>
      </c>
      <c r="Q4949" s="27" t="s">
        <v>234</v>
      </c>
      <c r="R4949" s="27">
        <v>40</v>
      </c>
      <c r="S4949" s="59">
        <f>400*1.07</f>
        <v>428</v>
      </c>
      <c r="T4949" s="4">
        <v>0</v>
      </c>
      <c r="U4949" s="4">
        <f>T4949*1.12</f>
        <v>0</v>
      </c>
      <c r="V4949" s="3"/>
      <c r="W4949" s="3">
        <v>2014</v>
      </c>
      <c r="X4949" s="3" t="s">
        <v>14785</v>
      </c>
    </row>
    <row r="4950" spans="1:24" ht="114.75">
      <c r="A4950" s="3" t="s">
        <v>16910</v>
      </c>
      <c r="B4950" s="6" t="s">
        <v>361</v>
      </c>
      <c r="C4950" s="6" t="s">
        <v>5879</v>
      </c>
      <c r="D4950" s="6" t="s">
        <v>5880</v>
      </c>
      <c r="E4950" s="6" t="s">
        <v>5332</v>
      </c>
      <c r="F4950" s="9" t="s">
        <v>5881</v>
      </c>
      <c r="G4950" s="3" t="s">
        <v>11449</v>
      </c>
      <c r="H4950" s="54">
        <v>0</v>
      </c>
      <c r="I4950" s="16">
        <v>470000000</v>
      </c>
      <c r="J4950" s="56" t="s">
        <v>229</v>
      </c>
      <c r="K4950" s="57" t="s">
        <v>8950</v>
      </c>
      <c r="L4950" s="12" t="s">
        <v>404</v>
      </c>
      <c r="M4950" s="3" t="s">
        <v>230</v>
      </c>
      <c r="N4950" s="8" t="s">
        <v>9479</v>
      </c>
      <c r="O4950" s="6" t="s">
        <v>365</v>
      </c>
      <c r="P4950" s="58">
        <v>796</v>
      </c>
      <c r="Q4950" s="27" t="s">
        <v>234</v>
      </c>
      <c r="R4950" s="27">
        <v>40</v>
      </c>
      <c r="S4950" s="59">
        <v>513.6</v>
      </c>
      <c r="T4950" s="4">
        <f>R4950*S4950</f>
        <v>20544</v>
      </c>
      <c r="U4950" s="4">
        <f>T4950*1.12</f>
        <v>23009.280000000002</v>
      </c>
      <c r="V4950" s="3"/>
      <c r="W4950" s="3">
        <v>2014</v>
      </c>
      <c r="X4950" s="3"/>
    </row>
    <row r="4951" spans="1:24" ht="114.75">
      <c r="A4951" s="3" t="s">
        <v>2013</v>
      </c>
      <c r="B4951" s="6" t="s">
        <v>361</v>
      </c>
      <c r="C4951" s="6" t="s">
        <v>5882</v>
      </c>
      <c r="D4951" s="6" t="s">
        <v>455</v>
      </c>
      <c r="E4951" s="6" t="s">
        <v>5883</v>
      </c>
      <c r="F4951" s="9" t="s">
        <v>5884</v>
      </c>
      <c r="G4951" s="57" t="s">
        <v>11449</v>
      </c>
      <c r="H4951" s="54">
        <v>0</v>
      </c>
      <c r="I4951" s="16">
        <v>470000000</v>
      </c>
      <c r="J4951" s="56" t="s">
        <v>229</v>
      </c>
      <c r="K4951" s="57" t="s">
        <v>641</v>
      </c>
      <c r="L4951" s="12" t="s">
        <v>404</v>
      </c>
      <c r="M4951" s="3" t="s">
        <v>230</v>
      </c>
      <c r="N4951" s="8" t="s">
        <v>9479</v>
      </c>
      <c r="O4951" s="6" t="s">
        <v>365</v>
      </c>
      <c r="P4951" s="58">
        <v>796</v>
      </c>
      <c r="Q4951" s="27" t="s">
        <v>234</v>
      </c>
      <c r="R4951" s="27">
        <v>40</v>
      </c>
      <c r="S4951" s="59">
        <f>2600*1.07</f>
        <v>2782</v>
      </c>
      <c r="T4951" s="4">
        <v>0</v>
      </c>
      <c r="U4951" s="4">
        <f t="shared" si="225"/>
        <v>0</v>
      </c>
      <c r="V4951" s="3"/>
      <c r="W4951" s="3">
        <v>2014</v>
      </c>
      <c r="X4951" s="3">
        <v>11</v>
      </c>
    </row>
    <row r="4952" spans="1:24" ht="114.75">
      <c r="A4952" s="3" t="s">
        <v>12714</v>
      </c>
      <c r="B4952" s="6" t="s">
        <v>361</v>
      </c>
      <c r="C4952" s="6" t="s">
        <v>5882</v>
      </c>
      <c r="D4952" s="6" t="s">
        <v>455</v>
      </c>
      <c r="E4952" s="6" t="s">
        <v>5883</v>
      </c>
      <c r="F4952" s="9" t="s">
        <v>5884</v>
      </c>
      <c r="G4952" s="57" t="s">
        <v>11449</v>
      </c>
      <c r="H4952" s="54">
        <v>0</v>
      </c>
      <c r="I4952" s="16">
        <v>470000000</v>
      </c>
      <c r="J4952" s="56" t="s">
        <v>229</v>
      </c>
      <c r="K4952" s="57" t="s">
        <v>642</v>
      </c>
      <c r="L4952" s="12" t="s">
        <v>404</v>
      </c>
      <c r="M4952" s="3" t="s">
        <v>230</v>
      </c>
      <c r="N4952" s="8" t="s">
        <v>9479</v>
      </c>
      <c r="O4952" s="6" t="s">
        <v>365</v>
      </c>
      <c r="P4952" s="58">
        <v>796</v>
      </c>
      <c r="Q4952" s="27" t="s">
        <v>234</v>
      </c>
      <c r="R4952" s="27">
        <v>40</v>
      </c>
      <c r="S4952" s="59">
        <f>2600*1.07</f>
        <v>2782</v>
      </c>
      <c r="T4952" s="4">
        <f>R4952*S4952</f>
        <v>111280</v>
      </c>
      <c r="U4952" s="4">
        <f>T4952*1.12</f>
        <v>124633.60000000001</v>
      </c>
      <c r="V4952" s="3"/>
      <c r="W4952" s="3">
        <v>2014</v>
      </c>
      <c r="X4952" s="3"/>
    </row>
    <row r="4953" spans="1:24" ht="114.75">
      <c r="A4953" s="3" t="s">
        <v>2014</v>
      </c>
      <c r="B4953" s="6" t="s">
        <v>361</v>
      </c>
      <c r="C4953" s="6" t="s">
        <v>5885</v>
      </c>
      <c r="D4953" s="6" t="s">
        <v>5886</v>
      </c>
      <c r="E4953" s="6" t="s">
        <v>5887</v>
      </c>
      <c r="F4953" s="8" t="s">
        <v>5888</v>
      </c>
      <c r="G4953" s="57" t="s">
        <v>11449</v>
      </c>
      <c r="H4953" s="54">
        <v>0</v>
      </c>
      <c r="I4953" s="16">
        <v>470000000</v>
      </c>
      <c r="J4953" s="56" t="s">
        <v>229</v>
      </c>
      <c r="K4953" s="57" t="s">
        <v>641</v>
      </c>
      <c r="L4953" s="12" t="s">
        <v>404</v>
      </c>
      <c r="M4953" s="3" t="s">
        <v>230</v>
      </c>
      <c r="N4953" s="8" t="s">
        <v>9479</v>
      </c>
      <c r="O4953" s="6" t="s">
        <v>365</v>
      </c>
      <c r="P4953" s="58">
        <v>796</v>
      </c>
      <c r="Q4953" s="27" t="s">
        <v>234</v>
      </c>
      <c r="R4953" s="28">
        <v>200</v>
      </c>
      <c r="S4953" s="59">
        <f>100*1.07</f>
        <v>107</v>
      </c>
      <c r="T4953" s="4">
        <v>0</v>
      </c>
      <c r="U4953" s="4">
        <f t="shared" si="225"/>
        <v>0</v>
      </c>
      <c r="V4953" s="3"/>
      <c r="W4953" s="3">
        <v>2014</v>
      </c>
      <c r="X4953" s="3">
        <v>11</v>
      </c>
    </row>
    <row r="4954" spans="1:24" ht="114.75">
      <c r="A4954" s="3" t="s">
        <v>12715</v>
      </c>
      <c r="B4954" s="6" t="s">
        <v>361</v>
      </c>
      <c r="C4954" s="6" t="s">
        <v>5885</v>
      </c>
      <c r="D4954" s="6" t="s">
        <v>5886</v>
      </c>
      <c r="E4954" s="6" t="s">
        <v>5887</v>
      </c>
      <c r="F4954" s="8" t="s">
        <v>5888</v>
      </c>
      <c r="G4954" s="57" t="s">
        <v>11449</v>
      </c>
      <c r="H4954" s="54">
        <v>0</v>
      </c>
      <c r="I4954" s="16">
        <v>470000000</v>
      </c>
      <c r="J4954" s="56" t="s">
        <v>229</v>
      </c>
      <c r="K4954" s="57" t="s">
        <v>642</v>
      </c>
      <c r="L4954" s="12" t="s">
        <v>404</v>
      </c>
      <c r="M4954" s="3" t="s">
        <v>230</v>
      </c>
      <c r="N4954" s="8" t="s">
        <v>9479</v>
      </c>
      <c r="O4954" s="6" t="s">
        <v>365</v>
      </c>
      <c r="P4954" s="58">
        <v>796</v>
      </c>
      <c r="Q4954" s="27" t="s">
        <v>234</v>
      </c>
      <c r="R4954" s="28">
        <v>200</v>
      </c>
      <c r="S4954" s="59">
        <f>100*1.07</f>
        <v>107</v>
      </c>
      <c r="T4954" s="4">
        <v>0</v>
      </c>
      <c r="U4954" s="4">
        <f>T4954*1.12</f>
        <v>0</v>
      </c>
      <c r="V4954" s="3"/>
      <c r="W4954" s="3">
        <v>2014</v>
      </c>
      <c r="X4954" s="3" t="s">
        <v>14785</v>
      </c>
    </row>
    <row r="4955" spans="1:24" ht="114.75">
      <c r="A4955" s="3" t="s">
        <v>16911</v>
      </c>
      <c r="B4955" s="6" t="s">
        <v>361</v>
      </c>
      <c r="C4955" s="6" t="s">
        <v>5885</v>
      </c>
      <c r="D4955" s="6" t="s">
        <v>5886</v>
      </c>
      <c r="E4955" s="6" t="s">
        <v>5887</v>
      </c>
      <c r="F4955" s="8" t="s">
        <v>5888</v>
      </c>
      <c r="G4955" s="3" t="s">
        <v>11449</v>
      </c>
      <c r="H4955" s="54">
        <v>0</v>
      </c>
      <c r="I4955" s="16">
        <v>470000000</v>
      </c>
      <c r="J4955" s="56" t="s">
        <v>229</v>
      </c>
      <c r="K4955" s="57" t="s">
        <v>8950</v>
      </c>
      <c r="L4955" s="12" t="s">
        <v>404</v>
      </c>
      <c r="M4955" s="3" t="s">
        <v>230</v>
      </c>
      <c r="N4955" s="8" t="s">
        <v>9479</v>
      </c>
      <c r="O4955" s="6" t="s">
        <v>365</v>
      </c>
      <c r="P4955" s="58">
        <v>796</v>
      </c>
      <c r="Q4955" s="27" t="s">
        <v>234</v>
      </c>
      <c r="R4955" s="28">
        <v>200</v>
      </c>
      <c r="S4955" s="59">
        <v>128.4</v>
      </c>
      <c r="T4955" s="4">
        <f>R4955*S4955</f>
        <v>25680</v>
      </c>
      <c r="U4955" s="4">
        <f>T4955*1.12</f>
        <v>28761.600000000002</v>
      </c>
      <c r="V4955" s="3"/>
      <c r="W4955" s="3">
        <v>2014</v>
      </c>
      <c r="X4955" s="3"/>
    </row>
    <row r="4956" spans="1:24" ht="114.75">
      <c r="A4956" s="3" t="s">
        <v>2015</v>
      </c>
      <c r="B4956" s="6" t="s">
        <v>361</v>
      </c>
      <c r="C4956" s="6" t="s">
        <v>5506</v>
      </c>
      <c r="D4956" s="6" t="s">
        <v>5507</v>
      </c>
      <c r="E4956" s="6" t="s">
        <v>5183</v>
      </c>
      <c r="F4956" s="30" t="s">
        <v>5889</v>
      </c>
      <c r="G4956" s="57" t="s">
        <v>11449</v>
      </c>
      <c r="H4956" s="54">
        <v>0</v>
      </c>
      <c r="I4956" s="16">
        <v>470000000</v>
      </c>
      <c r="J4956" s="56" t="s">
        <v>229</v>
      </c>
      <c r="K4956" s="57" t="s">
        <v>641</v>
      </c>
      <c r="L4956" s="12" t="s">
        <v>404</v>
      </c>
      <c r="M4956" s="3" t="s">
        <v>230</v>
      </c>
      <c r="N4956" s="8" t="s">
        <v>9479</v>
      </c>
      <c r="O4956" s="6" t="s">
        <v>365</v>
      </c>
      <c r="P4956" s="58">
        <v>796</v>
      </c>
      <c r="Q4956" s="27" t="s">
        <v>234</v>
      </c>
      <c r="R4956" s="29">
        <v>20</v>
      </c>
      <c r="S4956" s="59">
        <f>4600*1.07</f>
        <v>4922</v>
      </c>
      <c r="T4956" s="4">
        <v>0</v>
      </c>
      <c r="U4956" s="4">
        <f t="shared" si="225"/>
        <v>0</v>
      </c>
      <c r="V4956" s="3"/>
      <c r="W4956" s="3">
        <v>2014</v>
      </c>
      <c r="X4956" s="3">
        <v>11</v>
      </c>
    </row>
    <row r="4957" spans="1:24" ht="114.75">
      <c r="A4957" s="3" t="s">
        <v>12716</v>
      </c>
      <c r="B4957" s="6" t="s">
        <v>361</v>
      </c>
      <c r="C4957" s="6" t="s">
        <v>5506</v>
      </c>
      <c r="D4957" s="6" t="s">
        <v>5507</v>
      </c>
      <c r="E4957" s="6" t="s">
        <v>5183</v>
      </c>
      <c r="F4957" s="30" t="s">
        <v>5889</v>
      </c>
      <c r="G4957" s="57" t="s">
        <v>11449</v>
      </c>
      <c r="H4957" s="54">
        <v>0</v>
      </c>
      <c r="I4957" s="16">
        <v>470000000</v>
      </c>
      <c r="J4957" s="56" t="s">
        <v>229</v>
      </c>
      <c r="K4957" s="57" t="s">
        <v>642</v>
      </c>
      <c r="L4957" s="12" t="s">
        <v>404</v>
      </c>
      <c r="M4957" s="3" t="s">
        <v>230</v>
      </c>
      <c r="N4957" s="8" t="s">
        <v>9479</v>
      </c>
      <c r="O4957" s="6" t="s">
        <v>365</v>
      </c>
      <c r="P4957" s="58">
        <v>796</v>
      </c>
      <c r="Q4957" s="27" t="s">
        <v>234</v>
      </c>
      <c r="R4957" s="29">
        <v>20</v>
      </c>
      <c r="S4957" s="59">
        <f>4600*1.07</f>
        <v>4922</v>
      </c>
      <c r="T4957" s="4">
        <v>0</v>
      </c>
      <c r="U4957" s="4">
        <f>T4957*1.12</f>
        <v>0</v>
      </c>
      <c r="V4957" s="3"/>
      <c r="W4957" s="3">
        <v>2014</v>
      </c>
      <c r="X4957" s="3" t="s">
        <v>14785</v>
      </c>
    </row>
    <row r="4958" spans="1:24" ht="114.75">
      <c r="A4958" s="3" t="s">
        <v>16912</v>
      </c>
      <c r="B4958" s="6" t="s">
        <v>361</v>
      </c>
      <c r="C4958" s="6" t="s">
        <v>5506</v>
      </c>
      <c r="D4958" s="6" t="s">
        <v>5507</v>
      </c>
      <c r="E4958" s="6" t="s">
        <v>5183</v>
      </c>
      <c r="F4958" s="30" t="s">
        <v>5889</v>
      </c>
      <c r="G4958" s="3" t="s">
        <v>11449</v>
      </c>
      <c r="H4958" s="54">
        <v>0</v>
      </c>
      <c r="I4958" s="16">
        <v>470000000</v>
      </c>
      <c r="J4958" s="56" t="s">
        <v>229</v>
      </c>
      <c r="K4958" s="57" t="s">
        <v>8950</v>
      </c>
      <c r="L4958" s="12" t="s">
        <v>404</v>
      </c>
      <c r="M4958" s="3" t="s">
        <v>230</v>
      </c>
      <c r="N4958" s="8" t="s">
        <v>9479</v>
      </c>
      <c r="O4958" s="6" t="s">
        <v>365</v>
      </c>
      <c r="P4958" s="58">
        <v>796</v>
      </c>
      <c r="Q4958" s="27" t="s">
        <v>234</v>
      </c>
      <c r="R4958" s="29">
        <v>20</v>
      </c>
      <c r="S4958" s="59">
        <v>5906.4</v>
      </c>
      <c r="T4958" s="4">
        <f>R4958*S4958</f>
        <v>118128</v>
      </c>
      <c r="U4958" s="4">
        <f>T4958*1.12</f>
        <v>132303.36000000002</v>
      </c>
      <c r="V4958" s="3"/>
      <c r="W4958" s="3">
        <v>2014</v>
      </c>
      <c r="X4958" s="3"/>
    </row>
    <row r="4959" spans="1:24" ht="114.75">
      <c r="A4959" s="3" t="s">
        <v>2016</v>
      </c>
      <c r="B4959" s="6" t="s">
        <v>361</v>
      </c>
      <c r="C4959" s="6" t="s">
        <v>5508</v>
      </c>
      <c r="D4959" s="6" t="s">
        <v>5509</v>
      </c>
      <c r="E4959" s="6" t="s">
        <v>5510</v>
      </c>
      <c r="F4959" s="8" t="s">
        <v>5890</v>
      </c>
      <c r="G4959" s="57" t="s">
        <v>11449</v>
      </c>
      <c r="H4959" s="54">
        <v>0</v>
      </c>
      <c r="I4959" s="16">
        <v>470000000</v>
      </c>
      <c r="J4959" s="56" t="s">
        <v>229</v>
      </c>
      <c r="K4959" s="57" t="s">
        <v>641</v>
      </c>
      <c r="L4959" s="12" t="s">
        <v>404</v>
      </c>
      <c r="M4959" s="3" t="s">
        <v>230</v>
      </c>
      <c r="N4959" s="8" t="s">
        <v>9479</v>
      </c>
      <c r="O4959" s="6" t="s">
        <v>365</v>
      </c>
      <c r="P4959" s="58">
        <v>796</v>
      </c>
      <c r="Q4959" s="27" t="s">
        <v>234</v>
      </c>
      <c r="R4959" s="29">
        <v>20</v>
      </c>
      <c r="S4959" s="59">
        <f>1500*1.07</f>
        <v>1605</v>
      </c>
      <c r="T4959" s="4">
        <v>0</v>
      </c>
      <c r="U4959" s="4">
        <f t="shared" si="225"/>
        <v>0</v>
      </c>
      <c r="V4959" s="3"/>
      <c r="W4959" s="3">
        <v>2014</v>
      </c>
      <c r="X4959" s="3">
        <v>11</v>
      </c>
    </row>
    <row r="4960" spans="1:24" ht="114.75">
      <c r="A4960" s="3" t="s">
        <v>12717</v>
      </c>
      <c r="B4960" s="6" t="s">
        <v>361</v>
      </c>
      <c r="C4960" s="6" t="s">
        <v>5508</v>
      </c>
      <c r="D4960" s="6" t="s">
        <v>5509</v>
      </c>
      <c r="E4960" s="6" t="s">
        <v>5510</v>
      </c>
      <c r="F4960" s="8" t="s">
        <v>5890</v>
      </c>
      <c r="G4960" s="57" t="s">
        <v>11449</v>
      </c>
      <c r="H4960" s="54">
        <v>0</v>
      </c>
      <c r="I4960" s="16">
        <v>470000000</v>
      </c>
      <c r="J4960" s="56" t="s">
        <v>229</v>
      </c>
      <c r="K4960" s="57" t="s">
        <v>642</v>
      </c>
      <c r="L4960" s="12" t="s">
        <v>404</v>
      </c>
      <c r="M4960" s="3" t="s">
        <v>230</v>
      </c>
      <c r="N4960" s="8" t="s">
        <v>9479</v>
      </c>
      <c r="O4960" s="6" t="s">
        <v>365</v>
      </c>
      <c r="P4960" s="58">
        <v>796</v>
      </c>
      <c r="Q4960" s="27" t="s">
        <v>234</v>
      </c>
      <c r="R4960" s="29">
        <v>20</v>
      </c>
      <c r="S4960" s="59">
        <f>1500*1.07</f>
        <v>1605</v>
      </c>
      <c r="T4960" s="4">
        <f>R4960*S4960</f>
        <v>32100</v>
      </c>
      <c r="U4960" s="4">
        <f>T4960*1.12</f>
        <v>35952</v>
      </c>
      <c r="V4960" s="3"/>
      <c r="W4960" s="3">
        <v>2014</v>
      </c>
      <c r="X4960" s="3"/>
    </row>
    <row r="4961" spans="1:24" ht="114.75">
      <c r="A4961" s="3" t="s">
        <v>2017</v>
      </c>
      <c r="B4961" s="6" t="s">
        <v>361</v>
      </c>
      <c r="C4961" s="6" t="s">
        <v>5891</v>
      </c>
      <c r="D4961" s="6" t="s">
        <v>5892</v>
      </c>
      <c r="E4961" s="6" t="s">
        <v>5893</v>
      </c>
      <c r="F4961" s="107" t="s">
        <v>5894</v>
      </c>
      <c r="G4961" s="57" t="s">
        <v>11449</v>
      </c>
      <c r="H4961" s="54">
        <v>0</v>
      </c>
      <c r="I4961" s="16">
        <v>470000000</v>
      </c>
      <c r="J4961" s="56" t="s">
        <v>229</v>
      </c>
      <c r="K4961" s="57" t="s">
        <v>641</v>
      </c>
      <c r="L4961" s="12" t="s">
        <v>404</v>
      </c>
      <c r="M4961" s="3" t="s">
        <v>230</v>
      </c>
      <c r="N4961" s="8" t="s">
        <v>9479</v>
      </c>
      <c r="O4961" s="6" t="s">
        <v>365</v>
      </c>
      <c r="P4961" s="58">
        <v>796</v>
      </c>
      <c r="Q4961" s="27" t="s">
        <v>234</v>
      </c>
      <c r="R4961" s="26">
        <v>20</v>
      </c>
      <c r="S4961" s="59">
        <f>7400*1.07</f>
        <v>7918.0000000000009</v>
      </c>
      <c r="T4961" s="4">
        <v>0</v>
      </c>
      <c r="U4961" s="4">
        <f t="shared" si="225"/>
        <v>0</v>
      </c>
      <c r="V4961" s="3"/>
      <c r="W4961" s="3">
        <v>2014</v>
      </c>
      <c r="X4961" s="3">
        <v>11</v>
      </c>
    </row>
    <row r="4962" spans="1:24" ht="114.75">
      <c r="A4962" s="3" t="s">
        <v>12718</v>
      </c>
      <c r="B4962" s="6" t="s">
        <v>361</v>
      </c>
      <c r="C4962" s="6" t="s">
        <v>5891</v>
      </c>
      <c r="D4962" s="6" t="s">
        <v>5892</v>
      </c>
      <c r="E4962" s="6" t="s">
        <v>5893</v>
      </c>
      <c r="F4962" s="107" t="s">
        <v>5894</v>
      </c>
      <c r="G4962" s="57" t="s">
        <v>11449</v>
      </c>
      <c r="H4962" s="54">
        <v>0</v>
      </c>
      <c r="I4962" s="16">
        <v>470000000</v>
      </c>
      <c r="J4962" s="56" t="s">
        <v>229</v>
      </c>
      <c r="K4962" s="57" t="s">
        <v>642</v>
      </c>
      <c r="L4962" s="12" t="s">
        <v>404</v>
      </c>
      <c r="M4962" s="3" t="s">
        <v>230</v>
      </c>
      <c r="N4962" s="8" t="s">
        <v>9479</v>
      </c>
      <c r="O4962" s="6" t="s">
        <v>365</v>
      </c>
      <c r="P4962" s="58">
        <v>796</v>
      </c>
      <c r="Q4962" s="27" t="s">
        <v>234</v>
      </c>
      <c r="R4962" s="26">
        <v>20</v>
      </c>
      <c r="S4962" s="59">
        <f>7400*1.07</f>
        <v>7918.0000000000009</v>
      </c>
      <c r="T4962" s="4">
        <v>0</v>
      </c>
      <c r="U4962" s="4">
        <f>T4962*1.12</f>
        <v>0</v>
      </c>
      <c r="V4962" s="3"/>
      <c r="W4962" s="3">
        <v>2014</v>
      </c>
      <c r="X4962" s="3" t="s">
        <v>14785</v>
      </c>
    </row>
    <row r="4963" spans="1:24" ht="114.75">
      <c r="A4963" s="3" t="s">
        <v>16913</v>
      </c>
      <c r="B4963" s="6" t="s">
        <v>361</v>
      </c>
      <c r="C4963" s="6" t="s">
        <v>5891</v>
      </c>
      <c r="D4963" s="6" t="s">
        <v>5892</v>
      </c>
      <c r="E4963" s="6" t="s">
        <v>5893</v>
      </c>
      <c r="F4963" s="107" t="s">
        <v>5894</v>
      </c>
      <c r="G4963" s="3" t="s">
        <v>11449</v>
      </c>
      <c r="H4963" s="54">
        <v>0</v>
      </c>
      <c r="I4963" s="16">
        <v>470000000</v>
      </c>
      <c r="J4963" s="56" t="s">
        <v>229</v>
      </c>
      <c r="K4963" s="57" t="s">
        <v>8950</v>
      </c>
      <c r="L4963" s="12" t="s">
        <v>404</v>
      </c>
      <c r="M4963" s="3" t="s">
        <v>230</v>
      </c>
      <c r="N4963" s="8" t="s">
        <v>9479</v>
      </c>
      <c r="O4963" s="6" t="s">
        <v>365</v>
      </c>
      <c r="P4963" s="58">
        <v>796</v>
      </c>
      <c r="Q4963" s="27" t="s">
        <v>234</v>
      </c>
      <c r="R4963" s="26">
        <v>20</v>
      </c>
      <c r="S4963" s="59">
        <v>9501.6</v>
      </c>
      <c r="T4963" s="4">
        <f>R4963*S4963</f>
        <v>190032</v>
      </c>
      <c r="U4963" s="4">
        <f>T4963*1.12</f>
        <v>212835.84000000003</v>
      </c>
      <c r="V4963" s="3"/>
      <c r="W4963" s="3">
        <v>2014</v>
      </c>
      <c r="X4963" s="3"/>
    </row>
    <row r="4964" spans="1:24" ht="114.75">
      <c r="A4964" s="3" t="s">
        <v>2018</v>
      </c>
      <c r="B4964" s="6" t="s">
        <v>361</v>
      </c>
      <c r="C4964" s="6" t="s">
        <v>5895</v>
      </c>
      <c r="D4964" s="6" t="s">
        <v>5896</v>
      </c>
      <c r="E4964" s="6" t="s">
        <v>5897</v>
      </c>
      <c r="F4964" s="107" t="s">
        <v>5898</v>
      </c>
      <c r="G4964" s="57" t="s">
        <v>11449</v>
      </c>
      <c r="H4964" s="54">
        <v>0</v>
      </c>
      <c r="I4964" s="16">
        <v>470000000</v>
      </c>
      <c r="J4964" s="56" t="s">
        <v>229</v>
      </c>
      <c r="K4964" s="57" t="s">
        <v>641</v>
      </c>
      <c r="L4964" s="12" t="s">
        <v>404</v>
      </c>
      <c r="M4964" s="3" t="s">
        <v>230</v>
      </c>
      <c r="N4964" s="8" t="s">
        <v>9479</v>
      </c>
      <c r="O4964" s="6" t="s">
        <v>365</v>
      </c>
      <c r="P4964" s="58">
        <v>796</v>
      </c>
      <c r="Q4964" s="27" t="s">
        <v>234</v>
      </c>
      <c r="R4964" s="26">
        <v>6</v>
      </c>
      <c r="S4964" s="59">
        <v>28500</v>
      </c>
      <c r="T4964" s="4">
        <v>0</v>
      </c>
      <c r="U4964" s="4">
        <f t="shared" si="225"/>
        <v>0</v>
      </c>
      <c r="V4964" s="3"/>
      <c r="W4964" s="3">
        <v>2014</v>
      </c>
      <c r="X4964" s="3">
        <v>11</v>
      </c>
    </row>
    <row r="4965" spans="1:24" ht="114.75">
      <c r="A4965" s="3" t="s">
        <v>12719</v>
      </c>
      <c r="B4965" s="6" t="s">
        <v>361</v>
      </c>
      <c r="C4965" s="6" t="s">
        <v>5895</v>
      </c>
      <c r="D4965" s="6" t="s">
        <v>5896</v>
      </c>
      <c r="E4965" s="6" t="s">
        <v>5897</v>
      </c>
      <c r="F4965" s="107" t="s">
        <v>5898</v>
      </c>
      <c r="G4965" s="57" t="s">
        <v>11449</v>
      </c>
      <c r="H4965" s="54">
        <v>0</v>
      </c>
      <c r="I4965" s="16">
        <v>470000000</v>
      </c>
      <c r="J4965" s="56" t="s">
        <v>229</v>
      </c>
      <c r="K4965" s="57" t="s">
        <v>642</v>
      </c>
      <c r="L4965" s="12" t="s">
        <v>404</v>
      </c>
      <c r="M4965" s="3" t="s">
        <v>230</v>
      </c>
      <c r="N4965" s="8" t="s">
        <v>9479</v>
      </c>
      <c r="O4965" s="6" t="s">
        <v>365</v>
      </c>
      <c r="P4965" s="58">
        <v>796</v>
      </c>
      <c r="Q4965" s="27" t="s">
        <v>234</v>
      </c>
      <c r="R4965" s="26">
        <v>6</v>
      </c>
      <c r="S4965" s="59">
        <v>28500</v>
      </c>
      <c r="T4965" s="4">
        <f>R4965*S4965</f>
        <v>171000</v>
      </c>
      <c r="U4965" s="4">
        <f>T4965*1.12</f>
        <v>191520.00000000003</v>
      </c>
      <c r="V4965" s="3"/>
      <c r="W4965" s="3">
        <v>2014</v>
      </c>
      <c r="X4965" s="3"/>
    </row>
    <row r="4966" spans="1:24" ht="114.75">
      <c r="A4966" s="3" t="s">
        <v>2019</v>
      </c>
      <c r="B4966" s="6" t="s">
        <v>361</v>
      </c>
      <c r="C4966" s="6" t="s">
        <v>5899</v>
      </c>
      <c r="D4966" s="6" t="s">
        <v>5900</v>
      </c>
      <c r="E4966" s="6" t="s">
        <v>5901</v>
      </c>
      <c r="F4966" s="107" t="s">
        <v>5902</v>
      </c>
      <c r="G4966" s="57" t="s">
        <v>11449</v>
      </c>
      <c r="H4966" s="54">
        <v>0</v>
      </c>
      <c r="I4966" s="16">
        <v>470000000</v>
      </c>
      <c r="J4966" s="56" t="s">
        <v>229</v>
      </c>
      <c r="K4966" s="57" t="s">
        <v>641</v>
      </c>
      <c r="L4966" s="12" t="s">
        <v>404</v>
      </c>
      <c r="M4966" s="3" t="s">
        <v>230</v>
      </c>
      <c r="N4966" s="8" t="s">
        <v>9479</v>
      </c>
      <c r="O4966" s="6" t="s">
        <v>365</v>
      </c>
      <c r="P4966" s="58">
        <v>796</v>
      </c>
      <c r="Q4966" s="27" t="s">
        <v>234</v>
      </c>
      <c r="R4966" s="26">
        <v>20</v>
      </c>
      <c r="S4966" s="59">
        <f>100*1.07</f>
        <v>107</v>
      </c>
      <c r="T4966" s="4">
        <v>0</v>
      </c>
      <c r="U4966" s="4">
        <f t="shared" si="225"/>
        <v>0</v>
      </c>
      <c r="V4966" s="3"/>
      <c r="W4966" s="3">
        <v>2014</v>
      </c>
      <c r="X4966" s="3">
        <v>11</v>
      </c>
    </row>
    <row r="4967" spans="1:24" ht="114.75">
      <c r="A4967" s="3" t="s">
        <v>12720</v>
      </c>
      <c r="B4967" s="6" t="s">
        <v>361</v>
      </c>
      <c r="C4967" s="6" t="s">
        <v>5899</v>
      </c>
      <c r="D4967" s="6" t="s">
        <v>5900</v>
      </c>
      <c r="E4967" s="6" t="s">
        <v>5901</v>
      </c>
      <c r="F4967" s="107" t="s">
        <v>5902</v>
      </c>
      <c r="G4967" s="57" t="s">
        <v>11449</v>
      </c>
      <c r="H4967" s="54">
        <v>0</v>
      </c>
      <c r="I4967" s="16">
        <v>470000000</v>
      </c>
      <c r="J4967" s="56" t="s">
        <v>229</v>
      </c>
      <c r="K4967" s="57" t="s">
        <v>642</v>
      </c>
      <c r="L4967" s="12" t="s">
        <v>404</v>
      </c>
      <c r="M4967" s="3" t="s">
        <v>230</v>
      </c>
      <c r="N4967" s="8" t="s">
        <v>9479</v>
      </c>
      <c r="O4967" s="6" t="s">
        <v>365</v>
      </c>
      <c r="P4967" s="58">
        <v>796</v>
      </c>
      <c r="Q4967" s="27" t="s">
        <v>234</v>
      </c>
      <c r="R4967" s="26">
        <v>20</v>
      </c>
      <c r="S4967" s="59">
        <f>100*1.07</f>
        <v>107</v>
      </c>
      <c r="T4967" s="4">
        <f>R4967*S4967</f>
        <v>2140</v>
      </c>
      <c r="U4967" s="4">
        <f>T4967*1.12</f>
        <v>2396.8000000000002</v>
      </c>
      <c r="V4967" s="3"/>
      <c r="W4967" s="3">
        <v>2014</v>
      </c>
      <c r="X4967" s="3"/>
    </row>
    <row r="4968" spans="1:24" ht="114.75">
      <c r="A4968" s="3" t="s">
        <v>2020</v>
      </c>
      <c r="B4968" s="6" t="s">
        <v>361</v>
      </c>
      <c r="C4968" s="6" t="s">
        <v>5903</v>
      </c>
      <c r="D4968" s="6" t="s">
        <v>5904</v>
      </c>
      <c r="E4968" s="6" t="s">
        <v>5183</v>
      </c>
      <c r="F4968" s="107" t="s">
        <v>5905</v>
      </c>
      <c r="G4968" s="57" t="s">
        <v>11449</v>
      </c>
      <c r="H4968" s="54">
        <v>0</v>
      </c>
      <c r="I4968" s="16">
        <v>470000000</v>
      </c>
      <c r="J4968" s="56" t="s">
        <v>229</v>
      </c>
      <c r="K4968" s="57" t="s">
        <v>641</v>
      </c>
      <c r="L4968" s="12" t="s">
        <v>404</v>
      </c>
      <c r="M4968" s="3" t="s">
        <v>230</v>
      </c>
      <c r="N4968" s="8" t="s">
        <v>9479</v>
      </c>
      <c r="O4968" s="6" t="s">
        <v>365</v>
      </c>
      <c r="P4968" s="58">
        <v>796</v>
      </c>
      <c r="Q4968" s="27" t="s">
        <v>234</v>
      </c>
      <c r="R4968" s="26">
        <v>4</v>
      </c>
      <c r="S4968" s="59">
        <f>2100*1.07</f>
        <v>2247</v>
      </c>
      <c r="T4968" s="4">
        <v>0</v>
      </c>
      <c r="U4968" s="4">
        <f t="shared" si="225"/>
        <v>0</v>
      </c>
      <c r="V4968" s="3"/>
      <c r="W4968" s="3">
        <v>2014</v>
      </c>
      <c r="X4968" s="3">
        <v>11</v>
      </c>
    </row>
    <row r="4969" spans="1:24" ht="114.75">
      <c r="A4969" s="3" t="s">
        <v>12721</v>
      </c>
      <c r="B4969" s="6" t="s">
        <v>361</v>
      </c>
      <c r="C4969" s="6" t="s">
        <v>5903</v>
      </c>
      <c r="D4969" s="6" t="s">
        <v>5904</v>
      </c>
      <c r="E4969" s="6" t="s">
        <v>5183</v>
      </c>
      <c r="F4969" s="107" t="s">
        <v>5905</v>
      </c>
      <c r="G4969" s="57" t="s">
        <v>11449</v>
      </c>
      <c r="H4969" s="54">
        <v>0</v>
      </c>
      <c r="I4969" s="16">
        <v>470000000</v>
      </c>
      <c r="J4969" s="56" t="s">
        <v>229</v>
      </c>
      <c r="K4969" s="57" t="s">
        <v>642</v>
      </c>
      <c r="L4969" s="12" t="s">
        <v>404</v>
      </c>
      <c r="M4969" s="3" t="s">
        <v>230</v>
      </c>
      <c r="N4969" s="8" t="s">
        <v>9479</v>
      </c>
      <c r="O4969" s="6" t="s">
        <v>365</v>
      </c>
      <c r="P4969" s="58">
        <v>796</v>
      </c>
      <c r="Q4969" s="27" t="s">
        <v>234</v>
      </c>
      <c r="R4969" s="26">
        <v>4</v>
      </c>
      <c r="S4969" s="59">
        <f>2100*1.07</f>
        <v>2247</v>
      </c>
      <c r="T4969" s="4">
        <f>R4969*S4969</f>
        <v>8988</v>
      </c>
      <c r="U4969" s="4">
        <f>T4969*1.12</f>
        <v>10066.560000000001</v>
      </c>
      <c r="V4969" s="3"/>
      <c r="W4969" s="3">
        <v>2014</v>
      </c>
      <c r="X4969" s="3"/>
    </row>
    <row r="4970" spans="1:24" ht="114.75">
      <c r="A4970" s="3" t="s">
        <v>2021</v>
      </c>
      <c r="B4970" s="6" t="s">
        <v>361</v>
      </c>
      <c r="C4970" s="6" t="s">
        <v>5906</v>
      </c>
      <c r="D4970" s="6" t="s">
        <v>5907</v>
      </c>
      <c r="E4970" s="6" t="s">
        <v>5183</v>
      </c>
      <c r="F4970" s="107" t="s">
        <v>5908</v>
      </c>
      <c r="G4970" s="57" t="s">
        <v>11449</v>
      </c>
      <c r="H4970" s="54">
        <v>0</v>
      </c>
      <c r="I4970" s="16">
        <v>470000000</v>
      </c>
      <c r="J4970" s="56" t="s">
        <v>229</v>
      </c>
      <c r="K4970" s="57" t="s">
        <v>641</v>
      </c>
      <c r="L4970" s="12" t="s">
        <v>404</v>
      </c>
      <c r="M4970" s="3" t="s">
        <v>230</v>
      </c>
      <c r="N4970" s="8" t="s">
        <v>9479</v>
      </c>
      <c r="O4970" s="6" t="s">
        <v>365</v>
      </c>
      <c r="P4970" s="58">
        <v>796</v>
      </c>
      <c r="Q4970" s="27" t="s">
        <v>234</v>
      </c>
      <c r="R4970" s="26">
        <v>10</v>
      </c>
      <c r="S4970" s="59">
        <f>1800*1.07</f>
        <v>1926</v>
      </c>
      <c r="T4970" s="4">
        <v>0</v>
      </c>
      <c r="U4970" s="4">
        <f t="shared" si="225"/>
        <v>0</v>
      </c>
      <c r="V4970" s="3"/>
      <c r="W4970" s="3">
        <v>2014</v>
      </c>
      <c r="X4970" s="3">
        <v>11</v>
      </c>
    </row>
    <row r="4971" spans="1:24" ht="114.75">
      <c r="A4971" s="3" t="s">
        <v>12722</v>
      </c>
      <c r="B4971" s="6" t="s">
        <v>361</v>
      </c>
      <c r="C4971" s="6" t="s">
        <v>5906</v>
      </c>
      <c r="D4971" s="6" t="s">
        <v>5907</v>
      </c>
      <c r="E4971" s="6" t="s">
        <v>5183</v>
      </c>
      <c r="F4971" s="107" t="s">
        <v>5908</v>
      </c>
      <c r="G4971" s="57" t="s">
        <v>11449</v>
      </c>
      <c r="H4971" s="54">
        <v>0</v>
      </c>
      <c r="I4971" s="16">
        <v>470000000</v>
      </c>
      <c r="J4971" s="56" t="s">
        <v>229</v>
      </c>
      <c r="K4971" s="57" t="s">
        <v>642</v>
      </c>
      <c r="L4971" s="12" t="s">
        <v>404</v>
      </c>
      <c r="M4971" s="3" t="s">
        <v>230</v>
      </c>
      <c r="N4971" s="8" t="s">
        <v>9479</v>
      </c>
      <c r="O4971" s="6" t="s">
        <v>365</v>
      </c>
      <c r="P4971" s="58">
        <v>796</v>
      </c>
      <c r="Q4971" s="27" t="s">
        <v>234</v>
      </c>
      <c r="R4971" s="26">
        <v>10</v>
      </c>
      <c r="S4971" s="59">
        <f>1800*1.07</f>
        <v>1926</v>
      </c>
      <c r="T4971" s="4">
        <f>R4971*S4971</f>
        <v>19260</v>
      </c>
      <c r="U4971" s="4">
        <f>T4971*1.12</f>
        <v>21571.200000000001</v>
      </c>
      <c r="V4971" s="3"/>
      <c r="W4971" s="3">
        <v>2014</v>
      </c>
      <c r="X4971" s="3"/>
    </row>
    <row r="4972" spans="1:24" ht="114.75">
      <c r="A4972" s="3" t="s">
        <v>2022</v>
      </c>
      <c r="B4972" s="6" t="s">
        <v>361</v>
      </c>
      <c r="C4972" s="6" t="s">
        <v>5909</v>
      </c>
      <c r="D4972" s="6" t="s">
        <v>5910</v>
      </c>
      <c r="E4972" s="6" t="s">
        <v>5183</v>
      </c>
      <c r="F4972" s="107" t="s">
        <v>5911</v>
      </c>
      <c r="G4972" s="57" t="s">
        <v>11449</v>
      </c>
      <c r="H4972" s="54">
        <v>0</v>
      </c>
      <c r="I4972" s="16">
        <v>470000000</v>
      </c>
      <c r="J4972" s="56" t="s">
        <v>229</v>
      </c>
      <c r="K4972" s="57" t="s">
        <v>641</v>
      </c>
      <c r="L4972" s="12" t="s">
        <v>404</v>
      </c>
      <c r="M4972" s="3" t="s">
        <v>230</v>
      </c>
      <c r="N4972" s="8" t="s">
        <v>9479</v>
      </c>
      <c r="O4972" s="6" t="s">
        <v>365</v>
      </c>
      <c r="P4972" s="58">
        <v>796</v>
      </c>
      <c r="Q4972" s="27" t="s">
        <v>234</v>
      </c>
      <c r="R4972" s="26">
        <v>20</v>
      </c>
      <c r="S4972" s="59">
        <f>200*1.07</f>
        <v>214</v>
      </c>
      <c r="T4972" s="4">
        <v>0</v>
      </c>
      <c r="U4972" s="4">
        <f t="shared" si="225"/>
        <v>0</v>
      </c>
      <c r="V4972" s="3"/>
      <c r="W4972" s="3">
        <v>2014</v>
      </c>
      <c r="X4972" s="3">
        <v>11</v>
      </c>
    </row>
    <row r="4973" spans="1:24" ht="114.75">
      <c r="A4973" s="3" t="s">
        <v>12723</v>
      </c>
      <c r="B4973" s="6" t="s">
        <v>361</v>
      </c>
      <c r="C4973" s="6" t="s">
        <v>5909</v>
      </c>
      <c r="D4973" s="6" t="s">
        <v>5910</v>
      </c>
      <c r="E4973" s="6" t="s">
        <v>5183</v>
      </c>
      <c r="F4973" s="107" t="s">
        <v>5911</v>
      </c>
      <c r="G4973" s="57" t="s">
        <v>11449</v>
      </c>
      <c r="H4973" s="54">
        <v>0</v>
      </c>
      <c r="I4973" s="16">
        <v>470000000</v>
      </c>
      <c r="J4973" s="56" t="s">
        <v>229</v>
      </c>
      <c r="K4973" s="57" t="s">
        <v>642</v>
      </c>
      <c r="L4973" s="12" t="s">
        <v>404</v>
      </c>
      <c r="M4973" s="3" t="s">
        <v>230</v>
      </c>
      <c r="N4973" s="8" t="s">
        <v>9479</v>
      </c>
      <c r="O4973" s="6" t="s">
        <v>365</v>
      </c>
      <c r="P4973" s="58">
        <v>796</v>
      </c>
      <c r="Q4973" s="27" t="s">
        <v>234</v>
      </c>
      <c r="R4973" s="26">
        <v>20</v>
      </c>
      <c r="S4973" s="59">
        <f>200*1.07</f>
        <v>214</v>
      </c>
      <c r="T4973" s="4">
        <f>R4973*S4973</f>
        <v>4280</v>
      </c>
      <c r="U4973" s="4">
        <f>T4973*1.12</f>
        <v>4793.6000000000004</v>
      </c>
      <c r="V4973" s="3"/>
      <c r="W4973" s="3">
        <v>2014</v>
      </c>
      <c r="X4973" s="3"/>
    </row>
    <row r="4974" spans="1:24" ht="114.75">
      <c r="A4974" s="3" t="s">
        <v>2023</v>
      </c>
      <c r="B4974" s="6" t="s">
        <v>361</v>
      </c>
      <c r="C4974" s="6" t="s">
        <v>5912</v>
      </c>
      <c r="D4974" s="6" t="s">
        <v>504</v>
      </c>
      <c r="E4974" s="6" t="s">
        <v>5183</v>
      </c>
      <c r="F4974" s="107" t="s">
        <v>5913</v>
      </c>
      <c r="G4974" s="57" t="s">
        <v>11449</v>
      </c>
      <c r="H4974" s="54">
        <v>0</v>
      </c>
      <c r="I4974" s="16">
        <v>470000000</v>
      </c>
      <c r="J4974" s="56" t="s">
        <v>229</v>
      </c>
      <c r="K4974" s="57" t="s">
        <v>641</v>
      </c>
      <c r="L4974" s="12" t="s">
        <v>404</v>
      </c>
      <c r="M4974" s="3" t="s">
        <v>230</v>
      </c>
      <c r="N4974" s="8" t="s">
        <v>9479</v>
      </c>
      <c r="O4974" s="6" t="s">
        <v>365</v>
      </c>
      <c r="P4974" s="58">
        <v>796</v>
      </c>
      <c r="Q4974" s="27" t="s">
        <v>234</v>
      </c>
      <c r="R4974" s="26">
        <v>30</v>
      </c>
      <c r="S4974" s="59">
        <f>900*1.07</f>
        <v>963</v>
      </c>
      <c r="T4974" s="4">
        <v>0</v>
      </c>
      <c r="U4974" s="4">
        <f t="shared" si="225"/>
        <v>0</v>
      </c>
      <c r="V4974" s="3"/>
      <c r="W4974" s="3">
        <v>2014</v>
      </c>
      <c r="X4974" s="3">
        <v>11</v>
      </c>
    </row>
    <row r="4975" spans="1:24" ht="114.75">
      <c r="A4975" s="3" t="s">
        <v>12724</v>
      </c>
      <c r="B4975" s="6" t="s">
        <v>361</v>
      </c>
      <c r="C4975" s="6" t="s">
        <v>5912</v>
      </c>
      <c r="D4975" s="6" t="s">
        <v>504</v>
      </c>
      <c r="E4975" s="6" t="s">
        <v>5183</v>
      </c>
      <c r="F4975" s="107" t="s">
        <v>5913</v>
      </c>
      <c r="G4975" s="57" t="s">
        <v>11449</v>
      </c>
      <c r="H4975" s="54">
        <v>0</v>
      </c>
      <c r="I4975" s="16">
        <v>470000000</v>
      </c>
      <c r="J4975" s="56" t="s">
        <v>229</v>
      </c>
      <c r="K4975" s="57" t="s">
        <v>642</v>
      </c>
      <c r="L4975" s="12" t="s">
        <v>404</v>
      </c>
      <c r="M4975" s="3" t="s">
        <v>230</v>
      </c>
      <c r="N4975" s="8" t="s">
        <v>9479</v>
      </c>
      <c r="O4975" s="6" t="s">
        <v>365</v>
      </c>
      <c r="P4975" s="58">
        <v>796</v>
      </c>
      <c r="Q4975" s="27" t="s">
        <v>234</v>
      </c>
      <c r="R4975" s="26">
        <v>30</v>
      </c>
      <c r="S4975" s="59">
        <f>900*1.07</f>
        <v>963</v>
      </c>
      <c r="T4975" s="4">
        <f>R4975*S4975</f>
        <v>28890</v>
      </c>
      <c r="U4975" s="4">
        <f>T4975*1.12</f>
        <v>32356.800000000003</v>
      </c>
      <c r="V4975" s="3"/>
      <c r="W4975" s="3">
        <v>2014</v>
      </c>
      <c r="X4975" s="3"/>
    </row>
    <row r="4976" spans="1:24" ht="114.75">
      <c r="A4976" s="3" t="s">
        <v>2024</v>
      </c>
      <c r="B4976" s="6" t="s">
        <v>361</v>
      </c>
      <c r="C4976" s="6" t="s">
        <v>5482</v>
      </c>
      <c r="D4976" s="6" t="s">
        <v>5483</v>
      </c>
      <c r="E4976" s="6" t="s">
        <v>5478</v>
      </c>
      <c r="F4976" s="107" t="s">
        <v>5914</v>
      </c>
      <c r="G4976" s="57" t="s">
        <v>11449</v>
      </c>
      <c r="H4976" s="54">
        <v>0</v>
      </c>
      <c r="I4976" s="16">
        <v>470000000</v>
      </c>
      <c r="J4976" s="56" t="s">
        <v>229</v>
      </c>
      <c r="K4976" s="57" t="s">
        <v>641</v>
      </c>
      <c r="L4976" s="12" t="s">
        <v>404</v>
      </c>
      <c r="M4976" s="3" t="s">
        <v>230</v>
      </c>
      <c r="N4976" s="8" t="s">
        <v>9479</v>
      </c>
      <c r="O4976" s="6" t="s">
        <v>365</v>
      </c>
      <c r="P4976" s="58">
        <v>796</v>
      </c>
      <c r="Q4976" s="27" t="s">
        <v>234</v>
      </c>
      <c r="R4976" s="26">
        <v>12</v>
      </c>
      <c r="S4976" s="59">
        <f>4700*1.07</f>
        <v>5029</v>
      </c>
      <c r="T4976" s="4">
        <v>0</v>
      </c>
      <c r="U4976" s="4">
        <f t="shared" si="225"/>
        <v>0</v>
      </c>
      <c r="V4976" s="3"/>
      <c r="W4976" s="3">
        <v>2014</v>
      </c>
      <c r="X4976" s="3">
        <v>11</v>
      </c>
    </row>
    <row r="4977" spans="1:24" ht="114.75">
      <c r="A4977" s="3" t="s">
        <v>12725</v>
      </c>
      <c r="B4977" s="6" t="s">
        <v>361</v>
      </c>
      <c r="C4977" s="6" t="s">
        <v>5482</v>
      </c>
      <c r="D4977" s="6" t="s">
        <v>5483</v>
      </c>
      <c r="E4977" s="6" t="s">
        <v>5478</v>
      </c>
      <c r="F4977" s="107" t="s">
        <v>5914</v>
      </c>
      <c r="G4977" s="57" t="s">
        <v>11449</v>
      </c>
      <c r="H4977" s="54">
        <v>0</v>
      </c>
      <c r="I4977" s="16">
        <v>470000000</v>
      </c>
      <c r="J4977" s="56" t="s">
        <v>229</v>
      </c>
      <c r="K4977" s="57" t="s">
        <v>642</v>
      </c>
      <c r="L4977" s="12" t="s">
        <v>404</v>
      </c>
      <c r="M4977" s="3" t="s">
        <v>230</v>
      </c>
      <c r="N4977" s="8" t="s">
        <v>9479</v>
      </c>
      <c r="O4977" s="6" t="s">
        <v>365</v>
      </c>
      <c r="P4977" s="58">
        <v>796</v>
      </c>
      <c r="Q4977" s="27" t="s">
        <v>234</v>
      </c>
      <c r="R4977" s="26">
        <v>12</v>
      </c>
      <c r="S4977" s="59">
        <f>4700*1.07</f>
        <v>5029</v>
      </c>
      <c r="T4977" s="4">
        <v>0</v>
      </c>
      <c r="U4977" s="4">
        <f>T4977*1.12</f>
        <v>0</v>
      </c>
      <c r="V4977" s="3"/>
      <c r="W4977" s="3">
        <v>2014</v>
      </c>
      <c r="X4977" s="3" t="s">
        <v>14785</v>
      </c>
    </row>
    <row r="4978" spans="1:24" ht="114.75">
      <c r="A4978" s="3" t="s">
        <v>16914</v>
      </c>
      <c r="B4978" s="6" t="s">
        <v>361</v>
      </c>
      <c r="C4978" s="6" t="s">
        <v>5482</v>
      </c>
      <c r="D4978" s="6" t="s">
        <v>5483</v>
      </c>
      <c r="E4978" s="6" t="s">
        <v>5478</v>
      </c>
      <c r="F4978" s="107" t="s">
        <v>5914</v>
      </c>
      <c r="G4978" s="3" t="s">
        <v>11449</v>
      </c>
      <c r="H4978" s="54">
        <v>0</v>
      </c>
      <c r="I4978" s="16">
        <v>470000000</v>
      </c>
      <c r="J4978" s="56" t="s">
        <v>229</v>
      </c>
      <c r="K4978" s="57" t="s">
        <v>8950</v>
      </c>
      <c r="L4978" s="12" t="s">
        <v>404</v>
      </c>
      <c r="M4978" s="3" t="s">
        <v>230</v>
      </c>
      <c r="N4978" s="8" t="s">
        <v>9479</v>
      </c>
      <c r="O4978" s="6" t="s">
        <v>365</v>
      </c>
      <c r="P4978" s="58">
        <v>796</v>
      </c>
      <c r="Q4978" s="27" t="s">
        <v>234</v>
      </c>
      <c r="R4978" s="26">
        <v>12</v>
      </c>
      <c r="S4978" s="59">
        <v>6034.8</v>
      </c>
      <c r="T4978" s="4">
        <f>R4978*S4978</f>
        <v>72417.600000000006</v>
      </c>
      <c r="U4978" s="4">
        <f>T4978*1.12</f>
        <v>81107.712000000014</v>
      </c>
      <c r="V4978" s="3"/>
      <c r="W4978" s="3">
        <v>2014</v>
      </c>
      <c r="X4978" s="3"/>
    </row>
    <row r="4979" spans="1:24" ht="114.75">
      <c r="A4979" s="3" t="s">
        <v>2025</v>
      </c>
      <c r="B4979" s="6" t="s">
        <v>361</v>
      </c>
      <c r="C4979" s="6" t="s">
        <v>5915</v>
      </c>
      <c r="D4979" s="6" t="s">
        <v>5477</v>
      </c>
      <c r="E4979" s="6" t="s">
        <v>5916</v>
      </c>
      <c r="F4979" s="107" t="s">
        <v>5917</v>
      </c>
      <c r="G4979" s="57" t="s">
        <v>11449</v>
      </c>
      <c r="H4979" s="54">
        <v>0</v>
      </c>
      <c r="I4979" s="16">
        <v>470000000</v>
      </c>
      <c r="J4979" s="56" t="s">
        <v>229</v>
      </c>
      <c r="K4979" s="57" t="s">
        <v>641</v>
      </c>
      <c r="L4979" s="12" t="s">
        <v>404</v>
      </c>
      <c r="M4979" s="3" t="s">
        <v>230</v>
      </c>
      <c r="N4979" s="8" t="s">
        <v>9479</v>
      </c>
      <c r="O4979" s="6" t="s">
        <v>365</v>
      </c>
      <c r="P4979" s="58">
        <v>796</v>
      </c>
      <c r="Q4979" s="27" t="s">
        <v>234</v>
      </c>
      <c r="R4979" s="26">
        <v>20</v>
      </c>
      <c r="S4979" s="59">
        <f>1300*1.07</f>
        <v>1391</v>
      </c>
      <c r="T4979" s="4">
        <v>0</v>
      </c>
      <c r="U4979" s="4">
        <f t="shared" si="225"/>
        <v>0</v>
      </c>
      <c r="V4979" s="3"/>
      <c r="W4979" s="3">
        <v>2014</v>
      </c>
      <c r="X4979" s="3">
        <v>11</v>
      </c>
    </row>
    <row r="4980" spans="1:24" ht="114.75">
      <c r="A4980" s="3" t="s">
        <v>12726</v>
      </c>
      <c r="B4980" s="6" t="s">
        <v>361</v>
      </c>
      <c r="C4980" s="6" t="s">
        <v>5915</v>
      </c>
      <c r="D4980" s="6" t="s">
        <v>5477</v>
      </c>
      <c r="E4980" s="6" t="s">
        <v>5916</v>
      </c>
      <c r="F4980" s="107" t="s">
        <v>5917</v>
      </c>
      <c r="G4980" s="57" t="s">
        <v>11449</v>
      </c>
      <c r="H4980" s="54">
        <v>0</v>
      </c>
      <c r="I4980" s="16">
        <v>470000000</v>
      </c>
      <c r="J4980" s="56" t="s">
        <v>229</v>
      </c>
      <c r="K4980" s="57" t="s">
        <v>642</v>
      </c>
      <c r="L4980" s="12" t="s">
        <v>404</v>
      </c>
      <c r="M4980" s="3" t="s">
        <v>230</v>
      </c>
      <c r="N4980" s="8" t="s">
        <v>9479</v>
      </c>
      <c r="O4980" s="6" t="s">
        <v>365</v>
      </c>
      <c r="P4980" s="58">
        <v>796</v>
      </c>
      <c r="Q4980" s="27" t="s">
        <v>234</v>
      </c>
      <c r="R4980" s="26">
        <v>20</v>
      </c>
      <c r="S4980" s="59">
        <f>1300*1.07</f>
        <v>1391</v>
      </c>
      <c r="T4980" s="4">
        <f>R4980*S4980</f>
        <v>27820</v>
      </c>
      <c r="U4980" s="4">
        <f>T4980*1.12</f>
        <v>31158.400000000001</v>
      </c>
      <c r="V4980" s="3"/>
      <c r="W4980" s="3">
        <v>2014</v>
      </c>
      <c r="X4980" s="3"/>
    </row>
    <row r="4981" spans="1:24" ht="114.75">
      <c r="A4981" s="3" t="s">
        <v>2026</v>
      </c>
      <c r="B4981" s="6" t="s">
        <v>361</v>
      </c>
      <c r="C4981" s="6" t="s">
        <v>5799</v>
      </c>
      <c r="D4981" s="6" t="s">
        <v>422</v>
      </c>
      <c r="E4981" s="6" t="s">
        <v>5800</v>
      </c>
      <c r="F4981" s="107" t="s">
        <v>5918</v>
      </c>
      <c r="G4981" s="57" t="s">
        <v>11449</v>
      </c>
      <c r="H4981" s="54">
        <v>0</v>
      </c>
      <c r="I4981" s="16">
        <v>470000000</v>
      </c>
      <c r="J4981" s="56" t="s">
        <v>229</v>
      </c>
      <c r="K4981" s="57" t="s">
        <v>641</v>
      </c>
      <c r="L4981" s="12" t="s">
        <v>404</v>
      </c>
      <c r="M4981" s="3" t="s">
        <v>230</v>
      </c>
      <c r="N4981" s="8" t="s">
        <v>9479</v>
      </c>
      <c r="O4981" s="6" t="s">
        <v>365</v>
      </c>
      <c r="P4981" s="58">
        <v>796</v>
      </c>
      <c r="Q4981" s="27" t="s">
        <v>234</v>
      </c>
      <c r="R4981" s="26">
        <v>20</v>
      </c>
      <c r="S4981" s="59">
        <f>2200*1.07</f>
        <v>2354</v>
      </c>
      <c r="T4981" s="4">
        <v>0</v>
      </c>
      <c r="U4981" s="4">
        <f t="shared" si="225"/>
        <v>0</v>
      </c>
      <c r="V4981" s="3"/>
      <c r="W4981" s="3">
        <v>2014</v>
      </c>
      <c r="X4981" s="3">
        <v>11</v>
      </c>
    </row>
    <row r="4982" spans="1:24" ht="114.75">
      <c r="A4982" s="3" t="s">
        <v>12727</v>
      </c>
      <c r="B4982" s="6" t="s">
        <v>361</v>
      </c>
      <c r="C4982" s="6" t="s">
        <v>5799</v>
      </c>
      <c r="D4982" s="6" t="s">
        <v>422</v>
      </c>
      <c r="E4982" s="6" t="s">
        <v>5800</v>
      </c>
      <c r="F4982" s="107" t="s">
        <v>5918</v>
      </c>
      <c r="G4982" s="57" t="s">
        <v>11449</v>
      </c>
      <c r="H4982" s="54">
        <v>0</v>
      </c>
      <c r="I4982" s="16">
        <v>470000000</v>
      </c>
      <c r="J4982" s="56" t="s">
        <v>229</v>
      </c>
      <c r="K4982" s="57" t="s">
        <v>642</v>
      </c>
      <c r="L4982" s="12" t="s">
        <v>404</v>
      </c>
      <c r="M4982" s="3" t="s">
        <v>230</v>
      </c>
      <c r="N4982" s="8" t="s">
        <v>9479</v>
      </c>
      <c r="O4982" s="6" t="s">
        <v>365</v>
      </c>
      <c r="P4982" s="58">
        <v>796</v>
      </c>
      <c r="Q4982" s="27" t="s">
        <v>234</v>
      </c>
      <c r="R4982" s="26">
        <v>20</v>
      </c>
      <c r="S4982" s="59">
        <f>2200*1.07</f>
        <v>2354</v>
      </c>
      <c r="T4982" s="4">
        <f>R4982*S4982</f>
        <v>47080</v>
      </c>
      <c r="U4982" s="4">
        <f>T4982*1.12</f>
        <v>52729.600000000006</v>
      </c>
      <c r="V4982" s="3"/>
      <c r="W4982" s="3">
        <v>2014</v>
      </c>
      <c r="X4982" s="3"/>
    </row>
    <row r="4983" spans="1:24" ht="114.75">
      <c r="A4983" s="3" t="s">
        <v>2027</v>
      </c>
      <c r="B4983" s="6" t="s">
        <v>361</v>
      </c>
      <c r="C4983" s="6" t="s">
        <v>5919</v>
      </c>
      <c r="D4983" s="6" t="s">
        <v>5920</v>
      </c>
      <c r="E4983" s="6" t="s">
        <v>5332</v>
      </c>
      <c r="F4983" s="225" t="s">
        <v>5921</v>
      </c>
      <c r="G4983" s="57" t="s">
        <v>11449</v>
      </c>
      <c r="H4983" s="54">
        <v>0</v>
      </c>
      <c r="I4983" s="16">
        <v>470000000</v>
      </c>
      <c r="J4983" s="56" t="s">
        <v>229</v>
      </c>
      <c r="K4983" s="57" t="s">
        <v>641</v>
      </c>
      <c r="L4983" s="12" t="s">
        <v>404</v>
      </c>
      <c r="M4983" s="3" t="s">
        <v>230</v>
      </c>
      <c r="N4983" s="8" t="s">
        <v>9479</v>
      </c>
      <c r="O4983" s="6" t="s">
        <v>365</v>
      </c>
      <c r="P4983" s="58">
        <v>796</v>
      </c>
      <c r="Q4983" s="27" t="s">
        <v>234</v>
      </c>
      <c r="R4983" s="26">
        <v>10</v>
      </c>
      <c r="S4983" s="59">
        <f>7900*1.07</f>
        <v>8453</v>
      </c>
      <c r="T4983" s="4">
        <v>0</v>
      </c>
      <c r="U4983" s="4">
        <f t="shared" ref="U4983:U5044" si="226">T4983*1.12</f>
        <v>0</v>
      </c>
      <c r="V4983" s="3"/>
      <c r="W4983" s="3">
        <v>2014</v>
      </c>
      <c r="X4983" s="3">
        <v>11</v>
      </c>
    </row>
    <row r="4984" spans="1:24" ht="114.75">
      <c r="A4984" s="3" t="s">
        <v>12728</v>
      </c>
      <c r="B4984" s="6" t="s">
        <v>361</v>
      </c>
      <c r="C4984" s="6" t="s">
        <v>5919</v>
      </c>
      <c r="D4984" s="6" t="s">
        <v>5920</v>
      </c>
      <c r="E4984" s="6" t="s">
        <v>5332</v>
      </c>
      <c r="F4984" s="225" t="s">
        <v>5921</v>
      </c>
      <c r="G4984" s="57" t="s">
        <v>11449</v>
      </c>
      <c r="H4984" s="54">
        <v>0</v>
      </c>
      <c r="I4984" s="16">
        <v>470000000</v>
      </c>
      <c r="J4984" s="56" t="s">
        <v>229</v>
      </c>
      <c r="K4984" s="57" t="s">
        <v>642</v>
      </c>
      <c r="L4984" s="12" t="s">
        <v>404</v>
      </c>
      <c r="M4984" s="3" t="s">
        <v>230</v>
      </c>
      <c r="N4984" s="8" t="s">
        <v>9479</v>
      </c>
      <c r="O4984" s="6" t="s">
        <v>365</v>
      </c>
      <c r="P4984" s="58">
        <v>796</v>
      </c>
      <c r="Q4984" s="27" t="s">
        <v>234</v>
      </c>
      <c r="R4984" s="26">
        <v>10</v>
      </c>
      <c r="S4984" s="59">
        <f>7900*1.07</f>
        <v>8453</v>
      </c>
      <c r="T4984" s="4">
        <f>R4984*S4984</f>
        <v>84530</v>
      </c>
      <c r="U4984" s="4">
        <f>T4984*1.12</f>
        <v>94673.600000000006</v>
      </c>
      <c r="V4984" s="3"/>
      <c r="W4984" s="3">
        <v>2014</v>
      </c>
      <c r="X4984" s="3"/>
    </row>
    <row r="4985" spans="1:24" ht="114.75">
      <c r="A4985" s="3" t="s">
        <v>2028</v>
      </c>
      <c r="B4985" s="6" t="s">
        <v>361</v>
      </c>
      <c r="C4985" s="6" t="s">
        <v>5922</v>
      </c>
      <c r="D4985" s="6" t="s">
        <v>5545</v>
      </c>
      <c r="E4985" s="6" t="s">
        <v>5923</v>
      </c>
      <c r="F4985" s="225" t="s">
        <v>5924</v>
      </c>
      <c r="G4985" s="57" t="s">
        <v>11449</v>
      </c>
      <c r="H4985" s="54">
        <v>0</v>
      </c>
      <c r="I4985" s="16">
        <v>470000000</v>
      </c>
      <c r="J4985" s="56" t="s">
        <v>229</v>
      </c>
      <c r="K4985" s="57" t="s">
        <v>641</v>
      </c>
      <c r="L4985" s="12" t="s">
        <v>404</v>
      </c>
      <c r="M4985" s="3" t="s">
        <v>230</v>
      </c>
      <c r="N4985" s="8" t="s">
        <v>9479</v>
      </c>
      <c r="O4985" s="6" t="s">
        <v>365</v>
      </c>
      <c r="P4985" s="58">
        <v>796</v>
      </c>
      <c r="Q4985" s="27" t="s">
        <v>234</v>
      </c>
      <c r="R4985" s="26">
        <v>10</v>
      </c>
      <c r="S4985" s="59">
        <f>100*1.07</f>
        <v>107</v>
      </c>
      <c r="T4985" s="4">
        <v>0</v>
      </c>
      <c r="U4985" s="4">
        <f t="shared" si="226"/>
        <v>0</v>
      </c>
      <c r="V4985" s="3"/>
      <c r="W4985" s="3">
        <v>2014</v>
      </c>
      <c r="X4985" s="3">
        <v>11</v>
      </c>
    </row>
    <row r="4986" spans="1:24" ht="114.75">
      <c r="A4986" s="3" t="s">
        <v>12729</v>
      </c>
      <c r="B4986" s="6" t="s">
        <v>361</v>
      </c>
      <c r="C4986" s="6" t="s">
        <v>5922</v>
      </c>
      <c r="D4986" s="6" t="s">
        <v>5545</v>
      </c>
      <c r="E4986" s="6" t="s">
        <v>5923</v>
      </c>
      <c r="F4986" s="225" t="s">
        <v>5924</v>
      </c>
      <c r="G4986" s="57" t="s">
        <v>11449</v>
      </c>
      <c r="H4986" s="54">
        <v>0</v>
      </c>
      <c r="I4986" s="16">
        <v>470000000</v>
      </c>
      <c r="J4986" s="56" t="s">
        <v>229</v>
      </c>
      <c r="K4986" s="57" t="s">
        <v>642</v>
      </c>
      <c r="L4986" s="12" t="s">
        <v>404</v>
      </c>
      <c r="M4986" s="3" t="s">
        <v>230</v>
      </c>
      <c r="N4986" s="8" t="s">
        <v>9479</v>
      </c>
      <c r="O4986" s="6" t="s">
        <v>365</v>
      </c>
      <c r="P4986" s="58">
        <v>796</v>
      </c>
      <c r="Q4986" s="27" t="s">
        <v>234</v>
      </c>
      <c r="R4986" s="26">
        <v>10</v>
      </c>
      <c r="S4986" s="59">
        <f>100*1.07</f>
        <v>107</v>
      </c>
      <c r="T4986" s="4">
        <f>R4986*S4986</f>
        <v>1070</v>
      </c>
      <c r="U4986" s="4">
        <f>T4986*1.12</f>
        <v>1198.4000000000001</v>
      </c>
      <c r="V4986" s="3"/>
      <c r="W4986" s="3">
        <v>2014</v>
      </c>
      <c r="X4986" s="3"/>
    </row>
    <row r="4987" spans="1:24" ht="114.75">
      <c r="A4987" s="3" t="s">
        <v>2029</v>
      </c>
      <c r="B4987" s="6" t="s">
        <v>361</v>
      </c>
      <c r="C4987" s="6" t="s">
        <v>5544</v>
      </c>
      <c r="D4987" s="6" t="s">
        <v>5545</v>
      </c>
      <c r="E4987" s="6" t="s">
        <v>5546</v>
      </c>
      <c r="F4987" s="225" t="s">
        <v>5925</v>
      </c>
      <c r="G4987" s="57" t="s">
        <v>11449</v>
      </c>
      <c r="H4987" s="54">
        <v>0</v>
      </c>
      <c r="I4987" s="16">
        <v>470000000</v>
      </c>
      <c r="J4987" s="56" t="s">
        <v>229</v>
      </c>
      <c r="K4987" s="57" t="s">
        <v>641</v>
      </c>
      <c r="L4987" s="12" t="s">
        <v>404</v>
      </c>
      <c r="M4987" s="3" t="s">
        <v>230</v>
      </c>
      <c r="N4987" s="8" t="s">
        <v>9479</v>
      </c>
      <c r="O4987" s="6" t="s">
        <v>365</v>
      </c>
      <c r="P4987" s="58">
        <v>796</v>
      </c>
      <c r="Q4987" s="27" t="s">
        <v>234</v>
      </c>
      <c r="R4987" s="26">
        <v>10</v>
      </c>
      <c r="S4987" s="59">
        <f>500*1.07</f>
        <v>535</v>
      </c>
      <c r="T4987" s="4">
        <v>0</v>
      </c>
      <c r="U4987" s="4">
        <f t="shared" si="226"/>
        <v>0</v>
      </c>
      <c r="V4987" s="3"/>
      <c r="W4987" s="3">
        <v>2014</v>
      </c>
      <c r="X4987" s="3">
        <v>11</v>
      </c>
    </row>
    <row r="4988" spans="1:24" ht="114.75">
      <c r="A4988" s="3" t="s">
        <v>12730</v>
      </c>
      <c r="B4988" s="6" t="s">
        <v>361</v>
      </c>
      <c r="C4988" s="6" t="s">
        <v>5544</v>
      </c>
      <c r="D4988" s="6" t="s">
        <v>5545</v>
      </c>
      <c r="E4988" s="6" t="s">
        <v>5546</v>
      </c>
      <c r="F4988" s="225" t="s">
        <v>5925</v>
      </c>
      <c r="G4988" s="57" t="s">
        <v>11449</v>
      </c>
      <c r="H4988" s="54">
        <v>0</v>
      </c>
      <c r="I4988" s="16">
        <v>470000000</v>
      </c>
      <c r="J4988" s="56" t="s">
        <v>229</v>
      </c>
      <c r="K4988" s="57" t="s">
        <v>642</v>
      </c>
      <c r="L4988" s="12" t="s">
        <v>404</v>
      </c>
      <c r="M4988" s="3" t="s">
        <v>230</v>
      </c>
      <c r="N4988" s="8" t="s">
        <v>9479</v>
      </c>
      <c r="O4988" s="6" t="s">
        <v>365</v>
      </c>
      <c r="P4988" s="58">
        <v>796</v>
      </c>
      <c r="Q4988" s="27" t="s">
        <v>234</v>
      </c>
      <c r="R4988" s="26">
        <v>10</v>
      </c>
      <c r="S4988" s="59">
        <f>500*1.07</f>
        <v>535</v>
      </c>
      <c r="T4988" s="4">
        <v>0</v>
      </c>
      <c r="U4988" s="4">
        <f>T4988*1.12</f>
        <v>0</v>
      </c>
      <c r="V4988" s="3"/>
      <c r="W4988" s="3">
        <v>2014</v>
      </c>
      <c r="X4988" s="3" t="s">
        <v>14785</v>
      </c>
    </row>
    <row r="4989" spans="1:24" ht="114.75">
      <c r="A4989" s="3" t="s">
        <v>16915</v>
      </c>
      <c r="B4989" s="6" t="s">
        <v>361</v>
      </c>
      <c r="C4989" s="6" t="s">
        <v>5544</v>
      </c>
      <c r="D4989" s="6" t="s">
        <v>5545</v>
      </c>
      <c r="E4989" s="6" t="s">
        <v>5546</v>
      </c>
      <c r="F4989" s="225" t="s">
        <v>5925</v>
      </c>
      <c r="G4989" s="3" t="s">
        <v>11449</v>
      </c>
      <c r="H4989" s="54">
        <v>0</v>
      </c>
      <c r="I4989" s="16">
        <v>470000000</v>
      </c>
      <c r="J4989" s="56" t="s">
        <v>229</v>
      </c>
      <c r="K4989" s="57" t="s">
        <v>8950</v>
      </c>
      <c r="L4989" s="12" t="s">
        <v>404</v>
      </c>
      <c r="M4989" s="3" t="s">
        <v>230</v>
      </c>
      <c r="N4989" s="8" t="s">
        <v>9479</v>
      </c>
      <c r="O4989" s="6" t="s">
        <v>365</v>
      </c>
      <c r="P4989" s="58">
        <v>796</v>
      </c>
      <c r="Q4989" s="27" t="s">
        <v>234</v>
      </c>
      <c r="R4989" s="26">
        <v>10</v>
      </c>
      <c r="S4989" s="59">
        <v>642</v>
      </c>
      <c r="T4989" s="4">
        <f>R4989*S4989</f>
        <v>6420</v>
      </c>
      <c r="U4989" s="4">
        <f>T4989*1.12</f>
        <v>7190.4000000000005</v>
      </c>
      <c r="V4989" s="3"/>
      <c r="W4989" s="3">
        <v>2014</v>
      </c>
      <c r="X4989" s="3"/>
    </row>
    <row r="4990" spans="1:24" ht="127.5">
      <c r="A4990" s="3" t="s">
        <v>2030</v>
      </c>
      <c r="B4990" s="6" t="s">
        <v>361</v>
      </c>
      <c r="C4990" s="6" t="s">
        <v>5926</v>
      </c>
      <c r="D4990" s="6" t="s">
        <v>3119</v>
      </c>
      <c r="E4990" s="6" t="s">
        <v>5927</v>
      </c>
      <c r="F4990" s="225" t="s">
        <v>5928</v>
      </c>
      <c r="G4990" s="57" t="s">
        <v>11449</v>
      </c>
      <c r="H4990" s="54">
        <v>0</v>
      </c>
      <c r="I4990" s="16">
        <v>470000000</v>
      </c>
      <c r="J4990" s="56" t="s">
        <v>229</v>
      </c>
      <c r="K4990" s="57" t="s">
        <v>641</v>
      </c>
      <c r="L4990" s="12" t="s">
        <v>404</v>
      </c>
      <c r="M4990" s="3" t="s">
        <v>230</v>
      </c>
      <c r="N4990" s="8" t="s">
        <v>9479</v>
      </c>
      <c r="O4990" s="6" t="s">
        <v>365</v>
      </c>
      <c r="P4990" s="58">
        <v>796</v>
      </c>
      <c r="Q4990" s="27" t="s">
        <v>234</v>
      </c>
      <c r="R4990" s="26">
        <v>4</v>
      </c>
      <c r="S4990" s="59">
        <f>455000*1.07</f>
        <v>486850</v>
      </c>
      <c r="T4990" s="4">
        <v>0</v>
      </c>
      <c r="U4990" s="4">
        <f t="shared" si="226"/>
        <v>0</v>
      </c>
      <c r="V4990" s="3"/>
      <c r="W4990" s="3">
        <v>2014</v>
      </c>
      <c r="X4990" s="3">
        <v>11</v>
      </c>
    </row>
    <row r="4991" spans="1:24" ht="127.5">
      <c r="A4991" s="3" t="s">
        <v>12731</v>
      </c>
      <c r="B4991" s="6" t="s">
        <v>361</v>
      </c>
      <c r="C4991" s="6" t="s">
        <v>5926</v>
      </c>
      <c r="D4991" s="6" t="s">
        <v>3119</v>
      </c>
      <c r="E4991" s="6" t="s">
        <v>5927</v>
      </c>
      <c r="F4991" s="225" t="s">
        <v>5928</v>
      </c>
      <c r="G4991" s="57" t="s">
        <v>11449</v>
      </c>
      <c r="H4991" s="54">
        <v>0</v>
      </c>
      <c r="I4991" s="16">
        <v>470000000</v>
      </c>
      <c r="J4991" s="56" t="s">
        <v>229</v>
      </c>
      <c r="K4991" s="57" t="s">
        <v>642</v>
      </c>
      <c r="L4991" s="12" t="s">
        <v>404</v>
      </c>
      <c r="M4991" s="3" t="s">
        <v>230</v>
      </c>
      <c r="N4991" s="8" t="s">
        <v>9479</v>
      </c>
      <c r="O4991" s="6" t="s">
        <v>365</v>
      </c>
      <c r="P4991" s="58">
        <v>796</v>
      </c>
      <c r="Q4991" s="27" t="s">
        <v>234</v>
      </c>
      <c r="R4991" s="26">
        <v>4</v>
      </c>
      <c r="S4991" s="59">
        <f>455000*1.07</f>
        <v>486850</v>
      </c>
      <c r="T4991" s="4">
        <v>0</v>
      </c>
      <c r="U4991" s="4">
        <f>T4991*1.12</f>
        <v>0</v>
      </c>
      <c r="V4991" s="3"/>
      <c r="W4991" s="3">
        <v>2014</v>
      </c>
      <c r="X4991" s="3" t="s">
        <v>17315</v>
      </c>
    </row>
    <row r="4992" spans="1:24" ht="127.5">
      <c r="A4992" s="3" t="s">
        <v>16916</v>
      </c>
      <c r="B4992" s="6" t="s">
        <v>361</v>
      </c>
      <c r="C4992" s="6" t="s">
        <v>5926</v>
      </c>
      <c r="D4992" s="6" t="s">
        <v>3119</v>
      </c>
      <c r="E4992" s="6" t="s">
        <v>5927</v>
      </c>
      <c r="F4992" s="338" t="s">
        <v>17120</v>
      </c>
      <c r="G4992" s="3" t="s">
        <v>11449</v>
      </c>
      <c r="H4992" s="54">
        <v>0</v>
      </c>
      <c r="I4992" s="16">
        <v>470000000</v>
      </c>
      <c r="J4992" s="56" t="s">
        <v>229</v>
      </c>
      <c r="K4992" s="57" t="s">
        <v>8950</v>
      </c>
      <c r="L4992" s="12" t="s">
        <v>404</v>
      </c>
      <c r="M4992" s="3" t="s">
        <v>230</v>
      </c>
      <c r="N4992" s="8" t="s">
        <v>9479</v>
      </c>
      <c r="O4992" s="6" t="s">
        <v>365</v>
      </c>
      <c r="P4992" s="58">
        <v>796</v>
      </c>
      <c r="Q4992" s="336" t="s">
        <v>234</v>
      </c>
      <c r="R4992" s="333">
        <v>4</v>
      </c>
      <c r="S4992" s="59">
        <v>584220</v>
      </c>
      <c r="T4992" s="4">
        <v>0</v>
      </c>
      <c r="U4992" s="4">
        <f t="shared" ref="U4992:U4993" si="227">T4992*1.12</f>
        <v>0</v>
      </c>
      <c r="V4992" s="3"/>
      <c r="W4992" s="3">
        <v>2014</v>
      </c>
      <c r="X4992" s="3" t="s">
        <v>19394</v>
      </c>
    </row>
    <row r="4993" spans="1:24" ht="127.5">
      <c r="A4993" s="3" t="s">
        <v>19138</v>
      </c>
      <c r="B4993" s="6" t="s">
        <v>361</v>
      </c>
      <c r="C4993" s="6" t="s">
        <v>5926</v>
      </c>
      <c r="D4993" s="6" t="s">
        <v>3119</v>
      </c>
      <c r="E4993" s="6" t="s">
        <v>5927</v>
      </c>
      <c r="F4993" s="338" t="s">
        <v>17120</v>
      </c>
      <c r="G4993" s="3" t="s">
        <v>11449</v>
      </c>
      <c r="H4993" s="54">
        <v>0</v>
      </c>
      <c r="I4993" s="16">
        <v>470000000</v>
      </c>
      <c r="J4993" s="56" t="s">
        <v>229</v>
      </c>
      <c r="K4993" s="57" t="s">
        <v>18437</v>
      </c>
      <c r="L4993" s="12" t="s">
        <v>404</v>
      </c>
      <c r="M4993" s="3" t="s">
        <v>230</v>
      </c>
      <c r="N4993" s="8" t="s">
        <v>19369</v>
      </c>
      <c r="O4993" s="6" t="s">
        <v>19407</v>
      </c>
      <c r="P4993" s="58">
        <v>796</v>
      </c>
      <c r="Q4993" s="336" t="s">
        <v>234</v>
      </c>
      <c r="R4993" s="333">
        <v>2</v>
      </c>
      <c r="S4993" s="59">
        <v>1200000</v>
      </c>
      <c r="T4993" s="4">
        <f>R4993*S4993</f>
        <v>2400000</v>
      </c>
      <c r="U4993" s="4">
        <f t="shared" si="227"/>
        <v>2688000.0000000005</v>
      </c>
      <c r="V4993" s="3"/>
      <c r="W4993" s="3">
        <v>2014</v>
      </c>
      <c r="X4993" s="3"/>
    </row>
    <row r="4994" spans="1:24" ht="114.75">
      <c r="A4994" s="3" t="s">
        <v>2031</v>
      </c>
      <c r="B4994" s="6" t="s">
        <v>361</v>
      </c>
      <c r="C4994" s="6" t="s">
        <v>5929</v>
      </c>
      <c r="D4994" s="6" t="s">
        <v>5930</v>
      </c>
      <c r="E4994" s="6" t="s">
        <v>5183</v>
      </c>
      <c r="F4994" s="225" t="s">
        <v>5931</v>
      </c>
      <c r="G4994" s="57" t="s">
        <v>11449</v>
      </c>
      <c r="H4994" s="54">
        <v>0</v>
      </c>
      <c r="I4994" s="16">
        <v>470000000</v>
      </c>
      <c r="J4994" s="56" t="s">
        <v>229</v>
      </c>
      <c r="K4994" s="57" t="s">
        <v>641</v>
      </c>
      <c r="L4994" s="12" t="s">
        <v>404</v>
      </c>
      <c r="M4994" s="3" t="s">
        <v>230</v>
      </c>
      <c r="N4994" s="8" t="s">
        <v>9479</v>
      </c>
      <c r="O4994" s="6" t="s">
        <v>365</v>
      </c>
      <c r="P4994" s="58">
        <v>796</v>
      </c>
      <c r="Q4994" s="27" t="s">
        <v>234</v>
      </c>
      <c r="R4994" s="26">
        <v>10</v>
      </c>
      <c r="S4994" s="59">
        <f>1100*1.07</f>
        <v>1177</v>
      </c>
      <c r="T4994" s="4">
        <v>0</v>
      </c>
      <c r="U4994" s="4">
        <f t="shared" si="226"/>
        <v>0</v>
      </c>
      <c r="V4994" s="3"/>
      <c r="W4994" s="3">
        <v>2014</v>
      </c>
      <c r="X4994" s="3">
        <v>11</v>
      </c>
    </row>
    <row r="4995" spans="1:24" ht="114.75">
      <c r="A4995" s="3" t="s">
        <v>12732</v>
      </c>
      <c r="B4995" s="6" t="s">
        <v>361</v>
      </c>
      <c r="C4995" s="6" t="s">
        <v>5929</v>
      </c>
      <c r="D4995" s="6" t="s">
        <v>5930</v>
      </c>
      <c r="E4995" s="6" t="s">
        <v>5183</v>
      </c>
      <c r="F4995" s="225" t="s">
        <v>5931</v>
      </c>
      <c r="G4995" s="57" t="s">
        <v>11449</v>
      </c>
      <c r="H4995" s="54">
        <v>0</v>
      </c>
      <c r="I4995" s="16">
        <v>470000000</v>
      </c>
      <c r="J4995" s="56" t="s">
        <v>229</v>
      </c>
      <c r="K4995" s="57" t="s">
        <v>642</v>
      </c>
      <c r="L4995" s="12" t="s">
        <v>404</v>
      </c>
      <c r="M4995" s="3" t="s">
        <v>230</v>
      </c>
      <c r="N4995" s="8" t="s">
        <v>9479</v>
      </c>
      <c r="O4995" s="6" t="s">
        <v>365</v>
      </c>
      <c r="P4995" s="58">
        <v>796</v>
      </c>
      <c r="Q4995" s="27" t="s">
        <v>234</v>
      </c>
      <c r="R4995" s="26">
        <v>10</v>
      </c>
      <c r="S4995" s="59">
        <f>1100*1.07</f>
        <v>1177</v>
      </c>
      <c r="T4995" s="4">
        <f>R4995*S4995</f>
        <v>11770</v>
      </c>
      <c r="U4995" s="4">
        <f>T4995*1.12</f>
        <v>13182.400000000001</v>
      </c>
      <c r="V4995" s="3"/>
      <c r="W4995" s="3">
        <v>2014</v>
      </c>
      <c r="X4995" s="3"/>
    </row>
    <row r="4996" spans="1:24" ht="114.75">
      <c r="A4996" s="3" t="s">
        <v>2032</v>
      </c>
      <c r="B4996" s="6" t="s">
        <v>361</v>
      </c>
      <c r="C4996" s="6" t="s">
        <v>5932</v>
      </c>
      <c r="D4996" s="6" t="s">
        <v>387</v>
      </c>
      <c r="E4996" s="6" t="s">
        <v>5933</v>
      </c>
      <c r="F4996" s="225" t="s">
        <v>5934</v>
      </c>
      <c r="G4996" s="57" t="s">
        <v>11449</v>
      </c>
      <c r="H4996" s="54">
        <v>0</v>
      </c>
      <c r="I4996" s="16">
        <v>470000000</v>
      </c>
      <c r="J4996" s="56" t="s">
        <v>229</v>
      </c>
      <c r="K4996" s="57" t="s">
        <v>641</v>
      </c>
      <c r="L4996" s="12" t="s">
        <v>404</v>
      </c>
      <c r="M4996" s="3" t="s">
        <v>230</v>
      </c>
      <c r="N4996" s="8" t="s">
        <v>9479</v>
      </c>
      <c r="O4996" s="6" t="s">
        <v>365</v>
      </c>
      <c r="P4996" s="58">
        <v>796</v>
      </c>
      <c r="Q4996" s="27" t="s">
        <v>234</v>
      </c>
      <c r="R4996" s="26">
        <v>100</v>
      </c>
      <c r="S4996" s="59">
        <f>100*1.07</f>
        <v>107</v>
      </c>
      <c r="T4996" s="4">
        <v>0</v>
      </c>
      <c r="U4996" s="4">
        <f t="shared" si="226"/>
        <v>0</v>
      </c>
      <c r="V4996" s="3"/>
      <c r="W4996" s="3">
        <v>2014</v>
      </c>
      <c r="X4996" s="3">
        <v>11</v>
      </c>
    </row>
    <row r="4997" spans="1:24" ht="114.75">
      <c r="A4997" s="3" t="s">
        <v>12733</v>
      </c>
      <c r="B4997" s="6" t="s">
        <v>361</v>
      </c>
      <c r="C4997" s="6" t="s">
        <v>5932</v>
      </c>
      <c r="D4997" s="6" t="s">
        <v>387</v>
      </c>
      <c r="E4997" s="6" t="s">
        <v>5933</v>
      </c>
      <c r="F4997" s="225" t="s">
        <v>5934</v>
      </c>
      <c r="G4997" s="57" t="s">
        <v>11449</v>
      </c>
      <c r="H4997" s="54">
        <v>0</v>
      </c>
      <c r="I4997" s="16">
        <v>470000000</v>
      </c>
      <c r="J4997" s="56" t="s">
        <v>229</v>
      </c>
      <c r="K4997" s="57" t="s">
        <v>642</v>
      </c>
      <c r="L4997" s="12" t="s">
        <v>404</v>
      </c>
      <c r="M4997" s="3" t="s">
        <v>230</v>
      </c>
      <c r="N4997" s="8" t="s">
        <v>9479</v>
      </c>
      <c r="O4997" s="6" t="s">
        <v>365</v>
      </c>
      <c r="P4997" s="58">
        <v>796</v>
      </c>
      <c r="Q4997" s="27" t="s">
        <v>234</v>
      </c>
      <c r="R4997" s="26">
        <v>100</v>
      </c>
      <c r="S4997" s="59">
        <f>100*1.07</f>
        <v>107</v>
      </c>
      <c r="T4997" s="4">
        <f>R4997*S4997</f>
        <v>10700</v>
      </c>
      <c r="U4997" s="4">
        <f>T4997*1.12</f>
        <v>11984.000000000002</v>
      </c>
      <c r="V4997" s="3"/>
      <c r="W4997" s="3">
        <v>2014</v>
      </c>
      <c r="X4997" s="3"/>
    </row>
    <row r="4998" spans="1:24" ht="114.75">
      <c r="A4998" s="3" t="s">
        <v>2033</v>
      </c>
      <c r="B4998" s="6" t="s">
        <v>361</v>
      </c>
      <c r="C4998" s="6" t="s">
        <v>5935</v>
      </c>
      <c r="D4998" s="6" t="s">
        <v>5936</v>
      </c>
      <c r="E4998" s="6" t="s">
        <v>5937</v>
      </c>
      <c r="F4998" s="225" t="s">
        <v>5938</v>
      </c>
      <c r="G4998" s="57" t="s">
        <v>11449</v>
      </c>
      <c r="H4998" s="54">
        <v>0</v>
      </c>
      <c r="I4998" s="16">
        <v>470000000</v>
      </c>
      <c r="J4998" s="56" t="s">
        <v>229</v>
      </c>
      <c r="K4998" s="57" t="s">
        <v>641</v>
      </c>
      <c r="L4998" s="12" t="s">
        <v>404</v>
      </c>
      <c r="M4998" s="3" t="s">
        <v>230</v>
      </c>
      <c r="N4998" s="8" t="s">
        <v>9479</v>
      </c>
      <c r="O4998" s="6" t="s">
        <v>365</v>
      </c>
      <c r="P4998" s="58">
        <v>796</v>
      </c>
      <c r="Q4998" s="27" t="s">
        <v>234</v>
      </c>
      <c r="R4998" s="26">
        <v>100</v>
      </c>
      <c r="S4998" s="59">
        <f>100*1.07</f>
        <v>107</v>
      </c>
      <c r="T4998" s="4">
        <v>0</v>
      </c>
      <c r="U4998" s="4">
        <f t="shared" si="226"/>
        <v>0</v>
      </c>
      <c r="V4998" s="3"/>
      <c r="W4998" s="3">
        <v>2014</v>
      </c>
      <c r="X4998" s="3">
        <v>11</v>
      </c>
    </row>
    <row r="4999" spans="1:24" ht="114.75">
      <c r="A4999" s="3" t="s">
        <v>12734</v>
      </c>
      <c r="B4999" s="6" t="s">
        <v>361</v>
      </c>
      <c r="C4999" s="6" t="s">
        <v>5935</v>
      </c>
      <c r="D4999" s="6" t="s">
        <v>5936</v>
      </c>
      <c r="E4999" s="6" t="s">
        <v>5937</v>
      </c>
      <c r="F4999" s="225" t="s">
        <v>5938</v>
      </c>
      <c r="G4999" s="57" t="s">
        <v>11449</v>
      </c>
      <c r="H4999" s="54">
        <v>0</v>
      </c>
      <c r="I4999" s="16">
        <v>470000000</v>
      </c>
      <c r="J4999" s="56" t="s">
        <v>229</v>
      </c>
      <c r="K4999" s="57" t="s">
        <v>642</v>
      </c>
      <c r="L4999" s="12" t="s">
        <v>404</v>
      </c>
      <c r="M4999" s="3" t="s">
        <v>230</v>
      </c>
      <c r="N4999" s="8" t="s">
        <v>9479</v>
      </c>
      <c r="O4999" s="6" t="s">
        <v>365</v>
      </c>
      <c r="P4999" s="58">
        <v>796</v>
      </c>
      <c r="Q4999" s="27" t="s">
        <v>234</v>
      </c>
      <c r="R4999" s="26">
        <v>100</v>
      </c>
      <c r="S4999" s="59">
        <f>100*1.07</f>
        <v>107</v>
      </c>
      <c r="T4999" s="4">
        <f>R4999*S4999</f>
        <v>10700</v>
      </c>
      <c r="U4999" s="4">
        <f>T4999*1.12</f>
        <v>11984.000000000002</v>
      </c>
      <c r="V4999" s="3"/>
      <c r="W4999" s="3">
        <v>2014</v>
      </c>
      <c r="X4999" s="3"/>
    </row>
    <row r="5000" spans="1:24" ht="114.75">
      <c r="A5000" s="3" t="s">
        <v>2034</v>
      </c>
      <c r="B5000" s="6" t="s">
        <v>361</v>
      </c>
      <c r="C5000" s="6" t="s">
        <v>5932</v>
      </c>
      <c r="D5000" s="6" t="s">
        <v>387</v>
      </c>
      <c r="E5000" s="6" t="s">
        <v>5933</v>
      </c>
      <c r="F5000" s="225" t="s">
        <v>5939</v>
      </c>
      <c r="G5000" s="57" t="s">
        <v>11449</v>
      </c>
      <c r="H5000" s="54">
        <v>0</v>
      </c>
      <c r="I5000" s="16">
        <v>470000000</v>
      </c>
      <c r="J5000" s="56" t="s">
        <v>229</v>
      </c>
      <c r="K5000" s="57" t="s">
        <v>641</v>
      </c>
      <c r="L5000" s="12" t="s">
        <v>404</v>
      </c>
      <c r="M5000" s="3" t="s">
        <v>230</v>
      </c>
      <c r="N5000" s="8" t="s">
        <v>9479</v>
      </c>
      <c r="O5000" s="6" t="s">
        <v>365</v>
      </c>
      <c r="P5000" s="58">
        <v>796</v>
      </c>
      <c r="Q5000" s="27" t="s">
        <v>234</v>
      </c>
      <c r="R5000" s="26">
        <v>100</v>
      </c>
      <c r="S5000" s="59">
        <f>50*1.07</f>
        <v>53.5</v>
      </c>
      <c r="T5000" s="4">
        <v>0</v>
      </c>
      <c r="U5000" s="4">
        <f t="shared" si="226"/>
        <v>0</v>
      </c>
      <c r="V5000" s="3"/>
      <c r="W5000" s="3">
        <v>2014</v>
      </c>
      <c r="X5000" s="3">
        <v>11</v>
      </c>
    </row>
    <row r="5001" spans="1:24" ht="114.75">
      <c r="A5001" s="3" t="s">
        <v>12735</v>
      </c>
      <c r="B5001" s="6" t="s">
        <v>361</v>
      </c>
      <c r="C5001" s="6" t="s">
        <v>5932</v>
      </c>
      <c r="D5001" s="6" t="s">
        <v>387</v>
      </c>
      <c r="E5001" s="6" t="s">
        <v>5933</v>
      </c>
      <c r="F5001" s="225" t="s">
        <v>5939</v>
      </c>
      <c r="G5001" s="57" t="s">
        <v>11449</v>
      </c>
      <c r="H5001" s="54">
        <v>0</v>
      </c>
      <c r="I5001" s="16">
        <v>470000000</v>
      </c>
      <c r="J5001" s="56" t="s">
        <v>229</v>
      </c>
      <c r="K5001" s="57" t="s">
        <v>642</v>
      </c>
      <c r="L5001" s="12" t="s">
        <v>404</v>
      </c>
      <c r="M5001" s="3" t="s">
        <v>230</v>
      </c>
      <c r="N5001" s="8" t="s">
        <v>9479</v>
      </c>
      <c r="O5001" s="6" t="s">
        <v>365</v>
      </c>
      <c r="P5001" s="58">
        <v>796</v>
      </c>
      <c r="Q5001" s="27" t="s">
        <v>234</v>
      </c>
      <c r="R5001" s="26">
        <v>100</v>
      </c>
      <c r="S5001" s="59">
        <f>50*1.07</f>
        <v>53.5</v>
      </c>
      <c r="T5001" s="4">
        <f>R5001*S5001</f>
        <v>5350</v>
      </c>
      <c r="U5001" s="4">
        <f>T5001*1.12</f>
        <v>5992.0000000000009</v>
      </c>
      <c r="V5001" s="3"/>
      <c r="W5001" s="3">
        <v>2014</v>
      </c>
      <c r="X5001" s="3"/>
    </row>
    <row r="5002" spans="1:24" ht="114.75">
      <c r="A5002" s="3" t="s">
        <v>2035</v>
      </c>
      <c r="B5002" s="6" t="s">
        <v>361</v>
      </c>
      <c r="C5002" s="6" t="s">
        <v>5940</v>
      </c>
      <c r="D5002" s="6" t="s">
        <v>5941</v>
      </c>
      <c r="E5002" s="6" t="s">
        <v>5743</v>
      </c>
      <c r="F5002" s="225" t="s">
        <v>5942</v>
      </c>
      <c r="G5002" s="57" t="s">
        <v>11449</v>
      </c>
      <c r="H5002" s="54">
        <v>0</v>
      </c>
      <c r="I5002" s="16">
        <v>470000000</v>
      </c>
      <c r="J5002" s="56" t="s">
        <v>229</v>
      </c>
      <c r="K5002" s="57" t="s">
        <v>641</v>
      </c>
      <c r="L5002" s="12" t="s">
        <v>404</v>
      </c>
      <c r="M5002" s="3" t="s">
        <v>230</v>
      </c>
      <c r="N5002" s="8" t="s">
        <v>9479</v>
      </c>
      <c r="O5002" s="6" t="s">
        <v>365</v>
      </c>
      <c r="P5002" s="58">
        <v>796</v>
      </c>
      <c r="Q5002" s="27" t="s">
        <v>234</v>
      </c>
      <c r="R5002" s="26">
        <v>6</v>
      </c>
      <c r="S5002" s="59">
        <f>5800*1.07</f>
        <v>6206</v>
      </c>
      <c r="T5002" s="4">
        <v>0</v>
      </c>
      <c r="U5002" s="4">
        <f t="shared" si="226"/>
        <v>0</v>
      </c>
      <c r="V5002" s="3"/>
      <c r="W5002" s="3">
        <v>2014</v>
      </c>
      <c r="X5002" s="3">
        <v>11</v>
      </c>
    </row>
    <row r="5003" spans="1:24" ht="114.75">
      <c r="A5003" s="3" t="s">
        <v>12736</v>
      </c>
      <c r="B5003" s="6" t="s">
        <v>361</v>
      </c>
      <c r="C5003" s="6" t="s">
        <v>5940</v>
      </c>
      <c r="D5003" s="6" t="s">
        <v>5941</v>
      </c>
      <c r="E5003" s="6" t="s">
        <v>5743</v>
      </c>
      <c r="F5003" s="225" t="s">
        <v>5942</v>
      </c>
      <c r="G5003" s="57" t="s">
        <v>11449</v>
      </c>
      <c r="H5003" s="54">
        <v>0</v>
      </c>
      <c r="I5003" s="16">
        <v>470000000</v>
      </c>
      <c r="J5003" s="56" t="s">
        <v>229</v>
      </c>
      <c r="K5003" s="57" t="s">
        <v>642</v>
      </c>
      <c r="L5003" s="12" t="s">
        <v>404</v>
      </c>
      <c r="M5003" s="3" t="s">
        <v>230</v>
      </c>
      <c r="N5003" s="8" t="s">
        <v>9479</v>
      </c>
      <c r="O5003" s="6" t="s">
        <v>365</v>
      </c>
      <c r="P5003" s="58">
        <v>796</v>
      </c>
      <c r="Q5003" s="27" t="s">
        <v>234</v>
      </c>
      <c r="R5003" s="26">
        <v>6</v>
      </c>
      <c r="S5003" s="59">
        <f>5800*1.07</f>
        <v>6206</v>
      </c>
      <c r="T5003" s="4">
        <f>R5003*S5003</f>
        <v>37236</v>
      </c>
      <c r="U5003" s="4">
        <f>T5003*1.12</f>
        <v>41704.320000000007</v>
      </c>
      <c r="V5003" s="3"/>
      <c r="W5003" s="3">
        <v>2014</v>
      </c>
      <c r="X5003" s="3"/>
    </row>
    <row r="5004" spans="1:24" ht="114.75">
      <c r="A5004" s="3" t="s">
        <v>2036</v>
      </c>
      <c r="B5004" s="6" t="s">
        <v>361</v>
      </c>
      <c r="C5004" s="6" t="s">
        <v>5943</v>
      </c>
      <c r="D5004" s="6" t="s">
        <v>482</v>
      </c>
      <c r="E5004" s="6" t="s">
        <v>5746</v>
      </c>
      <c r="F5004" s="225" t="s">
        <v>5944</v>
      </c>
      <c r="G5004" s="57" t="s">
        <v>11449</v>
      </c>
      <c r="H5004" s="54">
        <v>0</v>
      </c>
      <c r="I5004" s="16">
        <v>470000000</v>
      </c>
      <c r="J5004" s="56" t="s">
        <v>229</v>
      </c>
      <c r="K5004" s="57" t="s">
        <v>641</v>
      </c>
      <c r="L5004" s="12" t="s">
        <v>404</v>
      </c>
      <c r="M5004" s="3" t="s">
        <v>230</v>
      </c>
      <c r="N5004" s="8" t="s">
        <v>9479</v>
      </c>
      <c r="O5004" s="6" t="s">
        <v>365</v>
      </c>
      <c r="P5004" s="58">
        <v>796</v>
      </c>
      <c r="Q5004" s="27" t="s">
        <v>234</v>
      </c>
      <c r="R5004" s="26">
        <v>6</v>
      </c>
      <c r="S5004" s="59">
        <f>2500*1.07</f>
        <v>2675</v>
      </c>
      <c r="T5004" s="4">
        <v>0</v>
      </c>
      <c r="U5004" s="4">
        <f t="shared" si="226"/>
        <v>0</v>
      </c>
      <c r="V5004" s="3"/>
      <c r="W5004" s="3">
        <v>2014</v>
      </c>
      <c r="X5004" s="3">
        <v>11</v>
      </c>
    </row>
    <row r="5005" spans="1:24" ht="114.75">
      <c r="A5005" s="3" t="s">
        <v>12737</v>
      </c>
      <c r="B5005" s="6" t="s">
        <v>361</v>
      </c>
      <c r="C5005" s="6" t="s">
        <v>5943</v>
      </c>
      <c r="D5005" s="6" t="s">
        <v>482</v>
      </c>
      <c r="E5005" s="6" t="s">
        <v>5746</v>
      </c>
      <c r="F5005" s="225" t="s">
        <v>5944</v>
      </c>
      <c r="G5005" s="57" t="s">
        <v>11449</v>
      </c>
      <c r="H5005" s="54">
        <v>0</v>
      </c>
      <c r="I5005" s="16">
        <v>470000000</v>
      </c>
      <c r="J5005" s="56" t="s">
        <v>229</v>
      </c>
      <c r="K5005" s="57" t="s">
        <v>642</v>
      </c>
      <c r="L5005" s="12" t="s">
        <v>404</v>
      </c>
      <c r="M5005" s="3" t="s">
        <v>230</v>
      </c>
      <c r="N5005" s="8" t="s">
        <v>9479</v>
      </c>
      <c r="O5005" s="6" t="s">
        <v>365</v>
      </c>
      <c r="P5005" s="58">
        <v>796</v>
      </c>
      <c r="Q5005" s="27" t="s">
        <v>234</v>
      </c>
      <c r="R5005" s="26">
        <v>6</v>
      </c>
      <c r="S5005" s="59">
        <f>2500*1.07</f>
        <v>2675</v>
      </c>
      <c r="T5005" s="4">
        <f>R5005*S5005</f>
        <v>16050</v>
      </c>
      <c r="U5005" s="4">
        <f>T5005*1.12</f>
        <v>17976</v>
      </c>
      <c r="V5005" s="3"/>
      <c r="W5005" s="3">
        <v>2014</v>
      </c>
      <c r="X5005" s="3"/>
    </row>
    <row r="5006" spans="1:24" ht="114.75">
      <c r="A5006" s="3" t="s">
        <v>2037</v>
      </c>
      <c r="B5006" s="6" t="s">
        <v>361</v>
      </c>
      <c r="C5006" s="6" t="s">
        <v>7334</v>
      </c>
      <c r="D5006" s="6" t="s">
        <v>7335</v>
      </c>
      <c r="E5006" s="6" t="s">
        <v>7336</v>
      </c>
      <c r="F5006" s="226" t="s">
        <v>5945</v>
      </c>
      <c r="G5006" s="57" t="s">
        <v>11449</v>
      </c>
      <c r="H5006" s="54">
        <v>0</v>
      </c>
      <c r="I5006" s="16">
        <v>470000000</v>
      </c>
      <c r="J5006" s="56" t="s">
        <v>229</v>
      </c>
      <c r="K5006" s="57" t="s">
        <v>641</v>
      </c>
      <c r="L5006" s="12" t="s">
        <v>404</v>
      </c>
      <c r="M5006" s="3" t="s">
        <v>230</v>
      </c>
      <c r="N5006" s="8" t="s">
        <v>9479</v>
      </c>
      <c r="O5006" s="6" t="s">
        <v>365</v>
      </c>
      <c r="P5006" s="58">
        <v>796</v>
      </c>
      <c r="Q5006" s="27" t="s">
        <v>234</v>
      </c>
      <c r="R5006" s="26">
        <v>3</v>
      </c>
      <c r="S5006" s="59">
        <f>1700*1.07</f>
        <v>1819</v>
      </c>
      <c r="T5006" s="4">
        <v>0</v>
      </c>
      <c r="U5006" s="4">
        <f t="shared" si="226"/>
        <v>0</v>
      </c>
      <c r="V5006" s="3"/>
      <c r="W5006" s="3">
        <v>2014</v>
      </c>
      <c r="X5006" s="3">
        <v>11</v>
      </c>
    </row>
    <row r="5007" spans="1:24" ht="114.75">
      <c r="A5007" s="3" t="s">
        <v>12738</v>
      </c>
      <c r="B5007" s="6" t="s">
        <v>361</v>
      </c>
      <c r="C5007" s="6" t="s">
        <v>7334</v>
      </c>
      <c r="D5007" s="6" t="s">
        <v>7335</v>
      </c>
      <c r="E5007" s="6" t="s">
        <v>7336</v>
      </c>
      <c r="F5007" s="226" t="s">
        <v>5945</v>
      </c>
      <c r="G5007" s="57" t="s">
        <v>11449</v>
      </c>
      <c r="H5007" s="54">
        <v>0</v>
      </c>
      <c r="I5007" s="16">
        <v>470000000</v>
      </c>
      <c r="J5007" s="56" t="s">
        <v>229</v>
      </c>
      <c r="K5007" s="57" t="s">
        <v>642</v>
      </c>
      <c r="L5007" s="12" t="s">
        <v>404</v>
      </c>
      <c r="M5007" s="3" t="s">
        <v>230</v>
      </c>
      <c r="N5007" s="8" t="s">
        <v>9479</v>
      </c>
      <c r="O5007" s="6" t="s">
        <v>365</v>
      </c>
      <c r="P5007" s="58">
        <v>796</v>
      </c>
      <c r="Q5007" s="27" t="s">
        <v>234</v>
      </c>
      <c r="R5007" s="26">
        <v>3</v>
      </c>
      <c r="S5007" s="59">
        <f>1700*1.07</f>
        <v>1819</v>
      </c>
      <c r="T5007" s="4">
        <f>R5007*S5007</f>
        <v>5457</v>
      </c>
      <c r="U5007" s="4">
        <f>T5007*1.12</f>
        <v>6111.84</v>
      </c>
      <c r="V5007" s="3"/>
      <c r="W5007" s="3">
        <v>2014</v>
      </c>
      <c r="X5007" s="3"/>
    </row>
    <row r="5008" spans="1:24" ht="114.75">
      <c r="A5008" s="3" t="s">
        <v>2038</v>
      </c>
      <c r="B5008" s="6" t="s">
        <v>361</v>
      </c>
      <c r="C5008" s="6" t="s">
        <v>5680</v>
      </c>
      <c r="D5008" s="6" t="s">
        <v>427</v>
      </c>
      <c r="E5008" s="6" t="s">
        <v>5183</v>
      </c>
      <c r="F5008" s="226" t="s">
        <v>5946</v>
      </c>
      <c r="G5008" s="57" t="s">
        <v>11449</v>
      </c>
      <c r="H5008" s="54">
        <v>0</v>
      </c>
      <c r="I5008" s="16">
        <v>470000000</v>
      </c>
      <c r="J5008" s="56" t="s">
        <v>229</v>
      </c>
      <c r="K5008" s="57" t="s">
        <v>641</v>
      </c>
      <c r="L5008" s="12" t="s">
        <v>404</v>
      </c>
      <c r="M5008" s="3" t="s">
        <v>230</v>
      </c>
      <c r="N5008" s="8" t="s">
        <v>9479</v>
      </c>
      <c r="O5008" s="6" t="s">
        <v>365</v>
      </c>
      <c r="P5008" s="58">
        <v>796</v>
      </c>
      <c r="Q5008" s="27" t="s">
        <v>234</v>
      </c>
      <c r="R5008" s="26">
        <v>3</v>
      </c>
      <c r="S5008" s="59">
        <f>31200*1.07</f>
        <v>33384</v>
      </c>
      <c r="T5008" s="4">
        <v>0</v>
      </c>
      <c r="U5008" s="4">
        <f t="shared" si="226"/>
        <v>0</v>
      </c>
      <c r="V5008" s="3"/>
      <c r="W5008" s="3">
        <v>2014</v>
      </c>
      <c r="X5008" s="3">
        <v>11</v>
      </c>
    </row>
    <row r="5009" spans="1:24" ht="114.75">
      <c r="A5009" s="3" t="s">
        <v>12739</v>
      </c>
      <c r="B5009" s="6" t="s">
        <v>361</v>
      </c>
      <c r="C5009" s="6" t="s">
        <v>5680</v>
      </c>
      <c r="D5009" s="6" t="s">
        <v>427</v>
      </c>
      <c r="E5009" s="6" t="s">
        <v>5183</v>
      </c>
      <c r="F5009" s="226" t="s">
        <v>5946</v>
      </c>
      <c r="G5009" s="57" t="s">
        <v>11449</v>
      </c>
      <c r="H5009" s="54">
        <v>0</v>
      </c>
      <c r="I5009" s="16">
        <v>470000000</v>
      </c>
      <c r="J5009" s="56" t="s">
        <v>229</v>
      </c>
      <c r="K5009" s="57" t="s">
        <v>642</v>
      </c>
      <c r="L5009" s="12" t="s">
        <v>404</v>
      </c>
      <c r="M5009" s="3" t="s">
        <v>230</v>
      </c>
      <c r="N5009" s="8" t="s">
        <v>9479</v>
      </c>
      <c r="O5009" s="6" t="s">
        <v>365</v>
      </c>
      <c r="P5009" s="58">
        <v>796</v>
      </c>
      <c r="Q5009" s="27" t="s">
        <v>234</v>
      </c>
      <c r="R5009" s="26">
        <v>3</v>
      </c>
      <c r="S5009" s="59">
        <f>31200*1.07</f>
        <v>33384</v>
      </c>
      <c r="T5009" s="4">
        <f>R5009*S5009</f>
        <v>100152</v>
      </c>
      <c r="U5009" s="4">
        <f>T5009*1.12</f>
        <v>112170.24000000001</v>
      </c>
      <c r="V5009" s="3"/>
      <c r="W5009" s="3">
        <v>2014</v>
      </c>
      <c r="X5009" s="3"/>
    </row>
    <row r="5010" spans="1:24" ht="114.75">
      <c r="A5010" s="3" t="s">
        <v>2039</v>
      </c>
      <c r="B5010" s="6" t="s">
        <v>361</v>
      </c>
      <c r="C5010" s="6" t="s">
        <v>5672</v>
      </c>
      <c r="D5010" s="6" t="s">
        <v>426</v>
      </c>
      <c r="E5010" s="6" t="s">
        <v>5673</v>
      </c>
      <c r="F5010" s="226" t="s">
        <v>5947</v>
      </c>
      <c r="G5010" s="57" t="s">
        <v>11449</v>
      </c>
      <c r="H5010" s="54">
        <v>0</v>
      </c>
      <c r="I5010" s="16">
        <v>470000000</v>
      </c>
      <c r="J5010" s="56" t="s">
        <v>229</v>
      </c>
      <c r="K5010" s="57" t="s">
        <v>641</v>
      </c>
      <c r="L5010" s="12" t="s">
        <v>404</v>
      </c>
      <c r="M5010" s="3" t="s">
        <v>230</v>
      </c>
      <c r="N5010" s="8" t="s">
        <v>9479</v>
      </c>
      <c r="O5010" s="6" t="s">
        <v>365</v>
      </c>
      <c r="P5010" s="58">
        <v>796</v>
      </c>
      <c r="Q5010" s="27" t="s">
        <v>234</v>
      </c>
      <c r="R5010" s="26">
        <v>3</v>
      </c>
      <c r="S5010" s="59">
        <f>13400*1.07</f>
        <v>14338</v>
      </c>
      <c r="T5010" s="4">
        <v>0</v>
      </c>
      <c r="U5010" s="4">
        <f t="shared" si="226"/>
        <v>0</v>
      </c>
      <c r="V5010" s="3"/>
      <c r="W5010" s="3">
        <v>2014</v>
      </c>
      <c r="X5010" s="3">
        <v>11</v>
      </c>
    </row>
    <row r="5011" spans="1:24" ht="114.75">
      <c r="A5011" s="3" t="s">
        <v>12740</v>
      </c>
      <c r="B5011" s="6" t="s">
        <v>361</v>
      </c>
      <c r="C5011" s="6" t="s">
        <v>5672</v>
      </c>
      <c r="D5011" s="6" t="s">
        <v>426</v>
      </c>
      <c r="E5011" s="6" t="s">
        <v>5673</v>
      </c>
      <c r="F5011" s="226" t="s">
        <v>5947</v>
      </c>
      <c r="G5011" s="57" t="s">
        <v>11449</v>
      </c>
      <c r="H5011" s="54">
        <v>0</v>
      </c>
      <c r="I5011" s="16">
        <v>470000000</v>
      </c>
      <c r="J5011" s="56" t="s">
        <v>229</v>
      </c>
      <c r="K5011" s="57" t="s">
        <v>642</v>
      </c>
      <c r="L5011" s="12" t="s">
        <v>404</v>
      </c>
      <c r="M5011" s="3" t="s">
        <v>230</v>
      </c>
      <c r="N5011" s="8" t="s">
        <v>9479</v>
      </c>
      <c r="O5011" s="6" t="s">
        <v>365</v>
      </c>
      <c r="P5011" s="58">
        <v>796</v>
      </c>
      <c r="Q5011" s="27" t="s">
        <v>234</v>
      </c>
      <c r="R5011" s="26">
        <v>3</v>
      </c>
      <c r="S5011" s="59">
        <f>13400*1.07</f>
        <v>14338</v>
      </c>
      <c r="T5011" s="4">
        <f>R5011*S5011</f>
        <v>43014</v>
      </c>
      <c r="U5011" s="4">
        <f>T5011*1.12</f>
        <v>48175.680000000008</v>
      </c>
      <c r="V5011" s="3"/>
      <c r="W5011" s="3">
        <v>2014</v>
      </c>
      <c r="X5011" s="3"/>
    </row>
    <row r="5012" spans="1:24" ht="114.75">
      <c r="A5012" s="3" t="s">
        <v>2040</v>
      </c>
      <c r="B5012" s="6" t="s">
        <v>361</v>
      </c>
      <c r="C5012" s="6" t="s">
        <v>5674</v>
      </c>
      <c r="D5012" s="6" t="s">
        <v>426</v>
      </c>
      <c r="E5012" s="6" t="s">
        <v>5675</v>
      </c>
      <c r="F5012" s="226" t="s">
        <v>5948</v>
      </c>
      <c r="G5012" s="57" t="s">
        <v>11449</v>
      </c>
      <c r="H5012" s="54">
        <v>0</v>
      </c>
      <c r="I5012" s="16">
        <v>470000000</v>
      </c>
      <c r="J5012" s="56" t="s">
        <v>229</v>
      </c>
      <c r="K5012" s="57" t="s">
        <v>641</v>
      </c>
      <c r="L5012" s="12" t="s">
        <v>404</v>
      </c>
      <c r="M5012" s="3" t="s">
        <v>230</v>
      </c>
      <c r="N5012" s="8" t="s">
        <v>9479</v>
      </c>
      <c r="O5012" s="6" t="s">
        <v>365</v>
      </c>
      <c r="P5012" s="58">
        <v>796</v>
      </c>
      <c r="Q5012" s="27" t="s">
        <v>234</v>
      </c>
      <c r="R5012" s="26">
        <v>3</v>
      </c>
      <c r="S5012" s="59">
        <f>13400*1.07</f>
        <v>14338</v>
      </c>
      <c r="T5012" s="4">
        <v>0</v>
      </c>
      <c r="U5012" s="4">
        <f t="shared" si="226"/>
        <v>0</v>
      </c>
      <c r="V5012" s="3"/>
      <c r="W5012" s="3">
        <v>2014</v>
      </c>
      <c r="X5012" s="3">
        <v>11</v>
      </c>
    </row>
    <row r="5013" spans="1:24" ht="114.75">
      <c r="A5013" s="3" t="s">
        <v>12741</v>
      </c>
      <c r="B5013" s="6" t="s">
        <v>361</v>
      </c>
      <c r="C5013" s="6" t="s">
        <v>5674</v>
      </c>
      <c r="D5013" s="6" t="s">
        <v>426</v>
      </c>
      <c r="E5013" s="6" t="s">
        <v>5675</v>
      </c>
      <c r="F5013" s="226" t="s">
        <v>5948</v>
      </c>
      <c r="G5013" s="57" t="s">
        <v>11449</v>
      </c>
      <c r="H5013" s="54">
        <v>0</v>
      </c>
      <c r="I5013" s="16">
        <v>470000000</v>
      </c>
      <c r="J5013" s="56" t="s">
        <v>229</v>
      </c>
      <c r="K5013" s="57" t="s">
        <v>642</v>
      </c>
      <c r="L5013" s="12" t="s">
        <v>404</v>
      </c>
      <c r="M5013" s="3" t="s">
        <v>230</v>
      </c>
      <c r="N5013" s="8" t="s">
        <v>9479</v>
      </c>
      <c r="O5013" s="6" t="s">
        <v>365</v>
      </c>
      <c r="P5013" s="58">
        <v>796</v>
      </c>
      <c r="Q5013" s="27" t="s">
        <v>234</v>
      </c>
      <c r="R5013" s="26">
        <v>3</v>
      </c>
      <c r="S5013" s="59">
        <f>13400*1.07</f>
        <v>14338</v>
      </c>
      <c r="T5013" s="4">
        <f>R5013*S5013</f>
        <v>43014</v>
      </c>
      <c r="U5013" s="4">
        <f>T5013*1.12</f>
        <v>48175.680000000008</v>
      </c>
      <c r="V5013" s="3"/>
      <c r="W5013" s="3">
        <v>2014</v>
      </c>
      <c r="X5013" s="3"/>
    </row>
    <row r="5014" spans="1:24" ht="114.75">
      <c r="A5014" s="3" t="s">
        <v>2041</v>
      </c>
      <c r="B5014" s="6" t="s">
        <v>361</v>
      </c>
      <c r="C5014" s="6" t="s">
        <v>7404</v>
      </c>
      <c r="D5014" s="6" t="s">
        <v>7405</v>
      </c>
      <c r="E5014" s="6" t="s">
        <v>5183</v>
      </c>
      <c r="F5014" s="226" t="s">
        <v>5949</v>
      </c>
      <c r="G5014" s="57" t="s">
        <v>11449</v>
      </c>
      <c r="H5014" s="54">
        <v>0</v>
      </c>
      <c r="I5014" s="16">
        <v>470000000</v>
      </c>
      <c r="J5014" s="56" t="s">
        <v>229</v>
      </c>
      <c r="K5014" s="57" t="s">
        <v>641</v>
      </c>
      <c r="L5014" s="12" t="s">
        <v>404</v>
      </c>
      <c r="M5014" s="3" t="s">
        <v>230</v>
      </c>
      <c r="N5014" s="8" t="s">
        <v>9479</v>
      </c>
      <c r="O5014" s="6" t="s">
        <v>365</v>
      </c>
      <c r="P5014" s="58">
        <v>796</v>
      </c>
      <c r="Q5014" s="27" t="s">
        <v>234</v>
      </c>
      <c r="R5014" s="26">
        <v>3</v>
      </c>
      <c r="S5014" s="59">
        <f>202000*1.07</f>
        <v>216140</v>
      </c>
      <c r="T5014" s="4">
        <v>0</v>
      </c>
      <c r="U5014" s="4">
        <f t="shared" si="226"/>
        <v>0</v>
      </c>
      <c r="V5014" s="3"/>
      <c r="W5014" s="3">
        <v>2014</v>
      </c>
      <c r="X5014" s="3">
        <v>11</v>
      </c>
    </row>
    <row r="5015" spans="1:24" ht="114.75">
      <c r="A5015" s="3" t="s">
        <v>12742</v>
      </c>
      <c r="B5015" s="6" t="s">
        <v>361</v>
      </c>
      <c r="C5015" s="6" t="s">
        <v>7404</v>
      </c>
      <c r="D5015" s="6" t="s">
        <v>7405</v>
      </c>
      <c r="E5015" s="6" t="s">
        <v>5183</v>
      </c>
      <c r="F5015" s="226" t="s">
        <v>5949</v>
      </c>
      <c r="G5015" s="57" t="s">
        <v>11449</v>
      </c>
      <c r="H5015" s="54">
        <v>0</v>
      </c>
      <c r="I5015" s="16">
        <v>470000000</v>
      </c>
      <c r="J5015" s="56" t="s">
        <v>229</v>
      </c>
      <c r="K5015" s="57" t="s">
        <v>642</v>
      </c>
      <c r="L5015" s="12" t="s">
        <v>404</v>
      </c>
      <c r="M5015" s="3" t="s">
        <v>230</v>
      </c>
      <c r="N5015" s="8" t="s">
        <v>9479</v>
      </c>
      <c r="O5015" s="6" t="s">
        <v>365</v>
      </c>
      <c r="P5015" s="58">
        <v>796</v>
      </c>
      <c r="Q5015" s="27" t="s">
        <v>234</v>
      </c>
      <c r="R5015" s="26">
        <v>3</v>
      </c>
      <c r="S5015" s="59">
        <f>202000*1.07</f>
        <v>216140</v>
      </c>
      <c r="T5015" s="4">
        <f>R5015*S5015</f>
        <v>648420</v>
      </c>
      <c r="U5015" s="4">
        <f>T5015*1.12</f>
        <v>726230.4</v>
      </c>
      <c r="V5015" s="3"/>
      <c r="W5015" s="3">
        <v>2014</v>
      </c>
      <c r="X5015" s="3"/>
    </row>
    <row r="5016" spans="1:24" ht="114.75">
      <c r="A5016" s="3" t="s">
        <v>2042</v>
      </c>
      <c r="B5016" s="6" t="s">
        <v>361</v>
      </c>
      <c r="C5016" s="6" t="s">
        <v>5950</v>
      </c>
      <c r="D5016" s="6" t="s">
        <v>5951</v>
      </c>
      <c r="E5016" s="6" t="s">
        <v>5951</v>
      </c>
      <c r="F5016" s="226" t="s">
        <v>5952</v>
      </c>
      <c r="G5016" s="57" t="s">
        <v>11449</v>
      </c>
      <c r="H5016" s="54">
        <v>0</v>
      </c>
      <c r="I5016" s="16">
        <v>470000000</v>
      </c>
      <c r="J5016" s="56" t="s">
        <v>229</v>
      </c>
      <c r="K5016" s="57" t="s">
        <v>641</v>
      </c>
      <c r="L5016" s="12" t="s">
        <v>404</v>
      </c>
      <c r="M5016" s="3" t="s">
        <v>230</v>
      </c>
      <c r="N5016" s="8" t="s">
        <v>9479</v>
      </c>
      <c r="O5016" s="6" t="s">
        <v>365</v>
      </c>
      <c r="P5016" s="58">
        <v>796</v>
      </c>
      <c r="Q5016" s="27" t="s">
        <v>234</v>
      </c>
      <c r="R5016" s="26">
        <v>3</v>
      </c>
      <c r="S5016" s="59">
        <f>4600*1.07</f>
        <v>4922</v>
      </c>
      <c r="T5016" s="4">
        <v>0</v>
      </c>
      <c r="U5016" s="4">
        <f t="shared" si="226"/>
        <v>0</v>
      </c>
      <c r="V5016" s="3"/>
      <c r="W5016" s="3">
        <v>2014</v>
      </c>
      <c r="X5016" s="3">
        <v>11</v>
      </c>
    </row>
    <row r="5017" spans="1:24" ht="114.75">
      <c r="A5017" s="3" t="s">
        <v>12743</v>
      </c>
      <c r="B5017" s="6" t="s">
        <v>361</v>
      </c>
      <c r="C5017" s="6" t="s">
        <v>5950</v>
      </c>
      <c r="D5017" s="6" t="s">
        <v>5951</v>
      </c>
      <c r="E5017" s="6" t="s">
        <v>5951</v>
      </c>
      <c r="F5017" s="226" t="s">
        <v>5952</v>
      </c>
      <c r="G5017" s="57" t="s">
        <v>11449</v>
      </c>
      <c r="H5017" s="54">
        <v>0</v>
      </c>
      <c r="I5017" s="16">
        <v>470000000</v>
      </c>
      <c r="J5017" s="56" t="s">
        <v>229</v>
      </c>
      <c r="K5017" s="57" t="s">
        <v>642</v>
      </c>
      <c r="L5017" s="12" t="s">
        <v>404</v>
      </c>
      <c r="M5017" s="3" t="s">
        <v>230</v>
      </c>
      <c r="N5017" s="8" t="s">
        <v>9479</v>
      </c>
      <c r="O5017" s="6" t="s">
        <v>365</v>
      </c>
      <c r="P5017" s="58">
        <v>796</v>
      </c>
      <c r="Q5017" s="27" t="s">
        <v>234</v>
      </c>
      <c r="R5017" s="26">
        <v>3</v>
      </c>
      <c r="S5017" s="59">
        <f>4600*1.07</f>
        <v>4922</v>
      </c>
      <c r="T5017" s="4">
        <f>R5017*S5017</f>
        <v>14766</v>
      </c>
      <c r="U5017" s="4">
        <f>T5017*1.12</f>
        <v>16537.920000000002</v>
      </c>
      <c r="V5017" s="3"/>
      <c r="W5017" s="3">
        <v>2014</v>
      </c>
      <c r="X5017" s="3"/>
    </row>
    <row r="5018" spans="1:24" ht="114.75">
      <c r="A5018" s="3" t="s">
        <v>2043</v>
      </c>
      <c r="B5018" s="6" t="s">
        <v>361</v>
      </c>
      <c r="C5018" s="6" t="s">
        <v>5950</v>
      </c>
      <c r="D5018" s="6" t="s">
        <v>5951</v>
      </c>
      <c r="E5018" s="6" t="s">
        <v>5951</v>
      </c>
      <c r="F5018" s="226" t="s">
        <v>5953</v>
      </c>
      <c r="G5018" s="57" t="s">
        <v>11449</v>
      </c>
      <c r="H5018" s="54">
        <v>0</v>
      </c>
      <c r="I5018" s="16">
        <v>470000000</v>
      </c>
      <c r="J5018" s="56" t="s">
        <v>229</v>
      </c>
      <c r="K5018" s="57" t="s">
        <v>641</v>
      </c>
      <c r="L5018" s="12" t="s">
        <v>404</v>
      </c>
      <c r="M5018" s="3" t="s">
        <v>230</v>
      </c>
      <c r="N5018" s="8" t="s">
        <v>9479</v>
      </c>
      <c r="O5018" s="6" t="s">
        <v>365</v>
      </c>
      <c r="P5018" s="58">
        <v>796</v>
      </c>
      <c r="Q5018" s="27" t="s">
        <v>234</v>
      </c>
      <c r="R5018" s="26">
        <v>3</v>
      </c>
      <c r="S5018" s="59">
        <f>5200*1.07</f>
        <v>5564</v>
      </c>
      <c r="T5018" s="4">
        <v>0</v>
      </c>
      <c r="U5018" s="4">
        <f t="shared" si="226"/>
        <v>0</v>
      </c>
      <c r="V5018" s="3"/>
      <c r="W5018" s="3">
        <v>2014</v>
      </c>
      <c r="X5018" s="3">
        <v>11</v>
      </c>
    </row>
    <row r="5019" spans="1:24" ht="114.75">
      <c r="A5019" s="3" t="s">
        <v>12744</v>
      </c>
      <c r="B5019" s="6" t="s">
        <v>361</v>
      </c>
      <c r="C5019" s="6" t="s">
        <v>5950</v>
      </c>
      <c r="D5019" s="6" t="s">
        <v>5951</v>
      </c>
      <c r="E5019" s="6" t="s">
        <v>5951</v>
      </c>
      <c r="F5019" s="226" t="s">
        <v>5953</v>
      </c>
      <c r="G5019" s="57" t="s">
        <v>11449</v>
      </c>
      <c r="H5019" s="54">
        <v>0</v>
      </c>
      <c r="I5019" s="16">
        <v>470000000</v>
      </c>
      <c r="J5019" s="56" t="s">
        <v>229</v>
      </c>
      <c r="K5019" s="57" t="s">
        <v>642</v>
      </c>
      <c r="L5019" s="12" t="s">
        <v>404</v>
      </c>
      <c r="M5019" s="3" t="s">
        <v>230</v>
      </c>
      <c r="N5019" s="8" t="s">
        <v>9479</v>
      </c>
      <c r="O5019" s="6" t="s">
        <v>365</v>
      </c>
      <c r="P5019" s="58">
        <v>796</v>
      </c>
      <c r="Q5019" s="27" t="s">
        <v>234</v>
      </c>
      <c r="R5019" s="26">
        <v>3</v>
      </c>
      <c r="S5019" s="59">
        <f>5200*1.07</f>
        <v>5564</v>
      </c>
      <c r="T5019" s="4">
        <f>R5019*S5019</f>
        <v>16692</v>
      </c>
      <c r="U5019" s="4">
        <f>T5019*1.12</f>
        <v>18695.04</v>
      </c>
      <c r="V5019" s="3"/>
      <c r="W5019" s="3">
        <v>2014</v>
      </c>
      <c r="X5019" s="3"/>
    </row>
    <row r="5020" spans="1:24" ht="114.75">
      <c r="A5020" s="3" t="s">
        <v>2044</v>
      </c>
      <c r="B5020" s="6" t="s">
        <v>361</v>
      </c>
      <c r="C5020" s="6" t="s">
        <v>7334</v>
      </c>
      <c r="D5020" s="14" t="s">
        <v>7335</v>
      </c>
      <c r="E5020" s="14" t="s">
        <v>7336</v>
      </c>
      <c r="F5020" s="226" t="s">
        <v>5954</v>
      </c>
      <c r="G5020" s="57" t="s">
        <v>11449</v>
      </c>
      <c r="H5020" s="54">
        <v>0</v>
      </c>
      <c r="I5020" s="16">
        <v>470000000</v>
      </c>
      <c r="J5020" s="56" t="s">
        <v>229</v>
      </c>
      <c r="K5020" s="57" t="s">
        <v>641</v>
      </c>
      <c r="L5020" s="12" t="s">
        <v>404</v>
      </c>
      <c r="M5020" s="3" t="s">
        <v>230</v>
      </c>
      <c r="N5020" s="8" t="s">
        <v>9479</v>
      </c>
      <c r="O5020" s="6" t="s">
        <v>365</v>
      </c>
      <c r="P5020" s="58">
        <v>796</v>
      </c>
      <c r="Q5020" s="27" t="s">
        <v>234</v>
      </c>
      <c r="R5020" s="26">
        <v>2</v>
      </c>
      <c r="S5020" s="59">
        <f>310000*1.07</f>
        <v>331700</v>
      </c>
      <c r="T5020" s="4">
        <v>0</v>
      </c>
      <c r="U5020" s="4">
        <f t="shared" si="226"/>
        <v>0</v>
      </c>
      <c r="V5020" s="3"/>
      <c r="W5020" s="3">
        <v>2014</v>
      </c>
      <c r="X5020" s="3">
        <v>11</v>
      </c>
    </row>
    <row r="5021" spans="1:24" ht="114.75">
      <c r="A5021" s="3" t="s">
        <v>12745</v>
      </c>
      <c r="B5021" s="6" t="s">
        <v>361</v>
      </c>
      <c r="C5021" s="6" t="s">
        <v>7334</v>
      </c>
      <c r="D5021" s="14" t="s">
        <v>7335</v>
      </c>
      <c r="E5021" s="14" t="s">
        <v>7336</v>
      </c>
      <c r="F5021" s="226" t="s">
        <v>5954</v>
      </c>
      <c r="G5021" s="57" t="s">
        <v>11449</v>
      </c>
      <c r="H5021" s="54">
        <v>0</v>
      </c>
      <c r="I5021" s="16">
        <v>470000000</v>
      </c>
      <c r="J5021" s="56" t="s">
        <v>229</v>
      </c>
      <c r="K5021" s="57" t="s">
        <v>642</v>
      </c>
      <c r="L5021" s="12" t="s">
        <v>404</v>
      </c>
      <c r="M5021" s="3" t="s">
        <v>230</v>
      </c>
      <c r="N5021" s="8" t="s">
        <v>9479</v>
      </c>
      <c r="O5021" s="6" t="s">
        <v>365</v>
      </c>
      <c r="P5021" s="58">
        <v>796</v>
      </c>
      <c r="Q5021" s="27" t="s">
        <v>234</v>
      </c>
      <c r="R5021" s="26">
        <v>2</v>
      </c>
      <c r="S5021" s="59">
        <f>310000*1.07</f>
        <v>331700</v>
      </c>
      <c r="T5021" s="4">
        <v>0</v>
      </c>
      <c r="U5021" s="4">
        <f>T5021*1.12</f>
        <v>0</v>
      </c>
      <c r="V5021" s="3"/>
      <c r="W5021" s="3">
        <v>2014</v>
      </c>
      <c r="X5021" s="3" t="s">
        <v>14785</v>
      </c>
    </row>
    <row r="5022" spans="1:24" ht="114.75">
      <c r="A5022" s="3" t="s">
        <v>16917</v>
      </c>
      <c r="B5022" s="6" t="s">
        <v>361</v>
      </c>
      <c r="C5022" s="6" t="s">
        <v>7334</v>
      </c>
      <c r="D5022" s="14" t="s">
        <v>7335</v>
      </c>
      <c r="E5022" s="14" t="s">
        <v>7336</v>
      </c>
      <c r="F5022" s="226" t="s">
        <v>5954</v>
      </c>
      <c r="G5022" s="3" t="s">
        <v>11449</v>
      </c>
      <c r="H5022" s="54">
        <v>0</v>
      </c>
      <c r="I5022" s="16">
        <v>470000000</v>
      </c>
      <c r="J5022" s="56" t="s">
        <v>229</v>
      </c>
      <c r="K5022" s="57" t="s">
        <v>8950</v>
      </c>
      <c r="L5022" s="12" t="s">
        <v>404</v>
      </c>
      <c r="M5022" s="3" t="s">
        <v>230</v>
      </c>
      <c r="N5022" s="8" t="s">
        <v>9479</v>
      </c>
      <c r="O5022" s="6" t="s">
        <v>365</v>
      </c>
      <c r="P5022" s="58">
        <v>796</v>
      </c>
      <c r="Q5022" s="27" t="s">
        <v>234</v>
      </c>
      <c r="R5022" s="26">
        <v>2</v>
      </c>
      <c r="S5022" s="59">
        <v>398040</v>
      </c>
      <c r="T5022" s="4">
        <f>R5022*S5022</f>
        <v>796080</v>
      </c>
      <c r="U5022" s="4">
        <f>T5022*1.12</f>
        <v>891609.60000000009</v>
      </c>
      <c r="V5022" s="3"/>
      <c r="W5022" s="3">
        <v>2014</v>
      </c>
      <c r="X5022" s="3"/>
    </row>
    <row r="5023" spans="1:24" ht="114.75">
      <c r="A5023" s="3" t="s">
        <v>2045</v>
      </c>
      <c r="B5023" s="6" t="s">
        <v>361</v>
      </c>
      <c r="C5023" s="6" t="s">
        <v>7349</v>
      </c>
      <c r="D5023" s="14" t="s">
        <v>6027</v>
      </c>
      <c r="E5023" s="14" t="s">
        <v>7346</v>
      </c>
      <c r="F5023" s="8" t="s">
        <v>5955</v>
      </c>
      <c r="G5023" s="57" t="s">
        <v>11449</v>
      </c>
      <c r="H5023" s="54">
        <v>0</v>
      </c>
      <c r="I5023" s="16">
        <v>470000000</v>
      </c>
      <c r="J5023" s="56" t="s">
        <v>229</v>
      </c>
      <c r="K5023" s="57" t="s">
        <v>641</v>
      </c>
      <c r="L5023" s="12" t="s">
        <v>404</v>
      </c>
      <c r="M5023" s="3" t="s">
        <v>230</v>
      </c>
      <c r="N5023" s="8" t="s">
        <v>9479</v>
      </c>
      <c r="O5023" s="6" t="s">
        <v>365</v>
      </c>
      <c r="P5023" s="58">
        <v>796</v>
      </c>
      <c r="Q5023" s="27" t="s">
        <v>234</v>
      </c>
      <c r="R5023" s="26">
        <v>10</v>
      </c>
      <c r="S5023" s="59">
        <f>6500*1.07</f>
        <v>6955</v>
      </c>
      <c r="T5023" s="4">
        <v>0</v>
      </c>
      <c r="U5023" s="4">
        <f t="shared" si="226"/>
        <v>0</v>
      </c>
      <c r="V5023" s="3"/>
      <c r="W5023" s="3">
        <v>2014</v>
      </c>
      <c r="X5023" s="3">
        <v>11</v>
      </c>
    </row>
    <row r="5024" spans="1:24" ht="114.75">
      <c r="A5024" s="3" t="s">
        <v>12746</v>
      </c>
      <c r="B5024" s="6" t="s">
        <v>361</v>
      </c>
      <c r="C5024" s="6" t="s">
        <v>7349</v>
      </c>
      <c r="D5024" s="14" t="s">
        <v>6027</v>
      </c>
      <c r="E5024" s="14" t="s">
        <v>7346</v>
      </c>
      <c r="F5024" s="8" t="s">
        <v>5955</v>
      </c>
      <c r="G5024" s="57" t="s">
        <v>11449</v>
      </c>
      <c r="H5024" s="54">
        <v>0</v>
      </c>
      <c r="I5024" s="16">
        <v>470000000</v>
      </c>
      <c r="J5024" s="56" t="s">
        <v>229</v>
      </c>
      <c r="K5024" s="57" t="s">
        <v>642</v>
      </c>
      <c r="L5024" s="12" t="s">
        <v>404</v>
      </c>
      <c r="M5024" s="3" t="s">
        <v>230</v>
      </c>
      <c r="N5024" s="8" t="s">
        <v>9479</v>
      </c>
      <c r="O5024" s="6" t="s">
        <v>365</v>
      </c>
      <c r="P5024" s="58">
        <v>796</v>
      </c>
      <c r="Q5024" s="27" t="s">
        <v>234</v>
      </c>
      <c r="R5024" s="26">
        <v>10</v>
      </c>
      <c r="S5024" s="59">
        <f>6500*1.07</f>
        <v>6955</v>
      </c>
      <c r="T5024" s="4">
        <f>R5024*S5024</f>
        <v>69550</v>
      </c>
      <c r="U5024" s="4">
        <f>T5024*1.12</f>
        <v>77896.000000000015</v>
      </c>
      <c r="V5024" s="3"/>
      <c r="W5024" s="3">
        <v>2014</v>
      </c>
      <c r="X5024" s="3"/>
    </row>
    <row r="5025" spans="1:24" ht="114.75">
      <c r="A5025" s="3" t="s">
        <v>2046</v>
      </c>
      <c r="B5025" s="6" t="s">
        <v>361</v>
      </c>
      <c r="C5025" s="6" t="s">
        <v>5956</v>
      </c>
      <c r="D5025" s="6" t="s">
        <v>507</v>
      </c>
      <c r="E5025" s="6" t="s">
        <v>5743</v>
      </c>
      <c r="F5025" s="8" t="s">
        <v>5957</v>
      </c>
      <c r="G5025" s="57" t="s">
        <v>11449</v>
      </c>
      <c r="H5025" s="54">
        <v>0</v>
      </c>
      <c r="I5025" s="16">
        <v>470000000</v>
      </c>
      <c r="J5025" s="56" t="s">
        <v>229</v>
      </c>
      <c r="K5025" s="57" t="s">
        <v>641</v>
      </c>
      <c r="L5025" s="12" t="s">
        <v>404</v>
      </c>
      <c r="M5025" s="3" t="s">
        <v>230</v>
      </c>
      <c r="N5025" s="8" t="s">
        <v>9479</v>
      </c>
      <c r="O5025" s="6" t="s">
        <v>365</v>
      </c>
      <c r="P5025" s="58">
        <v>796</v>
      </c>
      <c r="Q5025" s="27" t="s">
        <v>234</v>
      </c>
      <c r="R5025" s="26">
        <v>6</v>
      </c>
      <c r="S5025" s="59">
        <f>60500*1.07</f>
        <v>64735.000000000007</v>
      </c>
      <c r="T5025" s="4">
        <v>0</v>
      </c>
      <c r="U5025" s="4">
        <f t="shared" si="226"/>
        <v>0</v>
      </c>
      <c r="V5025" s="3"/>
      <c r="W5025" s="3">
        <v>2014</v>
      </c>
      <c r="X5025" s="3">
        <v>11</v>
      </c>
    </row>
    <row r="5026" spans="1:24" ht="114.75">
      <c r="A5026" s="3" t="s">
        <v>12747</v>
      </c>
      <c r="B5026" s="6" t="s">
        <v>361</v>
      </c>
      <c r="C5026" s="6" t="s">
        <v>5956</v>
      </c>
      <c r="D5026" s="6" t="s">
        <v>507</v>
      </c>
      <c r="E5026" s="6" t="s">
        <v>5743</v>
      </c>
      <c r="F5026" s="8" t="s">
        <v>5957</v>
      </c>
      <c r="G5026" s="57" t="s">
        <v>11449</v>
      </c>
      <c r="H5026" s="54">
        <v>0</v>
      </c>
      <c r="I5026" s="16">
        <v>470000000</v>
      </c>
      <c r="J5026" s="56" t="s">
        <v>229</v>
      </c>
      <c r="K5026" s="57" t="s">
        <v>642</v>
      </c>
      <c r="L5026" s="12" t="s">
        <v>404</v>
      </c>
      <c r="M5026" s="3" t="s">
        <v>230</v>
      </c>
      <c r="N5026" s="8" t="s">
        <v>9479</v>
      </c>
      <c r="O5026" s="6" t="s">
        <v>365</v>
      </c>
      <c r="P5026" s="58">
        <v>796</v>
      </c>
      <c r="Q5026" s="27" t="s">
        <v>234</v>
      </c>
      <c r="R5026" s="26">
        <v>6</v>
      </c>
      <c r="S5026" s="59">
        <f>60500*1.07</f>
        <v>64735.000000000007</v>
      </c>
      <c r="T5026" s="4">
        <f>R5026*S5026</f>
        <v>388410.00000000006</v>
      </c>
      <c r="U5026" s="4">
        <f>T5026*1.12</f>
        <v>435019.20000000013</v>
      </c>
      <c r="V5026" s="3"/>
      <c r="W5026" s="3">
        <v>2014</v>
      </c>
      <c r="X5026" s="3"/>
    </row>
    <row r="5027" spans="1:24" ht="114.75">
      <c r="A5027" s="3" t="s">
        <v>2047</v>
      </c>
      <c r="B5027" s="6" t="s">
        <v>361</v>
      </c>
      <c r="C5027" s="6" t="s">
        <v>5958</v>
      </c>
      <c r="D5027" s="6" t="s">
        <v>460</v>
      </c>
      <c r="E5027" s="6" t="s">
        <v>5959</v>
      </c>
      <c r="F5027" s="8" t="s">
        <v>5960</v>
      </c>
      <c r="G5027" s="57" t="s">
        <v>11449</v>
      </c>
      <c r="H5027" s="54">
        <v>0</v>
      </c>
      <c r="I5027" s="16">
        <v>470000000</v>
      </c>
      <c r="J5027" s="56" t="s">
        <v>229</v>
      </c>
      <c r="K5027" s="57" t="s">
        <v>641</v>
      </c>
      <c r="L5027" s="12" t="s">
        <v>404</v>
      </c>
      <c r="M5027" s="3" t="s">
        <v>230</v>
      </c>
      <c r="N5027" s="8" t="s">
        <v>9479</v>
      </c>
      <c r="O5027" s="6" t="s">
        <v>365</v>
      </c>
      <c r="P5027" s="58">
        <v>796</v>
      </c>
      <c r="Q5027" s="27" t="s">
        <v>234</v>
      </c>
      <c r="R5027" s="26">
        <v>150</v>
      </c>
      <c r="S5027" s="59">
        <f>100*1.07</f>
        <v>107</v>
      </c>
      <c r="T5027" s="4">
        <v>0</v>
      </c>
      <c r="U5027" s="4">
        <f t="shared" si="226"/>
        <v>0</v>
      </c>
      <c r="V5027" s="3"/>
      <c r="W5027" s="3">
        <v>2014</v>
      </c>
      <c r="X5027" s="3">
        <v>11</v>
      </c>
    </row>
    <row r="5028" spans="1:24" ht="114.75">
      <c r="A5028" s="3" t="s">
        <v>14062</v>
      </c>
      <c r="B5028" s="6" t="s">
        <v>361</v>
      </c>
      <c r="C5028" s="6" t="s">
        <v>5958</v>
      </c>
      <c r="D5028" s="6" t="s">
        <v>460</v>
      </c>
      <c r="E5028" s="6" t="s">
        <v>5959</v>
      </c>
      <c r="F5028" s="8" t="s">
        <v>5960</v>
      </c>
      <c r="G5028" s="57" t="s">
        <v>11449</v>
      </c>
      <c r="H5028" s="54">
        <v>0</v>
      </c>
      <c r="I5028" s="16">
        <v>470000000</v>
      </c>
      <c r="J5028" s="56" t="s">
        <v>229</v>
      </c>
      <c r="K5028" s="57" t="s">
        <v>642</v>
      </c>
      <c r="L5028" s="12" t="s">
        <v>404</v>
      </c>
      <c r="M5028" s="3" t="s">
        <v>230</v>
      </c>
      <c r="N5028" s="8" t="s">
        <v>9479</v>
      </c>
      <c r="O5028" s="6" t="s">
        <v>365</v>
      </c>
      <c r="P5028" s="58">
        <v>796</v>
      </c>
      <c r="Q5028" s="27" t="s">
        <v>234</v>
      </c>
      <c r="R5028" s="26">
        <v>150</v>
      </c>
      <c r="S5028" s="59">
        <f>100*1.07</f>
        <v>107</v>
      </c>
      <c r="T5028" s="4">
        <v>0</v>
      </c>
      <c r="U5028" s="4">
        <f>T5028*1.12</f>
        <v>0</v>
      </c>
      <c r="V5028" s="3"/>
      <c r="W5028" s="3">
        <v>2014</v>
      </c>
      <c r="X5028" s="3" t="s">
        <v>14785</v>
      </c>
    </row>
    <row r="5029" spans="1:24" ht="114.75">
      <c r="A5029" s="3" t="s">
        <v>16918</v>
      </c>
      <c r="B5029" s="6" t="s">
        <v>361</v>
      </c>
      <c r="C5029" s="6" t="s">
        <v>5958</v>
      </c>
      <c r="D5029" s="6" t="s">
        <v>460</v>
      </c>
      <c r="E5029" s="6" t="s">
        <v>5959</v>
      </c>
      <c r="F5029" s="8" t="s">
        <v>5960</v>
      </c>
      <c r="G5029" s="3" t="s">
        <v>11449</v>
      </c>
      <c r="H5029" s="54">
        <v>0</v>
      </c>
      <c r="I5029" s="16">
        <v>470000000</v>
      </c>
      <c r="J5029" s="56" t="s">
        <v>229</v>
      </c>
      <c r="K5029" s="57" t="s">
        <v>8950</v>
      </c>
      <c r="L5029" s="12" t="s">
        <v>404</v>
      </c>
      <c r="M5029" s="3" t="s">
        <v>230</v>
      </c>
      <c r="N5029" s="8" t="s">
        <v>9479</v>
      </c>
      <c r="O5029" s="6" t="s">
        <v>365</v>
      </c>
      <c r="P5029" s="58">
        <v>796</v>
      </c>
      <c r="Q5029" s="27" t="s">
        <v>234</v>
      </c>
      <c r="R5029" s="26">
        <v>150</v>
      </c>
      <c r="S5029" s="59">
        <v>128.4</v>
      </c>
      <c r="T5029" s="4">
        <f>R5029*S5029</f>
        <v>19260</v>
      </c>
      <c r="U5029" s="4">
        <f>T5029*1.12</f>
        <v>21571.200000000001</v>
      </c>
      <c r="V5029" s="3"/>
      <c r="W5029" s="3">
        <v>2014</v>
      </c>
      <c r="X5029" s="3"/>
    </row>
    <row r="5030" spans="1:24" ht="114.75">
      <c r="A5030" s="3" t="s">
        <v>2048</v>
      </c>
      <c r="B5030" s="6" t="s">
        <v>361</v>
      </c>
      <c r="C5030" s="6" t="s">
        <v>5506</v>
      </c>
      <c r="D5030" s="6" t="s">
        <v>5507</v>
      </c>
      <c r="E5030" s="6" t="s">
        <v>5183</v>
      </c>
      <c r="F5030" s="8" t="s">
        <v>5961</v>
      </c>
      <c r="G5030" s="57" t="s">
        <v>11449</v>
      </c>
      <c r="H5030" s="54">
        <v>0</v>
      </c>
      <c r="I5030" s="16">
        <v>470000000</v>
      </c>
      <c r="J5030" s="56" t="s">
        <v>229</v>
      </c>
      <c r="K5030" s="57" t="s">
        <v>641</v>
      </c>
      <c r="L5030" s="12" t="s">
        <v>404</v>
      </c>
      <c r="M5030" s="3" t="s">
        <v>230</v>
      </c>
      <c r="N5030" s="8" t="s">
        <v>9479</v>
      </c>
      <c r="O5030" s="6" t="s">
        <v>365</v>
      </c>
      <c r="P5030" s="58">
        <v>796</v>
      </c>
      <c r="Q5030" s="27" t="s">
        <v>234</v>
      </c>
      <c r="R5030" s="27">
        <v>12</v>
      </c>
      <c r="S5030" s="59">
        <f>6800*1.07</f>
        <v>7276</v>
      </c>
      <c r="T5030" s="4">
        <v>0</v>
      </c>
      <c r="U5030" s="4">
        <f t="shared" si="226"/>
        <v>0</v>
      </c>
      <c r="V5030" s="3"/>
      <c r="W5030" s="3">
        <v>2014</v>
      </c>
      <c r="X5030" s="3">
        <v>11</v>
      </c>
    </row>
    <row r="5031" spans="1:24" ht="114.75">
      <c r="A5031" s="3" t="s">
        <v>12748</v>
      </c>
      <c r="B5031" s="6" t="s">
        <v>361</v>
      </c>
      <c r="C5031" s="6" t="s">
        <v>5506</v>
      </c>
      <c r="D5031" s="6" t="s">
        <v>5507</v>
      </c>
      <c r="E5031" s="6" t="s">
        <v>5183</v>
      </c>
      <c r="F5031" s="8" t="s">
        <v>5961</v>
      </c>
      <c r="G5031" s="57" t="s">
        <v>11449</v>
      </c>
      <c r="H5031" s="54">
        <v>0</v>
      </c>
      <c r="I5031" s="16">
        <v>470000000</v>
      </c>
      <c r="J5031" s="56" t="s">
        <v>229</v>
      </c>
      <c r="K5031" s="57" t="s">
        <v>642</v>
      </c>
      <c r="L5031" s="12" t="s">
        <v>404</v>
      </c>
      <c r="M5031" s="3" t="s">
        <v>230</v>
      </c>
      <c r="N5031" s="8" t="s">
        <v>9479</v>
      </c>
      <c r="O5031" s="6" t="s">
        <v>365</v>
      </c>
      <c r="P5031" s="58">
        <v>796</v>
      </c>
      <c r="Q5031" s="27" t="s">
        <v>234</v>
      </c>
      <c r="R5031" s="27">
        <v>12</v>
      </c>
      <c r="S5031" s="59">
        <f>6800*1.07</f>
        <v>7276</v>
      </c>
      <c r="T5031" s="4">
        <v>0</v>
      </c>
      <c r="U5031" s="4">
        <f>T5031*1.12</f>
        <v>0</v>
      </c>
      <c r="V5031" s="3"/>
      <c r="W5031" s="3">
        <v>2014</v>
      </c>
      <c r="X5031" s="3" t="s">
        <v>14785</v>
      </c>
    </row>
    <row r="5032" spans="1:24" ht="114.75">
      <c r="A5032" s="3" t="s">
        <v>16919</v>
      </c>
      <c r="B5032" s="6" t="s">
        <v>361</v>
      </c>
      <c r="C5032" s="6" t="s">
        <v>5506</v>
      </c>
      <c r="D5032" s="6" t="s">
        <v>5507</v>
      </c>
      <c r="E5032" s="6" t="s">
        <v>5183</v>
      </c>
      <c r="F5032" s="8" t="s">
        <v>5961</v>
      </c>
      <c r="G5032" s="3" t="s">
        <v>11449</v>
      </c>
      <c r="H5032" s="54">
        <v>0</v>
      </c>
      <c r="I5032" s="16">
        <v>470000000</v>
      </c>
      <c r="J5032" s="56" t="s">
        <v>229</v>
      </c>
      <c r="K5032" s="57" t="s">
        <v>8950</v>
      </c>
      <c r="L5032" s="12" t="s">
        <v>404</v>
      </c>
      <c r="M5032" s="3" t="s">
        <v>230</v>
      </c>
      <c r="N5032" s="8" t="s">
        <v>9479</v>
      </c>
      <c r="O5032" s="6" t="s">
        <v>365</v>
      </c>
      <c r="P5032" s="58">
        <v>796</v>
      </c>
      <c r="Q5032" s="27" t="s">
        <v>234</v>
      </c>
      <c r="R5032" s="27">
        <v>12</v>
      </c>
      <c r="S5032" s="59">
        <v>8731.1999999999989</v>
      </c>
      <c r="T5032" s="4">
        <f>R5032*S5032</f>
        <v>104774.39999999999</v>
      </c>
      <c r="U5032" s="4">
        <f>T5032*1.12</f>
        <v>117347.32800000001</v>
      </c>
      <c r="V5032" s="3"/>
      <c r="W5032" s="3">
        <v>2014</v>
      </c>
      <c r="X5032" s="3"/>
    </row>
    <row r="5033" spans="1:24" ht="114.75">
      <c r="A5033" s="3" t="s">
        <v>2049</v>
      </c>
      <c r="B5033" s="6" t="s">
        <v>361</v>
      </c>
      <c r="C5033" s="6" t="s">
        <v>5962</v>
      </c>
      <c r="D5033" s="6" t="s">
        <v>5963</v>
      </c>
      <c r="E5033" s="6" t="s">
        <v>5183</v>
      </c>
      <c r="F5033" s="30" t="s">
        <v>5964</v>
      </c>
      <c r="G5033" s="57" t="s">
        <v>11449</v>
      </c>
      <c r="H5033" s="54">
        <v>0</v>
      </c>
      <c r="I5033" s="16">
        <v>470000000</v>
      </c>
      <c r="J5033" s="56" t="s">
        <v>229</v>
      </c>
      <c r="K5033" s="57" t="s">
        <v>641</v>
      </c>
      <c r="L5033" s="12" t="s">
        <v>404</v>
      </c>
      <c r="M5033" s="3" t="s">
        <v>230</v>
      </c>
      <c r="N5033" s="8" t="s">
        <v>9479</v>
      </c>
      <c r="O5033" s="6" t="s">
        <v>365</v>
      </c>
      <c r="P5033" s="58">
        <v>796</v>
      </c>
      <c r="Q5033" s="27" t="s">
        <v>234</v>
      </c>
      <c r="R5033" s="30">
        <v>12</v>
      </c>
      <c r="S5033" s="59">
        <v>21268.6</v>
      </c>
      <c r="T5033" s="4">
        <v>0</v>
      </c>
      <c r="U5033" s="4">
        <f t="shared" si="226"/>
        <v>0</v>
      </c>
      <c r="V5033" s="3"/>
      <c r="W5033" s="3">
        <v>2014</v>
      </c>
      <c r="X5033" s="3">
        <v>11</v>
      </c>
    </row>
    <row r="5034" spans="1:24" ht="114.75">
      <c r="A5034" s="3" t="s">
        <v>12749</v>
      </c>
      <c r="B5034" s="6" t="s">
        <v>361</v>
      </c>
      <c r="C5034" s="6" t="s">
        <v>5962</v>
      </c>
      <c r="D5034" s="6" t="s">
        <v>5963</v>
      </c>
      <c r="E5034" s="6" t="s">
        <v>5183</v>
      </c>
      <c r="F5034" s="30" t="s">
        <v>5964</v>
      </c>
      <c r="G5034" s="57" t="s">
        <v>11449</v>
      </c>
      <c r="H5034" s="54">
        <v>0</v>
      </c>
      <c r="I5034" s="16">
        <v>470000000</v>
      </c>
      <c r="J5034" s="56" t="s">
        <v>229</v>
      </c>
      <c r="K5034" s="57" t="s">
        <v>642</v>
      </c>
      <c r="L5034" s="12" t="s">
        <v>404</v>
      </c>
      <c r="M5034" s="3" t="s">
        <v>230</v>
      </c>
      <c r="N5034" s="8" t="s">
        <v>9479</v>
      </c>
      <c r="O5034" s="6" t="s">
        <v>365</v>
      </c>
      <c r="P5034" s="58">
        <v>796</v>
      </c>
      <c r="Q5034" s="27" t="s">
        <v>234</v>
      </c>
      <c r="R5034" s="30">
        <v>12</v>
      </c>
      <c r="S5034" s="59">
        <v>21268.6</v>
      </c>
      <c r="T5034" s="4">
        <v>0</v>
      </c>
      <c r="U5034" s="4">
        <f>T5034*1.12</f>
        <v>0</v>
      </c>
      <c r="V5034" s="3"/>
      <c r="W5034" s="3">
        <v>2014</v>
      </c>
      <c r="X5034" s="3" t="s">
        <v>14785</v>
      </c>
    </row>
    <row r="5035" spans="1:24" ht="114.75">
      <c r="A5035" s="3" t="s">
        <v>16920</v>
      </c>
      <c r="B5035" s="6" t="s">
        <v>361</v>
      </c>
      <c r="C5035" s="6" t="s">
        <v>5962</v>
      </c>
      <c r="D5035" s="6" t="s">
        <v>5963</v>
      </c>
      <c r="E5035" s="6" t="s">
        <v>5183</v>
      </c>
      <c r="F5035" s="30" t="s">
        <v>5964</v>
      </c>
      <c r="G5035" s="3" t="s">
        <v>11449</v>
      </c>
      <c r="H5035" s="54">
        <v>0</v>
      </c>
      <c r="I5035" s="16">
        <v>470000000</v>
      </c>
      <c r="J5035" s="56" t="s">
        <v>229</v>
      </c>
      <c r="K5035" s="57" t="s">
        <v>8950</v>
      </c>
      <c r="L5035" s="12" t="s">
        <v>404</v>
      </c>
      <c r="M5035" s="3" t="s">
        <v>230</v>
      </c>
      <c r="N5035" s="8" t="s">
        <v>9479</v>
      </c>
      <c r="O5035" s="6" t="s">
        <v>365</v>
      </c>
      <c r="P5035" s="58">
        <v>796</v>
      </c>
      <c r="Q5035" s="27" t="s">
        <v>234</v>
      </c>
      <c r="R5035" s="30">
        <v>12</v>
      </c>
      <c r="S5035" s="59">
        <v>59064</v>
      </c>
      <c r="T5035" s="4">
        <f>R5035*S5035</f>
        <v>708768</v>
      </c>
      <c r="U5035" s="4">
        <f>T5035*1.12</f>
        <v>793820.16000000003</v>
      </c>
      <c r="V5035" s="3"/>
      <c r="W5035" s="3">
        <v>2014</v>
      </c>
      <c r="X5035" s="3"/>
    </row>
    <row r="5036" spans="1:24" ht="114.75">
      <c r="A5036" s="3" t="s">
        <v>2050</v>
      </c>
      <c r="B5036" s="6" t="s">
        <v>361</v>
      </c>
      <c r="C5036" s="6" t="s">
        <v>5965</v>
      </c>
      <c r="D5036" s="6" t="s">
        <v>436</v>
      </c>
      <c r="E5036" s="6" t="s">
        <v>11534</v>
      </c>
      <c r="F5036" s="30" t="s">
        <v>5966</v>
      </c>
      <c r="G5036" s="57" t="s">
        <v>11449</v>
      </c>
      <c r="H5036" s="54">
        <v>0</v>
      </c>
      <c r="I5036" s="16">
        <v>470000000</v>
      </c>
      <c r="J5036" s="56" t="s">
        <v>229</v>
      </c>
      <c r="K5036" s="57" t="s">
        <v>641</v>
      </c>
      <c r="L5036" s="12" t="s">
        <v>404</v>
      </c>
      <c r="M5036" s="3" t="s">
        <v>230</v>
      </c>
      <c r="N5036" s="8" t="s">
        <v>9479</v>
      </c>
      <c r="O5036" s="6" t="s">
        <v>365</v>
      </c>
      <c r="P5036" s="58">
        <v>796</v>
      </c>
      <c r="Q5036" s="27" t="s">
        <v>234</v>
      </c>
      <c r="R5036" s="30">
        <v>10</v>
      </c>
      <c r="S5036" s="59">
        <v>2810.24</v>
      </c>
      <c r="T5036" s="4">
        <v>0</v>
      </c>
      <c r="U5036" s="4">
        <f t="shared" si="226"/>
        <v>0</v>
      </c>
      <c r="V5036" s="3"/>
      <c r="W5036" s="3">
        <v>2014</v>
      </c>
      <c r="X5036" s="3">
        <v>11</v>
      </c>
    </row>
    <row r="5037" spans="1:24" ht="114.75">
      <c r="A5037" s="3" t="s">
        <v>12750</v>
      </c>
      <c r="B5037" s="6" t="s">
        <v>361</v>
      </c>
      <c r="C5037" s="6" t="s">
        <v>5965</v>
      </c>
      <c r="D5037" s="6" t="s">
        <v>436</v>
      </c>
      <c r="E5037" s="6" t="s">
        <v>11534</v>
      </c>
      <c r="F5037" s="30" t="s">
        <v>5966</v>
      </c>
      <c r="G5037" s="57" t="s">
        <v>11449</v>
      </c>
      <c r="H5037" s="54">
        <v>0</v>
      </c>
      <c r="I5037" s="16">
        <v>470000000</v>
      </c>
      <c r="J5037" s="56" t="s">
        <v>229</v>
      </c>
      <c r="K5037" s="57" t="s">
        <v>642</v>
      </c>
      <c r="L5037" s="12" t="s">
        <v>404</v>
      </c>
      <c r="M5037" s="3" t="s">
        <v>230</v>
      </c>
      <c r="N5037" s="8" t="s">
        <v>9479</v>
      </c>
      <c r="O5037" s="6" t="s">
        <v>365</v>
      </c>
      <c r="P5037" s="58">
        <v>796</v>
      </c>
      <c r="Q5037" s="27" t="s">
        <v>234</v>
      </c>
      <c r="R5037" s="30">
        <v>10</v>
      </c>
      <c r="S5037" s="59">
        <v>2810.24</v>
      </c>
      <c r="T5037" s="4">
        <f>R5037*S5037</f>
        <v>28102.399999999998</v>
      </c>
      <c r="U5037" s="4">
        <f>T5037*1.12</f>
        <v>31474.688000000002</v>
      </c>
      <c r="V5037" s="3"/>
      <c r="W5037" s="3">
        <v>2014</v>
      </c>
      <c r="X5037" s="3"/>
    </row>
    <row r="5038" spans="1:24" ht="114.75">
      <c r="A5038" s="3" t="s">
        <v>2051</v>
      </c>
      <c r="B5038" s="6" t="s">
        <v>361</v>
      </c>
      <c r="C5038" s="6" t="s">
        <v>5967</v>
      </c>
      <c r="D5038" s="6" t="s">
        <v>5968</v>
      </c>
      <c r="E5038" s="6" t="s">
        <v>5969</v>
      </c>
      <c r="F5038" s="30" t="s">
        <v>5970</v>
      </c>
      <c r="G5038" s="57" t="s">
        <v>11449</v>
      </c>
      <c r="H5038" s="54">
        <v>0</v>
      </c>
      <c r="I5038" s="16">
        <v>470000000</v>
      </c>
      <c r="J5038" s="56" t="s">
        <v>229</v>
      </c>
      <c r="K5038" s="57" t="s">
        <v>641</v>
      </c>
      <c r="L5038" s="12" t="s">
        <v>404</v>
      </c>
      <c r="M5038" s="3" t="s">
        <v>230</v>
      </c>
      <c r="N5038" s="8" t="s">
        <v>9479</v>
      </c>
      <c r="O5038" s="6" t="s">
        <v>365</v>
      </c>
      <c r="P5038" s="58">
        <v>796</v>
      </c>
      <c r="Q5038" s="27" t="s">
        <v>234</v>
      </c>
      <c r="R5038" s="30">
        <v>12</v>
      </c>
      <c r="S5038" s="59">
        <v>18541.600000000002</v>
      </c>
      <c r="T5038" s="4">
        <v>0</v>
      </c>
      <c r="U5038" s="4">
        <f t="shared" si="226"/>
        <v>0</v>
      </c>
      <c r="V5038" s="3"/>
      <c r="W5038" s="3">
        <v>2014</v>
      </c>
      <c r="X5038" s="3">
        <v>11</v>
      </c>
    </row>
    <row r="5039" spans="1:24" ht="114.75">
      <c r="A5039" s="3" t="s">
        <v>12751</v>
      </c>
      <c r="B5039" s="6" t="s">
        <v>361</v>
      </c>
      <c r="C5039" s="6" t="s">
        <v>5967</v>
      </c>
      <c r="D5039" s="6" t="s">
        <v>5968</v>
      </c>
      <c r="E5039" s="6" t="s">
        <v>5969</v>
      </c>
      <c r="F5039" s="30" t="s">
        <v>5970</v>
      </c>
      <c r="G5039" s="57" t="s">
        <v>11449</v>
      </c>
      <c r="H5039" s="54">
        <v>0</v>
      </c>
      <c r="I5039" s="16">
        <v>470000000</v>
      </c>
      <c r="J5039" s="56" t="s">
        <v>229</v>
      </c>
      <c r="K5039" s="57" t="s">
        <v>642</v>
      </c>
      <c r="L5039" s="12" t="s">
        <v>404</v>
      </c>
      <c r="M5039" s="3" t="s">
        <v>230</v>
      </c>
      <c r="N5039" s="8" t="s">
        <v>9479</v>
      </c>
      <c r="O5039" s="6" t="s">
        <v>365</v>
      </c>
      <c r="P5039" s="58">
        <v>796</v>
      </c>
      <c r="Q5039" s="27" t="s">
        <v>234</v>
      </c>
      <c r="R5039" s="30">
        <v>12</v>
      </c>
      <c r="S5039" s="59">
        <v>18541.600000000002</v>
      </c>
      <c r="T5039" s="4">
        <f>R5039*S5039</f>
        <v>222499.20000000001</v>
      </c>
      <c r="U5039" s="4">
        <f>T5039*1.12</f>
        <v>249199.10400000005</v>
      </c>
      <c r="V5039" s="3"/>
      <c r="W5039" s="3">
        <v>2014</v>
      </c>
      <c r="X5039" s="3"/>
    </row>
    <row r="5040" spans="1:24" ht="114.75">
      <c r="A5040" s="3" t="s">
        <v>2052</v>
      </c>
      <c r="B5040" s="6" t="s">
        <v>361</v>
      </c>
      <c r="C5040" s="6" t="s">
        <v>5971</v>
      </c>
      <c r="D5040" s="6" t="s">
        <v>5972</v>
      </c>
      <c r="E5040" s="6" t="s">
        <v>5972</v>
      </c>
      <c r="F5040" s="30" t="s">
        <v>5973</v>
      </c>
      <c r="G5040" s="57" t="s">
        <v>11449</v>
      </c>
      <c r="H5040" s="54">
        <v>0</v>
      </c>
      <c r="I5040" s="16">
        <v>470000000</v>
      </c>
      <c r="J5040" s="56" t="s">
        <v>229</v>
      </c>
      <c r="K5040" s="57" t="s">
        <v>641</v>
      </c>
      <c r="L5040" s="12" t="s">
        <v>404</v>
      </c>
      <c r="M5040" s="3" t="s">
        <v>230</v>
      </c>
      <c r="N5040" s="8" t="s">
        <v>9479</v>
      </c>
      <c r="O5040" s="6" t="s">
        <v>365</v>
      </c>
      <c r="P5040" s="58">
        <v>796</v>
      </c>
      <c r="Q5040" s="27" t="s">
        <v>234</v>
      </c>
      <c r="R5040" s="30">
        <v>10</v>
      </c>
      <c r="S5040" s="59">
        <v>9055.2000000000007</v>
      </c>
      <c r="T5040" s="4">
        <v>0</v>
      </c>
      <c r="U5040" s="4">
        <f t="shared" si="226"/>
        <v>0</v>
      </c>
      <c r="V5040" s="3"/>
      <c r="W5040" s="3">
        <v>2014</v>
      </c>
      <c r="X5040" s="3">
        <v>11</v>
      </c>
    </row>
    <row r="5041" spans="1:24" ht="114.75">
      <c r="A5041" s="3" t="s">
        <v>12752</v>
      </c>
      <c r="B5041" s="6" t="s">
        <v>361</v>
      </c>
      <c r="C5041" s="6" t="s">
        <v>5971</v>
      </c>
      <c r="D5041" s="6" t="s">
        <v>5972</v>
      </c>
      <c r="E5041" s="6" t="s">
        <v>5972</v>
      </c>
      <c r="F5041" s="30" t="s">
        <v>5973</v>
      </c>
      <c r="G5041" s="57" t="s">
        <v>11449</v>
      </c>
      <c r="H5041" s="54">
        <v>0</v>
      </c>
      <c r="I5041" s="16">
        <v>470000000</v>
      </c>
      <c r="J5041" s="56" t="s">
        <v>229</v>
      </c>
      <c r="K5041" s="57" t="s">
        <v>642</v>
      </c>
      <c r="L5041" s="12" t="s">
        <v>404</v>
      </c>
      <c r="M5041" s="3" t="s">
        <v>230</v>
      </c>
      <c r="N5041" s="8" t="s">
        <v>9479</v>
      </c>
      <c r="O5041" s="6" t="s">
        <v>365</v>
      </c>
      <c r="P5041" s="58">
        <v>796</v>
      </c>
      <c r="Q5041" s="27" t="s">
        <v>234</v>
      </c>
      <c r="R5041" s="30">
        <v>10</v>
      </c>
      <c r="S5041" s="59">
        <v>9055.2000000000007</v>
      </c>
      <c r="T5041" s="4">
        <f>R5041*S5041</f>
        <v>90552</v>
      </c>
      <c r="U5041" s="4">
        <f>T5041*1.12</f>
        <v>101418.24000000001</v>
      </c>
      <c r="V5041" s="3"/>
      <c r="W5041" s="3">
        <v>2014</v>
      </c>
      <c r="X5041" s="3"/>
    </row>
    <row r="5042" spans="1:24" ht="114.75">
      <c r="A5042" s="3" t="s">
        <v>2053</v>
      </c>
      <c r="B5042" s="6" t="s">
        <v>361</v>
      </c>
      <c r="C5042" s="6" t="s">
        <v>5648</v>
      </c>
      <c r="D5042" s="6" t="s">
        <v>5649</v>
      </c>
      <c r="E5042" s="6" t="s">
        <v>5183</v>
      </c>
      <c r="F5042" s="30" t="s">
        <v>5974</v>
      </c>
      <c r="G5042" s="57" t="s">
        <v>11449</v>
      </c>
      <c r="H5042" s="54">
        <v>0</v>
      </c>
      <c r="I5042" s="16">
        <v>470000000</v>
      </c>
      <c r="J5042" s="56" t="s">
        <v>229</v>
      </c>
      <c r="K5042" s="57" t="s">
        <v>641</v>
      </c>
      <c r="L5042" s="12" t="s">
        <v>404</v>
      </c>
      <c r="M5042" s="3" t="s">
        <v>230</v>
      </c>
      <c r="N5042" s="8" t="s">
        <v>9479</v>
      </c>
      <c r="O5042" s="6" t="s">
        <v>365</v>
      </c>
      <c r="P5042" s="58">
        <v>796</v>
      </c>
      <c r="Q5042" s="27" t="s">
        <v>234</v>
      </c>
      <c r="R5042" s="30">
        <v>30</v>
      </c>
      <c r="S5042" s="59">
        <v>2812</v>
      </c>
      <c r="T5042" s="4">
        <v>0</v>
      </c>
      <c r="U5042" s="4">
        <f t="shared" si="226"/>
        <v>0</v>
      </c>
      <c r="V5042" s="3"/>
      <c r="W5042" s="3">
        <v>2014</v>
      </c>
      <c r="X5042" s="3">
        <v>11</v>
      </c>
    </row>
    <row r="5043" spans="1:24" ht="114.75">
      <c r="A5043" s="3" t="s">
        <v>12753</v>
      </c>
      <c r="B5043" s="6" t="s">
        <v>361</v>
      </c>
      <c r="C5043" s="6" t="s">
        <v>5648</v>
      </c>
      <c r="D5043" s="6" t="s">
        <v>5649</v>
      </c>
      <c r="E5043" s="6" t="s">
        <v>5183</v>
      </c>
      <c r="F5043" s="30" t="s">
        <v>5974</v>
      </c>
      <c r="G5043" s="57" t="s">
        <v>11449</v>
      </c>
      <c r="H5043" s="54">
        <v>0</v>
      </c>
      <c r="I5043" s="16">
        <v>470000000</v>
      </c>
      <c r="J5043" s="56" t="s">
        <v>229</v>
      </c>
      <c r="K5043" s="57" t="s">
        <v>642</v>
      </c>
      <c r="L5043" s="12" t="s">
        <v>404</v>
      </c>
      <c r="M5043" s="3" t="s">
        <v>230</v>
      </c>
      <c r="N5043" s="8" t="s">
        <v>9479</v>
      </c>
      <c r="O5043" s="6" t="s">
        <v>365</v>
      </c>
      <c r="P5043" s="58">
        <v>796</v>
      </c>
      <c r="Q5043" s="27" t="s">
        <v>234</v>
      </c>
      <c r="R5043" s="30">
        <v>30</v>
      </c>
      <c r="S5043" s="59">
        <v>2812</v>
      </c>
      <c r="T5043" s="4">
        <f>R5043*S5043</f>
        <v>84360</v>
      </c>
      <c r="U5043" s="4">
        <f>T5043*1.12</f>
        <v>94483.200000000012</v>
      </c>
      <c r="V5043" s="3"/>
      <c r="W5043" s="3">
        <v>2014</v>
      </c>
      <c r="X5043" s="3"/>
    </row>
    <row r="5044" spans="1:24" ht="114.75">
      <c r="A5044" s="3" t="s">
        <v>2054</v>
      </c>
      <c r="B5044" s="6" t="s">
        <v>361</v>
      </c>
      <c r="C5044" s="6" t="s">
        <v>5627</v>
      </c>
      <c r="D5044" s="6" t="s">
        <v>5628</v>
      </c>
      <c r="E5044" s="6" t="s">
        <v>5629</v>
      </c>
      <c r="F5044" s="30" t="s">
        <v>5975</v>
      </c>
      <c r="G5044" s="57" t="s">
        <v>11449</v>
      </c>
      <c r="H5044" s="54">
        <v>0</v>
      </c>
      <c r="I5044" s="16">
        <v>470000000</v>
      </c>
      <c r="J5044" s="56" t="s">
        <v>229</v>
      </c>
      <c r="K5044" s="57" t="s">
        <v>641</v>
      </c>
      <c r="L5044" s="12" t="s">
        <v>404</v>
      </c>
      <c r="M5044" s="3" t="s">
        <v>230</v>
      </c>
      <c r="N5044" s="8" t="s">
        <v>9479</v>
      </c>
      <c r="O5044" s="6" t="s">
        <v>365</v>
      </c>
      <c r="P5044" s="58">
        <v>796</v>
      </c>
      <c r="Q5044" s="27" t="s">
        <v>234</v>
      </c>
      <c r="R5044" s="30">
        <v>10</v>
      </c>
      <c r="S5044" s="59">
        <v>12870.000000000002</v>
      </c>
      <c r="T5044" s="4">
        <v>0</v>
      </c>
      <c r="U5044" s="4">
        <f t="shared" si="226"/>
        <v>0</v>
      </c>
      <c r="V5044" s="3"/>
      <c r="W5044" s="3">
        <v>2014</v>
      </c>
      <c r="X5044" s="3">
        <v>11</v>
      </c>
    </row>
    <row r="5045" spans="1:24" ht="114.75">
      <c r="A5045" s="3" t="s">
        <v>12754</v>
      </c>
      <c r="B5045" s="6" t="s">
        <v>361</v>
      </c>
      <c r="C5045" s="6" t="s">
        <v>5627</v>
      </c>
      <c r="D5045" s="6" t="s">
        <v>5628</v>
      </c>
      <c r="E5045" s="6" t="s">
        <v>5629</v>
      </c>
      <c r="F5045" s="30" t="s">
        <v>5975</v>
      </c>
      <c r="G5045" s="57" t="s">
        <v>11449</v>
      </c>
      <c r="H5045" s="54">
        <v>0</v>
      </c>
      <c r="I5045" s="16">
        <v>470000000</v>
      </c>
      <c r="J5045" s="56" t="s">
        <v>229</v>
      </c>
      <c r="K5045" s="57" t="s">
        <v>642</v>
      </c>
      <c r="L5045" s="12" t="s">
        <v>404</v>
      </c>
      <c r="M5045" s="3" t="s">
        <v>230</v>
      </c>
      <c r="N5045" s="8" t="s">
        <v>9479</v>
      </c>
      <c r="O5045" s="6" t="s">
        <v>365</v>
      </c>
      <c r="P5045" s="58">
        <v>796</v>
      </c>
      <c r="Q5045" s="27" t="s">
        <v>234</v>
      </c>
      <c r="R5045" s="30">
        <v>10</v>
      </c>
      <c r="S5045" s="59">
        <v>12870.000000000002</v>
      </c>
      <c r="T5045" s="4">
        <f>R5045*S5045</f>
        <v>128700.00000000001</v>
      </c>
      <c r="U5045" s="4">
        <f>T5045*1.12</f>
        <v>144144.00000000003</v>
      </c>
      <c r="V5045" s="3"/>
      <c r="W5045" s="3">
        <v>2014</v>
      </c>
      <c r="X5045" s="3"/>
    </row>
    <row r="5046" spans="1:24" ht="114.75">
      <c r="A5046" s="3" t="s">
        <v>2055</v>
      </c>
      <c r="B5046" s="6" t="s">
        <v>361</v>
      </c>
      <c r="C5046" s="6" t="s">
        <v>5976</v>
      </c>
      <c r="D5046" s="6" t="s">
        <v>3119</v>
      </c>
      <c r="E5046" s="6" t="s">
        <v>5977</v>
      </c>
      <c r="F5046" s="8" t="s">
        <v>5978</v>
      </c>
      <c r="G5046" s="57" t="s">
        <v>11449</v>
      </c>
      <c r="H5046" s="54">
        <v>0</v>
      </c>
      <c r="I5046" s="16">
        <v>470000000</v>
      </c>
      <c r="J5046" s="56" t="s">
        <v>229</v>
      </c>
      <c r="K5046" s="57" t="s">
        <v>641</v>
      </c>
      <c r="L5046" s="12" t="s">
        <v>404</v>
      </c>
      <c r="M5046" s="3" t="s">
        <v>230</v>
      </c>
      <c r="N5046" s="8" t="s">
        <v>8899</v>
      </c>
      <c r="O5046" s="6" t="s">
        <v>365</v>
      </c>
      <c r="P5046" s="58">
        <v>796</v>
      </c>
      <c r="Q5046" s="27" t="s">
        <v>234</v>
      </c>
      <c r="R5046" s="27">
        <v>2</v>
      </c>
      <c r="S5046" s="59">
        <f>300000*1.07</f>
        <v>321000</v>
      </c>
      <c r="T5046" s="4">
        <v>0</v>
      </c>
      <c r="U5046" s="4">
        <f t="shared" ref="U5046:U5193" si="228">T5046*1.12</f>
        <v>0</v>
      </c>
      <c r="V5046" s="3"/>
      <c r="W5046" s="3">
        <v>2014</v>
      </c>
      <c r="X5046" s="3">
        <v>11</v>
      </c>
    </row>
    <row r="5047" spans="1:24" ht="114.75">
      <c r="A5047" s="3" t="s">
        <v>12755</v>
      </c>
      <c r="B5047" s="6" t="s">
        <v>361</v>
      </c>
      <c r="C5047" s="6" t="s">
        <v>5976</v>
      </c>
      <c r="D5047" s="6" t="s">
        <v>3119</v>
      </c>
      <c r="E5047" s="6" t="s">
        <v>5977</v>
      </c>
      <c r="F5047" s="8" t="s">
        <v>5978</v>
      </c>
      <c r="G5047" s="57" t="s">
        <v>11449</v>
      </c>
      <c r="H5047" s="54">
        <v>0</v>
      </c>
      <c r="I5047" s="16">
        <v>470000000</v>
      </c>
      <c r="J5047" s="56" t="s">
        <v>229</v>
      </c>
      <c r="K5047" s="57" t="s">
        <v>642</v>
      </c>
      <c r="L5047" s="12" t="s">
        <v>404</v>
      </c>
      <c r="M5047" s="3" t="s">
        <v>230</v>
      </c>
      <c r="N5047" s="8" t="s">
        <v>8899</v>
      </c>
      <c r="O5047" s="6" t="s">
        <v>365</v>
      </c>
      <c r="P5047" s="58">
        <v>796</v>
      </c>
      <c r="Q5047" s="27" t="s">
        <v>234</v>
      </c>
      <c r="R5047" s="27">
        <v>2</v>
      </c>
      <c r="S5047" s="59">
        <f>300000*1.07</f>
        <v>321000</v>
      </c>
      <c r="T5047" s="4">
        <v>0</v>
      </c>
      <c r="U5047" s="4">
        <f>T5047*1.12</f>
        <v>0</v>
      </c>
      <c r="V5047" s="3"/>
      <c r="W5047" s="3">
        <v>2014</v>
      </c>
      <c r="X5047" s="3" t="s">
        <v>14785</v>
      </c>
    </row>
    <row r="5048" spans="1:24" ht="114.75">
      <c r="A5048" s="3" t="s">
        <v>16681</v>
      </c>
      <c r="B5048" s="6" t="s">
        <v>361</v>
      </c>
      <c r="C5048" s="6" t="s">
        <v>5976</v>
      </c>
      <c r="D5048" s="6" t="s">
        <v>3119</v>
      </c>
      <c r="E5048" s="6" t="s">
        <v>5977</v>
      </c>
      <c r="F5048" s="8" t="s">
        <v>5978</v>
      </c>
      <c r="G5048" s="3" t="s">
        <v>11449</v>
      </c>
      <c r="H5048" s="54">
        <v>0</v>
      </c>
      <c r="I5048" s="16">
        <v>470000000</v>
      </c>
      <c r="J5048" s="56" t="s">
        <v>229</v>
      </c>
      <c r="K5048" s="57" t="s">
        <v>8950</v>
      </c>
      <c r="L5048" s="12" t="s">
        <v>404</v>
      </c>
      <c r="M5048" s="3" t="s">
        <v>230</v>
      </c>
      <c r="N5048" s="8" t="s">
        <v>8899</v>
      </c>
      <c r="O5048" s="6" t="s">
        <v>365</v>
      </c>
      <c r="P5048" s="58">
        <v>796</v>
      </c>
      <c r="Q5048" s="27" t="s">
        <v>234</v>
      </c>
      <c r="R5048" s="27">
        <v>2</v>
      </c>
      <c r="S5048" s="59">
        <v>385200</v>
      </c>
      <c r="T5048" s="4">
        <f>R5048*S5048</f>
        <v>770400</v>
      </c>
      <c r="U5048" s="4">
        <f>T5048*1.12</f>
        <v>862848.00000000012</v>
      </c>
      <c r="V5048" s="3"/>
      <c r="W5048" s="3">
        <v>2014</v>
      </c>
      <c r="X5048" s="3"/>
    </row>
    <row r="5049" spans="1:24" ht="127.5">
      <c r="A5049" s="3" t="s">
        <v>2056</v>
      </c>
      <c r="B5049" s="6" t="s">
        <v>361</v>
      </c>
      <c r="C5049" s="6" t="s">
        <v>5979</v>
      </c>
      <c r="D5049" s="6" t="s">
        <v>3119</v>
      </c>
      <c r="E5049" s="6" t="s">
        <v>5980</v>
      </c>
      <c r="F5049" s="9" t="s">
        <v>5981</v>
      </c>
      <c r="G5049" s="57" t="s">
        <v>11449</v>
      </c>
      <c r="H5049" s="54">
        <v>0</v>
      </c>
      <c r="I5049" s="16">
        <v>470000000</v>
      </c>
      <c r="J5049" s="56" t="s">
        <v>229</v>
      </c>
      <c r="K5049" s="57" t="s">
        <v>641</v>
      </c>
      <c r="L5049" s="12" t="s">
        <v>404</v>
      </c>
      <c r="M5049" s="3" t="s">
        <v>230</v>
      </c>
      <c r="N5049" s="8" t="s">
        <v>8899</v>
      </c>
      <c r="O5049" s="6" t="s">
        <v>365</v>
      </c>
      <c r="P5049" s="58">
        <v>796</v>
      </c>
      <c r="Q5049" s="27" t="s">
        <v>234</v>
      </c>
      <c r="R5049" s="27">
        <v>2</v>
      </c>
      <c r="S5049" s="59">
        <f>300000*1.07</f>
        <v>321000</v>
      </c>
      <c r="T5049" s="4">
        <v>0</v>
      </c>
      <c r="U5049" s="4">
        <f t="shared" si="228"/>
        <v>0</v>
      </c>
      <c r="V5049" s="3"/>
      <c r="W5049" s="3">
        <v>2014</v>
      </c>
      <c r="X5049" s="3">
        <v>11</v>
      </c>
    </row>
    <row r="5050" spans="1:24" ht="127.5">
      <c r="A5050" s="3" t="s">
        <v>12756</v>
      </c>
      <c r="B5050" s="6" t="s">
        <v>361</v>
      </c>
      <c r="C5050" s="6" t="s">
        <v>5979</v>
      </c>
      <c r="D5050" s="6" t="s">
        <v>3119</v>
      </c>
      <c r="E5050" s="6" t="s">
        <v>5980</v>
      </c>
      <c r="F5050" s="9" t="s">
        <v>5981</v>
      </c>
      <c r="G5050" s="57" t="s">
        <v>11449</v>
      </c>
      <c r="H5050" s="54">
        <v>0</v>
      </c>
      <c r="I5050" s="16">
        <v>470000000</v>
      </c>
      <c r="J5050" s="56" t="s">
        <v>229</v>
      </c>
      <c r="K5050" s="57" t="s">
        <v>642</v>
      </c>
      <c r="L5050" s="12" t="s">
        <v>404</v>
      </c>
      <c r="M5050" s="3" t="s">
        <v>230</v>
      </c>
      <c r="N5050" s="8" t="s">
        <v>8899</v>
      </c>
      <c r="O5050" s="6" t="s">
        <v>365</v>
      </c>
      <c r="P5050" s="58">
        <v>796</v>
      </c>
      <c r="Q5050" s="27" t="s">
        <v>234</v>
      </c>
      <c r="R5050" s="27">
        <v>2</v>
      </c>
      <c r="S5050" s="59">
        <f>300000*1.07</f>
        <v>321000</v>
      </c>
      <c r="T5050" s="4">
        <v>0</v>
      </c>
      <c r="U5050" s="4">
        <f>T5050*1.12</f>
        <v>0</v>
      </c>
      <c r="V5050" s="3"/>
      <c r="W5050" s="3">
        <v>2014</v>
      </c>
      <c r="X5050" s="3" t="s">
        <v>14785</v>
      </c>
    </row>
    <row r="5051" spans="1:24" ht="127.5">
      <c r="A5051" s="3" t="s">
        <v>16921</v>
      </c>
      <c r="B5051" s="6" t="s">
        <v>361</v>
      </c>
      <c r="C5051" s="6" t="s">
        <v>5979</v>
      </c>
      <c r="D5051" s="6" t="s">
        <v>3119</v>
      </c>
      <c r="E5051" s="6" t="s">
        <v>5980</v>
      </c>
      <c r="F5051" s="9" t="s">
        <v>5981</v>
      </c>
      <c r="G5051" s="3" t="s">
        <v>11449</v>
      </c>
      <c r="H5051" s="54">
        <v>0</v>
      </c>
      <c r="I5051" s="16">
        <v>470000000</v>
      </c>
      <c r="J5051" s="56" t="s">
        <v>229</v>
      </c>
      <c r="K5051" s="57" t="s">
        <v>8950</v>
      </c>
      <c r="L5051" s="12" t="s">
        <v>404</v>
      </c>
      <c r="M5051" s="3" t="s">
        <v>230</v>
      </c>
      <c r="N5051" s="8" t="s">
        <v>8899</v>
      </c>
      <c r="O5051" s="6" t="s">
        <v>365</v>
      </c>
      <c r="P5051" s="58">
        <v>796</v>
      </c>
      <c r="Q5051" s="27" t="s">
        <v>234</v>
      </c>
      <c r="R5051" s="27">
        <v>2</v>
      </c>
      <c r="S5051" s="59">
        <v>385200</v>
      </c>
      <c r="T5051" s="4">
        <v>0</v>
      </c>
      <c r="U5051" s="4">
        <f>T5051*1.12</f>
        <v>0</v>
      </c>
      <c r="V5051" s="3"/>
      <c r="W5051" s="3">
        <v>2014</v>
      </c>
      <c r="X5051" s="3">
        <v>11</v>
      </c>
    </row>
    <row r="5052" spans="1:24" ht="127.5">
      <c r="A5052" s="3" t="s">
        <v>18801</v>
      </c>
      <c r="B5052" s="6" t="s">
        <v>361</v>
      </c>
      <c r="C5052" s="6" t="s">
        <v>5979</v>
      </c>
      <c r="D5052" s="6" t="s">
        <v>3119</v>
      </c>
      <c r="E5052" s="6" t="s">
        <v>5980</v>
      </c>
      <c r="F5052" s="9" t="s">
        <v>5981</v>
      </c>
      <c r="G5052" s="3" t="s">
        <v>11449</v>
      </c>
      <c r="H5052" s="54">
        <v>0</v>
      </c>
      <c r="I5052" s="16">
        <v>470000000</v>
      </c>
      <c r="J5052" s="56" t="s">
        <v>229</v>
      </c>
      <c r="K5052" s="57" t="s">
        <v>18437</v>
      </c>
      <c r="L5052" s="12" t="s">
        <v>404</v>
      </c>
      <c r="M5052" s="3" t="s">
        <v>230</v>
      </c>
      <c r="N5052" s="8" t="s">
        <v>8899</v>
      </c>
      <c r="O5052" s="6" t="s">
        <v>365</v>
      </c>
      <c r="P5052" s="58">
        <v>796</v>
      </c>
      <c r="Q5052" s="27" t="s">
        <v>234</v>
      </c>
      <c r="R5052" s="27">
        <v>2</v>
      </c>
      <c r="S5052" s="59">
        <v>385200</v>
      </c>
      <c r="T5052" s="4">
        <v>0</v>
      </c>
      <c r="U5052" s="4">
        <f>T5052*1.12</f>
        <v>0</v>
      </c>
      <c r="V5052" s="3"/>
      <c r="W5052" s="3">
        <v>2014</v>
      </c>
      <c r="X5052" s="3" t="s">
        <v>12076</v>
      </c>
    </row>
    <row r="5053" spans="1:24" ht="114.75">
      <c r="A5053" s="3" t="s">
        <v>2057</v>
      </c>
      <c r="B5053" s="6" t="s">
        <v>361</v>
      </c>
      <c r="C5053" s="6" t="s">
        <v>5982</v>
      </c>
      <c r="D5053" s="6" t="s">
        <v>5601</v>
      </c>
      <c r="E5053" s="6" t="s">
        <v>5743</v>
      </c>
      <c r="F5053" s="8" t="s">
        <v>5983</v>
      </c>
      <c r="G5053" s="57" t="s">
        <v>11449</v>
      </c>
      <c r="H5053" s="54">
        <v>0</v>
      </c>
      <c r="I5053" s="16">
        <v>470000000</v>
      </c>
      <c r="J5053" s="56" t="s">
        <v>229</v>
      </c>
      <c r="K5053" s="57" t="s">
        <v>641</v>
      </c>
      <c r="L5053" s="12" t="s">
        <v>404</v>
      </c>
      <c r="M5053" s="3" t="s">
        <v>230</v>
      </c>
      <c r="N5053" s="8" t="s">
        <v>8899</v>
      </c>
      <c r="O5053" s="6" t="s">
        <v>365</v>
      </c>
      <c r="P5053" s="58">
        <v>796</v>
      </c>
      <c r="Q5053" s="27" t="s">
        <v>234</v>
      </c>
      <c r="R5053" s="27">
        <v>2</v>
      </c>
      <c r="S5053" s="59">
        <f>25000*1.07</f>
        <v>26750</v>
      </c>
      <c r="T5053" s="4">
        <v>0</v>
      </c>
      <c r="U5053" s="4">
        <f t="shared" si="228"/>
        <v>0</v>
      </c>
      <c r="V5053" s="3"/>
      <c r="W5053" s="3">
        <v>2014</v>
      </c>
      <c r="X5053" s="3">
        <v>11</v>
      </c>
    </row>
    <row r="5054" spans="1:24" ht="114.75">
      <c r="A5054" s="3" t="s">
        <v>12757</v>
      </c>
      <c r="B5054" s="6" t="s">
        <v>361</v>
      </c>
      <c r="C5054" s="6" t="s">
        <v>5982</v>
      </c>
      <c r="D5054" s="6" t="s">
        <v>5601</v>
      </c>
      <c r="E5054" s="6" t="s">
        <v>5743</v>
      </c>
      <c r="F5054" s="8" t="s">
        <v>5983</v>
      </c>
      <c r="G5054" s="57" t="s">
        <v>11449</v>
      </c>
      <c r="H5054" s="54">
        <v>0</v>
      </c>
      <c r="I5054" s="16">
        <v>470000000</v>
      </c>
      <c r="J5054" s="56" t="s">
        <v>229</v>
      </c>
      <c r="K5054" s="57" t="s">
        <v>642</v>
      </c>
      <c r="L5054" s="12" t="s">
        <v>404</v>
      </c>
      <c r="M5054" s="3" t="s">
        <v>230</v>
      </c>
      <c r="N5054" s="8" t="s">
        <v>8899</v>
      </c>
      <c r="O5054" s="6" t="s">
        <v>365</v>
      </c>
      <c r="P5054" s="58">
        <v>796</v>
      </c>
      <c r="Q5054" s="27" t="s">
        <v>234</v>
      </c>
      <c r="R5054" s="27">
        <v>2</v>
      </c>
      <c r="S5054" s="59">
        <f>25000*1.07</f>
        <v>26750</v>
      </c>
      <c r="T5054" s="4">
        <f>R5054*S5054</f>
        <v>53500</v>
      </c>
      <c r="U5054" s="4">
        <f>T5054*1.12</f>
        <v>59920.000000000007</v>
      </c>
      <c r="V5054" s="3"/>
      <c r="W5054" s="3">
        <v>2014</v>
      </c>
      <c r="X5054" s="3"/>
    </row>
    <row r="5055" spans="1:24" ht="114.75">
      <c r="A5055" s="3" t="s">
        <v>2058</v>
      </c>
      <c r="B5055" s="6" t="s">
        <v>361</v>
      </c>
      <c r="C5055" s="6" t="s">
        <v>5984</v>
      </c>
      <c r="D5055" s="6" t="s">
        <v>3122</v>
      </c>
      <c r="E5055" s="6" t="s">
        <v>5985</v>
      </c>
      <c r="F5055" s="8" t="s">
        <v>11793</v>
      </c>
      <c r="G5055" s="57" t="s">
        <v>11449</v>
      </c>
      <c r="H5055" s="54">
        <v>0</v>
      </c>
      <c r="I5055" s="16">
        <v>470000000</v>
      </c>
      <c r="J5055" s="56" t="s">
        <v>229</v>
      </c>
      <c r="K5055" s="57" t="s">
        <v>641</v>
      </c>
      <c r="L5055" s="12" t="s">
        <v>404</v>
      </c>
      <c r="M5055" s="3" t="s">
        <v>230</v>
      </c>
      <c r="N5055" s="8" t="s">
        <v>8899</v>
      </c>
      <c r="O5055" s="6" t="s">
        <v>365</v>
      </c>
      <c r="P5055" s="58">
        <v>839</v>
      </c>
      <c r="Q5055" s="27" t="s">
        <v>239</v>
      </c>
      <c r="R5055" s="27">
        <v>20</v>
      </c>
      <c r="S5055" s="59">
        <f>1500*1.07</f>
        <v>1605</v>
      </c>
      <c r="T5055" s="4">
        <v>0</v>
      </c>
      <c r="U5055" s="4">
        <f t="shared" si="228"/>
        <v>0</v>
      </c>
      <c r="V5055" s="3"/>
      <c r="W5055" s="3">
        <v>2014</v>
      </c>
      <c r="X5055" s="3">
        <v>11</v>
      </c>
    </row>
    <row r="5056" spans="1:24" ht="114.75">
      <c r="A5056" s="3" t="s">
        <v>12758</v>
      </c>
      <c r="B5056" s="6" t="s">
        <v>361</v>
      </c>
      <c r="C5056" s="6" t="s">
        <v>5984</v>
      </c>
      <c r="D5056" s="6" t="s">
        <v>3122</v>
      </c>
      <c r="E5056" s="6" t="s">
        <v>5985</v>
      </c>
      <c r="F5056" s="8" t="s">
        <v>11793</v>
      </c>
      <c r="G5056" s="57" t="s">
        <v>11449</v>
      </c>
      <c r="H5056" s="54">
        <v>0</v>
      </c>
      <c r="I5056" s="16">
        <v>470000000</v>
      </c>
      <c r="J5056" s="56" t="s">
        <v>229</v>
      </c>
      <c r="K5056" s="57" t="s">
        <v>642</v>
      </c>
      <c r="L5056" s="12" t="s">
        <v>404</v>
      </c>
      <c r="M5056" s="3" t="s">
        <v>230</v>
      </c>
      <c r="N5056" s="8" t="s">
        <v>8899</v>
      </c>
      <c r="O5056" s="6" t="s">
        <v>365</v>
      </c>
      <c r="P5056" s="58">
        <v>839</v>
      </c>
      <c r="Q5056" s="27" t="s">
        <v>239</v>
      </c>
      <c r="R5056" s="27">
        <v>20</v>
      </c>
      <c r="S5056" s="59">
        <f>1500*1.07</f>
        <v>1605</v>
      </c>
      <c r="T5056" s="4">
        <f>R5056*S5056</f>
        <v>32100</v>
      </c>
      <c r="U5056" s="4">
        <f>T5056*1.12</f>
        <v>35952</v>
      </c>
      <c r="V5056" s="3"/>
      <c r="W5056" s="3">
        <v>2014</v>
      </c>
      <c r="X5056" s="3"/>
    </row>
    <row r="5057" spans="1:24" ht="114.75">
      <c r="A5057" s="3" t="s">
        <v>2059</v>
      </c>
      <c r="B5057" s="6" t="s">
        <v>361</v>
      </c>
      <c r="C5057" s="6" t="s">
        <v>5986</v>
      </c>
      <c r="D5057" s="6" t="s">
        <v>3125</v>
      </c>
      <c r="E5057" s="6" t="s">
        <v>5985</v>
      </c>
      <c r="F5057" s="8" t="s">
        <v>11794</v>
      </c>
      <c r="G5057" s="57" t="s">
        <v>11449</v>
      </c>
      <c r="H5057" s="54">
        <v>0</v>
      </c>
      <c r="I5057" s="16">
        <v>470000000</v>
      </c>
      <c r="J5057" s="56" t="s">
        <v>229</v>
      </c>
      <c r="K5057" s="57" t="s">
        <v>641</v>
      </c>
      <c r="L5057" s="12" t="s">
        <v>404</v>
      </c>
      <c r="M5057" s="3" t="s">
        <v>230</v>
      </c>
      <c r="N5057" s="8" t="s">
        <v>8899</v>
      </c>
      <c r="O5057" s="6" t="s">
        <v>365</v>
      </c>
      <c r="P5057" s="58">
        <v>839</v>
      </c>
      <c r="Q5057" s="27" t="s">
        <v>239</v>
      </c>
      <c r="R5057" s="27">
        <v>20</v>
      </c>
      <c r="S5057" s="59">
        <f>1500*1.07</f>
        <v>1605</v>
      </c>
      <c r="T5057" s="4">
        <v>0</v>
      </c>
      <c r="U5057" s="4">
        <f t="shared" si="228"/>
        <v>0</v>
      </c>
      <c r="V5057" s="3"/>
      <c r="W5057" s="3">
        <v>2014</v>
      </c>
      <c r="X5057" s="3">
        <v>11</v>
      </c>
    </row>
    <row r="5058" spans="1:24" ht="114.75">
      <c r="A5058" s="3" t="s">
        <v>12759</v>
      </c>
      <c r="B5058" s="6" t="s">
        <v>361</v>
      </c>
      <c r="C5058" s="6" t="s">
        <v>5986</v>
      </c>
      <c r="D5058" s="6" t="s">
        <v>3125</v>
      </c>
      <c r="E5058" s="6" t="s">
        <v>5985</v>
      </c>
      <c r="F5058" s="8" t="s">
        <v>11794</v>
      </c>
      <c r="G5058" s="57" t="s">
        <v>11449</v>
      </c>
      <c r="H5058" s="54">
        <v>0</v>
      </c>
      <c r="I5058" s="16">
        <v>470000000</v>
      </c>
      <c r="J5058" s="56" t="s">
        <v>229</v>
      </c>
      <c r="K5058" s="57" t="s">
        <v>642</v>
      </c>
      <c r="L5058" s="12" t="s">
        <v>404</v>
      </c>
      <c r="M5058" s="3" t="s">
        <v>230</v>
      </c>
      <c r="N5058" s="8" t="s">
        <v>8899</v>
      </c>
      <c r="O5058" s="6" t="s">
        <v>365</v>
      </c>
      <c r="P5058" s="58">
        <v>839</v>
      </c>
      <c r="Q5058" s="27" t="s">
        <v>239</v>
      </c>
      <c r="R5058" s="27">
        <v>20</v>
      </c>
      <c r="S5058" s="59">
        <f>1500*1.07</f>
        <v>1605</v>
      </c>
      <c r="T5058" s="4">
        <f>R5058*S5058</f>
        <v>32100</v>
      </c>
      <c r="U5058" s="4">
        <f>T5058*1.12</f>
        <v>35952</v>
      </c>
      <c r="V5058" s="3"/>
      <c r="W5058" s="3">
        <v>2014</v>
      </c>
      <c r="X5058" s="3"/>
    </row>
    <row r="5059" spans="1:24" ht="114.75">
      <c r="A5059" s="3" t="s">
        <v>2060</v>
      </c>
      <c r="B5059" s="6" t="s">
        <v>361</v>
      </c>
      <c r="C5059" s="6" t="s">
        <v>5987</v>
      </c>
      <c r="D5059" s="6" t="s">
        <v>512</v>
      </c>
      <c r="E5059" s="6" t="s">
        <v>5746</v>
      </c>
      <c r="F5059" s="9" t="s">
        <v>5988</v>
      </c>
      <c r="G5059" s="57" t="s">
        <v>11449</v>
      </c>
      <c r="H5059" s="54">
        <v>0</v>
      </c>
      <c r="I5059" s="16">
        <v>470000000</v>
      </c>
      <c r="J5059" s="56" t="s">
        <v>229</v>
      </c>
      <c r="K5059" s="57" t="s">
        <v>641</v>
      </c>
      <c r="L5059" s="12" t="s">
        <v>404</v>
      </c>
      <c r="M5059" s="3" t="s">
        <v>230</v>
      </c>
      <c r="N5059" s="8" t="s">
        <v>8899</v>
      </c>
      <c r="O5059" s="6" t="s">
        <v>365</v>
      </c>
      <c r="P5059" s="58">
        <v>796</v>
      </c>
      <c r="Q5059" s="27" t="s">
        <v>234</v>
      </c>
      <c r="R5059" s="27">
        <v>16</v>
      </c>
      <c r="S5059" s="59">
        <f>15000*1.07</f>
        <v>16050.000000000002</v>
      </c>
      <c r="T5059" s="4">
        <v>0</v>
      </c>
      <c r="U5059" s="4">
        <f t="shared" si="228"/>
        <v>0</v>
      </c>
      <c r="V5059" s="3"/>
      <c r="W5059" s="3">
        <v>2014</v>
      </c>
      <c r="X5059" s="3">
        <v>11</v>
      </c>
    </row>
    <row r="5060" spans="1:24" ht="114.75">
      <c r="A5060" s="3" t="s">
        <v>12760</v>
      </c>
      <c r="B5060" s="6" t="s">
        <v>361</v>
      </c>
      <c r="C5060" s="6" t="s">
        <v>5987</v>
      </c>
      <c r="D5060" s="6" t="s">
        <v>512</v>
      </c>
      <c r="E5060" s="6" t="s">
        <v>5746</v>
      </c>
      <c r="F5060" s="9" t="s">
        <v>5988</v>
      </c>
      <c r="G5060" s="57" t="s">
        <v>11449</v>
      </c>
      <c r="H5060" s="54">
        <v>0</v>
      </c>
      <c r="I5060" s="16">
        <v>470000000</v>
      </c>
      <c r="J5060" s="56" t="s">
        <v>229</v>
      </c>
      <c r="K5060" s="57" t="s">
        <v>642</v>
      </c>
      <c r="L5060" s="12" t="s">
        <v>404</v>
      </c>
      <c r="M5060" s="3" t="s">
        <v>230</v>
      </c>
      <c r="N5060" s="8" t="s">
        <v>8899</v>
      </c>
      <c r="O5060" s="6" t="s">
        <v>365</v>
      </c>
      <c r="P5060" s="58">
        <v>796</v>
      </c>
      <c r="Q5060" s="27" t="s">
        <v>234</v>
      </c>
      <c r="R5060" s="27">
        <v>16</v>
      </c>
      <c r="S5060" s="59">
        <f>15000*1.07</f>
        <v>16050.000000000002</v>
      </c>
      <c r="T5060" s="4">
        <f>R5060*S5060</f>
        <v>256800.00000000003</v>
      </c>
      <c r="U5060" s="4">
        <f>T5060*1.12</f>
        <v>287616.00000000006</v>
      </c>
      <c r="V5060" s="3"/>
      <c r="W5060" s="3">
        <v>2014</v>
      </c>
      <c r="X5060" s="3"/>
    </row>
    <row r="5061" spans="1:24" ht="114.75">
      <c r="A5061" s="3" t="s">
        <v>2061</v>
      </c>
      <c r="B5061" s="6" t="s">
        <v>361</v>
      </c>
      <c r="C5061" s="6" t="s">
        <v>5748</v>
      </c>
      <c r="D5061" s="6" t="s">
        <v>507</v>
      </c>
      <c r="E5061" s="6" t="s">
        <v>5743</v>
      </c>
      <c r="F5061" s="9" t="s">
        <v>5989</v>
      </c>
      <c r="G5061" s="57" t="s">
        <v>11449</v>
      </c>
      <c r="H5061" s="54">
        <v>0</v>
      </c>
      <c r="I5061" s="16">
        <v>470000000</v>
      </c>
      <c r="J5061" s="56" t="s">
        <v>229</v>
      </c>
      <c r="K5061" s="57" t="s">
        <v>641</v>
      </c>
      <c r="L5061" s="12" t="s">
        <v>404</v>
      </c>
      <c r="M5061" s="3" t="s">
        <v>230</v>
      </c>
      <c r="N5061" s="8" t="s">
        <v>8899</v>
      </c>
      <c r="O5061" s="6" t="s">
        <v>365</v>
      </c>
      <c r="P5061" s="58">
        <v>796</v>
      </c>
      <c r="Q5061" s="27" t="s">
        <v>234</v>
      </c>
      <c r="R5061" s="31">
        <v>6</v>
      </c>
      <c r="S5061" s="59">
        <v>121886</v>
      </c>
      <c r="T5061" s="4">
        <v>0</v>
      </c>
      <c r="U5061" s="4">
        <f t="shared" si="228"/>
        <v>0</v>
      </c>
      <c r="V5061" s="3"/>
      <c r="W5061" s="3">
        <v>2014</v>
      </c>
      <c r="X5061" s="3">
        <v>11</v>
      </c>
    </row>
    <row r="5062" spans="1:24" ht="114.75">
      <c r="A5062" s="3" t="s">
        <v>12761</v>
      </c>
      <c r="B5062" s="6" t="s">
        <v>361</v>
      </c>
      <c r="C5062" s="6" t="s">
        <v>5748</v>
      </c>
      <c r="D5062" s="6" t="s">
        <v>507</v>
      </c>
      <c r="E5062" s="6" t="s">
        <v>5743</v>
      </c>
      <c r="F5062" s="9" t="s">
        <v>5989</v>
      </c>
      <c r="G5062" s="57" t="s">
        <v>11449</v>
      </c>
      <c r="H5062" s="54">
        <v>0</v>
      </c>
      <c r="I5062" s="16">
        <v>470000000</v>
      </c>
      <c r="J5062" s="56" t="s">
        <v>229</v>
      </c>
      <c r="K5062" s="57" t="s">
        <v>642</v>
      </c>
      <c r="L5062" s="12" t="s">
        <v>404</v>
      </c>
      <c r="M5062" s="3" t="s">
        <v>230</v>
      </c>
      <c r="N5062" s="8" t="s">
        <v>8899</v>
      </c>
      <c r="O5062" s="6" t="s">
        <v>365</v>
      </c>
      <c r="P5062" s="58">
        <v>796</v>
      </c>
      <c r="Q5062" s="27" t="s">
        <v>234</v>
      </c>
      <c r="R5062" s="31">
        <v>6</v>
      </c>
      <c r="S5062" s="59">
        <v>121886</v>
      </c>
      <c r="T5062" s="4">
        <f>R5062*S5062</f>
        <v>731316</v>
      </c>
      <c r="U5062" s="4">
        <f>T5062*1.12</f>
        <v>819073.92</v>
      </c>
      <c r="V5062" s="3"/>
      <c r="W5062" s="3">
        <v>2014</v>
      </c>
      <c r="X5062" s="3"/>
    </row>
    <row r="5063" spans="1:24" ht="114.75">
      <c r="A5063" s="3" t="s">
        <v>2062</v>
      </c>
      <c r="B5063" s="6" t="s">
        <v>361</v>
      </c>
      <c r="C5063" s="6" t="s">
        <v>5990</v>
      </c>
      <c r="D5063" s="6" t="s">
        <v>387</v>
      </c>
      <c r="E5063" s="6" t="s">
        <v>5991</v>
      </c>
      <c r="F5063" s="9" t="s">
        <v>5992</v>
      </c>
      <c r="G5063" s="57" t="s">
        <v>11449</v>
      </c>
      <c r="H5063" s="54">
        <v>0</v>
      </c>
      <c r="I5063" s="16">
        <v>470000000</v>
      </c>
      <c r="J5063" s="56" t="s">
        <v>229</v>
      </c>
      <c r="K5063" s="57" t="s">
        <v>641</v>
      </c>
      <c r="L5063" s="12" t="s">
        <v>404</v>
      </c>
      <c r="M5063" s="3" t="s">
        <v>230</v>
      </c>
      <c r="N5063" s="8" t="s">
        <v>8899</v>
      </c>
      <c r="O5063" s="6" t="s">
        <v>365</v>
      </c>
      <c r="P5063" s="58">
        <v>796</v>
      </c>
      <c r="Q5063" s="27" t="s">
        <v>234</v>
      </c>
      <c r="R5063" s="31">
        <v>20</v>
      </c>
      <c r="S5063" s="59">
        <f>800*1.07</f>
        <v>856</v>
      </c>
      <c r="T5063" s="4">
        <v>0</v>
      </c>
      <c r="U5063" s="4">
        <f t="shared" si="228"/>
        <v>0</v>
      </c>
      <c r="V5063" s="3"/>
      <c r="W5063" s="3">
        <v>2014</v>
      </c>
      <c r="X5063" s="3">
        <v>11</v>
      </c>
    </row>
    <row r="5064" spans="1:24" ht="114.75">
      <c r="A5064" s="3" t="s">
        <v>12762</v>
      </c>
      <c r="B5064" s="6" t="s">
        <v>361</v>
      </c>
      <c r="C5064" s="6" t="s">
        <v>5990</v>
      </c>
      <c r="D5064" s="6" t="s">
        <v>387</v>
      </c>
      <c r="E5064" s="6" t="s">
        <v>5991</v>
      </c>
      <c r="F5064" s="9" t="s">
        <v>5992</v>
      </c>
      <c r="G5064" s="57" t="s">
        <v>11449</v>
      </c>
      <c r="H5064" s="54">
        <v>0</v>
      </c>
      <c r="I5064" s="16">
        <v>470000000</v>
      </c>
      <c r="J5064" s="56" t="s">
        <v>229</v>
      </c>
      <c r="K5064" s="57" t="s">
        <v>642</v>
      </c>
      <c r="L5064" s="12" t="s">
        <v>404</v>
      </c>
      <c r="M5064" s="3" t="s">
        <v>230</v>
      </c>
      <c r="N5064" s="8" t="s">
        <v>8899</v>
      </c>
      <c r="O5064" s="6" t="s">
        <v>365</v>
      </c>
      <c r="P5064" s="58">
        <v>796</v>
      </c>
      <c r="Q5064" s="27" t="s">
        <v>234</v>
      </c>
      <c r="R5064" s="31">
        <v>20</v>
      </c>
      <c r="S5064" s="59">
        <f>800*1.07</f>
        <v>856</v>
      </c>
      <c r="T5064" s="4">
        <v>0</v>
      </c>
      <c r="U5064" s="4">
        <f>T5064*1.12</f>
        <v>0</v>
      </c>
      <c r="V5064" s="3"/>
      <c r="W5064" s="3">
        <v>2014</v>
      </c>
      <c r="X5064" s="3" t="s">
        <v>14785</v>
      </c>
    </row>
    <row r="5065" spans="1:24" ht="114.75">
      <c r="A5065" s="3" t="s">
        <v>16922</v>
      </c>
      <c r="B5065" s="6" t="s">
        <v>361</v>
      </c>
      <c r="C5065" s="6" t="s">
        <v>5990</v>
      </c>
      <c r="D5065" s="6" t="s">
        <v>387</v>
      </c>
      <c r="E5065" s="6" t="s">
        <v>5991</v>
      </c>
      <c r="F5065" s="9" t="s">
        <v>5992</v>
      </c>
      <c r="G5065" s="3" t="s">
        <v>11449</v>
      </c>
      <c r="H5065" s="54">
        <v>0</v>
      </c>
      <c r="I5065" s="16">
        <v>470000000</v>
      </c>
      <c r="J5065" s="56" t="s">
        <v>229</v>
      </c>
      <c r="K5065" s="57" t="s">
        <v>8950</v>
      </c>
      <c r="L5065" s="12" t="s">
        <v>404</v>
      </c>
      <c r="M5065" s="3" t="s">
        <v>230</v>
      </c>
      <c r="N5065" s="8" t="s">
        <v>8899</v>
      </c>
      <c r="O5065" s="6" t="s">
        <v>365</v>
      </c>
      <c r="P5065" s="58">
        <v>796</v>
      </c>
      <c r="Q5065" s="27" t="s">
        <v>234</v>
      </c>
      <c r="R5065" s="31">
        <v>20</v>
      </c>
      <c r="S5065" s="59">
        <v>1027.2</v>
      </c>
      <c r="T5065" s="4">
        <f>R5065*S5065</f>
        <v>20544</v>
      </c>
      <c r="U5065" s="4">
        <f>T5065*1.12</f>
        <v>23009.280000000002</v>
      </c>
      <c r="V5065" s="3"/>
      <c r="W5065" s="3">
        <v>2014</v>
      </c>
      <c r="X5065" s="3"/>
    </row>
    <row r="5066" spans="1:24" ht="114.75">
      <c r="A5066" s="3" t="s">
        <v>2063</v>
      </c>
      <c r="B5066" s="6" t="s">
        <v>361</v>
      </c>
      <c r="C5066" s="6" t="s">
        <v>5993</v>
      </c>
      <c r="D5066" s="6" t="s">
        <v>387</v>
      </c>
      <c r="E5066" s="6" t="s">
        <v>5994</v>
      </c>
      <c r="F5066" s="8" t="s">
        <v>5995</v>
      </c>
      <c r="G5066" s="57" t="s">
        <v>11449</v>
      </c>
      <c r="H5066" s="54">
        <v>0</v>
      </c>
      <c r="I5066" s="16">
        <v>470000000</v>
      </c>
      <c r="J5066" s="56" t="s">
        <v>229</v>
      </c>
      <c r="K5066" s="57" t="s">
        <v>641</v>
      </c>
      <c r="L5066" s="12" t="s">
        <v>404</v>
      </c>
      <c r="M5066" s="3" t="s">
        <v>230</v>
      </c>
      <c r="N5066" s="8" t="s">
        <v>8899</v>
      </c>
      <c r="O5066" s="6" t="s">
        <v>365</v>
      </c>
      <c r="P5066" s="58">
        <v>796</v>
      </c>
      <c r="Q5066" s="27" t="s">
        <v>234</v>
      </c>
      <c r="R5066" s="27">
        <v>20</v>
      </c>
      <c r="S5066" s="59">
        <f>250*1.07</f>
        <v>267.5</v>
      </c>
      <c r="T5066" s="4">
        <v>0</v>
      </c>
      <c r="U5066" s="4">
        <f t="shared" si="228"/>
        <v>0</v>
      </c>
      <c r="V5066" s="3"/>
      <c r="W5066" s="3">
        <v>2014</v>
      </c>
      <c r="X5066" s="3">
        <v>11</v>
      </c>
    </row>
    <row r="5067" spans="1:24" ht="114.75">
      <c r="A5067" s="3" t="s">
        <v>12763</v>
      </c>
      <c r="B5067" s="6" t="s">
        <v>361</v>
      </c>
      <c r="C5067" s="6" t="s">
        <v>5993</v>
      </c>
      <c r="D5067" s="6" t="s">
        <v>387</v>
      </c>
      <c r="E5067" s="6" t="s">
        <v>5994</v>
      </c>
      <c r="F5067" s="8" t="s">
        <v>5995</v>
      </c>
      <c r="G5067" s="57" t="s">
        <v>11449</v>
      </c>
      <c r="H5067" s="54">
        <v>0</v>
      </c>
      <c r="I5067" s="16">
        <v>470000000</v>
      </c>
      <c r="J5067" s="56" t="s">
        <v>229</v>
      </c>
      <c r="K5067" s="57" t="s">
        <v>642</v>
      </c>
      <c r="L5067" s="12" t="s">
        <v>404</v>
      </c>
      <c r="M5067" s="3" t="s">
        <v>230</v>
      </c>
      <c r="N5067" s="8" t="s">
        <v>8899</v>
      </c>
      <c r="O5067" s="6" t="s">
        <v>365</v>
      </c>
      <c r="P5067" s="58">
        <v>796</v>
      </c>
      <c r="Q5067" s="27" t="s">
        <v>234</v>
      </c>
      <c r="R5067" s="27">
        <v>20</v>
      </c>
      <c r="S5067" s="59">
        <f>250*1.07</f>
        <v>267.5</v>
      </c>
      <c r="T5067" s="4">
        <f>R5067*S5067</f>
        <v>5350</v>
      </c>
      <c r="U5067" s="4">
        <f>T5067*1.12</f>
        <v>5992.0000000000009</v>
      </c>
      <c r="V5067" s="3"/>
      <c r="W5067" s="3">
        <v>2014</v>
      </c>
      <c r="X5067" s="3"/>
    </row>
    <row r="5068" spans="1:24" ht="114.75">
      <c r="A5068" s="3" t="s">
        <v>2064</v>
      </c>
      <c r="B5068" s="6" t="s">
        <v>361</v>
      </c>
      <c r="C5068" s="6" t="s">
        <v>5996</v>
      </c>
      <c r="D5068" s="6" t="s">
        <v>5997</v>
      </c>
      <c r="E5068" s="6" t="s">
        <v>5998</v>
      </c>
      <c r="F5068" s="8" t="s">
        <v>5999</v>
      </c>
      <c r="G5068" s="57" t="s">
        <v>11449</v>
      </c>
      <c r="H5068" s="54">
        <v>0</v>
      </c>
      <c r="I5068" s="16">
        <v>470000000</v>
      </c>
      <c r="J5068" s="56" t="s">
        <v>229</v>
      </c>
      <c r="K5068" s="57" t="s">
        <v>641</v>
      </c>
      <c r="L5068" s="12" t="s">
        <v>404</v>
      </c>
      <c r="M5068" s="3" t="s">
        <v>230</v>
      </c>
      <c r="N5068" s="8" t="s">
        <v>8899</v>
      </c>
      <c r="O5068" s="6" t="s">
        <v>365</v>
      </c>
      <c r="P5068" s="58">
        <v>796</v>
      </c>
      <c r="Q5068" s="27" t="s">
        <v>234</v>
      </c>
      <c r="R5068" s="27">
        <v>20</v>
      </c>
      <c r="S5068" s="59">
        <f>200*1.07</f>
        <v>214</v>
      </c>
      <c r="T5068" s="4">
        <v>0</v>
      </c>
      <c r="U5068" s="4">
        <f t="shared" si="228"/>
        <v>0</v>
      </c>
      <c r="V5068" s="3"/>
      <c r="W5068" s="3">
        <v>2014</v>
      </c>
      <c r="X5068" s="3">
        <v>11</v>
      </c>
    </row>
    <row r="5069" spans="1:24" ht="114.75">
      <c r="A5069" s="3" t="s">
        <v>12764</v>
      </c>
      <c r="B5069" s="6" t="s">
        <v>361</v>
      </c>
      <c r="C5069" s="6" t="s">
        <v>5996</v>
      </c>
      <c r="D5069" s="6" t="s">
        <v>5997</v>
      </c>
      <c r="E5069" s="6" t="s">
        <v>5998</v>
      </c>
      <c r="F5069" s="8" t="s">
        <v>5999</v>
      </c>
      <c r="G5069" s="57" t="s">
        <v>11449</v>
      </c>
      <c r="H5069" s="54">
        <v>0</v>
      </c>
      <c r="I5069" s="16">
        <v>470000000</v>
      </c>
      <c r="J5069" s="56" t="s">
        <v>229</v>
      </c>
      <c r="K5069" s="57" t="s">
        <v>642</v>
      </c>
      <c r="L5069" s="12" t="s">
        <v>404</v>
      </c>
      <c r="M5069" s="3" t="s">
        <v>230</v>
      </c>
      <c r="N5069" s="8" t="s">
        <v>8899</v>
      </c>
      <c r="O5069" s="6" t="s">
        <v>365</v>
      </c>
      <c r="P5069" s="58">
        <v>796</v>
      </c>
      <c r="Q5069" s="27" t="s">
        <v>234</v>
      </c>
      <c r="R5069" s="27">
        <v>20</v>
      </c>
      <c r="S5069" s="59">
        <f>200*1.07</f>
        <v>214</v>
      </c>
      <c r="T5069" s="4">
        <f>R5069*S5069</f>
        <v>4280</v>
      </c>
      <c r="U5069" s="4">
        <f>T5069*1.12</f>
        <v>4793.6000000000004</v>
      </c>
      <c r="V5069" s="3"/>
      <c r="W5069" s="3">
        <v>2014</v>
      </c>
      <c r="X5069" s="3"/>
    </row>
    <row r="5070" spans="1:24" ht="114.75">
      <c r="A5070" s="3" t="s">
        <v>2065</v>
      </c>
      <c r="B5070" s="6" t="s">
        <v>361</v>
      </c>
      <c r="C5070" s="6" t="s">
        <v>7193</v>
      </c>
      <c r="D5070" s="6" t="s">
        <v>5342</v>
      </c>
      <c r="E5070" s="6" t="s">
        <v>5752</v>
      </c>
      <c r="F5070" s="8" t="s">
        <v>6000</v>
      </c>
      <c r="G5070" s="57" t="s">
        <v>11449</v>
      </c>
      <c r="H5070" s="54">
        <v>0</v>
      </c>
      <c r="I5070" s="16">
        <v>470000000</v>
      </c>
      <c r="J5070" s="56" t="s">
        <v>229</v>
      </c>
      <c r="K5070" s="57" t="s">
        <v>641</v>
      </c>
      <c r="L5070" s="12" t="s">
        <v>404</v>
      </c>
      <c r="M5070" s="3" t="s">
        <v>230</v>
      </c>
      <c r="N5070" s="8" t="s">
        <v>8899</v>
      </c>
      <c r="O5070" s="6" t="s">
        <v>365</v>
      </c>
      <c r="P5070" s="58">
        <v>796</v>
      </c>
      <c r="Q5070" s="27" t="s">
        <v>234</v>
      </c>
      <c r="R5070" s="27">
        <v>10</v>
      </c>
      <c r="S5070" s="59">
        <f>3500*1.07</f>
        <v>3745</v>
      </c>
      <c r="T5070" s="4">
        <v>0</v>
      </c>
      <c r="U5070" s="4">
        <f t="shared" si="228"/>
        <v>0</v>
      </c>
      <c r="V5070" s="3"/>
      <c r="W5070" s="3">
        <v>2014</v>
      </c>
      <c r="X5070" s="3">
        <v>11</v>
      </c>
    </row>
    <row r="5071" spans="1:24" ht="114.75">
      <c r="A5071" s="3" t="s">
        <v>12765</v>
      </c>
      <c r="B5071" s="6" t="s">
        <v>361</v>
      </c>
      <c r="C5071" s="6" t="s">
        <v>7193</v>
      </c>
      <c r="D5071" s="6" t="s">
        <v>5342</v>
      </c>
      <c r="E5071" s="6" t="s">
        <v>5752</v>
      </c>
      <c r="F5071" s="8" t="s">
        <v>6000</v>
      </c>
      <c r="G5071" s="57" t="s">
        <v>11449</v>
      </c>
      <c r="H5071" s="54">
        <v>0</v>
      </c>
      <c r="I5071" s="16">
        <v>470000000</v>
      </c>
      <c r="J5071" s="56" t="s">
        <v>229</v>
      </c>
      <c r="K5071" s="57" t="s">
        <v>642</v>
      </c>
      <c r="L5071" s="12" t="s">
        <v>404</v>
      </c>
      <c r="M5071" s="3" t="s">
        <v>230</v>
      </c>
      <c r="N5071" s="8" t="s">
        <v>8899</v>
      </c>
      <c r="O5071" s="6" t="s">
        <v>365</v>
      </c>
      <c r="P5071" s="58">
        <v>796</v>
      </c>
      <c r="Q5071" s="27" t="s">
        <v>234</v>
      </c>
      <c r="R5071" s="27">
        <v>10</v>
      </c>
      <c r="S5071" s="59">
        <f>3500*1.07</f>
        <v>3745</v>
      </c>
      <c r="T5071" s="4">
        <f>R5071*S5071</f>
        <v>37450</v>
      </c>
      <c r="U5071" s="4">
        <f>T5071*1.12</f>
        <v>41944.000000000007</v>
      </c>
      <c r="V5071" s="3"/>
      <c r="W5071" s="3">
        <v>2014</v>
      </c>
      <c r="X5071" s="3"/>
    </row>
    <row r="5072" spans="1:24" ht="114.75">
      <c r="A5072" s="3" t="s">
        <v>2066</v>
      </c>
      <c r="B5072" s="6" t="s">
        <v>361</v>
      </c>
      <c r="C5072" s="6" t="s">
        <v>6001</v>
      </c>
      <c r="D5072" s="6" t="s">
        <v>438</v>
      </c>
      <c r="E5072" s="6" t="s">
        <v>5998</v>
      </c>
      <c r="F5072" s="8" t="s">
        <v>6002</v>
      </c>
      <c r="G5072" s="57" t="s">
        <v>11449</v>
      </c>
      <c r="H5072" s="54">
        <v>0</v>
      </c>
      <c r="I5072" s="16">
        <v>470000000</v>
      </c>
      <c r="J5072" s="56" t="s">
        <v>229</v>
      </c>
      <c r="K5072" s="57" t="s">
        <v>641</v>
      </c>
      <c r="L5072" s="12" t="s">
        <v>404</v>
      </c>
      <c r="M5072" s="3" t="s">
        <v>230</v>
      </c>
      <c r="N5072" s="8" t="s">
        <v>8899</v>
      </c>
      <c r="O5072" s="6" t="s">
        <v>365</v>
      </c>
      <c r="P5072" s="58">
        <v>796</v>
      </c>
      <c r="Q5072" s="27" t="s">
        <v>234</v>
      </c>
      <c r="R5072" s="27">
        <v>6</v>
      </c>
      <c r="S5072" s="59">
        <f>20000*1.07</f>
        <v>21400</v>
      </c>
      <c r="T5072" s="4">
        <v>0</v>
      </c>
      <c r="U5072" s="4">
        <f t="shared" si="228"/>
        <v>0</v>
      </c>
      <c r="V5072" s="3"/>
      <c r="W5072" s="3">
        <v>2014</v>
      </c>
      <c r="X5072" s="3">
        <v>11</v>
      </c>
    </row>
    <row r="5073" spans="1:24" ht="114.75">
      <c r="A5073" s="3" t="s">
        <v>12766</v>
      </c>
      <c r="B5073" s="6" t="s">
        <v>361</v>
      </c>
      <c r="C5073" s="6" t="s">
        <v>6001</v>
      </c>
      <c r="D5073" s="6" t="s">
        <v>438</v>
      </c>
      <c r="E5073" s="6" t="s">
        <v>5998</v>
      </c>
      <c r="F5073" s="8" t="s">
        <v>6002</v>
      </c>
      <c r="G5073" s="57" t="s">
        <v>11449</v>
      </c>
      <c r="H5073" s="54">
        <v>0</v>
      </c>
      <c r="I5073" s="16">
        <v>470000000</v>
      </c>
      <c r="J5073" s="56" t="s">
        <v>229</v>
      </c>
      <c r="K5073" s="57" t="s">
        <v>642</v>
      </c>
      <c r="L5073" s="12" t="s">
        <v>404</v>
      </c>
      <c r="M5073" s="3" t="s">
        <v>230</v>
      </c>
      <c r="N5073" s="8" t="s">
        <v>8899</v>
      </c>
      <c r="O5073" s="6" t="s">
        <v>365</v>
      </c>
      <c r="P5073" s="58">
        <v>796</v>
      </c>
      <c r="Q5073" s="27" t="s">
        <v>234</v>
      </c>
      <c r="R5073" s="27">
        <v>6</v>
      </c>
      <c r="S5073" s="59">
        <f>20000*1.07</f>
        <v>21400</v>
      </c>
      <c r="T5073" s="4">
        <f>R5073*S5073</f>
        <v>128400</v>
      </c>
      <c r="U5073" s="4">
        <f>T5073*1.12</f>
        <v>143808</v>
      </c>
      <c r="V5073" s="3"/>
      <c r="W5073" s="3">
        <v>2014</v>
      </c>
      <c r="X5073" s="3"/>
    </row>
    <row r="5074" spans="1:24" ht="114.75">
      <c r="A5074" s="3" t="s">
        <v>2067</v>
      </c>
      <c r="B5074" s="6" t="s">
        <v>361</v>
      </c>
      <c r="C5074" s="6" t="s">
        <v>6003</v>
      </c>
      <c r="D5074" s="6" t="s">
        <v>5754</v>
      </c>
      <c r="E5074" s="6" t="s">
        <v>5998</v>
      </c>
      <c r="F5074" s="8" t="s">
        <v>6004</v>
      </c>
      <c r="G5074" s="57" t="s">
        <v>11449</v>
      </c>
      <c r="H5074" s="54">
        <v>0</v>
      </c>
      <c r="I5074" s="16">
        <v>470000000</v>
      </c>
      <c r="J5074" s="56" t="s">
        <v>229</v>
      </c>
      <c r="K5074" s="57" t="s">
        <v>641</v>
      </c>
      <c r="L5074" s="12" t="s">
        <v>404</v>
      </c>
      <c r="M5074" s="3" t="s">
        <v>230</v>
      </c>
      <c r="N5074" s="8" t="s">
        <v>8899</v>
      </c>
      <c r="O5074" s="6" t="s">
        <v>365</v>
      </c>
      <c r="P5074" s="58">
        <v>796</v>
      </c>
      <c r="Q5074" s="27" t="s">
        <v>234</v>
      </c>
      <c r="R5074" s="27">
        <v>12</v>
      </c>
      <c r="S5074" s="59">
        <v>1898</v>
      </c>
      <c r="T5074" s="4">
        <v>0</v>
      </c>
      <c r="U5074" s="4">
        <f t="shared" si="228"/>
        <v>0</v>
      </c>
      <c r="V5074" s="3"/>
      <c r="W5074" s="3">
        <v>2014</v>
      </c>
      <c r="X5074" s="3">
        <v>11</v>
      </c>
    </row>
    <row r="5075" spans="1:24" ht="114.75">
      <c r="A5075" s="3" t="s">
        <v>12767</v>
      </c>
      <c r="B5075" s="6" t="s">
        <v>361</v>
      </c>
      <c r="C5075" s="6" t="s">
        <v>6003</v>
      </c>
      <c r="D5075" s="6" t="s">
        <v>5754</v>
      </c>
      <c r="E5075" s="6" t="s">
        <v>5998</v>
      </c>
      <c r="F5075" s="8" t="s">
        <v>6004</v>
      </c>
      <c r="G5075" s="57" t="s">
        <v>11449</v>
      </c>
      <c r="H5075" s="54">
        <v>0</v>
      </c>
      <c r="I5075" s="16">
        <v>470000000</v>
      </c>
      <c r="J5075" s="56" t="s">
        <v>229</v>
      </c>
      <c r="K5075" s="57" t="s">
        <v>642</v>
      </c>
      <c r="L5075" s="12" t="s">
        <v>404</v>
      </c>
      <c r="M5075" s="3" t="s">
        <v>230</v>
      </c>
      <c r="N5075" s="8" t="s">
        <v>8899</v>
      </c>
      <c r="O5075" s="6" t="s">
        <v>365</v>
      </c>
      <c r="P5075" s="58">
        <v>796</v>
      </c>
      <c r="Q5075" s="27" t="s">
        <v>234</v>
      </c>
      <c r="R5075" s="27">
        <v>12</v>
      </c>
      <c r="S5075" s="59">
        <v>1898</v>
      </c>
      <c r="T5075" s="4">
        <v>0</v>
      </c>
      <c r="U5075" s="4">
        <f>T5075*1.12</f>
        <v>0</v>
      </c>
      <c r="V5075" s="3"/>
      <c r="W5075" s="3">
        <v>2014</v>
      </c>
      <c r="X5075" s="3" t="s">
        <v>14785</v>
      </c>
    </row>
    <row r="5076" spans="1:24" ht="114.75">
      <c r="A5076" s="3" t="s">
        <v>16923</v>
      </c>
      <c r="B5076" s="6" t="s">
        <v>361</v>
      </c>
      <c r="C5076" s="6" t="s">
        <v>6003</v>
      </c>
      <c r="D5076" s="6" t="s">
        <v>5754</v>
      </c>
      <c r="E5076" s="6" t="s">
        <v>5998</v>
      </c>
      <c r="F5076" s="8" t="s">
        <v>6004</v>
      </c>
      <c r="G5076" s="3" t="s">
        <v>11449</v>
      </c>
      <c r="H5076" s="54">
        <v>0</v>
      </c>
      <c r="I5076" s="16">
        <v>470000000</v>
      </c>
      <c r="J5076" s="56" t="s">
        <v>229</v>
      </c>
      <c r="K5076" s="57" t="s">
        <v>8950</v>
      </c>
      <c r="L5076" s="12" t="s">
        <v>404</v>
      </c>
      <c r="M5076" s="3" t="s">
        <v>230</v>
      </c>
      <c r="N5076" s="8" t="s">
        <v>8899</v>
      </c>
      <c r="O5076" s="6" t="s">
        <v>365</v>
      </c>
      <c r="P5076" s="58">
        <v>796</v>
      </c>
      <c r="Q5076" s="27" t="s">
        <v>234</v>
      </c>
      <c r="R5076" s="27">
        <v>12</v>
      </c>
      <c r="S5076" s="59">
        <v>3595.2</v>
      </c>
      <c r="T5076" s="4">
        <f>R5076*S5076</f>
        <v>43142.399999999994</v>
      </c>
      <c r="U5076" s="4">
        <f>T5076*1.12</f>
        <v>48319.487999999998</v>
      </c>
      <c r="V5076" s="3"/>
      <c r="W5076" s="3">
        <v>2014</v>
      </c>
      <c r="X5076" s="3"/>
    </row>
    <row r="5077" spans="1:24" ht="114.75">
      <c r="A5077" s="3" t="s">
        <v>2068</v>
      </c>
      <c r="B5077" s="6" t="s">
        <v>361</v>
      </c>
      <c r="C5077" s="6" t="s">
        <v>6005</v>
      </c>
      <c r="D5077" s="6" t="s">
        <v>6006</v>
      </c>
      <c r="E5077" s="6" t="s">
        <v>6007</v>
      </c>
      <c r="F5077" s="8" t="s">
        <v>6008</v>
      </c>
      <c r="G5077" s="57" t="s">
        <v>11449</v>
      </c>
      <c r="H5077" s="54">
        <v>0</v>
      </c>
      <c r="I5077" s="16">
        <v>470000000</v>
      </c>
      <c r="J5077" s="56" t="s">
        <v>229</v>
      </c>
      <c r="K5077" s="57" t="s">
        <v>641</v>
      </c>
      <c r="L5077" s="12" t="s">
        <v>404</v>
      </c>
      <c r="M5077" s="3" t="s">
        <v>230</v>
      </c>
      <c r="N5077" s="8" t="s">
        <v>8899</v>
      </c>
      <c r="O5077" s="6" t="s">
        <v>365</v>
      </c>
      <c r="P5077" s="58">
        <v>796</v>
      </c>
      <c r="Q5077" s="27" t="s">
        <v>234</v>
      </c>
      <c r="R5077" s="27">
        <v>200</v>
      </c>
      <c r="S5077" s="59">
        <f>400*1.07</f>
        <v>428</v>
      </c>
      <c r="T5077" s="4">
        <v>0</v>
      </c>
      <c r="U5077" s="4">
        <f t="shared" si="228"/>
        <v>0</v>
      </c>
      <c r="V5077" s="3"/>
      <c r="W5077" s="3">
        <v>2014</v>
      </c>
      <c r="X5077" s="3">
        <v>11</v>
      </c>
    </row>
    <row r="5078" spans="1:24" ht="114.75">
      <c r="A5078" s="3" t="s">
        <v>12768</v>
      </c>
      <c r="B5078" s="6" t="s">
        <v>361</v>
      </c>
      <c r="C5078" s="6" t="s">
        <v>6005</v>
      </c>
      <c r="D5078" s="6" t="s">
        <v>6006</v>
      </c>
      <c r="E5078" s="6" t="s">
        <v>6007</v>
      </c>
      <c r="F5078" s="8" t="s">
        <v>6008</v>
      </c>
      <c r="G5078" s="57" t="s">
        <v>11449</v>
      </c>
      <c r="H5078" s="54">
        <v>0</v>
      </c>
      <c r="I5078" s="16">
        <v>470000000</v>
      </c>
      <c r="J5078" s="56" t="s">
        <v>229</v>
      </c>
      <c r="K5078" s="57" t="s">
        <v>642</v>
      </c>
      <c r="L5078" s="12" t="s">
        <v>404</v>
      </c>
      <c r="M5078" s="3" t="s">
        <v>230</v>
      </c>
      <c r="N5078" s="8" t="s">
        <v>8899</v>
      </c>
      <c r="O5078" s="6" t="s">
        <v>365</v>
      </c>
      <c r="P5078" s="58">
        <v>796</v>
      </c>
      <c r="Q5078" s="27" t="s">
        <v>234</v>
      </c>
      <c r="R5078" s="27">
        <v>200</v>
      </c>
      <c r="S5078" s="59">
        <f>400*1.07</f>
        <v>428</v>
      </c>
      <c r="T5078" s="4">
        <f>R5078*S5078</f>
        <v>85600</v>
      </c>
      <c r="U5078" s="4">
        <f>T5078*1.12</f>
        <v>95872.000000000015</v>
      </c>
      <c r="V5078" s="3"/>
      <c r="W5078" s="3">
        <v>2014</v>
      </c>
      <c r="X5078" s="3"/>
    </row>
    <row r="5079" spans="1:24" ht="114.75">
      <c r="A5079" s="3" t="s">
        <v>2069</v>
      </c>
      <c r="B5079" s="6" t="s">
        <v>361</v>
      </c>
      <c r="C5079" s="6" t="s">
        <v>6009</v>
      </c>
      <c r="D5079" s="6" t="s">
        <v>389</v>
      </c>
      <c r="E5079" s="6" t="s">
        <v>5998</v>
      </c>
      <c r="F5079" s="8" t="s">
        <v>6010</v>
      </c>
      <c r="G5079" s="57" t="s">
        <v>11449</v>
      </c>
      <c r="H5079" s="54">
        <v>0</v>
      </c>
      <c r="I5079" s="16">
        <v>470000000</v>
      </c>
      <c r="J5079" s="56" t="s">
        <v>229</v>
      </c>
      <c r="K5079" s="57" t="s">
        <v>641</v>
      </c>
      <c r="L5079" s="12" t="s">
        <v>404</v>
      </c>
      <c r="M5079" s="3" t="s">
        <v>230</v>
      </c>
      <c r="N5079" s="8" t="s">
        <v>8899</v>
      </c>
      <c r="O5079" s="6" t="s">
        <v>365</v>
      </c>
      <c r="P5079" s="58">
        <v>796</v>
      </c>
      <c r="Q5079" s="27" t="s">
        <v>234</v>
      </c>
      <c r="R5079" s="27">
        <v>200</v>
      </c>
      <c r="S5079" s="59">
        <f>200*1.07</f>
        <v>214</v>
      </c>
      <c r="T5079" s="4">
        <v>0</v>
      </c>
      <c r="U5079" s="4">
        <f t="shared" si="228"/>
        <v>0</v>
      </c>
      <c r="V5079" s="3"/>
      <c r="W5079" s="3">
        <v>2014</v>
      </c>
      <c r="X5079" s="3">
        <v>11</v>
      </c>
    </row>
    <row r="5080" spans="1:24" ht="114.75">
      <c r="A5080" s="3" t="s">
        <v>12769</v>
      </c>
      <c r="B5080" s="6" t="s">
        <v>361</v>
      </c>
      <c r="C5080" s="6" t="s">
        <v>6009</v>
      </c>
      <c r="D5080" s="6" t="s">
        <v>389</v>
      </c>
      <c r="E5080" s="6" t="s">
        <v>5998</v>
      </c>
      <c r="F5080" s="8" t="s">
        <v>6010</v>
      </c>
      <c r="G5080" s="57" t="s">
        <v>11449</v>
      </c>
      <c r="H5080" s="54">
        <v>0</v>
      </c>
      <c r="I5080" s="16">
        <v>470000000</v>
      </c>
      <c r="J5080" s="56" t="s">
        <v>229</v>
      </c>
      <c r="K5080" s="57" t="s">
        <v>642</v>
      </c>
      <c r="L5080" s="12" t="s">
        <v>404</v>
      </c>
      <c r="M5080" s="3" t="s">
        <v>230</v>
      </c>
      <c r="N5080" s="8" t="s">
        <v>8899</v>
      </c>
      <c r="O5080" s="6" t="s">
        <v>365</v>
      </c>
      <c r="P5080" s="58">
        <v>796</v>
      </c>
      <c r="Q5080" s="27" t="s">
        <v>234</v>
      </c>
      <c r="R5080" s="27">
        <v>200</v>
      </c>
      <c r="S5080" s="59">
        <f>200*1.07</f>
        <v>214</v>
      </c>
      <c r="T5080" s="4">
        <f>R5080*S5080</f>
        <v>42800</v>
      </c>
      <c r="U5080" s="4">
        <f>T5080*1.12</f>
        <v>47936.000000000007</v>
      </c>
      <c r="V5080" s="3"/>
      <c r="W5080" s="3">
        <v>2014</v>
      </c>
      <c r="X5080" s="3"/>
    </row>
    <row r="5081" spans="1:24" ht="114.75">
      <c r="A5081" s="3" t="s">
        <v>2070</v>
      </c>
      <c r="B5081" s="6" t="s">
        <v>361</v>
      </c>
      <c r="C5081" s="6" t="s">
        <v>6011</v>
      </c>
      <c r="D5081" s="6" t="s">
        <v>5614</v>
      </c>
      <c r="E5081" s="6" t="s">
        <v>5998</v>
      </c>
      <c r="F5081" s="8" t="s">
        <v>6012</v>
      </c>
      <c r="G5081" s="57" t="s">
        <v>11449</v>
      </c>
      <c r="H5081" s="54">
        <v>0</v>
      </c>
      <c r="I5081" s="16">
        <v>470000000</v>
      </c>
      <c r="J5081" s="56" t="s">
        <v>229</v>
      </c>
      <c r="K5081" s="57" t="s">
        <v>641</v>
      </c>
      <c r="L5081" s="12" t="s">
        <v>404</v>
      </c>
      <c r="M5081" s="3" t="s">
        <v>230</v>
      </c>
      <c r="N5081" s="8" t="s">
        <v>8899</v>
      </c>
      <c r="O5081" s="6" t="s">
        <v>365</v>
      </c>
      <c r="P5081" s="58">
        <v>796</v>
      </c>
      <c r="Q5081" s="27" t="s">
        <v>234</v>
      </c>
      <c r="R5081" s="27">
        <v>20</v>
      </c>
      <c r="S5081" s="59">
        <f>3000*1.07</f>
        <v>3210</v>
      </c>
      <c r="T5081" s="4">
        <v>0</v>
      </c>
      <c r="U5081" s="4">
        <f t="shared" si="228"/>
        <v>0</v>
      </c>
      <c r="V5081" s="3"/>
      <c r="W5081" s="3">
        <v>2014</v>
      </c>
      <c r="X5081" s="3">
        <v>11</v>
      </c>
    </row>
    <row r="5082" spans="1:24" ht="114.75">
      <c r="A5082" s="3" t="s">
        <v>12770</v>
      </c>
      <c r="B5082" s="6" t="s">
        <v>361</v>
      </c>
      <c r="C5082" s="6" t="s">
        <v>6011</v>
      </c>
      <c r="D5082" s="6" t="s">
        <v>5614</v>
      </c>
      <c r="E5082" s="6" t="s">
        <v>5998</v>
      </c>
      <c r="F5082" s="8" t="s">
        <v>6012</v>
      </c>
      <c r="G5082" s="57" t="s">
        <v>11449</v>
      </c>
      <c r="H5082" s="54">
        <v>0</v>
      </c>
      <c r="I5082" s="16">
        <v>470000000</v>
      </c>
      <c r="J5082" s="56" t="s">
        <v>229</v>
      </c>
      <c r="K5082" s="57" t="s">
        <v>642</v>
      </c>
      <c r="L5082" s="12" t="s">
        <v>404</v>
      </c>
      <c r="M5082" s="3" t="s">
        <v>230</v>
      </c>
      <c r="N5082" s="8" t="s">
        <v>8899</v>
      </c>
      <c r="O5082" s="6" t="s">
        <v>365</v>
      </c>
      <c r="P5082" s="58">
        <v>796</v>
      </c>
      <c r="Q5082" s="27" t="s">
        <v>234</v>
      </c>
      <c r="R5082" s="27">
        <v>20</v>
      </c>
      <c r="S5082" s="59">
        <f>3000*1.07</f>
        <v>3210</v>
      </c>
      <c r="T5082" s="4">
        <f>R5082*S5082</f>
        <v>64200</v>
      </c>
      <c r="U5082" s="4">
        <f>T5082*1.12</f>
        <v>71904</v>
      </c>
      <c r="V5082" s="3"/>
      <c r="W5082" s="3">
        <v>2014</v>
      </c>
      <c r="X5082" s="3"/>
    </row>
    <row r="5083" spans="1:24" ht="114.75">
      <c r="A5083" s="3" t="s">
        <v>2071</v>
      </c>
      <c r="B5083" s="6" t="s">
        <v>361</v>
      </c>
      <c r="C5083" s="6" t="s">
        <v>5760</v>
      </c>
      <c r="D5083" s="6" t="s">
        <v>5761</v>
      </c>
      <c r="E5083" s="6" t="s">
        <v>5762</v>
      </c>
      <c r="F5083" s="8" t="s">
        <v>6013</v>
      </c>
      <c r="G5083" s="57" t="s">
        <v>11449</v>
      </c>
      <c r="H5083" s="54">
        <v>0</v>
      </c>
      <c r="I5083" s="16">
        <v>470000000</v>
      </c>
      <c r="J5083" s="56" t="s">
        <v>229</v>
      </c>
      <c r="K5083" s="57" t="s">
        <v>641</v>
      </c>
      <c r="L5083" s="12" t="s">
        <v>404</v>
      </c>
      <c r="M5083" s="3" t="s">
        <v>230</v>
      </c>
      <c r="N5083" s="8" t="s">
        <v>8899</v>
      </c>
      <c r="O5083" s="6" t="s">
        <v>365</v>
      </c>
      <c r="P5083" s="58">
        <v>796</v>
      </c>
      <c r="Q5083" s="27" t="s">
        <v>234</v>
      </c>
      <c r="R5083" s="27">
        <v>8</v>
      </c>
      <c r="S5083" s="59">
        <f>18000*1.07</f>
        <v>19260</v>
      </c>
      <c r="T5083" s="4">
        <v>0</v>
      </c>
      <c r="U5083" s="4">
        <f t="shared" si="228"/>
        <v>0</v>
      </c>
      <c r="V5083" s="3"/>
      <c r="W5083" s="3">
        <v>2014</v>
      </c>
      <c r="X5083" s="3">
        <v>11</v>
      </c>
    </row>
    <row r="5084" spans="1:24" ht="114.75">
      <c r="A5084" s="3" t="s">
        <v>12771</v>
      </c>
      <c r="B5084" s="6" t="s">
        <v>361</v>
      </c>
      <c r="C5084" s="6" t="s">
        <v>5760</v>
      </c>
      <c r="D5084" s="6" t="s">
        <v>5761</v>
      </c>
      <c r="E5084" s="6" t="s">
        <v>5762</v>
      </c>
      <c r="F5084" s="8" t="s">
        <v>6013</v>
      </c>
      <c r="G5084" s="57" t="s">
        <v>11449</v>
      </c>
      <c r="H5084" s="54">
        <v>0</v>
      </c>
      <c r="I5084" s="16">
        <v>470000000</v>
      </c>
      <c r="J5084" s="56" t="s">
        <v>229</v>
      </c>
      <c r="K5084" s="57" t="s">
        <v>642</v>
      </c>
      <c r="L5084" s="12" t="s">
        <v>404</v>
      </c>
      <c r="M5084" s="3" t="s">
        <v>230</v>
      </c>
      <c r="N5084" s="8" t="s">
        <v>8899</v>
      </c>
      <c r="O5084" s="6" t="s">
        <v>365</v>
      </c>
      <c r="P5084" s="58">
        <v>796</v>
      </c>
      <c r="Q5084" s="27" t="s">
        <v>234</v>
      </c>
      <c r="R5084" s="27">
        <v>8</v>
      </c>
      <c r="S5084" s="59">
        <f>18000*1.07</f>
        <v>19260</v>
      </c>
      <c r="T5084" s="4">
        <v>0</v>
      </c>
      <c r="U5084" s="4">
        <f>T5084*1.12</f>
        <v>0</v>
      </c>
      <c r="V5084" s="3"/>
      <c r="W5084" s="3">
        <v>2014</v>
      </c>
      <c r="X5084" s="3" t="s">
        <v>14785</v>
      </c>
    </row>
    <row r="5085" spans="1:24" ht="114.75">
      <c r="A5085" s="3" t="s">
        <v>16924</v>
      </c>
      <c r="B5085" s="6" t="s">
        <v>361</v>
      </c>
      <c r="C5085" s="6" t="s">
        <v>5760</v>
      </c>
      <c r="D5085" s="6" t="s">
        <v>5761</v>
      </c>
      <c r="E5085" s="6" t="s">
        <v>5762</v>
      </c>
      <c r="F5085" s="8" t="s">
        <v>6013</v>
      </c>
      <c r="G5085" s="3" t="s">
        <v>11449</v>
      </c>
      <c r="H5085" s="54">
        <v>0</v>
      </c>
      <c r="I5085" s="16">
        <v>470000000</v>
      </c>
      <c r="J5085" s="56" t="s">
        <v>229</v>
      </c>
      <c r="K5085" s="57" t="s">
        <v>8950</v>
      </c>
      <c r="L5085" s="12" t="s">
        <v>404</v>
      </c>
      <c r="M5085" s="3" t="s">
        <v>230</v>
      </c>
      <c r="N5085" s="8" t="s">
        <v>8899</v>
      </c>
      <c r="O5085" s="6" t="s">
        <v>365</v>
      </c>
      <c r="P5085" s="58">
        <v>796</v>
      </c>
      <c r="Q5085" s="27" t="s">
        <v>234</v>
      </c>
      <c r="R5085" s="27">
        <v>8</v>
      </c>
      <c r="S5085" s="59">
        <v>23112</v>
      </c>
      <c r="T5085" s="4">
        <f>R5085*S5085</f>
        <v>184896</v>
      </c>
      <c r="U5085" s="4">
        <f>T5085*1.12</f>
        <v>207083.52000000002</v>
      </c>
      <c r="V5085" s="3"/>
      <c r="W5085" s="3">
        <v>2014</v>
      </c>
      <c r="X5085" s="3"/>
    </row>
    <row r="5086" spans="1:24" ht="114.75">
      <c r="A5086" s="3" t="s">
        <v>2072</v>
      </c>
      <c r="B5086" s="6" t="s">
        <v>361</v>
      </c>
      <c r="C5086" s="6" t="s">
        <v>5764</v>
      </c>
      <c r="D5086" s="6" t="s">
        <v>5376</v>
      </c>
      <c r="E5086" s="6" t="s">
        <v>5743</v>
      </c>
      <c r="F5086" s="9" t="s">
        <v>6014</v>
      </c>
      <c r="G5086" s="57" t="s">
        <v>11449</v>
      </c>
      <c r="H5086" s="54">
        <v>0</v>
      </c>
      <c r="I5086" s="16">
        <v>470000000</v>
      </c>
      <c r="J5086" s="56" t="s">
        <v>229</v>
      </c>
      <c r="K5086" s="57" t="s">
        <v>641</v>
      </c>
      <c r="L5086" s="12" t="s">
        <v>404</v>
      </c>
      <c r="M5086" s="3" t="s">
        <v>230</v>
      </c>
      <c r="N5086" s="8" t="s">
        <v>8899</v>
      </c>
      <c r="O5086" s="6" t="s">
        <v>365</v>
      </c>
      <c r="P5086" s="58">
        <v>796</v>
      </c>
      <c r="Q5086" s="27" t="s">
        <v>234</v>
      </c>
      <c r="R5086" s="31">
        <v>10</v>
      </c>
      <c r="S5086" s="59">
        <f>4500*1.07</f>
        <v>4815</v>
      </c>
      <c r="T5086" s="4">
        <v>0</v>
      </c>
      <c r="U5086" s="4">
        <f t="shared" si="228"/>
        <v>0</v>
      </c>
      <c r="V5086" s="3"/>
      <c r="W5086" s="3">
        <v>2014</v>
      </c>
      <c r="X5086" s="3">
        <v>11</v>
      </c>
    </row>
    <row r="5087" spans="1:24" ht="114.75">
      <c r="A5087" s="3" t="s">
        <v>12772</v>
      </c>
      <c r="B5087" s="6" t="s">
        <v>361</v>
      </c>
      <c r="C5087" s="6" t="s">
        <v>5764</v>
      </c>
      <c r="D5087" s="6" t="s">
        <v>5376</v>
      </c>
      <c r="E5087" s="6" t="s">
        <v>5743</v>
      </c>
      <c r="F5087" s="9" t="s">
        <v>6014</v>
      </c>
      <c r="G5087" s="57" t="s">
        <v>11449</v>
      </c>
      <c r="H5087" s="54">
        <v>0</v>
      </c>
      <c r="I5087" s="16">
        <v>470000000</v>
      </c>
      <c r="J5087" s="56" t="s">
        <v>229</v>
      </c>
      <c r="K5087" s="57" t="s">
        <v>642</v>
      </c>
      <c r="L5087" s="12" t="s">
        <v>404</v>
      </c>
      <c r="M5087" s="3" t="s">
        <v>230</v>
      </c>
      <c r="N5087" s="8" t="s">
        <v>8899</v>
      </c>
      <c r="O5087" s="6" t="s">
        <v>365</v>
      </c>
      <c r="P5087" s="58">
        <v>796</v>
      </c>
      <c r="Q5087" s="27" t="s">
        <v>234</v>
      </c>
      <c r="R5087" s="31">
        <v>10</v>
      </c>
      <c r="S5087" s="59">
        <f>4500*1.07</f>
        <v>4815</v>
      </c>
      <c r="T5087" s="4">
        <f>R5087*S5087</f>
        <v>48150</v>
      </c>
      <c r="U5087" s="4">
        <f>T5087*1.12</f>
        <v>53928.000000000007</v>
      </c>
      <c r="V5087" s="3"/>
      <c r="W5087" s="3">
        <v>2014</v>
      </c>
      <c r="X5087" s="3"/>
    </row>
    <row r="5088" spans="1:24" ht="114.75">
      <c r="A5088" s="3" t="s">
        <v>2073</v>
      </c>
      <c r="B5088" s="6" t="s">
        <v>361</v>
      </c>
      <c r="C5088" s="6" t="s">
        <v>6015</v>
      </c>
      <c r="D5088" s="6" t="s">
        <v>408</v>
      </c>
      <c r="E5088" s="6" t="s">
        <v>5998</v>
      </c>
      <c r="F5088" s="8" t="s">
        <v>6016</v>
      </c>
      <c r="G5088" s="57" t="s">
        <v>11449</v>
      </c>
      <c r="H5088" s="54">
        <v>0</v>
      </c>
      <c r="I5088" s="16">
        <v>470000000</v>
      </c>
      <c r="J5088" s="56" t="s">
        <v>229</v>
      </c>
      <c r="K5088" s="57" t="s">
        <v>641</v>
      </c>
      <c r="L5088" s="12" t="s">
        <v>404</v>
      </c>
      <c r="M5088" s="3" t="s">
        <v>230</v>
      </c>
      <c r="N5088" s="8" t="s">
        <v>8899</v>
      </c>
      <c r="O5088" s="6" t="s">
        <v>365</v>
      </c>
      <c r="P5088" s="58">
        <v>796</v>
      </c>
      <c r="Q5088" s="27" t="s">
        <v>234</v>
      </c>
      <c r="R5088" s="27">
        <v>12</v>
      </c>
      <c r="S5088" s="59">
        <f>3500*1.07</f>
        <v>3745</v>
      </c>
      <c r="T5088" s="4">
        <v>0</v>
      </c>
      <c r="U5088" s="4">
        <f t="shared" si="228"/>
        <v>0</v>
      </c>
      <c r="V5088" s="3"/>
      <c r="W5088" s="3">
        <v>2014</v>
      </c>
      <c r="X5088" s="3">
        <v>11</v>
      </c>
    </row>
    <row r="5089" spans="1:24" ht="114.75">
      <c r="A5089" s="3" t="s">
        <v>12773</v>
      </c>
      <c r="B5089" s="6" t="s">
        <v>361</v>
      </c>
      <c r="C5089" s="6" t="s">
        <v>6015</v>
      </c>
      <c r="D5089" s="6" t="s">
        <v>408</v>
      </c>
      <c r="E5089" s="6" t="s">
        <v>5998</v>
      </c>
      <c r="F5089" s="8" t="s">
        <v>6016</v>
      </c>
      <c r="G5089" s="57" t="s">
        <v>11449</v>
      </c>
      <c r="H5089" s="54">
        <v>0</v>
      </c>
      <c r="I5089" s="16">
        <v>470000000</v>
      </c>
      <c r="J5089" s="56" t="s">
        <v>229</v>
      </c>
      <c r="K5089" s="57" t="s">
        <v>642</v>
      </c>
      <c r="L5089" s="12" t="s">
        <v>404</v>
      </c>
      <c r="M5089" s="3" t="s">
        <v>230</v>
      </c>
      <c r="N5089" s="8" t="s">
        <v>8899</v>
      </c>
      <c r="O5089" s="6" t="s">
        <v>365</v>
      </c>
      <c r="P5089" s="58">
        <v>796</v>
      </c>
      <c r="Q5089" s="27" t="s">
        <v>234</v>
      </c>
      <c r="R5089" s="27">
        <v>12</v>
      </c>
      <c r="S5089" s="59">
        <f>3500*1.07</f>
        <v>3745</v>
      </c>
      <c r="T5089" s="4">
        <f>R5089*S5089</f>
        <v>44940</v>
      </c>
      <c r="U5089" s="4">
        <f>T5089*1.12</f>
        <v>50332.800000000003</v>
      </c>
      <c r="V5089" s="3"/>
      <c r="W5089" s="3">
        <v>2014</v>
      </c>
      <c r="X5089" s="3"/>
    </row>
    <row r="5090" spans="1:24" ht="114.75">
      <c r="A5090" s="3" t="s">
        <v>2074</v>
      </c>
      <c r="B5090" s="6" t="s">
        <v>361</v>
      </c>
      <c r="C5090" s="6" t="s">
        <v>6017</v>
      </c>
      <c r="D5090" s="6" t="s">
        <v>5388</v>
      </c>
      <c r="E5090" s="6" t="s">
        <v>5998</v>
      </c>
      <c r="F5090" s="8" t="s">
        <v>6018</v>
      </c>
      <c r="G5090" s="57" t="s">
        <v>11449</v>
      </c>
      <c r="H5090" s="54">
        <v>0</v>
      </c>
      <c r="I5090" s="16">
        <v>470000000</v>
      </c>
      <c r="J5090" s="56" t="s">
        <v>229</v>
      </c>
      <c r="K5090" s="57" t="s">
        <v>641</v>
      </c>
      <c r="L5090" s="12" t="s">
        <v>404</v>
      </c>
      <c r="M5090" s="3" t="s">
        <v>230</v>
      </c>
      <c r="N5090" s="8" t="s">
        <v>8899</v>
      </c>
      <c r="O5090" s="6" t="s">
        <v>365</v>
      </c>
      <c r="P5090" s="58">
        <v>796</v>
      </c>
      <c r="Q5090" s="27" t="s">
        <v>234</v>
      </c>
      <c r="R5090" s="27">
        <v>10</v>
      </c>
      <c r="S5090" s="59">
        <v>6160</v>
      </c>
      <c r="T5090" s="4">
        <v>0</v>
      </c>
      <c r="U5090" s="4">
        <f t="shared" si="228"/>
        <v>0</v>
      </c>
      <c r="V5090" s="3"/>
      <c r="W5090" s="3">
        <v>2014</v>
      </c>
      <c r="X5090" s="3">
        <v>11</v>
      </c>
    </row>
    <row r="5091" spans="1:24" ht="114.75">
      <c r="A5091" s="3" t="s">
        <v>12774</v>
      </c>
      <c r="B5091" s="6" t="s">
        <v>361</v>
      </c>
      <c r="C5091" s="6" t="s">
        <v>6017</v>
      </c>
      <c r="D5091" s="6" t="s">
        <v>5388</v>
      </c>
      <c r="E5091" s="6" t="s">
        <v>5998</v>
      </c>
      <c r="F5091" s="8" t="s">
        <v>6018</v>
      </c>
      <c r="G5091" s="57" t="s">
        <v>11449</v>
      </c>
      <c r="H5091" s="54">
        <v>0</v>
      </c>
      <c r="I5091" s="16">
        <v>470000000</v>
      </c>
      <c r="J5091" s="56" t="s">
        <v>229</v>
      </c>
      <c r="K5091" s="57" t="s">
        <v>642</v>
      </c>
      <c r="L5091" s="12" t="s">
        <v>404</v>
      </c>
      <c r="M5091" s="3" t="s">
        <v>230</v>
      </c>
      <c r="N5091" s="8" t="s">
        <v>8899</v>
      </c>
      <c r="O5091" s="6" t="s">
        <v>365</v>
      </c>
      <c r="P5091" s="58">
        <v>796</v>
      </c>
      <c r="Q5091" s="27" t="s">
        <v>234</v>
      </c>
      <c r="R5091" s="27">
        <v>10</v>
      </c>
      <c r="S5091" s="59">
        <v>6160</v>
      </c>
      <c r="T5091" s="4">
        <f>R5091*S5091</f>
        <v>61600</v>
      </c>
      <c r="U5091" s="4">
        <f>T5091*1.12</f>
        <v>68992</v>
      </c>
      <c r="V5091" s="3"/>
      <c r="W5091" s="3">
        <v>2014</v>
      </c>
      <c r="X5091" s="3"/>
    </row>
    <row r="5092" spans="1:24" ht="114.75">
      <c r="A5092" s="3" t="s">
        <v>2075</v>
      </c>
      <c r="B5092" s="6" t="s">
        <v>361</v>
      </c>
      <c r="C5092" s="6" t="s">
        <v>6019</v>
      </c>
      <c r="D5092" s="6" t="s">
        <v>439</v>
      </c>
      <c r="E5092" s="6" t="s">
        <v>5998</v>
      </c>
      <c r="F5092" s="9" t="s">
        <v>6020</v>
      </c>
      <c r="G5092" s="57" t="s">
        <v>11449</v>
      </c>
      <c r="H5092" s="54">
        <v>0</v>
      </c>
      <c r="I5092" s="16">
        <v>470000000</v>
      </c>
      <c r="J5092" s="56" t="s">
        <v>229</v>
      </c>
      <c r="K5092" s="57" t="s">
        <v>641</v>
      </c>
      <c r="L5092" s="12" t="s">
        <v>404</v>
      </c>
      <c r="M5092" s="3" t="s">
        <v>230</v>
      </c>
      <c r="N5092" s="8" t="s">
        <v>8899</v>
      </c>
      <c r="O5092" s="6" t="s">
        <v>365</v>
      </c>
      <c r="P5092" s="58">
        <v>796</v>
      </c>
      <c r="Q5092" s="27" t="s">
        <v>234</v>
      </c>
      <c r="R5092" s="27">
        <v>10</v>
      </c>
      <c r="S5092" s="59">
        <f>2000*1.07</f>
        <v>2140</v>
      </c>
      <c r="T5092" s="4">
        <v>0</v>
      </c>
      <c r="U5092" s="4">
        <f t="shared" si="228"/>
        <v>0</v>
      </c>
      <c r="V5092" s="3"/>
      <c r="W5092" s="3">
        <v>2014</v>
      </c>
      <c r="X5092" s="3">
        <v>11</v>
      </c>
    </row>
    <row r="5093" spans="1:24" ht="114.75">
      <c r="A5093" s="3" t="s">
        <v>12775</v>
      </c>
      <c r="B5093" s="6" t="s">
        <v>361</v>
      </c>
      <c r="C5093" s="6" t="s">
        <v>6019</v>
      </c>
      <c r="D5093" s="6" t="s">
        <v>439</v>
      </c>
      <c r="E5093" s="6" t="s">
        <v>5998</v>
      </c>
      <c r="F5093" s="9" t="s">
        <v>6020</v>
      </c>
      <c r="G5093" s="57" t="s">
        <v>11449</v>
      </c>
      <c r="H5093" s="54">
        <v>0</v>
      </c>
      <c r="I5093" s="16">
        <v>470000000</v>
      </c>
      <c r="J5093" s="56" t="s">
        <v>229</v>
      </c>
      <c r="K5093" s="57" t="s">
        <v>642</v>
      </c>
      <c r="L5093" s="12" t="s">
        <v>404</v>
      </c>
      <c r="M5093" s="3" t="s">
        <v>230</v>
      </c>
      <c r="N5093" s="8" t="s">
        <v>8899</v>
      </c>
      <c r="O5093" s="6" t="s">
        <v>365</v>
      </c>
      <c r="P5093" s="58">
        <v>796</v>
      </c>
      <c r="Q5093" s="27" t="s">
        <v>234</v>
      </c>
      <c r="R5093" s="27">
        <v>10</v>
      </c>
      <c r="S5093" s="59">
        <f>2000*1.07</f>
        <v>2140</v>
      </c>
      <c r="T5093" s="4">
        <f>R5093*S5093</f>
        <v>21400</v>
      </c>
      <c r="U5093" s="4">
        <f>T5093*1.12</f>
        <v>23968.000000000004</v>
      </c>
      <c r="V5093" s="3"/>
      <c r="W5093" s="3">
        <v>2014</v>
      </c>
      <c r="X5093" s="3"/>
    </row>
    <row r="5094" spans="1:24" ht="114.75">
      <c r="A5094" s="3" t="s">
        <v>2076</v>
      </c>
      <c r="B5094" s="6" t="s">
        <v>361</v>
      </c>
      <c r="C5094" s="6" t="s">
        <v>6019</v>
      </c>
      <c r="D5094" s="6" t="s">
        <v>439</v>
      </c>
      <c r="E5094" s="6" t="s">
        <v>5998</v>
      </c>
      <c r="F5094" s="9" t="s">
        <v>6021</v>
      </c>
      <c r="G5094" s="57" t="s">
        <v>11449</v>
      </c>
      <c r="H5094" s="54">
        <v>0</v>
      </c>
      <c r="I5094" s="16">
        <v>470000000</v>
      </c>
      <c r="J5094" s="56" t="s">
        <v>229</v>
      </c>
      <c r="K5094" s="57" t="s">
        <v>641</v>
      </c>
      <c r="L5094" s="12" t="s">
        <v>404</v>
      </c>
      <c r="M5094" s="3" t="s">
        <v>230</v>
      </c>
      <c r="N5094" s="8" t="s">
        <v>8899</v>
      </c>
      <c r="O5094" s="6" t="s">
        <v>365</v>
      </c>
      <c r="P5094" s="58">
        <v>796</v>
      </c>
      <c r="Q5094" s="27" t="s">
        <v>234</v>
      </c>
      <c r="R5094" s="27">
        <v>10</v>
      </c>
      <c r="S5094" s="59">
        <f>2000*1.07</f>
        <v>2140</v>
      </c>
      <c r="T5094" s="4">
        <v>0</v>
      </c>
      <c r="U5094" s="4">
        <f t="shared" si="228"/>
        <v>0</v>
      </c>
      <c r="V5094" s="3"/>
      <c r="W5094" s="3">
        <v>2014</v>
      </c>
      <c r="X5094" s="3">
        <v>11</v>
      </c>
    </row>
    <row r="5095" spans="1:24" ht="114.75">
      <c r="A5095" s="3" t="s">
        <v>12776</v>
      </c>
      <c r="B5095" s="6" t="s">
        <v>361</v>
      </c>
      <c r="C5095" s="6" t="s">
        <v>6019</v>
      </c>
      <c r="D5095" s="6" t="s">
        <v>439</v>
      </c>
      <c r="E5095" s="6" t="s">
        <v>5998</v>
      </c>
      <c r="F5095" s="9" t="s">
        <v>6021</v>
      </c>
      <c r="G5095" s="57" t="s">
        <v>11449</v>
      </c>
      <c r="H5095" s="54">
        <v>0</v>
      </c>
      <c r="I5095" s="16">
        <v>470000000</v>
      </c>
      <c r="J5095" s="56" t="s">
        <v>229</v>
      </c>
      <c r="K5095" s="57" t="s">
        <v>642</v>
      </c>
      <c r="L5095" s="12" t="s">
        <v>404</v>
      </c>
      <c r="M5095" s="3" t="s">
        <v>230</v>
      </c>
      <c r="N5095" s="8" t="s">
        <v>8899</v>
      </c>
      <c r="O5095" s="6" t="s">
        <v>365</v>
      </c>
      <c r="P5095" s="58">
        <v>796</v>
      </c>
      <c r="Q5095" s="27" t="s">
        <v>234</v>
      </c>
      <c r="R5095" s="27">
        <v>10</v>
      </c>
      <c r="S5095" s="59">
        <f>2000*1.07</f>
        <v>2140</v>
      </c>
      <c r="T5095" s="4">
        <f>R5095*S5095</f>
        <v>21400</v>
      </c>
      <c r="U5095" s="4">
        <f>T5095*1.12</f>
        <v>23968.000000000004</v>
      </c>
      <c r="V5095" s="3"/>
      <c r="W5095" s="3">
        <v>2014</v>
      </c>
      <c r="X5095" s="3"/>
    </row>
    <row r="5096" spans="1:24" ht="114.75">
      <c r="A5096" s="3" t="s">
        <v>2077</v>
      </c>
      <c r="B5096" s="6" t="s">
        <v>361</v>
      </c>
      <c r="C5096" s="6" t="s">
        <v>7403</v>
      </c>
      <c r="D5096" s="6" t="s">
        <v>6036</v>
      </c>
      <c r="E5096" s="6" t="s">
        <v>11535</v>
      </c>
      <c r="F5096" s="9" t="s">
        <v>6022</v>
      </c>
      <c r="G5096" s="57" t="s">
        <v>11449</v>
      </c>
      <c r="H5096" s="54">
        <v>0</v>
      </c>
      <c r="I5096" s="16">
        <v>470000000</v>
      </c>
      <c r="J5096" s="56" t="s">
        <v>229</v>
      </c>
      <c r="K5096" s="57" t="s">
        <v>641</v>
      </c>
      <c r="L5096" s="12" t="s">
        <v>404</v>
      </c>
      <c r="M5096" s="3" t="s">
        <v>230</v>
      </c>
      <c r="N5096" s="8" t="s">
        <v>8899</v>
      </c>
      <c r="O5096" s="6" t="s">
        <v>365</v>
      </c>
      <c r="P5096" s="58">
        <v>796</v>
      </c>
      <c r="Q5096" s="27" t="s">
        <v>234</v>
      </c>
      <c r="R5096" s="27">
        <v>3</v>
      </c>
      <c r="S5096" s="59">
        <f>90000*1.07</f>
        <v>96300</v>
      </c>
      <c r="T5096" s="4">
        <v>0</v>
      </c>
      <c r="U5096" s="4">
        <f t="shared" si="228"/>
        <v>0</v>
      </c>
      <c r="V5096" s="3"/>
      <c r="W5096" s="3">
        <v>2014</v>
      </c>
      <c r="X5096" s="3">
        <v>11</v>
      </c>
    </row>
    <row r="5097" spans="1:24" ht="114.75">
      <c r="A5097" s="3" t="s">
        <v>12777</v>
      </c>
      <c r="B5097" s="6" t="s">
        <v>361</v>
      </c>
      <c r="C5097" s="6" t="s">
        <v>7403</v>
      </c>
      <c r="D5097" s="6" t="s">
        <v>6036</v>
      </c>
      <c r="E5097" s="6" t="s">
        <v>11535</v>
      </c>
      <c r="F5097" s="9" t="s">
        <v>6022</v>
      </c>
      <c r="G5097" s="57" t="s">
        <v>11449</v>
      </c>
      <c r="H5097" s="54">
        <v>0</v>
      </c>
      <c r="I5097" s="16">
        <v>470000000</v>
      </c>
      <c r="J5097" s="56" t="s">
        <v>229</v>
      </c>
      <c r="K5097" s="57" t="s">
        <v>642</v>
      </c>
      <c r="L5097" s="12" t="s">
        <v>404</v>
      </c>
      <c r="M5097" s="3" t="s">
        <v>230</v>
      </c>
      <c r="N5097" s="8" t="s">
        <v>8899</v>
      </c>
      <c r="O5097" s="6" t="s">
        <v>365</v>
      </c>
      <c r="P5097" s="58">
        <v>796</v>
      </c>
      <c r="Q5097" s="27" t="s">
        <v>234</v>
      </c>
      <c r="R5097" s="27">
        <v>3</v>
      </c>
      <c r="S5097" s="59">
        <f>90000*1.07</f>
        <v>96300</v>
      </c>
      <c r="T5097" s="4">
        <v>0</v>
      </c>
      <c r="U5097" s="4">
        <f>T5097*1.12</f>
        <v>0</v>
      </c>
      <c r="V5097" s="3"/>
      <c r="W5097" s="3">
        <v>2014</v>
      </c>
      <c r="X5097" s="3" t="s">
        <v>14785</v>
      </c>
    </row>
    <row r="5098" spans="1:24" ht="114.75">
      <c r="A5098" s="3" t="s">
        <v>16925</v>
      </c>
      <c r="B5098" s="6" t="s">
        <v>361</v>
      </c>
      <c r="C5098" s="6" t="s">
        <v>7403</v>
      </c>
      <c r="D5098" s="6" t="s">
        <v>6036</v>
      </c>
      <c r="E5098" s="6" t="s">
        <v>11535</v>
      </c>
      <c r="F5098" s="9" t="s">
        <v>6022</v>
      </c>
      <c r="G5098" s="3" t="s">
        <v>11449</v>
      </c>
      <c r="H5098" s="54">
        <v>0</v>
      </c>
      <c r="I5098" s="16">
        <v>470000000</v>
      </c>
      <c r="J5098" s="56" t="s">
        <v>229</v>
      </c>
      <c r="K5098" s="57" t="s">
        <v>8950</v>
      </c>
      <c r="L5098" s="12" t="s">
        <v>404</v>
      </c>
      <c r="M5098" s="3" t="s">
        <v>230</v>
      </c>
      <c r="N5098" s="8" t="s">
        <v>8899</v>
      </c>
      <c r="O5098" s="6" t="s">
        <v>365</v>
      </c>
      <c r="P5098" s="58">
        <v>796</v>
      </c>
      <c r="Q5098" s="27" t="s">
        <v>234</v>
      </c>
      <c r="R5098" s="27">
        <v>3</v>
      </c>
      <c r="S5098" s="59">
        <v>115560</v>
      </c>
      <c r="T5098" s="4">
        <f>R5098*S5098</f>
        <v>346680</v>
      </c>
      <c r="U5098" s="4">
        <f>T5098*1.12</f>
        <v>388281.60000000003</v>
      </c>
      <c r="V5098" s="3"/>
      <c r="W5098" s="3">
        <v>2014</v>
      </c>
      <c r="X5098" s="3"/>
    </row>
    <row r="5099" spans="1:24" ht="114.75">
      <c r="A5099" s="3" t="s">
        <v>2078</v>
      </c>
      <c r="B5099" s="6" t="s">
        <v>361</v>
      </c>
      <c r="C5099" s="6" t="s">
        <v>6023</v>
      </c>
      <c r="D5099" s="6" t="s">
        <v>5399</v>
      </c>
      <c r="E5099" s="6" t="s">
        <v>6024</v>
      </c>
      <c r="F5099" s="8" t="s">
        <v>6025</v>
      </c>
      <c r="G5099" s="57" t="s">
        <v>11449</v>
      </c>
      <c r="H5099" s="54">
        <v>0</v>
      </c>
      <c r="I5099" s="16">
        <v>470000000</v>
      </c>
      <c r="J5099" s="56" t="s">
        <v>229</v>
      </c>
      <c r="K5099" s="57" t="s">
        <v>641</v>
      </c>
      <c r="L5099" s="12" t="s">
        <v>404</v>
      </c>
      <c r="M5099" s="3" t="s">
        <v>230</v>
      </c>
      <c r="N5099" s="8" t="s">
        <v>8899</v>
      </c>
      <c r="O5099" s="6" t="s">
        <v>365</v>
      </c>
      <c r="P5099" s="58">
        <v>796</v>
      </c>
      <c r="Q5099" s="27" t="s">
        <v>234</v>
      </c>
      <c r="R5099" s="27">
        <v>10</v>
      </c>
      <c r="S5099" s="59">
        <f>5500*1.07</f>
        <v>5885</v>
      </c>
      <c r="T5099" s="4">
        <v>0</v>
      </c>
      <c r="U5099" s="4">
        <f t="shared" si="228"/>
        <v>0</v>
      </c>
      <c r="V5099" s="3"/>
      <c r="W5099" s="3">
        <v>2014</v>
      </c>
      <c r="X5099" s="3">
        <v>11</v>
      </c>
    </row>
    <row r="5100" spans="1:24" ht="114.75">
      <c r="A5100" s="3" t="s">
        <v>12778</v>
      </c>
      <c r="B5100" s="6" t="s">
        <v>361</v>
      </c>
      <c r="C5100" s="6" t="s">
        <v>6023</v>
      </c>
      <c r="D5100" s="6" t="s">
        <v>5399</v>
      </c>
      <c r="E5100" s="6" t="s">
        <v>6024</v>
      </c>
      <c r="F5100" s="8" t="s">
        <v>6025</v>
      </c>
      <c r="G5100" s="57" t="s">
        <v>11449</v>
      </c>
      <c r="H5100" s="54">
        <v>0</v>
      </c>
      <c r="I5100" s="16">
        <v>470000000</v>
      </c>
      <c r="J5100" s="56" t="s">
        <v>229</v>
      </c>
      <c r="K5100" s="57" t="s">
        <v>642</v>
      </c>
      <c r="L5100" s="12" t="s">
        <v>404</v>
      </c>
      <c r="M5100" s="3" t="s">
        <v>230</v>
      </c>
      <c r="N5100" s="8" t="s">
        <v>8899</v>
      </c>
      <c r="O5100" s="6" t="s">
        <v>365</v>
      </c>
      <c r="P5100" s="58">
        <v>796</v>
      </c>
      <c r="Q5100" s="27" t="s">
        <v>234</v>
      </c>
      <c r="R5100" s="27">
        <v>10</v>
      </c>
      <c r="S5100" s="59">
        <f>5500*1.07</f>
        <v>5885</v>
      </c>
      <c r="T5100" s="4">
        <v>0</v>
      </c>
      <c r="U5100" s="4">
        <f>T5100*1.12</f>
        <v>0</v>
      </c>
      <c r="V5100" s="3"/>
      <c r="W5100" s="3">
        <v>2014</v>
      </c>
      <c r="X5100" s="3" t="s">
        <v>14785</v>
      </c>
    </row>
    <row r="5101" spans="1:24" ht="114.75">
      <c r="A5101" s="3" t="s">
        <v>16926</v>
      </c>
      <c r="B5101" s="6" t="s">
        <v>361</v>
      </c>
      <c r="C5101" s="6" t="s">
        <v>6023</v>
      </c>
      <c r="D5101" s="6" t="s">
        <v>5399</v>
      </c>
      <c r="E5101" s="6" t="s">
        <v>6024</v>
      </c>
      <c r="F5101" s="8" t="s">
        <v>6025</v>
      </c>
      <c r="G5101" s="3" t="s">
        <v>11449</v>
      </c>
      <c r="H5101" s="54">
        <v>0</v>
      </c>
      <c r="I5101" s="16">
        <v>470000000</v>
      </c>
      <c r="J5101" s="56" t="s">
        <v>229</v>
      </c>
      <c r="K5101" s="57" t="s">
        <v>8950</v>
      </c>
      <c r="L5101" s="12" t="s">
        <v>404</v>
      </c>
      <c r="M5101" s="3" t="s">
        <v>230</v>
      </c>
      <c r="N5101" s="8" t="s">
        <v>8899</v>
      </c>
      <c r="O5101" s="6" t="s">
        <v>365</v>
      </c>
      <c r="P5101" s="58">
        <v>796</v>
      </c>
      <c r="Q5101" s="27" t="s">
        <v>234</v>
      </c>
      <c r="R5101" s="27">
        <v>10</v>
      </c>
      <c r="S5101" s="59">
        <v>7062</v>
      </c>
      <c r="T5101" s="4">
        <f>R5101*S5101</f>
        <v>70620</v>
      </c>
      <c r="U5101" s="4">
        <f>T5101*1.12</f>
        <v>79094.400000000009</v>
      </c>
      <c r="V5101" s="3"/>
      <c r="W5101" s="3">
        <v>2014</v>
      </c>
      <c r="X5101" s="3"/>
    </row>
    <row r="5102" spans="1:24" ht="114.75">
      <c r="A5102" s="3" t="s">
        <v>2079</v>
      </c>
      <c r="B5102" s="6" t="s">
        <v>361</v>
      </c>
      <c r="C5102" s="6" t="s">
        <v>6026</v>
      </c>
      <c r="D5102" s="6" t="s">
        <v>6027</v>
      </c>
      <c r="E5102" s="6" t="s">
        <v>6024</v>
      </c>
      <c r="F5102" s="8" t="s">
        <v>6028</v>
      </c>
      <c r="G5102" s="57" t="s">
        <v>11449</v>
      </c>
      <c r="H5102" s="54">
        <v>0</v>
      </c>
      <c r="I5102" s="16">
        <v>470000000</v>
      </c>
      <c r="J5102" s="56" t="s">
        <v>229</v>
      </c>
      <c r="K5102" s="57" t="s">
        <v>641</v>
      </c>
      <c r="L5102" s="12" t="s">
        <v>404</v>
      </c>
      <c r="M5102" s="3" t="s">
        <v>230</v>
      </c>
      <c r="N5102" s="8" t="s">
        <v>8899</v>
      </c>
      <c r="O5102" s="6" t="s">
        <v>365</v>
      </c>
      <c r="P5102" s="58">
        <v>796</v>
      </c>
      <c r="Q5102" s="27" t="s">
        <v>234</v>
      </c>
      <c r="R5102" s="27">
        <v>10</v>
      </c>
      <c r="S5102" s="59">
        <f>5000*1.07</f>
        <v>5350</v>
      </c>
      <c r="T5102" s="4">
        <v>0</v>
      </c>
      <c r="U5102" s="4">
        <f t="shared" si="228"/>
        <v>0</v>
      </c>
      <c r="V5102" s="3"/>
      <c r="W5102" s="3">
        <v>2014</v>
      </c>
      <c r="X5102" s="3">
        <v>11</v>
      </c>
    </row>
    <row r="5103" spans="1:24" ht="114.75">
      <c r="A5103" s="3" t="s">
        <v>12779</v>
      </c>
      <c r="B5103" s="6" t="s">
        <v>361</v>
      </c>
      <c r="C5103" s="6" t="s">
        <v>6026</v>
      </c>
      <c r="D5103" s="6" t="s">
        <v>6027</v>
      </c>
      <c r="E5103" s="6" t="s">
        <v>6024</v>
      </c>
      <c r="F5103" s="8" t="s">
        <v>6028</v>
      </c>
      <c r="G5103" s="57" t="s">
        <v>11449</v>
      </c>
      <c r="H5103" s="54">
        <v>0</v>
      </c>
      <c r="I5103" s="16">
        <v>470000000</v>
      </c>
      <c r="J5103" s="56" t="s">
        <v>229</v>
      </c>
      <c r="K5103" s="57" t="s">
        <v>642</v>
      </c>
      <c r="L5103" s="12" t="s">
        <v>404</v>
      </c>
      <c r="M5103" s="3" t="s">
        <v>230</v>
      </c>
      <c r="N5103" s="8" t="s">
        <v>8899</v>
      </c>
      <c r="O5103" s="6" t="s">
        <v>365</v>
      </c>
      <c r="P5103" s="58">
        <v>796</v>
      </c>
      <c r="Q5103" s="27" t="s">
        <v>234</v>
      </c>
      <c r="R5103" s="27">
        <v>10</v>
      </c>
      <c r="S5103" s="59">
        <f>5000*1.07</f>
        <v>5350</v>
      </c>
      <c r="T5103" s="4">
        <v>0</v>
      </c>
      <c r="U5103" s="4">
        <f>T5103*1.12</f>
        <v>0</v>
      </c>
      <c r="V5103" s="3"/>
      <c r="W5103" s="3">
        <v>2014</v>
      </c>
      <c r="X5103" s="3" t="s">
        <v>14785</v>
      </c>
    </row>
    <row r="5104" spans="1:24" ht="114.75">
      <c r="A5104" s="3" t="s">
        <v>16927</v>
      </c>
      <c r="B5104" s="6" t="s">
        <v>361</v>
      </c>
      <c r="C5104" s="6" t="s">
        <v>6026</v>
      </c>
      <c r="D5104" s="6" t="s">
        <v>6027</v>
      </c>
      <c r="E5104" s="6" t="s">
        <v>6024</v>
      </c>
      <c r="F5104" s="8" t="s">
        <v>6028</v>
      </c>
      <c r="G5104" s="3" t="s">
        <v>11449</v>
      </c>
      <c r="H5104" s="54">
        <v>0</v>
      </c>
      <c r="I5104" s="16">
        <v>470000000</v>
      </c>
      <c r="J5104" s="56" t="s">
        <v>229</v>
      </c>
      <c r="K5104" s="57" t="s">
        <v>8950</v>
      </c>
      <c r="L5104" s="12" t="s">
        <v>404</v>
      </c>
      <c r="M5104" s="3" t="s">
        <v>230</v>
      </c>
      <c r="N5104" s="8" t="s">
        <v>8899</v>
      </c>
      <c r="O5104" s="6" t="s">
        <v>365</v>
      </c>
      <c r="P5104" s="58">
        <v>796</v>
      </c>
      <c r="Q5104" s="27" t="s">
        <v>234</v>
      </c>
      <c r="R5104" s="27">
        <v>10</v>
      </c>
      <c r="S5104" s="59">
        <v>6420</v>
      </c>
      <c r="T5104" s="4">
        <f>R5104*S5104</f>
        <v>64200</v>
      </c>
      <c r="U5104" s="4">
        <f>T5104*1.12</f>
        <v>71904</v>
      </c>
      <c r="V5104" s="3"/>
      <c r="W5104" s="3">
        <v>2014</v>
      </c>
      <c r="X5104" s="3"/>
    </row>
    <row r="5105" spans="1:24" ht="114.75">
      <c r="A5105" s="3" t="s">
        <v>2080</v>
      </c>
      <c r="B5105" s="6" t="s">
        <v>361</v>
      </c>
      <c r="C5105" s="6" t="s">
        <v>11536</v>
      </c>
      <c r="D5105" s="6" t="s">
        <v>11537</v>
      </c>
      <c r="E5105" s="6" t="s">
        <v>5998</v>
      </c>
      <c r="F5105" s="8" t="s">
        <v>6029</v>
      </c>
      <c r="G5105" s="57" t="s">
        <v>11449</v>
      </c>
      <c r="H5105" s="54">
        <v>0</v>
      </c>
      <c r="I5105" s="16">
        <v>470000000</v>
      </c>
      <c r="J5105" s="56" t="s">
        <v>229</v>
      </c>
      <c r="K5105" s="57" t="s">
        <v>641</v>
      </c>
      <c r="L5105" s="12" t="s">
        <v>404</v>
      </c>
      <c r="M5105" s="3" t="s">
        <v>230</v>
      </c>
      <c r="N5105" s="8" t="s">
        <v>8899</v>
      </c>
      <c r="O5105" s="6" t="s">
        <v>365</v>
      </c>
      <c r="P5105" s="58">
        <v>796</v>
      </c>
      <c r="Q5105" s="27" t="s">
        <v>234</v>
      </c>
      <c r="R5105" s="27">
        <v>10</v>
      </c>
      <c r="S5105" s="59">
        <f>8000*1.07</f>
        <v>8560</v>
      </c>
      <c r="T5105" s="4">
        <v>0</v>
      </c>
      <c r="U5105" s="4">
        <f t="shared" si="228"/>
        <v>0</v>
      </c>
      <c r="V5105" s="3"/>
      <c r="W5105" s="3">
        <v>2014</v>
      </c>
      <c r="X5105" s="3">
        <v>11</v>
      </c>
    </row>
    <row r="5106" spans="1:24" ht="114.75">
      <c r="A5106" s="3" t="s">
        <v>12780</v>
      </c>
      <c r="B5106" s="6" t="s">
        <v>361</v>
      </c>
      <c r="C5106" s="6" t="s">
        <v>11536</v>
      </c>
      <c r="D5106" s="6" t="s">
        <v>11537</v>
      </c>
      <c r="E5106" s="6" t="s">
        <v>5998</v>
      </c>
      <c r="F5106" s="8" t="s">
        <v>6029</v>
      </c>
      <c r="G5106" s="57" t="s">
        <v>11449</v>
      </c>
      <c r="H5106" s="54">
        <v>0</v>
      </c>
      <c r="I5106" s="16">
        <v>470000000</v>
      </c>
      <c r="J5106" s="56" t="s">
        <v>229</v>
      </c>
      <c r="K5106" s="57" t="s">
        <v>642</v>
      </c>
      <c r="L5106" s="12" t="s">
        <v>404</v>
      </c>
      <c r="M5106" s="3" t="s">
        <v>230</v>
      </c>
      <c r="N5106" s="8" t="s">
        <v>8899</v>
      </c>
      <c r="O5106" s="6" t="s">
        <v>365</v>
      </c>
      <c r="P5106" s="58">
        <v>796</v>
      </c>
      <c r="Q5106" s="27" t="s">
        <v>234</v>
      </c>
      <c r="R5106" s="27">
        <v>10</v>
      </c>
      <c r="S5106" s="59">
        <f>8000*1.07</f>
        <v>8560</v>
      </c>
      <c r="T5106" s="4">
        <f>R5106*S5106</f>
        <v>85600</v>
      </c>
      <c r="U5106" s="4">
        <f>T5106*1.12</f>
        <v>95872.000000000015</v>
      </c>
      <c r="V5106" s="3"/>
      <c r="W5106" s="3">
        <v>2014</v>
      </c>
      <c r="X5106" s="3"/>
    </row>
    <row r="5107" spans="1:24" ht="114.75">
      <c r="A5107" s="3" t="s">
        <v>2081</v>
      </c>
      <c r="B5107" s="6" t="s">
        <v>361</v>
      </c>
      <c r="C5107" s="6" t="s">
        <v>5810</v>
      </c>
      <c r="D5107" s="6" t="s">
        <v>457</v>
      </c>
      <c r="E5107" s="6" t="s">
        <v>5332</v>
      </c>
      <c r="F5107" s="8" t="s">
        <v>6030</v>
      </c>
      <c r="G5107" s="57" t="s">
        <v>11449</v>
      </c>
      <c r="H5107" s="54">
        <v>0</v>
      </c>
      <c r="I5107" s="16">
        <v>470000000</v>
      </c>
      <c r="J5107" s="56" t="s">
        <v>229</v>
      </c>
      <c r="K5107" s="57" t="s">
        <v>641</v>
      </c>
      <c r="L5107" s="12" t="s">
        <v>404</v>
      </c>
      <c r="M5107" s="3" t="s">
        <v>230</v>
      </c>
      <c r="N5107" s="8" t="s">
        <v>8899</v>
      </c>
      <c r="O5107" s="6" t="s">
        <v>365</v>
      </c>
      <c r="P5107" s="58">
        <v>796</v>
      </c>
      <c r="Q5107" s="27" t="s">
        <v>234</v>
      </c>
      <c r="R5107" s="27">
        <v>20</v>
      </c>
      <c r="S5107" s="59">
        <f t="shared" ref="S5107:S5117" si="229">4000*1.07</f>
        <v>4280</v>
      </c>
      <c r="T5107" s="4">
        <v>0</v>
      </c>
      <c r="U5107" s="4">
        <f t="shared" si="228"/>
        <v>0</v>
      </c>
      <c r="V5107" s="3"/>
      <c r="W5107" s="3">
        <v>2014</v>
      </c>
      <c r="X5107" s="3">
        <v>11</v>
      </c>
    </row>
    <row r="5108" spans="1:24" ht="114.75">
      <c r="A5108" s="3" t="s">
        <v>12781</v>
      </c>
      <c r="B5108" s="6" t="s">
        <v>361</v>
      </c>
      <c r="C5108" s="6" t="s">
        <v>5810</v>
      </c>
      <c r="D5108" s="6" t="s">
        <v>457</v>
      </c>
      <c r="E5108" s="6" t="s">
        <v>5332</v>
      </c>
      <c r="F5108" s="8" t="s">
        <v>6030</v>
      </c>
      <c r="G5108" s="57" t="s">
        <v>11449</v>
      </c>
      <c r="H5108" s="54">
        <v>0</v>
      </c>
      <c r="I5108" s="16">
        <v>470000000</v>
      </c>
      <c r="J5108" s="56" t="s">
        <v>229</v>
      </c>
      <c r="K5108" s="57" t="s">
        <v>642</v>
      </c>
      <c r="L5108" s="12" t="s">
        <v>404</v>
      </c>
      <c r="M5108" s="3" t="s">
        <v>230</v>
      </c>
      <c r="N5108" s="8" t="s">
        <v>8899</v>
      </c>
      <c r="O5108" s="6" t="s">
        <v>365</v>
      </c>
      <c r="P5108" s="58">
        <v>796</v>
      </c>
      <c r="Q5108" s="27" t="s">
        <v>234</v>
      </c>
      <c r="R5108" s="27">
        <v>20</v>
      </c>
      <c r="S5108" s="59">
        <f t="shared" si="229"/>
        <v>4280</v>
      </c>
      <c r="T5108" s="4">
        <v>0</v>
      </c>
      <c r="U5108" s="4">
        <f>T5108*1.12</f>
        <v>0</v>
      </c>
      <c r="V5108" s="3"/>
      <c r="W5108" s="3">
        <v>2014</v>
      </c>
      <c r="X5108" s="3" t="s">
        <v>14785</v>
      </c>
    </row>
    <row r="5109" spans="1:24" ht="114.75">
      <c r="A5109" s="3" t="s">
        <v>16928</v>
      </c>
      <c r="B5109" s="6" t="s">
        <v>361</v>
      </c>
      <c r="C5109" s="6" t="s">
        <v>5810</v>
      </c>
      <c r="D5109" s="6" t="s">
        <v>457</v>
      </c>
      <c r="E5109" s="6" t="s">
        <v>5332</v>
      </c>
      <c r="F5109" s="8" t="s">
        <v>6030</v>
      </c>
      <c r="G5109" s="3" t="s">
        <v>11449</v>
      </c>
      <c r="H5109" s="54">
        <v>0</v>
      </c>
      <c r="I5109" s="16">
        <v>470000000</v>
      </c>
      <c r="J5109" s="56" t="s">
        <v>229</v>
      </c>
      <c r="K5109" s="57" t="s">
        <v>8950</v>
      </c>
      <c r="L5109" s="12" t="s">
        <v>404</v>
      </c>
      <c r="M5109" s="3" t="s">
        <v>230</v>
      </c>
      <c r="N5109" s="8" t="s">
        <v>8899</v>
      </c>
      <c r="O5109" s="6" t="s">
        <v>365</v>
      </c>
      <c r="P5109" s="58">
        <v>796</v>
      </c>
      <c r="Q5109" s="27" t="s">
        <v>234</v>
      </c>
      <c r="R5109" s="27">
        <v>20</v>
      </c>
      <c r="S5109" s="59">
        <v>5136</v>
      </c>
      <c r="T5109" s="4">
        <f>R5109*S5109</f>
        <v>102720</v>
      </c>
      <c r="U5109" s="4">
        <f>T5109*1.12</f>
        <v>115046.40000000001</v>
      </c>
      <c r="V5109" s="3"/>
      <c r="W5109" s="3">
        <v>2014</v>
      </c>
      <c r="X5109" s="3"/>
    </row>
    <row r="5110" spans="1:24" ht="114.75">
      <c r="A5110" s="3" t="s">
        <v>2082</v>
      </c>
      <c r="B5110" s="6" t="s">
        <v>361</v>
      </c>
      <c r="C5110" s="6" t="s">
        <v>5776</v>
      </c>
      <c r="D5110" s="6" t="s">
        <v>5777</v>
      </c>
      <c r="E5110" s="6" t="s">
        <v>5778</v>
      </c>
      <c r="F5110" s="8" t="s">
        <v>6031</v>
      </c>
      <c r="G5110" s="57" t="s">
        <v>11449</v>
      </c>
      <c r="H5110" s="54">
        <v>0</v>
      </c>
      <c r="I5110" s="16">
        <v>470000000</v>
      </c>
      <c r="J5110" s="56" t="s">
        <v>229</v>
      </c>
      <c r="K5110" s="57" t="s">
        <v>641</v>
      </c>
      <c r="L5110" s="12" t="s">
        <v>404</v>
      </c>
      <c r="M5110" s="3" t="s">
        <v>230</v>
      </c>
      <c r="N5110" s="8" t="s">
        <v>8899</v>
      </c>
      <c r="O5110" s="6" t="s">
        <v>365</v>
      </c>
      <c r="P5110" s="58">
        <v>796</v>
      </c>
      <c r="Q5110" s="27" t="s">
        <v>234</v>
      </c>
      <c r="R5110" s="27">
        <v>8</v>
      </c>
      <c r="S5110" s="59">
        <f t="shared" si="229"/>
        <v>4280</v>
      </c>
      <c r="T5110" s="4">
        <v>0</v>
      </c>
      <c r="U5110" s="4">
        <f t="shared" si="228"/>
        <v>0</v>
      </c>
      <c r="V5110" s="3"/>
      <c r="W5110" s="3">
        <v>2014</v>
      </c>
      <c r="X5110" s="3">
        <v>11</v>
      </c>
    </row>
    <row r="5111" spans="1:24" ht="114.75">
      <c r="A5111" s="3" t="s">
        <v>12782</v>
      </c>
      <c r="B5111" s="6" t="s">
        <v>361</v>
      </c>
      <c r="C5111" s="6" t="s">
        <v>5776</v>
      </c>
      <c r="D5111" s="6" t="s">
        <v>5777</v>
      </c>
      <c r="E5111" s="6" t="s">
        <v>5778</v>
      </c>
      <c r="F5111" s="8" t="s">
        <v>6031</v>
      </c>
      <c r="G5111" s="57" t="s">
        <v>11449</v>
      </c>
      <c r="H5111" s="54">
        <v>0</v>
      </c>
      <c r="I5111" s="16">
        <v>470000000</v>
      </c>
      <c r="J5111" s="56" t="s">
        <v>229</v>
      </c>
      <c r="K5111" s="57" t="s">
        <v>642</v>
      </c>
      <c r="L5111" s="12" t="s">
        <v>404</v>
      </c>
      <c r="M5111" s="3" t="s">
        <v>230</v>
      </c>
      <c r="N5111" s="8" t="s">
        <v>8899</v>
      </c>
      <c r="O5111" s="6" t="s">
        <v>365</v>
      </c>
      <c r="P5111" s="58">
        <v>796</v>
      </c>
      <c r="Q5111" s="27" t="s">
        <v>234</v>
      </c>
      <c r="R5111" s="27">
        <v>8</v>
      </c>
      <c r="S5111" s="59">
        <f t="shared" si="229"/>
        <v>4280</v>
      </c>
      <c r="T5111" s="4">
        <v>0</v>
      </c>
      <c r="U5111" s="4">
        <f>T5111*1.12</f>
        <v>0</v>
      </c>
      <c r="V5111" s="3"/>
      <c r="W5111" s="3">
        <v>2014</v>
      </c>
      <c r="X5111" s="3" t="s">
        <v>14785</v>
      </c>
    </row>
    <row r="5112" spans="1:24" ht="114.75">
      <c r="A5112" s="3" t="s">
        <v>16929</v>
      </c>
      <c r="B5112" s="6" t="s">
        <v>361</v>
      </c>
      <c r="C5112" s="6" t="s">
        <v>5776</v>
      </c>
      <c r="D5112" s="6" t="s">
        <v>5777</v>
      </c>
      <c r="E5112" s="6" t="s">
        <v>5778</v>
      </c>
      <c r="F5112" s="8" t="s">
        <v>6031</v>
      </c>
      <c r="G5112" s="3" t="s">
        <v>11449</v>
      </c>
      <c r="H5112" s="54">
        <v>0</v>
      </c>
      <c r="I5112" s="16">
        <v>470000000</v>
      </c>
      <c r="J5112" s="56" t="s">
        <v>229</v>
      </c>
      <c r="K5112" s="57" t="s">
        <v>8950</v>
      </c>
      <c r="L5112" s="12" t="s">
        <v>404</v>
      </c>
      <c r="M5112" s="3" t="s">
        <v>230</v>
      </c>
      <c r="N5112" s="8" t="s">
        <v>8899</v>
      </c>
      <c r="O5112" s="6" t="s">
        <v>365</v>
      </c>
      <c r="P5112" s="58">
        <v>796</v>
      </c>
      <c r="Q5112" s="27" t="s">
        <v>234</v>
      </c>
      <c r="R5112" s="27">
        <v>8</v>
      </c>
      <c r="S5112" s="59">
        <v>5136</v>
      </c>
      <c r="T5112" s="4">
        <f>R5112*S5112</f>
        <v>41088</v>
      </c>
      <c r="U5112" s="4">
        <f>T5112*1.12</f>
        <v>46018.560000000005</v>
      </c>
      <c r="V5112" s="3"/>
      <c r="W5112" s="3">
        <v>2014</v>
      </c>
      <c r="X5112" s="3"/>
    </row>
    <row r="5113" spans="1:24" ht="114.75">
      <c r="A5113" s="3" t="s">
        <v>2083</v>
      </c>
      <c r="B5113" s="6" t="s">
        <v>361</v>
      </c>
      <c r="C5113" s="6" t="s">
        <v>5780</v>
      </c>
      <c r="D5113" s="6" t="s">
        <v>5777</v>
      </c>
      <c r="E5113" s="6" t="s">
        <v>5781</v>
      </c>
      <c r="F5113" s="8" t="s">
        <v>6032</v>
      </c>
      <c r="G5113" s="57" t="s">
        <v>11449</v>
      </c>
      <c r="H5113" s="54">
        <v>0</v>
      </c>
      <c r="I5113" s="16">
        <v>470000000</v>
      </c>
      <c r="J5113" s="56" t="s">
        <v>229</v>
      </c>
      <c r="K5113" s="57" t="s">
        <v>641</v>
      </c>
      <c r="L5113" s="12" t="s">
        <v>404</v>
      </c>
      <c r="M5113" s="3" t="s">
        <v>230</v>
      </c>
      <c r="N5113" s="8" t="s">
        <v>8899</v>
      </c>
      <c r="O5113" s="6" t="s">
        <v>365</v>
      </c>
      <c r="P5113" s="58">
        <v>796</v>
      </c>
      <c r="Q5113" s="27" t="s">
        <v>234</v>
      </c>
      <c r="R5113" s="27">
        <v>8</v>
      </c>
      <c r="S5113" s="59">
        <f t="shared" si="229"/>
        <v>4280</v>
      </c>
      <c r="T5113" s="4">
        <v>0</v>
      </c>
      <c r="U5113" s="4">
        <f t="shared" si="228"/>
        <v>0</v>
      </c>
      <c r="V5113" s="3"/>
      <c r="W5113" s="3">
        <v>2014</v>
      </c>
      <c r="X5113" s="3">
        <v>11</v>
      </c>
    </row>
    <row r="5114" spans="1:24" ht="114.75">
      <c r="A5114" s="3" t="s">
        <v>12783</v>
      </c>
      <c r="B5114" s="6" t="s">
        <v>361</v>
      </c>
      <c r="C5114" s="6" t="s">
        <v>5780</v>
      </c>
      <c r="D5114" s="6" t="s">
        <v>5777</v>
      </c>
      <c r="E5114" s="6" t="s">
        <v>5781</v>
      </c>
      <c r="F5114" s="8" t="s">
        <v>6032</v>
      </c>
      <c r="G5114" s="57" t="s">
        <v>11449</v>
      </c>
      <c r="H5114" s="54">
        <v>0</v>
      </c>
      <c r="I5114" s="16">
        <v>470000000</v>
      </c>
      <c r="J5114" s="56" t="s">
        <v>229</v>
      </c>
      <c r="K5114" s="57" t="s">
        <v>642</v>
      </c>
      <c r="L5114" s="12" t="s">
        <v>404</v>
      </c>
      <c r="M5114" s="3" t="s">
        <v>230</v>
      </c>
      <c r="N5114" s="8" t="s">
        <v>8899</v>
      </c>
      <c r="O5114" s="6" t="s">
        <v>365</v>
      </c>
      <c r="P5114" s="58">
        <v>796</v>
      </c>
      <c r="Q5114" s="27" t="s">
        <v>234</v>
      </c>
      <c r="R5114" s="27">
        <v>8</v>
      </c>
      <c r="S5114" s="59">
        <f t="shared" si="229"/>
        <v>4280</v>
      </c>
      <c r="T5114" s="4">
        <v>0</v>
      </c>
      <c r="U5114" s="4">
        <f>T5114*1.12</f>
        <v>0</v>
      </c>
      <c r="V5114" s="3"/>
      <c r="W5114" s="3">
        <v>2014</v>
      </c>
      <c r="X5114" s="3" t="s">
        <v>14785</v>
      </c>
    </row>
    <row r="5115" spans="1:24" ht="114.75">
      <c r="A5115" s="3" t="s">
        <v>16930</v>
      </c>
      <c r="B5115" s="6" t="s">
        <v>361</v>
      </c>
      <c r="C5115" s="6" t="s">
        <v>5780</v>
      </c>
      <c r="D5115" s="6" t="s">
        <v>5777</v>
      </c>
      <c r="E5115" s="6" t="s">
        <v>5781</v>
      </c>
      <c r="F5115" s="8" t="s">
        <v>6032</v>
      </c>
      <c r="G5115" s="3" t="s">
        <v>11449</v>
      </c>
      <c r="H5115" s="54">
        <v>0</v>
      </c>
      <c r="I5115" s="16">
        <v>470000000</v>
      </c>
      <c r="J5115" s="56" t="s">
        <v>229</v>
      </c>
      <c r="K5115" s="57" t="s">
        <v>8950</v>
      </c>
      <c r="L5115" s="12" t="s">
        <v>404</v>
      </c>
      <c r="M5115" s="3" t="s">
        <v>230</v>
      </c>
      <c r="N5115" s="8" t="s">
        <v>8899</v>
      </c>
      <c r="O5115" s="6" t="s">
        <v>365</v>
      </c>
      <c r="P5115" s="58">
        <v>796</v>
      </c>
      <c r="Q5115" s="27" t="s">
        <v>234</v>
      </c>
      <c r="R5115" s="27">
        <v>8</v>
      </c>
      <c r="S5115" s="59">
        <v>5136</v>
      </c>
      <c r="T5115" s="4">
        <f>R5115*S5115</f>
        <v>41088</v>
      </c>
      <c r="U5115" s="4">
        <f>T5115*1.12</f>
        <v>46018.560000000005</v>
      </c>
      <c r="V5115" s="3"/>
      <c r="W5115" s="3">
        <v>2014</v>
      </c>
      <c r="X5115" s="3"/>
    </row>
    <row r="5116" spans="1:24" ht="114.75">
      <c r="A5116" s="3" t="s">
        <v>2084</v>
      </c>
      <c r="B5116" s="6" t="s">
        <v>361</v>
      </c>
      <c r="C5116" s="6" t="s">
        <v>5783</v>
      </c>
      <c r="D5116" s="6" t="s">
        <v>5777</v>
      </c>
      <c r="E5116" s="6" t="s">
        <v>5784</v>
      </c>
      <c r="F5116" s="8" t="s">
        <v>6033</v>
      </c>
      <c r="G5116" s="57" t="s">
        <v>11449</v>
      </c>
      <c r="H5116" s="54">
        <v>0</v>
      </c>
      <c r="I5116" s="16">
        <v>470000000</v>
      </c>
      <c r="J5116" s="56" t="s">
        <v>229</v>
      </c>
      <c r="K5116" s="57" t="s">
        <v>641</v>
      </c>
      <c r="L5116" s="12" t="s">
        <v>404</v>
      </c>
      <c r="M5116" s="3" t="s">
        <v>230</v>
      </c>
      <c r="N5116" s="8" t="s">
        <v>8899</v>
      </c>
      <c r="O5116" s="6" t="s">
        <v>365</v>
      </c>
      <c r="P5116" s="58">
        <v>796</v>
      </c>
      <c r="Q5116" s="27" t="s">
        <v>234</v>
      </c>
      <c r="R5116" s="27">
        <v>8</v>
      </c>
      <c r="S5116" s="59">
        <f t="shared" si="229"/>
        <v>4280</v>
      </c>
      <c r="T5116" s="4">
        <v>0</v>
      </c>
      <c r="U5116" s="4">
        <f t="shared" si="228"/>
        <v>0</v>
      </c>
      <c r="V5116" s="3"/>
      <c r="W5116" s="3">
        <v>2014</v>
      </c>
      <c r="X5116" s="3">
        <v>11</v>
      </c>
    </row>
    <row r="5117" spans="1:24" ht="114.75">
      <c r="A5117" s="3" t="s">
        <v>12784</v>
      </c>
      <c r="B5117" s="6" t="s">
        <v>361</v>
      </c>
      <c r="C5117" s="6" t="s">
        <v>5783</v>
      </c>
      <c r="D5117" s="6" t="s">
        <v>5777</v>
      </c>
      <c r="E5117" s="6" t="s">
        <v>5784</v>
      </c>
      <c r="F5117" s="8" t="s">
        <v>6033</v>
      </c>
      <c r="G5117" s="57" t="s">
        <v>11449</v>
      </c>
      <c r="H5117" s="54">
        <v>0</v>
      </c>
      <c r="I5117" s="16">
        <v>470000000</v>
      </c>
      <c r="J5117" s="56" t="s">
        <v>229</v>
      </c>
      <c r="K5117" s="57" t="s">
        <v>642</v>
      </c>
      <c r="L5117" s="12" t="s">
        <v>404</v>
      </c>
      <c r="M5117" s="3" t="s">
        <v>230</v>
      </c>
      <c r="N5117" s="8" t="s">
        <v>8899</v>
      </c>
      <c r="O5117" s="6" t="s">
        <v>365</v>
      </c>
      <c r="P5117" s="58">
        <v>796</v>
      </c>
      <c r="Q5117" s="27" t="s">
        <v>234</v>
      </c>
      <c r="R5117" s="27">
        <v>8</v>
      </c>
      <c r="S5117" s="59">
        <f t="shared" si="229"/>
        <v>4280</v>
      </c>
      <c r="T5117" s="4">
        <v>0</v>
      </c>
      <c r="U5117" s="4">
        <f>T5117*1.12</f>
        <v>0</v>
      </c>
      <c r="V5117" s="3"/>
      <c r="W5117" s="3">
        <v>2014</v>
      </c>
      <c r="X5117" s="3" t="s">
        <v>14785</v>
      </c>
    </row>
    <row r="5118" spans="1:24" ht="114.75">
      <c r="A5118" s="3" t="s">
        <v>16931</v>
      </c>
      <c r="B5118" s="6" t="s">
        <v>361</v>
      </c>
      <c r="C5118" s="6" t="s">
        <v>5783</v>
      </c>
      <c r="D5118" s="6" t="s">
        <v>5777</v>
      </c>
      <c r="E5118" s="6" t="s">
        <v>5784</v>
      </c>
      <c r="F5118" s="8" t="s">
        <v>6033</v>
      </c>
      <c r="G5118" s="3" t="s">
        <v>11449</v>
      </c>
      <c r="H5118" s="54">
        <v>0</v>
      </c>
      <c r="I5118" s="16">
        <v>470000000</v>
      </c>
      <c r="J5118" s="56" t="s">
        <v>229</v>
      </c>
      <c r="K5118" s="57" t="s">
        <v>8950</v>
      </c>
      <c r="L5118" s="12" t="s">
        <v>404</v>
      </c>
      <c r="M5118" s="3" t="s">
        <v>230</v>
      </c>
      <c r="N5118" s="8" t="s">
        <v>8899</v>
      </c>
      <c r="O5118" s="6" t="s">
        <v>365</v>
      </c>
      <c r="P5118" s="58">
        <v>796</v>
      </c>
      <c r="Q5118" s="27" t="s">
        <v>234</v>
      </c>
      <c r="R5118" s="27">
        <v>8</v>
      </c>
      <c r="S5118" s="59">
        <v>5136</v>
      </c>
      <c r="T5118" s="4">
        <f>R5118*S5118</f>
        <v>41088</v>
      </c>
      <c r="U5118" s="4">
        <f>T5118*1.12</f>
        <v>46018.560000000005</v>
      </c>
      <c r="V5118" s="3"/>
      <c r="W5118" s="3">
        <v>2014</v>
      </c>
      <c r="X5118" s="3"/>
    </row>
    <row r="5119" spans="1:24" ht="114.75">
      <c r="A5119" s="3" t="s">
        <v>2085</v>
      </c>
      <c r="B5119" s="6" t="s">
        <v>361</v>
      </c>
      <c r="C5119" s="6" t="s">
        <v>5776</v>
      </c>
      <c r="D5119" s="6" t="s">
        <v>5777</v>
      </c>
      <c r="E5119" s="6" t="s">
        <v>5778</v>
      </c>
      <c r="F5119" s="8" t="s">
        <v>6034</v>
      </c>
      <c r="G5119" s="57" t="s">
        <v>11449</v>
      </c>
      <c r="H5119" s="54">
        <v>0</v>
      </c>
      <c r="I5119" s="16">
        <v>470000000</v>
      </c>
      <c r="J5119" s="56" t="s">
        <v>229</v>
      </c>
      <c r="K5119" s="57" t="s">
        <v>641</v>
      </c>
      <c r="L5119" s="12" t="s">
        <v>404</v>
      </c>
      <c r="M5119" s="3" t="s">
        <v>230</v>
      </c>
      <c r="N5119" s="8" t="s">
        <v>8899</v>
      </c>
      <c r="O5119" s="6" t="s">
        <v>365</v>
      </c>
      <c r="P5119" s="58">
        <v>796</v>
      </c>
      <c r="Q5119" s="27" t="s">
        <v>234</v>
      </c>
      <c r="R5119" s="27">
        <v>8</v>
      </c>
      <c r="S5119" s="59">
        <f>3800*1.07</f>
        <v>4066.0000000000005</v>
      </c>
      <c r="T5119" s="4">
        <v>0</v>
      </c>
      <c r="U5119" s="4">
        <f t="shared" si="228"/>
        <v>0</v>
      </c>
      <c r="V5119" s="3"/>
      <c r="W5119" s="3">
        <v>2014</v>
      </c>
      <c r="X5119" s="3">
        <v>11</v>
      </c>
    </row>
    <row r="5120" spans="1:24" ht="114.75">
      <c r="A5120" s="3" t="s">
        <v>12785</v>
      </c>
      <c r="B5120" s="6" t="s">
        <v>361</v>
      </c>
      <c r="C5120" s="6" t="s">
        <v>5776</v>
      </c>
      <c r="D5120" s="6" t="s">
        <v>5777</v>
      </c>
      <c r="E5120" s="6" t="s">
        <v>5778</v>
      </c>
      <c r="F5120" s="8" t="s">
        <v>6034</v>
      </c>
      <c r="G5120" s="57" t="s">
        <v>11449</v>
      </c>
      <c r="H5120" s="54">
        <v>0</v>
      </c>
      <c r="I5120" s="16">
        <v>470000000</v>
      </c>
      <c r="J5120" s="56" t="s">
        <v>229</v>
      </c>
      <c r="K5120" s="57" t="s">
        <v>642</v>
      </c>
      <c r="L5120" s="12" t="s">
        <v>404</v>
      </c>
      <c r="M5120" s="3" t="s">
        <v>230</v>
      </c>
      <c r="N5120" s="8" t="s">
        <v>8899</v>
      </c>
      <c r="O5120" s="6" t="s">
        <v>365</v>
      </c>
      <c r="P5120" s="58">
        <v>796</v>
      </c>
      <c r="Q5120" s="27" t="s">
        <v>234</v>
      </c>
      <c r="R5120" s="27">
        <v>8</v>
      </c>
      <c r="S5120" s="59">
        <f>3800*1.07</f>
        <v>4066.0000000000005</v>
      </c>
      <c r="T5120" s="4">
        <f>R5120*S5120</f>
        <v>32528.000000000004</v>
      </c>
      <c r="U5120" s="4">
        <f>T5120*1.12</f>
        <v>36431.360000000008</v>
      </c>
      <c r="V5120" s="3"/>
      <c r="W5120" s="3">
        <v>2014</v>
      </c>
      <c r="X5120" s="3"/>
    </row>
    <row r="5121" spans="1:24" ht="114.75">
      <c r="A5121" s="3" t="s">
        <v>2086</v>
      </c>
      <c r="B5121" s="6" t="s">
        <v>361</v>
      </c>
      <c r="C5121" s="6" t="s">
        <v>6035</v>
      </c>
      <c r="D5121" s="6" t="s">
        <v>6036</v>
      </c>
      <c r="E5121" s="6" t="s">
        <v>6037</v>
      </c>
      <c r="F5121" s="8" t="s">
        <v>6038</v>
      </c>
      <c r="G5121" s="57" t="s">
        <v>11449</v>
      </c>
      <c r="H5121" s="54">
        <v>0</v>
      </c>
      <c r="I5121" s="16">
        <v>470000000</v>
      </c>
      <c r="J5121" s="56" t="s">
        <v>229</v>
      </c>
      <c r="K5121" s="57" t="s">
        <v>641</v>
      </c>
      <c r="L5121" s="12" t="s">
        <v>404</v>
      </c>
      <c r="M5121" s="3" t="s">
        <v>230</v>
      </c>
      <c r="N5121" s="8" t="s">
        <v>8899</v>
      </c>
      <c r="O5121" s="6" t="s">
        <v>365</v>
      </c>
      <c r="P5121" s="58">
        <v>796</v>
      </c>
      <c r="Q5121" s="27" t="s">
        <v>234</v>
      </c>
      <c r="R5121" s="27">
        <v>3</v>
      </c>
      <c r="S5121" s="59">
        <f>80000*1.07</f>
        <v>85600</v>
      </c>
      <c r="T5121" s="4">
        <v>0</v>
      </c>
      <c r="U5121" s="4">
        <f t="shared" si="228"/>
        <v>0</v>
      </c>
      <c r="V5121" s="3"/>
      <c r="W5121" s="3">
        <v>2014</v>
      </c>
      <c r="X5121" s="3">
        <v>11</v>
      </c>
    </row>
    <row r="5122" spans="1:24" ht="114.75">
      <c r="A5122" s="3" t="s">
        <v>12786</v>
      </c>
      <c r="B5122" s="6" t="s">
        <v>361</v>
      </c>
      <c r="C5122" s="6" t="s">
        <v>6035</v>
      </c>
      <c r="D5122" s="6" t="s">
        <v>6036</v>
      </c>
      <c r="E5122" s="6" t="s">
        <v>6037</v>
      </c>
      <c r="F5122" s="8" t="s">
        <v>6038</v>
      </c>
      <c r="G5122" s="57" t="s">
        <v>11449</v>
      </c>
      <c r="H5122" s="54">
        <v>0</v>
      </c>
      <c r="I5122" s="16">
        <v>470000000</v>
      </c>
      <c r="J5122" s="56" t="s">
        <v>229</v>
      </c>
      <c r="K5122" s="57" t="s">
        <v>642</v>
      </c>
      <c r="L5122" s="12" t="s">
        <v>404</v>
      </c>
      <c r="M5122" s="3" t="s">
        <v>230</v>
      </c>
      <c r="N5122" s="8" t="s">
        <v>8899</v>
      </c>
      <c r="O5122" s="6" t="s">
        <v>365</v>
      </c>
      <c r="P5122" s="58">
        <v>796</v>
      </c>
      <c r="Q5122" s="27" t="s">
        <v>234</v>
      </c>
      <c r="R5122" s="27">
        <v>3</v>
      </c>
      <c r="S5122" s="59">
        <f>80000*1.07</f>
        <v>85600</v>
      </c>
      <c r="T5122" s="4">
        <v>0</v>
      </c>
      <c r="U5122" s="4">
        <f>T5122*1.12</f>
        <v>0</v>
      </c>
      <c r="V5122" s="3"/>
      <c r="W5122" s="3">
        <v>2014</v>
      </c>
      <c r="X5122" s="3" t="s">
        <v>14785</v>
      </c>
    </row>
    <row r="5123" spans="1:24" ht="114.75">
      <c r="A5123" s="3" t="s">
        <v>16932</v>
      </c>
      <c r="B5123" s="6" t="s">
        <v>361</v>
      </c>
      <c r="C5123" s="6" t="s">
        <v>6035</v>
      </c>
      <c r="D5123" s="6" t="s">
        <v>6036</v>
      </c>
      <c r="E5123" s="6" t="s">
        <v>6037</v>
      </c>
      <c r="F5123" s="8" t="s">
        <v>6038</v>
      </c>
      <c r="G5123" s="3" t="s">
        <v>11449</v>
      </c>
      <c r="H5123" s="54">
        <v>0</v>
      </c>
      <c r="I5123" s="16">
        <v>470000000</v>
      </c>
      <c r="J5123" s="56" t="s">
        <v>229</v>
      </c>
      <c r="K5123" s="57" t="s">
        <v>8950</v>
      </c>
      <c r="L5123" s="12" t="s">
        <v>404</v>
      </c>
      <c r="M5123" s="3" t="s">
        <v>230</v>
      </c>
      <c r="N5123" s="8" t="s">
        <v>8899</v>
      </c>
      <c r="O5123" s="6" t="s">
        <v>365</v>
      </c>
      <c r="P5123" s="58">
        <v>796</v>
      </c>
      <c r="Q5123" s="27" t="s">
        <v>234</v>
      </c>
      <c r="R5123" s="27">
        <v>3</v>
      </c>
      <c r="S5123" s="59">
        <v>102720</v>
      </c>
      <c r="T5123" s="4">
        <f>R5123*S5123</f>
        <v>308160</v>
      </c>
      <c r="U5123" s="4">
        <f>T5123*1.12</f>
        <v>345139.20000000001</v>
      </c>
      <c r="V5123" s="3"/>
      <c r="W5123" s="3">
        <v>2014</v>
      </c>
      <c r="X5123" s="3"/>
    </row>
    <row r="5124" spans="1:24" ht="114.75">
      <c r="A5124" s="3" t="s">
        <v>2087</v>
      </c>
      <c r="B5124" s="6" t="s">
        <v>361</v>
      </c>
      <c r="C5124" s="6" t="s">
        <v>5627</v>
      </c>
      <c r="D5124" s="6" t="s">
        <v>5628</v>
      </c>
      <c r="E5124" s="6" t="s">
        <v>5629</v>
      </c>
      <c r="F5124" s="30" t="s">
        <v>409</v>
      </c>
      <c r="G5124" s="57" t="s">
        <v>11449</v>
      </c>
      <c r="H5124" s="54">
        <v>0</v>
      </c>
      <c r="I5124" s="16">
        <v>470000000</v>
      </c>
      <c r="J5124" s="56" t="s">
        <v>229</v>
      </c>
      <c r="K5124" s="57" t="s">
        <v>641</v>
      </c>
      <c r="L5124" s="12" t="s">
        <v>404</v>
      </c>
      <c r="M5124" s="3" t="s">
        <v>230</v>
      </c>
      <c r="N5124" s="8" t="s">
        <v>8899</v>
      </c>
      <c r="O5124" s="6" t="s">
        <v>365</v>
      </c>
      <c r="P5124" s="58">
        <v>796</v>
      </c>
      <c r="Q5124" s="27" t="s">
        <v>234</v>
      </c>
      <c r="R5124" s="27">
        <v>4</v>
      </c>
      <c r="S5124" s="59">
        <f>11000*1.07</f>
        <v>11770</v>
      </c>
      <c r="T5124" s="4">
        <v>0</v>
      </c>
      <c r="U5124" s="4">
        <f t="shared" si="228"/>
        <v>0</v>
      </c>
      <c r="V5124" s="3"/>
      <c r="W5124" s="3">
        <v>2014</v>
      </c>
      <c r="X5124" s="3">
        <v>11</v>
      </c>
    </row>
    <row r="5125" spans="1:24" ht="114.75">
      <c r="A5125" s="3" t="s">
        <v>12787</v>
      </c>
      <c r="B5125" s="6" t="s">
        <v>361</v>
      </c>
      <c r="C5125" s="6" t="s">
        <v>5627</v>
      </c>
      <c r="D5125" s="6" t="s">
        <v>5628</v>
      </c>
      <c r="E5125" s="6" t="s">
        <v>5629</v>
      </c>
      <c r="F5125" s="30" t="s">
        <v>409</v>
      </c>
      <c r="G5125" s="57" t="s">
        <v>11449</v>
      </c>
      <c r="H5125" s="54">
        <v>0</v>
      </c>
      <c r="I5125" s="16">
        <v>470000000</v>
      </c>
      <c r="J5125" s="56" t="s">
        <v>229</v>
      </c>
      <c r="K5125" s="57" t="s">
        <v>642</v>
      </c>
      <c r="L5125" s="12" t="s">
        <v>404</v>
      </c>
      <c r="M5125" s="3" t="s">
        <v>230</v>
      </c>
      <c r="N5125" s="8" t="s">
        <v>8899</v>
      </c>
      <c r="O5125" s="6" t="s">
        <v>365</v>
      </c>
      <c r="P5125" s="58">
        <v>796</v>
      </c>
      <c r="Q5125" s="27" t="s">
        <v>234</v>
      </c>
      <c r="R5125" s="27">
        <v>4</v>
      </c>
      <c r="S5125" s="59">
        <f>11000*1.07</f>
        <v>11770</v>
      </c>
      <c r="T5125" s="4">
        <f>R5125*S5125</f>
        <v>47080</v>
      </c>
      <c r="U5125" s="4">
        <f>T5125*1.12</f>
        <v>52729.600000000006</v>
      </c>
      <c r="V5125" s="3"/>
      <c r="W5125" s="3">
        <v>2014</v>
      </c>
      <c r="X5125" s="3"/>
    </row>
    <row r="5126" spans="1:24" ht="114.75">
      <c r="A5126" s="3" t="s">
        <v>2088</v>
      </c>
      <c r="B5126" s="6" t="s">
        <v>361</v>
      </c>
      <c r="C5126" s="6" t="s">
        <v>6039</v>
      </c>
      <c r="D5126" s="6" t="s">
        <v>440</v>
      </c>
      <c r="E5126" s="6" t="s">
        <v>6040</v>
      </c>
      <c r="F5126" s="30" t="s">
        <v>440</v>
      </c>
      <c r="G5126" s="57" t="s">
        <v>11449</v>
      </c>
      <c r="H5126" s="54">
        <v>0</v>
      </c>
      <c r="I5126" s="16">
        <v>470000000</v>
      </c>
      <c r="J5126" s="56" t="s">
        <v>229</v>
      </c>
      <c r="K5126" s="57" t="s">
        <v>641</v>
      </c>
      <c r="L5126" s="12" t="s">
        <v>404</v>
      </c>
      <c r="M5126" s="3" t="s">
        <v>230</v>
      </c>
      <c r="N5126" s="8" t="s">
        <v>8899</v>
      </c>
      <c r="O5126" s="6" t="s">
        <v>365</v>
      </c>
      <c r="P5126" s="58">
        <v>796</v>
      </c>
      <c r="Q5126" s="27" t="s">
        <v>234</v>
      </c>
      <c r="R5126" s="27">
        <v>10</v>
      </c>
      <c r="S5126" s="59">
        <f>20000*1.07</f>
        <v>21400</v>
      </c>
      <c r="T5126" s="4">
        <v>0</v>
      </c>
      <c r="U5126" s="4">
        <f t="shared" si="228"/>
        <v>0</v>
      </c>
      <c r="V5126" s="3"/>
      <c r="W5126" s="3">
        <v>2014</v>
      </c>
      <c r="X5126" s="3">
        <v>11</v>
      </c>
    </row>
    <row r="5127" spans="1:24" ht="114.75">
      <c r="A5127" s="3" t="s">
        <v>12788</v>
      </c>
      <c r="B5127" s="6" t="s">
        <v>361</v>
      </c>
      <c r="C5127" s="6" t="s">
        <v>6039</v>
      </c>
      <c r="D5127" s="6" t="s">
        <v>440</v>
      </c>
      <c r="E5127" s="6" t="s">
        <v>6040</v>
      </c>
      <c r="F5127" s="30" t="s">
        <v>440</v>
      </c>
      <c r="G5127" s="57" t="s">
        <v>11449</v>
      </c>
      <c r="H5127" s="54">
        <v>0</v>
      </c>
      <c r="I5127" s="16">
        <v>470000000</v>
      </c>
      <c r="J5127" s="56" t="s">
        <v>229</v>
      </c>
      <c r="K5127" s="57" t="s">
        <v>642</v>
      </c>
      <c r="L5127" s="12" t="s">
        <v>404</v>
      </c>
      <c r="M5127" s="3" t="s">
        <v>230</v>
      </c>
      <c r="N5127" s="8" t="s">
        <v>8899</v>
      </c>
      <c r="O5127" s="6" t="s">
        <v>365</v>
      </c>
      <c r="P5127" s="58">
        <v>796</v>
      </c>
      <c r="Q5127" s="27" t="s">
        <v>234</v>
      </c>
      <c r="R5127" s="27">
        <v>10</v>
      </c>
      <c r="S5127" s="59">
        <f>20000*1.07</f>
        <v>21400</v>
      </c>
      <c r="T5127" s="4">
        <f>R5127*S5127</f>
        <v>214000</v>
      </c>
      <c r="U5127" s="4">
        <f>T5127*1.12</f>
        <v>239680.00000000003</v>
      </c>
      <c r="V5127" s="3"/>
      <c r="W5127" s="3">
        <v>2014</v>
      </c>
      <c r="X5127" s="3"/>
    </row>
    <row r="5128" spans="1:24" ht="114.75">
      <c r="A5128" s="3" t="s">
        <v>2089</v>
      </c>
      <c r="B5128" s="6" t="s">
        <v>361</v>
      </c>
      <c r="C5128" s="6" t="s">
        <v>5627</v>
      </c>
      <c r="D5128" s="6" t="s">
        <v>5628</v>
      </c>
      <c r="E5128" s="6" t="s">
        <v>5629</v>
      </c>
      <c r="F5128" s="30" t="s">
        <v>6041</v>
      </c>
      <c r="G5128" s="57" t="s">
        <v>11449</v>
      </c>
      <c r="H5128" s="54">
        <v>0</v>
      </c>
      <c r="I5128" s="16">
        <v>470000000</v>
      </c>
      <c r="J5128" s="56" t="s">
        <v>229</v>
      </c>
      <c r="K5128" s="57" t="s">
        <v>641</v>
      </c>
      <c r="L5128" s="12" t="s">
        <v>404</v>
      </c>
      <c r="M5128" s="3" t="s">
        <v>230</v>
      </c>
      <c r="N5128" s="8" t="s">
        <v>8899</v>
      </c>
      <c r="O5128" s="6" t="s">
        <v>365</v>
      </c>
      <c r="P5128" s="58">
        <v>796</v>
      </c>
      <c r="Q5128" s="27" t="s">
        <v>234</v>
      </c>
      <c r="R5128" s="27">
        <v>8</v>
      </c>
      <c r="S5128" s="59">
        <f>11000*1.07</f>
        <v>11770</v>
      </c>
      <c r="T5128" s="4">
        <v>0</v>
      </c>
      <c r="U5128" s="4">
        <f t="shared" si="228"/>
        <v>0</v>
      </c>
      <c r="V5128" s="3"/>
      <c r="W5128" s="3">
        <v>2014</v>
      </c>
      <c r="X5128" s="3">
        <v>11</v>
      </c>
    </row>
    <row r="5129" spans="1:24" ht="114.75">
      <c r="A5129" s="3" t="s">
        <v>12789</v>
      </c>
      <c r="B5129" s="6" t="s">
        <v>361</v>
      </c>
      <c r="C5129" s="6" t="s">
        <v>5627</v>
      </c>
      <c r="D5129" s="6" t="s">
        <v>5628</v>
      </c>
      <c r="E5129" s="6" t="s">
        <v>5629</v>
      </c>
      <c r="F5129" s="30" t="s">
        <v>6041</v>
      </c>
      <c r="G5129" s="57" t="s">
        <v>11449</v>
      </c>
      <c r="H5129" s="54">
        <v>0</v>
      </c>
      <c r="I5129" s="16">
        <v>470000000</v>
      </c>
      <c r="J5129" s="56" t="s">
        <v>229</v>
      </c>
      <c r="K5129" s="57" t="s">
        <v>642</v>
      </c>
      <c r="L5129" s="12" t="s">
        <v>404</v>
      </c>
      <c r="M5129" s="3" t="s">
        <v>230</v>
      </c>
      <c r="N5129" s="8" t="s">
        <v>8899</v>
      </c>
      <c r="O5129" s="6" t="s">
        <v>365</v>
      </c>
      <c r="P5129" s="58">
        <v>796</v>
      </c>
      <c r="Q5129" s="27" t="s">
        <v>234</v>
      </c>
      <c r="R5129" s="27">
        <v>8</v>
      </c>
      <c r="S5129" s="59">
        <f>11000*1.07</f>
        <v>11770</v>
      </c>
      <c r="T5129" s="4">
        <f>R5129*S5129</f>
        <v>94160</v>
      </c>
      <c r="U5129" s="4">
        <f>T5129*1.12</f>
        <v>105459.20000000001</v>
      </c>
      <c r="V5129" s="3"/>
      <c r="W5129" s="3">
        <v>2014</v>
      </c>
      <c r="X5129" s="3"/>
    </row>
    <row r="5130" spans="1:24" ht="114.75">
      <c r="A5130" s="3" t="s">
        <v>2090</v>
      </c>
      <c r="B5130" s="6" t="s">
        <v>361</v>
      </c>
      <c r="C5130" s="6" t="s">
        <v>6042</v>
      </c>
      <c r="D5130" s="6" t="s">
        <v>508</v>
      </c>
      <c r="E5130" s="6" t="s">
        <v>5998</v>
      </c>
      <c r="F5130" s="8" t="s">
        <v>6043</v>
      </c>
      <c r="G5130" s="57" t="s">
        <v>11449</v>
      </c>
      <c r="H5130" s="54">
        <v>0</v>
      </c>
      <c r="I5130" s="16">
        <v>470000000</v>
      </c>
      <c r="J5130" s="56" t="s">
        <v>229</v>
      </c>
      <c r="K5130" s="57" t="s">
        <v>641</v>
      </c>
      <c r="L5130" s="12" t="s">
        <v>404</v>
      </c>
      <c r="M5130" s="3" t="s">
        <v>230</v>
      </c>
      <c r="N5130" s="8" t="s">
        <v>8899</v>
      </c>
      <c r="O5130" s="6" t="s">
        <v>365</v>
      </c>
      <c r="P5130" s="58">
        <v>796</v>
      </c>
      <c r="Q5130" s="27" t="s">
        <v>234</v>
      </c>
      <c r="R5130" s="27">
        <v>80</v>
      </c>
      <c r="S5130" s="59">
        <f>1500*1.07</f>
        <v>1605</v>
      </c>
      <c r="T5130" s="4">
        <v>0</v>
      </c>
      <c r="U5130" s="4">
        <f t="shared" si="228"/>
        <v>0</v>
      </c>
      <c r="V5130" s="3"/>
      <c r="W5130" s="3">
        <v>2014</v>
      </c>
      <c r="X5130" s="3">
        <v>11</v>
      </c>
    </row>
    <row r="5131" spans="1:24" ht="114.75">
      <c r="A5131" s="3" t="s">
        <v>12790</v>
      </c>
      <c r="B5131" s="6" t="s">
        <v>361</v>
      </c>
      <c r="C5131" s="6" t="s">
        <v>6042</v>
      </c>
      <c r="D5131" s="6" t="s">
        <v>508</v>
      </c>
      <c r="E5131" s="6" t="s">
        <v>5998</v>
      </c>
      <c r="F5131" s="8" t="s">
        <v>6043</v>
      </c>
      <c r="G5131" s="57" t="s">
        <v>11449</v>
      </c>
      <c r="H5131" s="54">
        <v>0</v>
      </c>
      <c r="I5131" s="16">
        <v>470000000</v>
      </c>
      <c r="J5131" s="56" t="s">
        <v>229</v>
      </c>
      <c r="K5131" s="57" t="s">
        <v>642</v>
      </c>
      <c r="L5131" s="12" t="s">
        <v>404</v>
      </c>
      <c r="M5131" s="3" t="s">
        <v>230</v>
      </c>
      <c r="N5131" s="8" t="s">
        <v>8899</v>
      </c>
      <c r="O5131" s="6" t="s">
        <v>365</v>
      </c>
      <c r="P5131" s="58">
        <v>796</v>
      </c>
      <c r="Q5131" s="27" t="s">
        <v>234</v>
      </c>
      <c r="R5131" s="27">
        <v>80</v>
      </c>
      <c r="S5131" s="59">
        <f>1500*1.07</f>
        <v>1605</v>
      </c>
      <c r="T5131" s="4">
        <f>R5131*S5131</f>
        <v>128400</v>
      </c>
      <c r="U5131" s="4">
        <f>T5131*1.12</f>
        <v>143808</v>
      </c>
      <c r="V5131" s="3"/>
      <c r="W5131" s="3">
        <v>2014</v>
      </c>
      <c r="X5131" s="3"/>
    </row>
    <row r="5132" spans="1:24" ht="114.75">
      <c r="A5132" s="3" t="s">
        <v>2091</v>
      </c>
      <c r="B5132" s="6" t="s">
        <v>361</v>
      </c>
      <c r="C5132" s="6" t="s">
        <v>6044</v>
      </c>
      <c r="D5132" s="6" t="s">
        <v>6045</v>
      </c>
      <c r="E5132" s="6" t="s">
        <v>6046</v>
      </c>
      <c r="F5132" s="8" t="s">
        <v>6047</v>
      </c>
      <c r="G5132" s="57" t="s">
        <v>11449</v>
      </c>
      <c r="H5132" s="54">
        <v>0</v>
      </c>
      <c r="I5132" s="16">
        <v>470000000</v>
      </c>
      <c r="J5132" s="56" t="s">
        <v>229</v>
      </c>
      <c r="K5132" s="57" t="s">
        <v>641</v>
      </c>
      <c r="L5132" s="12" t="s">
        <v>404</v>
      </c>
      <c r="M5132" s="3" t="s">
        <v>230</v>
      </c>
      <c r="N5132" s="8" t="s">
        <v>8899</v>
      </c>
      <c r="O5132" s="6" t="s">
        <v>365</v>
      </c>
      <c r="P5132" s="58">
        <v>796</v>
      </c>
      <c r="Q5132" s="27" t="s">
        <v>234</v>
      </c>
      <c r="R5132" s="27">
        <v>2</v>
      </c>
      <c r="S5132" s="59">
        <f>120000*1.07</f>
        <v>128400.00000000001</v>
      </c>
      <c r="T5132" s="4">
        <v>0</v>
      </c>
      <c r="U5132" s="4">
        <f t="shared" si="228"/>
        <v>0</v>
      </c>
      <c r="V5132" s="3"/>
      <c r="W5132" s="3">
        <v>2014</v>
      </c>
      <c r="X5132" s="3">
        <v>11</v>
      </c>
    </row>
    <row r="5133" spans="1:24" ht="114.75">
      <c r="A5133" s="3" t="s">
        <v>12791</v>
      </c>
      <c r="B5133" s="6" t="s">
        <v>361</v>
      </c>
      <c r="C5133" s="6" t="s">
        <v>6044</v>
      </c>
      <c r="D5133" s="6" t="s">
        <v>6045</v>
      </c>
      <c r="E5133" s="6" t="s">
        <v>6046</v>
      </c>
      <c r="F5133" s="8" t="s">
        <v>6047</v>
      </c>
      <c r="G5133" s="57" t="s">
        <v>11449</v>
      </c>
      <c r="H5133" s="54">
        <v>0</v>
      </c>
      <c r="I5133" s="16">
        <v>470000000</v>
      </c>
      <c r="J5133" s="56" t="s">
        <v>229</v>
      </c>
      <c r="K5133" s="57" t="s">
        <v>642</v>
      </c>
      <c r="L5133" s="12" t="s">
        <v>404</v>
      </c>
      <c r="M5133" s="3" t="s">
        <v>230</v>
      </c>
      <c r="N5133" s="8" t="s">
        <v>8899</v>
      </c>
      <c r="O5133" s="6" t="s">
        <v>365</v>
      </c>
      <c r="P5133" s="58">
        <v>796</v>
      </c>
      <c r="Q5133" s="27" t="s">
        <v>234</v>
      </c>
      <c r="R5133" s="27">
        <v>2</v>
      </c>
      <c r="S5133" s="59">
        <f>120000*1.07</f>
        <v>128400.00000000001</v>
      </c>
      <c r="T5133" s="4">
        <v>0</v>
      </c>
      <c r="U5133" s="4">
        <f>T5133*1.12</f>
        <v>0</v>
      </c>
      <c r="V5133" s="3"/>
      <c r="W5133" s="3">
        <v>2014</v>
      </c>
      <c r="X5133" s="3" t="s">
        <v>14785</v>
      </c>
    </row>
    <row r="5134" spans="1:24" ht="114.75">
      <c r="A5134" s="3" t="s">
        <v>16933</v>
      </c>
      <c r="B5134" s="6" t="s">
        <v>361</v>
      </c>
      <c r="C5134" s="6" t="s">
        <v>6044</v>
      </c>
      <c r="D5134" s="6" t="s">
        <v>6045</v>
      </c>
      <c r="E5134" s="6" t="s">
        <v>6046</v>
      </c>
      <c r="F5134" s="8" t="s">
        <v>6047</v>
      </c>
      <c r="G5134" s="3" t="s">
        <v>11449</v>
      </c>
      <c r="H5134" s="54">
        <v>0</v>
      </c>
      <c r="I5134" s="16">
        <v>470000000</v>
      </c>
      <c r="J5134" s="56" t="s">
        <v>229</v>
      </c>
      <c r="K5134" s="57" t="s">
        <v>8950</v>
      </c>
      <c r="L5134" s="12" t="s">
        <v>404</v>
      </c>
      <c r="M5134" s="3" t="s">
        <v>230</v>
      </c>
      <c r="N5134" s="8" t="s">
        <v>8899</v>
      </c>
      <c r="O5134" s="6" t="s">
        <v>365</v>
      </c>
      <c r="P5134" s="58">
        <v>796</v>
      </c>
      <c r="Q5134" s="27" t="s">
        <v>234</v>
      </c>
      <c r="R5134" s="27">
        <v>2</v>
      </c>
      <c r="S5134" s="59">
        <v>154080</v>
      </c>
      <c r="T5134" s="4">
        <f>R5134*S5134</f>
        <v>308160</v>
      </c>
      <c r="U5134" s="4">
        <f>T5134*1.12</f>
        <v>345139.20000000001</v>
      </c>
      <c r="V5134" s="3"/>
      <c r="W5134" s="3">
        <v>2014</v>
      </c>
      <c r="X5134" s="3"/>
    </row>
    <row r="5135" spans="1:24" ht="114.75">
      <c r="A5135" s="3" t="s">
        <v>2092</v>
      </c>
      <c r="B5135" s="6" t="s">
        <v>361</v>
      </c>
      <c r="C5135" s="6" t="s">
        <v>6048</v>
      </c>
      <c r="D5135" s="6" t="s">
        <v>6049</v>
      </c>
      <c r="E5135" s="6" t="s">
        <v>6046</v>
      </c>
      <c r="F5135" s="8" t="s">
        <v>6050</v>
      </c>
      <c r="G5135" s="57" t="s">
        <v>11449</v>
      </c>
      <c r="H5135" s="54">
        <v>0</v>
      </c>
      <c r="I5135" s="16">
        <v>470000000</v>
      </c>
      <c r="J5135" s="56" t="s">
        <v>229</v>
      </c>
      <c r="K5135" s="57" t="s">
        <v>641</v>
      </c>
      <c r="L5135" s="12" t="s">
        <v>404</v>
      </c>
      <c r="M5135" s="3" t="s">
        <v>230</v>
      </c>
      <c r="N5135" s="8" t="s">
        <v>8899</v>
      </c>
      <c r="O5135" s="6" t="s">
        <v>365</v>
      </c>
      <c r="P5135" s="58">
        <v>796</v>
      </c>
      <c r="Q5135" s="27" t="s">
        <v>234</v>
      </c>
      <c r="R5135" s="27">
        <v>2</v>
      </c>
      <c r="S5135" s="59">
        <f>120000*1.07</f>
        <v>128400.00000000001</v>
      </c>
      <c r="T5135" s="4">
        <v>0</v>
      </c>
      <c r="U5135" s="4">
        <f t="shared" si="228"/>
        <v>0</v>
      </c>
      <c r="V5135" s="3"/>
      <c r="W5135" s="3">
        <v>2014</v>
      </c>
      <c r="X5135" s="3">
        <v>11</v>
      </c>
    </row>
    <row r="5136" spans="1:24" ht="114.75">
      <c r="A5136" s="3" t="s">
        <v>12792</v>
      </c>
      <c r="B5136" s="6" t="s">
        <v>361</v>
      </c>
      <c r="C5136" s="6" t="s">
        <v>6048</v>
      </c>
      <c r="D5136" s="6" t="s">
        <v>6049</v>
      </c>
      <c r="E5136" s="6" t="s">
        <v>6046</v>
      </c>
      <c r="F5136" s="8" t="s">
        <v>6050</v>
      </c>
      <c r="G5136" s="57" t="s">
        <v>11449</v>
      </c>
      <c r="H5136" s="54">
        <v>0</v>
      </c>
      <c r="I5136" s="16">
        <v>470000000</v>
      </c>
      <c r="J5136" s="56" t="s">
        <v>229</v>
      </c>
      <c r="K5136" s="57" t="s">
        <v>642</v>
      </c>
      <c r="L5136" s="12" t="s">
        <v>404</v>
      </c>
      <c r="M5136" s="3" t="s">
        <v>230</v>
      </c>
      <c r="N5136" s="8" t="s">
        <v>8899</v>
      </c>
      <c r="O5136" s="6" t="s">
        <v>365</v>
      </c>
      <c r="P5136" s="58">
        <v>796</v>
      </c>
      <c r="Q5136" s="27" t="s">
        <v>234</v>
      </c>
      <c r="R5136" s="27">
        <v>2</v>
      </c>
      <c r="S5136" s="59">
        <f>120000*1.07</f>
        <v>128400.00000000001</v>
      </c>
      <c r="T5136" s="4">
        <v>0</v>
      </c>
      <c r="U5136" s="4">
        <f>T5136*1.12</f>
        <v>0</v>
      </c>
      <c r="V5136" s="3"/>
      <c r="W5136" s="3">
        <v>2014</v>
      </c>
      <c r="X5136" s="3" t="s">
        <v>14785</v>
      </c>
    </row>
    <row r="5137" spans="1:24" ht="114.75">
      <c r="A5137" s="3" t="s">
        <v>16934</v>
      </c>
      <c r="B5137" s="6" t="s">
        <v>361</v>
      </c>
      <c r="C5137" s="6" t="s">
        <v>6048</v>
      </c>
      <c r="D5137" s="6" t="s">
        <v>6049</v>
      </c>
      <c r="E5137" s="6" t="s">
        <v>6046</v>
      </c>
      <c r="F5137" s="8" t="s">
        <v>6050</v>
      </c>
      <c r="G5137" s="3" t="s">
        <v>11449</v>
      </c>
      <c r="H5137" s="54">
        <v>0</v>
      </c>
      <c r="I5137" s="16">
        <v>470000000</v>
      </c>
      <c r="J5137" s="56" t="s">
        <v>229</v>
      </c>
      <c r="K5137" s="57" t="s">
        <v>8950</v>
      </c>
      <c r="L5137" s="12" t="s">
        <v>404</v>
      </c>
      <c r="M5137" s="3" t="s">
        <v>230</v>
      </c>
      <c r="N5137" s="8" t="s">
        <v>8899</v>
      </c>
      <c r="O5137" s="6" t="s">
        <v>365</v>
      </c>
      <c r="P5137" s="58">
        <v>796</v>
      </c>
      <c r="Q5137" s="27" t="s">
        <v>234</v>
      </c>
      <c r="R5137" s="27">
        <v>2</v>
      </c>
      <c r="S5137" s="59">
        <v>154080</v>
      </c>
      <c r="T5137" s="4">
        <f>R5137*S5137</f>
        <v>308160</v>
      </c>
      <c r="U5137" s="4">
        <f>T5137*1.12</f>
        <v>345139.20000000001</v>
      </c>
      <c r="V5137" s="3"/>
      <c r="W5137" s="3">
        <v>2014</v>
      </c>
      <c r="X5137" s="3"/>
    </row>
    <row r="5138" spans="1:24" ht="114.75">
      <c r="A5138" s="3" t="s">
        <v>2093</v>
      </c>
      <c r="B5138" s="6" t="s">
        <v>361</v>
      </c>
      <c r="C5138" s="6" t="s">
        <v>6051</v>
      </c>
      <c r="D5138" s="6" t="s">
        <v>5416</v>
      </c>
      <c r="E5138" s="6" t="s">
        <v>5998</v>
      </c>
      <c r="F5138" s="8" t="s">
        <v>6052</v>
      </c>
      <c r="G5138" s="57" t="s">
        <v>11449</v>
      </c>
      <c r="H5138" s="54">
        <v>0</v>
      </c>
      <c r="I5138" s="16">
        <v>470000000</v>
      </c>
      <c r="J5138" s="56" t="s">
        <v>229</v>
      </c>
      <c r="K5138" s="57" t="s">
        <v>641</v>
      </c>
      <c r="L5138" s="12" t="s">
        <v>404</v>
      </c>
      <c r="M5138" s="3" t="s">
        <v>230</v>
      </c>
      <c r="N5138" s="8" t="s">
        <v>8899</v>
      </c>
      <c r="O5138" s="6" t="s">
        <v>365</v>
      </c>
      <c r="P5138" s="58">
        <v>796</v>
      </c>
      <c r="Q5138" s="27" t="s">
        <v>234</v>
      </c>
      <c r="R5138" s="27">
        <v>20</v>
      </c>
      <c r="S5138" s="59">
        <f>2500*1.07</f>
        <v>2675</v>
      </c>
      <c r="T5138" s="4">
        <v>0</v>
      </c>
      <c r="U5138" s="4">
        <f t="shared" si="228"/>
        <v>0</v>
      </c>
      <c r="V5138" s="3"/>
      <c r="W5138" s="3">
        <v>2014</v>
      </c>
      <c r="X5138" s="3">
        <v>11</v>
      </c>
    </row>
    <row r="5139" spans="1:24" ht="114.75">
      <c r="A5139" s="3" t="s">
        <v>12793</v>
      </c>
      <c r="B5139" s="6" t="s">
        <v>361</v>
      </c>
      <c r="C5139" s="6" t="s">
        <v>6051</v>
      </c>
      <c r="D5139" s="6" t="s">
        <v>5416</v>
      </c>
      <c r="E5139" s="6" t="s">
        <v>5998</v>
      </c>
      <c r="F5139" s="8" t="s">
        <v>6052</v>
      </c>
      <c r="G5139" s="57" t="s">
        <v>11449</v>
      </c>
      <c r="H5139" s="54">
        <v>0</v>
      </c>
      <c r="I5139" s="16">
        <v>470000000</v>
      </c>
      <c r="J5139" s="56" t="s">
        <v>229</v>
      </c>
      <c r="K5139" s="57" t="s">
        <v>642</v>
      </c>
      <c r="L5139" s="12" t="s">
        <v>404</v>
      </c>
      <c r="M5139" s="3" t="s">
        <v>230</v>
      </c>
      <c r="N5139" s="8" t="s">
        <v>8899</v>
      </c>
      <c r="O5139" s="6" t="s">
        <v>365</v>
      </c>
      <c r="P5139" s="58">
        <v>796</v>
      </c>
      <c r="Q5139" s="27" t="s">
        <v>234</v>
      </c>
      <c r="R5139" s="27">
        <v>20</v>
      </c>
      <c r="S5139" s="59">
        <f>2500*1.07</f>
        <v>2675</v>
      </c>
      <c r="T5139" s="4">
        <f>R5139*S5139</f>
        <v>53500</v>
      </c>
      <c r="U5139" s="4">
        <f>T5139*1.12</f>
        <v>59920.000000000007</v>
      </c>
      <c r="V5139" s="3"/>
      <c r="W5139" s="3">
        <v>2014</v>
      </c>
      <c r="X5139" s="3"/>
    </row>
    <row r="5140" spans="1:24" ht="114.75">
      <c r="A5140" s="3" t="s">
        <v>2094</v>
      </c>
      <c r="B5140" s="6" t="s">
        <v>361</v>
      </c>
      <c r="C5140" s="6" t="s">
        <v>6053</v>
      </c>
      <c r="D5140" s="6" t="s">
        <v>411</v>
      </c>
      <c r="E5140" s="6" t="s">
        <v>6054</v>
      </c>
      <c r="F5140" s="8" t="s">
        <v>6055</v>
      </c>
      <c r="G5140" s="57" t="s">
        <v>11449</v>
      </c>
      <c r="H5140" s="54">
        <v>0</v>
      </c>
      <c r="I5140" s="16">
        <v>470000000</v>
      </c>
      <c r="J5140" s="56" t="s">
        <v>229</v>
      </c>
      <c r="K5140" s="57" t="s">
        <v>641</v>
      </c>
      <c r="L5140" s="12" t="s">
        <v>404</v>
      </c>
      <c r="M5140" s="3" t="s">
        <v>230</v>
      </c>
      <c r="N5140" s="8" t="s">
        <v>8899</v>
      </c>
      <c r="O5140" s="6" t="s">
        <v>365</v>
      </c>
      <c r="P5140" s="58">
        <v>796</v>
      </c>
      <c r="Q5140" s="27" t="s">
        <v>234</v>
      </c>
      <c r="R5140" s="27">
        <v>6</v>
      </c>
      <c r="S5140" s="59">
        <f>11000*1.07</f>
        <v>11770</v>
      </c>
      <c r="T5140" s="4">
        <v>0</v>
      </c>
      <c r="U5140" s="4">
        <f t="shared" si="228"/>
        <v>0</v>
      </c>
      <c r="V5140" s="3"/>
      <c r="W5140" s="3">
        <v>2014</v>
      </c>
      <c r="X5140" s="3">
        <v>11</v>
      </c>
    </row>
    <row r="5141" spans="1:24" ht="114.75">
      <c r="A5141" s="3" t="s">
        <v>12794</v>
      </c>
      <c r="B5141" s="6" t="s">
        <v>361</v>
      </c>
      <c r="C5141" s="6" t="s">
        <v>6053</v>
      </c>
      <c r="D5141" s="6" t="s">
        <v>411</v>
      </c>
      <c r="E5141" s="6" t="s">
        <v>6054</v>
      </c>
      <c r="F5141" s="8" t="s">
        <v>6055</v>
      </c>
      <c r="G5141" s="57" t="s">
        <v>11449</v>
      </c>
      <c r="H5141" s="54">
        <v>0</v>
      </c>
      <c r="I5141" s="16">
        <v>470000000</v>
      </c>
      <c r="J5141" s="56" t="s">
        <v>229</v>
      </c>
      <c r="K5141" s="57" t="s">
        <v>642</v>
      </c>
      <c r="L5141" s="12" t="s">
        <v>404</v>
      </c>
      <c r="M5141" s="3" t="s">
        <v>230</v>
      </c>
      <c r="N5141" s="8" t="s">
        <v>8899</v>
      </c>
      <c r="O5141" s="6" t="s">
        <v>365</v>
      </c>
      <c r="P5141" s="58">
        <v>796</v>
      </c>
      <c r="Q5141" s="27" t="s">
        <v>234</v>
      </c>
      <c r="R5141" s="27">
        <v>6</v>
      </c>
      <c r="S5141" s="59">
        <f>11000*1.07</f>
        <v>11770</v>
      </c>
      <c r="T5141" s="4">
        <f>R5141*S5141</f>
        <v>70620</v>
      </c>
      <c r="U5141" s="4">
        <f>T5141*1.12</f>
        <v>79094.400000000009</v>
      </c>
      <c r="V5141" s="3"/>
      <c r="W5141" s="3">
        <v>2014</v>
      </c>
      <c r="X5141" s="3"/>
    </row>
    <row r="5142" spans="1:24" ht="114.75">
      <c r="A5142" s="3" t="s">
        <v>2095</v>
      </c>
      <c r="B5142" s="6" t="s">
        <v>361</v>
      </c>
      <c r="C5142" s="6" t="s">
        <v>6056</v>
      </c>
      <c r="D5142" s="6" t="s">
        <v>5430</v>
      </c>
      <c r="E5142" s="6" t="s">
        <v>6057</v>
      </c>
      <c r="F5142" s="9" t="s">
        <v>6058</v>
      </c>
      <c r="G5142" s="57" t="s">
        <v>11449</v>
      </c>
      <c r="H5142" s="54">
        <v>0</v>
      </c>
      <c r="I5142" s="16">
        <v>470000000</v>
      </c>
      <c r="J5142" s="56" t="s">
        <v>229</v>
      </c>
      <c r="K5142" s="57" t="s">
        <v>641</v>
      </c>
      <c r="L5142" s="12" t="s">
        <v>404</v>
      </c>
      <c r="M5142" s="3" t="s">
        <v>230</v>
      </c>
      <c r="N5142" s="8" t="s">
        <v>8899</v>
      </c>
      <c r="O5142" s="6" t="s">
        <v>365</v>
      </c>
      <c r="P5142" s="58">
        <v>796</v>
      </c>
      <c r="Q5142" s="27" t="s">
        <v>234</v>
      </c>
      <c r="R5142" s="27">
        <v>4</v>
      </c>
      <c r="S5142" s="59">
        <f>20000*1.07</f>
        <v>21400</v>
      </c>
      <c r="T5142" s="4">
        <v>0</v>
      </c>
      <c r="U5142" s="4">
        <f t="shared" si="228"/>
        <v>0</v>
      </c>
      <c r="V5142" s="3"/>
      <c r="W5142" s="3">
        <v>2014</v>
      </c>
      <c r="X5142" s="3">
        <v>11</v>
      </c>
    </row>
    <row r="5143" spans="1:24" ht="114.75">
      <c r="A5143" s="3" t="s">
        <v>12795</v>
      </c>
      <c r="B5143" s="6" t="s">
        <v>361</v>
      </c>
      <c r="C5143" s="6" t="s">
        <v>6056</v>
      </c>
      <c r="D5143" s="6" t="s">
        <v>5430</v>
      </c>
      <c r="E5143" s="6" t="s">
        <v>6057</v>
      </c>
      <c r="F5143" s="9" t="s">
        <v>6058</v>
      </c>
      <c r="G5143" s="57" t="s">
        <v>11449</v>
      </c>
      <c r="H5143" s="54">
        <v>0</v>
      </c>
      <c r="I5143" s="16">
        <v>470000000</v>
      </c>
      <c r="J5143" s="56" t="s">
        <v>229</v>
      </c>
      <c r="K5143" s="57" t="s">
        <v>642</v>
      </c>
      <c r="L5143" s="12" t="s">
        <v>404</v>
      </c>
      <c r="M5143" s="3" t="s">
        <v>230</v>
      </c>
      <c r="N5143" s="8" t="s">
        <v>8899</v>
      </c>
      <c r="O5143" s="6" t="s">
        <v>365</v>
      </c>
      <c r="P5143" s="58">
        <v>796</v>
      </c>
      <c r="Q5143" s="27" t="s">
        <v>234</v>
      </c>
      <c r="R5143" s="27">
        <v>4</v>
      </c>
      <c r="S5143" s="59">
        <f>20000*1.07</f>
        <v>21400</v>
      </c>
      <c r="T5143" s="4">
        <f>R5143*S5143</f>
        <v>85600</v>
      </c>
      <c r="U5143" s="4">
        <f>T5143*1.12</f>
        <v>95872.000000000015</v>
      </c>
      <c r="V5143" s="3"/>
      <c r="W5143" s="3">
        <v>2014</v>
      </c>
      <c r="X5143" s="3"/>
    </row>
    <row r="5144" spans="1:24" ht="114.75">
      <c r="A5144" s="3" t="s">
        <v>2096</v>
      </c>
      <c r="B5144" s="6" t="s">
        <v>361</v>
      </c>
      <c r="C5144" s="6" t="s">
        <v>6059</v>
      </c>
      <c r="D5144" s="6" t="s">
        <v>444</v>
      </c>
      <c r="E5144" s="6" t="s">
        <v>5998</v>
      </c>
      <c r="F5144" s="30" t="s">
        <v>6060</v>
      </c>
      <c r="G5144" s="57" t="s">
        <v>11449</v>
      </c>
      <c r="H5144" s="54">
        <v>0</v>
      </c>
      <c r="I5144" s="16">
        <v>470000000</v>
      </c>
      <c r="J5144" s="56" t="s">
        <v>229</v>
      </c>
      <c r="K5144" s="57" t="s">
        <v>641</v>
      </c>
      <c r="L5144" s="12" t="s">
        <v>404</v>
      </c>
      <c r="M5144" s="3" t="s">
        <v>230</v>
      </c>
      <c r="N5144" s="8" t="s">
        <v>8899</v>
      </c>
      <c r="O5144" s="6" t="s">
        <v>365</v>
      </c>
      <c r="P5144" s="58">
        <v>796</v>
      </c>
      <c r="Q5144" s="27" t="s">
        <v>234</v>
      </c>
      <c r="R5144" s="27">
        <v>8</v>
      </c>
      <c r="S5144" s="59">
        <v>21779</v>
      </c>
      <c r="T5144" s="4">
        <v>0</v>
      </c>
      <c r="U5144" s="4">
        <f t="shared" si="228"/>
        <v>0</v>
      </c>
      <c r="V5144" s="3"/>
      <c r="W5144" s="3">
        <v>2014</v>
      </c>
      <c r="X5144" s="3">
        <v>11</v>
      </c>
    </row>
    <row r="5145" spans="1:24" ht="114.75">
      <c r="A5145" s="3" t="s">
        <v>12796</v>
      </c>
      <c r="B5145" s="6" t="s">
        <v>361</v>
      </c>
      <c r="C5145" s="6" t="s">
        <v>6059</v>
      </c>
      <c r="D5145" s="6" t="s">
        <v>444</v>
      </c>
      <c r="E5145" s="6" t="s">
        <v>5998</v>
      </c>
      <c r="F5145" s="30" t="s">
        <v>6060</v>
      </c>
      <c r="G5145" s="57" t="s">
        <v>11449</v>
      </c>
      <c r="H5145" s="54">
        <v>0</v>
      </c>
      <c r="I5145" s="16">
        <v>470000000</v>
      </c>
      <c r="J5145" s="56" t="s">
        <v>229</v>
      </c>
      <c r="K5145" s="57" t="s">
        <v>642</v>
      </c>
      <c r="L5145" s="12" t="s">
        <v>404</v>
      </c>
      <c r="M5145" s="3" t="s">
        <v>230</v>
      </c>
      <c r="N5145" s="8" t="s">
        <v>8899</v>
      </c>
      <c r="O5145" s="6" t="s">
        <v>365</v>
      </c>
      <c r="P5145" s="58">
        <v>796</v>
      </c>
      <c r="Q5145" s="27" t="s">
        <v>234</v>
      </c>
      <c r="R5145" s="27">
        <v>8</v>
      </c>
      <c r="S5145" s="59">
        <v>21779</v>
      </c>
      <c r="T5145" s="4">
        <f>R5145*S5145</f>
        <v>174232</v>
      </c>
      <c r="U5145" s="4">
        <f>T5145*1.12</f>
        <v>195139.84000000003</v>
      </c>
      <c r="V5145" s="3"/>
      <c r="W5145" s="3">
        <v>2014</v>
      </c>
      <c r="X5145" s="3"/>
    </row>
    <row r="5146" spans="1:24" ht="114.75">
      <c r="A5146" s="3" t="s">
        <v>2097</v>
      </c>
      <c r="B5146" s="6" t="s">
        <v>361</v>
      </c>
      <c r="C5146" s="6" t="s">
        <v>6059</v>
      </c>
      <c r="D5146" s="6" t="s">
        <v>444</v>
      </c>
      <c r="E5146" s="6" t="s">
        <v>5998</v>
      </c>
      <c r="F5146" s="30" t="s">
        <v>6061</v>
      </c>
      <c r="G5146" s="57" t="s">
        <v>11449</v>
      </c>
      <c r="H5146" s="54">
        <v>0</v>
      </c>
      <c r="I5146" s="16">
        <v>470000000</v>
      </c>
      <c r="J5146" s="56" t="s">
        <v>229</v>
      </c>
      <c r="K5146" s="57" t="s">
        <v>641</v>
      </c>
      <c r="L5146" s="12" t="s">
        <v>404</v>
      </c>
      <c r="M5146" s="3" t="s">
        <v>230</v>
      </c>
      <c r="N5146" s="8" t="s">
        <v>8899</v>
      </c>
      <c r="O5146" s="6" t="s">
        <v>365</v>
      </c>
      <c r="P5146" s="58">
        <v>796</v>
      </c>
      <c r="Q5146" s="27" t="s">
        <v>234</v>
      </c>
      <c r="R5146" s="27">
        <v>8</v>
      </c>
      <c r="S5146" s="59">
        <v>20281</v>
      </c>
      <c r="T5146" s="4">
        <v>0</v>
      </c>
      <c r="U5146" s="4">
        <f t="shared" si="228"/>
        <v>0</v>
      </c>
      <c r="V5146" s="3"/>
      <c r="W5146" s="3">
        <v>2014</v>
      </c>
      <c r="X5146" s="3">
        <v>11</v>
      </c>
    </row>
    <row r="5147" spans="1:24" ht="114.75">
      <c r="A5147" s="3" t="s">
        <v>12797</v>
      </c>
      <c r="B5147" s="6" t="s">
        <v>361</v>
      </c>
      <c r="C5147" s="6" t="s">
        <v>6059</v>
      </c>
      <c r="D5147" s="6" t="s">
        <v>444</v>
      </c>
      <c r="E5147" s="6" t="s">
        <v>5998</v>
      </c>
      <c r="F5147" s="30" t="s">
        <v>6061</v>
      </c>
      <c r="G5147" s="57" t="s">
        <v>11449</v>
      </c>
      <c r="H5147" s="54">
        <v>0</v>
      </c>
      <c r="I5147" s="16">
        <v>470000000</v>
      </c>
      <c r="J5147" s="56" t="s">
        <v>229</v>
      </c>
      <c r="K5147" s="57" t="s">
        <v>642</v>
      </c>
      <c r="L5147" s="12" t="s">
        <v>404</v>
      </c>
      <c r="M5147" s="3" t="s">
        <v>230</v>
      </c>
      <c r="N5147" s="8" t="s">
        <v>8899</v>
      </c>
      <c r="O5147" s="6" t="s">
        <v>365</v>
      </c>
      <c r="P5147" s="58">
        <v>796</v>
      </c>
      <c r="Q5147" s="27" t="s">
        <v>234</v>
      </c>
      <c r="R5147" s="27">
        <v>8</v>
      </c>
      <c r="S5147" s="59">
        <v>20281</v>
      </c>
      <c r="T5147" s="4">
        <f>R5147*S5147</f>
        <v>162248</v>
      </c>
      <c r="U5147" s="4">
        <f>T5147*1.12</f>
        <v>181717.76000000001</v>
      </c>
      <c r="V5147" s="3"/>
      <c r="W5147" s="3">
        <v>2014</v>
      </c>
      <c r="X5147" s="3"/>
    </row>
    <row r="5148" spans="1:24" ht="114.75">
      <c r="A5148" s="3" t="s">
        <v>2098</v>
      </c>
      <c r="B5148" s="6" t="s">
        <v>361</v>
      </c>
      <c r="C5148" s="6" t="s">
        <v>6059</v>
      </c>
      <c r="D5148" s="6" t="s">
        <v>444</v>
      </c>
      <c r="E5148" s="6" t="s">
        <v>5998</v>
      </c>
      <c r="F5148" s="30" t="s">
        <v>6062</v>
      </c>
      <c r="G5148" s="57" t="s">
        <v>11449</v>
      </c>
      <c r="H5148" s="54">
        <v>0</v>
      </c>
      <c r="I5148" s="16">
        <v>470000000</v>
      </c>
      <c r="J5148" s="56" t="s">
        <v>229</v>
      </c>
      <c r="K5148" s="57" t="s">
        <v>641</v>
      </c>
      <c r="L5148" s="12" t="s">
        <v>404</v>
      </c>
      <c r="M5148" s="3" t="s">
        <v>230</v>
      </c>
      <c r="N5148" s="8" t="s">
        <v>8899</v>
      </c>
      <c r="O5148" s="6" t="s">
        <v>365</v>
      </c>
      <c r="P5148" s="58">
        <v>796</v>
      </c>
      <c r="Q5148" s="27" t="s">
        <v>234</v>
      </c>
      <c r="R5148" s="27">
        <v>8</v>
      </c>
      <c r="S5148" s="59">
        <v>25575</v>
      </c>
      <c r="T5148" s="4">
        <v>0</v>
      </c>
      <c r="U5148" s="4">
        <f t="shared" si="228"/>
        <v>0</v>
      </c>
      <c r="V5148" s="3"/>
      <c r="W5148" s="3">
        <v>2014</v>
      </c>
      <c r="X5148" s="3">
        <v>11</v>
      </c>
    </row>
    <row r="5149" spans="1:24" ht="114.75">
      <c r="A5149" s="3" t="s">
        <v>12798</v>
      </c>
      <c r="B5149" s="6" t="s">
        <v>361</v>
      </c>
      <c r="C5149" s="6" t="s">
        <v>6059</v>
      </c>
      <c r="D5149" s="6" t="s">
        <v>444</v>
      </c>
      <c r="E5149" s="6" t="s">
        <v>5998</v>
      </c>
      <c r="F5149" s="30" t="s">
        <v>6062</v>
      </c>
      <c r="G5149" s="57" t="s">
        <v>11449</v>
      </c>
      <c r="H5149" s="54">
        <v>0</v>
      </c>
      <c r="I5149" s="16">
        <v>470000000</v>
      </c>
      <c r="J5149" s="56" t="s">
        <v>229</v>
      </c>
      <c r="K5149" s="57" t="s">
        <v>642</v>
      </c>
      <c r="L5149" s="12" t="s">
        <v>404</v>
      </c>
      <c r="M5149" s="3" t="s">
        <v>230</v>
      </c>
      <c r="N5149" s="8" t="s">
        <v>8899</v>
      </c>
      <c r="O5149" s="6" t="s">
        <v>365</v>
      </c>
      <c r="P5149" s="58">
        <v>796</v>
      </c>
      <c r="Q5149" s="27" t="s">
        <v>234</v>
      </c>
      <c r="R5149" s="27">
        <v>8</v>
      </c>
      <c r="S5149" s="59">
        <v>25575</v>
      </c>
      <c r="T5149" s="4">
        <f>R5149*S5149</f>
        <v>204600</v>
      </c>
      <c r="U5149" s="4">
        <f>T5149*1.12</f>
        <v>229152.00000000003</v>
      </c>
      <c r="V5149" s="3"/>
      <c r="W5149" s="3">
        <v>2014</v>
      </c>
      <c r="X5149" s="3"/>
    </row>
    <row r="5150" spans="1:24" ht="114.75">
      <c r="A5150" s="3" t="s">
        <v>2099</v>
      </c>
      <c r="B5150" s="6" t="s">
        <v>361</v>
      </c>
      <c r="C5150" s="6" t="s">
        <v>6059</v>
      </c>
      <c r="D5150" s="6" t="s">
        <v>444</v>
      </c>
      <c r="E5150" s="6" t="s">
        <v>5998</v>
      </c>
      <c r="F5150" s="30" t="s">
        <v>6063</v>
      </c>
      <c r="G5150" s="57" t="s">
        <v>11449</v>
      </c>
      <c r="H5150" s="54">
        <v>0</v>
      </c>
      <c r="I5150" s="16">
        <v>470000000</v>
      </c>
      <c r="J5150" s="56" t="s">
        <v>229</v>
      </c>
      <c r="K5150" s="57" t="s">
        <v>641</v>
      </c>
      <c r="L5150" s="12" t="s">
        <v>404</v>
      </c>
      <c r="M5150" s="3" t="s">
        <v>230</v>
      </c>
      <c r="N5150" s="8" t="s">
        <v>8899</v>
      </c>
      <c r="O5150" s="6" t="s">
        <v>365</v>
      </c>
      <c r="P5150" s="58">
        <v>796</v>
      </c>
      <c r="Q5150" s="27" t="s">
        <v>234</v>
      </c>
      <c r="R5150" s="27">
        <v>8</v>
      </c>
      <c r="S5150" s="59">
        <v>25575</v>
      </c>
      <c r="T5150" s="4">
        <v>0</v>
      </c>
      <c r="U5150" s="4">
        <f t="shared" si="228"/>
        <v>0</v>
      </c>
      <c r="V5150" s="3"/>
      <c r="W5150" s="3">
        <v>2014</v>
      </c>
      <c r="X5150" s="3">
        <v>11</v>
      </c>
    </row>
    <row r="5151" spans="1:24" ht="114.75">
      <c r="A5151" s="3" t="s">
        <v>12799</v>
      </c>
      <c r="B5151" s="6" t="s">
        <v>361</v>
      </c>
      <c r="C5151" s="6" t="s">
        <v>6059</v>
      </c>
      <c r="D5151" s="6" t="s">
        <v>444</v>
      </c>
      <c r="E5151" s="6" t="s">
        <v>5998</v>
      </c>
      <c r="F5151" s="30" t="s">
        <v>6063</v>
      </c>
      <c r="G5151" s="57" t="s">
        <v>11449</v>
      </c>
      <c r="H5151" s="54">
        <v>0</v>
      </c>
      <c r="I5151" s="16">
        <v>470000000</v>
      </c>
      <c r="J5151" s="56" t="s">
        <v>229</v>
      </c>
      <c r="K5151" s="57" t="s">
        <v>642</v>
      </c>
      <c r="L5151" s="12" t="s">
        <v>404</v>
      </c>
      <c r="M5151" s="3" t="s">
        <v>230</v>
      </c>
      <c r="N5151" s="8" t="s">
        <v>8899</v>
      </c>
      <c r="O5151" s="6" t="s">
        <v>365</v>
      </c>
      <c r="P5151" s="58">
        <v>796</v>
      </c>
      <c r="Q5151" s="27" t="s">
        <v>234</v>
      </c>
      <c r="R5151" s="27">
        <v>8</v>
      </c>
      <c r="S5151" s="59">
        <v>25575</v>
      </c>
      <c r="T5151" s="4">
        <f>R5151*S5151</f>
        <v>204600</v>
      </c>
      <c r="U5151" s="4">
        <f>T5151*1.12</f>
        <v>229152.00000000003</v>
      </c>
      <c r="V5151" s="3"/>
      <c r="W5151" s="3">
        <v>2014</v>
      </c>
      <c r="X5151" s="3"/>
    </row>
    <row r="5152" spans="1:24" ht="114.75">
      <c r="A5152" s="3" t="s">
        <v>2100</v>
      </c>
      <c r="B5152" s="6" t="s">
        <v>361</v>
      </c>
      <c r="C5152" s="6" t="s">
        <v>6064</v>
      </c>
      <c r="D5152" s="6" t="s">
        <v>5703</v>
      </c>
      <c r="E5152" s="6" t="s">
        <v>5998</v>
      </c>
      <c r="F5152" s="8" t="s">
        <v>6065</v>
      </c>
      <c r="G5152" s="57" t="s">
        <v>11449</v>
      </c>
      <c r="H5152" s="54">
        <v>0</v>
      </c>
      <c r="I5152" s="16">
        <v>470000000</v>
      </c>
      <c r="J5152" s="56" t="s">
        <v>229</v>
      </c>
      <c r="K5152" s="57" t="s">
        <v>641</v>
      </c>
      <c r="L5152" s="12" t="s">
        <v>404</v>
      </c>
      <c r="M5152" s="3" t="s">
        <v>230</v>
      </c>
      <c r="N5152" s="8" t="s">
        <v>8899</v>
      </c>
      <c r="O5152" s="6" t="s">
        <v>365</v>
      </c>
      <c r="P5152" s="58">
        <v>796</v>
      </c>
      <c r="Q5152" s="27" t="s">
        <v>234</v>
      </c>
      <c r="R5152" s="27">
        <v>20</v>
      </c>
      <c r="S5152" s="59">
        <f>6000*1.07</f>
        <v>6420</v>
      </c>
      <c r="T5152" s="4">
        <v>0</v>
      </c>
      <c r="U5152" s="4">
        <f t="shared" si="228"/>
        <v>0</v>
      </c>
      <c r="V5152" s="3"/>
      <c r="W5152" s="3">
        <v>2014</v>
      </c>
      <c r="X5152" s="3">
        <v>11</v>
      </c>
    </row>
    <row r="5153" spans="1:24" ht="114.75">
      <c r="A5153" s="3" t="s">
        <v>12800</v>
      </c>
      <c r="B5153" s="6" t="s">
        <v>361</v>
      </c>
      <c r="C5153" s="6" t="s">
        <v>6064</v>
      </c>
      <c r="D5153" s="6" t="s">
        <v>5703</v>
      </c>
      <c r="E5153" s="6" t="s">
        <v>5998</v>
      </c>
      <c r="F5153" s="8" t="s">
        <v>6065</v>
      </c>
      <c r="G5153" s="57" t="s">
        <v>11449</v>
      </c>
      <c r="H5153" s="54">
        <v>0</v>
      </c>
      <c r="I5153" s="16">
        <v>470000000</v>
      </c>
      <c r="J5153" s="56" t="s">
        <v>229</v>
      </c>
      <c r="K5153" s="57" t="s">
        <v>642</v>
      </c>
      <c r="L5153" s="12" t="s">
        <v>404</v>
      </c>
      <c r="M5153" s="3" t="s">
        <v>230</v>
      </c>
      <c r="N5153" s="8" t="s">
        <v>8899</v>
      </c>
      <c r="O5153" s="6" t="s">
        <v>365</v>
      </c>
      <c r="P5153" s="58">
        <v>796</v>
      </c>
      <c r="Q5153" s="27" t="s">
        <v>234</v>
      </c>
      <c r="R5153" s="27">
        <v>20</v>
      </c>
      <c r="S5153" s="59">
        <f>6000*1.07</f>
        <v>6420</v>
      </c>
      <c r="T5153" s="4">
        <f>R5153*S5153</f>
        <v>128400</v>
      </c>
      <c r="U5153" s="4">
        <f>T5153*1.12</f>
        <v>143808</v>
      </c>
      <c r="V5153" s="3"/>
      <c r="W5153" s="3">
        <v>2014</v>
      </c>
      <c r="X5153" s="3"/>
    </row>
    <row r="5154" spans="1:24" ht="114.75">
      <c r="A5154" s="3" t="s">
        <v>2101</v>
      </c>
      <c r="B5154" s="6" t="s">
        <v>361</v>
      </c>
      <c r="C5154" s="6" t="s">
        <v>6066</v>
      </c>
      <c r="D5154" s="6" t="s">
        <v>6067</v>
      </c>
      <c r="E5154" s="6" t="s">
        <v>6068</v>
      </c>
      <c r="F5154" s="8" t="s">
        <v>6069</v>
      </c>
      <c r="G5154" s="57" t="s">
        <v>11449</v>
      </c>
      <c r="H5154" s="54">
        <v>0</v>
      </c>
      <c r="I5154" s="16">
        <v>470000000</v>
      </c>
      <c r="J5154" s="56" t="s">
        <v>229</v>
      </c>
      <c r="K5154" s="57" t="s">
        <v>641</v>
      </c>
      <c r="L5154" s="12" t="s">
        <v>404</v>
      </c>
      <c r="M5154" s="3" t="s">
        <v>230</v>
      </c>
      <c r="N5154" s="8" t="s">
        <v>8899</v>
      </c>
      <c r="O5154" s="6" t="s">
        <v>365</v>
      </c>
      <c r="P5154" s="58">
        <v>796</v>
      </c>
      <c r="Q5154" s="27" t="s">
        <v>234</v>
      </c>
      <c r="R5154" s="27">
        <v>10</v>
      </c>
      <c r="S5154" s="59">
        <f>1200*1.07</f>
        <v>1284</v>
      </c>
      <c r="T5154" s="4">
        <v>0</v>
      </c>
      <c r="U5154" s="4">
        <f t="shared" si="228"/>
        <v>0</v>
      </c>
      <c r="V5154" s="3"/>
      <c r="W5154" s="3">
        <v>2014</v>
      </c>
      <c r="X5154" s="3">
        <v>11</v>
      </c>
    </row>
    <row r="5155" spans="1:24" ht="114.75">
      <c r="A5155" s="3" t="s">
        <v>12801</v>
      </c>
      <c r="B5155" s="6" t="s">
        <v>361</v>
      </c>
      <c r="C5155" s="6" t="s">
        <v>6066</v>
      </c>
      <c r="D5155" s="6" t="s">
        <v>6067</v>
      </c>
      <c r="E5155" s="6" t="s">
        <v>6068</v>
      </c>
      <c r="F5155" s="8" t="s">
        <v>6069</v>
      </c>
      <c r="G5155" s="57" t="s">
        <v>11449</v>
      </c>
      <c r="H5155" s="54">
        <v>0</v>
      </c>
      <c r="I5155" s="16">
        <v>470000000</v>
      </c>
      <c r="J5155" s="56" t="s">
        <v>229</v>
      </c>
      <c r="K5155" s="57" t="s">
        <v>642</v>
      </c>
      <c r="L5155" s="12" t="s">
        <v>404</v>
      </c>
      <c r="M5155" s="3" t="s">
        <v>230</v>
      </c>
      <c r="N5155" s="8" t="s">
        <v>8899</v>
      </c>
      <c r="O5155" s="6" t="s">
        <v>365</v>
      </c>
      <c r="P5155" s="58">
        <v>796</v>
      </c>
      <c r="Q5155" s="27" t="s">
        <v>234</v>
      </c>
      <c r="R5155" s="27">
        <v>10</v>
      </c>
      <c r="S5155" s="59">
        <f>1200*1.07</f>
        <v>1284</v>
      </c>
      <c r="T5155" s="4">
        <f>R5155*S5155</f>
        <v>12840</v>
      </c>
      <c r="U5155" s="4">
        <f>T5155*1.12</f>
        <v>14380.800000000001</v>
      </c>
      <c r="V5155" s="3"/>
      <c r="W5155" s="3">
        <v>2014</v>
      </c>
      <c r="X5155" s="3"/>
    </row>
    <row r="5156" spans="1:24" ht="114.75">
      <c r="A5156" s="3" t="s">
        <v>2102</v>
      </c>
      <c r="B5156" s="6" t="s">
        <v>361</v>
      </c>
      <c r="C5156" s="6" t="s">
        <v>6066</v>
      </c>
      <c r="D5156" s="6" t="s">
        <v>6067</v>
      </c>
      <c r="E5156" s="6" t="s">
        <v>6068</v>
      </c>
      <c r="F5156" s="8" t="s">
        <v>6070</v>
      </c>
      <c r="G5156" s="57" t="s">
        <v>11449</v>
      </c>
      <c r="H5156" s="54">
        <v>0</v>
      </c>
      <c r="I5156" s="16">
        <v>470000000</v>
      </c>
      <c r="J5156" s="56" t="s">
        <v>229</v>
      </c>
      <c r="K5156" s="57" t="s">
        <v>641</v>
      </c>
      <c r="L5156" s="12" t="s">
        <v>404</v>
      </c>
      <c r="M5156" s="3" t="s">
        <v>230</v>
      </c>
      <c r="N5156" s="8" t="s">
        <v>8899</v>
      </c>
      <c r="O5156" s="6" t="s">
        <v>365</v>
      </c>
      <c r="P5156" s="58">
        <v>796</v>
      </c>
      <c r="Q5156" s="27" t="s">
        <v>234</v>
      </c>
      <c r="R5156" s="27">
        <v>10</v>
      </c>
      <c r="S5156" s="59">
        <v>1098</v>
      </c>
      <c r="T5156" s="4">
        <v>0</v>
      </c>
      <c r="U5156" s="4">
        <f t="shared" si="228"/>
        <v>0</v>
      </c>
      <c r="V5156" s="3"/>
      <c r="W5156" s="3">
        <v>2014</v>
      </c>
      <c r="X5156" s="3">
        <v>11</v>
      </c>
    </row>
    <row r="5157" spans="1:24" ht="114.75">
      <c r="A5157" s="3" t="s">
        <v>12802</v>
      </c>
      <c r="B5157" s="6" t="s">
        <v>361</v>
      </c>
      <c r="C5157" s="6" t="s">
        <v>6066</v>
      </c>
      <c r="D5157" s="6" t="s">
        <v>6067</v>
      </c>
      <c r="E5157" s="6" t="s">
        <v>6068</v>
      </c>
      <c r="F5157" s="8" t="s">
        <v>6070</v>
      </c>
      <c r="G5157" s="57" t="s">
        <v>11449</v>
      </c>
      <c r="H5157" s="54">
        <v>0</v>
      </c>
      <c r="I5157" s="16">
        <v>470000000</v>
      </c>
      <c r="J5157" s="56" t="s">
        <v>229</v>
      </c>
      <c r="K5157" s="57" t="s">
        <v>642</v>
      </c>
      <c r="L5157" s="12" t="s">
        <v>404</v>
      </c>
      <c r="M5157" s="3" t="s">
        <v>230</v>
      </c>
      <c r="N5157" s="8" t="s">
        <v>8899</v>
      </c>
      <c r="O5157" s="6" t="s">
        <v>365</v>
      </c>
      <c r="P5157" s="58">
        <v>796</v>
      </c>
      <c r="Q5157" s="27" t="s">
        <v>234</v>
      </c>
      <c r="R5157" s="27">
        <v>10</v>
      </c>
      <c r="S5157" s="59">
        <v>1098</v>
      </c>
      <c r="T5157" s="4">
        <f>R5157*S5157</f>
        <v>10980</v>
      </c>
      <c r="U5157" s="4">
        <f>T5157*1.12</f>
        <v>12297.6</v>
      </c>
      <c r="V5157" s="3"/>
      <c r="W5157" s="3">
        <v>2014</v>
      </c>
      <c r="X5157" s="3"/>
    </row>
    <row r="5158" spans="1:24" ht="114.75">
      <c r="A5158" s="3" t="s">
        <v>2103</v>
      </c>
      <c r="B5158" s="6" t="s">
        <v>361</v>
      </c>
      <c r="C5158" s="6" t="s">
        <v>6066</v>
      </c>
      <c r="D5158" s="6" t="s">
        <v>6067</v>
      </c>
      <c r="E5158" s="6" t="s">
        <v>6068</v>
      </c>
      <c r="F5158" s="8" t="s">
        <v>6071</v>
      </c>
      <c r="G5158" s="57" t="s">
        <v>11449</v>
      </c>
      <c r="H5158" s="54">
        <v>0</v>
      </c>
      <c r="I5158" s="16">
        <v>470000000</v>
      </c>
      <c r="J5158" s="56" t="s">
        <v>229</v>
      </c>
      <c r="K5158" s="57" t="s">
        <v>641</v>
      </c>
      <c r="L5158" s="12" t="s">
        <v>404</v>
      </c>
      <c r="M5158" s="3" t="s">
        <v>230</v>
      </c>
      <c r="N5158" s="8" t="s">
        <v>8899</v>
      </c>
      <c r="O5158" s="6" t="s">
        <v>365</v>
      </c>
      <c r="P5158" s="58">
        <v>796</v>
      </c>
      <c r="Q5158" s="27" t="s">
        <v>234</v>
      </c>
      <c r="R5158" s="27">
        <v>10</v>
      </c>
      <c r="S5158" s="59">
        <f>1400*1.07</f>
        <v>1498</v>
      </c>
      <c r="T5158" s="4">
        <v>0</v>
      </c>
      <c r="U5158" s="4">
        <f t="shared" si="228"/>
        <v>0</v>
      </c>
      <c r="V5158" s="3"/>
      <c r="W5158" s="3">
        <v>2014</v>
      </c>
      <c r="X5158" s="3">
        <v>11</v>
      </c>
    </row>
    <row r="5159" spans="1:24" ht="114.75">
      <c r="A5159" s="3" t="s">
        <v>12803</v>
      </c>
      <c r="B5159" s="6" t="s">
        <v>361</v>
      </c>
      <c r="C5159" s="6" t="s">
        <v>6066</v>
      </c>
      <c r="D5159" s="6" t="s">
        <v>6067</v>
      </c>
      <c r="E5159" s="6" t="s">
        <v>6068</v>
      </c>
      <c r="F5159" s="8" t="s">
        <v>6071</v>
      </c>
      <c r="G5159" s="57" t="s">
        <v>11449</v>
      </c>
      <c r="H5159" s="54">
        <v>0</v>
      </c>
      <c r="I5159" s="16">
        <v>470000000</v>
      </c>
      <c r="J5159" s="56" t="s">
        <v>229</v>
      </c>
      <c r="K5159" s="57" t="s">
        <v>642</v>
      </c>
      <c r="L5159" s="12" t="s">
        <v>404</v>
      </c>
      <c r="M5159" s="3" t="s">
        <v>230</v>
      </c>
      <c r="N5159" s="8" t="s">
        <v>8899</v>
      </c>
      <c r="O5159" s="6" t="s">
        <v>365</v>
      </c>
      <c r="P5159" s="58">
        <v>796</v>
      </c>
      <c r="Q5159" s="27" t="s">
        <v>234</v>
      </c>
      <c r="R5159" s="27">
        <v>10</v>
      </c>
      <c r="S5159" s="59">
        <f>1400*1.07</f>
        <v>1498</v>
      </c>
      <c r="T5159" s="4">
        <f>R5159*S5159</f>
        <v>14980</v>
      </c>
      <c r="U5159" s="4">
        <f>T5159*1.12</f>
        <v>16777.600000000002</v>
      </c>
      <c r="V5159" s="3"/>
      <c r="W5159" s="3">
        <v>2014</v>
      </c>
      <c r="X5159" s="3"/>
    </row>
    <row r="5160" spans="1:24" ht="114.75">
      <c r="A5160" s="3" t="s">
        <v>2104</v>
      </c>
      <c r="B5160" s="6" t="s">
        <v>361</v>
      </c>
      <c r="C5160" s="6" t="s">
        <v>6072</v>
      </c>
      <c r="D5160" s="6" t="s">
        <v>5867</v>
      </c>
      <c r="E5160" s="6" t="s">
        <v>5998</v>
      </c>
      <c r="F5160" s="8" t="s">
        <v>6073</v>
      </c>
      <c r="G5160" s="57" t="s">
        <v>11449</v>
      </c>
      <c r="H5160" s="54">
        <v>0</v>
      </c>
      <c r="I5160" s="16">
        <v>470000000</v>
      </c>
      <c r="J5160" s="56" t="s">
        <v>229</v>
      </c>
      <c r="K5160" s="57" t="s">
        <v>641</v>
      </c>
      <c r="L5160" s="12" t="s">
        <v>404</v>
      </c>
      <c r="M5160" s="3" t="s">
        <v>230</v>
      </c>
      <c r="N5160" s="8" t="s">
        <v>8899</v>
      </c>
      <c r="O5160" s="6" t="s">
        <v>365</v>
      </c>
      <c r="P5160" s="58">
        <v>796</v>
      </c>
      <c r="Q5160" s="27" t="s">
        <v>234</v>
      </c>
      <c r="R5160" s="27">
        <v>6</v>
      </c>
      <c r="S5160" s="59">
        <f>11000*1.07</f>
        <v>11770</v>
      </c>
      <c r="T5160" s="4">
        <v>0</v>
      </c>
      <c r="U5160" s="4">
        <f t="shared" si="228"/>
        <v>0</v>
      </c>
      <c r="V5160" s="3"/>
      <c r="W5160" s="3">
        <v>2014</v>
      </c>
      <c r="X5160" s="3">
        <v>11</v>
      </c>
    </row>
    <row r="5161" spans="1:24" ht="114.75">
      <c r="A5161" s="3" t="s">
        <v>12804</v>
      </c>
      <c r="B5161" s="6" t="s">
        <v>361</v>
      </c>
      <c r="C5161" s="6" t="s">
        <v>6072</v>
      </c>
      <c r="D5161" s="6" t="s">
        <v>5867</v>
      </c>
      <c r="E5161" s="6" t="s">
        <v>5998</v>
      </c>
      <c r="F5161" s="8" t="s">
        <v>6073</v>
      </c>
      <c r="G5161" s="57" t="s">
        <v>11449</v>
      </c>
      <c r="H5161" s="54">
        <v>0</v>
      </c>
      <c r="I5161" s="16">
        <v>470000000</v>
      </c>
      <c r="J5161" s="56" t="s">
        <v>229</v>
      </c>
      <c r="K5161" s="57" t="s">
        <v>642</v>
      </c>
      <c r="L5161" s="12" t="s">
        <v>404</v>
      </c>
      <c r="M5161" s="3" t="s">
        <v>230</v>
      </c>
      <c r="N5161" s="8" t="s">
        <v>8899</v>
      </c>
      <c r="O5161" s="6" t="s">
        <v>365</v>
      </c>
      <c r="P5161" s="58">
        <v>796</v>
      </c>
      <c r="Q5161" s="27" t="s">
        <v>234</v>
      </c>
      <c r="R5161" s="27">
        <v>6</v>
      </c>
      <c r="S5161" s="59">
        <f>11000*1.07</f>
        <v>11770</v>
      </c>
      <c r="T5161" s="4">
        <f>R5161*S5161</f>
        <v>70620</v>
      </c>
      <c r="U5161" s="4">
        <f>T5161*1.12</f>
        <v>79094.400000000009</v>
      </c>
      <c r="V5161" s="3"/>
      <c r="W5161" s="3">
        <v>2014</v>
      </c>
      <c r="X5161" s="3"/>
    </row>
    <row r="5162" spans="1:24" ht="114.75">
      <c r="A5162" s="3" t="s">
        <v>2105</v>
      </c>
      <c r="B5162" s="6" t="s">
        <v>361</v>
      </c>
      <c r="C5162" s="6" t="s">
        <v>6074</v>
      </c>
      <c r="D5162" s="6" t="s">
        <v>388</v>
      </c>
      <c r="E5162" s="6" t="s">
        <v>6075</v>
      </c>
      <c r="F5162" s="9" t="s">
        <v>6076</v>
      </c>
      <c r="G5162" s="57" t="s">
        <v>11449</v>
      </c>
      <c r="H5162" s="54">
        <v>0</v>
      </c>
      <c r="I5162" s="16">
        <v>470000000</v>
      </c>
      <c r="J5162" s="56" t="s">
        <v>229</v>
      </c>
      <c r="K5162" s="57" t="s">
        <v>641</v>
      </c>
      <c r="L5162" s="12" t="s">
        <v>404</v>
      </c>
      <c r="M5162" s="3" t="s">
        <v>230</v>
      </c>
      <c r="N5162" s="8" t="s">
        <v>8899</v>
      </c>
      <c r="O5162" s="6" t="s">
        <v>365</v>
      </c>
      <c r="P5162" s="58">
        <v>796</v>
      </c>
      <c r="Q5162" s="27" t="s">
        <v>234</v>
      </c>
      <c r="R5162" s="27">
        <v>10</v>
      </c>
      <c r="S5162" s="59">
        <f>12000*1.07</f>
        <v>12840</v>
      </c>
      <c r="T5162" s="4">
        <v>0</v>
      </c>
      <c r="U5162" s="4">
        <f t="shared" si="228"/>
        <v>0</v>
      </c>
      <c r="V5162" s="3"/>
      <c r="W5162" s="3">
        <v>2014</v>
      </c>
      <c r="X5162" s="3">
        <v>11</v>
      </c>
    </row>
    <row r="5163" spans="1:24" ht="114.75">
      <c r="A5163" s="3" t="s">
        <v>12805</v>
      </c>
      <c r="B5163" s="6" t="s">
        <v>361</v>
      </c>
      <c r="C5163" s="6" t="s">
        <v>6074</v>
      </c>
      <c r="D5163" s="6" t="s">
        <v>388</v>
      </c>
      <c r="E5163" s="6" t="s">
        <v>6075</v>
      </c>
      <c r="F5163" s="9" t="s">
        <v>6076</v>
      </c>
      <c r="G5163" s="57" t="s">
        <v>11449</v>
      </c>
      <c r="H5163" s="54">
        <v>0</v>
      </c>
      <c r="I5163" s="16">
        <v>470000000</v>
      </c>
      <c r="J5163" s="56" t="s">
        <v>229</v>
      </c>
      <c r="K5163" s="57" t="s">
        <v>642</v>
      </c>
      <c r="L5163" s="12" t="s">
        <v>404</v>
      </c>
      <c r="M5163" s="3" t="s">
        <v>230</v>
      </c>
      <c r="N5163" s="8" t="s">
        <v>8899</v>
      </c>
      <c r="O5163" s="6" t="s">
        <v>365</v>
      </c>
      <c r="P5163" s="58">
        <v>796</v>
      </c>
      <c r="Q5163" s="27" t="s">
        <v>234</v>
      </c>
      <c r="R5163" s="27">
        <v>10</v>
      </c>
      <c r="S5163" s="59">
        <f>12000*1.07</f>
        <v>12840</v>
      </c>
      <c r="T5163" s="4">
        <f>R5163*S5163</f>
        <v>128400</v>
      </c>
      <c r="U5163" s="4">
        <f>T5163*1.12</f>
        <v>143808</v>
      </c>
      <c r="V5163" s="3"/>
      <c r="W5163" s="3">
        <v>2014</v>
      </c>
      <c r="X5163" s="3"/>
    </row>
    <row r="5164" spans="1:24" ht="114.75">
      <c r="A5164" s="3" t="s">
        <v>2106</v>
      </c>
      <c r="B5164" s="6" t="s">
        <v>361</v>
      </c>
      <c r="C5164" s="6" t="s">
        <v>6077</v>
      </c>
      <c r="D5164" s="6" t="s">
        <v>441</v>
      </c>
      <c r="E5164" s="6" t="s">
        <v>6078</v>
      </c>
      <c r="F5164" s="8" t="s">
        <v>6079</v>
      </c>
      <c r="G5164" s="57" t="s">
        <v>11449</v>
      </c>
      <c r="H5164" s="54">
        <v>0</v>
      </c>
      <c r="I5164" s="16">
        <v>470000000</v>
      </c>
      <c r="J5164" s="56" t="s">
        <v>229</v>
      </c>
      <c r="K5164" s="57" t="s">
        <v>641</v>
      </c>
      <c r="L5164" s="12" t="s">
        <v>404</v>
      </c>
      <c r="M5164" s="3" t="s">
        <v>230</v>
      </c>
      <c r="N5164" s="8" t="s">
        <v>8899</v>
      </c>
      <c r="O5164" s="6" t="s">
        <v>365</v>
      </c>
      <c r="P5164" s="58">
        <v>796</v>
      </c>
      <c r="Q5164" s="27" t="s">
        <v>234</v>
      </c>
      <c r="R5164" s="27">
        <v>10</v>
      </c>
      <c r="S5164" s="59">
        <f>12000*1.07</f>
        <v>12840</v>
      </c>
      <c r="T5164" s="4">
        <v>0</v>
      </c>
      <c r="U5164" s="4">
        <f t="shared" si="228"/>
        <v>0</v>
      </c>
      <c r="V5164" s="3"/>
      <c r="W5164" s="3">
        <v>2014</v>
      </c>
      <c r="X5164" s="3">
        <v>11</v>
      </c>
    </row>
    <row r="5165" spans="1:24" ht="114.75">
      <c r="A5165" s="3" t="s">
        <v>12806</v>
      </c>
      <c r="B5165" s="6" t="s">
        <v>361</v>
      </c>
      <c r="C5165" s="6" t="s">
        <v>6077</v>
      </c>
      <c r="D5165" s="6" t="s">
        <v>441</v>
      </c>
      <c r="E5165" s="6" t="s">
        <v>6078</v>
      </c>
      <c r="F5165" s="8" t="s">
        <v>6079</v>
      </c>
      <c r="G5165" s="57" t="s">
        <v>11449</v>
      </c>
      <c r="H5165" s="54">
        <v>0</v>
      </c>
      <c r="I5165" s="16">
        <v>470000000</v>
      </c>
      <c r="J5165" s="56" t="s">
        <v>229</v>
      </c>
      <c r="K5165" s="57" t="s">
        <v>642</v>
      </c>
      <c r="L5165" s="12" t="s">
        <v>404</v>
      </c>
      <c r="M5165" s="3" t="s">
        <v>230</v>
      </c>
      <c r="N5165" s="8" t="s">
        <v>8899</v>
      </c>
      <c r="O5165" s="6" t="s">
        <v>365</v>
      </c>
      <c r="P5165" s="58">
        <v>796</v>
      </c>
      <c r="Q5165" s="27" t="s">
        <v>234</v>
      </c>
      <c r="R5165" s="27">
        <v>10</v>
      </c>
      <c r="S5165" s="59">
        <f>12000*1.07</f>
        <v>12840</v>
      </c>
      <c r="T5165" s="4">
        <f>R5165*S5165</f>
        <v>128400</v>
      </c>
      <c r="U5165" s="4">
        <f>T5165*1.12</f>
        <v>143808</v>
      </c>
      <c r="V5165" s="3"/>
      <c r="W5165" s="3">
        <v>2014</v>
      </c>
      <c r="X5165" s="3"/>
    </row>
    <row r="5166" spans="1:24" ht="114.75">
      <c r="A5166" s="3" t="s">
        <v>2107</v>
      </c>
      <c r="B5166" s="6" t="s">
        <v>361</v>
      </c>
      <c r="C5166" s="6" t="s">
        <v>6080</v>
      </c>
      <c r="D5166" s="6" t="s">
        <v>5477</v>
      </c>
      <c r="E5166" s="6" t="s">
        <v>6081</v>
      </c>
      <c r="F5166" s="9" t="s">
        <v>6082</v>
      </c>
      <c r="G5166" s="57" t="s">
        <v>11449</v>
      </c>
      <c r="H5166" s="54">
        <v>0</v>
      </c>
      <c r="I5166" s="16">
        <v>470000000</v>
      </c>
      <c r="J5166" s="56" t="s">
        <v>229</v>
      </c>
      <c r="K5166" s="57" t="s">
        <v>641</v>
      </c>
      <c r="L5166" s="12" t="s">
        <v>404</v>
      </c>
      <c r="M5166" s="3" t="s">
        <v>230</v>
      </c>
      <c r="N5166" s="8" t="s">
        <v>8899</v>
      </c>
      <c r="O5166" s="6" t="s">
        <v>365</v>
      </c>
      <c r="P5166" s="58">
        <v>796</v>
      </c>
      <c r="Q5166" s="27" t="s">
        <v>234</v>
      </c>
      <c r="R5166" s="27">
        <v>12</v>
      </c>
      <c r="S5166" s="59">
        <f>2000*1.07</f>
        <v>2140</v>
      </c>
      <c r="T5166" s="4">
        <v>0</v>
      </c>
      <c r="U5166" s="4">
        <f t="shared" si="228"/>
        <v>0</v>
      </c>
      <c r="V5166" s="3"/>
      <c r="W5166" s="3">
        <v>2014</v>
      </c>
      <c r="X5166" s="3">
        <v>11</v>
      </c>
    </row>
    <row r="5167" spans="1:24" ht="114.75">
      <c r="A5167" s="3" t="s">
        <v>12807</v>
      </c>
      <c r="B5167" s="6" t="s">
        <v>361</v>
      </c>
      <c r="C5167" s="6" t="s">
        <v>6080</v>
      </c>
      <c r="D5167" s="6" t="s">
        <v>5477</v>
      </c>
      <c r="E5167" s="6" t="s">
        <v>6081</v>
      </c>
      <c r="F5167" s="9" t="s">
        <v>6082</v>
      </c>
      <c r="G5167" s="57" t="s">
        <v>11449</v>
      </c>
      <c r="H5167" s="54">
        <v>0</v>
      </c>
      <c r="I5167" s="16">
        <v>470000000</v>
      </c>
      <c r="J5167" s="56" t="s">
        <v>229</v>
      </c>
      <c r="K5167" s="57" t="s">
        <v>642</v>
      </c>
      <c r="L5167" s="12" t="s">
        <v>404</v>
      </c>
      <c r="M5167" s="3" t="s">
        <v>230</v>
      </c>
      <c r="N5167" s="8" t="s">
        <v>8899</v>
      </c>
      <c r="O5167" s="6" t="s">
        <v>365</v>
      </c>
      <c r="P5167" s="58">
        <v>796</v>
      </c>
      <c r="Q5167" s="27" t="s">
        <v>234</v>
      </c>
      <c r="R5167" s="27">
        <v>12</v>
      </c>
      <c r="S5167" s="59">
        <f>2000*1.07</f>
        <v>2140</v>
      </c>
      <c r="T5167" s="4">
        <f>R5167*S5167</f>
        <v>25680</v>
      </c>
      <c r="U5167" s="4">
        <f>T5167*1.12</f>
        <v>28761.600000000002</v>
      </c>
      <c r="V5167" s="3"/>
      <c r="W5167" s="3">
        <v>2014</v>
      </c>
      <c r="X5167" s="3"/>
    </row>
    <row r="5168" spans="1:24" ht="114.75">
      <c r="A5168" s="3" t="s">
        <v>2108</v>
      </c>
      <c r="B5168" s="6" t="s">
        <v>361</v>
      </c>
      <c r="C5168" s="6" t="s">
        <v>6083</v>
      </c>
      <c r="D5168" s="6" t="s">
        <v>4529</v>
      </c>
      <c r="E5168" s="6" t="s">
        <v>6084</v>
      </c>
      <c r="F5168" s="8" t="s">
        <v>6085</v>
      </c>
      <c r="G5168" s="57" t="s">
        <v>11449</v>
      </c>
      <c r="H5168" s="54">
        <v>0</v>
      </c>
      <c r="I5168" s="16">
        <v>470000000</v>
      </c>
      <c r="J5168" s="56" t="s">
        <v>229</v>
      </c>
      <c r="K5168" s="57" t="s">
        <v>641</v>
      </c>
      <c r="L5168" s="12" t="s">
        <v>404</v>
      </c>
      <c r="M5168" s="3" t="s">
        <v>230</v>
      </c>
      <c r="N5168" s="8" t="s">
        <v>8899</v>
      </c>
      <c r="O5168" s="6" t="s">
        <v>365</v>
      </c>
      <c r="P5168" s="58">
        <v>796</v>
      </c>
      <c r="Q5168" s="27" t="s">
        <v>234</v>
      </c>
      <c r="R5168" s="27">
        <v>10</v>
      </c>
      <c r="S5168" s="59">
        <f>7500*1.07</f>
        <v>8025.0000000000009</v>
      </c>
      <c r="T5168" s="4">
        <v>0</v>
      </c>
      <c r="U5168" s="4">
        <f t="shared" si="228"/>
        <v>0</v>
      </c>
      <c r="V5168" s="3"/>
      <c r="W5168" s="3">
        <v>2014</v>
      </c>
      <c r="X5168" s="3">
        <v>11</v>
      </c>
    </row>
    <row r="5169" spans="1:24" ht="114.75">
      <c r="A5169" s="3" t="s">
        <v>12808</v>
      </c>
      <c r="B5169" s="6" t="s">
        <v>361</v>
      </c>
      <c r="C5169" s="6" t="s">
        <v>6083</v>
      </c>
      <c r="D5169" s="6" t="s">
        <v>4529</v>
      </c>
      <c r="E5169" s="6" t="s">
        <v>6084</v>
      </c>
      <c r="F5169" s="8" t="s">
        <v>6085</v>
      </c>
      <c r="G5169" s="57" t="s">
        <v>11449</v>
      </c>
      <c r="H5169" s="54">
        <v>0</v>
      </c>
      <c r="I5169" s="16">
        <v>470000000</v>
      </c>
      <c r="J5169" s="56" t="s">
        <v>229</v>
      </c>
      <c r="K5169" s="57" t="s">
        <v>642</v>
      </c>
      <c r="L5169" s="12" t="s">
        <v>404</v>
      </c>
      <c r="M5169" s="3" t="s">
        <v>230</v>
      </c>
      <c r="N5169" s="8" t="s">
        <v>8899</v>
      </c>
      <c r="O5169" s="6" t="s">
        <v>365</v>
      </c>
      <c r="P5169" s="58">
        <v>796</v>
      </c>
      <c r="Q5169" s="27" t="s">
        <v>234</v>
      </c>
      <c r="R5169" s="27">
        <v>10</v>
      </c>
      <c r="S5169" s="59">
        <f>7500*1.07</f>
        <v>8025.0000000000009</v>
      </c>
      <c r="T5169" s="4">
        <f>R5169*S5169</f>
        <v>80250.000000000015</v>
      </c>
      <c r="U5169" s="4">
        <f>T5169*1.12</f>
        <v>89880.000000000029</v>
      </c>
      <c r="V5169" s="3"/>
      <c r="W5169" s="3">
        <v>2014</v>
      </c>
      <c r="X5169" s="3"/>
    </row>
    <row r="5170" spans="1:24" ht="114.75">
      <c r="A5170" s="3" t="s">
        <v>2109</v>
      </c>
      <c r="B5170" s="6" t="s">
        <v>361</v>
      </c>
      <c r="C5170" s="6" t="s">
        <v>6086</v>
      </c>
      <c r="D5170" s="6" t="s">
        <v>5871</v>
      </c>
      <c r="E5170" s="6" t="s">
        <v>6087</v>
      </c>
      <c r="F5170" s="8" t="s">
        <v>6088</v>
      </c>
      <c r="G5170" s="57" t="s">
        <v>11449</v>
      </c>
      <c r="H5170" s="54">
        <v>0</v>
      </c>
      <c r="I5170" s="16">
        <v>470000000</v>
      </c>
      <c r="J5170" s="56" t="s">
        <v>229</v>
      </c>
      <c r="K5170" s="57" t="s">
        <v>641</v>
      </c>
      <c r="L5170" s="12" t="s">
        <v>404</v>
      </c>
      <c r="M5170" s="3" t="s">
        <v>230</v>
      </c>
      <c r="N5170" s="8" t="s">
        <v>8899</v>
      </c>
      <c r="O5170" s="6" t="s">
        <v>365</v>
      </c>
      <c r="P5170" s="58">
        <v>796</v>
      </c>
      <c r="Q5170" s="27" t="s">
        <v>234</v>
      </c>
      <c r="R5170" s="27">
        <v>12</v>
      </c>
      <c r="S5170" s="59">
        <f>2800*1.07</f>
        <v>2996</v>
      </c>
      <c r="T5170" s="4">
        <v>0</v>
      </c>
      <c r="U5170" s="4">
        <f t="shared" si="228"/>
        <v>0</v>
      </c>
      <c r="V5170" s="3"/>
      <c r="W5170" s="3">
        <v>2014</v>
      </c>
      <c r="X5170" s="3">
        <v>11</v>
      </c>
    </row>
    <row r="5171" spans="1:24" ht="114.75">
      <c r="A5171" s="3" t="s">
        <v>12809</v>
      </c>
      <c r="B5171" s="6" t="s">
        <v>361</v>
      </c>
      <c r="C5171" s="6" t="s">
        <v>6086</v>
      </c>
      <c r="D5171" s="6" t="s">
        <v>5871</v>
      </c>
      <c r="E5171" s="6" t="s">
        <v>6087</v>
      </c>
      <c r="F5171" s="8" t="s">
        <v>6088</v>
      </c>
      <c r="G5171" s="57" t="s">
        <v>11449</v>
      </c>
      <c r="H5171" s="54">
        <v>0</v>
      </c>
      <c r="I5171" s="16">
        <v>470000000</v>
      </c>
      <c r="J5171" s="56" t="s">
        <v>229</v>
      </c>
      <c r="K5171" s="57" t="s">
        <v>642</v>
      </c>
      <c r="L5171" s="12" t="s">
        <v>404</v>
      </c>
      <c r="M5171" s="3" t="s">
        <v>230</v>
      </c>
      <c r="N5171" s="8" t="s">
        <v>8899</v>
      </c>
      <c r="O5171" s="6" t="s">
        <v>365</v>
      </c>
      <c r="P5171" s="58">
        <v>796</v>
      </c>
      <c r="Q5171" s="27" t="s">
        <v>234</v>
      </c>
      <c r="R5171" s="27">
        <v>12</v>
      </c>
      <c r="S5171" s="59">
        <f>2800*1.07</f>
        <v>2996</v>
      </c>
      <c r="T5171" s="4">
        <f>R5171*S5171</f>
        <v>35952</v>
      </c>
      <c r="U5171" s="4">
        <f>T5171*1.12</f>
        <v>40266.240000000005</v>
      </c>
      <c r="V5171" s="3"/>
      <c r="W5171" s="3">
        <v>2014</v>
      </c>
      <c r="X5171" s="3"/>
    </row>
    <row r="5172" spans="1:24" ht="114.75">
      <c r="A5172" s="3" t="s">
        <v>2110</v>
      </c>
      <c r="B5172" s="6" t="s">
        <v>361</v>
      </c>
      <c r="C5172" s="6" t="s">
        <v>6089</v>
      </c>
      <c r="D5172" s="6" t="s">
        <v>442</v>
      </c>
      <c r="E5172" s="6" t="s">
        <v>442</v>
      </c>
      <c r="F5172" s="8" t="s">
        <v>6090</v>
      </c>
      <c r="G5172" s="57" t="s">
        <v>11449</v>
      </c>
      <c r="H5172" s="54">
        <v>0</v>
      </c>
      <c r="I5172" s="16">
        <v>470000000</v>
      </c>
      <c r="J5172" s="56" t="s">
        <v>229</v>
      </c>
      <c r="K5172" s="57" t="s">
        <v>641</v>
      </c>
      <c r="L5172" s="12" t="s">
        <v>404</v>
      </c>
      <c r="M5172" s="3" t="s">
        <v>230</v>
      </c>
      <c r="N5172" s="8" t="s">
        <v>8899</v>
      </c>
      <c r="O5172" s="6" t="s">
        <v>365</v>
      </c>
      <c r="P5172" s="58">
        <v>796</v>
      </c>
      <c r="Q5172" s="27" t="s">
        <v>234</v>
      </c>
      <c r="R5172" s="27">
        <v>20</v>
      </c>
      <c r="S5172" s="59">
        <f>1500*1.07</f>
        <v>1605</v>
      </c>
      <c r="T5172" s="4">
        <v>0</v>
      </c>
      <c r="U5172" s="4">
        <f t="shared" si="228"/>
        <v>0</v>
      </c>
      <c r="V5172" s="3"/>
      <c r="W5172" s="3">
        <v>2014</v>
      </c>
      <c r="X5172" s="3">
        <v>11</v>
      </c>
    </row>
    <row r="5173" spans="1:24" ht="114.75">
      <c r="A5173" s="3" t="s">
        <v>12810</v>
      </c>
      <c r="B5173" s="6" t="s">
        <v>361</v>
      </c>
      <c r="C5173" s="6" t="s">
        <v>6089</v>
      </c>
      <c r="D5173" s="6" t="s">
        <v>442</v>
      </c>
      <c r="E5173" s="6" t="s">
        <v>442</v>
      </c>
      <c r="F5173" s="8" t="s">
        <v>6090</v>
      </c>
      <c r="G5173" s="57" t="s">
        <v>11449</v>
      </c>
      <c r="H5173" s="54">
        <v>0</v>
      </c>
      <c r="I5173" s="16">
        <v>470000000</v>
      </c>
      <c r="J5173" s="56" t="s">
        <v>229</v>
      </c>
      <c r="K5173" s="57" t="s">
        <v>642</v>
      </c>
      <c r="L5173" s="12" t="s">
        <v>404</v>
      </c>
      <c r="M5173" s="3" t="s">
        <v>230</v>
      </c>
      <c r="N5173" s="8" t="s">
        <v>8899</v>
      </c>
      <c r="O5173" s="6" t="s">
        <v>365</v>
      </c>
      <c r="P5173" s="58">
        <v>796</v>
      </c>
      <c r="Q5173" s="27" t="s">
        <v>234</v>
      </c>
      <c r="R5173" s="27">
        <v>20</v>
      </c>
      <c r="S5173" s="59">
        <f>1500*1.07</f>
        <v>1605</v>
      </c>
      <c r="T5173" s="4">
        <f>R5173*S5173</f>
        <v>32100</v>
      </c>
      <c r="U5173" s="4">
        <f>T5173*1.12</f>
        <v>35952</v>
      </c>
      <c r="V5173" s="3"/>
      <c r="W5173" s="3">
        <v>2014</v>
      </c>
      <c r="X5173" s="3"/>
    </row>
    <row r="5174" spans="1:24" ht="114.75">
      <c r="A5174" s="3" t="s">
        <v>2111</v>
      </c>
      <c r="B5174" s="6" t="s">
        <v>361</v>
      </c>
      <c r="C5174" s="6" t="s">
        <v>6091</v>
      </c>
      <c r="D5174" s="6" t="s">
        <v>4382</v>
      </c>
      <c r="E5174" s="6" t="s">
        <v>6092</v>
      </c>
      <c r="F5174" s="9" t="s">
        <v>6093</v>
      </c>
      <c r="G5174" s="57" t="s">
        <v>11449</v>
      </c>
      <c r="H5174" s="54">
        <v>0</v>
      </c>
      <c r="I5174" s="16">
        <v>470000000</v>
      </c>
      <c r="J5174" s="56" t="s">
        <v>229</v>
      </c>
      <c r="K5174" s="57" t="s">
        <v>641</v>
      </c>
      <c r="L5174" s="12" t="s">
        <v>404</v>
      </c>
      <c r="M5174" s="3" t="s">
        <v>230</v>
      </c>
      <c r="N5174" s="8" t="s">
        <v>8899</v>
      </c>
      <c r="O5174" s="6" t="s">
        <v>365</v>
      </c>
      <c r="P5174" s="58">
        <v>796</v>
      </c>
      <c r="Q5174" s="27" t="s">
        <v>234</v>
      </c>
      <c r="R5174" s="31">
        <v>20</v>
      </c>
      <c r="S5174" s="59">
        <f>500*1.07</f>
        <v>535</v>
      </c>
      <c r="T5174" s="4">
        <v>0</v>
      </c>
      <c r="U5174" s="4">
        <f t="shared" si="228"/>
        <v>0</v>
      </c>
      <c r="V5174" s="3"/>
      <c r="W5174" s="3">
        <v>2014</v>
      </c>
      <c r="X5174" s="3">
        <v>11</v>
      </c>
    </row>
    <row r="5175" spans="1:24" ht="114.75">
      <c r="A5175" s="3" t="s">
        <v>12811</v>
      </c>
      <c r="B5175" s="6" t="s">
        <v>361</v>
      </c>
      <c r="C5175" s="6" t="s">
        <v>6091</v>
      </c>
      <c r="D5175" s="6" t="s">
        <v>4382</v>
      </c>
      <c r="E5175" s="6" t="s">
        <v>6092</v>
      </c>
      <c r="F5175" s="9" t="s">
        <v>6093</v>
      </c>
      <c r="G5175" s="57" t="s">
        <v>11449</v>
      </c>
      <c r="H5175" s="54">
        <v>0</v>
      </c>
      <c r="I5175" s="16">
        <v>470000000</v>
      </c>
      <c r="J5175" s="56" t="s">
        <v>229</v>
      </c>
      <c r="K5175" s="57" t="s">
        <v>642</v>
      </c>
      <c r="L5175" s="12" t="s">
        <v>404</v>
      </c>
      <c r="M5175" s="3" t="s">
        <v>230</v>
      </c>
      <c r="N5175" s="8" t="s">
        <v>8899</v>
      </c>
      <c r="O5175" s="6" t="s">
        <v>365</v>
      </c>
      <c r="P5175" s="58">
        <v>796</v>
      </c>
      <c r="Q5175" s="27" t="s">
        <v>234</v>
      </c>
      <c r="R5175" s="31">
        <v>20</v>
      </c>
      <c r="S5175" s="59">
        <f>500*1.07</f>
        <v>535</v>
      </c>
      <c r="T5175" s="4">
        <f>R5175*S5175</f>
        <v>10700</v>
      </c>
      <c r="U5175" s="4">
        <f>T5175*1.12</f>
        <v>11984.000000000002</v>
      </c>
      <c r="V5175" s="3"/>
      <c r="W5175" s="3">
        <v>2014</v>
      </c>
      <c r="X5175" s="3"/>
    </row>
    <row r="5176" spans="1:24" ht="114.75">
      <c r="A5176" s="3" t="s">
        <v>2112</v>
      </c>
      <c r="B5176" s="6" t="s">
        <v>361</v>
      </c>
      <c r="C5176" s="6" t="s">
        <v>7401</v>
      </c>
      <c r="D5176" s="6" t="s">
        <v>11538</v>
      </c>
      <c r="E5176" s="6" t="s">
        <v>11539</v>
      </c>
      <c r="F5176" s="9" t="s">
        <v>6094</v>
      </c>
      <c r="G5176" s="57" t="s">
        <v>11449</v>
      </c>
      <c r="H5176" s="54">
        <v>0</v>
      </c>
      <c r="I5176" s="16">
        <v>470000000</v>
      </c>
      <c r="J5176" s="56" t="s">
        <v>229</v>
      </c>
      <c r="K5176" s="57" t="s">
        <v>641</v>
      </c>
      <c r="L5176" s="12" t="s">
        <v>404</v>
      </c>
      <c r="M5176" s="3" t="s">
        <v>230</v>
      </c>
      <c r="N5176" s="8" t="s">
        <v>8898</v>
      </c>
      <c r="O5176" s="6" t="s">
        <v>365</v>
      </c>
      <c r="P5176" s="58">
        <v>796</v>
      </c>
      <c r="Q5176" s="27" t="s">
        <v>234</v>
      </c>
      <c r="R5176" s="31">
        <v>1</v>
      </c>
      <c r="S5176" s="59">
        <f>350000*1.07</f>
        <v>374500</v>
      </c>
      <c r="T5176" s="4">
        <v>0</v>
      </c>
      <c r="U5176" s="4">
        <f t="shared" si="228"/>
        <v>0</v>
      </c>
      <c r="V5176" s="3"/>
      <c r="W5176" s="3">
        <v>2014</v>
      </c>
      <c r="X5176" s="3">
        <v>11</v>
      </c>
    </row>
    <row r="5177" spans="1:24" ht="114.75">
      <c r="A5177" s="3" t="s">
        <v>12812</v>
      </c>
      <c r="B5177" s="6" t="s">
        <v>361</v>
      </c>
      <c r="C5177" s="6" t="s">
        <v>7401</v>
      </c>
      <c r="D5177" s="6" t="s">
        <v>11538</v>
      </c>
      <c r="E5177" s="6" t="s">
        <v>11539</v>
      </c>
      <c r="F5177" s="9" t="s">
        <v>6094</v>
      </c>
      <c r="G5177" s="57" t="s">
        <v>11449</v>
      </c>
      <c r="H5177" s="54">
        <v>0</v>
      </c>
      <c r="I5177" s="16">
        <v>470000000</v>
      </c>
      <c r="J5177" s="56" t="s">
        <v>229</v>
      </c>
      <c r="K5177" s="57" t="s">
        <v>642</v>
      </c>
      <c r="L5177" s="12" t="s">
        <v>404</v>
      </c>
      <c r="M5177" s="3" t="s">
        <v>230</v>
      </c>
      <c r="N5177" s="8" t="s">
        <v>8898</v>
      </c>
      <c r="O5177" s="6" t="s">
        <v>365</v>
      </c>
      <c r="P5177" s="58">
        <v>796</v>
      </c>
      <c r="Q5177" s="27" t="s">
        <v>234</v>
      </c>
      <c r="R5177" s="31">
        <v>1</v>
      </c>
      <c r="S5177" s="59">
        <f>350000*1.07</f>
        <v>374500</v>
      </c>
      <c r="T5177" s="4">
        <v>0</v>
      </c>
      <c r="U5177" s="4">
        <f>T5177*1.12</f>
        <v>0</v>
      </c>
      <c r="V5177" s="3"/>
      <c r="W5177" s="3">
        <v>2014</v>
      </c>
      <c r="X5177" s="3" t="s">
        <v>14785</v>
      </c>
    </row>
    <row r="5178" spans="1:24" ht="114.75">
      <c r="A5178" s="3" t="s">
        <v>16935</v>
      </c>
      <c r="B5178" s="6" t="s">
        <v>361</v>
      </c>
      <c r="C5178" s="6" t="s">
        <v>7401</v>
      </c>
      <c r="D5178" s="6" t="s">
        <v>11538</v>
      </c>
      <c r="E5178" s="6" t="s">
        <v>11539</v>
      </c>
      <c r="F5178" s="9" t="s">
        <v>6094</v>
      </c>
      <c r="G5178" s="3" t="s">
        <v>11449</v>
      </c>
      <c r="H5178" s="54">
        <v>0</v>
      </c>
      <c r="I5178" s="16">
        <v>470000000</v>
      </c>
      <c r="J5178" s="56" t="s">
        <v>229</v>
      </c>
      <c r="K5178" s="57" t="s">
        <v>8950</v>
      </c>
      <c r="L5178" s="12" t="s">
        <v>404</v>
      </c>
      <c r="M5178" s="3" t="s">
        <v>230</v>
      </c>
      <c r="N5178" s="8" t="s">
        <v>8898</v>
      </c>
      <c r="O5178" s="6" t="s">
        <v>365</v>
      </c>
      <c r="P5178" s="58">
        <v>796</v>
      </c>
      <c r="Q5178" s="27" t="s">
        <v>234</v>
      </c>
      <c r="R5178" s="31">
        <v>1</v>
      </c>
      <c r="S5178" s="59">
        <v>449400</v>
      </c>
      <c r="T5178" s="4">
        <v>0</v>
      </c>
      <c r="U5178" s="4">
        <f>T5178*1.12</f>
        <v>0</v>
      </c>
      <c r="V5178" s="3"/>
      <c r="W5178" s="3">
        <v>2014</v>
      </c>
      <c r="X5178" s="3">
        <v>11</v>
      </c>
    </row>
    <row r="5179" spans="1:24" ht="114.75">
      <c r="A5179" s="3" t="s">
        <v>18802</v>
      </c>
      <c r="B5179" s="6" t="s">
        <v>361</v>
      </c>
      <c r="C5179" s="6" t="s">
        <v>7401</v>
      </c>
      <c r="D5179" s="6" t="s">
        <v>11538</v>
      </c>
      <c r="E5179" s="6" t="s">
        <v>11539</v>
      </c>
      <c r="F5179" s="9" t="s">
        <v>6094</v>
      </c>
      <c r="G5179" s="3" t="s">
        <v>11449</v>
      </c>
      <c r="H5179" s="54">
        <v>0</v>
      </c>
      <c r="I5179" s="16">
        <v>470000000</v>
      </c>
      <c r="J5179" s="56" t="s">
        <v>229</v>
      </c>
      <c r="K5179" s="57" t="s">
        <v>18437</v>
      </c>
      <c r="L5179" s="12" t="s">
        <v>404</v>
      </c>
      <c r="M5179" s="3" t="s">
        <v>230</v>
      </c>
      <c r="N5179" s="8" t="s">
        <v>8898</v>
      </c>
      <c r="O5179" s="6" t="s">
        <v>365</v>
      </c>
      <c r="P5179" s="58">
        <v>796</v>
      </c>
      <c r="Q5179" s="27" t="s">
        <v>234</v>
      </c>
      <c r="R5179" s="31">
        <v>1</v>
      </c>
      <c r="S5179" s="59">
        <v>449400</v>
      </c>
      <c r="T5179" s="4">
        <f>R5179*S5179</f>
        <v>449400</v>
      </c>
      <c r="U5179" s="4">
        <f>T5179*1.12</f>
        <v>503328.00000000006</v>
      </c>
      <c r="V5179" s="3"/>
      <c r="W5179" s="3">
        <v>2014</v>
      </c>
      <c r="X5179" s="3"/>
    </row>
    <row r="5180" spans="1:24" ht="114.75">
      <c r="A5180" s="3" t="s">
        <v>2113</v>
      </c>
      <c r="B5180" s="6" t="s">
        <v>361</v>
      </c>
      <c r="C5180" s="6" t="s">
        <v>7401</v>
      </c>
      <c r="D5180" s="6" t="s">
        <v>11538</v>
      </c>
      <c r="E5180" s="6" t="s">
        <v>11539</v>
      </c>
      <c r="F5180" s="227" t="s">
        <v>6095</v>
      </c>
      <c r="G5180" s="57" t="s">
        <v>11449</v>
      </c>
      <c r="H5180" s="54">
        <v>0</v>
      </c>
      <c r="I5180" s="16">
        <v>470000000</v>
      </c>
      <c r="J5180" s="56" t="s">
        <v>229</v>
      </c>
      <c r="K5180" s="57" t="s">
        <v>641</v>
      </c>
      <c r="L5180" s="12" t="s">
        <v>404</v>
      </c>
      <c r="M5180" s="3" t="s">
        <v>230</v>
      </c>
      <c r="N5180" s="8" t="s">
        <v>8898</v>
      </c>
      <c r="O5180" s="6" t="s">
        <v>365</v>
      </c>
      <c r="P5180" s="58">
        <v>796</v>
      </c>
      <c r="Q5180" s="27" t="s">
        <v>234</v>
      </c>
      <c r="R5180" s="31">
        <v>1</v>
      </c>
      <c r="S5180" s="59">
        <f>300000*1.07</f>
        <v>321000</v>
      </c>
      <c r="T5180" s="4">
        <v>0</v>
      </c>
      <c r="U5180" s="4">
        <f t="shared" si="228"/>
        <v>0</v>
      </c>
      <c r="V5180" s="3"/>
      <c r="W5180" s="3">
        <v>2014</v>
      </c>
      <c r="X5180" s="3">
        <v>11</v>
      </c>
    </row>
    <row r="5181" spans="1:24" ht="114.75">
      <c r="A5181" s="3" t="s">
        <v>12813</v>
      </c>
      <c r="B5181" s="6" t="s">
        <v>361</v>
      </c>
      <c r="C5181" s="6" t="s">
        <v>7401</v>
      </c>
      <c r="D5181" s="6" t="s">
        <v>11538</v>
      </c>
      <c r="E5181" s="6" t="s">
        <v>11539</v>
      </c>
      <c r="F5181" s="227" t="s">
        <v>6095</v>
      </c>
      <c r="G5181" s="57" t="s">
        <v>11449</v>
      </c>
      <c r="H5181" s="54">
        <v>0</v>
      </c>
      <c r="I5181" s="16">
        <v>470000000</v>
      </c>
      <c r="J5181" s="56" t="s">
        <v>229</v>
      </c>
      <c r="K5181" s="57" t="s">
        <v>642</v>
      </c>
      <c r="L5181" s="12" t="s">
        <v>404</v>
      </c>
      <c r="M5181" s="3" t="s">
        <v>230</v>
      </c>
      <c r="N5181" s="8" t="s">
        <v>8898</v>
      </c>
      <c r="O5181" s="6" t="s">
        <v>365</v>
      </c>
      <c r="P5181" s="58">
        <v>796</v>
      </c>
      <c r="Q5181" s="27" t="s">
        <v>234</v>
      </c>
      <c r="R5181" s="31">
        <v>1</v>
      </c>
      <c r="S5181" s="59">
        <f>300000*1.07</f>
        <v>321000</v>
      </c>
      <c r="T5181" s="4">
        <v>0</v>
      </c>
      <c r="U5181" s="4">
        <f>T5181*1.12</f>
        <v>0</v>
      </c>
      <c r="V5181" s="3"/>
      <c r="W5181" s="3">
        <v>2014</v>
      </c>
      <c r="X5181" s="3" t="s">
        <v>14785</v>
      </c>
    </row>
    <row r="5182" spans="1:24" ht="114.75">
      <c r="A5182" s="3" t="s">
        <v>16936</v>
      </c>
      <c r="B5182" s="6" t="s">
        <v>361</v>
      </c>
      <c r="C5182" s="6" t="s">
        <v>7401</v>
      </c>
      <c r="D5182" s="6" t="s">
        <v>11538</v>
      </c>
      <c r="E5182" s="6" t="s">
        <v>11539</v>
      </c>
      <c r="F5182" s="227" t="s">
        <v>6095</v>
      </c>
      <c r="G5182" s="3" t="s">
        <v>11449</v>
      </c>
      <c r="H5182" s="54">
        <v>0</v>
      </c>
      <c r="I5182" s="16">
        <v>470000000</v>
      </c>
      <c r="J5182" s="56" t="s">
        <v>229</v>
      </c>
      <c r="K5182" s="57" t="s">
        <v>8950</v>
      </c>
      <c r="L5182" s="12" t="s">
        <v>404</v>
      </c>
      <c r="M5182" s="3" t="s">
        <v>230</v>
      </c>
      <c r="N5182" s="8" t="s">
        <v>8898</v>
      </c>
      <c r="O5182" s="6" t="s">
        <v>365</v>
      </c>
      <c r="P5182" s="58">
        <v>796</v>
      </c>
      <c r="Q5182" s="27" t="s">
        <v>234</v>
      </c>
      <c r="R5182" s="31">
        <v>1</v>
      </c>
      <c r="S5182" s="59">
        <v>385200</v>
      </c>
      <c r="T5182" s="4">
        <v>0</v>
      </c>
      <c r="U5182" s="4">
        <f>T5182*1.12</f>
        <v>0</v>
      </c>
      <c r="V5182" s="3"/>
      <c r="W5182" s="3">
        <v>2014</v>
      </c>
      <c r="X5182" s="3">
        <v>11</v>
      </c>
    </row>
    <row r="5183" spans="1:24" ht="114.75">
      <c r="A5183" s="3" t="s">
        <v>18803</v>
      </c>
      <c r="B5183" s="6" t="s">
        <v>361</v>
      </c>
      <c r="C5183" s="6" t="s">
        <v>7401</v>
      </c>
      <c r="D5183" s="6" t="s">
        <v>11538</v>
      </c>
      <c r="E5183" s="6" t="s">
        <v>11539</v>
      </c>
      <c r="F5183" s="227" t="s">
        <v>6095</v>
      </c>
      <c r="G5183" s="3" t="s">
        <v>11449</v>
      </c>
      <c r="H5183" s="54">
        <v>0</v>
      </c>
      <c r="I5183" s="16">
        <v>470000000</v>
      </c>
      <c r="J5183" s="56" t="s">
        <v>229</v>
      </c>
      <c r="K5183" s="57" t="s">
        <v>18437</v>
      </c>
      <c r="L5183" s="12" t="s">
        <v>404</v>
      </c>
      <c r="M5183" s="3" t="s">
        <v>230</v>
      </c>
      <c r="N5183" s="8" t="s">
        <v>8898</v>
      </c>
      <c r="O5183" s="6" t="s">
        <v>365</v>
      </c>
      <c r="P5183" s="58">
        <v>796</v>
      </c>
      <c r="Q5183" s="27" t="s">
        <v>234</v>
      </c>
      <c r="R5183" s="31">
        <v>1</v>
      </c>
      <c r="S5183" s="59">
        <v>385200</v>
      </c>
      <c r="T5183" s="4">
        <f>R5183*S5183</f>
        <v>385200</v>
      </c>
      <c r="U5183" s="4">
        <f>T5183*1.12</f>
        <v>431424.00000000006</v>
      </c>
      <c r="V5183" s="3"/>
      <c r="W5183" s="3">
        <v>2014</v>
      </c>
      <c r="X5183" s="3"/>
    </row>
    <row r="5184" spans="1:24" ht="114.75">
      <c r="A5184" s="3" t="s">
        <v>2114</v>
      </c>
      <c r="B5184" s="6" t="s">
        <v>361</v>
      </c>
      <c r="C5184" s="6" t="s">
        <v>7402</v>
      </c>
      <c r="D5184" s="6" t="s">
        <v>5654</v>
      </c>
      <c r="E5184" s="6" t="s">
        <v>11540</v>
      </c>
      <c r="F5184" s="9" t="s">
        <v>6096</v>
      </c>
      <c r="G5184" s="57" t="s">
        <v>11449</v>
      </c>
      <c r="H5184" s="54">
        <v>0</v>
      </c>
      <c r="I5184" s="16">
        <v>470000000</v>
      </c>
      <c r="J5184" s="56" t="s">
        <v>229</v>
      </c>
      <c r="K5184" s="57" t="s">
        <v>641</v>
      </c>
      <c r="L5184" s="12" t="s">
        <v>404</v>
      </c>
      <c r="M5184" s="3" t="s">
        <v>230</v>
      </c>
      <c r="N5184" s="8" t="s">
        <v>8899</v>
      </c>
      <c r="O5184" s="6" t="s">
        <v>365</v>
      </c>
      <c r="P5184" s="58">
        <v>796</v>
      </c>
      <c r="Q5184" s="27" t="s">
        <v>234</v>
      </c>
      <c r="R5184" s="31">
        <v>4</v>
      </c>
      <c r="S5184" s="59">
        <f>5000*1.07</f>
        <v>5350</v>
      </c>
      <c r="T5184" s="4">
        <v>0</v>
      </c>
      <c r="U5184" s="4">
        <f t="shared" si="228"/>
        <v>0</v>
      </c>
      <c r="V5184" s="3"/>
      <c r="W5184" s="3">
        <v>2014</v>
      </c>
      <c r="X5184" s="3">
        <v>11</v>
      </c>
    </row>
    <row r="5185" spans="1:24" ht="114.75">
      <c r="A5185" s="3" t="s">
        <v>12814</v>
      </c>
      <c r="B5185" s="6" t="s">
        <v>361</v>
      </c>
      <c r="C5185" s="6" t="s">
        <v>7402</v>
      </c>
      <c r="D5185" s="6" t="s">
        <v>5654</v>
      </c>
      <c r="E5185" s="6" t="s">
        <v>11540</v>
      </c>
      <c r="F5185" s="9" t="s">
        <v>6096</v>
      </c>
      <c r="G5185" s="57" t="s">
        <v>11449</v>
      </c>
      <c r="H5185" s="54">
        <v>0</v>
      </c>
      <c r="I5185" s="16">
        <v>470000000</v>
      </c>
      <c r="J5185" s="56" t="s">
        <v>229</v>
      </c>
      <c r="K5185" s="57" t="s">
        <v>642</v>
      </c>
      <c r="L5185" s="12" t="s">
        <v>404</v>
      </c>
      <c r="M5185" s="3" t="s">
        <v>230</v>
      </c>
      <c r="N5185" s="8" t="s">
        <v>8899</v>
      </c>
      <c r="O5185" s="6" t="s">
        <v>365</v>
      </c>
      <c r="P5185" s="58">
        <v>796</v>
      </c>
      <c r="Q5185" s="27" t="s">
        <v>234</v>
      </c>
      <c r="R5185" s="31">
        <v>4</v>
      </c>
      <c r="S5185" s="59">
        <f>5000*1.07</f>
        <v>5350</v>
      </c>
      <c r="T5185" s="4">
        <v>0</v>
      </c>
      <c r="U5185" s="4">
        <f>T5185*1.12</f>
        <v>0</v>
      </c>
      <c r="V5185" s="3"/>
      <c r="W5185" s="3">
        <v>2014</v>
      </c>
      <c r="X5185" s="3" t="s">
        <v>14785</v>
      </c>
    </row>
    <row r="5186" spans="1:24" ht="114.75">
      <c r="A5186" s="3" t="s">
        <v>16937</v>
      </c>
      <c r="B5186" s="6" t="s">
        <v>361</v>
      </c>
      <c r="C5186" s="6" t="s">
        <v>7402</v>
      </c>
      <c r="D5186" s="6" t="s">
        <v>5654</v>
      </c>
      <c r="E5186" s="6" t="s">
        <v>11540</v>
      </c>
      <c r="F5186" s="9" t="s">
        <v>6096</v>
      </c>
      <c r="G5186" s="3" t="s">
        <v>11449</v>
      </c>
      <c r="H5186" s="54">
        <v>0</v>
      </c>
      <c r="I5186" s="16">
        <v>470000000</v>
      </c>
      <c r="J5186" s="56" t="s">
        <v>229</v>
      </c>
      <c r="K5186" s="57" t="s">
        <v>8950</v>
      </c>
      <c r="L5186" s="12" t="s">
        <v>404</v>
      </c>
      <c r="M5186" s="3" t="s">
        <v>230</v>
      </c>
      <c r="N5186" s="8" t="s">
        <v>8899</v>
      </c>
      <c r="O5186" s="6" t="s">
        <v>365</v>
      </c>
      <c r="P5186" s="58">
        <v>796</v>
      </c>
      <c r="Q5186" s="27" t="s">
        <v>234</v>
      </c>
      <c r="R5186" s="31">
        <v>4</v>
      </c>
      <c r="S5186" s="59">
        <v>6420</v>
      </c>
      <c r="T5186" s="4">
        <f>R5186*S5186</f>
        <v>25680</v>
      </c>
      <c r="U5186" s="4">
        <f>T5186*1.12</f>
        <v>28761.600000000002</v>
      </c>
      <c r="V5186" s="3"/>
      <c r="W5186" s="3">
        <v>2014</v>
      </c>
      <c r="X5186" s="3"/>
    </row>
    <row r="5187" spans="1:24" ht="114.75">
      <c r="A5187" s="3" t="s">
        <v>2115</v>
      </c>
      <c r="B5187" s="6" t="s">
        <v>361</v>
      </c>
      <c r="C5187" s="6" t="s">
        <v>6097</v>
      </c>
      <c r="D5187" s="6" t="s">
        <v>6098</v>
      </c>
      <c r="E5187" s="6" t="s">
        <v>6099</v>
      </c>
      <c r="F5187" s="9" t="s">
        <v>6100</v>
      </c>
      <c r="G5187" s="57" t="s">
        <v>11449</v>
      </c>
      <c r="H5187" s="54">
        <v>0</v>
      </c>
      <c r="I5187" s="16">
        <v>470000000</v>
      </c>
      <c r="J5187" s="56" t="s">
        <v>229</v>
      </c>
      <c r="K5187" s="57" t="s">
        <v>641</v>
      </c>
      <c r="L5187" s="12" t="s">
        <v>404</v>
      </c>
      <c r="M5187" s="3" t="s">
        <v>230</v>
      </c>
      <c r="N5187" s="8" t="s">
        <v>8899</v>
      </c>
      <c r="O5187" s="6" t="s">
        <v>365</v>
      </c>
      <c r="P5187" s="58">
        <v>796</v>
      </c>
      <c r="Q5187" s="27" t="s">
        <v>234</v>
      </c>
      <c r="R5187" s="31">
        <v>10</v>
      </c>
      <c r="S5187" s="59">
        <f>7000*1.07</f>
        <v>7490</v>
      </c>
      <c r="T5187" s="4">
        <v>0</v>
      </c>
      <c r="U5187" s="4">
        <f t="shared" si="228"/>
        <v>0</v>
      </c>
      <c r="V5187" s="3"/>
      <c r="W5187" s="3">
        <v>2014</v>
      </c>
      <c r="X5187" s="3">
        <v>11</v>
      </c>
    </row>
    <row r="5188" spans="1:24" ht="114.75">
      <c r="A5188" s="3" t="s">
        <v>12815</v>
      </c>
      <c r="B5188" s="6" t="s">
        <v>361</v>
      </c>
      <c r="C5188" s="6" t="s">
        <v>6097</v>
      </c>
      <c r="D5188" s="6" t="s">
        <v>6098</v>
      </c>
      <c r="E5188" s="6" t="s">
        <v>6099</v>
      </c>
      <c r="F5188" s="9" t="s">
        <v>6100</v>
      </c>
      <c r="G5188" s="57" t="s">
        <v>11449</v>
      </c>
      <c r="H5188" s="54">
        <v>0</v>
      </c>
      <c r="I5188" s="16">
        <v>470000000</v>
      </c>
      <c r="J5188" s="56" t="s">
        <v>229</v>
      </c>
      <c r="K5188" s="57" t="s">
        <v>642</v>
      </c>
      <c r="L5188" s="12" t="s">
        <v>404</v>
      </c>
      <c r="M5188" s="3" t="s">
        <v>230</v>
      </c>
      <c r="N5188" s="8" t="s">
        <v>8899</v>
      </c>
      <c r="O5188" s="6" t="s">
        <v>365</v>
      </c>
      <c r="P5188" s="58">
        <v>796</v>
      </c>
      <c r="Q5188" s="27" t="s">
        <v>234</v>
      </c>
      <c r="R5188" s="31">
        <v>10</v>
      </c>
      <c r="S5188" s="59">
        <f>7000*1.07</f>
        <v>7490</v>
      </c>
      <c r="T5188" s="4">
        <f>R5188*S5188</f>
        <v>74900</v>
      </c>
      <c r="U5188" s="4">
        <f>T5188*1.12</f>
        <v>83888.000000000015</v>
      </c>
      <c r="V5188" s="3"/>
      <c r="W5188" s="3">
        <v>2014</v>
      </c>
      <c r="X5188" s="3"/>
    </row>
    <row r="5189" spans="1:24" ht="114.75">
      <c r="A5189" s="3" t="s">
        <v>2116</v>
      </c>
      <c r="B5189" s="6" t="s">
        <v>361</v>
      </c>
      <c r="C5189" s="6" t="s">
        <v>6101</v>
      </c>
      <c r="D5189" s="6" t="s">
        <v>443</v>
      </c>
      <c r="E5189" s="6" t="s">
        <v>6102</v>
      </c>
      <c r="F5189" s="9" t="s">
        <v>6103</v>
      </c>
      <c r="G5189" s="57" t="s">
        <v>11449</v>
      </c>
      <c r="H5189" s="54">
        <v>0</v>
      </c>
      <c r="I5189" s="16">
        <v>470000000</v>
      </c>
      <c r="J5189" s="56" t="s">
        <v>229</v>
      </c>
      <c r="K5189" s="57" t="s">
        <v>641</v>
      </c>
      <c r="L5189" s="12" t="s">
        <v>404</v>
      </c>
      <c r="M5189" s="3" t="s">
        <v>230</v>
      </c>
      <c r="N5189" s="8" t="s">
        <v>8899</v>
      </c>
      <c r="O5189" s="6" t="s">
        <v>365</v>
      </c>
      <c r="P5189" s="58">
        <v>796</v>
      </c>
      <c r="Q5189" s="27" t="s">
        <v>234</v>
      </c>
      <c r="R5189" s="31">
        <v>2</v>
      </c>
      <c r="S5189" s="59">
        <f>12000*1.07</f>
        <v>12840</v>
      </c>
      <c r="T5189" s="4">
        <v>0</v>
      </c>
      <c r="U5189" s="4">
        <f t="shared" si="228"/>
        <v>0</v>
      </c>
      <c r="V5189" s="3"/>
      <c r="W5189" s="3">
        <v>2014</v>
      </c>
      <c r="X5189" s="3">
        <v>11</v>
      </c>
    </row>
    <row r="5190" spans="1:24" ht="114.75">
      <c r="A5190" s="3" t="s">
        <v>12816</v>
      </c>
      <c r="B5190" s="6" t="s">
        <v>361</v>
      </c>
      <c r="C5190" s="6" t="s">
        <v>6101</v>
      </c>
      <c r="D5190" s="6" t="s">
        <v>443</v>
      </c>
      <c r="E5190" s="6" t="s">
        <v>6102</v>
      </c>
      <c r="F5190" s="9" t="s">
        <v>6103</v>
      </c>
      <c r="G5190" s="57" t="s">
        <v>11449</v>
      </c>
      <c r="H5190" s="54">
        <v>0</v>
      </c>
      <c r="I5190" s="16">
        <v>470000000</v>
      </c>
      <c r="J5190" s="56" t="s">
        <v>229</v>
      </c>
      <c r="K5190" s="57" t="s">
        <v>642</v>
      </c>
      <c r="L5190" s="12" t="s">
        <v>404</v>
      </c>
      <c r="M5190" s="3" t="s">
        <v>230</v>
      </c>
      <c r="N5190" s="8" t="s">
        <v>8899</v>
      </c>
      <c r="O5190" s="6" t="s">
        <v>365</v>
      </c>
      <c r="P5190" s="58">
        <v>796</v>
      </c>
      <c r="Q5190" s="27" t="s">
        <v>234</v>
      </c>
      <c r="R5190" s="31">
        <v>2</v>
      </c>
      <c r="S5190" s="59">
        <f>12000*1.07</f>
        <v>12840</v>
      </c>
      <c r="T5190" s="4">
        <f>R5190*S5190</f>
        <v>25680</v>
      </c>
      <c r="U5190" s="4">
        <f>T5190*1.12</f>
        <v>28761.600000000002</v>
      </c>
      <c r="V5190" s="3"/>
      <c r="W5190" s="3">
        <v>2014</v>
      </c>
      <c r="X5190" s="3"/>
    </row>
    <row r="5191" spans="1:24" ht="114.75">
      <c r="A5191" s="3" t="s">
        <v>2117</v>
      </c>
      <c r="B5191" s="6" t="s">
        <v>361</v>
      </c>
      <c r="C5191" s="6" t="s">
        <v>6101</v>
      </c>
      <c r="D5191" s="6" t="s">
        <v>443</v>
      </c>
      <c r="E5191" s="6" t="s">
        <v>6102</v>
      </c>
      <c r="F5191" s="9" t="s">
        <v>6104</v>
      </c>
      <c r="G5191" s="57" t="s">
        <v>11449</v>
      </c>
      <c r="H5191" s="54">
        <v>0</v>
      </c>
      <c r="I5191" s="16">
        <v>470000000</v>
      </c>
      <c r="J5191" s="56" t="s">
        <v>229</v>
      </c>
      <c r="K5191" s="57" t="s">
        <v>641</v>
      </c>
      <c r="L5191" s="12" t="s">
        <v>404</v>
      </c>
      <c r="M5191" s="3" t="s">
        <v>230</v>
      </c>
      <c r="N5191" s="8" t="s">
        <v>8899</v>
      </c>
      <c r="O5191" s="6" t="s">
        <v>365</v>
      </c>
      <c r="P5191" s="58">
        <v>796</v>
      </c>
      <c r="Q5191" s="27" t="s">
        <v>234</v>
      </c>
      <c r="R5191" s="31">
        <v>8</v>
      </c>
      <c r="S5191" s="59">
        <f>11000*1.07</f>
        <v>11770</v>
      </c>
      <c r="T5191" s="4">
        <v>0</v>
      </c>
      <c r="U5191" s="4">
        <f t="shared" si="228"/>
        <v>0</v>
      </c>
      <c r="V5191" s="3"/>
      <c r="W5191" s="3">
        <v>2014</v>
      </c>
      <c r="X5191" s="3">
        <v>11</v>
      </c>
    </row>
    <row r="5192" spans="1:24" ht="114.75">
      <c r="A5192" s="3" t="s">
        <v>12817</v>
      </c>
      <c r="B5192" s="6" t="s">
        <v>361</v>
      </c>
      <c r="C5192" s="6" t="s">
        <v>6101</v>
      </c>
      <c r="D5192" s="6" t="s">
        <v>443</v>
      </c>
      <c r="E5192" s="6" t="s">
        <v>6102</v>
      </c>
      <c r="F5192" s="9" t="s">
        <v>6104</v>
      </c>
      <c r="G5192" s="57" t="s">
        <v>11449</v>
      </c>
      <c r="H5192" s="54">
        <v>0</v>
      </c>
      <c r="I5192" s="16">
        <v>470000000</v>
      </c>
      <c r="J5192" s="56" t="s">
        <v>229</v>
      </c>
      <c r="K5192" s="57" t="s">
        <v>642</v>
      </c>
      <c r="L5192" s="12" t="s">
        <v>404</v>
      </c>
      <c r="M5192" s="3" t="s">
        <v>230</v>
      </c>
      <c r="N5192" s="8" t="s">
        <v>8899</v>
      </c>
      <c r="O5192" s="6" t="s">
        <v>365</v>
      </c>
      <c r="P5192" s="58">
        <v>796</v>
      </c>
      <c r="Q5192" s="27" t="s">
        <v>234</v>
      </c>
      <c r="R5192" s="31">
        <v>8</v>
      </c>
      <c r="S5192" s="59">
        <f>11000*1.07</f>
        <v>11770</v>
      </c>
      <c r="T5192" s="4">
        <f>R5192*S5192</f>
        <v>94160</v>
      </c>
      <c r="U5192" s="4">
        <f>T5192*1.12</f>
        <v>105459.20000000001</v>
      </c>
      <c r="V5192" s="3"/>
      <c r="W5192" s="3">
        <v>2014</v>
      </c>
      <c r="X5192" s="3"/>
    </row>
    <row r="5193" spans="1:24" ht="114.75">
      <c r="A5193" s="3" t="s">
        <v>2118</v>
      </c>
      <c r="B5193" s="6" t="s">
        <v>361</v>
      </c>
      <c r="C5193" s="6" t="s">
        <v>6105</v>
      </c>
      <c r="D5193" s="6" t="s">
        <v>5941</v>
      </c>
      <c r="E5193" s="6" t="s">
        <v>5743</v>
      </c>
      <c r="F5193" s="107" t="s">
        <v>6106</v>
      </c>
      <c r="G5193" s="57" t="s">
        <v>11449</v>
      </c>
      <c r="H5193" s="54">
        <v>0</v>
      </c>
      <c r="I5193" s="16">
        <v>470000000</v>
      </c>
      <c r="J5193" s="56" t="s">
        <v>229</v>
      </c>
      <c r="K5193" s="57" t="s">
        <v>641</v>
      </c>
      <c r="L5193" s="12" t="s">
        <v>404</v>
      </c>
      <c r="M5193" s="3" t="s">
        <v>230</v>
      </c>
      <c r="N5193" s="8" t="s">
        <v>8899</v>
      </c>
      <c r="O5193" s="6" t="s">
        <v>365</v>
      </c>
      <c r="P5193" s="58">
        <v>796</v>
      </c>
      <c r="Q5193" s="27" t="s">
        <v>234</v>
      </c>
      <c r="R5193" s="26">
        <v>4</v>
      </c>
      <c r="S5193" s="59">
        <f>8000*1.07</f>
        <v>8560</v>
      </c>
      <c r="T5193" s="4">
        <v>0</v>
      </c>
      <c r="U5193" s="4">
        <f t="shared" si="228"/>
        <v>0</v>
      </c>
      <c r="V5193" s="3"/>
      <c r="W5193" s="3">
        <v>2014</v>
      </c>
      <c r="X5193" s="3">
        <v>11</v>
      </c>
    </row>
    <row r="5194" spans="1:24" ht="114.75">
      <c r="A5194" s="3" t="s">
        <v>12818</v>
      </c>
      <c r="B5194" s="6" t="s">
        <v>361</v>
      </c>
      <c r="C5194" s="6" t="s">
        <v>6105</v>
      </c>
      <c r="D5194" s="6" t="s">
        <v>5941</v>
      </c>
      <c r="E5194" s="6" t="s">
        <v>5743</v>
      </c>
      <c r="F5194" s="107" t="s">
        <v>6106</v>
      </c>
      <c r="G5194" s="57" t="s">
        <v>11449</v>
      </c>
      <c r="H5194" s="54">
        <v>0</v>
      </c>
      <c r="I5194" s="16">
        <v>470000000</v>
      </c>
      <c r="J5194" s="56" t="s">
        <v>229</v>
      </c>
      <c r="K5194" s="57" t="s">
        <v>642</v>
      </c>
      <c r="L5194" s="12" t="s">
        <v>404</v>
      </c>
      <c r="M5194" s="3" t="s">
        <v>230</v>
      </c>
      <c r="N5194" s="8" t="s">
        <v>8899</v>
      </c>
      <c r="O5194" s="6" t="s">
        <v>365</v>
      </c>
      <c r="P5194" s="58">
        <v>796</v>
      </c>
      <c r="Q5194" s="27" t="s">
        <v>234</v>
      </c>
      <c r="R5194" s="26">
        <v>4</v>
      </c>
      <c r="S5194" s="59">
        <f>8000*1.07</f>
        <v>8560</v>
      </c>
      <c r="T5194" s="4">
        <f>R5194*S5194</f>
        <v>34240</v>
      </c>
      <c r="U5194" s="4">
        <f>T5194*1.12</f>
        <v>38348.800000000003</v>
      </c>
      <c r="V5194" s="3"/>
      <c r="W5194" s="3">
        <v>2014</v>
      </c>
      <c r="X5194" s="3"/>
    </row>
    <row r="5195" spans="1:24" ht="114.75">
      <c r="A5195" s="3" t="s">
        <v>2119</v>
      </c>
      <c r="B5195" s="6" t="s">
        <v>361</v>
      </c>
      <c r="C5195" s="6" t="s">
        <v>6107</v>
      </c>
      <c r="D5195" s="6" t="s">
        <v>6108</v>
      </c>
      <c r="E5195" s="6" t="s">
        <v>6109</v>
      </c>
      <c r="F5195" s="107" t="s">
        <v>6110</v>
      </c>
      <c r="G5195" s="57" t="s">
        <v>11449</v>
      </c>
      <c r="H5195" s="54">
        <v>0</v>
      </c>
      <c r="I5195" s="16">
        <v>470000000</v>
      </c>
      <c r="J5195" s="56" t="s">
        <v>229</v>
      </c>
      <c r="K5195" s="57" t="s">
        <v>641</v>
      </c>
      <c r="L5195" s="12" t="s">
        <v>404</v>
      </c>
      <c r="M5195" s="3" t="s">
        <v>230</v>
      </c>
      <c r="N5195" s="8" t="s">
        <v>8899</v>
      </c>
      <c r="O5195" s="6" t="s">
        <v>365</v>
      </c>
      <c r="P5195" s="58">
        <v>796</v>
      </c>
      <c r="Q5195" s="27" t="s">
        <v>234</v>
      </c>
      <c r="R5195" s="26">
        <v>80</v>
      </c>
      <c r="S5195" s="59">
        <f t="shared" ref="S5195:S5200" si="230">300*1.07</f>
        <v>321</v>
      </c>
      <c r="T5195" s="4">
        <v>0</v>
      </c>
      <c r="U5195" s="4">
        <f t="shared" ref="U5195:U5303" si="231">T5195*1.12</f>
        <v>0</v>
      </c>
      <c r="V5195" s="3"/>
      <c r="W5195" s="3">
        <v>2014</v>
      </c>
      <c r="X5195" s="3">
        <v>11</v>
      </c>
    </row>
    <row r="5196" spans="1:24" ht="114.75">
      <c r="A5196" s="3" t="s">
        <v>12819</v>
      </c>
      <c r="B5196" s="6" t="s">
        <v>361</v>
      </c>
      <c r="C5196" s="6" t="s">
        <v>6107</v>
      </c>
      <c r="D5196" s="6" t="s">
        <v>6108</v>
      </c>
      <c r="E5196" s="6" t="s">
        <v>6109</v>
      </c>
      <c r="F5196" s="107" t="s">
        <v>6110</v>
      </c>
      <c r="G5196" s="57" t="s">
        <v>11449</v>
      </c>
      <c r="H5196" s="54">
        <v>0</v>
      </c>
      <c r="I5196" s="16">
        <v>470000000</v>
      </c>
      <c r="J5196" s="56" t="s">
        <v>229</v>
      </c>
      <c r="K5196" s="57" t="s">
        <v>642</v>
      </c>
      <c r="L5196" s="12" t="s">
        <v>404</v>
      </c>
      <c r="M5196" s="3" t="s">
        <v>230</v>
      </c>
      <c r="N5196" s="8" t="s">
        <v>8899</v>
      </c>
      <c r="O5196" s="6" t="s">
        <v>365</v>
      </c>
      <c r="P5196" s="58">
        <v>796</v>
      </c>
      <c r="Q5196" s="27" t="s">
        <v>234</v>
      </c>
      <c r="R5196" s="26">
        <v>80</v>
      </c>
      <c r="S5196" s="59">
        <f t="shared" si="230"/>
        <v>321</v>
      </c>
      <c r="T5196" s="4">
        <f>R5196*S5196</f>
        <v>25680</v>
      </c>
      <c r="U5196" s="4">
        <f>T5196*1.12</f>
        <v>28761.600000000002</v>
      </c>
      <c r="V5196" s="3"/>
      <c r="W5196" s="3">
        <v>2014</v>
      </c>
      <c r="X5196" s="3"/>
    </row>
    <row r="5197" spans="1:24" ht="114.75">
      <c r="A5197" s="3" t="s">
        <v>2120</v>
      </c>
      <c r="B5197" s="6" t="s">
        <v>361</v>
      </c>
      <c r="C5197" s="6" t="s">
        <v>5523</v>
      </c>
      <c r="D5197" s="6" t="s">
        <v>416</v>
      </c>
      <c r="E5197" s="6" t="s">
        <v>5332</v>
      </c>
      <c r="F5197" s="107" t="s">
        <v>6111</v>
      </c>
      <c r="G5197" s="57" t="s">
        <v>11449</v>
      </c>
      <c r="H5197" s="54">
        <v>0</v>
      </c>
      <c r="I5197" s="16">
        <v>470000000</v>
      </c>
      <c r="J5197" s="56" t="s">
        <v>229</v>
      </c>
      <c r="K5197" s="57" t="s">
        <v>641</v>
      </c>
      <c r="L5197" s="12" t="s">
        <v>404</v>
      </c>
      <c r="M5197" s="3" t="s">
        <v>230</v>
      </c>
      <c r="N5197" s="8" t="s">
        <v>8899</v>
      </c>
      <c r="O5197" s="6" t="s">
        <v>365</v>
      </c>
      <c r="P5197" s="58">
        <v>796</v>
      </c>
      <c r="Q5197" s="27" t="s">
        <v>234</v>
      </c>
      <c r="R5197" s="26">
        <v>30</v>
      </c>
      <c r="S5197" s="59">
        <f t="shared" si="230"/>
        <v>321</v>
      </c>
      <c r="T5197" s="4">
        <v>0</v>
      </c>
      <c r="U5197" s="4">
        <f t="shared" si="231"/>
        <v>0</v>
      </c>
      <c r="V5197" s="3"/>
      <c r="W5197" s="3">
        <v>2014</v>
      </c>
      <c r="X5197" s="3">
        <v>11</v>
      </c>
    </row>
    <row r="5198" spans="1:24" ht="114.75">
      <c r="A5198" s="3" t="s">
        <v>12820</v>
      </c>
      <c r="B5198" s="6" t="s">
        <v>361</v>
      </c>
      <c r="C5198" s="6" t="s">
        <v>5523</v>
      </c>
      <c r="D5198" s="6" t="s">
        <v>416</v>
      </c>
      <c r="E5198" s="6" t="s">
        <v>5332</v>
      </c>
      <c r="F5198" s="107" t="s">
        <v>6111</v>
      </c>
      <c r="G5198" s="57" t="s">
        <v>11449</v>
      </c>
      <c r="H5198" s="54">
        <v>0</v>
      </c>
      <c r="I5198" s="16">
        <v>470000000</v>
      </c>
      <c r="J5198" s="56" t="s">
        <v>229</v>
      </c>
      <c r="K5198" s="57" t="s">
        <v>642</v>
      </c>
      <c r="L5198" s="12" t="s">
        <v>404</v>
      </c>
      <c r="M5198" s="3" t="s">
        <v>230</v>
      </c>
      <c r="N5198" s="8" t="s">
        <v>8899</v>
      </c>
      <c r="O5198" s="6" t="s">
        <v>365</v>
      </c>
      <c r="P5198" s="58">
        <v>796</v>
      </c>
      <c r="Q5198" s="27" t="s">
        <v>234</v>
      </c>
      <c r="R5198" s="26">
        <v>30</v>
      </c>
      <c r="S5198" s="59">
        <f t="shared" si="230"/>
        <v>321</v>
      </c>
      <c r="T5198" s="4">
        <f>R5198*S5198</f>
        <v>9630</v>
      </c>
      <c r="U5198" s="4">
        <f>T5198*1.12</f>
        <v>10785.6</v>
      </c>
      <c r="V5198" s="3"/>
      <c r="W5198" s="3">
        <v>2014</v>
      </c>
      <c r="X5198" s="3"/>
    </row>
    <row r="5199" spans="1:24" ht="114.75">
      <c r="A5199" s="3" t="s">
        <v>2121</v>
      </c>
      <c r="B5199" s="6" t="s">
        <v>361</v>
      </c>
      <c r="C5199" s="6" t="s">
        <v>6112</v>
      </c>
      <c r="D5199" s="6" t="s">
        <v>398</v>
      </c>
      <c r="E5199" s="6" t="s">
        <v>6113</v>
      </c>
      <c r="F5199" s="107" t="s">
        <v>6114</v>
      </c>
      <c r="G5199" s="57" t="s">
        <v>11449</v>
      </c>
      <c r="H5199" s="54">
        <v>0</v>
      </c>
      <c r="I5199" s="16">
        <v>470000000</v>
      </c>
      <c r="J5199" s="56" t="s">
        <v>229</v>
      </c>
      <c r="K5199" s="57" t="s">
        <v>641</v>
      </c>
      <c r="L5199" s="12" t="s">
        <v>404</v>
      </c>
      <c r="M5199" s="3" t="s">
        <v>230</v>
      </c>
      <c r="N5199" s="8" t="s">
        <v>8899</v>
      </c>
      <c r="O5199" s="6" t="s">
        <v>365</v>
      </c>
      <c r="P5199" s="58">
        <v>796</v>
      </c>
      <c r="Q5199" s="27" t="s">
        <v>234</v>
      </c>
      <c r="R5199" s="26">
        <v>30</v>
      </c>
      <c r="S5199" s="59">
        <f t="shared" si="230"/>
        <v>321</v>
      </c>
      <c r="T5199" s="4">
        <v>0</v>
      </c>
      <c r="U5199" s="4">
        <f t="shared" si="231"/>
        <v>0</v>
      </c>
      <c r="V5199" s="3"/>
      <c r="W5199" s="3">
        <v>2014</v>
      </c>
      <c r="X5199" s="3">
        <v>11</v>
      </c>
    </row>
    <row r="5200" spans="1:24" ht="114.75">
      <c r="A5200" s="3" t="s">
        <v>12821</v>
      </c>
      <c r="B5200" s="6" t="s">
        <v>361</v>
      </c>
      <c r="C5200" s="6" t="s">
        <v>6112</v>
      </c>
      <c r="D5200" s="6" t="s">
        <v>398</v>
      </c>
      <c r="E5200" s="6" t="s">
        <v>6113</v>
      </c>
      <c r="F5200" s="107" t="s">
        <v>6114</v>
      </c>
      <c r="G5200" s="57" t="s">
        <v>11449</v>
      </c>
      <c r="H5200" s="54">
        <v>0</v>
      </c>
      <c r="I5200" s="16">
        <v>470000000</v>
      </c>
      <c r="J5200" s="56" t="s">
        <v>229</v>
      </c>
      <c r="K5200" s="57" t="s">
        <v>642</v>
      </c>
      <c r="L5200" s="12" t="s">
        <v>404</v>
      </c>
      <c r="M5200" s="3" t="s">
        <v>230</v>
      </c>
      <c r="N5200" s="8" t="s">
        <v>8899</v>
      </c>
      <c r="O5200" s="6" t="s">
        <v>365</v>
      </c>
      <c r="P5200" s="58">
        <v>796</v>
      </c>
      <c r="Q5200" s="27" t="s">
        <v>234</v>
      </c>
      <c r="R5200" s="26">
        <v>30</v>
      </c>
      <c r="S5200" s="59">
        <f t="shared" si="230"/>
        <v>321</v>
      </c>
      <c r="T5200" s="4">
        <f>R5200*S5200</f>
        <v>9630</v>
      </c>
      <c r="U5200" s="4">
        <f>T5200*1.12</f>
        <v>10785.6</v>
      </c>
      <c r="V5200" s="3"/>
      <c r="W5200" s="3">
        <v>2014</v>
      </c>
      <c r="X5200" s="3"/>
    </row>
    <row r="5201" spans="1:24" ht="114.75">
      <c r="A5201" s="3" t="s">
        <v>2122</v>
      </c>
      <c r="B5201" s="6" t="s">
        <v>361</v>
      </c>
      <c r="C5201" s="6" t="s">
        <v>6059</v>
      </c>
      <c r="D5201" s="6" t="s">
        <v>444</v>
      </c>
      <c r="E5201" s="6" t="s">
        <v>5998</v>
      </c>
      <c r="F5201" s="107" t="s">
        <v>6115</v>
      </c>
      <c r="G5201" s="57" t="s">
        <v>11449</v>
      </c>
      <c r="H5201" s="54">
        <v>0</v>
      </c>
      <c r="I5201" s="16">
        <v>470000000</v>
      </c>
      <c r="J5201" s="56" t="s">
        <v>229</v>
      </c>
      <c r="K5201" s="57" t="s">
        <v>641</v>
      </c>
      <c r="L5201" s="12" t="s">
        <v>404</v>
      </c>
      <c r="M5201" s="3" t="s">
        <v>230</v>
      </c>
      <c r="N5201" s="8" t="s">
        <v>8899</v>
      </c>
      <c r="O5201" s="6" t="s">
        <v>365</v>
      </c>
      <c r="P5201" s="58">
        <v>796</v>
      </c>
      <c r="Q5201" s="27" t="s">
        <v>234</v>
      </c>
      <c r="R5201" s="26">
        <v>6</v>
      </c>
      <c r="S5201" s="59">
        <f>12000*1.07</f>
        <v>12840</v>
      </c>
      <c r="T5201" s="4">
        <v>0</v>
      </c>
      <c r="U5201" s="4">
        <f t="shared" si="231"/>
        <v>0</v>
      </c>
      <c r="V5201" s="3"/>
      <c r="W5201" s="3">
        <v>2014</v>
      </c>
      <c r="X5201" s="3">
        <v>11</v>
      </c>
    </row>
    <row r="5202" spans="1:24" ht="114.75">
      <c r="A5202" s="3" t="s">
        <v>12822</v>
      </c>
      <c r="B5202" s="6" t="s">
        <v>361</v>
      </c>
      <c r="C5202" s="6" t="s">
        <v>6059</v>
      </c>
      <c r="D5202" s="6" t="s">
        <v>444</v>
      </c>
      <c r="E5202" s="6" t="s">
        <v>5998</v>
      </c>
      <c r="F5202" s="107" t="s">
        <v>6115</v>
      </c>
      <c r="G5202" s="57" t="s">
        <v>11449</v>
      </c>
      <c r="H5202" s="54">
        <v>0</v>
      </c>
      <c r="I5202" s="16">
        <v>470000000</v>
      </c>
      <c r="J5202" s="56" t="s">
        <v>229</v>
      </c>
      <c r="K5202" s="57" t="s">
        <v>642</v>
      </c>
      <c r="L5202" s="12" t="s">
        <v>404</v>
      </c>
      <c r="M5202" s="3" t="s">
        <v>230</v>
      </c>
      <c r="N5202" s="8" t="s">
        <v>8899</v>
      </c>
      <c r="O5202" s="6" t="s">
        <v>365</v>
      </c>
      <c r="P5202" s="58">
        <v>796</v>
      </c>
      <c r="Q5202" s="27" t="s">
        <v>234</v>
      </c>
      <c r="R5202" s="26">
        <v>6</v>
      </c>
      <c r="S5202" s="59">
        <f>12000*1.07</f>
        <v>12840</v>
      </c>
      <c r="T5202" s="4">
        <f>R5202*S5202</f>
        <v>77040</v>
      </c>
      <c r="U5202" s="4">
        <f>T5202*1.12</f>
        <v>86284.800000000003</v>
      </c>
      <c r="V5202" s="3"/>
      <c r="W5202" s="3">
        <v>2014</v>
      </c>
      <c r="X5202" s="3"/>
    </row>
    <row r="5203" spans="1:24" ht="114.75">
      <c r="A5203" s="3" t="s">
        <v>2123</v>
      </c>
      <c r="B5203" s="6" t="s">
        <v>361</v>
      </c>
      <c r="C5203" s="6" t="s">
        <v>6059</v>
      </c>
      <c r="D5203" s="6" t="s">
        <v>444</v>
      </c>
      <c r="E5203" s="6" t="s">
        <v>5998</v>
      </c>
      <c r="F5203" s="107" t="s">
        <v>6116</v>
      </c>
      <c r="G5203" s="57" t="s">
        <v>11449</v>
      </c>
      <c r="H5203" s="54">
        <v>0</v>
      </c>
      <c r="I5203" s="16">
        <v>470000000</v>
      </c>
      <c r="J5203" s="56" t="s">
        <v>229</v>
      </c>
      <c r="K5203" s="57" t="s">
        <v>641</v>
      </c>
      <c r="L5203" s="12" t="s">
        <v>404</v>
      </c>
      <c r="M5203" s="3" t="s">
        <v>230</v>
      </c>
      <c r="N5203" s="8" t="s">
        <v>8899</v>
      </c>
      <c r="O5203" s="6" t="s">
        <v>365</v>
      </c>
      <c r="P5203" s="58">
        <v>796</v>
      </c>
      <c r="Q5203" s="27" t="s">
        <v>234</v>
      </c>
      <c r="R5203" s="26">
        <v>6</v>
      </c>
      <c r="S5203" s="59">
        <f>12000*1.07</f>
        <v>12840</v>
      </c>
      <c r="T5203" s="4">
        <v>0</v>
      </c>
      <c r="U5203" s="4">
        <f t="shared" si="231"/>
        <v>0</v>
      </c>
      <c r="V5203" s="3"/>
      <c r="W5203" s="3">
        <v>2014</v>
      </c>
      <c r="X5203" s="3">
        <v>11</v>
      </c>
    </row>
    <row r="5204" spans="1:24" ht="114.75">
      <c r="A5204" s="3" t="s">
        <v>12823</v>
      </c>
      <c r="B5204" s="6" t="s">
        <v>361</v>
      </c>
      <c r="C5204" s="6" t="s">
        <v>6059</v>
      </c>
      <c r="D5204" s="6" t="s">
        <v>444</v>
      </c>
      <c r="E5204" s="6" t="s">
        <v>5998</v>
      </c>
      <c r="F5204" s="107" t="s">
        <v>6116</v>
      </c>
      <c r="G5204" s="57" t="s">
        <v>11449</v>
      </c>
      <c r="H5204" s="54">
        <v>0</v>
      </c>
      <c r="I5204" s="16">
        <v>470000000</v>
      </c>
      <c r="J5204" s="56" t="s">
        <v>229</v>
      </c>
      <c r="K5204" s="57" t="s">
        <v>642</v>
      </c>
      <c r="L5204" s="12" t="s">
        <v>404</v>
      </c>
      <c r="M5204" s="3" t="s">
        <v>230</v>
      </c>
      <c r="N5204" s="8" t="s">
        <v>8899</v>
      </c>
      <c r="O5204" s="6" t="s">
        <v>365</v>
      </c>
      <c r="P5204" s="58">
        <v>796</v>
      </c>
      <c r="Q5204" s="27" t="s">
        <v>234</v>
      </c>
      <c r="R5204" s="26">
        <v>6</v>
      </c>
      <c r="S5204" s="59">
        <f>12000*1.07</f>
        <v>12840</v>
      </c>
      <c r="T5204" s="4">
        <f>R5204*S5204</f>
        <v>77040</v>
      </c>
      <c r="U5204" s="4">
        <f>T5204*1.12</f>
        <v>86284.800000000003</v>
      </c>
      <c r="V5204" s="3"/>
      <c r="W5204" s="3">
        <v>2014</v>
      </c>
      <c r="X5204" s="3"/>
    </row>
    <row r="5205" spans="1:24" ht="114.75">
      <c r="A5205" s="3" t="s">
        <v>2124</v>
      </c>
      <c r="B5205" s="6" t="s">
        <v>361</v>
      </c>
      <c r="C5205" s="6" t="s">
        <v>5523</v>
      </c>
      <c r="D5205" s="6" t="s">
        <v>416</v>
      </c>
      <c r="E5205" s="6" t="s">
        <v>5332</v>
      </c>
      <c r="F5205" s="107" t="s">
        <v>6117</v>
      </c>
      <c r="G5205" s="57" t="s">
        <v>11449</v>
      </c>
      <c r="H5205" s="54">
        <v>0</v>
      </c>
      <c r="I5205" s="16">
        <v>470000000</v>
      </c>
      <c r="J5205" s="56" t="s">
        <v>229</v>
      </c>
      <c r="K5205" s="57" t="s">
        <v>641</v>
      </c>
      <c r="L5205" s="12" t="s">
        <v>404</v>
      </c>
      <c r="M5205" s="3" t="s">
        <v>230</v>
      </c>
      <c r="N5205" s="8" t="s">
        <v>8899</v>
      </c>
      <c r="O5205" s="6" t="s">
        <v>365</v>
      </c>
      <c r="P5205" s="58">
        <v>796</v>
      </c>
      <c r="Q5205" s="27" t="s">
        <v>234</v>
      </c>
      <c r="R5205" s="26">
        <v>20</v>
      </c>
      <c r="S5205" s="59">
        <f>200*1.07</f>
        <v>214</v>
      </c>
      <c r="T5205" s="4">
        <v>0</v>
      </c>
      <c r="U5205" s="4">
        <f t="shared" si="231"/>
        <v>0</v>
      </c>
      <c r="V5205" s="3"/>
      <c r="W5205" s="3">
        <v>2014</v>
      </c>
      <c r="X5205" s="3">
        <v>11</v>
      </c>
    </row>
    <row r="5206" spans="1:24" ht="114.75">
      <c r="A5206" s="3" t="s">
        <v>12824</v>
      </c>
      <c r="B5206" s="6" t="s">
        <v>361</v>
      </c>
      <c r="C5206" s="6" t="s">
        <v>5523</v>
      </c>
      <c r="D5206" s="6" t="s">
        <v>416</v>
      </c>
      <c r="E5206" s="6" t="s">
        <v>5332</v>
      </c>
      <c r="F5206" s="107" t="s">
        <v>6117</v>
      </c>
      <c r="G5206" s="57" t="s">
        <v>11449</v>
      </c>
      <c r="H5206" s="54">
        <v>0</v>
      </c>
      <c r="I5206" s="16">
        <v>470000000</v>
      </c>
      <c r="J5206" s="56" t="s">
        <v>229</v>
      </c>
      <c r="K5206" s="57" t="s">
        <v>642</v>
      </c>
      <c r="L5206" s="12" t="s">
        <v>404</v>
      </c>
      <c r="M5206" s="3" t="s">
        <v>230</v>
      </c>
      <c r="N5206" s="8" t="s">
        <v>8899</v>
      </c>
      <c r="O5206" s="6" t="s">
        <v>365</v>
      </c>
      <c r="P5206" s="58">
        <v>796</v>
      </c>
      <c r="Q5206" s="27" t="s">
        <v>234</v>
      </c>
      <c r="R5206" s="26">
        <v>20</v>
      </c>
      <c r="S5206" s="59">
        <f>200*1.07</f>
        <v>214</v>
      </c>
      <c r="T5206" s="4">
        <f>R5206*S5206</f>
        <v>4280</v>
      </c>
      <c r="U5206" s="4">
        <f>T5206*1.12</f>
        <v>4793.6000000000004</v>
      </c>
      <c r="V5206" s="3"/>
      <c r="W5206" s="3">
        <v>2014</v>
      </c>
      <c r="X5206" s="3"/>
    </row>
    <row r="5207" spans="1:24" ht="114.75">
      <c r="A5207" s="3" t="s">
        <v>2125</v>
      </c>
      <c r="B5207" s="6" t="s">
        <v>361</v>
      </c>
      <c r="C5207" s="6" t="s">
        <v>6118</v>
      </c>
      <c r="D5207" s="6" t="s">
        <v>6119</v>
      </c>
      <c r="E5207" s="6" t="s">
        <v>5998</v>
      </c>
      <c r="F5207" s="107" t="s">
        <v>6120</v>
      </c>
      <c r="G5207" s="57" t="s">
        <v>11449</v>
      </c>
      <c r="H5207" s="54">
        <v>0</v>
      </c>
      <c r="I5207" s="16">
        <v>470000000</v>
      </c>
      <c r="J5207" s="56" t="s">
        <v>229</v>
      </c>
      <c r="K5207" s="57" t="s">
        <v>641</v>
      </c>
      <c r="L5207" s="12" t="s">
        <v>404</v>
      </c>
      <c r="M5207" s="3" t="s">
        <v>230</v>
      </c>
      <c r="N5207" s="8" t="s">
        <v>8899</v>
      </c>
      <c r="O5207" s="6" t="s">
        <v>365</v>
      </c>
      <c r="P5207" s="58">
        <v>796</v>
      </c>
      <c r="Q5207" s="27" t="s">
        <v>234</v>
      </c>
      <c r="R5207" s="26">
        <v>20</v>
      </c>
      <c r="S5207" s="59">
        <f>17000*1.07</f>
        <v>18190</v>
      </c>
      <c r="T5207" s="4">
        <v>0</v>
      </c>
      <c r="U5207" s="4">
        <f t="shared" si="231"/>
        <v>0</v>
      </c>
      <c r="V5207" s="3"/>
      <c r="W5207" s="3">
        <v>2014</v>
      </c>
      <c r="X5207" s="3">
        <v>11</v>
      </c>
    </row>
    <row r="5208" spans="1:24" ht="114.75">
      <c r="A5208" s="3" t="s">
        <v>12825</v>
      </c>
      <c r="B5208" s="6" t="s">
        <v>361</v>
      </c>
      <c r="C5208" s="6" t="s">
        <v>6118</v>
      </c>
      <c r="D5208" s="6" t="s">
        <v>6119</v>
      </c>
      <c r="E5208" s="6" t="s">
        <v>5998</v>
      </c>
      <c r="F5208" s="107" t="s">
        <v>6120</v>
      </c>
      <c r="G5208" s="57" t="s">
        <v>11449</v>
      </c>
      <c r="H5208" s="54">
        <v>0</v>
      </c>
      <c r="I5208" s="16">
        <v>470000000</v>
      </c>
      <c r="J5208" s="56" t="s">
        <v>229</v>
      </c>
      <c r="K5208" s="57" t="s">
        <v>642</v>
      </c>
      <c r="L5208" s="12" t="s">
        <v>404</v>
      </c>
      <c r="M5208" s="3" t="s">
        <v>230</v>
      </c>
      <c r="N5208" s="8" t="s">
        <v>8899</v>
      </c>
      <c r="O5208" s="6" t="s">
        <v>365</v>
      </c>
      <c r="P5208" s="58">
        <v>796</v>
      </c>
      <c r="Q5208" s="27" t="s">
        <v>234</v>
      </c>
      <c r="R5208" s="26">
        <v>20</v>
      </c>
      <c r="S5208" s="59">
        <f>17000*1.07</f>
        <v>18190</v>
      </c>
      <c r="T5208" s="4">
        <f>R5208*S5208</f>
        <v>363800</v>
      </c>
      <c r="U5208" s="4">
        <f>T5208*1.12</f>
        <v>407456.00000000006</v>
      </c>
      <c r="V5208" s="3"/>
      <c r="W5208" s="3">
        <v>2014</v>
      </c>
      <c r="X5208" s="3"/>
    </row>
    <row r="5209" spans="1:24" ht="114.75">
      <c r="A5209" s="3" t="s">
        <v>2126</v>
      </c>
      <c r="B5209" s="6" t="s">
        <v>361</v>
      </c>
      <c r="C5209" s="6" t="s">
        <v>6121</v>
      </c>
      <c r="D5209" s="6" t="s">
        <v>462</v>
      </c>
      <c r="E5209" s="6" t="s">
        <v>6122</v>
      </c>
      <c r="F5209" s="107" t="s">
        <v>6123</v>
      </c>
      <c r="G5209" s="57" t="s">
        <v>11449</v>
      </c>
      <c r="H5209" s="54">
        <v>0</v>
      </c>
      <c r="I5209" s="16">
        <v>470000000</v>
      </c>
      <c r="J5209" s="56" t="s">
        <v>229</v>
      </c>
      <c r="K5209" s="57" t="s">
        <v>641</v>
      </c>
      <c r="L5209" s="12" t="s">
        <v>404</v>
      </c>
      <c r="M5209" s="3" t="s">
        <v>230</v>
      </c>
      <c r="N5209" s="8" t="s">
        <v>8899</v>
      </c>
      <c r="O5209" s="6" t="s">
        <v>365</v>
      </c>
      <c r="P5209" s="58">
        <v>796</v>
      </c>
      <c r="Q5209" s="27" t="s">
        <v>234</v>
      </c>
      <c r="R5209" s="26">
        <v>180</v>
      </c>
      <c r="S5209" s="59">
        <f>150*1.07</f>
        <v>160.5</v>
      </c>
      <c r="T5209" s="4">
        <v>0</v>
      </c>
      <c r="U5209" s="4">
        <f t="shared" si="231"/>
        <v>0</v>
      </c>
      <c r="V5209" s="3"/>
      <c r="W5209" s="3">
        <v>2014</v>
      </c>
      <c r="X5209" s="3">
        <v>11</v>
      </c>
    </row>
    <row r="5210" spans="1:24" ht="114.75">
      <c r="A5210" s="3" t="s">
        <v>12826</v>
      </c>
      <c r="B5210" s="6" t="s">
        <v>361</v>
      </c>
      <c r="C5210" s="6" t="s">
        <v>6121</v>
      </c>
      <c r="D5210" s="6" t="s">
        <v>462</v>
      </c>
      <c r="E5210" s="6" t="s">
        <v>6122</v>
      </c>
      <c r="F5210" s="107" t="s">
        <v>6123</v>
      </c>
      <c r="G5210" s="57" t="s">
        <v>11449</v>
      </c>
      <c r="H5210" s="54">
        <v>0</v>
      </c>
      <c r="I5210" s="16">
        <v>470000000</v>
      </c>
      <c r="J5210" s="56" t="s">
        <v>229</v>
      </c>
      <c r="K5210" s="57" t="s">
        <v>642</v>
      </c>
      <c r="L5210" s="12" t="s">
        <v>404</v>
      </c>
      <c r="M5210" s="3" t="s">
        <v>230</v>
      </c>
      <c r="N5210" s="8" t="s">
        <v>8899</v>
      </c>
      <c r="O5210" s="6" t="s">
        <v>365</v>
      </c>
      <c r="P5210" s="58">
        <v>796</v>
      </c>
      <c r="Q5210" s="27" t="s">
        <v>234</v>
      </c>
      <c r="R5210" s="26">
        <v>180</v>
      </c>
      <c r="S5210" s="59">
        <f>150*1.07</f>
        <v>160.5</v>
      </c>
      <c r="T5210" s="4">
        <f>R5210*S5210</f>
        <v>28890</v>
      </c>
      <c r="U5210" s="4">
        <f>T5210*1.12</f>
        <v>32356.800000000003</v>
      </c>
      <c r="V5210" s="3"/>
      <c r="W5210" s="3">
        <v>2014</v>
      </c>
      <c r="X5210" s="3"/>
    </row>
    <row r="5211" spans="1:24" ht="114.75">
      <c r="A5211" s="3" t="s">
        <v>2127</v>
      </c>
      <c r="B5211" s="6" t="s">
        <v>361</v>
      </c>
      <c r="C5211" s="6" t="s">
        <v>6053</v>
      </c>
      <c r="D5211" s="6" t="s">
        <v>411</v>
      </c>
      <c r="E5211" s="6" t="s">
        <v>6054</v>
      </c>
      <c r="F5211" s="107" t="s">
        <v>6124</v>
      </c>
      <c r="G5211" s="57" t="s">
        <v>11449</v>
      </c>
      <c r="H5211" s="54">
        <v>0</v>
      </c>
      <c r="I5211" s="16">
        <v>470000000</v>
      </c>
      <c r="J5211" s="56" t="s">
        <v>229</v>
      </c>
      <c r="K5211" s="57" t="s">
        <v>641</v>
      </c>
      <c r="L5211" s="12" t="s">
        <v>404</v>
      </c>
      <c r="M5211" s="3" t="s">
        <v>230</v>
      </c>
      <c r="N5211" s="8" t="s">
        <v>8899</v>
      </c>
      <c r="O5211" s="6" t="s">
        <v>365</v>
      </c>
      <c r="P5211" s="58">
        <v>796</v>
      </c>
      <c r="Q5211" s="27" t="s">
        <v>234</v>
      </c>
      <c r="R5211" s="26">
        <v>8</v>
      </c>
      <c r="S5211" s="59">
        <f>12000*1.07</f>
        <v>12840</v>
      </c>
      <c r="T5211" s="4">
        <v>0</v>
      </c>
      <c r="U5211" s="4">
        <f t="shared" si="231"/>
        <v>0</v>
      </c>
      <c r="V5211" s="3"/>
      <c r="W5211" s="3">
        <v>2014</v>
      </c>
      <c r="X5211" s="3">
        <v>11</v>
      </c>
    </row>
    <row r="5212" spans="1:24" ht="114.75">
      <c r="A5212" s="3" t="s">
        <v>12827</v>
      </c>
      <c r="B5212" s="6" t="s">
        <v>361</v>
      </c>
      <c r="C5212" s="6" t="s">
        <v>6053</v>
      </c>
      <c r="D5212" s="6" t="s">
        <v>411</v>
      </c>
      <c r="E5212" s="6" t="s">
        <v>6054</v>
      </c>
      <c r="F5212" s="107" t="s">
        <v>6124</v>
      </c>
      <c r="G5212" s="57" t="s">
        <v>11449</v>
      </c>
      <c r="H5212" s="54">
        <v>0</v>
      </c>
      <c r="I5212" s="16">
        <v>470000000</v>
      </c>
      <c r="J5212" s="56" t="s">
        <v>229</v>
      </c>
      <c r="K5212" s="57" t="s">
        <v>642</v>
      </c>
      <c r="L5212" s="12" t="s">
        <v>404</v>
      </c>
      <c r="M5212" s="3" t="s">
        <v>230</v>
      </c>
      <c r="N5212" s="8" t="s">
        <v>8899</v>
      </c>
      <c r="O5212" s="6" t="s">
        <v>365</v>
      </c>
      <c r="P5212" s="58">
        <v>796</v>
      </c>
      <c r="Q5212" s="27" t="s">
        <v>234</v>
      </c>
      <c r="R5212" s="26">
        <v>8</v>
      </c>
      <c r="S5212" s="59">
        <f>12000*1.07</f>
        <v>12840</v>
      </c>
      <c r="T5212" s="4">
        <f>R5212*S5212</f>
        <v>102720</v>
      </c>
      <c r="U5212" s="4">
        <f>T5212*1.12</f>
        <v>115046.40000000001</v>
      </c>
      <c r="V5212" s="3"/>
      <c r="W5212" s="3">
        <v>2014</v>
      </c>
      <c r="X5212" s="3"/>
    </row>
    <row r="5213" spans="1:24" ht="114.75">
      <c r="A5213" s="3" t="s">
        <v>2128</v>
      </c>
      <c r="B5213" s="6" t="s">
        <v>361</v>
      </c>
      <c r="C5213" s="6" t="s">
        <v>6074</v>
      </c>
      <c r="D5213" s="6" t="s">
        <v>388</v>
      </c>
      <c r="E5213" s="6" t="s">
        <v>6075</v>
      </c>
      <c r="F5213" s="107" t="s">
        <v>6125</v>
      </c>
      <c r="G5213" s="57" t="s">
        <v>11449</v>
      </c>
      <c r="H5213" s="54">
        <v>0</v>
      </c>
      <c r="I5213" s="16">
        <v>470000000</v>
      </c>
      <c r="J5213" s="56" t="s">
        <v>229</v>
      </c>
      <c r="K5213" s="57" t="s">
        <v>641</v>
      </c>
      <c r="L5213" s="12" t="s">
        <v>404</v>
      </c>
      <c r="M5213" s="3" t="s">
        <v>230</v>
      </c>
      <c r="N5213" s="8" t="s">
        <v>8899</v>
      </c>
      <c r="O5213" s="6" t="s">
        <v>365</v>
      </c>
      <c r="P5213" s="58">
        <v>796</v>
      </c>
      <c r="Q5213" s="27" t="s">
        <v>234</v>
      </c>
      <c r="R5213" s="26">
        <v>10</v>
      </c>
      <c r="S5213" s="59">
        <f>14000*1.07</f>
        <v>14980</v>
      </c>
      <c r="T5213" s="4">
        <v>0</v>
      </c>
      <c r="U5213" s="4">
        <f t="shared" si="231"/>
        <v>0</v>
      </c>
      <c r="V5213" s="3"/>
      <c r="W5213" s="3">
        <v>2014</v>
      </c>
      <c r="X5213" s="3">
        <v>11</v>
      </c>
    </row>
    <row r="5214" spans="1:24" ht="114.75">
      <c r="A5214" s="3" t="s">
        <v>12828</v>
      </c>
      <c r="B5214" s="6" t="s">
        <v>361</v>
      </c>
      <c r="C5214" s="6" t="s">
        <v>6074</v>
      </c>
      <c r="D5214" s="6" t="s">
        <v>388</v>
      </c>
      <c r="E5214" s="6" t="s">
        <v>6075</v>
      </c>
      <c r="F5214" s="107" t="s">
        <v>6125</v>
      </c>
      <c r="G5214" s="57" t="s">
        <v>11449</v>
      </c>
      <c r="H5214" s="54">
        <v>0</v>
      </c>
      <c r="I5214" s="16">
        <v>470000000</v>
      </c>
      <c r="J5214" s="56" t="s">
        <v>229</v>
      </c>
      <c r="K5214" s="57" t="s">
        <v>642</v>
      </c>
      <c r="L5214" s="12" t="s">
        <v>404</v>
      </c>
      <c r="M5214" s="3" t="s">
        <v>230</v>
      </c>
      <c r="N5214" s="8" t="s">
        <v>8899</v>
      </c>
      <c r="O5214" s="6" t="s">
        <v>365</v>
      </c>
      <c r="P5214" s="58">
        <v>796</v>
      </c>
      <c r="Q5214" s="27" t="s">
        <v>234</v>
      </c>
      <c r="R5214" s="26">
        <v>10</v>
      </c>
      <c r="S5214" s="59">
        <f>14000*1.07</f>
        <v>14980</v>
      </c>
      <c r="T5214" s="4">
        <f>R5214*S5214</f>
        <v>149800</v>
      </c>
      <c r="U5214" s="4">
        <f>T5214*1.12</f>
        <v>167776.00000000003</v>
      </c>
      <c r="V5214" s="3"/>
      <c r="W5214" s="3">
        <v>2014</v>
      </c>
      <c r="X5214" s="3"/>
    </row>
    <row r="5215" spans="1:24" ht="114.75">
      <c r="A5215" s="3" t="s">
        <v>2129</v>
      </c>
      <c r="B5215" s="6" t="s">
        <v>361</v>
      </c>
      <c r="C5215" s="6" t="s">
        <v>6086</v>
      </c>
      <c r="D5215" s="6" t="s">
        <v>5871</v>
      </c>
      <c r="E5215" s="6" t="s">
        <v>6087</v>
      </c>
      <c r="F5215" s="107" t="s">
        <v>6126</v>
      </c>
      <c r="G5215" s="57" t="s">
        <v>11449</v>
      </c>
      <c r="H5215" s="54">
        <v>0</v>
      </c>
      <c r="I5215" s="16">
        <v>470000000</v>
      </c>
      <c r="J5215" s="56" t="s">
        <v>229</v>
      </c>
      <c r="K5215" s="57" t="s">
        <v>641</v>
      </c>
      <c r="L5215" s="12" t="s">
        <v>404</v>
      </c>
      <c r="M5215" s="3" t="s">
        <v>230</v>
      </c>
      <c r="N5215" s="8" t="s">
        <v>8899</v>
      </c>
      <c r="O5215" s="6" t="s">
        <v>365</v>
      </c>
      <c r="P5215" s="58">
        <v>796</v>
      </c>
      <c r="Q5215" s="27" t="s">
        <v>234</v>
      </c>
      <c r="R5215" s="26">
        <v>12</v>
      </c>
      <c r="S5215" s="59">
        <f>3000*1.07</f>
        <v>3210</v>
      </c>
      <c r="T5215" s="4">
        <v>0</v>
      </c>
      <c r="U5215" s="4">
        <f t="shared" si="231"/>
        <v>0</v>
      </c>
      <c r="V5215" s="3"/>
      <c r="W5215" s="3">
        <v>2014</v>
      </c>
      <c r="X5215" s="3">
        <v>11</v>
      </c>
    </row>
    <row r="5216" spans="1:24" ht="114.75">
      <c r="A5216" s="3" t="s">
        <v>12829</v>
      </c>
      <c r="B5216" s="6" t="s">
        <v>361</v>
      </c>
      <c r="C5216" s="6" t="s">
        <v>6086</v>
      </c>
      <c r="D5216" s="6" t="s">
        <v>5871</v>
      </c>
      <c r="E5216" s="6" t="s">
        <v>6087</v>
      </c>
      <c r="F5216" s="107" t="s">
        <v>6126</v>
      </c>
      <c r="G5216" s="57" t="s">
        <v>11449</v>
      </c>
      <c r="H5216" s="54">
        <v>0</v>
      </c>
      <c r="I5216" s="16">
        <v>470000000</v>
      </c>
      <c r="J5216" s="56" t="s">
        <v>229</v>
      </c>
      <c r="K5216" s="57" t="s">
        <v>642</v>
      </c>
      <c r="L5216" s="12" t="s">
        <v>404</v>
      </c>
      <c r="M5216" s="3" t="s">
        <v>230</v>
      </c>
      <c r="N5216" s="8" t="s">
        <v>8899</v>
      </c>
      <c r="O5216" s="6" t="s">
        <v>365</v>
      </c>
      <c r="P5216" s="58">
        <v>796</v>
      </c>
      <c r="Q5216" s="27" t="s">
        <v>234</v>
      </c>
      <c r="R5216" s="26">
        <v>12</v>
      </c>
      <c r="S5216" s="59">
        <f>3000*1.07</f>
        <v>3210</v>
      </c>
      <c r="T5216" s="4">
        <f>R5216*S5216</f>
        <v>38520</v>
      </c>
      <c r="U5216" s="4">
        <f>T5216*1.12</f>
        <v>43142.400000000001</v>
      </c>
      <c r="V5216" s="3"/>
      <c r="W5216" s="3">
        <v>2014</v>
      </c>
      <c r="X5216" s="3"/>
    </row>
    <row r="5217" spans="1:24" ht="114.75">
      <c r="A5217" s="3" t="s">
        <v>2130</v>
      </c>
      <c r="B5217" s="6" t="s">
        <v>361</v>
      </c>
      <c r="C5217" s="6" t="s">
        <v>6127</v>
      </c>
      <c r="D5217" s="6" t="s">
        <v>4529</v>
      </c>
      <c r="E5217" s="6" t="s">
        <v>6128</v>
      </c>
      <c r="F5217" s="107" t="s">
        <v>6129</v>
      </c>
      <c r="G5217" s="57" t="s">
        <v>11449</v>
      </c>
      <c r="H5217" s="54">
        <v>0</v>
      </c>
      <c r="I5217" s="16">
        <v>470000000</v>
      </c>
      <c r="J5217" s="56" t="s">
        <v>229</v>
      </c>
      <c r="K5217" s="57" t="s">
        <v>641</v>
      </c>
      <c r="L5217" s="12" t="s">
        <v>404</v>
      </c>
      <c r="M5217" s="3" t="s">
        <v>230</v>
      </c>
      <c r="N5217" s="8" t="s">
        <v>8899</v>
      </c>
      <c r="O5217" s="6" t="s">
        <v>365</v>
      </c>
      <c r="P5217" s="58">
        <v>796</v>
      </c>
      <c r="Q5217" s="27" t="s">
        <v>234</v>
      </c>
      <c r="R5217" s="26">
        <v>12</v>
      </c>
      <c r="S5217" s="59">
        <f>8000*1.07</f>
        <v>8560</v>
      </c>
      <c r="T5217" s="4">
        <v>0</v>
      </c>
      <c r="U5217" s="4">
        <f t="shared" si="231"/>
        <v>0</v>
      </c>
      <c r="V5217" s="3"/>
      <c r="W5217" s="3">
        <v>2014</v>
      </c>
      <c r="X5217" s="3">
        <v>11</v>
      </c>
    </row>
    <row r="5218" spans="1:24" ht="114.75">
      <c r="A5218" s="3" t="s">
        <v>12830</v>
      </c>
      <c r="B5218" s="6" t="s">
        <v>361</v>
      </c>
      <c r="C5218" s="6" t="s">
        <v>6127</v>
      </c>
      <c r="D5218" s="6" t="s">
        <v>4529</v>
      </c>
      <c r="E5218" s="6" t="s">
        <v>6128</v>
      </c>
      <c r="F5218" s="107" t="s">
        <v>6129</v>
      </c>
      <c r="G5218" s="57" t="s">
        <v>11449</v>
      </c>
      <c r="H5218" s="54">
        <v>0</v>
      </c>
      <c r="I5218" s="16">
        <v>470000000</v>
      </c>
      <c r="J5218" s="56" t="s">
        <v>229</v>
      </c>
      <c r="K5218" s="57" t="s">
        <v>642</v>
      </c>
      <c r="L5218" s="12" t="s">
        <v>404</v>
      </c>
      <c r="M5218" s="3" t="s">
        <v>230</v>
      </c>
      <c r="N5218" s="8" t="s">
        <v>8899</v>
      </c>
      <c r="O5218" s="6" t="s">
        <v>365</v>
      </c>
      <c r="P5218" s="58">
        <v>796</v>
      </c>
      <c r="Q5218" s="27" t="s">
        <v>234</v>
      </c>
      <c r="R5218" s="26">
        <v>12</v>
      </c>
      <c r="S5218" s="59">
        <f>8000*1.07</f>
        <v>8560</v>
      </c>
      <c r="T5218" s="4">
        <f>R5218*S5218</f>
        <v>102720</v>
      </c>
      <c r="U5218" s="4">
        <f>T5218*1.12</f>
        <v>115046.40000000001</v>
      </c>
      <c r="V5218" s="3"/>
      <c r="W5218" s="3">
        <v>2014</v>
      </c>
      <c r="X5218" s="3"/>
    </row>
    <row r="5219" spans="1:24" ht="114.75">
      <c r="A5219" s="3" t="s">
        <v>2131</v>
      </c>
      <c r="B5219" s="6" t="s">
        <v>361</v>
      </c>
      <c r="C5219" s="6" t="s">
        <v>6130</v>
      </c>
      <c r="D5219" s="6" t="s">
        <v>6131</v>
      </c>
      <c r="E5219" s="6" t="s">
        <v>5998</v>
      </c>
      <c r="F5219" s="107" t="s">
        <v>6132</v>
      </c>
      <c r="G5219" s="57" t="s">
        <v>11449</v>
      </c>
      <c r="H5219" s="54">
        <v>0</v>
      </c>
      <c r="I5219" s="16">
        <v>470000000</v>
      </c>
      <c r="J5219" s="56" t="s">
        <v>229</v>
      </c>
      <c r="K5219" s="57" t="s">
        <v>641</v>
      </c>
      <c r="L5219" s="12" t="s">
        <v>404</v>
      </c>
      <c r="M5219" s="3" t="s">
        <v>230</v>
      </c>
      <c r="N5219" s="8" t="s">
        <v>8899</v>
      </c>
      <c r="O5219" s="6" t="s">
        <v>365</v>
      </c>
      <c r="P5219" s="58">
        <v>796</v>
      </c>
      <c r="Q5219" s="27" t="s">
        <v>234</v>
      </c>
      <c r="R5219" s="26">
        <v>30</v>
      </c>
      <c r="S5219" s="59">
        <f>2000*1.07</f>
        <v>2140</v>
      </c>
      <c r="T5219" s="4">
        <v>0</v>
      </c>
      <c r="U5219" s="4">
        <f t="shared" si="231"/>
        <v>0</v>
      </c>
      <c r="V5219" s="3"/>
      <c r="W5219" s="3">
        <v>2014</v>
      </c>
      <c r="X5219" s="3">
        <v>11</v>
      </c>
    </row>
    <row r="5220" spans="1:24" ht="114.75">
      <c r="A5220" s="3" t="s">
        <v>12831</v>
      </c>
      <c r="B5220" s="6" t="s">
        <v>361</v>
      </c>
      <c r="C5220" s="6" t="s">
        <v>6130</v>
      </c>
      <c r="D5220" s="6" t="s">
        <v>6131</v>
      </c>
      <c r="E5220" s="6" t="s">
        <v>5998</v>
      </c>
      <c r="F5220" s="107" t="s">
        <v>6132</v>
      </c>
      <c r="G5220" s="57" t="s">
        <v>11449</v>
      </c>
      <c r="H5220" s="54">
        <v>0</v>
      </c>
      <c r="I5220" s="16">
        <v>470000000</v>
      </c>
      <c r="J5220" s="56" t="s">
        <v>229</v>
      </c>
      <c r="K5220" s="57" t="s">
        <v>642</v>
      </c>
      <c r="L5220" s="12" t="s">
        <v>404</v>
      </c>
      <c r="M5220" s="3" t="s">
        <v>230</v>
      </c>
      <c r="N5220" s="8" t="s">
        <v>8899</v>
      </c>
      <c r="O5220" s="6" t="s">
        <v>365</v>
      </c>
      <c r="P5220" s="58">
        <v>796</v>
      </c>
      <c r="Q5220" s="27" t="s">
        <v>234</v>
      </c>
      <c r="R5220" s="26">
        <v>30</v>
      </c>
      <c r="S5220" s="59">
        <f>2000*1.07</f>
        <v>2140</v>
      </c>
      <c r="T5220" s="4">
        <f>R5220*S5220</f>
        <v>64200</v>
      </c>
      <c r="U5220" s="4">
        <f>T5220*1.12</f>
        <v>71904</v>
      </c>
      <c r="V5220" s="3"/>
      <c r="W5220" s="3">
        <v>2014</v>
      </c>
      <c r="X5220" s="3"/>
    </row>
    <row r="5221" spans="1:24" ht="114.75">
      <c r="A5221" s="3" t="s">
        <v>2132</v>
      </c>
      <c r="B5221" s="6" t="s">
        <v>361</v>
      </c>
      <c r="C5221" s="6" t="s">
        <v>6133</v>
      </c>
      <c r="D5221" s="6" t="s">
        <v>6134</v>
      </c>
      <c r="E5221" s="6" t="s">
        <v>5998</v>
      </c>
      <c r="F5221" s="107" t="s">
        <v>6135</v>
      </c>
      <c r="G5221" s="57" t="s">
        <v>11449</v>
      </c>
      <c r="H5221" s="54">
        <v>0</v>
      </c>
      <c r="I5221" s="16">
        <v>470000000</v>
      </c>
      <c r="J5221" s="56" t="s">
        <v>229</v>
      </c>
      <c r="K5221" s="57" t="s">
        <v>641</v>
      </c>
      <c r="L5221" s="12" t="s">
        <v>404</v>
      </c>
      <c r="M5221" s="3" t="s">
        <v>230</v>
      </c>
      <c r="N5221" s="8" t="s">
        <v>8899</v>
      </c>
      <c r="O5221" s="6" t="s">
        <v>365</v>
      </c>
      <c r="P5221" s="58">
        <v>796</v>
      </c>
      <c r="Q5221" s="27" t="s">
        <v>234</v>
      </c>
      <c r="R5221" s="26">
        <v>30</v>
      </c>
      <c r="S5221" s="59">
        <f>400*1.07</f>
        <v>428</v>
      </c>
      <c r="T5221" s="4">
        <v>0</v>
      </c>
      <c r="U5221" s="4">
        <f t="shared" si="231"/>
        <v>0</v>
      </c>
      <c r="V5221" s="3"/>
      <c r="W5221" s="3">
        <v>2014</v>
      </c>
      <c r="X5221" s="3">
        <v>11</v>
      </c>
    </row>
    <row r="5222" spans="1:24" ht="114.75">
      <c r="A5222" s="3" t="s">
        <v>12832</v>
      </c>
      <c r="B5222" s="6" t="s">
        <v>361</v>
      </c>
      <c r="C5222" s="6" t="s">
        <v>6133</v>
      </c>
      <c r="D5222" s="6" t="s">
        <v>6134</v>
      </c>
      <c r="E5222" s="6" t="s">
        <v>5998</v>
      </c>
      <c r="F5222" s="107" t="s">
        <v>6135</v>
      </c>
      <c r="G5222" s="57" t="s">
        <v>11449</v>
      </c>
      <c r="H5222" s="54">
        <v>0</v>
      </c>
      <c r="I5222" s="16">
        <v>470000000</v>
      </c>
      <c r="J5222" s="56" t="s">
        <v>229</v>
      </c>
      <c r="K5222" s="57" t="s">
        <v>642</v>
      </c>
      <c r="L5222" s="12" t="s">
        <v>404</v>
      </c>
      <c r="M5222" s="3" t="s">
        <v>230</v>
      </c>
      <c r="N5222" s="8" t="s">
        <v>8899</v>
      </c>
      <c r="O5222" s="6" t="s">
        <v>365</v>
      </c>
      <c r="P5222" s="58">
        <v>796</v>
      </c>
      <c r="Q5222" s="27" t="s">
        <v>234</v>
      </c>
      <c r="R5222" s="26">
        <v>30</v>
      </c>
      <c r="S5222" s="59">
        <f>400*1.07</f>
        <v>428</v>
      </c>
      <c r="T5222" s="4">
        <f>R5222*S5222</f>
        <v>12840</v>
      </c>
      <c r="U5222" s="4">
        <f>T5222*1.12</f>
        <v>14380.800000000001</v>
      </c>
      <c r="V5222" s="3"/>
      <c r="W5222" s="3">
        <v>2014</v>
      </c>
      <c r="X5222" s="3"/>
    </row>
    <row r="5223" spans="1:24" ht="114.75">
      <c r="A5223" s="3" t="s">
        <v>2133</v>
      </c>
      <c r="B5223" s="6" t="s">
        <v>361</v>
      </c>
      <c r="C5223" s="6" t="s">
        <v>6133</v>
      </c>
      <c r="D5223" s="6" t="s">
        <v>6134</v>
      </c>
      <c r="E5223" s="6" t="s">
        <v>5998</v>
      </c>
      <c r="F5223" s="107" t="s">
        <v>6136</v>
      </c>
      <c r="G5223" s="57" t="s">
        <v>11449</v>
      </c>
      <c r="H5223" s="54">
        <v>0</v>
      </c>
      <c r="I5223" s="16">
        <v>470000000</v>
      </c>
      <c r="J5223" s="56" t="s">
        <v>229</v>
      </c>
      <c r="K5223" s="57" t="s">
        <v>641</v>
      </c>
      <c r="L5223" s="12" t="s">
        <v>404</v>
      </c>
      <c r="M5223" s="3" t="s">
        <v>230</v>
      </c>
      <c r="N5223" s="8" t="s">
        <v>8899</v>
      </c>
      <c r="O5223" s="6" t="s">
        <v>365</v>
      </c>
      <c r="P5223" s="58">
        <v>796</v>
      </c>
      <c r="Q5223" s="27" t="s">
        <v>234</v>
      </c>
      <c r="R5223" s="26">
        <v>30</v>
      </c>
      <c r="S5223" s="59">
        <f>400*1.07</f>
        <v>428</v>
      </c>
      <c r="T5223" s="4">
        <v>0</v>
      </c>
      <c r="U5223" s="4">
        <f t="shared" si="231"/>
        <v>0</v>
      </c>
      <c r="V5223" s="3"/>
      <c r="W5223" s="3">
        <v>2014</v>
      </c>
      <c r="X5223" s="3">
        <v>11</v>
      </c>
    </row>
    <row r="5224" spans="1:24" ht="114.75">
      <c r="A5224" s="3" t="s">
        <v>12833</v>
      </c>
      <c r="B5224" s="6" t="s">
        <v>361</v>
      </c>
      <c r="C5224" s="6" t="s">
        <v>6133</v>
      </c>
      <c r="D5224" s="6" t="s">
        <v>6134</v>
      </c>
      <c r="E5224" s="6" t="s">
        <v>5998</v>
      </c>
      <c r="F5224" s="107" t="s">
        <v>6136</v>
      </c>
      <c r="G5224" s="57" t="s">
        <v>11449</v>
      </c>
      <c r="H5224" s="54">
        <v>0</v>
      </c>
      <c r="I5224" s="16">
        <v>470000000</v>
      </c>
      <c r="J5224" s="56" t="s">
        <v>229</v>
      </c>
      <c r="K5224" s="57" t="s">
        <v>642</v>
      </c>
      <c r="L5224" s="12" t="s">
        <v>404</v>
      </c>
      <c r="M5224" s="3" t="s">
        <v>230</v>
      </c>
      <c r="N5224" s="8" t="s">
        <v>8899</v>
      </c>
      <c r="O5224" s="6" t="s">
        <v>365</v>
      </c>
      <c r="P5224" s="58">
        <v>796</v>
      </c>
      <c r="Q5224" s="27" t="s">
        <v>234</v>
      </c>
      <c r="R5224" s="26">
        <v>30</v>
      </c>
      <c r="S5224" s="59">
        <f>400*1.07</f>
        <v>428</v>
      </c>
      <c r="T5224" s="4">
        <f>R5224*S5224</f>
        <v>12840</v>
      </c>
      <c r="U5224" s="4">
        <f>T5224*1.12</f>
        <v>14380.800000000001</v>
      </c>
      <c r="V5224" s="3"/>
      <c r="W5224" s="3">
        <v>2014</v>
      </c>
      <c r="X5224" s="3"/>
    </row>
    <row r="5225" spans="1:24" ht="114.75">
      <c r="A5225" s="3" t="s">
        <v>2134</v>
      </c>
      <c r="B5225" s="6" t="s">
        <v>361</v>
      </c>
      <c r="C5225" s="6" t="s">
        <v>6137</v>
      </c>
      <c r="D5225" s="6" t="s">
        <v>6138</v>
      </c>
      <c r="E5225" s="6" t="s">
        <v>6139</v>
      </c>
      <c r="F5225" s="107" t="s">
        <v>6140</v>
      </c>
      <c r="G5225" s="57" t="s">
        <v>11449</v>
      </c>
      <c r="H5225" s="54">
        <v>0</v>
      </c>
      <c r="I5225" s="16">
        <v>470000000</v>
      </c>
      <c r="J5225" s="56" t="s">
        <v>229</v>
      </c>
      <c r="K5225" s="57" t="s">
        <v>641</v>
      </c>
      <c r="L5225" s="12" t="s">
        <v>404</v>
      </c>
      <c r="M5225" s="3" t="s">
        <v>230</v>
      </c>
      <c r="N5225" s="8" t="s">
        <v>8899</v>
      </c>
      <c r="O5225" s="6" t="s">
        <v>365</v>
      </c>
      <c r="P5225" s="58">
        <v>796</v>
      </c>
      <c r="Q5225" s="27" t="s">
        <v>234</v>
      </c>
      <c r="R5225" s="26">
        <v>12</v>
      </c>
      <c r="S5225" s="59">
        <f>1600*1.07</f>
        <v>1712</v>
      </c>
      <c r="T5225" s="4">
        <v>0</v>
      </c>
      <c r="U5225" s="4">
        <f t="shared" si="231"/>
        <v>0</v>
      </c>
      <c r="V5225" s="3"/>
      <c r="W5225" s="3">
        <v>2014</v>
      </c>
      <c r="X5225" s="3">
        <v>11</v>
      </c>
    </row>
    <row r="5226" spans="1:24" ht="114.75">
      <c r="A5226" s="3" t="s">
        <v>12834</v>
      </c>
      <c r="B5226" s="6" t="s">
        <v>361</v>
      </c>
      <c r="C5226" s="6" t="s">
        <v>6137</v>
      </c>
      <c r="D5226" s="6" t="s">
        <v>6138</v>
      </c>
      <c r="E5226" s="6" t="s">
        <v>6139</v>
      </c>
      <c r="F5226" s="107" t="s">
        <v>6140</v>
      </c>
      <c r="G5226" s="57" t="s">
        <v>11449</v>
      </c>
      <c r="H5226" s="54">
        <v>0</v>
      </c>
      <c r="I5226" s="16">
        <v>470000000</v>
      </c>
      <c r="J5226" s="56" t="s">
        <v>229</v>
      </c>
      <c r="K5226" s="57" t="s">
        <v>642</v>
      </c>
      <c r="L5226" s="12" t="s">
        <v>404</v>
      </c>
      <c r="M5226" s="3" t="s">
        <v>230</v>
      </c>
      <c r="N5226" s="8" t="s">
        <v>8899</v>
      </c>
      <c r="O5226" s="6" t="s">
        <v>365</v>
      </c>
      <c r="P5226" s="58">
        <v>796</v>
      </c>
      <c r="Q5226" s="27" t="s">
        <v>234</v>
      </c>
      <c r="R5226" s="26">
        <v>12</v>
      </c>
      <c r="S5226" s="59">
        <f>1600*1.07</f>
        <v>1712</v>
      </c>
      <c r="T5226" s="4">
        <f>R5226*S5226</f>
        <v>20544</v>
      </c>
      <c r="U5226" s="4">
        <f>T5226*1.12</f>
        <v>23009.280000000002</v>
      </c>
      <c r="V5226" s="3"/>
      <c r="W5226" s="3">
        <v>2014</v>
      </c>
      <c r="X5226" s="3"/>
    </row>
    <row r="5227" spans="1:24" ht="114.75">
      <c r="A5227" s="3" t="s">
        <v>2135</v>
      </c>
      <c r="B5227" s="6" t="s">
        <v>361</v>
      </c>
      <c r="C5227" s="6" t="s">
        <v>6011</v>
      </c>
      <c r="D5227" s="6" t="s">
        <v>5614</v>
      </c>
      <c r="E5227" s="6" t="s">
        <v>5998</v>
      </c>
      <c r="F5227" s="107" t="s">
        <v>6141</v>
      </c>
      <c r="G5227" s="57" t="s">
        <v>11449</v>
      </c>
      <c r="H5227" s="54">
        <v>0</v>
      </c>
      <c r="I5227" s="16">
        <v>470000000</v>
      </c>
      <c r="J5227" s="56" t="s">
        <v>229</v>
      </c>
      <c r="K5227" s="57" t="s">
        <v>641</v>
      </c>
      <c r="L5227" s="12" t="s">
        <v>404</v>
      </c>
      <c r="M5227" s="3" t="s">
        <v>230</v>
      </c>
      <c r="N5227" s="8" t="s">
        <v>8899</v>
      </c>
      <c r="O5227" s="6" t="s">
        <v>365</v>
      </c>
      <c r="P5227" s="58">
        <v>796</v>
      </c>
      <c r="Q5227" s="27" t="s">
        <v>234</v>
      </c>
      <c r="R5227" s="26">
        <v>12</v>
      </c>
      <c r="S5227" s="59">
        <f>2500*1.07</f>
        <v>2675</v>
      </c>
      <c r="T5227" s="4">
        <v>0</v>
      </c>
      <c r="U5227" s="4">
        <f t="shared" si="231"/>
        <v>0</v>
      </c>
      <c r="V5227" s="3"/>
      <c r="W5227" s="3">
        <v>2014</v>
      </c>
      <c r="X5227" s="3">
        <v>11</v>
      </c>
    </row>
    <row r="5228" spans="1:24" ht="114.75">
      <c r="A5228" s="3" t="s">
        <v>12835</v>
      </c>
      <c r="B5228" s="6" t="s">
        <v>361</v>
      </c>
      <c r="C5228" s="6" t="s">
        <v>6011</v>
      </c>
      <c r="D5228" s="6" t="s">
        <v>5614</v>
      </c>
      <c r="E5228" s="6" t="s">
        <v>5998</v>
      </c>
      <c r="F5228" s="107" t="s">
        <v>6141</v>
      </c>
      <c r="G5228" s="57" t="s">
        <v>11449</v>
      </c>
      <c r="H5228" s="54">
        <v>0</v>
      </c>
      <c r="I5228" s="16">
        <v>470000000</v>
      </c>
      <c r="J5228" s="56" t="s">
        <v>229</v>
      </c>
      <c r="K5228" s="57" t="s">
        <v>642</v>
      </c>
      <c r="L5228" s="12" t="s">
        <v>404</v>
      </c>
      <c r="M5228" s="3" t="s">
        <v>230</v>
      </c>
      <c r="N5228" s="8" t="s">
        <v>8899</v>
      </c>
      <c r="O5228" s="6" t="s">
        <v>365</v>
      </c>
      <c r="P5228" s="58">
        <v>796</v>
      </c>
      <c r="Q5228" s="27" t="s">
        <v>234</v>
      </c>
      <c r="R5228" s="26">
        <v>12</v>
      </c>
      <c r="S5228" s="59">
        <f>2500*1.07</f>
        <v>2675</v>
      </c>
      <c r="T5228" s="4">
        <f>R5228*S5228</f>
        <v>32100</v>
      </c>
      <c r="U5228" s="4">
        <f>T5228*1.12</f>
        <v>35952</v>
      </c>
      <c r="V5228" s="3"/>
      <c r="W5228" s="3">
        <v>2014</v>
      </c>
      <c r="X5228" s="3"/>
    </row>
    <row r="5229" spans="1:24" ht="114.75">
      <c r="A5229" s="3" t="s">
        <v>2136</v>
      </c>
      <c r="B5229" s="6" t="s">
        <v>361</v>
      </c>
      <c r="C5229" s="6" t="s">
        <v>6142</v>
      </c>
      <c r="D5229" s="6" t="s">
        <v>445</v>
      </c>
      <c r="E5229" s="6" t="s">
        <v>6143</v>
      </c>
      <c r="F5229" s="107" t="s">
        <v>6144</v>
      </c>
      <c r="G5229" s="57" t="s">
        <v>11449</v>
      </c>
      <c r="H5229" s="54">
        <v>0</v>
      </c>
      <c r="I5229" s="16">
        <v>470000000</v>
      </c>
      <c r="J5229" s="56" t="s">
        <v>229</v>
      </c>
      <c r="K5229" s="57" t="s">
        <v>641</v>
      </c>
      <c r="L5229" s="12" t="s">
        <v>404</v>
      </c>
      <c r="M5229" s="3" t="s">
        <v>230</v>
      </c>
      <c r="N5229" s="8" t="s">
        <v>8899</v>
      </c>
      <c r="O5229" s="6" t="s">
        <v>365</v>
      </c>
      <c r="P5229" s="58">
        <v>796</v>
      </c>
      <c r="Q5229" s="27" t="s">
        <v>234</v>
      </c>
      <c r="R5229" s="26">
        <v>12</v>
      </c>
      <c r="S5229" s="59">
        <f>2500*1.07</f>
        <v>2675</v>
      </c>
      <c r="T5229" s="4">
        <v>0</v>
      </c>
      <c r="U5229" s="4">
        <f t="shared" si="231"/>
        <v>0</v>
      </c>
      <c r="V5229" s="3"/>
      <c r="W5229" s="3">
        <v>2014</v>
      </c>
      <c r="X5229" s="3">
        <v>11</v>
      </c>
    </row>
    <row r="5230" spans="1:24" ht="114.75">
      <c r="A5230" s="3" t="s">
        <v>12836</v>
      </c>
      <c r="B5230" s="6" t="s">
        <v>361</v>
      </c>
      <c r="C5230" s="6" t="s">
        <v>6142</v>
      </c>
      <c r="D5230" s="6" t="s">
        <v>445</v>
      </c>
      <c r="E5230" s="6" t="s">
        <v>6143</v>
      </c>
      <c r="F5230" s="107" t="s">
        <v>6144</v>
      </c>
      <c r="G5230" s="57" t="s">
        <v>11449</v>
      </c>
      <c r="H5230" s="54">
        <v>0</v>
      </c>
      <c r="I5230" s="16">
        <v>470000000</v>
      </c>
      <c r="J5230" s="56" t="s">
        <v>229</v>
      </c>
      <c r="K5230" s="57" t="s">
        <v>642</v>
      </c>
      <c r="L5230" s="12" t="s">
        <v>404</v>
      </c>
      <c r="M5230" s="3" t="s">
        <v>230</v>
      </c>
      <c r="N5230" s="8" t="s">
        <v>8899</v>
      </c>
      <c r="O5230" s="6" t="s">
        <v>365</v>
      </c>
      <c r="P5230" s="58">
        <v>796</v>
      </c>
      <c r="Q5230" s="27" t="s">
        <v>234</v>
      </c>
      <c r="R5230" s="26">
        <v>12</v>
      </c>
      <c r="S5230" s="59">
        <f>2500*1.07</f>
        <v>2675</v>
      </c>
      <c r="T5230" s="4">
        <f>R5230*S5230</f>
        <v>32100</v>
      </c>
      <c r="U5230" s="4">
        <f>T5230*1.12</f>
        <v>35952</v>
      </c>
      <c r="V5230" s="3"/>
      <c r="W5230" s="3">
        <v>2014</v>
      </c>
      <c r="X5230" s="3"/>
    </row>
    <row r="5231" spans="1:24" ht="114.75">
      <c r="A5231" s="3" t="s">
        <v>2137</v>
      </c>
      <c r="B5231" s="6" t="s">
        <v>361</v>
      </c>
      <c r="C5231" s="6" t="s">
        <v>6059</v>
      </c>
      <c r="D5231" s="6" t="s">
        <v>444</v>
      </c>
      <c r="E5231" s="6" t="s">
        <v>5998</v>
      </c>
      <c r="F5231" s="107" t="s">
        <v>6145</v>
      </c>
      <c r="G5231" s="57" t="s">
        <v>11449</v>
      </c>
      <c r="H5231" s="54">
        <v>0</v>
      </c>
      <c r="I5231" s="16">
        <v>470000000</v>
      </c>
      <c r="J5231" s="56" t="s">
        <v>229</v>
      </c>
      <c r="K5231" s="57" t="s">
        <v>641</v>
      </c>
      <c r="L5231" s="12" t="s">
        <v>404</v>
      </c>
      <c r="M5231" s="3" t="s">
        <v>230</v>
      </c>
      <c r="N5231" s="8" t="s">
        <v>8899</v>
      </c>
      <c r="O5231" s="6" t="s">
        <v>365</v>
      </c>
      <c r="P5231" s="58">
        <v>796</v>
      </c>
      <c r="Q5231" s="27" t="s">
        <v>234</v>
      </c>
      <c r="R5231" s="26">
        <v>4</v>
      </c>
      <c r="S5231" s="59">
        <f>15000*1.07</f>
        <v>16050.000000000002</v>
      </c>
      <c r="T5231" s="4">
        <v>0</v>
      </c>
      <c r="U5231" s="4">
        <f t="shared" si="231"/>
        <v>0</v>
      </c>
      <c r="V5231" s="3"/>
      <c r="W5231" s="3">
        <v>2014</v>
      </c>
      <c r="X5231" s="3">
        <v>11</v>
      </c>
    </row>
    <row r="5232" spans="1:24" ht="114.75">
      <c r="A5232" s="3" t="s">
        <v>12837</v>
      </c>
      <c r="B5232" s="6" t="s">
        <v>361</v>
      </c>
      <c r="C5232" s="6" t="s">
        <v>6059</v>
      </c>
      <c r="D5232" s="6" t="s">
        <v>444</v>
      </c>
      <c r="E5232" s="6" t="s">
        <v>5998</v>
      </c>
      <c r="F5232" s="107" t="s">
        <v>6145</v>
      </c>
      <c r="G5232" s="57" t="s">
        <v>11449</v>
      </c>
      <c r="H5232" s="54">
        <v>0</v>
      </c>
      <c r="I5232" s="16">
        <v>470000000</v>
      </c>
      <c r="J5232" s="56" t="s">
        <v>229</v>
      </c>
      <c r="K5232" s="57" t="s">
        <v>642</v>
      </c>
      <c r="L5232" s="12" t="s">
        <v>404</v>
      </c>
      <c r="M5232" s="3" t="s">
        <v>230</v>
      </c>
      <c r="N5232" s="8" t="s">
        <v>8899</v>
      </c>
      <c r="O5232" s="6" t="s">
        <v>365</v>
      </c>
      <c r="P5232" s="58">
        <v>796</v>
      </c>
      <c r="Q5232" s="27" t="s">
        <v>234</v>
      </c>
      <c r="R5232" s="26">
        <v>4</v>
      </c>
      <c r="S5232" s="59">
        <f>15000*1.07</f>
        <v>16050.000000000002</v>
      </c>
      <c r="T5232" s="4">
        <f>R5232*S5232</f>
        <v>64200.000000000007</v>
      </c>
      <c r="U5232" s="4">
        <f>T5232*1.12</f>
        <v>71904.000000000015</v>
      </c>
      <c r="V5232" s="3"/>
      <c r="W5232" s="3">
        <v>2014</v>
      </c>
      <c r="X5232" s="3"/>
    </row>
    <row r="5233" spans="1:24" ht="114.75">
      <c r="A5233" s="3" t="s">
        <v>2138</v>
      </c>
      <c r="B5233" s="6" t="s">
        <v>361</v>
      </c>
      <c r="C5233" s="6" t="s">
        <v>6059</v>
      </c>
      <c r="D5233" s="6" t="s">
        <v>444</v>
      </c>
      <c r="E5233" s="6" t="s">
        <v>5998</v>
      </c>
      <c r="F5233" s="107" t="s">
        <v>6146</v>
      </c>
      <c r="G5233" s="57" t="s">
        <v>11449</v>
      </c>
      <c r="H5233" s="54">
        <v>0</v>
      </c>
      <c r="I5233" s="16">
        <v>470000000</v>
      </c>
      <c r="J5233" s="56" t="s">
        <v>229</v>
      </c>
      <c r="K5233" s="57" t="s">
        <v>641</v>
      </c>
      <c r="L5233" s="12" t="s">
        <v>404</v>
      </c>
      <c r="M5233" s="3" t="s">
        <v>230</v>
      </c>
      <c r="N5233" s="8" t="s">
        <v>8899</v>
      </c>
      <c r="O5233" s="6" t="s">
        <v>365</v>
      </c>
      <c r="P5233" s="58">
        <v>796</v>
      </c>
      <c r="Q5233" s="27" t="s">
        <v>234</v>
      </c>
      <c r="R5233" s="26">
        <v>4</v>
      </c>
      <c r="S5233" s="59">
        <f>15000*1.07</f>
        <v>16050.000000000002</v>
      </c>
      <c r="T5233" s="4">
        <v>0</v>
      </c>
      <c r="U5233" s="4">
        <f t="shared" si="231"/>
        <v>0</v>
      </c>
      <c r="V5233" s="3"/>
      <c r="W5233" s="3">
        <v>2014</v>
      </c>
      <c r="X5233" s="3">
        <v>11</v>
      </c>
    </row>
    <row r="5234" spans="1:24" ht="114.75">
      <c r="A5234" s="3" t="s">
        <v>12838</v>
      </c>
      <c r="B5234" s="6" t="s">
        <v>361</v>
      </c>
      <c r="C5234" s="6" t="s">
        <v>6059</v>
      </c>
      <c r="D5234" s="6" t="s">
        <v>444</v>
      </c>
      <c r="E5234" s="6" t="s">
        <v>5998</v>
      </c>
      <c r="F5234" s="107" t="s">
        <v>6146</v>
      </c>
      <c r="G5234" s="57" t="s">
        <v>11449</v>
      </c>
      <c r="H5234" s="54">
        <v>0</v>
      </c>
      <c r="I5234" s="16">
        <v>470000000</v>
      </c>
      <c r="J5234" s="56" t="s">
        <v>229</v>
      </c>
      <c r="K5234" s="57" t="s">
        <v>642</v>
      </c>
      <c r="L5234" s="12" t="s">
        <v>404</v>
      </c>
      <c r="M5234" s="3" t="s">
        <v>230</v>
      </c>
      <c r="N5234" s="8" t="s">
        <v>8899</v>
      </c>
      <c r="O5234" s="6" t="s">
        <v>365</v>
      </c>
      <c r="P5234" s="58">
        <v>796</v>
      </c>
      <c r="Q5234" s="27" t="s">
        <v>234</v>
      </c>
      <c r="R5234" s="26">
        <v>4</v>
      </c>
      <c r="S5234" s="59">
        <f>15000*1.07</f>
        <v>16050.000000000002</v>
      </c>
      <c r="T5234" s="4">
        <f>R5234*S5234</f>
        <v>64200.000000000007</v>
      </c>
      <c r="U5234" s="4">
        <f>T5234*1.12</f>
        <v>71904.000000000015</v>
      </c>
      <c r="V5234" s="3"/>
      <c r="W5234" s="3">
        <v>2014</v>
      </c>
      <c r="X5234" s="3"/>
    </row>
    <row r="5235" spans="1:24" ht="114.75">
      <c r="A5235" s="3" t="s">
        <v>2139</v>
      </c>
      <c r="B5235" s="6" t="s">
        <v>361</v>
      </c>
      <c r="C5235" s="6" t="s">
        <v>6147</v>
      </c>
      <c r="D5235" s="6" t="s">
        <v>435</v>
      </c>
      <c r="E5235" s="6" t="s">
        <v>11541</v>
      </c>
      <c r="F5235" s="107" t="s">
        <v>6148</v>
      </c>
      <c r="G5235" s="57" t="s">
        <v>11449</v>
      </c>
      <c r="H5235" s="54">
        <v>0</v>
      </c>
      <c r="I5235" s="16">
        <v>470000000</v>
      </c>
      <c r="J5235" s="56" t="s">
        <v>229</v>
      </c>
      <c r="K5235" s="57" t="s">
        <v>641</v>
      </c>
      <c r="L5235" s="12" t="s">
        <v>404</v>
      </c>
      <c r="M5235" s="3" t="s">
        <v>230</v>
      </c>
      <c r="N5235" s="8" t="s">
        <v>8899</v>
      </c>
      <c r="O5235" s="6" t="s">
        <v>365</v>
      </c>
      <c r="P5235" s="58">
        <v>796</v>
      </c>
      <c r="Q5235" s="27" t="s">
        <v>234</v>
      </c>
      <c r="R5235" s="26">
        <v>6</v>
      </c>
      <c r="S5235" s="59">
        <f>2000*1.07</f>
        <v>2140</v>
      </c>
      <c r="T5235" s="4">
        <v>0</v>
      </c>
      <c r="U5235" s="4">
        <f t="shared" si="231"/>
        <v>0</v>
      </c>
      <c r="V5235" s="3"/>
      <c r="W5235" s="3">
        <v>2014</v>
      </c>
      <c r="X5235" s="3">
        <v>11</v>
      </c>
    </row>
    <row r="5236" spans="1:24" ht="114.75">
      <c r="A5236" s="3" t="s">
        <v>12839</v>
      </c>
      <c r="B5236" s="6" t="s">
        <v>361</v>
      </c>
      <c r="C5236" s="6" t="s">
        <v>6147</v>
      </c>
      <c r="D5236" s="6" t="s">
        <v>435</v>
      </c>
      <c r="E5236" s="6" t="s">
        <v>11541</v>
      </c>
      <c r="F5236" s="107" t="s">
        <v>6148</v>
      </c>
      <c r="G5236" s="57" t="s">
        <v>11449</v>
      </c>
      <c r="H5236" s="54">
        <v>0</v>
      </c>
      <c r="I5236" s="16">
        <v>470000000</v>
      </c>
      <c r="J5236" s="56" t="s">
        <v>229</v>
      </c>
      <c r="K5236" s="57" t="s">
        <v>642</v>
      </c>
      <c r="L5236" s="12" t="s">
        <v>404</v>
      </c>
      <c r="M5236" s="3" t="s">
        <v>230</v>
      </c>
      <c r="N5236" s="8" t="s">
        <v>8899</v>
      </c>
      <c r="O5236" s="6" t="s">
        <v>365</v>
      </c>
      <c r="P5236" s="58">
        <v>796</v>
      </c>
      <c r="Q5236" s="27" t="s">
        <v>234</v>
      </c>
      <c r="R5236" s="26">
        <v>6</v>
      </c>
      <c r="S5236" s="59">
        <f>2000*1.07</f>
        <v>2140</v>
      </c>
      <c r="T5236" s="4">
        <f>R5236*S5236</f>
        <v>12840</v>
      </c>
      <c r="U5236" s="4">
        <f>T5236*1.12</f>
        <v>14380.800000000001</v>
      </c>
      <c r="V5236" s="3"/>
      <c r="W5236" s="3">
        <v>2014</v>
      </c>
      <c r="X5236" s="3"/>
    </row>
    <row r="5237" spans="1:24" ht="114.75">
      <c r="A5237" s="3" t="s">
        <v>2140</v>
      </c>
      <c r="B5237" s="6" t="s">
        <v>361</v>
      </c>
      <c r="C5237" s="6" t="s">
        <v>5808</v>
      </c>
      <c r="D5237" s="6" t="s">
        <v>5809</v>
      </c>
      <c r="E5237" s="6" t="s">
        <v>5332</v>
      </c>
      <c r="F5237" s="107" t="s">
        <v>6149</v>
      </c>
      <c r="G5237" s="57" t="s">
        <v>11449</v>
      </c>
      <c r="H5237" s="54">
        <v>0</v>
      </c>
      <c r="I5237" s="16">
        <v>470000000</v>
      </c>
      <c r="J5237" s="56" t="s">
        <v>229</v>
      </c>
      <c r="K5237" s="57" t="s">
        <v>641</v>
      </c>
      <c r="L5237" s="12" t="s">
        <v>404</v>
      </c>
      <c r="M5237" s="3" t="s">
        <v>230</v>
      </c>
      <c r="N5237" s="8" t="s">
        <v>8899</v>
      </c>
      <c r="O5237" s="6" t="s">
        <v>365</v>
      </c>
      <c r="P5237" s="58">
        <v>796</v>
      </c>
      <c r="Q5237" s="27" t="s">
        <v>234</v>
      </c>
      <c r="R5237" s="26">
        <v>10</v>
      </c>
      <c r="S5237" s="59">
        <f>4000*1.07</f>
        <v>4280</v>
      </c>
      <c r="T5237" s="4">
        <v>0</v>
      </c>
      <c r="U5237" s="4">
        <f t="shared" si="231"/>
        <v>0</v>
      </c>
      <c r="V5237" s="3"/>
      <c r="W5237" s="3">
        <v>2014</v>
      </c>
      <c r="X5237" s="3">
        <v>11</v>
      </c>
    </row>
    <row r="5238" spans="1:24" ht="114.75">
      <c r="A5238" s="3" t="s">
        <v>12840</v>
      </c>
      <c r="B5238" s="6" t="s">
        <v>361</v>
      </c>
      <c r="C5238" s="6" t="s">
        <v>5808</v>
      </c>
      <c r="D5238" s="6" t="s">
        <v>5809</v>
      </c>
      <c r="E5238" s="6" t="s">
        <v>5332</v>
      </c>
      <c r="F5238" s="107" t="s">
        <v>6149</v>
      </c>
      <c r="G5238" s="57" t="s">
        <v>11449</v>
      </c>
      <c r="H5238" s="54">
        <v>0</v>
      </c>
      <c r="I5238" s="16">
        <v>470000000</v>
      </c>
      <c r="J5238" s="56" t="s">
        <v>229</v>
      </c>
      <c r="K5238" s="57" t="s">
        <v>642</v>
      </c>
      <c r="L5238" s="12" t="s">
        <v>404</v>
      </c>
      <c r="M5238" s="3" t="s">
        <v>230</v>
      </c>
      <c r="N5238" s="8" t="s">
        <v>8899</v>
      </c>
      <c r="O5238" s="6" t="s">
        <v>365</v>
      </c>
      <c r="P5238" s="58">
        <v>796</v>
      </c>
      <c r="Q5238" s="27" t="s">
        <v>234</v>
      </c>
      <c r="R5238" s="26">
        <v>10</v>
      </c>
      <c r="S5238" s="59">
        <f>4000*1.07</f>
        <v>4280</v>
      </c>
      <c r="T5238" s="4">
        <f>R5238*S5238</f>
        <v>42800</v>
      </c>
      <c r="U5238" s="4">
        <f>T5238*1.12</f>
        <v>47936.000000000007</v>
      </c>
      <c r="V5238" s="3"/>
      <c r="W5238" s="3">
        <v>2014</v>
      </c>
      <c r="X5238" s="3"/>
    </row>
    <row r="5239" spans="1:24" ht="114.75">
      <c r="A5239" s="3" t="s">
        <v>2141</v>
      </c>
      <c r="B5239" s="6" t="s">
        <v>361</v>
      </c>
      <c r="C5239" s="6" t="s">
        <v>6150</v>
      </c>
      <c r="D5239" s="6" t="s">
        <v>6151</v>
      </c>
      <c r="E5239" s="6" t="s">
        <v>6152</v>
      </c>
      <c r="F5239" s="107" t="s">
        <v>6153</v>
      </c>
      <c r="G5239" s="57" t="s">
        <v>11449</v>
      </c>
      <c r="H5239" s="54">
        <v>0</v>
      </c>
      <c r="I5239" s="16">
        <v>470000000</v>
      </c>
      <c r="J5239" s="56" t="s">
        <v>229</v>
      </c>
      <c r="K5239" s="57" t="s">
        <v>641</v>
      </c>
      <c r="L5239" s="12" t="s">
        <v>404</v>
      </c>
      <c r="M5239" s="3" t="s">
        <v>230</v>
      </c>
      <c r="N5239" s="8" t="s">
        <v>8899</v>
      </c>
      <c r="O5239" s="6" t="s">
        <v>365</v>
      </c>
      <c r="P5239" s="58">
        <v>796</v>
      </c>
      <c r="Q5239" s="27" t="s">
        <v>234</v>
      </c>
      <c r="R5239" s="26">
        <v>10</v>
      </c>
      <c r="S5239" s="59">
        <f>800*1.07</f>
        <v>856</v>
      </c>
      <c r="T5239" s="4">
        <v>0</v>
      </c>
      <c r="U5239" s="4">
        <f t="shared" si="231"/>
        <v>0</v>
      </c>
      <c r="V5239" s="3"/>
      <c r="W5239" s="3">
        <v>2014</v>
      </c>
      <c r="X5239" s="3">
        <v>11</v>
      </c>
    </row>
    <row r="5240" spans="1:24" ht="114.75">
      <c r="A5240" s="3" t="s">
        <v>12841</v>
      </c>
      <c r="B5240" s="6" t="s">
        <v>361</v>
      </c>
      <c r="C5240" s="6" t="s">
        <v>6150</v>
      </c>
      <c r="D5240" s="6" t="s">
        <v>6151</v>
      </c>
      <c r="E5240" s="6" t="s">
        <v>6152</v>
      </c>
      <c r="F5240" s="107" t="s">
        <v>6153</v>
      </c>
      <c r="G5240" s="57" t="s">
        <v>11449</v>
      </c>
      <c r="H5240" s="54">
        <v>0</v>
      </c>
      <c r="I5240" s="16">
        <v>470000000</v>
      </c>
      <c r="J5240" s="56" t="s">
        <v>229</v>
      </c>
      <c r="K5240" s="57" t="s">
        <v>642</v>
      </c>
      <c r="L5240" s="12" t="s">
        <v>404</v>
      </c>
      <c r="M5240" s="3" t="s">
        <v>230</v>
      </c>
      <c r="N5240" s="8" t="s">
        <v>8899</v>
      </c>
      <c r="O5240" s="6" t="s">
        <v>365</v>
      </c>
      <c r="P5240" s="58">
        <v>796</v>
      </c>
      <c r="Q5240" s="27" t="s">
        <v>234</v>
      </c>
      <c r="R5240" s="26">
        <v>10</v>
      </c>
      <c r="S5240" s="59">
        <f>800*1.07</f>
        <v>856</v>
      </c>
      <c r="T5240" s="4">
        <v>0</v>
      </c>
      <c r="U5240" s="4">
        <f>T5240*1.12</f>
        <v>0</v>
      </c>
      <c r="V5240" s="3"/>
      <c r="W5240" s="3">
        <v>2014</v>
      </c>
      <c r="X5240" s="3" t="s">
        <v>14785</v>
      </c>
    </row>
    <row r="5241" spans="1:24" ht="114.75">
      <c r="A5241" s="3" t="s">
        <v>16938</v>
      </c>
      <c r="B5241" s="6" t="s">
        <v>361</v>
      </c>
      <c r="C5241" s="6" t="s">
        <v>6150</v>
      </c>
      <c r="D5241" s="6" t="s">
        <v>6151</v>
      </c>
      <c r="E5241" s="6" t="s">
        <v>6152</v>
      </c>
      <c r="F5241" s="107" t="s">
        <v>6153</v>
      </c>
      <c r="G5241" s="3" t="s">
        <v>11449</v>
      </c>
      <c r="H5241" s="54">
        <v>0</v>
      </c>
      <c r="I5241" s="16">
        <v>470000000</v>
      </c>
      <c r="J5241" s="56" t="s">
        <v>229</v>
      </c>
      <c r="K5241" s="57" t="s">
        <v>8950</v>
      </c>
      <c r="L5241" s="12" t="s">
        <v>404</v>
      </c>
      <c r="M5241" s="3" t="s">
        <v>230</v>
      </c>
      <c r="N5241" s="8" t="s">
        <v>8899</v>
      </c>
      <c r="O5241" s="6" t="s">
        <v>365</v>
      </c>
      <c r="P5241" s="58">
        <v>796</v>
      </c>
      <c r="Q5241" s="27" t="s">
        <v>234</v>
      </c>
      <c r="R5241" s="26">
        <v>10</v>
      </c>
      <c r="S5241" s="59">
        <v>1027.2</v>
      </c>
      <c r="T5241" s="4">
        <f>R5241*S5241</f>
        <v>10272</v>
      </c>
      <c r="U5241" s="4">
        <f>T5241*1.12</f>
        <v>11504.640000000001</v>
      </c>
      <c r="V5241" s="3"/>
      <c r="W5241" s="3">
        <v>2014</v>
      </c>
      <c r="X5241" s="3"/>
    </row>
    <row r="5242" spans="1:24" ht="114.75">
      <c r="A5242" s="3" t="s">
        <v>2142</v>
      </c>
      <c r="B5242" s="6" t="s">
        <v>361</v>
      </c>
      <c r="C5242" s="6" t="s">
        <v>6154</v>
      </c>
      <c r="D5242" s="6" t="s">
        <v>4529</v>
      </c>
      <c r="E5242" s="6" t="s">
        <v>6155</v>
      </c>
      <c r="F5242" s="107" t="s">
        <v>6156</v>
      </c>
      <c r="G5242" s="57" t="s">
        <v>11449</v>
      </c>
      <c r="H5242" s="54">
        <v>0</v>
      </c>
      <c r="I5242" s="16">
        <v>470000000</v>
      </c>
      <c r="J5242" s="56" t="s">
        <v>229</v>
      </c>
      <c r="K5242" s="57" t="s">
        <v>641</v>
      </c>
      <c r="L5242" s="12" t="s">
        <v>404</v>
      </c>
      <c r="M5242" s="3" t="s">
        <v>230</v>
      </c>
      <c r="N5242" s="8" t="s">
        <v>8899</v>
      </c>
      <c r="O5242" s="6" t="s">
        <v>365</v>
      </c>
      <c r="P5242" s="58">
        <v>796</v>
      </c>
      <c r="Q5242" s="27" t="s">
        <v>234</v>
      </c>
      <c r="R5242" s="26">
        <v>20</v>
      </c>
      <c r="S5242" s="59">
        <f>400*1.07</f>
        <v>428</v>
      </c>
      <c r="T5242" s="4">
        <v>0</v>
      </c>
      <c r="U5242" s="4">
        <f t="shared" si="231"/>
        <v>0</v>
      </c>
      <c r="V5242" s="3"/>
      <c r="W5242" s="3">
        <v>2014</v>
      </c>
      <c r="X5242" s="3">
        <v>11</v>
      </c>
    </row>
    <row r="5243" spans="1:24" ht="114.75">
      <c r="A5243" s="3" t="s">
        <v>12842</v>
      </c>
      <c r="B5243" s="6" t="s">
        <v>361</v>
      </c>
      <c r="C5243" s="6" t="s">
        <v>6154</v>
      </c>
      <c r="D5243" s="6" t="s">
        <v>4529</v>
      </c>
      <c r="E5243" s="6" t="s">
        <v>6155</v>
      </c>
      <c r="F5243" s="107" t="s">
        <v>6156</v>
      </c>
      <c r="G5243" s="57" t="s">
        <v>11449</v>
      </c>
      <c r="H5243" s="54">
        <v>0</v>
      </c>
      <c r="I5243" s="16">
        <v>470000000</v>
      </c>
      <c r="J5243" s="56" t="s">
        <v>229</v>
      </c>
      <c r="K5243" s="57" t="s">
        <v>642</v>
      </c>
      <c r="L5243" s="12" t="s">
        <v>404</v>
      </c>
      <c r="M5243" s="3" t="s">
        <v>230</v>
      </c>
      <c r="N5243" s="8" t="s">
        <v>8899</v>
      </c>
      <c r="O5243" s="6" t="s">
        <v>365</v>
      </c>
      <c r="P5243" s="58">
        <v>796</v>
      </c>
      <c r="Q5243" s="27" t="s">
        <v>234</v>
      </c>
      <c r="R5243" s="26">
        <v>20</v>
      </c>
      <c r="S5243" s="59">
        <f>400*1.07</f>
        <v>428</v>
      </c>
      <c r="T5243" s="4">
        <f>R5243*S5243</f>
        <v>8560</v>
      </c>
      <c r="U5243" s="4">
        <f>T5243*1.12</f>
        <v>9587.2000000000007</v>
      </c>
      <c r="V5243" s="3"/>
      <c r="W5243" s="3">
        <v>2014</v>
      </c>
      <c r="X5243" s="3"/>
    </row>
    <row r="5244" spans="1:24" ht="114.75">
      <c r="A5244" s="3" t="s">
        <v>2143</v>
      </c>
      <c r="B5244" s="6" t="s">
        <v>361</v>
      </c>
      <c r="C5244" s="6" t="s">
        <v>11542</v>
      </c>
      <c r="D5244" s="6" t="s">
        <v>11543</v>
      </c>
      <c r="E5244" s="6" t="s">
        <v>11544</v>
      </c>
      <c r="F5244" s="107" t="s">
        <v>6157</v>
      </c>
      <c r="G5244" s="57" t="s">
        <v>11449</v>
      </c>
      <c r="H5244" s="54">
        <v>0</v>
      </c>
      <c r="I5244" s="16">
        <v>470000000</v>
      </c>
      <c r="J5244" s="56" t="s">
        <v>229</v>
      </c>
      <c r="K5244" s="57" t="s">
        <v>641</v>
      </c>
      <c r="L5244" s="12" t="s">
        <v>404</v>
      </c>
      <c r="M5244" s="3" t="s">
        <v>230</v>
      </c>
      <c r="N5244" s="8" t="s">
        <v>8899</v>
      </c>
      <c r="O5244" s="6" t="s">
        <v>365</v>
      </c>
      <c r="P5244" s="58">
        <v>796</v>
      </c>
      <c r="Q5244" s="27" t="s">
        <v>234</v>
      </c>
      <c r="R5244" s="26">
        <v>500</v>
      </c>
      <c r="S5244" s="59">
        <f>200*1.07</f>
        <v>214</v>
      </c>
      <c r="T5244" s="4">
        <v>0</v>
      </c>
      <c r="U5244" s="4">
        <f t="shared" si="231"/>
        <v>0</v>
      </c>
      <c r="V5244" s="3"/>
      <c r="W5244" s="3">
        <v>2014</v>
      </c>
      <c r="X5244" s="3">
        <v>11</v>
      </c>
    </row>
    <row r="5245" spans="1:24" ht="114.75">
      <c r="A5245" s="3" t="s">
        <v>12843</v>
      </c>
      <c r="B5245" s="6" t="s">
        <v>361</v>
      </c>
      <c r="C5245" s="6" t="s">
        <v>11542</v>
      </c>
      <c r="D5245" s="6" t="s">
        <v>11543</v>
      </c>
      <c r="E5245" s="6" t="s">
        <v>11544</v>
      </c>
      <c r="F5245" s="107" t="s">
        <v>6157</v>
      </c>
      <c r="G5245" s="57" t="s">
        <v>11449</v>
      </c>
      <c r="H5245" s="54">
        <v>0</v>
      </c>
      <c r="I5245" s="16">
        <v>470000000</v>
      </c>
      <c r="J5245" s="56" t="s">
        <v>229</v>
      </c>
      <c r="K5245" s="57" t="s">
        <v>642</v>
      </c>
      <c r="L5245" s="12" t="s">
        <v>404</v>
      </c>
      <c r="M5245" s="3" t="s">
        <v>230</v>
      </c>
      <c r="N5245" s="8" t="s">
        <v>8899</v>
      </c>
      <c r="O5245" s="6" t="s">
        <v>365</v>
      </c>
      <c r="P5245" s="58">
        <v>796</v>
      </c>
      <c r="Q5245" s="27" t="s">
        <v>234</v>
      </c>
      <c r="R5245" s="26">
        <v>500</v>
      </c>
      <c r="S5245" s="59">
        <f>200*1.07</f>
        <v>214</v>
      </c>
      <c r="T5245" s="4">
        <f>R5245*S5245</f>
        <v>107000</v>
      </c>
      <c r="U5245" s="4">
        <f>T5245*1.12</f>
        <v>119840.00000000001</v>
      </c>
      <c r="V5245" s="3"/>
      <c r="W5245" s="3">
        <v>2014</v>
      </c>
      <c r="X5245" s="3"/>
    </row>
    <row r="5246" spans="1:24" ht="114.75">
      <c r="A5246" s="3" t="s">
        <v>2144</v>
      </c>
      <c r="B5246" s="6" t="s">
        <v>361</v>
      </c>
      <c r="C5246" s="6" t="s">
        <v>11542</v>
      </c>
      <c r="D5246" s="6" t="s">
        <v>11543</v>
      </c>
      <c r="E5246" s="6" t="s">
        <v>11544</v>
      </c>
      <c r="F5246" s="107" t="s">
        <v>6158</v>
      </c>
      <c r="G5246" s="57" t="s">
        <v>11449</v>
      </c>
      <c r="H5246" s="54">
        <v>0</v>
      </c>
      <c r="I5246" s="16">
        <v>470000000</v>
      </c>
      <c r="J5246" s="56" t="s">
        <v>229</v>
      </c>
      <c r="K5246" s="57" t="s">
        <v>641</v>
      </c>
      <c r="L5246" s="12" t="s">
        <v>404</v>
      </c>
      <c r="M5246" s="3" t="s">
        <v>230</v>
      </c>
      <c r="N5246" s="8" t="s">
        <v>8899</v>
      </c>
      <c r="O5246" s="6" t="s">
        <v>365</v>
      </c>
      <c r="P5246" s="58">
        <v>796</v>
      </c>
      <c r="Q5246" s="27" t="s">
        <v>234</v>
      </c>
      <c r="R5246" s="26">
        <v>500</v>
      </c>
      <c r="S5246" s="59">
        <f>150*1.07</f>
        <v>160.5</v>
      </c>
      <c r="T5246" s="4">
        <v>0</v>
      </c>
      <c r="U5246" s="4">
        <f t="shared" si="231"/>
        <v>0</v>
      </c>
      <c r="V5246" s="3"/>
      <c r="W5246" s="3">
        <v>2014</v>
      </c>
      <c r="X5246" s="3">
        <v>11</v>
      </c>
    </row>
    <row r="5247" spans="1:24" ht="114.75">
      <c r="A5247" s="3" t="s">
        <v>12844</v>
      </c>
      <c r="B5247" s="6" t="s">
        <v>361</v>
      </c>
      <c r="C5247" s="6" t="s">
        <v>11542</v>
      </c>
      <c r="D5247" s="6" t="s">
        <v>11543</v>
      </c>
      <c r="E5247" s="6" t="s">
        <v>11544</v>
      </c>
      <c r="F5247" s="107" t="s">
        <v>6158</v>
      </c>
      <c r="G5247" s="57" t="s">
        <v>11449</v>
      </c>
      <c r="H5247" s="54">
        <v>0</v>
      </c>
      <c r="I5247" s="16">
        <v>470000000</v>
      </c>
      <c r="J5247" s="56" t="s">
        <v>229</v>
      </c>
      <c r="K5247" s="57" t="s">
        <v>642</v>
      </c>
      <c r="L5247" s="12" t="s">
        <v>404</v>
      </c>
      <c r="M5247" s="3" t="s">
        <v>230</v>
      </c>
      <c r="N5247" s="8" t="s">
        <v>8899</v>
      </c>
      <c r="O5247" s="6" t="s">
        <v>365</v>
      </c>
      <c r="P5247" s="58">
        <v>796</v>
      </c>
      <c r="Q5247" s="27" t="s">
        <v>234</v>
      </c>
      <c r="R5247" s="26">
        <v>500</v>
      </c>
      <c r="S5247" s="59">
        <f>150*1.07</f>
        <v>160.5</v>
      </c>
      <c r="T5247" s="4">
        <f>R5247*S5247</f>
        <v>80250</v>
      </c>
      <c r="U5247" s="4">
        <f>T5247*1.12</f>
        <v>89880.000000000015</v>
      </c>
      <c r="V5247" s="3"/>
      <c r="W5247" s="3">
        <v>2014</v>
      </c>
      <c r="X5247" s="3"/>
    </row>
    <row r="5248" spans="1:24" ht="114.75">
      <c r="A5248" s="3" t="s">
        <v>2145</v>
      </c>
      <c r="B5248" s="6" t="s">
        <v>361</v>
      </c>
      <c r="C5248" s="6" t="s">
        <v>6159</v>
      </c>
      <c r="D5248" s="6" t="s">
        <v>3122</v>
      </c>
      <c r="E5248" s="6" t="s">
        <v>5743</v>
      </c>
      <c r="F5248" s="8" t="s">
        <v>11795</v>
      </c>
      <c r="G5248" s="57" t="s">
        <v>11449</v>
      </c>
      <c r="H5248" s="54">
        <v>0</v>
      </c>
      <c r="I5248" s="16">
        <v>470000000</v>
      </c>
      <c r="J5248" s="56" t="s">
        <v>229</v>
      </c>
      <c r="K5248" s="57" t="s">
        <v>641</v>
      </c>
      <c r="L5248" s="12" t="s">
        <v>404</v>
      </c>
      <c r="M5248" s="3" t="s">
        <v>230</v>
      </c>
      <c r="N5248" s="8" t="s">
        <v>8899</v>
      </c>
      <c r="O5248" s="6" t="s">
        <v>365</v>
      </c>
      <c r="P5248" s="58">
        <v>796</v>
      </c>
      <c r="Q5248" s="27" t="s">
        <v>234</v>
      </c>
      <c r="R5248" s="26">
        <v>20</v>
      </c>
      <c r="S5248" s="59">
        <f>1500*1.07</f>
        <v>1605</v>
      </c>
      <c r="T5248" s="4">
        <v>0</v>
      </c>
      <c r="U5248" s="4">
        <f t="shared" si="231"/>
        <v>0</v>
      </c>
      <c r="V5248" s="3"/>
      <c r="W5248" s="3">
        <v>2014</v>
      </c>
      <c r="X5248" s="3">
        <v>11</v>
      </c>
    </row>
    <row r="5249" spans="1:24" ht="114.75">
      <c r="A5249" s="3" t="s">
        <v>12845</v>
      </c>
      <c r="B5249" s="6" t="s">
        <v>361</v>
      </c>
      <c r="C5249" s="6" t="s">
        <v>6159</v>
      </c>
      <c r="D5249" s="6" t="s">
        <v>3122</v>
      </c>
      <c r="E5249" s="6" t="s">
        <v>5743</v>
      </c>
      <c r="F5249" s="8" t="s">
        <v>11795</v>
      </c>
      <c r="G5249" s="57" t="s">
        <v>11449</v>
      </c>
      <c r="H5249" s="54">
        <v>0</v>
      </c>
      <c r="I5249" s="16">
        <v>470000000</v>
      </c>
      <c r="J5249" s="56" t="s">
        <v>229</v>
      </c>
      <c r="K5249" s="57" t="s">
        <v>642</v>
      </c>
      <c r="L5249" s="12" t="s">
        <v>404</v>
      </c>
      <c r="M5249" s="3" t="s">
        <v>230</v>
      </c>
      <c r="N5249" s="8" t="s">
        <v>8899</v>
      </c>
      <c r="O5249" s="6" t="s">
        <v>365</v>
      </c>
      <c r="P5249" s="58">
        <v>796</v>
      </c>
      <c r="Q5249" s="27" t="s">
        <v>234</v>
      </c>
      <c r="R5249" s="26">
        <v>20</v>
      </c>
      <c r="S5249" s="59">
        <f>1500*1.07</f>
        <v>1605</v>
      </c>
      <c r="T5249" s="4">
        <f>R5249*S5249</f>
        <v>32100</v>
      </c>
      <c r="U5249" s="4">
        <f>T5249*1.12</f>
        <v>35952</v>
      </c>
      <c r="V5249" s="3"/>
      <c r="W5249" s="3">
        <v>2014</v>
      </c>
      <c r="X5249" s="3"/>
    </row>
    <row r="5250" spans="1:24" ht="114.75">
      <c r="A5250" s="3" t="s">
        <v>2146</v>
      </c>
      <c r="B5250" s="6" t="s">
        <v>361</v>
      </c>
      <c r="C5250" s="6" t="s">
        <v>6160</v>
      </c>
      <c r="D5250" s="6" t="s">
        <v>3125</v>
      </c>
      <c r="E5250" s="6" t="s">
        <v>5743</v>
      </c>
      <c r="F5250" s="8" t="s">
        <v>11796</v>
      </c>
      <c r="G5250" s="57" t="s">
        <v>11449</v>
      </c>
      <c r="H5250" s="54">
        <v>0</v>
      </c>
      <c r="I5250" s="16">
        <v>470000000</v>
      </c>
      <c r="J5250" s="56" t="s">
        <v>229</v>
      </c>
      <c r="K5250" s="57" t="s">
        <v>641</v>
      </c>
      <c r="L5250" s="12" t="s">
        <v>404</v>
      </c>
      <c r="M5250" s="3" t="s">
        <v>230</v>
      </c>
      <c r="N5250" s="8" t="s">
        <v>8899</v>
      </c>
      <c r="O5250" s="6" t="s">
        <v>365</v>
      </c>
      <c r="P5250" s="58">
        <v>796</v>
      </c>
      <c r="Q5250" s="27" t="s">
        <v>234</v>
      </c>
      <c r="R5250" s="26">
        <v>20</v>
      </c>
      <c r="S5250" s="59">
        <f>1500*1.07</f>
        <v>1605</v>
      </c>
      <c r="T5250" s="4">
        <v>0</v>
      </c>
      <c r="U5250" s="4">
        <f t="shared" si="231"/>
        <v>0</v>
      </c>
      <c r="V5250" s="3"/>
      <c r="W5250" s="3">
        <v>2014</v>
      </c>
      <c r="X5250" s="3">
        <v>11</v>
      </c>
    </row>
    <row r="5251" spans="1:24" ht="114.75">
      <c r="A5251" s="3" t="s">
        <v>12846</v>
      </c>
      <c r="B5251" s="6" t="s">
        <v>361</v>
      </c>
      <c r="C5251" s="6" t="s">
        <v>6160</v>
      </c>
      <c r="D5251" s="6" t="s">
        <v>3125</v>
      </c>
      <c r="E5251" s="6" t="s">
        <v>5743</v>
      </c>
      <c r="F5251" s="8" t="s">
        <v>11796</v>
      </c>
      <c r="G5251" s="57" t="s">
        <v>11449</v>
      </c>
      <c r="H5251" s="54">
        <v>0</v>
      </c>
      <c r="I5251" s="16">
        <v>470000000</v>
      </c>
      <c r="J5251" s="56" t="s">
        <v>229</v>
      </c>
      <c r="K5251" s="57" t="s">
        <v>641</v>
      </c>
      <c r="L5251" s="12" t="s">
        <v>404</v>
      </c>
      <c r="M5251" s="3" t="s">
        <v>230</v>
      </c>
      <c r="N5251" s="8" t="s">
        <v>8899</v>
      </c>
      <c r="O5251" s="6" t="s">
        <v>365</v>
      </c>
      <c r="P5251" s="58">
        <v>796</v>
      </c>
      <c r="Q5251" s="27" t="s">
        <v>234</v>
      </c>
      <c r="R5251" s="26">
        <v>20</v>
      </c>
      <c r="S5251" s="59">
        <f>1500*1.07</f>
        <v>1605</v>
      </c>
      <c r="T5251" s="4">
        <f>R5251*S5251</f>
        <v>32100</v>
      </c>
      <c r="U5251" s="4">
        <f>T5251*1.12</f>
        <v>35952</v>
      </c>
      <c r="V5251" s="3"/>
      <c r="W5251" s="3">
        <v>2014</v>
      </c>
      <c r="X5251" s="3"/>
    </row>
    <row r="5252" spans="1:24" ht="114.75">
      <c r="A5252" s="3" t="s">
        <v>2147</v>
      </c>
      <c r="B5252" s="6" t="s">
        <v>361</v>
      </c>
      <c r="C5252" s="6" t="s">
        <v>6161</v>
      </c>
      <c r="D5252" s="6" t="s">
        <v>6162</v>
      </c>
      <c r="E5252" s="6" t="s">
        <v>6163</v>
      </c>
      <c r="F5252" s="26" t="s">
        <v>6164</v>
      </c>
      <c r="G5252" s="57" t="s">
        <v>11449</v>
      </c>
      <c r="H5252" s="54">
        <v>0</v>
      </c>
      <c r="I5252" s="16">
        <v>470000000</v>
      </c>
      <c r="J5252" s="56" t="s">
        <v>229</v>
      </c>
      <c r="K5252" s="57" t="s">
        <v>641</v>
      </c>
      <c r="L5252" s="12" t="s">
        <v>404</v>
      </c>
      <c r="M5252" s="3" t="s">
        <v>230</v>
      </c>
      <c r="N5252" s="8" t="s">
        <v>8899</v>
      </c>
      <c r="O5252" s="6" t="s">
        <v>365</v>
      </c>
      <c r="P5252" s="58">
        <v>796</v>
      </c>
      <c r="Q5252" s="27" t="s">
        <v>234</v>
      </c>
      <c r="R5252" s="26">
        <v>30</v>
      </c>
      <c r="S5252" s="59">
        <f>400*1.07</f>
        <v>428</v>
      </c>
      <c r="T5252" s="4">
        <v>0</v>
      </c>
      <c r="U5252" s="4">
        <f t="shared" si="231"/>
        <v>0</v>
      </c>
      <c r="V5252" s="3"/>
      <c r="W5252" s="3">
        <v>2014</v>
      </c>
      <c r="X5252" s="3">
        <v>11</v>
      </c>
    </row>
    <row r="5253" spans="1:24" ht="114.75">
      <c r="A5253" s="3" t="s">
        <v>12847</v>
      </c>
      <c r="B5253" s="6" t="s">
        <v>361</v>
      </c>
      <c r="C5253" s="6" t="s">
        <v>6161</v>
      </c>
      <c r="D5253" s="6" t="s">
        <v>6162</v>
      </c>
      <c r="E5253" s="6" t="s">
        <v>6163</v>
      </c>
      <c r="F5253" s="26" t="s">
        <v>6164</v>
      </c>
      <c r="G5253" s="57" t="s">
        <v>11449</v>
      </c>
      <c r="H5253" s="54">
        <v>0</v>
      </c>
      <c r="I5253" s="16">
        <v>470000000</v>
      </c>
      <c r="J5253" s="56" t="s">
        <v>229</v>
      </c>
      <c r="K5253" s="57" t="s">
        <v>642</v>
      </c>
      <c r="L5253" s="12" t="s">
        <v>404</v>
      </c>
      <c r="M5253" s="3" t="s">
        <v>230</v>
      </c>
      <c r="N5253" s="8" t="s">
        <v>8899</v>
      </c>
      <c r="O5253" s="6" t="s">
        <v>365</v>
      </c>
      <c r="P5253" s="58">
        <v>796</v>
      </c>
      <c r="Q5253" s="27" t="s">
        <v>234</v>
      </c>
      <c r="R5253" s="26">
        <v>30</v>
      </c>
      <c r="S5253" s="59">
        <f>400*1.07</f>
        <v>428</v>
      </c>
      <c r="T5253" s="4">
        <f>R5253*S5253</f>
        <v>12840</v>
      </c>
      <c r="U5253" s="4">
        <f>T5253*1.12</f>
        <v>14380.800000000001</v>
      </c>
      <c r="V5253" s="3"/>
      <c r="W5253" s="3">
        <v>2014</v>
      </c>
      <c r="X5253" s="3"/>
    </row>
    <row r="5254" spans="1:24" ht="114.75">
      <c r="A5254" s="3" t="s">
        <v>2148</v>
      </c>
      <c r="B5254" s="6" t="s">
        <v>361</v>
      </c>
      <c r="C5254" s="6" t="s">
        <v>6165</v>
      </c>
      <c r="D5254" s="6" t="s">
        <v>6166</v>
      </c>
      <c r="E5254" s="6" t="s">
        <v>6167</v>
      </c>
      <c r="F5254" s="224" t="s">
        <v>6168</v>
      </c>
      <c r="G5254" s="57" t="s">
        <v>11449</v>
      </c>
      <c r="H5254" s="54">
        <v>0</v>
      </c>
      <c r="I5254" s="16">
        <v>470000000</v>
      </c>
      <c r="J5254" s="56" t="s">
        <v>229</v>
      </c>
      <c r="K5254" s="57" t="s">
        <v>641</v>
      </c>
      <c r="L5254" s="12" t="s">
        <v>404</v>
      </c>
      <c r="M5254" s="3" t="s">
        <v>230</v>
      </c>
      <c r="N5254" s="8" t="s">
        <v>8899</v>
      </c>
      <c r="O5254" s="6" t="s">
        <v>365</v>
      </c>
      <c r="P5254" s="58">
        <v>796</v>
      </c>
      <c r="Q5254" s="27" t="s">
        <v>234</v>
      </c>
      <c r="R5254" s="26">
        <v>30</v>
      </c>
      <c r="S5254" s="59">
        <f>400*1.07</f>
        <v>428</v>
      </c>
      <c r="T5254" s="4">
        <v>0</v>
      </c>
      <c r="U5254" s="4">
        <f t="shared" si="231"/>
        <v>0</v>
      </c>
      <c r="V5254" s="3"/>
      <c r="W5254" s="3">
        <v>2014</v>
      </c>
      <c r="X5254" s="3">
        <v>11</v>
      </c>
    </row>
    <row r="5255" spans="1:24" ht="114.75">
      <c r="A5255" s="3" t="s">
        <v>12848</v>
      </c>
      <c r="B5255" s="6" t="s">
        <v>361</v>
      </c>
      <c r="C5255" s="6" t="s">
        <v>6165</v>
      </c>
      <c r="D5255" s="6" t="s">
        <v>6166</v>
      </c>
      <c r="E5255" s="6" t="s">
        <v>6167</v>
      </c>
      <c r="F5255" s="224" t="s">
        <v>6168</v>
      </c>
      <c r="G5255" s="57" t="s">
        <v>11449</v>
      </c>
      <c r="H5255" s="54">
        <v>0</v>
      </c>
      <c r="I5255" s="16">
        <v>470000000</v>
      </c>
      <c r="J5255" s="56" t="s">
        <v>229</v>
      </c>
      <c r="K5255" s="57" t="s">
        <v>642</v>
      </c>
      <c r="L5255" s="12" t="s">
        <v>404</v>
      </c>
      <c r="M5255" s="3" t="s">
        <v>230</v>
      </c>
      <c r="N5255" s="8" t="s">
        <v>8899</v>
      </c>
      <c r="O5255" s="6" t="s">
        <v>365</v>
      </c>
      <c r="P5255" s="58">
        <v>796</v>
      </c>
      <c r="Q5255" s="27" t="s">
        <v>234</v>
      </c>
      <c r="R5255" s="26">
        <v>30</v>
      </c>
      <c r="S5255" s="59">
        <f>400*1.07</f>
        <v>428</v>
      </c>
      <c r="T5255" s="4">
        <f>R5255*S5255</f>
        <v>12840</v>
      </c>
      <c r="U5255" s="4">
        <f>T5255*1.12</f>
        <v>14380.800000000001</v>
      </c>
      <c r="V5255" s="3"/>
      <c r="W5255" s="3">
        <v>2014</v>
      </c>
      <c r="X5255" s="3"/>
    </row>
    <row r="5256" spans="1:24" ht="114.75">
      <c r="A5256" s="3" t="s">
        <v>2149</v>
      </c>
      <c r="B5256" s="6" t="s">
        <v>361</v>
      </c>
      <c r="C5256" s="6" t="s">
        <v>6169</v>
      </c>
      <c r="D5256" s="6" t="s">
        <v>425</v>
      </c>
      <c r="E5256" s="6" t="s">
        <v>5998</v>
      </c>
      <c r="F5256" s="107" t="s">
        <v>6170</v>
      </c>
      <c r="G5256" s="57" t="s">
        <v>11449</v>
      </c>
      <c r="H5256" s="54">
        <v>0</v>
      </c>
      <c r="I5256" s="16">
        <v>470000000</v>
      </c>
      <c r="J5256" s="56" t="s">
        <v>229</v>
      </c>
      <c r="K5256" s="57" t="s">
        <v>641</v>
      </c>
      <c r="L5256" s="12" t="s">
        <v>404</v>
      </c>
      <c r="M5256" s="3" t="s">
        <v>230</v>
      </c>
      <c r="N5256" s="8" t="s">
        <v>8899</v>
      </c>
      <c r="O5256" s="6" t="s">
        <v>365</v>
      </c>
      <c r="P5256" s="58">
        <v>796</v>
      </c>
      <c r="Q5256" s="27" t="s">
        <v>234</v>
      </c>
      <c r="R5256" s="26">
        <v>20</v>
      </c>
      <c r="S5256" s="59">
        <f>1200*1.07</f>
        <v>1284</v>
      </c>
      <c r="T5256" s="4">
        <v>0</v>
      </c>
      <c r="U5256" s="4">
        <f t="shared" si="231"/>
        <v>0</v>
      </c>
      <c r="V5256" s="3"/>
      <c r="W5256" s="3">
        <v>2014</v>
      </c>
      <c r="X5256" s="3">
        <v>11</v>
      </c>
    </row>
    <row r="5257" spans="1:24" ht="114.75">
      <c r="A5257" s="3" t="s">
        <v>12849</v>
      </c>
      <c r="B5257" s="6" t="s">
        <v>361</v>
      </c>
      <c r="C5257" s="6" t="s">
        <v>6169</v>
      </c>
      <c r="D5257" s="6" t="s">
        <v>425</v>
      </c>
      <c r="E5257" s="6" t="s">
        <v>5998</v>
      </c>
      <c r="F5257" s="107" t="s">
        <v>6170</v>
      </c>
      <c r="G5257" s="57" t="s">
        <v>11449</v>
      </c>
      <c r="H5257" s="54">
        <v>0</v>
      </c>
      <c r="I5257" s="16">
        <v>470000000</v>
      </c>
      <c r="J5257" s="56" t="s">
        <v>229</v>
      </c>
      <c r="K5257" s="57" t="s">
        <v>642</v>
      </c>
      <c r="L5257" s="12" t="s">
        <v>404</v>
      </c>
      <c r="M5257" s="3" t="s">
        <v>230</v>
      </c>
      <c r="N5257" s="8" t="s">
        <v>8899</v>
      </c>
      <c r="O5257" s="6" t="s">
        <v>365</v>
      </c>
      <c r="P5257" s="58">
        <v>796</v>
      </c>
      <c r="Q5257" s="27" t="s">
        <v>234</v>
      </c>
      <c r="R5257" s="26">
        <v>20</v>
      </c>
      <c r="S5257" s="59">
        <f>1200*1.07</f>
        <v>1284</v>
      </c>
      <c r="T5257" s="4">
        <f>R5257*S5257</f>
        <v>25680</v>
      </c>
      <c r="U5257" s="4">
        <f>T5257*1.12</f>
        <v>28761.600000000002</v>
      </c>
      <c r="V5257" s="3"/>
      <c r="W5257" s="3">
        <v>2014</v>
      </c>
      <c r="X5257" s="3"/>
    </row>
    <row r="5258" spans="1:24" ht="114.75">
      <c r="A5258" s="3" t="s">
        <v>2150</v>
      </c>
      <c r="B5258" s="6" t="s">
        <v>361</v>
      </c>
      <c r="C5258" s="6" t="s">
        <v>6015</v>
      </c>
      <c r="D5258" s="6" t="s">
        <v>408</v>
      </c>
      <c r="E5258" s="6" t="s">
        <v>5998</v>
      </c>
      <c r="F5258" s="30" t="s">
        <v>6171</v>
      </c>
      <c r="G5258" s="57" t="s">
        <v>11449</v>
      </c>
      <c r="H5258" s="54">
        <v>0</v>
      </c>
      <c r="I5258" s="16">
        <v>470000000</v>
      </c>
      <c r="J5258" s="56" t="s">
        <v>229</v>
      </c>
      <c r="K5258" s="57" t="s">
        <v>641</v>
      </c>
      <c r="L5258" s="12" t="s">
        <v>404</v>
      </c>
      <c r="M5258" s="3" t="s">
        <v>230</v>
      </c>
      <c r="N5258" s="8" t="s">
        <v>8899</v>
      </c>
      <c r="O5258" s="6" t="s">
        <v>365</v>
      </c>
      <c r="P5258" s="58">
        <v>796</v>
      </c>
      <c r="Q5258" s="27" t="s">
        <v>234</v>
      </c>
      <c r="R5258" s="26">
        <v>10</v>
      </c>
      <c r="S5258" s="59">
        <f>3000*1.07</f>
        <v>3210</v>
      </c>
      <c r="T5258" s="4">
        <v>0</v>
      </c>
      <c r="U5258" s="4">
        <f t="shared" si="231"/>
        <v>0</v>
      </c>
      <c r="V5258" s="3"/>
      <c r="W5258" s="3">
        <v>2014</v>
      </c>
      <c r="X5258" s="3">
        <v>11</v>
      </c>
    </row>
    <row r="5259" spans="1:24" ht="114.75">
      <c r="A5259" s="3" t="s">
        <v>12850</v>
      </c>
      <c r="B5259" s="6" t="s">
        <v>361</v>
      </c>
      <c r="C5259" s="6" t="s">
        <v>6015</v>
      </c>
      <c r="D5259" s="6" t="s">
        <v>408</v>
      </c>
      <c r="E5259" s="6" t="s">
        <v>5998</v>
      </c>
      <c r="F5259" s="30" t="s">
        <v>6171</v>
      </c>
      <c r="G5259" s="57" t="s">
        <v>11449</v>
      </c>
      <c r="H5259" s="54">
        <v>0</v>
      </c>
      <c r="I5259" s="16">
        <v>470000000</v>
      </c>
      <c r="J5259" s="56" t="s">
        <v>229</v>
      </c>
      <c r="K5259" s="57" t="s">
        <v>642</v>
      </c>
      <c r="L5259" s="12" t="s">
        <v>404</v>
      </c>
      <c r="M5259" s="3" t="s">
        <v>230</v>
      </c>
      <c r="N5259" s="8" t="s">
        <v>8899</v>
      </c>
      <c r="O5259" s="6" t="s">
        <v>365</v>
      </c>
      <c r="P5259" s="58">
        <v>796</v>
      </c>
      <c r="Q5259" s="27" t="s">
        <v>234</v>
      </c>
      <c r="R5259" s="26">
        <v>10</v>
      </c>
      <c r="S5259" s="59">
        <f>3000*1.07</f>
        <v>3210</v>
      </c>
      <c r="T5259" s="4">
        <f>R5259*S5259</f>
        <v>32100</v>
      </c>
      <c r="U5259" s="4">
        <f>T5259*1.12</f>
        <v>35952</v>
      </c>
      <c r="V5259" s="3"/>
      <c r="W5259" s="3">
        <v>2014</v>
      </c>
      <c r="X5259" s="3"/>
    </row>
    <row r="5260" spans="1:24" ht="114.75">
      <c r="A5260" s="3" t="s">
        <v>2151</v>
      </c>
      <c r="B5260" s="6" t="s">
        <v>361</v>
      </c>
      <c r="C5260" s="6" t="s">
        <v>7373</v>
      </c>
      <c r="D5260" s="6" t="s">
        <v>11545</v>
      </c>
      <c r="E5260" s="6" t="s">
        <v>11546</v>
      </c>
      <c r="F5260" s="30" t="s">
        <v>6172</v>
      </c>
      <c r="G5260" s="57" t="s">
        <v>11449</v>
      </c>
      <c r="H5260" s="54">
        <v>0</v>
      </c>
      <c r="I5260" s="16">
        <v>470000000</v>
      </c>
      <c r="J5260" s="56" t="s">
        <v>229</v>
      </c>
      <c r="K5260" s="57" t="s">
        <v>641</v>
      </c>
      <c r="L5260" s="12" t="s">
        <v>404</v>
      </c>
      <c r="M5260" s="3" t="s">
        <v>230</v>
      </c>
      <c r="N5260" s="8" t="s">
        <v>8899</v>
      </c>
      <c r="O5260" s="6" t="s">
        <v>365</v>
      </c>
      <c r="P5260" s="58">
        <v>796</v>
      </c>
      <c r="Q5260" s="27" t="s">
        <v>234</v>
      </c>
      <c r="R5260" s="26">
        <v>10</v>
      </c>
      <c r="S5260" s="59">
        <f>5500*1.07</f>
        <v>5885</v>
      </c>
      <c r="T5260" s="4">
        <v>0</v>
      </c>
      <c r="U5260" s="4">
        <f t="shared" si="231"/>
        <v>0</v>
      </c>
      <c r="V5260" s="3"/>
      <c r="W5260" s="3">
        <v>2014</v>
      </c>
      <c r="X5260" s="3">
        <v>11</v>
      </c>
    </row>
    <row r="5261" spans="1:24" ht="114.75">
      <c r="A5261" s="3" t="s">
        <v>12851</v>
      </c>
      <c r="B5261" s="6" t="s">
        <v>361</v>
      </c>
      <c r="C5261" s="6" t="s">
        <v>7373</v>
      </c>
      <c r="D5261" s="6" t="s">
        <v>11545</v>
      </c>
      <c r="E5261" s="6" t="s">
        <v>11546</v>
      </c>
      <c r="F5261" s="30" t="s">
        <v>6172</v>
      </c>
      <c r="G5261" s="57" t="s">
        <v>11449</v>
      </c>
      <c r="H5261" s="54">
        <v>0</v>
      </c>
      <c r="I5261" s="16">
        <v>470000000</v>
      </c>
      <c r="J5261" s="56" t="s">
        <v>229</v>
      </c>
      <c r="K5261" s="57" t="s">
        <v>642</v>
      </c>
      <c r="L5261" s="12" t="s">
        <v>404</v>
      </c>
      <c r="M5261" s="3" t="s">
        <v>230</v>
      </c>
      <c r="N5261" s="8" t="s">
        <v>8899</v>
      </c>
      <c r="O5261" s="6" t="s">
        <v>365</v>
      </c>
      <c r="P5261" s="58">
        <v>796</v>
      </c>
      <c r="Q5261" s="27" t="s">
        <v>234</v>
      </c>
      <c r="R5261" s="26">
        <v>10</v>
      </c>
      <c r="S5261" s="59">
        <f>5500*1.07</f>
        <v>5885</v>
      </c>
      <c r="T5261" s="4">
        <f>R5261*S5261</f>
        <v>58850</v>
      </c>
      <c r="U5261" s="4">
        <f>T5261*1.12</f>
        <v>65912</v>
      </c>
      <c r="V5261" s="3"/>
      <c r="W5261" s="3">
        <v>2014</v>
      </c>
      <c r="X5261" s="3"/>
    </row>
    <row r="5262" spans="1:24" ht="114.75">
      <c r="A5262" s="3" t="s">
        <v>2152</v>
      </c>
      <c r="B5262" s="6" t="s">
        <v>361</v>
      </c>
      <c r="C5262" s="6" t="s">
        <v>6173</v>
      </c>
      <c r="D5262" s="6" t="s">
        <v>446</v>
      </c>
      <c r="E5262" s="6" t="s">
        <v>6174</v>
      </c>
      <c r="F5262" s="30" t="s">
        <v>6175</v>
      </c>
      <c r="G5262" s="57" t="s">
        <v>11449</v>
      </c>
      <c r="H5262" s="54">
        <v>0</v>
      </c>
      <c r="I5262" s="16">
        <v>470000000</v>
      </c>
      <c r="J5262" s="56" t="s">
        <v>229</v>
      </c>
      <c r="K5262" s="57" t="s">
        <v>641</v>
      </c>
      <c r="L5262" s="12" t="s">
        <v>404</v>
      </c>
      <c r="M5262" s="3" t="s">
        <v>230</v>
      </c>
      <c r="N5262" s="8" t="s">
        <v>8899</v>
      </c>
      <c r="O5262" s="6" t="s">
        <v>365</v>
      </c>
      <c r="P5262" s="58">
        <v>796</v>
      </c>
      <c r="Q5262" s="27" t="s">
        <v>234</v>
      </c>
      <c r="R5262" s="26">
        <v>6</v>
      </c>
      <c r="S5262" s="59">
        <f>6000*1.07</f>
        <v>6420</v>
      </c>
      <c r="T5262" s="4">
        <v>0</v>
      </c>
      <c r="U5262" s="4">
        <f t="shared" si="231"/>
        <v>0</v>
      </c>
      <c r="V5262" s="3"/>
      <c r="W5262" s="3">
        <v>2014</v>
      </c>
      <c r="X5262" s="3">
        <v>11</v>
      </c>
    </row>
    <row r="5263" spans="1:24" ht="114.75">
      <c r="A5263" s="3" t="s">
        <v>12852</v>
      </c>
      <c r="B5263" s="6" t="s">
        <v>361</v>
      </c>
      <c r="C5263" s="6" t="s">
        <v>6173</v>
      </c>
      <c r="D5263" s="6" t="s">
        <v>446</v>
      </c>
      <c r="E5263" s="6" t="s">
        <v>6174</v>
      </c>
      <c r="F5263" s="30" t="s">
        <v>6175</v>
      </c>
      <c r="G5263" s="57" t="s">
        <v>11449</v>
      </c>
      <c r="H5263" s="54">
        <v>0</v>
      </c>
      <c r="I5263" s="16">
        <v>470000000</v>
      </c>
      <c r="J5263" s="56" t="s">
        <v>229</v>
      </c>
      <c r="K5263" s="57" t="s">
        <v>642</v>
      </c>
      <c r="L5263" s="12" t="s">
        <v>404</v>
      </c>
      <c r="M5263" s="3" t="s">
        <v>230</v>
      </c>
      <c r="N5263" s="8" t="s">
        <v>8899</v>
      </c>
      <c r="O5263" s="6" t="s">
        <v>365</v>
      </c>
      <c r="P5263" s="58">
        <v>796</v>
      </c>
      <c r="Q5263" s="27" t="s">
        <v>234</v>
      </c>
      <c r="R5263" s="26">
        <v>6</v>
      </c>
      <c r="S5263" s="59">
        <f>6000*1.07</f>
        <v>6420</v>
      </c>
      <c r="T5263" s="4">
        <f>R5263*S5263</f>
        <v>38520</v>
      </c>
      <c r="U5263" s="4">
        <f>T5263*1.12</f>
        <v>43142.400000000001</v>
      </c>
      <c r="V5263" s="3"/>
      <c r="W5263" s="3">
        <v>2014</v>
      </c>
      <c r="X5263" s="3"/>
    </row>
    <row r="5264" spans="1:24" ht="114.75">
      <c r="A5264" s="3" t="s">
        <v>2153</v>
      </c>
      <c r="B5264" s="6" t="s">
        <v>361</v>
      </c>
      <c r="C5264" s="6" t="s">
        <v>6382</v>
      </c>
      <c r="D5264" s="6" t="s">
        <v>4382</v>
      </c>
      <c r="E5264" s="6" t="s">
        <v>5500</v>
      </c>
      <c r="F5264" s="9" t="s">
        <v>6176</v>
      </c>
      <c r="G5264" s="57" t="s">
        <v>11449</v>
      </c>
      <c r="H5264" s="54">
        <v>0</v>
      </c>
      <c r="I5264" s="16">
        <v>470000000</v>
      </c>
      <c r="J5264" s="56" t="s">
        <v>229</v>
      </c>
      <c r="K5264" s="57" t="s">
        <v>641</v>
      </c>
      <c r="L5264" s="12" t="s">
        <v>404</v>
      </c>
      <c r="M5264" s="3" t="s">
        <v>230</v>
      </c>
      <c r="N5264" s="8" t="s">
        <v>8899</v>
      </c>
      <c r="O5264" s="6" t="s">
        <v>365</v>
      </c>
      <c r="P5264" s="58">
        <v>796</v>
      </c>
      <c r="Q5264" s="27" t="s">
        <v>234</v>
      </c>
      <c r="R5264" s="26">
        <v>20</v>
      </c>
      <c r="S5264" s="59">
        <f>500*1.07</f>
        <v>535</v>
      </c>
      <c r="T5264" s="4">
        <v>0</v>
      </c>
      <c r="U5264" s="4">
        <f t="shared" si="231"/>
        <v>0</v>
      </c>
      <c r="V5264" s="3"/>
      <c r="W5264" s="3">
        <v>2014</v>
      </c>
      <c r="X5264" s="3">
        <v>11</v>
      </c>
    </row>
    <row r="5265" spans="1:24" ht="114.75">
      <c r="A5265" s="3" t="s">
        <v>12853</v>
      </c>
      <c r="B5265" s="6" t="s">
        <v>361</v>
      </c>
      <c r="C5265" s="6" t="s">
        <v>6382</v>
      </c>
      <c r="D5265" s="6" t="s">
        <v>4382</v>
      </c>
      <c r="E5265" s="6" t="s">
        <v>5500</v>
      </c>
      <c r="F5265" s="9" t="s">
        <v>6176</v>
      </c>
      <c r="G5265" s="57" t="s">
        <v>11449</v>
      </c>
      <c r="H5265" s="54">
        <v>0</v>
      </c>
      <c r="I5265" s="16">
        <v>470000000</v>
      </c>
      <c r="J5265" s="56" t="s">
        <v>229</v>
      </c>
      <c r="K5265" s="57" t="s">
        <v>642</v>
      </c>
      <c r="L5265" s="12" t="s">
        <v>404</v>
      </c>
      <c r="M5265" s="3" t="s">
        <v>230</v>
      </c>
      <c r="N5265" s="8" t="s">
        <v>8899</v>
      </c>
      <c r="O5265" s="6" t="s">
        <v>365</v>
      </c>
      <c r="P5265" s="58">
        <v>796</v>
      </c>
      <c r="Q5265" s="27" t="s">
        <v>234</v>
      </c>
      <c r="R5265" s="26">
        <v>20</v>
      </c>
      <c r="S5265" s="59">
        <f>500*1.07</f>
        <v>535</v>
      </c>
      <c r="T5265" s="4">
        <f>R5265*S5265</f>
        <v>10700</v>
      </c>
      <c r="U5265" s="4">
        <f>T5265*1.12</f>
        <v>11984.000000000002</v>
      </c>
      <c r="V5265" s="3"/>
      <c r="W5265" s="3">
        <v>2014</v>
      </c>
      <c r="X5265" s="3"/>
    </row>
    <row r="5266" spans="1:24" ht="114.75">
      <c r="A5266" s="3" t="s">
        <v>2154</v>
      </c>
      <c r="B5266" s="6" t="s">
        <v>361</v>
      </c>
      <c r="C5266" s="6" t="s">
        <v>6177</v>
      </c>
      <c r="D5266" s="6" t="s">
        <v>414</v>
      </c>
      <c r="E5266" s="6" t="s">
        <v>6178</v>
      </c>
      <c r="F5266" s="30" t="s">
        <v>6179</v>
      </c>
      <c r="G5266" s="57" t="s">
        <v>11449</v>
      </c>
      <c r="H5266" s="54">
        <v>0</v>
      </c>
      <c r="I5266" s="16">
        <v>470000000</v>
      </c>
      <c r="J5266" s="56" t="s">
        <v>229</v>
      </c>
      <c r="K5266" s="57" t="s">
        <v>641</v>
      </c>
      <c r="L5266" s="12" t="s">
        <v>404</v>
      </c>
      <c r="M5266" s="3" t="s">
        <v>230</v>
      </c>
      <c r="N5266" s="8" t="s">
        <v>8899</v>
      </c>
      <c r="O5266" s="6" t="s">
        <v>365</v>
      </c>
      <c r="P5266" s="58">
        <v>796</v>
      </c>
      <c r="Q5266" s="27" t="s">
        <v>234</v>
      </c>
      <c r="R5266" s="26">
        <v>10</v>
      </c>
      <c r="S5266" s="59">
        <f>1200*1.07</f>
        <v>1284</v>
      </c>
      <c r="T5266" s="4">
        <v>0</v>
      </c>
      <c r="U5266" s="4">
        <f t="shared" si="231"/>
        <v>0</v>
      </c>
      <c r="V5266" s="3"/>
      <c r="W5266" s="3">
        <v>2014</v>
      </c>
      <c r="X5266" s="3">
        <v>11</v>
      </c>
    </row>
    <row r="5267" spans="1:24" ht="114.75">
      <c r="A5267" s="3" t="s">
        <v>12854</v>
      </c>
      <c r="B5267" s="6" t="s">
        <v>361</v>
      </c>
      <c r="C5267" s="6" t="s">
        <v>6177</v>
      </c>
      <c r="D5267" s="6" t="s">
        <v>414</v>
      </c>
      <c r="E5267" s="6" t="s">
        <v>6178</v>
      </c>
      <c r="F5267" s="30" t="s">
        <v>6179</v>
      </c>
      <c r="G5267" s="57" t="s">
        <v>11449</v>
      </c>
      <c r="H5267" s="54">
        <v>0</v>
      </c>
      <c r="I5267" s="16">
        <v>470000000</v>
      </c>
      <c r="J5267" s="56" t="s">
        <v>229</v>
      </c>
      <c r="K5267" s="57" t="s">
        <v>642</v>
      </c>
      <c r="L5267" s="12" t="s">
        <v>404</v>
      </c>
      <c r="M5267" s="3" t="s">
        <v>230</v>
      </c>
      <c r="N5267" s="8" t="s">
        <v>8899</v>
      </c>
      <c r="O5267" s="6" t="s">
        <v>365</v>
      </c>
      <c r="P5267" s="58">
        <v>796</v>
      </c>
      <c r="Q5267" s="27" t="s">
        <v>234</v>
      </c>
      <c r="R5267" s="26">
        <v>10</v>
      </c>
      <c r="S5267" s="59">
        <f>1200*1.07</f>
        <v>1284</v>
      </c>
      <c r="T5267" s="4">
        <f>R5267*S5267</f>
        <v>12840</v>
      </c>
      <c r="U5267" s="4">
        <f>T5267*1.12</f>
        <v>14380.800000000001</v>
      </c>
      <c r="V5267" s="3"/>
      <c r="W5267" s="3">
        <v>2014</v>
      </c>
      <c r="X5267" s="3"/>
    </row>
    <row r="5268" spans="1:24" ht="114.75">
      <c r="A5268" s="3" t="s">
        <v>2155</v>
      </c>
      <c r="B5268" s="6" t="s">
        <v>361</v>
      </c>
      <c r="C5268" s="6" t="s">
        <v>5531</v>
      </c>
      <c r="D5268" s="6" t="s">
        <v>344</v>
      </c>
      <c r="E5268" s="6" t="s">
        <v>5532</v>
      </c>
      <c r="F5268" s="30" t="s">
        <v>6180</v>
      </c>
      <c r="G5268" s="57" t="s">
        <v>11449</v>
      </c>
      <c r="H5268" s="54">
        <v>0</v>
      </c>
      <c r="I5268" s="16">
        <v>470000000</v>
      </c>
      <c r="J5268" s="56" t="s">
        <v>229</v>
      </c>
      <c r="K5268" s="57" t="s">
        <v>641</v>
      </c>
      <c r="L5268" s="12" t="s">
        <v>404</v>
      </c>
      <c r="M5268" s="3" t="s">
        <v>230</v>
      </c>
      <c r="N5268" s="8" t="s">
        <v>8899</v>
      </c>
      <c r="O5268" s="6" t="s">
        <v>365</v>
      </c>
      <c r="P5268" s="58">
        <v>796</v>
      </c>
      <c r="Q5268" s="27" t="s">
        <v>234</v>
      </c>
      <c r="R5268" s="26">
        <v>10</v>
      </c>
      <c r="S5268" s="59">
        <f>600*1.07</f>
        <v>642</v>
      </c>
      <c r="T5268" s="4">
        <v>0</v>
      </c>
      <c r="U5268" s="4">
        <f t="shared" si="231"/>
        <v>0</v>
      </c>
      <c r="V5268" s="3"/>
      <c r="W5268" s="3">
        <v>2014</v>
      </c>
      <c r="X5268" s="3">
        <v>11</v>
      </c>
    </row>
    <row r="5269" spans="1:24" ht="114.75">
      <c r="A5269" s="3" t="s">
        <v>12855</v>
      </c>
      <c r="B5269" s="6" t="s">
        <v>361</v>
      </c>
      <c r="C5269" s="6" t="s">
        <v>5531</v>
      </c>
      <c r="D5269" s="6" t="s">
        <v>344</v>
      </c>
      <c r="E5269" s="6" t="s">
        <v>5532</v>
      </c>
      <c r="F5269" s="30" t="s">
        <v>6180</v>
      </c>
      <c r="G5269" s="57" t="s">
        <v>11449</v>
      </c>
      <c r="H5269" s="54">
        <v>0</v>
      </c>
      <c r="I5269" s="16">
        <v>470000000</v>
      </c>
      <c r="J5269" s="56" t="s">
        <v>229</v>
      </c>
      <c r="K5269" s="57" t="s">
        <v>642</v>
      </c>
      <c r="L5269" s="12" t="s">
        <v>404</v>
      </c>
      <c r="M5269" s="3" t="s">
        <v>230</v>
      </c>
      <c r="N5269" s="8" t="s">
        <v>8899</v>
      </c>
      <c r="O5269" s="6" t="s">
        <v>365</v>
      </c>
      <c r="P5269" s="58">
        <v>796</v>
      </c>
      <c r="Q5269" s="27" t="s">
        <v>234</v>
      </c>
      <c r="R5269" s="26">
        <v>10</v>
      </c>
      <c r="S5269" s="59">
        <f>600*1.07</f>
        <v>642</v>
      </c>
      <c r="T5269" s="4">
        <f>R5269*S5269</f>
        <v>6420</v>
      </c>
      <c r="U5269" s="4">
        <f>T5269*1.12</f>
        <v>7190.4000000000005</v>
      </c>
      <c r="V5269" s="3"/>
      <c r="W5269" s="3">
        <v>2014</v>
      </c>
      <c r="X5269" s="3"/>
    </row>
    <row r="5270" spans="1:24" ht="114.75">
      <c r="A5270" s="3" t="s">
        <v>2156</v>
      </c>
      <c r="B5270" s="6" t="s">
        <v>361</v>
      </c>
      <c r="C5270" s="6" t="s">
        <v>6181</v>
      </c>
      <c r="D5270" s="6" t="s">
        <v>5530</v>
      </c>
      <c r="E5270" s="6" t="s">
        <v>5998</v>
      </c>
      <c r="F5270" s="226" t="s">
        <v>447</v>
      </c>
      <c r="G5270" s="57" t="s">
        <v>11449</v>
      </c>
      <c r="H5270" s="54">
        <v>0</v>
      </c>
      <c r="I5270" s="16">
        <v>470000000</v>
      </c>
      <c r="J5270" s="56" t="s">
        <v>229</v>
      </c>
      <c r="K5270" s="57" t="s">
        <v>641</v>
      </c>
      <c r="L5270" s="12" t="s">
        <v>404</v>
      </c>
      <c r="M5270" s="3" t="s">
        <v>230</v>
      </c>
      <c r="N5270" s="8" t="s">
        <v>8899</v>
      </c>
      <c r="O5270" s="6" t="s">
        <v>365</v>
      </c>
      <c r="P5270" s="58">
        <v>796</v>
      </c>
      <c r="Q5270" s="27" t="s">
        <v>234</v>
      </c>
      <c r="R5270" s="26">
        <v>120</v>
      </c>
      <c r="S5270" s="59">
        <f>200*1.07</f>
        <v>214</v>
      </c>
      <c r="T5270" s="4">
        <v>0</v>
      </c>
      <c r="U5270" s="4">
        <f t="shared" si="231"/>
        <v>0</v>
      </c>
      <c r="V5270" s="3"/>
      <c r="W5270" s="3">
        <v>2014</v>
      </c>
      <c r="X5270" s="3">
        <v>11</v>
      </c>
    </row>
    <row r="5271" spans="1:24" ht="114.75">
      <c r="A5271" s="3" t="s">
        <v>12856</v>
      </c>
      <c r="B5271" s="6" t="s">
        <v>361</v>
      </c>
      <c r="C5271" s="6" t="s">
        <v>6181</v>
      </c>
      <c r="D5271" s="6" t="s">
        <v>5530</v>
      </c>
      <c r="E5271" s="6" t="s">
        <v>5998</v>
      </c>
      <c r="F5271" s="226" t="s">
        <v>447</v>
      </c>
      <c r="G5271" s="57" t="s">
        <v>11449</v>
      </c>
      <c r="H5271" s="54">
        <v>0</v>
      </c>
      <c r="I5271" s="16">
        <v>470000000</v>
      </c>
      <c r="J5271" s="56" t="s">
        <v>229</v>
      </c>
      <c r="K5271" s="57" t="s">
        <v>642</v>
      </c>
      <c r="L5271" s="12" t="s">
        <v>404</v>
      </c>
      <c r="M5271" s="3" t="s">
        <v>230</v>
      </c>
      <c r="N5271" s="8" t="s">
        <v>8899</v>
      </c>
      <c r="O5271" s="6" t="s">
        <v>365</v>
      </c>
      <c r="P5271" s="58">
        <v>796</v>
      </c>
      <c r="Q5271" s="27" t="s">
        <v>234</v>
      </c>
      <c r="R5271" s="26">
        <v>120</v>
      </c>
      <c r="S5271" s="59">
        <f>200*1.07</f>
        <v>214</v>
      </c>
      <c r="T5271" s="4">
        <f>R5271*S5271</f>
        <v>25680</v>
      </c>
      <c r="U5271" s="4">
        <f>T5271*1.12</f>
        <v>28761.600000000002</v>
      </c>
      <c r="V5271" s="3"/>
      <c r="W5271" s="3">
        <v>2014</v>
      </c>
      <c r="X5271" s="3"/>
    </row>
    <row r="5272" spans="1:24" ht="114.75">
      <c r="A5272" s="3" t="s">
        <v>2157</v>
      </c>
      <c r="B5272" s="6" t="s">
        <v>361</v>
      </c>
      <c r="C5272" s="6" t="s">
        <v>6182</v>
      </c>
      <c r="D5272" s="6" t="s">
        <v>6183</v>
      </c>
      <c r="E5272" s="6" t="s">
        <v>6184</v>
      </c>
      <c r="F5272" s="226" t="s">
        <v>6185</v>
      </c>
      <c r="G5272" s="57" t="s">
        <v>11449</v>
      </c>
      <c r="H5272" s="54">
        <v>0</v>
      </c>
      <c r="I5272" s="16">
        <v>470000000</v>
      </c>
      <c r="J5272" s="56" t="s">
        <v>229</v>
      </c>
      <c r="K5272" s="57" t="s">
        <v>641</v>
      </c>
      <c r="L5272" s="12" t="s">
        <v>404</v>
      </c>
      <c r="M5272" s="3" t="s">
        <v>230</v>
      </c>
      <c r="N5272" s="8" t="s">
        <v>8899</v>
      </c>
      <c r="O5272" s="6" t="s">
        <v>365</v>
      </c>
      <c r="P5272" s="58">
        <v>796</v>
      </c>
      <c r="Q5272" s="27" t="s">
        <v>234</v>
      </c>
      <c r="R5272" s="26">
        <v>120</v>
      </c>
      <c r="S5272" s="59">
        <f>1200*1.07</f>
        <v>1284</v>
      </c>
      <c r="T5272" s="4">
        <v>0</v>
      </c>
      <c r="U5272" s="4">
        <f t="shared" si="231"/>
        <v>0</v>
      </c>
      <c r="V5272" s="3"/>
      <c r="W5272" s="3">
        <v>2014</v>
      </c>
      <c r="X5272" s="3">
        <v>11</v>
      </c>
    </row>
    <row r="5273" spans="1:24" ht="114.75">
      <c r="A5273" s="3" t="s">
        <v>12857</v>
      </c>
      <c r="B5273" s="6" t="s">
        <v>361</v>
      </c>
      <c r="C5273" s="6" t="s">
        <v>6182</v>
      </c>
      <c r="D5273" s="6" t="s">
        <v>6183</v>
      </c>
      <c r="E5273" s="6" t="s">
        <v>6184</v>
      </c>
      <c r="F5273" s="226" t="s">
        <v>6185</v>
      </c>
      <c r="G5273" s="57" t="s">
        <v>11449</v>
      </c>
      <c r="H5273" s="54">
        <v>0</v>
      </c>
      <c r="I5273" s="16">
        <v>470000000</v>
      </c>
      <c r="J5273" s="56" t="s">
        <v>229</v>
      </c>
      <c r="K5273" s="57" t="s">
        <v>642</v>
      </c>
      <c r="L5273" s="12" t="s">
        <v>404</v>
      </c>
      <c r="M5273" s="3" t="s">
        <v>230</v>
      </c>
      <c r="N5273" s="8" t="s">
        <v>8899</v>
      </c>
      <c r="O5273" s="6" t="s">
        <v>365</v>
      </c>
      <c r="P5273" s="58">
        <v>796</v>
      </c>
      <c r="Q5273" s="27" t="s">
        <v>234</v>
      </c>
      <c r="R5273" s="26">
        <v>120</v>
      </c>
      <c r="S5273" s="59">
        <f>1200*1.07</f>
        <v>1284</v>
      </c>
      <c r="T5273" s="4">
        <f>R5273*S5273</f>
        <v>154080</v>
      </c>
      <c r="U5273" s="4">
        <f>T5273*1.12</f>
        <v>172569.60000000001</v>
      </c>
      <c r="V5273" s="3"/>
      <c r="W5273" s="3">
        <v>2014</v>
      </c>
      <c r="X5273" s="3"/>
    </row>
    <row r="5274" spans="1:24" ht="127.5">
      <c r="A5274" s="3" t="s">
        <v>2158</v>
      </c>
      <c r="B5274" s="6" t="s">
        <v>361</v>
      </c>
      <c r="C5274" s="6" t="s">
        <v>5926</v>
      </c>
      <c r="D5274" s="6" t="s">
        <v>3119</v>
      </c>
      <c r="E5274" s="6" t="s">
        <v>5927</v>
      </c>
      <c r="F5274" s="226" t="s">
        <v>6186</v>
      </c>
      <c r="G5274" s="57" t="s">
        <v>11449</v>
      </c>
      <c r="H5274" s="54">
        <v>0</v>
      </c>
      <c r="I5274" s="16">
        <v>470000000</v>
      </c>
      <c r="J5274" s="56" t="s">
        <v>229</v>
      </c>
      <c r="K5274" s="57" t="s">
        <v>641</v>
      </c>
      <c r="L5274" s="12" t="s">
        <v>404</v>
      </c>
      <c r="M5274" s="3" t="s">
        <v>230</v>
      </c>
      <c r="N5274" s="8" t="s">
        <v>8899</v>
      </c>
      <c r="O5274" s="6" t="s">
        <v>365</v>
      </c>
      <c r="P5274" s="58">
        <v>796</v>
      </c>
      <c r="Q5274" s="27" t="s">
        <v>234</v>
      </c>
      <c r="R5274" s="26">
        <v>2</v>
      </c>
      <c r="S5274" s="59">
        <f>300000*1.07</f>
        <v>321000</v>
      </c>
      <c r="T5274" s="4">
        <v>0</v>
      </c>
      <c r="U5274" s="4">
        <f t="shared" si="231"/>
        <v>0</v>
      </c>
      <c r="V5274" s="3"/>
      <c r="W5274" s="3">
        <v>2014</v>
      </c>
      <c r="X5274" s="3">
        <v>11</v>
      </c>
    </row>
    <row r="5275" spans="1:24" ht="127.5">
      <c r="A5275" s="3" t="s">
        <v>12858</v>
      </c>
      <c r="B5275" s="6" t="s">
        <v>361</v>
      </c>
      <c r="C5275" s="6" t="s">
        <v>5926</v>
      </c>
      <c r="D5275" s="6" t="s">
        <v>3119</v>
      </c>
      <c r="E5275" s="6" t="s">
        <v>5927</v>
      </c>
      <c r="F5275" s="226" t="s">
        <v>6186</v>
      </c>
      <c r="G5275" s="57" t="s">
        <v>11449</v>
      </c>
      <c r="H5275" s="54">
        <v>0</v>
      </c>
      <c r="I5275" s="16">
        <v>470000000</v>
      </c>
      <c r="J5275" s="56" t="s">
        <v>229</v>
      </c>
      <c r="K5275" s="57" t="s">
        <v>642</v>
      </c>
      <c r="L5275" s="12" t="s">
        <v>404</v>
      </c>
      <c r="M5275" s="3" t="s">
        <v>230</v>
      </c>
      <c r="N5275" s="8" t="s">
        <v>8899</v>
      </c>
      <c r="O5275" s="6" t="s">
        <v>365</v>
      </c>
      <c r="P5275" s="58">
        <v>796</v>
      </c>
      <c r="Q5275" s="27" t="s">
        <v>234</v>
      </c>
      <c r="R5275" s="26">
        <v>2</v>
      </c>
      <c r="S5275" s="59">
        <f>300000*1.07</f>
        <v>321000</v>
      </c>
      <c r="T5275" s="4">
        <v>0</v>
      </c>
      <c r="U5275" s="4">
        <f>T5275*1.12</f>
        <v>0</v>
      </c>
      <c r="V5275" s="3"/>
      <c r="W5275" s="3">
        <v>2014</v>
      </c>
      <c r="X5275" s="3" t="s">
        <v>17315</v>
      </c>
    </row>
    <row r="5276" spans="1:24" ht="127.5">
      <c r="A5276" s="3" t="s">
        <v>16939</v>
      </c>
      <c r="B5276" s="6" t="s">
        <v>361</v>
      </c>
      <c r="C5276" s="6" t="s">
        <v>5926</v>
      </c>
      <c r="D5276" s="6" t="s">
        <v>3119</v>
      </c>
      <c r="E5276" s="6" t="s">
        <v>5927</v>
      </c>
      <c r="F5276" s="226" t="s">
        <v>16943</v>
      </c>
      <c r="G5276" s="3" t="s">
        <v>11449</v>
      </c>
      <c r="H5276" s="54">
        <v>0</v>
      </c>
      <c r="I5276" s="16">
        <v>470000000</v>
      </c>
      <c r="J5276" s="56" t="s">
        <v>229</v>
      </c>
      <c r="K5276" s="57" t="s">
        <v>8950</v>
      </c>
      <c r="L5276" s="12" t="s">
        <v>404</v>
      </c>
      <c r="M5276" s="3" t="s">
        <v>230</v>
      </c>
      <c r="N5276" s="8" t="s">
        <v>8899</v>
      </c>
      <c r="O5276" s="6" t="s">
        <v>365</v>
      </c>
      <c r="P5276" s="58">
        <v>796</v>
      </c>
      <c r="Q5276" s="27" t="s">
        <v>234</v>
      </c>
      <c r="R5276" s="26">
        <v>2</v>
      </c>
      <c r="S5276" s="59">
        <v>385200</v>
      </c>
      <c r="T5276" s="4">
        <v>0</v>
      </c>
      <c r="U5276" s="4">
        <f>T5276*1.12</f>
        <v>0</v>
      </c>
      <c r="V5276" s="3"/>
      <c r="W5276" s="3">
        <v>2014</v>
      </c>
      <c r="X5276" s="3">
        <v>11</v>
      </c>
    </row>
    <row r="5277" spans="1:24" ht="127.5">
      <c r="A5277" s="3" t="s">
        <v>18804</v>
      </c>
      <c r="B5277" s="6" t="s">
        <v>361</v>
      </c>
      <c r="C5277" s="6" t="s">
        <v>5926</v>
      </c>
      <c r="D5277" s="6" t="s">
        <v>3119</v>
      </c>
      <c r="E5277" s="6" t="s">
        <v>5927</v>
      </c>
      <c r="F5277" s="226" t="s">
        <v>16943</v>
      </c>
      <c r="G5277" s="3" t="s">
        <v>11449</v>
      </c>
      <c r="H5277" s="54">
        <v>0</v>
      </c>
      <c r="I5277" s="16">
        <v>470000000</v>
      </c>
      <c r="J5277" s="56" t="s">
        <v>229</v>
      </c>
      <c r="K5277" s="57" t="s">
        <v>18437</v>
      </c>
      <c r="L5277" s="12" t="s">
        <v>404</v>
      </c>
      <c r="M5277" s="3" t="s">
        <v>230</v>
      </c>
      <c r="N5277" s="8" t="s">
        <v>8899</v>
      </c>
      <c r="O5277" s="6" t="s">
        <v>365</v>
      </c>
      <c r="P5277" s="58">
        <v>796</v>
      </c>
      <c r="Q5277" s="27" t="s">
        <v>234</v>
      </c>
      <c r="R5277" s="26">
        <v>2</v>
      </c>
      <c r="S5277" s="59">
        <v>385200</v>
      </c>
      <c r="T5277" s="4">
        <v>0</v>
      </c>
      <c r="U5277" s="4">
        <f>T5277*1.12</f>
        <v>0</v>
      </c>
      <c r="V5277" s="3"/>
      <c r="W5277" s="3">
        <v>2014</v>
      </c>
      <c r="X5277" s="3" t="s">
        <v>12076</v>
      </c>
    </row>
    <row r="5278" spans="1:24" ht="114.75">
      <c r="A5278" s="3" t="s">
        <v>2159</v>
      </c>
      <c r="B5278" s="6" t="s">
        <v>361</v>
      </c>
      <c r="C5278" s="6" t="s">
        <v>6187</v>
      </c>
      <c r="D5278" s="6" t="s">
        <v>5536</v>
      </c>
      <c r="E5278" s="6" t="s">
        <v>6188</v>
      </c>
      <c r="F5278" s="226" t="s">
        <v>6189</v>
      </c>
      <c r="G5278" s="57" t="s">
        <v>11449</v>
      </c>
      <c r="H5278" s="54">
        <v>0</v>
      </c>
      <c r="I5278" s="16">
        <v>470000000</v>
      </c>
      <c r="J5278" s="56" t="s">
        <v>229</v>
      </c>
      <c r="K5278" s="57" t="s">
        <v>641</v>
      </c>
      <c r="L5278" s="12" t="s">
        <v>404</v>
      </c>
      <c r="M5278" s="3" t="s">
        <v>230</v>
      </c>
      <c r="N5278" s="8" t="s">
        <v>8899</v>
      </c>
      <c r="O5278" s="6" t="s">
        <v>365</v>
      </c>
      <c r="P5278" s="58">
        <v>796</v>
      </c>
      <c r="Q5278" s="27" t="s">
        <v>234</v>
      </c>
      <c r="R5278" s="26">
        <v>4</v>
      </c>
      <c r="S5278" s="59">
        <f>6000*1.07</f>
        <v>6420</v>
      </c>
      <c r="T5278" s="4">
        <v>0</v>
      </c>
      <c r="U5278" s="4">
        <f t="shared" si="231"/>
        <v>0</v>
      </c>
      <c r="V5278" s="3"/>
      <c r="W5278" s="3">
        <v>2014</v>
      </c>
      <c r="X5278" s="3">
        <v>11</v>
      </c>
    </row>
    <row r="5279" spans="1:24" ht="114.75">
      <c r="A5279" s="3" t="s">
        <v>12859</v>
      </c>
      <c r="B5279" s="6" t="s">
        <v>361</v>
      </c>
      <c r="C5279" s="6" t="s">
        <v>6187</v>
      </c>
      <c r="D5279" s="6" t="s">
        <v>5536</v>
      </c>
      <c r="E5279" s="6" t="s">
        <v>6188</v>
      </c>
      <c r="F5279" s="226" t="s">
        <v>6189</v>
      </c>
      <c r="G5279" s="57" t="s">
        <v>11449</v>
      </c>
      <c r="H5279" s="54">
        <v>0</v>
      </c>
      <c r="I5279" s="16">
        <v>470000000</v>
      </c>
      <c r="J5279" s="56" t="s">
        <v>229</v>
      </c>
      <c r="K5279" s="57" t="s">
        <v>642</v>
      </c>
      <c r="L5279" s="12" t="s">
        <v>404</v>
      </c>
      <c r="M5279" s="3" t="s">
        <v>230</v>
      </c>
      <c r="N5279" s="8" t="s">
        <v>8899</v>
      </c>
      <c r="O5279" s="6" t="s">
        <v>365</v>
      </c>
      <c r="P5279" s="58">
        <v>796</v>
      </c>
      <c r="Q5279" s="27" t="s">
        <v>234</v>
      </c>
      <c r="R5279" s="26">
        <v>4</v>
      </c>
      <c r="S5279" s="59">
        <f>6000*1.07</f>
        <v>6420</v>
      </c>
      <c r="T5279" s="4">
        <f>R5279*S5279</f>
        <v>25680</v>
      </c>
      <c r="U5279" s="4">
        <f>T5279*1.12</f>
        <v>28761.600000000002</v>
      </c>
      <c r="V5279" s="3"/>
      <c r="W5279" s="3">
        <v>2014</v>
      </c>
      <c r="X5279" s="3"/>
    </row>
    <row r="5280" spans="1:24" ht="114.75">
      <c r="A5280" s="3" t="s">
        <v>2160</v>
      </c>
      <c r="B5280" s="6" t="s">
        <v>361</v>
      </c>
      <c r="C5280" s="6" t="s">
        <v>5742</v>
      </c>
      <c r="D5280" s="6" t="s">
        <v>432</v>
      </c>
      <c r="E5280" s="6" t="s">
        <v>5743</v>
      </c>
      <c r="F5280" s="226" t="s">
        <v>6190</v>
      </c>
      <c r="G5280" s="57" t="s">
        <v>11449</v>
      </c>
      <c r="H5280" s="54">
        <v>0</v>
      </c>
      <c r="I5280" s="16">
        <v>470000000</v>
      </c>
      <c r="J5280" s="56" t="s">
        <v>229</v>
      </c>
      <c r="K5280" s="57" t="s">
        <v>641</v>
      </c>
      <c r="L5280" s="12" t="s">
        <v>404</v>
      </c>
      <c r="M5280" s="3" t="s">
        <v>230</v>
      </c>
      <c r="N5280" s="8" t="s">
        <v>8899</v>
      </c>
      <c r="O5280" s="6" t="s">
        <v>365</v>
      </c>
      <c r="P5280" s="58">
        <v>796</v>
      </c>
      <c r="Q5280" s="27" t="s">
        <v>234</v>
      </c>
      <c r="R5280" s="26">
        <v>2</v>
      </c>
      <c r="S5280" s="59">
        <v>69500</v>
      </c>
      <c r="T5280" s="4">
        <v>0</v>
      </c>
      <c r="U5280" s="4">
        <f t="shared" si="231"/>
        <v>0</v>
      </c>
      <c r="V5280" s="3"/>
      <c r="W5280" s="3">
        <v>2014</v>
      </c>
      <c r="X5280" s="3">
        <v>11</v>
      </c>
    </row>
    <row r="5281" spans="1:24" ht="114.75">
      <c r="A5281" s="3" t="s">
        <v>12860</v>
      </c>
      <c r="B5281" s="6" t="s">
        <v>361</v>
      </c>
      <c r="C5281" s="6" t="s">
        <v>5742</v>
      </c>
      <c r="D5281" s="6" t="s">
        <v>432</v>
      </c>
      <c r="E5281" s="6" t="s">
        <v>5743</v>
      </c>
      <c r="F5281" s="226" t="s">
        <v>6190</v>
      </c>
      <c r="G5281" s="57" t="s">
        <v>11449</v>
      </c>
      <c r="H5281" s="54">
        <v>0</v>
      </c>
      <c r="I5281" s="16">
        <v>470000000</v>
      </c>
      <c r="J5281" s="56" t="s">
        <v>229</v>
      </c>
      <c r="K5281" s="57" t="s">
        <v>642</v>
      </c>
      <c r="L5281" s="12" t="s">
        <v>404</v>
      </c>
      <c r="M5281" s="3" t="s">
        <v>230</v>
      </c>
      <c r="N5281" s="8" t="s">
        <v>8899</v>
      </c>
      <c r="O5281" s="6" t="s">
        <v>365</v>
      </c>
      <c r="P5281" s="58">
        <v>796</v>
      </c>
      <c r="Q5281" s="27" t="s">
        <v>234</v>
      </c>
      <c r="R5281" s="26">
        <v>2</v>
      </c>
      <c r="S5281" s="59">
        <v>69500</v>
      </c>
      <c r="T5281" s="4">
        <v>0</v>
      </c>
      <c r="U5281" s="4">
        <f>T5281*1.12</f>
        <v>0</v>
      </c>
      <c r="V5281" s="3"/>
      <c r="W5281" s="3">
        <v>2014</v>
      </c>
      <c r="X5281" s="3" t="s">
        <v>12076</v>
      </c>
    </row>
    <row r="5282" spans="1:24" ht="114.75">
      <c r="A5282" s="3" t="s">
        <v>2161</v>
      </c>
      <c r="B5282" s="6" t="s">
        <v>361</v>
      </c>
      <c r="C5282" s="6" t="s">
        <v>6191</v>
      </c>
      <c r="D5282" s="6" t="s">
        <v>4433</v>
      </c>
      <c r="E5282" s="6" t="s">
        <v>5332</v>
      </c>
      <c r="F5282" s="226" t="s">
        <v>6192</v>
      </c>
      <c r="G5282" s="57" t="s">
        <v>11449</v>
      </c>
      <c r="H5282" s="54">
        <v>0</v>
      </c>
      <c r="I5282" s="16">
        <v>470000000</v>
      </c>
      <c r="J5282" s="56" t="s">
        <v>229</v>
      </c>
      <c r="K5282" s="57" t="s">
        <v>641</v>
      </c>
      <c r="L5282" s="12" t="s">
        <v>404</v>
      </c>
      <c r="M5282" s="3" t="s">
        <v>230</v>
      </c>
      <c r="N5282" s="8" t="s">
        <v>8899</v>
      </c>
      <c r="O5282" s="6" t="s">
        <v>365</v>
      </c>
      <c r="P5282" s="58">
        <v>796</v>
      </c>
      <c r="Q5282" s="27" t="s">
        <v>234</v>
      </c>
      <c r="R5282" s="26">
        <v>12</v>
      </c>
      <c r="S5282" s="59">
        <v>2418.9</v>
      </c>
      <c r="T5282" s="4">
        <v>0</v>
      </c>
      <c r="U5282" s="4">
        <f t="shared" si="231"/>
        <v>0</v>
      </c>
      <c r="V5282" s="3"/>
      <c r="W5282" s="3">
        <v>2014</v>
      </c>
      <c r="X5282" s="3">
        <v>11</v>
      </c>
    </row>
    <row r="5283" spans="1:24" ht="114.75">
      <c r="A5283" s="3" t="s">
        <v>12861</v>
      </c>
      <c r="B5283" s="6" t="s">
        <v>361</v>
      </c>
      <c r="C5283" s="6" t="s">
        <v>6191</v>
      </c>
      <c r="D5283" s="6" t="s">
        <v>4433</v>
      </c>
      <c r="E5283" s="6" t="s">
        <v>5332</v>
      </c>
      <c r="F5283" s="226" t="s">
        <v>6192</v>
      </c>
      <c r="G5283" s="57" t="s">
        <v>11449</v>
      </c>
      <c r="H5283" s="54">
        <v>0</v>
      </c>
      <c r="I5283" s="16">
        <v>470000000</v>
      </c>
      <c r="J5283" s="56" t="s">
        <v>229</v>
      </c>
      <c r="K5283" s="57" t="s">
        <v>642</v>
      </c>
      <c r="L5283" s="12" t="s">
        <v>404</v>
      </c>
      <c r="M5283" s="3" t="s">
        <v>230</v>
      </c>
      <c r="N5283" s="8" t="s">
        <v>8899</v>
      </c>
      <c r="O5283" s="6" t="s">
        <v>365</v>
      </c>
      <c r="P5283" s="58">
        <v>796</v>
      </c>
      <c r="Q5283" s="27" t="s">
        <v>234</v>
      </c>
      <c r="R5283" s="26">
        <v>12</v>
      </c>
      <c r="S5283" s="59">
        <v>2418.9</v>
      </c>
      <c r="T5283" s="4">
        <f>R5283*S5283</f>
        <v>29026.800000000003</v>
      </c>
      <c r="U5283" s="4">
        <f>T5283*1.12</f>
        <v>32510.016000000007</v>
      </c>
      <c r="V5283" s="3"/>
      <c r="W5283" s="3">
        <v>2014</v>
      </c>
      <c r="X5283" s="3"/>
    </row>
    <row r="5284" spans="1:24" ht="114.75">
      <c r="A5284" s="3" t="s">
        <v>2162</v>
      </c>
      <c r="B5284" s="6" t="s">
        <v>361</v>
      </c>
      <c r="C5284" s="6" t="s">
        <v>6191</v>
      </c>
      <c r="D5284" s="6" t="s">
        <v>4433</v>
      </c>
      <c r="E5284" s="6" t="s">
        <v>5332</v>
      </c>
      <c r="F5284" s="226" t="s">
        <v>6193</v>
      </c>
      <c r="G5284" s="57" t="s">
        <v>11449</v>
      </c>
      <c r="H5284" s="54">
        <v>0</v>
      </c>
      <c r="I5284" s="16">
        <v>470000000</v>
      </c>
      <c r="J5284" s="56" t="s">
        <v>229</v>
      </c>
      <c r="K5284" s="57" t="s">
        <v>641</v>
      </c>
      <c r="L5284" s="12" t="s">
        <v>404</v>
      </c>
      <c r="M5284" s="3" t="s">
        <v>230</v>
      </c>
      <c r="N5284" s="8" t="s">
        <v>8899</v>
      </c>
      <c r="O5284" s="6" t="s">
        <v>365</v>
      </c>
      <c r="P5284" s="58">
        <v>796</v>
      </c>
      <c r="Q5284" s="27" t="s">
        <v>234</v>
      </c>
      <c r="R5284" s="26">
        <v>12</v>
      </c>
      <c r="S5284" s="59">
        <v>2418.9</v>
      </c>
      <c r="T5284" s="4">
        <v>0</v>
      </c>
      <c r="U5284" s="4">
        <f t="shared" si="231"/>
        <v>0</v>
      </c>
      <c r="V5284" s="3"/>
      <c r="W5284" s="3">
        <v>2014</v>
      </c>
      <c r="X5284" s="3">
        <v>11</v>
      </c>
    </row>
    <row r="5285" spans="1:24" ht="114.75">
      <c r="A5285" s="3" t="s">
        <v>12862</v>
      </c>
      <c r="B5285" s="6" t="s">
        <v>361</v>
      </c>
      <c r="C5285" s="6" t="s">
        <v>6191</v>
      </c>
      <c r="D5285" s="6" t="s">
        <v>4433</v>
      </c>
      <c r="E5285" s="6" t="s">
        <v>5332</v>
      </c>
      <c r="F5285" s="226" t="s">
        <v>6193</v>
      </c>
      <c r="G5285" s="57" t="s">
        <v>11449</v>
      </c>
      <c r="H5285" s="54">
        <v>0</v>
      </c>
      <c r="I5285" s="16">
        <v>470000000</v>
      </c>
      <c r="J5285" s="56" t="s">
        <v>229</v>
      </c>
      <c r="K5285" s="57" t="s">
        <v>642</v>
      </c>
      <c r="L5285" s="12" t="s">
        <v>404</v>
      </c>
      <c r="M5285" s="3" t="s">
        <v>230</v>
      </c>
      <c r="N5285" s="8" t="s">
        <v>8899</v>
      </c>
      <c r="O5285" s="6" t="s">
        <v>365</v>
      </c>
      <c r="P5285" s="58">
        <v>796</v>
      </c>
      <c r="Q5285" s="27" t="s">
        <v>234</v>
      </c>
      <c r="R5285" s="26">
        <v>12</v>
      </c>
      <c r="S5285" s="59">
        <v>2418.9</v>
      </c>
      <c r="T5285" s="4">
        <f>R5285*S5285</f>
        <v>29026.800000000003</v>
      </c>
      <c r="U5285" s="4">
        <f>T5285*1.12</f>
        <v>32510.016000000007</v>
      </c>
      <c r="V5285" s="3"/>
      <c r="W5285" s="3">
        <v>2014</v>
      </c>
      <c r="X5285" s="3"/>
    </row>
    <row r="5286" spans="1:24" ht="114.75">
      <c r="A5286" s="3" t="s">
        <v>2163</v>
      </c>
      <c r="B5286" s="6" t="s">
        <v>361</v>
      </c>
      <c r="C5286" s="6" t="s">
        <v>6191</v>
      </c>
      <c r="D5286" s="6" t="s">
        <v>4433</v>
      </c>
      <c r="E5286" s="6" t="s">
        <v>5332</v>
      </c>
      <c r="F5286" s="226" t="s">
        <v>6194</v>
      </c>
      <c r="G5286" s="57" t="s">
        <v>11449</v>
      </c>
      <c r="H5286" s="54">
        <v>0</v>
      </c>
      <c r="I5286" s="16">
        <v>470000000</v>
      </c>
      <c r="J5286" s="56" t="s">
        <v>229</v>
      </c>
      <c r="K5286" s="57" t="s">
        <v>641</v>
      </c>
      <c r="L5286" s="12" t="s">
        <v>404</v>
      </c>
      <c r="M5286" s="3" t="s">
        <v>230</v>
      </c>
      <c r="N5286" s="8" t="s">
        <v>8899</v>
      </c>
      <c r="O5286" s="6" t="s">
        <v>365</v>
      </c>
      <c r="P5286" s="58">
        <v>796</v>
      </c>
      <c r="Q5286" s="27" t="s">
        <v>234</v>
      </c>
      <c r="R5286" s="26">
        <v>12</v>
      </c>
      <c r="S5286" s="59">
        <v>2418.9</v>
      </c>
      <c r="T5286" s="4">
        <v>0</v>
      </c>
      <c r="U5286" s="4">
        <f t="shared" si="231"/>
        <v>0</v>
      </c>
      <c r="V5286" s="3"/>
      <c r="W5286" s="3">
        <v>2014</v>
      </c>
      <c r="X5286" s="3">
        <v>11</v>
      </c>
    </row>
    <row r="5287" spans="1:24" ht="114.75">
      <c r="A5287" s="3" t="s">
        <v>12863</v>
      </c>
      <c r="B5287" s="6" t="s">
        <v>361</v>
      </c>
      <c r="C5287" s="6" t="s">
        <v>6191</v>
      </c>
      <c r="D5287" s="6" t="s">
        <v>4433</v>
      </c>
      <c r="E5287" s="6" t="s">
        <v>5332</v>
      </c>
      <c r="F5287" s="226" t="s">
        <v>6194</v>
      </c>
      <c r="G5287" s="57" t="s">
        <v>11449</v>
      </c>
      <c r="H5287" s="54">
        <v>0</v>
      </c>
      <c r="I5287" s="16">
        <v>470000000</v>
      </c>
      <c r="J5287" s="56" t="s">
        <v>229</v>
      </c>
      <c r="K5287" s="57" t="s">
        <v>642</v>
      </c>
      <c r="L5287" s="12" t="s">
        <v>404</v>
      </c>
      <c r="M5287" s="3" t="s">
        <v>230</v>
      </c>
      <c r="N5287" s="8" t="s">
        <v>8899</v>
      </c>
      <c r="O5287" s="6" t="s">
        <v>365</v>
      </c>
      <c r="P5287" s="58">
        <v>796</v>
      </c>
      <c r="Q5287" s="27" t="s">
        <v>234</v>
      </c>
      <c r="R5287" s="26">
        <v>12</v>
      </c>
      <c r="S5287" s="59">
        <v>2418.9</v>
      </c>
      <c r="T5287" s="4">
        <f>R5287*S5287</f>
        <v>29026.800000000003</v>
      </c>
      <c r="U5287" s="4">
        <f>T5287*1.12</f>
        <v>32510.016000000007</v>
      </c>
      <c r="V5287" s="3"/>
      <c r="W5287" s="3">
        <v>2014</v>
      </c>
      <c r="X5287" s="3"/>
    </row>
    <row r="5288" spans="1:24" ht="114.75">
      <c r="A5288" s="3" t="s">
        <v>2164</v>
      </c>
      <c r="B5288" s="6" t="s">
        <v>361</v>
      </c>
      <c r="C5288" s="6" t="s">
        <v>6191</v>
      </c>
      <c r="D5288" s="6" t="s">
        <v>4433</v>
      </c>
      <c r="E5288" s="6" t="s">
        <v>5332</v>
      </c>
      <c r="F5288" s="226" t="s">
        <v>6195</v>
      </c>
      <c r="G5288" s="57" t="s">
        <v>11449</v>
      </c>
      <c r="H5288" s="54">
        <v>0</v>
      </c>
      <c r="I5288" s="16">
        <v>470000000</v>
      </c>
      <c r="J5288" s="56" t="s">
        <v>229</v>
      </c>
      <c r="K5288" s="57" t="s">
        <v>641</v>
      </c>
      <c r="L5288" s="12" t="s">
        <v>404</v>
      </c>
      <c r="M5288" s="3" t="s">
        <v>230</v>
      </c>
      <c r="N5288" s="8" t="s">
        <v>8899</v>
      </c>
      <c r="O5288" s="6" t="s">
        <v>365</v>
      </c>
      <c r="P5288" s="58">
        <v>796</v>
      </c>
      <c r="Q5288" s="27" t="s">
        <v>234</v>
      </c>
      <c r="R5288" s="26">
        <v>12</v>
      </c>
      <c r="S5288" s="59">
        <v>2418.9</v>
      </c>
      <c r="T5288" s="4">
        <v>0</v>
      </c>
      <c r="U5288" s="4">
        <f t="shared" si="231"/>
        <v>0</v>
      </c>
      <c r="V5288" s="3"/>
      <c r="W5288" s="3">
        <v>2014</v>
      </c>
      <c r="X5288" s="3">
        <v>11</v>
      </c>
    </row>
    <row r="5289" spans="1:24" ht="114.75">
      <c r="A5289" s="3" t="s">
        <v>12864</v>
      </c>
      <c r="B5289" s="6" t="s">
        <v>361</v>
      </c>
      <c r="C5289" s="6" t="s">
        <v>6191</v>
      </c>
      <c r="D5289" s="6" t="s">
        <v>4433</v>
      </c>
      <c r="E5289" s="6" t="s">
        <v>5332</v>
      </c>
      <c r="F5289" s="226" t="s">
        <v>6195</v>
      </c>
      <c r="G5289" s="57" t="s">
        <v>11449</v>
      </c>
      <c r="H5289" s="54">
        <v>0</v>
      </c>
      <c r="I5289" s="16">
        <v>470000000</v>
      </c>
      <c r="J5289" s="56" t="s">
        <v>229</v>
      </c>
      <c r="K5289" s="57" t="s">
        <v>642</v>
      </c>
      <c r="L5289" s="12" t="s">
        <v>404</v>
      </c>
      <c r="M5289" s="3" t="s">
        <v>230</v>
      </c>
      <c r="N5289" s="8" t="s">
        <v>8899</v>
      </c>
      <c r="O5289" s="6" t="s">
        <v>365</v>
      </c>
      <c r="P5289" s="58">
        <v>796</v>
      </c>
      <c r="Q5289" s="27" t="s">
        <v>234</v>
      </c>
      <c r="R5289" s="26">
        <v>12</v>
      </c>
      <c r="S5289" s="59">
        <v>2418.9</v>
      </c>
      <c r="T5289" s="4">
        <f>R5289*S5289</f>
        <v>29026.800000000003</v>
      </c>
      <c r="U5289" s="4">
        <f>T5289*1.12</f>
        <v>32510.016000000007</v>
      </c>
      <c r="V5289" s="3"/>
      <c r="W5289" s="3">
        <v>2014</v>
      </c>
      <c r="X5289" s="3"/>
    </row>
    <row r="5290" spans="1:24" ht="114.75">
      <c r="A5290" s="3" t="s">
        <v>2165</v>
      </c>
      <c r="B5290" s="6" t="s">
        <v>361</v>
      </c>
      <c r="C5290" s="6" t="s">
        <v>5389</v>
      </c>
      <c r="D5290" s="6" t="s">
        <v>5390</v>
      </c>
      <c r="E5290" s="6" t="s">
        <v>5391</v>
      </c>
      <c r="F5290" s="226" t="s">
        <v>6196</v>
      </c>
      <c r="G5290" s="57" t="s">
        <v>11449</v>
      </c>
      <c r="H5290" s="54">
        <v>0</v>
      </c>
      <c r="I5290" s="16">
        <v>470000000</v>
      </c>
      <c r="J5290" s="56" t="s">
        <v>229</v>
      </c>
      <c r="K5290" s="57" t="s">
        <v>641</v>
      </c>
      <c r="L5290" s="12" t="s">
        <v>404</v>
      </c>
      <c r="M5290" s="3" t="s">
        <v>230</v>
      </c>
      <c r="N5290" s="8" t="s">
        <v>8899</v>
      </c>
      <c r="O5290" s="6" t="s">
        <v>365</v>
      </c>
      <c r="P5290" s="58">
        <v>796</v>
      </c>
      <c r="Q5290" s="27" t="s">
        <v>234</v>
      </c>
      <c r="R5290" s="26">
        <v>12</v>
      </c>
      <c r="S5290" s="59">
        <v>4391.2000000000007</v>
      </c>
      <c r="T5290" s="4">
        <v>0</v>
      </c>
      <c r="U5290" s="4">
        <f t="shared" si="231"/>
        <v>0</v>
      </c>
      <c r="V5290" s="3"/>
      <c r="W5290" s="3">
        <v>2014</v>
      </c>
      <c r="X5290" s="3">
        <v>11</v>
      </c>
    </row>
    <row r="5291" spans="1:24" ht="114.75">
      <c r="A5291" s="3" t="s">
        <v>12865</v>
      </c>
      <c r="B5291" s="6" t="s">
        <v>361</v>
      </c>
      <c r="C5291" s="6" t="s">
        <v>5389</v>
      </c>
      <c r="D5291" s="6" t="s">
        <v>5390</v>
      </c>
      <c r="E5291" s="6" t="s">
        <v>5391</v>
      </c>
      <c r="F5291" s="226" t="s">
        <v>6196</v>
      </c>
      <c r="G5291" s="57" t="s">
        <v>11449</v>
      </c>
      <c r="H5291" s="54">
        <v>0</v>
      </c>
      <c r="I5291" s="16">
        <v>470000000</v>
      </c>
      <c r="J5291" s="56" t="s">
        <v>229</v>
      </c>
      <c r="K5291" s="57" t="s">
        <v>642</v>
      </c>
      <c r="L5291" s="12" t="s">
        <v>404</v>
      </c>
      <c r="M5291" s="3" t="s">
        <v>230</v>
      </c>
      <c r="N5291" s="8" t="s">
        <v>8899</v>
      </c>
      <c r="O5291" s="6" t="s">
        <v>365</v>
      </c>
      <c r="P5291" s="58">
        <v>796</v>
      </c>
      <c r="Q5291" s="27" t="s">
        <v>234</v>
      </c>
      <c r="R5291" s="26">
        <v>12</v>
      </c>
      <c r="S5291" s="59">
        <v>4391.2000000000007</v>
      </c>
      <c r="T5291" s="4">
        <f>R5291*S5291</f>
        <v>52694.400000000009</v>
      </c>
      <c r="U5291" s="4">
        <f>T5291*1.12</f>
        <v>59017.728000000017</v>
      </c>
      <c r="V5291" s="3"/>
      <c r="W5291" s="3">
        <v>2014</v>
      </c>
      <c r="X5291" s="3"/>
    </row>
    <row r="5292" spans="1:24" ht="114.75">
      <c r="A5292" s="3" t="s">
        <v>2166</v>
      </c>
      <c r="B5292" s="6" t="s">
        <v>361</v>
      </c>
      <c r="C5292" s="6" t="s">
        <v>6197</v>
      </c>
      <c r="D5292" s="6" t="s">
        <v>448</v>
      </c>
      <c r="E5292" s="6" t="s">
        <v>5998</v>
      </c>
      <c r="F5292" s="226" t="s">
        <v>6198</v>
      </c>
      <c r="G5292" s="57" t="s">
        <v>11449</v>
      </c>
      <c r="H5292" s="54">
        <v>0</v>
      </c>
      <c r="I5292" s="16">
        <v>470000000</v>
      </c>
      <c r="J5292" s="56" t="s">
        <v>229</v>
      </c>
      <c r="K5292" s="57" t="s">
        <v>641</v>
      </c>
      <c r="L5292" s="12" t="s">
        <v>404</v>
      </c>
      <c r="M5292" s="3" t="s">
        <v>230</v>
      </c>
      <c r="N5292" s="8" t="s">
        <v>8899</v>
      </c>
      <c r="O5292" s="6" t="s">
        <v>365</v>
      </c>
      <c r="P5292" s="58">
        <v>796</v>
      </c>
      <c r="Q5292" s="27" t="s">
        <v>234</v>
      </c>
      <c r="R5292" s="26">
        <v>2</v>
      </c>
      <c r="S5292" s="59">
        <v>19941.900000000001</v>
      </c>
      <c r="T5292" s="4">
        <v>0</v>
      </c>
      <c r="U5292" s="4">
        <f t="shared" si="231"/>
        <v>0</v>
      </c>
      <c r="V5292" s="3"/>
      <c r="W5292" s="3">
        <v>2014</v>
      </c>
      <c r="X5292" s="3">
        <v>11</v>
      </c>
    </row>
    <row r="5293" spans="1:24" ht="114.75">
      <c r="A5293" s="3" t="s">
        <v>12866</v>
      </c>
      <c r="B5293" s="6" t="s">
        <v>361</v>
      </c>
      <c r="C5293" s="6" t="s">
        <v>6197</v>
      </c>
      <c r="D5293" s="6" t="s">
        <v>448</v>
      </c>
      <c r="E5293" s="6" t="s">
        <v>5998</v>
      </c>
      <c r="F5293" s="226" t="s">
        <v>6198</v>
      </c>
      <c r="G5293" s="57" t="s">
        <v>11449</v>
      </c>
      <c r="H5293" s="54">
        <v>0</v>
      </c>
      <c r="I5293" s="16">
        <v>470000000</v>
      </c>
      <c r="J5293" s="56" t="s">
        <v>229</v>
      </c>
      <c r="K5293" s="57" t="s">
        <v>642</v>
      </c>
      <c r="L5293" s="12" t="s">
        <v>404</v>
      </c>
      <c r="M5293" s="3" t="s">
        <v>230</v>
      </c>
      <c r="N5293" s="8" t="s">
        <v>8899</v>
      </c>
      <c r="O5293" s="6" t="s">
        <v>365</v>
      </c>
      <c r="P5293" s="58">
        <v>796</v>
      </c>
      <c r="Q5293" s="27" t="s">
        <v>234</v>
      </c>
      <c r="R5293" s="26">
        <v>2</v>
      </c>
      <c r="S5293" s="59">
        <v>19941.900000000001</v>
      </c>
      <c r="T5293" s="4">
        <f>R5293*S5293</f>
        <v>39883.800000000003</v>
      </c>
      <c r="U5293" s="4">
        <f>T5293*1.12</f>
        <v>44669.856000000007</v>
      </c>
      <c r="V5293" s="3"/>
      <c r="W5293" s="3">
        <v>2014</v>
      </c>
      <c r="X5293" s="3"/>
    </row>
    <row r="5294" spans="1:24" ht="114.75">
      <c r="A5294" s="3" t="s">
        <v>2167</v>
      </c>
      <c r="B5294" s="6" t="s">
        <v>361</v>
      </c>
      <c r="C5294" s="6" t="s">
        <v>6199</v>
      </c>
      <c r="D5294" s="6" t="s">
        <v>6200</v>
      </c>
      <c r="E5294" s="6" t="s">
        <v>5998</v>
      </c>
      <c r="F5294" s="226" t="s">
        <v>6201</v>
      </c>
      <c r="G5294" s="57" t="s">
        <v>11449</v>
      </c>
      <c r="H5294" s="54">
        <v>0</v>
      </c>
      <c r="I5294" s="16">
        <v>470000000</v>
      </c>
      <c r="J5294" s="56" t="s">
        <v>229</v>
      </c>
      <c r="K5294" s="57" t="s">
        <v>641</v>
      </c>
      <c r="L5294" s="12" t="s">
        <v>404</v>
      </c>
      <c r="M5294" s="3" t="s">
        <v>230</v>
      </c>
      <c r="N5294" s="8" t="s">
        <v>8899</v>
      </c>
      <c r="O5294" s="6" t="s">
        <v>365</v>
      </c>
      <c r="P5294" s="58">
        <v>796</v>
      </c>
      <c r="Q5294" s="27" t="s">
        <v>234</v>
      </c>
      <c r="R5294" s="26">
        <v>2</v>
      </c>
      <c r="S5294" s="59">
        <v>12257.300000000001</v>
      </c>
      <c r="T5294" s="4">
        <v>0</v>
      </c>
      <c r="U5294" s="4">
        <f t="shared" si="231"/>
        <v>0</v>
      </c>
      <c r="V5294" s="3"/>
      <c r="W5294" s="3">
        <v>2014</v>
      </c>
      <c r="X5294" s="3">
        <v>11</v>
      </c>
    </row>
    <row r="5295" spans="1:24" ht="114.75">
      <c r="A5295" s="3" t="s">
        <v>12867</v>
      </c>
      <c r="B5295" s="6" t="s">
        <v>361</v>
      </c>
      <c r="C5295" s="6" t="s">
        <v>6199</v>
      </c>
      <c r="D5295" s="6" t="s">
        <v>6200</v>
      </c>
      <c r="E5295" s="6" t="s">
        <v>5998</v>
      </c>
      <c r="F5295" s="226" t="s">
        <v>6201</v>
      </c>
      <c r="G5295" s="57" t="s">
        <v>11449</v>
      </c>
      <c r="H5295" s="54">
        <v>0</v>
      </c>
      <c r="I5295" s="16">
        <v>470000000</v>
      </c>
      <c r="J5295" s="56" t="s">
        <v>229</v>
      </c>
      <c r="K5295" s="57" t="s">
        <v>642</v>
      </c>
      <c r="L5295" s="12" t="s">
        <v>404</v>
      </c>
      <c r="M5295" s="3" t="s">
        <v>230</v>
      </c>
      <c r="N5295" s="8" t="s">
        <v>8899</v>
      </c>
      <c r="O5295" s="6" t="s">
        <v>365</v>
      </c>
      <c r="P5295" s="58">
        <v>796</v>
      </c>
      <c r="Q5295" s="27" t="s">
        <v>234</v>
      </c>
      <c r="R5295" s="26">
        <v>2</v>
      </c>
      <c r="S5295" s="59">
        <v>12257.300000000001</v>
      </c>
      <c r="T5295" s="4">
        <f>R5295*S5295</f>
        <v>24514.600000000002</v>
      </c>
      <c r="U5295" s="4">
        <f>T5295*1.12</f>
        <v>27456.352000000006</v>
      </c>
      <c r="V5295" s="3"/>
      <c r="W5295" s="3">
        <v>2014</v>
      </c>
      <c r="X5295" s="3"/>
    </row>
    <row r="5296" spans="1:24" ht="114.75">
      <c r="A5296" s="3" t="s">
        <v>2168</v>
      </c>
      <c r="B5296" s="6" t="s">
        <v>361</v>
      </c>
      <c r="C5296" s="6" t="s">
        <v>6202</v>
      </c>
      <c r="D5296" s="6" t="s">
        <v>5601</v>
      </c>
      <c r="E5296" s="6" t="s">
        <v>5743</v>
      </c>
      <c r="F5296" s="226" t="s">
        <v>6203</v>
      </c>
      <c r="G5296" s="57" t="s">
        <v>11449</v>
      </c>
      <c r="H5296" s="54">
        <v>0</v>
      </c>
      <c r="I5296" s="16">
        <v>470000000</v>
      </c>
      <c r="J5296" s="56" t="s">
        <v>229</v>
      </c>
      <c r="K5296" s="57" t="s">
        <v>641</v>
      </c>
      <c r="L5296" s="12" t="s">
        <v>404</v>
      </c>
      <c r="M5296" s="3" t="s">
        <v>230</v>
      </c>
      <c r="N5296" s="8" t="s">
        <v>8899</v>
      </c>
      <c r="O5296" s="6" t="s">
        <v>365</v>
      </c>
      <c r="P5296" s="58">
        <v>796</v>
      </c>
      <c r="Q5296" s="27" t="s">
        <v>234</v>
      </c>
      <c r="R5296" s="26">
        <v>3</v>
      </c>
      <c r="S5296" s="59">
        <v>35715.230000000003</v>
      </c>
      <c r="T5296" s="4">
        <v>0</v>
      </c>
      <c r="U5296" s="4">
        <f t="shared" si="231"/>
        <v>0</v>
      </c>
      <c r="V5296" s="3"/>
      <c r="W5296" s="3">
        <v>2014</v>
      </c>
      <c r="X5296" s="3">
        <v>11</v>
      </c>
    </row>
    <row r="5297" spans="1:24" ht="114.75">
      <c r="A5297" s="3" t="s">
        <v>12868</v>
      </c>
      <c r="B5297" s="6" t="s">
        <v>361</v>
      </c>
      <c r="C5297" s="6" t="s">
        <v>6202</v>
      </c>
      <c r="D5297" s="6" t="s">
        <v>5601</v>
      </c>
      <c r="E5297" s="6" t="s">
        <v>5743</v>
      </c>
      <c r="F5297" s="226" t="s">
        <v>6203</v>
      </c>
      <c r="G5297" s="57" t="s">
        <v>11449</v>
      </c>
      <c r="H5297" s="54">
        <v>0</v>
      </c>
      <c r="I5297" s="16">
        <v>470000000</v>
      </c>
      <c r="J5297" s="56" t="s">
        <v>229</v>
      </c>
      <c r="K5297" s="57" t="s">
        <v>642</v>
      </c>
      <c r="L5297" s="12" t="s">
        <v>404</v>
      </c>
      <c r="M5297" s="3" t="s">
        <v>230</v>
      </c>
      <c r="N5297" s="8" t="s">
        <v>8899</v>
      </c>
      <c r="O5297" s="6" t="s">
        <v>365</v>
      </c>
      <c r="P5297" s="58">
        <v>796</v>
      </c>
      <c r="Q5297" s="27" t="s">
        <v>234</v>
      </c>
      <c r="R5297" s="26">
        <v>3</v>
      </c>
      <c r="S5297" s="59">
        <v>35715.230000000003</v>
      </c>
      <c r="T5297" s="4">
        <f>R5297*S5297</f>
        <v>107145.69</v>
      </c>
      <c r="U5297" s="4">
        <f>T5297*1.12</f>
        <v>120003.17280000001</v>
      </c>
      <c r="V5297" s="3"/>
      <c r="W5297" s="3">
        <v>2014</v>
      </c>
      <c r="X5297" s="3"/>
    </row>
    <row r="5298" spans="1:24" ht="114.75">
      <c r="A5298" s="3" t="s">
        <v>2169</v>
      </c>
      <c r="B5298" s="6" t="s">
        <v>361</v>
      </c>
      <c r="C5298" s="6" t="s">
        <v>7399</v>
      </c>
      <c r="D5298" s="6" t="s">
        <v>7400</v>
      </c>
      <c r="E5298" s="6" t="s">
        <v>3115</v>
      </c>
      <c r="F5298" s="226" t="s">
        <v>6204</v>
      </c>
      <c r="G5298" s="57" t="s">
        <v>11449</v>
      </c>
      <c r="H5298" s="54">
        <v>0</v>
      </c>
      <c r="I5298" s="16">
        <v>470000000</v>
      </c>
      <c r="J5298" s="56" t="s">
        <v>229</v>
      </c>
      <c r="K5298" s="57" t="s">
        <v>641</v>
      </c>
      <c r="L5298" s="12" t="s">
        <v>404</v>
      </c>
      <c r="M5298" s="3" t="s">
        <v>230</v>
      </c>
      <c r="N5298" s="8" t="s">
        <v>8899</v>
      </c>
      <c r="O5298" s="6" t="s">
        <v>365</v>
      </c>
      <c r="P5298" s="58">
        <v>796</v>
      </c>
      <c r="Q5298" s="27" t="s">
        <v>234</v>
      </c>
      <c r="R5298" s="26">
        <v>10</v>
      </c>
      <c r="S5298" s="59">
        <v>1213.27</v>
      </c>
      <c r="T5298" s="4">
        <v>0</v>
      </c>
      <c r="U5298" s="4">
        <f t="shared" si="231"/>
        <v>0</v>
      </c>
      <c r="V5298" s="3"/>
      <c r="W5298" s="3">
        <v>2014</v>
      </c>
      <c r="X5298" s="3">
        <v>11</v>
      </c>
    </row>
    <row r="5299" spans="1:24" ht="114.75">
      <c r="A5299" s="3" t="s">
        <v>12869</v>
      </c>
      <c r="B5299" s="6" t="s">
        <v>361</v>
      </c>
      <c r="C5299" s="6" t="s">
        <v>7399</v>
      </c>
      <c r="D5299" s="6" t="s">
        <v>7400</v>
      </c>
      <c r="E5299" s="6" t="s">
        <v>3115</v>
      </c>
      <c r="F5299" s="226" t="s">
        <v>6204</v>
      </c>
      <c r="G5299" s="57" t="s">
        <v>11449</v>
      </c>
      <c r="H5299" s="54">
        <v>0</v>
      </c>
      <c r="I5299" s="16">
        <v>470000000</v>
      </c>
      <c r="J5299" s="56" t="s">
        <v>229</v>
      </c>
      <c r="K5299" s="57" t="s">
        <v>642</v>
      </c>
      <c r="L5299" s="12" t="s">
        <v>404</v>
      </c>
      <c r="M5299" s="3" t="s">
        <v>230</v>
      </c>
      <c r="N5299" s="8" t="s">
        <v>8899</v>
      </c>
      <c r="O5299" s="6" t="s">
        <v>365</v>
      </c>
      <c r="P5299" s="58">
        <v>796</v>
      </c>
      <c r="Q5299" s="27" t="s">
        <v>234</v>
      </c>
      <c r="R5299" s="26">
        <v>10</v>
      </c>
      <c r="S5299" s="59">
        <v>1213.27</v>
      </c>
      <c r="T5299" s="4">
        <f>R5299*S5299</f>
        <v>12132.7</v>
      </c>
      <c r="U5299" s="4">
        <f>T5299*1.12</f>
        <v>13588.624000000002</v>
      </c>
      <c r="V5299" s="3"/>
      <c r="W5299" s="3">
        <v>2014</v>
      </c>
      <c r="X5299" s="3"/>
    </row>
    <row r="5300" spans="1:24" ht="114.75">
      <c r="A5300" s="3" t="s">
        <v>2170</v>
      </c>
      <c r="B5300" s="6" t="s">
        <v>361</v>
      </c>
      <c r="C5300" s="6" t="s">
        <v>6003</v>
      </c>
      <c r="D5300" s="6" t="s">
        <v>5754</v>
      </c>
      <c r="E5300" s="6" t="s">
        <v>5998</v>
      </c>
      <c r="F5300" s="226" t="s">
        <v>6205</v>
      </c>
      <c r="G5300" s="57" t="s">
        <v>11449</v>
      </c>
      <c r="H5300" s="54">
        <v>0</v>
      </c>
      <c r="I5300" s="16">
        <v>470000000</v>
      </c>
      <c r="J5300" s="56" t="s">
        <v>229</v>
      </c>
      <c r="K5300" s="57" t="s">
        <v>641</v>
      </c>
      <c r="L5300" s="12" t="s">
        <v>404</v>
      </c>
      <c r="M5300" s="3" t="s">
        <v>230</v>
      </c>
      <c r="N5300" s="8" t="s">
        <v>8899</v>
      </c>
      <c r="O5300" s="6" t="s">
        <v>365</v>
      </c>
      <c r="P5300" s="58">
        <v>796</v>
      </c>
      <c r="Q5300" s="27" t="s">
        <v>234</v>
      </c>
      <c r="R5300" s="26">
        <v>10</v>
      </c>
      <c r="S5300" s="59">
        <v>2623</v>
      </c>
      <c r="T5300" s="4">
        <v>0</v>
      </c>
      <c r="U5300" s="4">
        <f t="shared" si="231"/>
        <v>0</v>
      </c>
      <c r="V5300" s="3"/>
      <c r="W5300" s="3">
        <v>2014</v>
      </c>
      <c r="X5300" s="3">
        <v>11</v>
      </c>
    </row>
    <row r="5301" spans="1:24" ht="114.75">
      <c r="A5301" s="3" t="s">
        <v>12870</v>
      </c>
      <c r="B5301" s="6" t="s">
        <v>361</v>
      </c>
      <c r="C5301" s="6" t="s">
        <v>6003</v>
      </c>
      <c r="D5301" s="6" t="s">
        <v>5754</v>
      </c>
      <c r="E5301" s="6" t="s">
        <v>5998</v>
      </c>
      <c r="F5301" s="226" t="s">
        <v>6205</v>
      </c>
      <c r="G5301" s="57" t="s">
        <v>11449</v>
      </c>
      <c r="H5301" s="54">
        <v>0</v>
      </c>
      <c r="I5301" s="16">
        <v>470000000</v>
      </c>
      <c r="J5301" s="56" t="s">
        <v>229</v>
      </c>
      <c r="K5301" s="57" t="s">
        <v>642</v>
      </c>
      <c r="L5301" s="12" t="s">
        <v>404</v>
      </c>
      <c r="M5301" s="3" t="s">
        <v>230</v>
      </c>
      <c r="N5301" s="8" t="s">
        <v>8899</v>
      </c>
      <c r="O5301" s="6" t="s">
        <v>365</v>
      </c>
      <c r="P5301" s="58">
        <v>796</v>
      </c>
      <c r="Q5301" s="27" t="s">
        <v>234</v>
      </c>
      <c r="R5301" s="26">
        <v>10</v>
      </c>
      <c r="S5301" s="59">
        <v>2623</v>
      </c>
      <c r="T5301" s="4">
        <v>0</v>
      </c>
      <c r="U5301" s="4">
        <f>T5301*1.12</f>
        <v>0</v>
      </c>
      <c r="V5301" s="3"/>
      <c r="W5301" s="3">
        <v>2014</v>
      </c>
      <c r="X5301" s="3" t="s">
        <v>14785</v>
      </c>
    </row>
    <row r="5302" spans="1:24" ht="114.75">
      <c r="A5302" s="3" t="s">
        <v>16940</v>
      </c>
      <c r="B5302" s="6" t="s">
        <v>361</v>
      </c>
      <c r="C5302" s="6" t="s">
        <v>6003</v>
      </c>
      <c r="D5302" s="6" t="s">
        <v>5754</v>
      </c>
      <c r="E5302" s="6" t="s">
        <v>5998</v>
      </c>
      <c r="F5302" s="226" t="s">
        <v>6205</v>
      </c>
      <c r="G5302" s="3" t="s">
        <v>11449</v>
      </c>
      <c r="H5302" s="54">
        <v>0</v>
      </c>
      <c r="I5302" s="16">
        <v>470000000</v>
      </c>
      <c r="J5302" s="56" t="s">
        <v>229</v>
      </c>
      <c r="K5302" s="57" t="s">
        <v>8950</v>
      </c>
      <c r="L5302" s="12" t="s">
        <v>404</v>
      </c>
      <c r="M5302" s="3" t="s">
        <v>230</v>
      </c>
      <c r="N5302" s="8" t="s">
        <v>8899</v>
      </c>
      <c r="O5302" s="6" t="s">
        <v>365</v>
      </c>
      <c r="P5302" s="58">
        <v>796</v>
      </c>
      <c r="Q5302" s="27" t="s">
        <v>234</v>
      </c>
      <c r="R5302" s="26">
        <v>10</v>
      </c>
      <c r="S5302" s="59">
        <v>3147.6</v>
      </c>
      <c r="T5302" s="4">
        <f>R5302*S5302</f>
        <v>31476</v>
      </c>
      <c r="U5302" s="4">
        <f>T5302*1.12</f>
        <v>35253.120000000003</v>
      </c>
      <c r="V5302" s="3"/>
      <c r="W5302" s="3">
        <v>2014</v>
      </c>
      <c r="X5302" s="3"/>
    </row>
    <row r="5303" spans="1:24" ht="114.75">
      <c r="A5303" s="3" t="s">
        <v>2171</v>
      </c>
      <c r="B5303" s="6" t="s">
        <v>361</v>
      </c>
      <c r="C5303" s="6" t="s">
        <v>6206</v>
      </c>
      <c r="D5303" s="6" t="s">
        <v>6207</v>
      </c>
      <c r="E5303" s="6" t="s">
        <v>5998</v>
      </c>
      <c r="F5303" s="226" t="s">
        <v>449</v>
      </c>
      <c r="G5303" s="57" t="s">
        <v>11449</v>
      </c>
      <c r="H5303" s="54">
        <v>0</v>
      </c>
      <c r="I5303" s="16">
        <v>470000000</v>
      </c>
      <c r="J5303" s="56" t="s">
        <v>229</v>
      </c>
      <c r="K5303" s="57" t="s">
        <v>641</v>
      </c>
      <c r="L5303" s="12" t="s">
        <v>404</v>
      </c>
      <c r="M5303" s="3" t="s">
        <v>230</v>
      </c>
      <c r="N5303" s="8" t="s">
        <v>8899</v>
      </c>
      <c r="O5303" s="6" t="s">
        <v>365</v>
      </c>
      <c r="P5303" s="58">
        <v>796</v>
      </c>
      <c r="Q5303" s="27" t="s">
        <v>234</v>
      </c>
      <c r="R5303" s="26">
        <v>40</v>
      </c>
      <c r="S5303" s="59">
        <v>1256</v>
      </c>
      <c r="T5303" s="4">
        <v>0</v>
      </c>
      <c r="U5303" s="4">
        <f t="shared" si="231"/>
        <v>0</v>
      </c>
      <c r="V5303" s="3"/>
      <c r="W5303" s="3">
        <v>2014</v>
      </c>
      <c r="X5303" s="3">
        <v>11</v>
      </c>
    </row>
    <row r="5304" spans="1:24" ht="114.75">
      <c r="A5304" s="3" t="s">
        <v>12871</v>
      </c>
      <c r="B5304" s="6" t="s">
        <v>361</v>
      </c>
      <c r="C5304" s="6" t="s">
        <v>6206</v>
      </c>
      <c r="D5304" s="6" t="s">
        <v>6207</v>
      </c>
      <c r="E5304" s="6" t="s">
        <v>5998</v>
      </c>
      <c r="F5304" s="226" t="s">
        <v>449</v>
      </c>
      <c r="G5304" s="57" t="s">
        <v>11449</v>
      </c>
      <c r="H5304" s="54">
        <v>0</v>
      </c>
      <c r="I5304" s="16">
        <v>470000000</v>
      </c>
      <c r="J5304" s="56" t="s">
        <v>229</v>
      </c>
      <c r="K5304" s="57" t="s">
        <v>642</v>
      </c>
      <c r="L5304" s="12" t="s">
        <v>404</v>
      </c>
      <c r="M5304" s="3" t="s">
        <v>230</v>
      </c>
      <c r="N5304" s="8" t="s">
        <v>8899</v>
      </c>
      <c r="O5304" s="6" t="s">
        <v>365</v>
      </c>
      <c r="P5304" s="58">
        <v>796</v>
      </c>
      <c r="Q5304" s="27" t="s">
        <v>234</v>
      </c>
      <c r="R5304" s="26">
        <v>40</v>
      </c>
      <c r="S5304" s="59">
        <v>1256</v>
      </c>
      <c r="T5304" s="4">
        <f>R5304*S5304</f>
        <v>50240</v>
      </c>
      <c r="U5304" s="4">
        <f>T5304*1.12</f>
        <v>56268.800000000003</v>
      </c>
      <c r="V5304" s="3"/>
      <c r="W5304" s="3">
        <v>2014</v>
      </c>
      <c r="X5304" s="3"/>
    </row>
    <row r="5305" spans="1:24" ht="114.75">
      <c r="A5305" s="3" t="s">
        <v>2172</v>
      </c>
      <c r="B5305" s="6" t="s">
        <v>361</v>
      </c>
      <c r="C5305" s="6" t="s">
        <v>6597</v>
      </c>
      <c r="D5305" s="6" t="s">
        <v>6598</v>
      </c>
      <c r="E5305" s="6" t="s">
        <v>6599</v>
      </c>
      <c r="F5305" s="30" t="s">
        <v>6208</v>
      </c>
      <c r="G5305" s="57" t="s">
        <v>11450</v>
      </c>
      <c r="H5305" s="54">
        <v>0</v>
      </c>
      <c r="I5305" s="16">
        <v>470000000</v>
      </c>
      <c r="J5305" s="56" t="s">
        <v>229</v>
      </c>
      <c r="K5305" s="57" t="s">
        <v>641</v>
      </c>
      <c r="L5305" s="12" t="s">
        <v>404</v>
      </c>
      <c r="M5305" s="3" t="s">
        <v>230</v>
      </c>
      <c r="N5305" s="8" t="s">
        <v>9479</v>
      </c>
      <c r="O5305" s="6" t="s">
        <v>365</v>
      </c>
      <c r="P5305" s="58">
        <v>796</v>
      </c>
      <c r="Q5305" s="27" t="s">
        <v>234</v>
      </c>
      <c r="R5305" s="28">
        <v>1</v>
      </c>
      <c r="S5305" s="59">
        <f>250000*1.07</f>
        <v>267500</v>
      </c>
      <c r="T5305" s="4">
        <v>0</v>
      </c>
      <c r="U5305" s="4">
        <f t="shared" ref="U5305:U5349" si="232">T5305*1.12</f>
        <v>0</v>
      </c>
      <c r="V5305" s="3"/>
      <c r="W5305" s="3">
        <v>2014</v>
      </c>
      <c r="X5305" s="3">
        <v>11</v>
      </c>
    </row>
    <row r="5306" spans="1:24" ht="114.75">
      <c r="A5306" s="3" t="s">
        <v>12872</v>
      </c>
      <c r="B5306" s="6" t="s">
        <v>361</v>
      </c>
      <c r="C5306" s="6" t="s">
        <v>6597</v>
      </c>
      <c r="D5306" s="6" t="s">
        <v>6598</v>
      </c>
      <c r="E5306" s="6" t="s">
        <v>6599</v>
      </c>
      <c r="F5306" s="30" t="s">
        <v>6208</v>
      </c>
      <c r="G5306" s="57" t="s">
        <v>11450</v>
      </c>
      <c r="H5306" s="54">
        <v>0</v>
      </c>
      <c r="I5306" s="16">
        <v>470000000</v>
      </c>
      <c r="J5306" s="56" t="s">
        <v>229</v>
      </c>
      <c r="K5306" s="57" t="s">
        <v>9453</v>
      </c>
      <c r="L5306" s="12" t="s">
        <v>404</v>
      </c>
      <c r="M5306" s="3" t="s">
        <v>230</v>
      </c>
      <c r="N5306" s="8" t="s">
        <v>9479</v>
      </c>
      <c r="O5306" s="6" t="s">
        <v>365</v>
      </c>
      <c r="P5306" s="58">
        <v>796</v>
      </c>
      <c r="Q5306" s="27" t="s">
        <v>234</v>
      </c>
      <c r="R5306" s="28">
        <v>1</v>
      </c>
      <c r="S5306" s="59">
        <f>250000*1.07</f>
        <v>267500</v>
      </c>
      <c r="T5306" s="4">
        <f>R5306*S5306</f>
        <v>267500</v>
      </c>
      <c r="U5306" s="4">
        <f>T5306*1.12</f>
        <v>299600</v>
      </c>
      <c r="V5306" s="3"/>
      <c r="W5306" s="3">
        <v>2014</v>
      </c>
      <c r="X5306" s="3"/>
    </row>
    <row r="5307" spans="1:24" ht="114.75">
      <c r="A5307" s="3" t="s">
        <v>2173</v>
      </c>
      <c r="B5307" s="6" t="s">
        <v>361</v>
      </c>
      <c r="C5307" s="6" t="s">
        <v>6209</v>
      </c>
      <c r="D5307" s="6" t="s">
        <v>450</v>
      </c>
      <c r="E5307" s="6" t="s">
        <v>5183</v>
      </c>
      <c r="F5307" s="37" t="s">
        <v>6210</v>
      </c>
      <c r="G5307" s="57" t="s">
        <v>11450</v>
      </c>
      <c r="H5307" s="54">
        <v>0</v>
      </c>
      <c r="I5307" s="16">
        <v>470000000</v>
      </c>
      <c r="J5307" s="56" t="s">
        <v>229</v>
      </c>
      <c r="K5307" s="57" t="s">
        <v>641</v>
      </c>
      <c r="L5307" s="12" t="s">
        <v>404</v>
      </c>
      <c r="M5307" s="3" t="s">
        <v>230</v>
      </c>
      <c r="N5307" s="8" t="s">
        <v>9479</v>
      </c>
      <c r="O5307" s="6" t="s">
        <v>365</v>
      </c>
      <c r="P5307" s="58">
        <v>796</v>
      </c>
      <c r="Q5307" s="27" t="s">
        <v>234</v>
      </c>
      <c r="R5307" s="29">
        <v>1</v>
      </c>
      <c r="S5307" s="59">
        <f>157250*1.07</f>
        <v>168257.5</v>
      </c>
      <c r="T5307" s="4">
        <v>0</v>
      </c>
      <c r="U5307" s="4">
        <f t="shared" si="232"/>
        <v>0</v>
      </c>
      <c r="V5307" s="3"/>
      <c r="W5307" s="3">
        <v>2014</v>
      </c>
      <c r="X5307" s="3">
        <v>11</v>
      </c>
    </row>
    <row r="5308" spans="1:24" ht="114.75">
      <c r="A5308" s="3" t="s">
        <v>12873</v>
      </c>
      <c r="B5308" s="6" t="s">
        <v>361</v>
      </c>
      <c r="C5308" s="6" t="s">
        <v>6209</v>
      </c>
      <c r="D5308" s="6" t="s">
        <v>450</v>
      </c>
      <c r="E5308" s="6" t="s">
        <v>5183</v>
      </c>
      <c r="F5308" s="37" t="s">
        <v>6210</v>
      </c>
      <c r="G5308" s="57" t="s">
        <v>11450</v>
      </c>
      <c r="H5308" s="54">
        <v>0</v>
      </c>
      <c r="I5308" s="16">
        <v>470000000</v>
      </c>
      <c r="J5308" s="56" t="s">
        <v>229</v>
      </c>
      <c r="K5308" s="57" t="s">
        <v>9453</v>
      </c>
      <c r="L5308" s="12" t="s">
        <v>404</v>
      </c>
      <c r="M5308" s="3" t="s">
        <v>230</v>
      </c>
      <c r="N5308" s="8" t="s">
        <v>9479</v>
      </c>
      <c r="O5308" s="6" t="s">
        <v>365</v>
      </c>
      <c r="P5308" s="58">
        <v>796</v>
      </c>
      <c r="Q5308" s="27" t="s">
        <v>234</v>
      </c>
      <c r="R5308" s="29">
        <v>1</v>
      </c>
      <c r="S5308" s="59">
        <f>157250*1.07</f>
        <v>168257.5</v>
      </c>
      <c r="T5308" s="4">
        <f>R5308*S5308</f>
        <v>168257.5</v>
      </c>
      <c r="U5308" s="4">
        <f>T5308*1.12</f>
        <v>188448.40000000002</v>
      </c>
      <c r="V5308" s="3"/>
      <c r="W5308" s="3">
        <v>2014</v>
      </c>
      <c r="X5308" s="3"/>
    </row>
    <row r="5309" spans="1:24" ht="114.75">
      <c r="A5309" s="3" t="s">
        <v>2174</v>
      </c>
      <c r="B5309" s="6" t="s">
        <v>361</v>
      </c>
      <c r="C5309" s="6" t="s">
        <v>6209</v>
      </c>
      <c r="D5309" s="6" t="s">
        <v>450</v>
      </c>
      <c r="E5309" s="6" t="s">
        <v>5183</v>
      </c>
      <c r="F5309" s="37" t="s">
        <v>6211</v>
      </c>
      <c r="G5309" s="57" t="s">
        <v>11450</v>
      </c>
      <c r="H5309" s="54">
        <v>0</v>
      </c>
      <c r="I5309" s="16">
        <v>470000000</v>
      </c>
      <c r="J5309" s="56" t="s">
        <v>229</v>
      </c>
      <c r="K5309" s="57" t="s">
        <v>641</v>
      </c>
      <c r="L5309" s="12" t="s">
        <v>404</v>
      </c>
      <c r="M5309" s="3" t="s">
        <v>230</v>
      </c>
      <c r="N5309" s="8" t="s">
        <v>9479</v>
      </c>
      <c r="O5309" s="6" t="s">
        <v>365</v>
      </c>
      <c r="P5309" s="58">
        <v>796</v>
      </c>
      <c r="Q5309" s="27" t="s">
        <v>234</v>
      </c>
      <c r="R5309" s="29">
        <v>1</v>
      </c>
      <c r="S5309" s="59">
        <f>181440*1.07</f>
        <v>194140.80000000002</v>
      </c>
      <c r="T5309" s="4">
        <v>0</v>
      </c>
      <c r="U5309" s="4">
        <f t="shared" si="232"/>
        <v>0</v>
      </c>
      <c r="V5309" s="3"/>
      <c r="W5309" s="3">
        <v>2014</v>
      </c>
      <c r="X5309" s="3">
        <v>11</v>
      </c>
    </row>
    <row r="5310" spans="1:24" ht="114.75">
      <c r="A5310" s="3" t="s">
        <v>12874</v>
      </c>
      <c r="B5310" s="6" t="s">
        <v>361</v>
      </c>
      <c r="C5310" s="6" t="s">
        <v>6209</v>
      </c>
      <c r="D5310" s="6" t="s">
        <v>450</v>
      </c>
      <c r="E5310" s="6" t="s">
        <v>5183</v>
      </c>
      <c r="F5310" s="37" t="s">
        <v>6211</v>
      </c>
      <c r="G5310" s="57" t="s">
        <v>11450</v>
      </c>
      <c r="H5310" s="54">
        <v>0</v>
      </c>
      <c r="I5310" s="16">
        <v>470000000</v>
      </c>
      <c r="J5310" s="56" t="s">
        <v>229</v>
      </c>
      <c r="K5310" s="57" t="s">
        <v>9453</v>
      </c>
      <c r="L5310" s="12" t="s">
        <v>404</v>
      </c>
      <c r="M5310" s="3" t="s">
        <v>230</v>
      </c>
      <c r="N5310" s="8" t="s">
        <v>9479</v>
      </c>
      <c r="O5310" s="6" t="s">
        <v>365</v>
      </c>
      <c r="P5310" s="58">
        <v>796</v>
      </c>
      <c r="Q5310" s="27" t="s">
        <v>234</v>
      </c>
      <c r="R5310" s="29">
        <v>1</v>
      </c>
      <c r="S5310" s="59">
        <f>181440*1.07</f>
        <v>194140.80000000002</v>
      </c>
      <c r="T5310" s="4">
        <f>R5310*S5310</f>
        <v>194140.80000000002</v>
      </c>
      <c r="U5310" s="4">
        <f>T5310*1.12</f>
        <v>217437.69600000005</v>
      </c>
      <c r="V5310" s="3"/>
      <c r="W5310" s="3">
        <v>2014</v>
      </c>
      <c r="X5310" s="3"/>
    </row>
    <row r="5311" spans="1:24" ht="114.75">
      <c r="A5311" s="3" t="s">
        <v>2175</v>
      </c>
      <c r="B5311" s="6" t="s">
        <v>361</v>
      </c>
      <c r="C5311" s="6" t="s">
        <v>5538</v>
      </c>
      <c r="D5311" s="6" t="s">
        <v>451</v>
      </c>
      <c r="E5311" s="6" t="s">
        <v>5539</v>
      </c>
      <c r="F5311" s="30" t="s">
        <v>6212</v>
      </c>
      <c r="G5311" s="57" t="s">
        <v>11450</v>
      </c>
      <c r="H5311" s="54">
        <v>0</v>
      </c>
      <c r="I5311" s="16">
        <v>470000000</v>
      </c>
      <c r="J5311" s="56" t="s">
        <v>229</v>
      </c>
      <c r="K5311" s="57" t="s">
        <v>641</v>
      </c>
      <c r="L5311" s="12" t="s">
        <v>404</v>
      </c>
      <c r="M5311" s="3" t="s">
        <v>230</v>
      </c>
      <c r="N5311" s="8" t="s">
        <v>9479</v>
      </c>
      <c r="O5311" s="6" t="s">
        <v>365</v>
      </c>
      <c r="P5311" s="58">
        <v>796</v>
      </c>
      <c r="Q5311" s="27" t="s">
        <v>234</v>
      </c>
      <c r="R5311" s="28">
        <v>12</v>
      </c>
      <c r="S5311" s="59">
        <f>70000*1.07</f>
        <v>74900</v>
      </c>
      <c r="T5311" s="4">
        <v>0</v>
      </c>
      <c r="U5311" s="4">
        <f t="shared" si="232"/>
        <v>0</v>
      </c>
      <c r="V5311" s="3"/>
      <c r="W5311" s="3">
        <v>2014</v>
      </c>
      <c r="X5311" s="3">
        <v>11</v>
      </c>
    </row>
    <row r="5312" spans="1:24" ht="114.75">
      <c r="A5312" s="3" t="s">
        <v>12875</v>
      </c>
      <c r="B5312" s="6" t="s">
        <v>361</v>
      </c>
      <c r="C5312" s="6" t="s">
        <v>5538</v>
      </c>
      <c r="D5312" s="6" t="s">
        <v>451</v>
      </c>
      <c r="E5312" s="6" t="s">
        <v>5539</v>
      </c>
      <c r="F5312" s="30" t="s">
        <v>6212</v>
      </c>
      <c r="G5312" s="57" t="s">
        <v>11450</v>
      </c>
      <c r="H5312" s="54">
        <v>0</v>
      </c>
      <c r="I5312" s="16">
        <v>470000000</v>
      </c>
      <c r="J5312" s="56" t="s">
        <v>229</v>
      </c>
      <c r="K5312" s="57" t="s">
        <v>9453</v>
      </c>
      <c r="L5312" s="12" t="s">
        <v>404</v>
      </c>
      <c r="M5312" s="3" t="s">
        <v>230</v>
      </c>
      <c r="N5312" s="8" t="s">
        <v>9479</v>
      </c>
      <c r="O5312" s="6" t="s">
        <v>365</v>
      </c>
      <c r="P5312" s="58">
        <v>796</v>
      </c>
      <c r="Q5312" s="27" t="s">
        <v>234</v>
      </c>
      <c r="R5312" s="28">
        <v>12</v>
      </c>
      <c r="S5312" s="59">
        <f>70000*1.07</f>
        <v>74900</v>
      </c>
      <c r="T5312" s="4">
        <f>R5312*S5312</f>
        <v>898800</v>
      </c>
      <c r="U5312" s="4">
        <f>T5312*1.12</f>
        <v>1006656.0000000001</v>
      </c>
      <c r="V5312" s="3"/>
      <c r="W5312" s="3">
        <v>2014</v>
      </c>
      <c r="X5312" s="3"/>
    </row>
    <row r="5313" spans="1:24" ht="114.75">
      <c r="A5313" s="3" t="s">
        <v>2176</v>
      </c>
      <c r="B5313" s="6" t="s">
        <v>361</v>
      </c>
      <c r="C5313" s="6" t="s">
        <v>6213</v>
      </c>
      <c r="D5313" s="6" t="s">
        <v>4336</v>
      </c>
      <c r="E5313" s="6" t="s">
        <v>5332</v>
      </c>
      <c r="F5313" s="107" t="s">
        <v>6214</v>
      </c>
      <c r="G5313" s="57" t="s">
        <v>11450</v>
      </c>
      <c r="H5313" s="54">
        <v>0</v>
      </c>
      <c r="I5313" s="16">
        <v>470000000</v>
      </c>
      <c r="J5313" s="56" t="s">
        <v>229</v>
      </c>
      <c r="K5313" s="57" t="s">
        <v>641</v>
      </c>
      <c r="L5313" s="12" t="s">
        <v>404</v>
      </c>
      <c r="M5313" s="3" t="s">
        <v>230</v>
      </c>
      <c r="N5313" s="8" t="s">
        <v>9479</v>
      </c>
      <c r="O5313" s="6" t="s">
        <v>365</v>
      </c>
      <c r="P5313" s="58">
        <v>796</v>
      </c>
      <c r="Q5313" s="27" t="s">
        <v>234</v>
      </c>
      <c r="R5313" s="26">
        <v>1</v>
      </c>
      <c r="S5313" s="59">
        <f>625000*1.07</f>
        <v>668750</v>
      </c>
      <c r="T5313" s="4">
        <v>0</v>
      </c>
      <c r="U5313" s="4">
        <f t="shared" si="232"/>
        <v>0</v>
      </c>
      <c r="V5313" s="3"/>
      <c r="W5313" s="3">
        <v>2014</v>
      </c>
      <c r="X5313" s="3">
        <v>11</v>
      </c>
    </row>
    <row r="5314" spans="1:24" ht="114.75">
      <c r="A5314" s="3" t="s">
        <v>12876</v>
      </c>
      <c r="B5314" s="6" t="s">
        <v>361</v>
      </c>
      <c r="C5314" s="6" t="s">
        <v>6213</v>
      </c>
      <c r="D5314" s="6" t="s">
        <v>4336</v>
      </c>
      <c r="E5314" s="6" t="s">
        <v>5332</v>
      </c>
      <c r="F5314" s="107" t="s">
        <v>6214</v>
      </c>
      <c r="G5314" s="57" t="s">
        <v>11450</v>
      </c>
      <c r="H5314" s="54">
        <v>0</v>
      </c>
      <c r="I5314" s="16">
        <v>470000000</v>
      </c>
      <c r="J5314" s="56" t="s">
        <v>229</v>
      </c>
      <c r="K5314" s="57" t="s">
        <v>9453</v>
      </c>
      <c r="L5314" s="12" t="s">
        <v>404</v>
      </c>
      <c r="M5314" s="3" t="s">
        <v>230</v>
      </c>
      <c r="N5314" s="8" t="s">
        <v>9479</v>
      </c>
      <c r="O5314" s="6" t="s">
        <v>365</v>
      </c>
      <c r="P5314" s="58">
        <v>796</v>
      </c>
      <c r="Q5314" s="27" t="s">
        <v>234</v>
      </c>
      <c r="R5314" s="26">
        <v>1</v>
      </c>
      <c r="S5314" s="59">
        <f>625000*1.07</f>
        <v>668750</v>
      </c>
      <c r="T5314" s="4">
        <f>R5314*S5314</f>
        <v>668750</v>
      </c>
      <c r="U5314" s="4">
        <f>T5314*1.12</f>
        <v>749000.00000000012</v>
      </c>
      <c r="V5314" s="3"/>
      <c r="W5314" s="3">
        <v>2014</v>
      </c>
      <c r="X5314" s="3"/>
    </row>
    <row r="5315" spans="1:24" ht="114.75">
      <c r="A5315" s="3" t="s">
        <v>2177</v>
      </c>
      <c r="B5315" s="6" t="s">
        <v>361</v>
      </c>
      <c r="C5315" s="6" t="s">
        <v>6724</v>
      </c>
      <c r="D5315" s="6" t="s">
        <v>6725</v>
      </c>
      <c r="E5315" s="6" t="s">
        <v>6726</v>
      </c>
      <c r="F5315" s="107" t="s">
        <v>6215</v>
      </c>
      <c r="G5315" s="57" t="s">
        <v>11450</v>
      </c>
      <c r="H5315" s="54">
        <v>0</v>
      </c>
      <c r="I5315" s="16">
        <v>470000000</v>
      </c>
      <c r="J5315" s="56" t="s">
        <v>229</v>
      </c>
      <c r="K5315" s="57" t="s">
        <v>641</v>
      </c>
      <c r="L5315" s="12" t="s">
        <v>404</v>
      </c>
      <c r="M5315" s="3" t="s">
        <v>230</v>
      </c>
      <c r="N5315" s="8" t="s">
        <v>9479</v>
      </c>
      <c r="O5315" s="6" t="s">
        <v>365</v>
      </c>
      <c r="P5315" s="58">
        <v>796</v>
      </c>
      <c r="Q5315" s="27" t="s">
        <v>234</v>
      </c>
      <c r="R5315" s="26">
        <v>24</v>
      </c>
      <c r="S5315" s="59">
        <f>7000*1.07</f>
        <v>7490</v>
      </c>
      <c r="T5315" s="4">
        <v>0</v>
      </c>
      <c r="U5315" s="4">
        <f t="shared" si="232"/>
        <v>0</v>
      </c>
      <c r="V5315" s="3"/>
      <c r="W5315" s="3">
        <v>2014</v>
      </c>
      <c r="X5315" s="3">
        <v>11</v>
      </c>
    </row>
    <row r="5316" spans="1:24" ht="114.75">
      <c r="A5316" s="3" t="s">
        <v>12877</v>
      </c>
      <c r="B5316" s="6" t="s">
        <v>361</v>
      </c>
      <c r="C5316" s="6" t="s">
        <v>6724</v>
      </c>
      <c r="D5316" s="6" t="s">
        <v>6725</v>
      </c>
      <c r="E5316" s="6" t="s">
        <v>6726</v>
      </c>
      <c r="F5316" s="107" t="s">
        <v>6215</v>
      </c>
      <c r="G5316" s="57" t="s">
        <v>11450</v>
      </c>
      <c r="H5316" s="54">
        <v>0</v>
      </c>
      <c r="I5316" s="16">
        <v>470000000</v>
      </c>
      <c r="J5316" s="56" t="s">
        <v>229</v>
      </c>
      <c r="K5316" s="57" t="s">
        <v>9453</v>
      </c>
      <c r="L5316" s="12" t="s">
        <v>404</v>
      </c>
      <c r="M5316" s="3" t="s">
        <v>230</v>
      </c>
      <c r="N5316" s="8" t="s">
        <v>9479</v>
      </c>
      <c r="O5316" s="6" t="s">
        <v>365</v>
      </c>
      <c r="P5316" s="58">
        <v>796</v>
      </c>
      <c r="Q5316" s="27" t="s">
        <v>234</v>
      </c>
      <c r="R5316" s="26">
        <v>24</v>
      </c>
      <c r="S5316" s="59">
        <f>7000*1.07</f>
        <v>7490</v>
      </c>
      <c r="T5316" s="4">
        <f>R5316*S5316</f>
        <v>179760</v>
      </c>
      <c r="U5316" s="4">
        <f>T5316*1.12</f>
        <v>201331.20000000001</v>
      </c>
      <c r="V5316" s="3"/>
      <c r="W5316" s="3">
        <v>2014</v>
      </c>
      <c r="X5316" s="3"/>
    </row>
    <row r="5317" spans="1:24" ht="114.75">
      <c r="A5317" s="3" t="s">
        <v>2178</v>
      </c>
      <c r="B5317" s="6" t="s">
        <v>361</v>
      </c>
      <c r="C5317" s="6" t="s">
        <v>5588</v>
      </c>
      <c r="D5317" s="6" t="s">
        <v>452</v>
      </c>
      <c r="E5317" s="6" t="s">
        <v>5183</v>
      </c>
      <c r="F5317" s="107" t="s">
        <v>6216</v>
      </c>
      <c r="G5317" s="57" t="s">
        <v>11450</v>
      </c>
      <c r="H5317" s="54">
        <v>0</v>
      </c>
      <c r="I5317" s="16">
        <v>470000000</v>
      </c>
      <c r="J5317" s="56" t="s">
        <v>229</v>
      </c>
      <c r="K5317" s="57" t="s">
        <v>641</v>
      </c>
      <c r="L5317" s="12" t="s">
        <v>404</v>
      </c>
      <c r="M5317" s="3" t="s">
        <v>230</v>
      </c>
      <c r="N5317" s="8" t="s">
        <v>9479</v>
      </c>
      <c r="O5317" s="6" t="s">
        <v>365</v>
      </c>
      <c r="P5317" s="58">
        <v>796</v>
      </c>
      <c r="Q5317" s="27" t="s">
        <v>234</v>
      </c>
      <c r="R5317" s="26">
        <v>4</v>
      </c>
      <c r="S5317" s="59">
        <v>178756</v>
      </c>
      <c r="T5317" s="4">
        <v>0</v>
      </c>
      <c r="U5317" s="4">
        <f t="shared" si="232"/>
        <v>0</v>
      </c>
      <c r="V5317" s="3"/>
      <c r="W5317" s="3">
        <v>2014</v>
      </c>
      <c r="X5317" s="3">
        <v>11</v>
      </c>
    </row>
    <row r="5318" spans="1:24" ht="114.75">
      <c r="A5318" s="3" t="s">
        <v>12878</v>
      </c>
      <c r="B5318" s="6" t="s">
        <v>361</v>
      </c>
      <c r="C5318" s="6" t="s">
        <v>5588</v>
      </c>
      <c r="D5318" s="6" t="s">
        <v>452</v>
      </c>
      <c r="E5318" s="6" t="s">
        <v>5183</v>
      </c>
      <c r="F5318" s="107" t="s">
        <v>6216</v>
      </c>
      <c r="G5318" s="57" t="s">
        <v>11450</v>
      </c>
      <c r="H5318" s="54">
        <v>0</v>
      </c>
      <c r="I5318" s="16">
        <v>470000000</v>
      </c>
      <c r="J5318" s="56" t="s">
        <v>229</v>
      </c>
      <c r="K5318" s="57" t="s">
        <v>9453</v>
      </c>
      <c r="L5318" s="12" t="s">
        <v>404</v>
      </c>
      <c r="M5318" s="3" t="s">
        <v>230</v>
      </c>
      <c r="N5318" s="8" t="s">
        <v>9479</v>
      </c>
      <c r="O5318" s="6" t="s">
        <v>365</v>
      </c>
      <c r="P5318" s="58">
        <v>796</v>
      </c>
      <c r="Q5318" s="27" t="s">
        <v>234</v>
      </c>
      <c r="R5318" s="26">
        <v>4</v>
      </c>
      <c r="S5318" s="59">
        <v>178756</v>
      </c>
      <c r="T5318" s="4">
        <v>0</v>
      </c>
      <c r="U5318" s="4">
        <f t="shared" si="232"/>
        <v>0</v>
      </c>
      <c r="V5318" s="3"/>
      <c r="W5318" s="3">
        <v>2014</v>
      </c>
      <c r="X5318" s="3" t="s">
        <v>14785</v>
      </c>
    </row>
    <row r="5319" spans="1:24" ht="114.75">
      <c r="A5319" s="3" t="s">
        <v>16941</v>
      </c>
      <c r="B5319" s="6" t="s">
        <v>361</v>
      </c>
      <c r="C5319" s="6" t="s">
        <v>5588</v>
      </c>
      <c r="D5319" s="6" t="s">
        <v>452</v>
      </c>
      <c r="E5319" s="6" t="s">
        <v>5183</v>
      </c>
      <c r="F5319" s="107" t="s">
        <v>6216</v>
      </c>
      <c r="G5319" s="3" t="s">
        <v>11450</v>
      </c>
      <c r="H5319" s="54">
        <v>0</v>
      </c>
      <c r="I5319" s="16">
        <v>470000000</v>
      </c>
      <c r="J5319" s="56" t="s">
        <v>229</v>
      </c>
      <c r="K5319" s="57" t="s">
        <v>8950</v>
      </c>
      <c r="L5319" s="12" t="s">
        <v>404</v>
      </c>
      <c r="M5319" s="3" t="s">
        <v>230</v>
      </c>
      <c r="N5319" s="8" t="s">
        <v>9479</v>
      </c>
      <c r="O5319" s="6" t="s">
        <v>365</v>
      </c>
      <c r="P5319" s="58">
        <v>796</v>
      </c>
      <c r="Q5319" s="27" t="s">
        <v>234</v>
      </c>
      <c r="R5319" s="26">
        <v>4</v>
      </c>
      <c r="S5319" s="59">
        <v>214507.19999999998</v>
      </c>
      <c r="T5319" s="4">
        <v>0</v>
      </c>
      <c r="U5319" s="4">
        <f t="shared" si="232"/>
        <v>0</v>
      </c>
      <c r="V5319" s="3"/>
      <c r="W5319" s="3">
        <v>2014</v>
      </c>
      <c r="X5319" s="3">
        <v>11</v>
      </c>
    </row>
    <row r="5320" spans="1:24" ht="114.75">
      <c r="A5320" s="3" t="s">
        <v>18805</v>
      </c>
      <c r="B5320" s="6" t="s">
        <v>361</v>
      </c>
      <c r="C5320" s="6" t="s">
        <v>5588</v>
      </c>
      <c r="D5320" s="6" t="s">
        <v>452</v>
      </c>
      <c r="E5320" s="6" t="s">
        <v>5183</v>
      </c>
      <c r="F5320" s="107" t="s">
        <v>6216</v>
      </c>
      <c r="G5320" s="3" t="s">
        <v>11450</v>
      </c>
      <c r="H5320" s="54">
        <v>0</v>
      </c>
      <c r="I5320" s="16">
        <v>470000000</v>
      </c>
      <c r="J5320" s="56" t="s">
        <v>229</v>
      </c>
      <c r="K5320" s="57" t="s">
        <v>18437</v>
      </c>
      <c r="L5320" s="12" t="s">
        <v>404</v>
      </c>
      <c r="M5320" s="3" t="s">
        <v>230</v>
      </c>
      <c r="N5320" s="8" t="s">
        <v>9479</v>
      </c>
      <c r="O5320" s="6" t="s">
        <v>365</v>
      </c>
      <c r="P5320" s="58">
        <v>796</v>
      </c>
      <c r="Q5320" s="27" t="s">
        <v>234</v>
      </c>
      <c r="R5320" s="26">
        <v>4</v>
      </c>
      <c r="S5320" s="59">
        <v>214507.19999999998</v>
      </c>
      <c r="T5320" s="4">
        <v>0</v>
      </c>
      <c r="U5320" s="4">
        <f t="shared" si="232"/>
        <v>0</v>
      </c>
      <c r="V5320" s="3"/>
      <c r="W5320" s="3">
        <v>2014</v>
      </c>
      <c r="X5320" s="3">
        <v>14.15</v>
      </c>
    </row>
    <row r="5321" spans="1:24" ht="76.5">
      <c r="A5321" s="3" t="s">
        <v>19493</v>
      </c>
      <c r="B5321" s="6" t="s">
        <v>361</v>
      </c>
      <c r="C5321" s="6" t="s">
        <v>5588</v>
      </c>
      <c r="D5321" s="6" t="s">
        <v>452</v>
      </c>
      <c r="E5321" s="6" t="s">
        <v>5183</v>
      </c>
      <c r="F5321" s="107" t="s">
        <v>6216</v>
      </c>
      <c r="G5321" s="3" t="s">
        <v>11450</v>
      </c>
      <c r="H5321" s="54">
        <v>0</v>
      </c>
      <c r="I5321" s="16">
        <v>470000000</v>
      </c>
      <c r="J5321" s="56" t="s">
        <v>229</v>
      </c>
      <c r="K5321" s="57" t="s">
        <v>18437</v>
      </c>
      <c r="L5321" s="12" t="s">
        <v>404</v>
      </c>
      <c r="M5321" s="3" t="s">
        <v>230</v>
      </c>
      <c r="N5321" s="8" t="s">
        <v>19369</v>
      </c>
      <c r="O5321" s="6" t="s">
        <v>19407</v>
      </c>
      <c r="P5321" s="58">
        <v>796</v>
      </c>
      <c r="Q5321" s="27" t="s">
        <v>234</v>
      </c>
      <c r="R5321" s="26">
        <v>4</v>
      </c>
      <c r="S5321" s="59">
        <v>214507.19999999998</v>
      </c>
      <c r="T5321" s="4">
        <f>R5321*S5321</f>
        <v>858028.79999999993</v>
      </c>
      <c r="U5321" s="4">
        <f t="shared" ref="U5321" si="233">T5321*1.12</f>
        <v>960992.25600000005</v>
      </c>
      <c r="V5321" s="3"/>
      <c r="W5321" s="3">
        <v>2014</v>
      </c>
      <c r="X5321" s="3"/>
    </row>
    <row r="5322" spans="1:24" ht="114.75">
      <c r="A5322" s="3" t="s">
        <v>2179</v>
      </c>
      <c r="B5322" s="6" t="s">
        <v>361</v>
      </c>
      <c r="C5322" s="6" t="s">
        <v>7392</v>
      </c>
      <c r="D5322" s="6" t="s">
        <v>7393</v>
      </c>
      <c r="E5322" s="6" t="s">
        <v>7393</v>
      </c>
      <c r="F5322" s="129" t="s">
        <v>11547</v>
      </c>
      <c r="G5322" s="57" t="s">
        <v>11450</v>
      </c>
      <c r="H5322" s="54">
        <v>0</v>
      </c>
      <c r="I5322" s="16">
        <v>470000000</v>
      </c>
      <c r="J5322" s="56" t="s">
        <v>229</v>
      </c>
      <c r="K5322" s="57" t="s">
        <v>641</v>
      </c>
      <c r="L5322" s="12" t="s">
        <v>404</v>
      </c>
      <c r="M5322" s="3" t="s">
        <v>230</v>
      </c>
      <c r="N5322" s="8" t="s">
        <v>9479</v>
      </c>
      <c r="O5322" s="6" t="s">
        <v>365</v>
      </c>
      <c r="P5322" s="58">
        <v>796</v>
      </c>
      <c r="Q5322" s="27" t="s">
        <v>234</v>
      </c>
      <c r="R5322" s="131">
        <v>2</v>
      </c>
      <c r="S5322" s="59">
        <f>100000*1.07</f>
        <v>107000</v>
      </c>
      <c r="T5322" s="4">
        <v>0</v>
      </c>
      <c r="U5322" s="4">
        <f t="shared" si="232"/>
        <v>0</v>
      </c>
      <c r="V5322" s="3"/>
      <c r="W5322" s="3">
        <v>2014</v>
      </c>
      <c r="X5322" s="3">
        <v>11</v>
      </c>
    </row>
    <row r="5323" spans="1:24" ht="114.75">
      <c r="A5323" s="3" t="s">
        <v>12879</v>
      </c>
      <c r="B5323" s="6" t="s">
        <v>361</v>
      </c>
      <c r="C5323" s="6" t="s">
        <v>7392</v>
      </c>
      <c r="D5323" s="6" t="s">
        <v>7393</v>
      </c>
      <c r="E5323" s="6" t="s">
        <v>7393</v>
      </c>
      <c r="F5323" s="129" t="s">
        <v>11547</v>
      </c>
      <c r="G5323" s="57" t="s">
        <v>11450</v>
      </c>
      <c r="H5323" s="54">
        <v>0</v>
      </c>
      <c r="I5323" s="16">
        <v>470000000</v>
      </c>
      <c r="J5323" s="56" t="s">
        <v>229</v>
      </c>
      <c r="K5323" s="57" t="s">
        <v>9453</v>
      </c>
      <c r="L5323" s="12" t="s">
        <v>404</v>
      </c>
      <c r="M5323" s="3" t="s">
        <v>230</v>
      </c>
      <c r="N5323" s="8" t="s">
        <v>9479</v>
      </c>
      <c r="O5323" s="6" t="s">
        <v>365</v>
      </c>
      <c r="P5323" s="58">
        <v>796</v>
      </c>
      <c r="Q5323" s="27" t="s">
        <v>234</v>
      </c>
      <c r="R5323" s="131">
        <v>2</v>
      </c>
      <c r="S5323" s="59">
        <f>100000*1.07</f>
        <v>107000</v>
      </c>
      <c r="T5323" s="4">
        <v>0</v>
      </c>
      <c r="U5323" s="4">
        <f t="shared" si="232"/>
        <v>0</v>
      </c>
      <c r="V5323" s="3"/>
      <c r="W5323" s="3">
        <v>2014</v>
      </c>
      <c r="X5323" s="3" t="s">
        <v>14785</v>
      </c>
    </row>
    <row r="5324" spans="1:24" ht="114.75">
      <c r="A5324" s="3" t="s">
        <v>16942</v>
      </c>
      <c r="B5324" s="6" t="s">
        <v>361</v>
      </c>
      <c r="C5324" s="6" t="s">
        <v>7392</v>
      </c>
      <c r="D5324" s="6" t="s">
        <v>7393</v>
      </c>
      <c r="E5324" s="6" t="s">
        <v>7393</v>
      </c>
      <c r="F5324" s="129" t="s">
        <v>11547</v>
      </c>
      <c r="G5324" s="3" t="s">
        <v>11450</v>
      </c>
      <c r="H5324" s="54">
        <v>0</v>
      </c>
      <c r="I5324" s="16">
        <v>470000000</v>
      </c>
      <c r="J5324" s="56" t="s">
        <v>229</v>
      </c>
      <c r="K5324" s="57" t="s">
        <v>8950</v>
      </c>
      <c r="L5324" s="12" t="s">
        <v>404</v>
      </c>
      <c r="M5324" s="3" t="s">
        <v>230</v>
      </c>
      <c r="N5324" s="8" t="s">
        <v>9479</v>
      </c>
      <c r="O5324" s="6" t="s">
        <v>365</v>
      </c>
      <c r="P5324" s="58">
        <v>796</v>
      </c>
      <c r="Q5324" s="27" t="s">
        <v>234</v>
      </c>
      <c r="R5324" s="131">
        <v>2</v>
      </c>
      <c r="S5324" s="59">
        <v>128400</v>
      </c>
      <c r="T5324" s="4">
        <v>0</v>
      </c>
      <c r="U5324" s="4">
        <f t="shared" si="232"/>
        <v>0</v>
      </c>
      <c r="V5324" s="3"/>
      <c r="W5324" s="3">
        <v>2014</v>
      </c>
      <c r="X5324" s="3">
        <v>11</v>
      </c>
    </row>
    <row r="5325" spans="1:24" ht="114.75">
      <c r="A5325" s="3" t="s">
        <v>18806</v>
      </c>
      <c r="B5325" s="6" t="s">
        <v>361</v>
      </c>
      <c r="C5325" s="6" t="s">
        <v>7392</v>
      </c>
      <c r="D5325" s="6" t="s">
        <v>7393</v>
      </c>
      <c r="E5325" s="6" t="s">
        <v>7393</v>
      </c>
      <c r="F5325" s="129" t="s">
        <v>11547</v>
      </c>
      <c r="G5325" s="3" t="s">
        <v>11450</v>
      </c>
      <c r="H5325" s="54">
        <v>0</v>
      </c>
      <c r="I5325" s="16">
        <v>470000000</v>
      </c>
      <c r="J5325" s="56" t="s">
        <v>229</v>
      </c>
      <c r="K5325" s="57" t="s">
        <v>18437</v>
      </c>
      <c r="L5325" s="12" t="s">
        <v>404</v>
      </c>
      <c r="M5325" s="3" t="s">
        <v>230</v>
      </c>
      <c r="N5325" s="8" t="s">
        <v>9479</v>
      </c>
      <c r="O5325" s="6" t="s">
        <v>365</v>
      </c>
      <c r="P5325" s="58">
        <v>796</v>
      </c>
      <c r="Q5325" s="27" t="s">
        <v>234</v>
      </c>
      <c r="R5325" s="131">
        <v>2</v>
      </c>
      <c r="S5325" s="59">
        <v>128400</v>
      </c>
      <c r="T5325" s="4">
        <v>0</v>
      </c>
      <c r="U5325" s="4">
        <f t="shared" si="232"/>
        <v>0</v>
      </c>
      <c r="V5325" s="3"/>
      <c r="W5325" s="3">
        <v>2014</v>
      </c>
      <c r="X5325" s="3">
        <v>14.15</v>
      </c>
    </row>
    <row r="5326" spans="1:24" ht="76.5">
      <c r="A5326" s="3" t="s">
        <v>19494</v>
      </c>
      <c r="B5326" s="6" t="s">
        <v>361</v>
      </c>
      <c r="C5326" s="6" t="s">
        <v>7392</v>
      </c>
      <c r="D5326" s="6" t="s">
        <v>7393</v>
      </c>
      <c r="E5326" s="6" t="s">
        <v>7393</v>
      </c>
      <c r="F5326" s="129" t="s">
        <v>11547</v>
      </c>
      <c r="G5326" s="3" t="s">
        <v>11450</v>
      </c>
      <c r="H5326" s="54">
        <v>0</v>
      </c>
      <c r="I5326" s="16">
        <v>470000000</v>
      </c>
      <c r="J5326" s="56" t="s">
        <v>229</v>
      </c>
      <c r="K5326" s="57" t="s">
        <v>18437</v>
      </c>
      <c r="L5326" s="12" t="s">
        <v>404</v>
      </c>
      <c r="M5326" s="3" t="s">
        <v>230</v>
      </c>
      <c r="N5326" s="8" t="s">
        <v>19369</v>
      </c>
      <c r="O5326" s="6" t="s">
        <v>19407</v>
      </c>
      <c r="P5326" s="58">
        <v>796</v>
      </c>
      <c r="Q5326" s="27" t="s">
        <v>234</v>
      </c>
      <c r="R5326" s="131">
        <v>2</v>
      </c>
      <c r="S5326" s="59">
        <v>128400</v>
      </c>
      <c r="T5326" s="4">
        <f>R5326*S5326</f>
        <v>256800</v>
      </c>
      <c r="U5326" s="4">
        <f t="shared" ref="U5326" si="234">T5326*1.12</f>
        <v>287616</v>
      </c>
      <c r="V5326" s="3"/>
      <c r="W5326" s="3">
        <v>2014</v>
      </c>
      <c r="X5326" s="3"/>
    </row>
    <row r="5327" spans="1:24" ht="114.75">
      <c r="A5327" s="3" t="s">
        <v>2180</v>
      </c>
      <c r="B5327" s="6" t="s">
        <v>361</v>
      </c>
      <c r="C5327" s="6" t="s">
        <v>6209</v>
      </c>
      <c r="D5327" s="6" t="s">
        <v>450</v>
      </c>
      <c r="E5327" s="6" t="s">
        <v>5183</v>
      </c>
      <c r="F5327" s="228" t="s">
        <v>8124</v>
      </c>
      <c r="G5327" s="57" t="s">
        <v>11450</v>
      </c>
      <c r="H5327" s="54">
        <v>0</v>
      </c>
      <c r="I5327" s="16">
        <v>470000000</v>
      </c>
      <c r="J5327" s="56" t="s">
        <v>229</v>
      </c>
      <c r="K5327" s="57" t="s">
        <v>641</v>
      </c>
      <c r="L5327" s="12" t="s">
        <v>404</v>
      </c>
      <c r="M5327" s="3" t="s">
        <v>230</v>
      </c>
      <c r="N5327" s="8" t="s">
        <v>9479</v>
      </c>
      <c r="O5327" s="6" t="s">
        <v>365</v>
      </c>
      <c r="P5327" s="58">
        <v>796</v>
      </c>
      <c r="Q5327" s="26" t="s">
        <v>234</v>
      </c>
      <c r="R5327" s="26">
        <v>1</v>
      </c>
      <c r="S5327" s="59">
        <f>370000*1.07</f>
        <v>395900</v>
      </c>
      <c r="T5327" s="4">
        <v>0</v>
      </c>
      <c r="U5327" s="4">
        <f t="shared" si="232"/>
        <v>0</v>
      </c>
      <c r="V5327" s="3"/>
      <c r="W5327" s="3">
        <v>2014</v>
      </c>
      <c r="X5327" s="3">
        <v>11</v>
      </c>
    </row>
    <row r="5328" spans="1:24" ht="114.75">
      <c r="A5328" s="3" t="s">
        <v>12880</v>
      </c>
      <c r="B5328" s="6" t="s">
        <v>361</v>
      </c>
      <c r="C5328" s="6" t="s">
        <v>6209</v>
      </c>
      <c r="D5328" s="6" t="s">
        <v>450</v>
      </c>
      <c r="E5328" s="6" t="s">
        <v>5183</v>
      </c>
      <c r="F5328" s="228" t="s">
        <v>8124</v>
      </c>
      <c r="G5328" s="57" t="s">
        <v>11450</v>
      </c>
      <c r="H5328" s="54">
        <v>0</v>
      </c>
      <c r="I5328" s="16">
        <v>470000000</v>
      </c>
      <c r="J5328" s="56" t="s">
        <v>229</v>
      </c>
      <c r="K5328" s="57" t="s">
        <v>9453</v>
      </c>
      <c r="L5328" s="12" t="s">
        <v>404</v>
      </c>
      <c r="M5328" s="3" t="s">
        <v>230</v>
      </c>
      <c r="N5328" s="8" t="s">
        <v>9479</v>
      </c>
      <c r="O5328" s="6" t="s">
        <v>365</v>
      </c>
      <c r="P5328" s="58">
        <v>796</v>
      </c>
      <c r="Q5328" s="26" t="s">
        <v>234</v>
      </c>
      <c r="R5328" s="26">
        <v>1</v>
      </c>
      <c r="S5328" s="59">
        <f>370000*1.07</f>
        <v>395900</v>
      </c>
      <c r="T5328" s="4">
        <v>0</v>
      </c>
      <c r="U5328" s="4">
        <f>T5328*1.12</f>
        <v>0</v>
      </c>
      <c r="V5328" s="3"/>
      <c r="W5328" s="3">
        <v>2014</v>
      </c>
      <c r="X5328" s="3" t="s">
        <v>12076</v>
      </c>
    </row>
    <row r="5329" spans="1:24" ht="114.75">
      <c r="A5329" s="3" t="s">
        <v>2181</v>
      </c>
      <c r="B5329" s="6" t="s">
        <v>361</v>
      </c>
      <c r="C5329" s="6" t="s">
        <v>11548</v>
      </c>
      <c r="D5329" s="6" t="s">
        <v>11549</v>
      </c>
      <c r="E5329" s="6" t="s">
        <v>11550</v>
      </c>
      <c r="F5329" s="129" t="s">
        <v>6217</v>
      </c>
      <c r="G5329" s="57" t="s">
        <v>11450</v>
      </c>
      <c r="H5329" s="54">
        <v>0</v>
      </c>
      <c r="I5329" s="16">
        <v>470000000</v>
      </c>
      <c r="J5329" s="56" t="s">
        <v>229</v>
      </c>
      <c r="K5329" s="57" t="s">
        <v>641</v>
      </c>
      <c r="L5329" s="12" t="s">
        <v>404</v>
      </c>
      <c r="M5329" s="3" t="s">
        <v>230</v>
      </c>
      <c r="N5329" s="8" t="s">
        <v>9479</v>
      </c>
      <c r="O5329" s="6" t="s">
        <v>365</v>
      </c>
      <c r="P5329" s="58">
        <v>796</v>
      </c>
      <c r="Q5329" s="26" t="s">
        <v>234</v>
      </c>
      <c r="R5329" s="26">
        <v>2</v>
      </c>
      <c r="S5329" s="59">
        <v>23821</v>
      </c>
      <c r="T5329" s="4">
        <v>0</v>
      </c>
      <c r="U5329" s="4">
        <f t="shared" si="232"/>
        <v>0</v>
      </c>
      <c r="V5329" s="3"/>
      <c r="W5329" s="3">
        <v>2014</v>
      </c>
      <c r="X5329" s="3">
        <v>11</v>
      </c>
    </row>
    <row r="5330" spans="1:24" ht="114.75">
      <c r="A5330" s="3" t="s">
        <v>12881</v>
      </c>
      <c r="B5330" s="6" t="s">
        <v>361</v>
      </c>
      <c r="C5330" s="6" t="s">
        <v>11548</v>
      </c>
      <c r="D5330" s="6" t="s">
        <v>11549</v>
      </c>
      <c r="E5330" s="6" t="s">
        <v>11550</v>
      </c>
      <c r="F5330" s="129" t="s">
        <v>6217</v>
      </c>
      <c r="G5330" s="57" t="s">
        <v>11450</v>
      </c>
      <c r="H5330" s="54">
        <v>0</v>
      </c>
      <c r="I5330" s="16">
        <v>470000000</v>
      </c>
      <c r="J5330" s="56" t="s">
        <v>229</v>
      </c>
      <c r="K5330" s="57" t="s">
        <v>9453</v>
      </c>
      <c r="L5330" s="12" t="s">
        <v>404</v>
      </c>
      <c r="M5330" s="3" t="s">
        <v>230</v>
      </c>
      <c r="N5330" s="8" t="s">
        <v>9479</v>
      </c>
      <c r="O5330" s="6" t="s">
        <v>365</v>
      </c>
      <c r="P5330" s="58">
        <v>796</v>
      </c>
      <c r="Q5330" s="26" t="s">
        <v>234</v>
      </c>
      <c r="R5330" s="26">
        <v>2</v>
      </c>
      <c r="S5330" s="59">
        <v>23821</v>
      </c>
      <c r="T5330" s="4">
        <v>0</v>
      </c>
      <c r="U5330" s="4">
        <f>T5330*1.12</f>
        <v>0</v>
      </c>
      <c r="V5330" s="3"/>
      <c r="W5330" s="3">
        <v>2014</v>
      </c>
      <c r="X5330" s="3" t="s">
        <v>12076</v>
      </c>
    </row>
    <row r="5331" spans="1:24" ht="114.75">
      <c r="A5331" s="3" t="s">
        <v>2182</v>
      </c>
      <c r="B5331" s="6" t="s">
        <v>361</v>
      </c>
      <c r="C5331" s="6" t="s">
        <v>6597</v>
      </c>
      <c r="D5331" s="6" t="s">
        <v>6598</v>
      </c>
      <c r="E5331" s="6" t="s">
        <v>6599</v>
      </c>
      <c r="F5331" s="129" t="s">
        <v>6218</v>
      </c>
      <c r="G5331" s="57" t="s">
        <v>11450</v>
      </c>
      <c r="H5331" s="54">
        <v>0</v>
      </c>
      <c r="I5331" s="16">
        <v>470000000</v>
      </c>
      <c r="J5331" s="56" t="s">
        <v>229</v>
      </c>
      <c r="K5331" s="57" t="s">
        <v>641</v>
      </c>
      <c r="L5331" s="12" t="s">
        <v>404</v>
      </c>
      <c r="M5331" s="3" t="s">
        <v>230</v>
      </c>
      <c r="N5331" s="8" t="s">
        <v>9479</v>
      </c>
      <c r="O5331" s="6" t="s">
        <v>365</v>
      </c>
      <c r="P5331" s="58">
        <v>796</v>
      </c>
      <c r="Q5331" s="26" t="s">
        <v>234</v>
      </c>
      <c r="R5331" s="26">
        <v>1</v>
      </c>
      <c r="S5331" s="59">
        <v>368416</v>
      </c>
      <c r="T5331" s="4">
        <v>0</v>
      </c>
      <c r="U5331" s="4">
        <f t="shared" si="232"/>
        <v>0</v>
      </c>
      <c r="V5331" s="3"/>
      <c r="W5331" s="3">
        <v>2014</v>
      </c>
      <c r="X5331" s="3">
        <v>11</v>
      </c>
    </row>
    <row r="5332" spans="1:24" ht="114.75">
      <c r="A5332" s="3" t="s">
        <v>12882</v>
      </c>
      <c r="B5332" s="6" t="s">
        <v>361</v>
      </c>
      <c r="C5332" s="6" t="s">
        <v>6597</v>
      </c>
      <c r="D5332" s="6" t="s">
        <v>6598</v>
      </c>
      <c r="E5332" s="6" t="s">
        <v>6599</v>
      </c>
      <c r="F5332" s="129" t="s">
        <v>6218</v>
      </c>
      <c r="G5332" s="57" t="s">
        <v>11450</v>
      </c>
      <c r="H5332" s="54">
        <v>0</v>
      </c>
      <c r="I5332" s="16">
        <v>470000000</v>
      </c>
      <c r="J5332" s="56" t="s">
        <v>229</v>
      </c>
      <c r="K5332" s="57" t="s">
        <v>9453</v>
      </c>
      <c r="L5332" s="12" t="s">
        <v>404</v>
      </c>
      <c r="M5332" s="3" t="s">
        <v>230</v>
      </c>
      <c r="N5332" s="8" t="s">
        <v>9479</v>
      </c>
      <c r="O5332" s="6" t="s">
        <v>365</v>
      </c>
      <c r="P5332" s="58">
        <v>796</v>
      </c>
      <c r="Q5332" s="26" t="s">
        <v>234</v>
      </c>
      <c r="R5332" s="26">
        <v>1</v>
      </c>
      <c r="S5332" s="59">
        <v>368416</v>
      </c>
      <c r="T5332" s="4">
        <v>0</v>
      </c>
      <c r="U5332" s="4">
        <f>T5332*1.12</f>
        <v>0</v>
      </c>
      <c r="V5332" s="3"/>
      <c r="W5332" s="3">
        <v>2014</v>
      </c>
      <c r="X5332" s="3" t="s">
        <v>12076</v>
      </c>
    </row>
    <row r="5333" spans="1:24" ht="114.75">
      <c r="A5333" s="3" t="s">
        <v>2183</v>
      </c>
      <c r="B5333" s="6" t="s">
        <v>361</v>
      </c>
      <c r="C5333" s="6" t="s">
        <v>6219</v>
      </c>
      <c r="D5333" s="6" t="s">
        <v>6220</v>
      </c>
      <c r="E5333" s="6" t="s">
        <v>5332</v>
      </c>
      <c r="F5333" s="129" t="s">
        <v>8125</v>
      </c>
      <c r="G5333" s="57" t="s">
        <v>11450</v>
      </c>
      <c r="H5333" s="54">
        <v>0</v>
      </c>
      <c r="I5333" s="16">
        <v>470000000</v>
      </c>
      <c r="J5333" s="56" t="s">
        <v>229</v>
      </c>
      <c r="K5333" s="57" t="s">
        <v>641</v>
      </c>
      <c r="L5333" s="12" t="s">
        <v>404</v>
      </c>
      <c r="M5333" s="3" t="s">
        <v>230</v>
      </c>
      <c r="N5333" s="8" t="s">
        <v>9479</v>
      </c>
      <c r="O5333" s="6" t="s">
        <v>365</v>
      </c>
      <c r="P5333" s="58">
        <v>796</v>
      </c>
      <c r="Q5333" s="26" t="s">
        <v>234</v>
      </c>
      <c r="R5333" s="26">
        <v>2</v>
      </c>
      <c r="S5333" s="59">
        <v>191659</v>
      </c>
      <c r="T5333" s="4">
        <v>0</v>
      </c>
      <c r="U5333" s="4">
        <f t="shared" si="232"/>
        <v>0</v>
      </c>
      <c r="V5333" s="3"/>
      <c r="W5333" s="3">
        <v>2014</v>
      </c>
      <c r="X5333" s="3">
        <v>11</v>
      </c>
    </row>
    <row r="5334" spans="1:24" ht="114.75">
      <c r="A5334" s="3" t="s">
        <v>12883</v>
      </c>
      <c r="B5334" s="6" t="s">
        <v>361</v>
      </c>
      <c r="C5334" s="6" t="s">
        <v>6219</v>
      </c>
      <c r="D5334" s="6" t="s">
        <v>6220</v>
      </c>
      <c r="E5334" s="6" t="s">
        <v>5332</v>
      </c>
      <c r="F5334" s="129" t="s">
        <v>8125</v>
      </c>
      <c r="G5334" s="57" t="s">
        <v>11450</v>
      </c>
      <c r="H5334" s="54">
        <v>0</v>
      </c>
      <c r="I5334" s="16">
        <v>470000000</v>
      </c>
      <c r="J5334" s="56" t="s">
        <v>229</v>
      </c>
      <c r="K5334" s="57" t="s">
        <v>9453</v>
      </c>
      <c r="L5334" s="12" t="s">
        <v>404</v>
      </c>
      <c r="M5334" s="3" t="s">
        <v>230</v>
      </c>
      <c r="N5334" s="8" t="s">
        <v>9479</v>
      </c>
      <c r="O5334" s="6" t="s">
        <v>365</v>
      </c>
      <c r="P5334" s="58">
        <v>796</v>
      </c>
      <c r="Q5334" s="26" t="s">
        <v>234</v>
      </c>
      <c r="R5334" s="26">
        <v>2</v>
      </c>
      <c r="S5334" s="59">
        <v>191659</v>
      </c>
      <c r="T5334" s="4">
        <v>0</v>
      </c>
      <c r="U5334" s="4">
        <f>T5334*1.12</f>
        <v>0</v>
      </c>
      <c r="V5334" s="3"/>
      <c r="W5334" s="3">
        <v>2014</v>
      </c>
      <c r="X5334" s="3" t="s">
        <v>12076</v>
      </c>
    </row>
    <row r="5335" spans="1:24" ht="114.75">
      <c r="A5335" s="3" t="s">
        <v>2184</v>
      </c>
      <c r="B5335" s="6" t="s">
        <v>361</v>
      </c>
      <c r="C5335" s="6" t="s">
        <v>6221</v>
      </c>
      <c r="D5335" s="6" t="s">
        <v>6222</v>
      </c>
      <c r="E5335" s="6" t="s">
        <v>6223</v>
      </c>
      <c r="F5335" s="129" t="s">
        <v>8126</v>
      </c>
      <c r="G5335" s="57" t="s">
        <v>11450</v>
      </c>
      <c r="H5335" s="54">
        <v>0</v>
      </c>
      <c r="I5335" s="16">
        <v>470000000</v>
      </c>
      <c r="J5335" s="56" t="s">
        <v>229</v>
      </c>
      <c r="K5335" s="57" t="s">
        <v>641</v>
      </c>
      <c r="L5335" s="12" t="s">
        <v>404</v>
      </c>
      <c r="M5335" s="3" t="s">
        <v>230</v>
      </c>
      <c r="N5335" s="8" t="s">
        <v>9479</v>
      </c>
      <c r="O5335" s="6" t="s">
        <v>365</v>
      </c>
      <c r="P5335" s="58">
        <v>796</v>
      </c>
      <c r="Q5335" s="26" t="s">
        <v>234</v>
      </c>
      <c r="R5335" s="26">
        <v>2</v>
      </c>
      <c r="S5335" s="59">
        <v>158102</v>
      </c>
      <c r="T5335" s="4">
        <v>0</v>
      </c>
      <c r="U5335" s="4">
        <f t="shared" si="232"/>
        <v>0</v>
      </c>
      <c r="V5335" s="3"/>
      <c r="W5335" s="3">
        <v>2014</v>
      </c>
      <c r="X5335" s="3">
        <v>11</v>
      </c>
    </row>
    <row r="5336" spans="1:24" ht="114.75">
      <c r="A5336" s="3" t="s">
        <v>12884</v>
      </c>
      <c r="B5336" s="6" t="s">
        <v>361</v>
      </c>
      <c r="C5336" s="6" t="s">
        <v>6221</v>
      </c>
      <c r="D5336" s="6" t="s">
        <v>6222</v>
      </c>
      <c r="E5336" s="6" t="s">
        <v>6223</v>
      </c>
      <c r="F5336" s="129" t="s">
        <v>8126</v>
      </c>
      <c r="G5336" s="57" t="s">
        <v>11450</v>
      </c>
      <c r="H5336" s="54">
        <v>0</v>
      </c>
      <c r="I5336" s="16">
        <v>470000000</v>
      </c>
      <c r="J5336" s="56" t="s">
        <v>229</v>
      </c>
      <c r="K5336" s="57" t="s">
        <v>9453</v>
      </c>
      <c r="L5336" s="12" t="s">
        <v>404</v>
      </c>
      <c r="M5336" s="3" t="s">
        <v>230</v>
      </c>
      <c r="N5336" s="8" t="s">
        <v>9479</v>
      </c>
      <c r="O5336" s="6" t="s">
        <v>365</v>
      </c>
      <c r="P5336" s="58">
        <v>796</v>
      </c>
      <c r="Q5336" s="26" t="s">
        <v>234</v>
      </c>
      <c r="R5336" s="26">
        <v>2</v>
      </c>
      <c r="S5336" s="59">
        <v>158102</v>
      </c>
      <c r="T5336" s="4">
        <v>0</v>
      </c>
      <c r="U5336" s="4">
        <f>T5336*1.12</f>
        <v>0</v>
      </c>
      <c r="V5336" s="3"/>
      <c r="W5336" s="3">
        <v>2014</v>
      </c>
      <c r="X5336" s="3" t="s">
        <v>12076</v>
      </c>
    </row>
    <row r="5337" spans="1:24" ht="114.75">
      <c r="A5337" s="3" t="s">
        <v>2185</v>
      </c>
      <c r="B5337" s="6" t="s">
        <v>361</v>
      </c>
      <c r="C5337" s="6" t="s">
        <v>5538</v>
      </c>
      <c r="D5337" s="6" t="s">
        <v>451</v>
      </c>
      <c r="E5337" s="6" t="s">
        <v>5539</v>
      </c>
      <c r="F5337" s="129" t="s">
        <v>6224</v>
      </c>
      <c r="G5337" s="57" t="s">
        <v>11450</v>
      </c>
      <c r="H5337" s="54">
        <v>0</v>
      </c>
      <c r="I5337" s="16">
        <v>470000000</v>
      </c>
      <c r="J5337" s="56" t="s">
        <v>229</v>
      </c>
      <c r="K5337" s="57" t="s">
        <v>641</v>
      </c>
      <c r="L5337" s="12" t="s">
        <v>404</v>
      </c>
      <c r="M5337" s="3" t="s">
        <v>230</v>
      </c>
      <c r="N5337" s="8" t="s">
        <v>9479</v>
      </c>
      <c r="O5337" s="6" t="s">
        <v>365</v>
      </c>
      <c r="P5337" s="58">
        <v>796</v>
      </c>
      <c r="Q5337" s="26" t="s">
        <v>234</v>
      </c>
      <c r="R5337" s="26">
        <v>1</v>
      </c>
      <c r="S5337" s="59">
        <v>69964.289999999994</v>
      </c>
      <c r="T5337" s="4">
        <v>0</v>
      </c>
      <c r="U5337" s="4">
        <f t="shared" si="232"/>
        <v>0</v>
      </c>
      <c r="V5337" s="3"/>
      <c r="W5337" s="3">
        <v>2014</v>
      </c>
      <c r="X5337" s="3">
        <v>11</v>
      </c>
    </row>
    <row r="5338" spans="1:24" ht="114.75">
      <c r="A5338" s="3" t="s">
        <v>12885</v>
      </c>
      <c r="B5338" s="6" t="s">
        <v>361</v>
      </c>
      <c r="C5338" s="6" t="s">
        <v>5538</v>
      </c>
      <c r="D5338" s="6" t="s">
        <v>451</v>
      </c>
      <c r="E5338" s="6" t="s">
        <v>5539</v>
      </c>
      <c r="F5338" s="129" t="s">
        <v>6224</v>
      </c>
      <c r="G5338" s="57" t="s">
        <v>11450</v>
      </c>
      <c r="H5338" s="54">
        <v>0</v>
      </c>
      <c r="I5338" s="16">
        <v>470000000</v>
      </c>
      <c r="J5338" s="56" t="s">
        <v>229</v>
      </c>
      <c r="K5338" s="57" t="s">
        <v>9453</v>
      </c>
      <c r="L5338" s="12" t="s">
        <v>404</v>
      </c>
      <c r="M5338" s="3" t="s">
        <v>230</v>
      </c>
      <c r="N5338" s="8" t="s">
        <v>9479</v>
      </c>
      <c r="O5338" s="6" t="s">
        <v>365</v>
      </c>
      <c r="P5338" s="58">
        <v>796</v>
      </c>
      <c r="Q5338" s="26" t="s">
        <v>234</v>
      </c>
      <c r="R5338" s="26">
        <v>1</v>
      </c>
      <c r="S5338" s="59">
        <v>69964.289999999994</v>
      </c>
      <c r="T5338" s="4">
        <v>0</v>
      </c>
      <c r="U5338" s="4">
        <f>T5338*1.12</f>
        <v>0</v>
      </c>
      <c r="V5338" s="3"/>
      <c r="W5338" s="3">
        <v>2014</v>
      </c>
      <c r="X5338" s="3" t="s">
        <v>12076</v>
      </c>
    </row>
    <row r="5339" spans="1:24" ht="114.75">
      <c r="A5339" s="3" t="s">
        <v>2186</v>
      </c>
      <c r="B5339" s="6" t="s">
        <v>361</v>
      </c>
      <c r="C5339" s="6" t="s">
        <v>6209</v>
      </c>
      <c r="D5339" s="6" t="s">
        <v>450</v>
      </c>
      <c r="E5339" s="6" t="s">
        <v>5183</v>
      </c>
      <c r="F5339" s="129" t="s">
        <v>6225</v>
      </c>
      <c r="G5339" s="57" t="s">
        <v>11450</v>
      </c>
      <c r="H5339" s="54">
        <v>0</v>
      </c>
      <c r="I5339" s="16">
        <v>470000000</v>
      </c>
      <c r="J5339" s="56" t="s">
        <v>229</v>
      </c>
      <c r="K5339" s="57" t="s">
        <v>641</v>
      </c>
      <c r="L5339" s="12" t="s">
        <v>404</v>
      </c>
      <c r="M5339" s="3" t="s">
        <v>230</v>
      </c>
      <c r="N5339" s="8" t="s">
        <v>9479</v>
      </c>
      <c r="O5339" s="6" t="s">
        <v>365</v>
      </c>
      <c r="P5339" s="58">
        <v>796</v>
      </c>
      <c r="Q5339" s="26" t="s">
        <v>234</v>
      </c>
      <c r="R5339" s="26">
        <v>1</v>
      </c>
      <c r="S5339" s="59">
        <v>278307.90000000002</v>
      </c>
      <c r="T5339" s="4">
        <v>0</v>
      </c>
      <c r="U5339" s="4">
        <f t="shared" si="232"/>
        <v>0</v>
      </c>
      <c r="V5339" s="3"/>
      <c r="W5339" s="3">
        <v>2014</v>
      </c>
      <c r="X5339" s="3">
        <v>11</v>
      </c>
    </row>
    <row r="5340" spans="1:24" ht="114.75">
      <c r="A5340" s="3" t="s">
        <v>12886</v>
      </c>
      <c r="B5340" s="6" t="s">
        <v>361</v>
      </c>
      <c r="C5340" s="6" t="s">
        <v>6209</v>
      </c>
      <c r="D5340" s="6" t="s">
        <v>450</v>
      </c>
      <c r="E5340" s="6" t="s">
        <v>5183</v>
      </c>
      <c r="F5340" s="129" t="s">
        <v>6225</v>
      </c>
      <c r="G5340" s="57" t="s">
        <v>11450</v>
      </c>
      <c r="H5340" s="54">
        <v>0</v>
      </c>
      <c r="I5340" s="16">
        <v>470000000</v>
      </c>
      <c r="J5340" s="56" t="s">
        <v>229</v>
      </c>
      <c r="K5340" s="57" t="s">
        <v>9453</v>
      </c>
      <c r="L5340" s="12" t="s">
        <v>404</v>
      </c>
      <c r="M5340" s="3" t="s">
        <v>230</v>
      </c>
      <c r="N5340" s="8" t="s">
        <v>9479</v>
      </c>
      <c r="O5340" s="6" t="s">
        <v>365</v>
      </c>
      <c r="P5340" s="58">
        <v>796</v>
      </c>
      <c r="Q5340" s="26" t="s">
        <v>234</v>
      </c>
      <c r="R5340" s="26">
        <v>1</v>
      </c>
      <c r="S5340" s="59">
        <v>278307.90000000002</v>
      </c>
      <c r="T5340" s="4">
        <v>0</v>
      </c>
      <c r="U5340" s="4">
        <f>T5340*1.12</f>
        <v>0</v>
      </c>
      <c r="V5340" s="3"/>
      <c r="W5340" s="3">
        <v>2014</v>
      </c>
      <c r="X5340" s="3" t="s">
        <v>12076</v>
      </c>
    </row>
    <row r="5341" spans="1:24" ht="114.75">
      <c r="A5341" s="3" t="s">
        <v>2187</v>
      </c>
      <c r="B5341" s="6" t="s">
        <v>361</v>
      </c>
      <c r="C5341" s="6" t="s">
        <v>6226</v>
      </c>
      <c r="D5341" s="6" t="s">
        <v>6227</v>
      </c>
      <c r="E5341" s="6" t="s">
        <v>6228</v>
      </c>
      <c r="F5341" s="129" t="s">
        <v>6229</v>
      </c>
      <c r="G5341" s="57" t="s">
        <v>11450</v>
      </c>
      <c r="H5341" s="54">
        <v>0</v>
      </c>
      <c r="I5341" s="16">
        <v>470000000</v>
      </c>
      <c r="J5341" s="56" t="s">
        <v>229</v>
      </c>
      <c r="K5341" s="57" t="s">
        <v>641</v>
      </c>
      <c r="L5341" s="12" t="s">
        <v>404</v>
      </c>
      <c r="M5341" s="3" t="s">
        <v>230</v>
      </c>
      <c r="N5341" s="8" t="s">
        <v>9479</v>
      </c>
      <c r="O5341" s="6" t="s">
        <v>365</v>
      </c>
      <c r="P5341" s="58">
        <v>796</v>
      </c>
      <c r="Q5341" s="26" t="s">
        <v>234</v>
      </c>
      <c r="R5341" s="26">
        <v>2</v>
      </c>
      <c r="S5341" s="59">
        <v>566415</v>
      </c>
      <c r="T5341" s="4">
        <v>0</v>
      </c>
      <c r="U5341" s="4">
        <f t="shared" si="232"/>
        <v>0</v>
      </c>
      <c r="V5341" s="3"/>
      <c r="W5341" s="3">
        <v>2014</v>
      </c>
      <c r="X5341" s="3">
        <v>11</v>
      </c>
    </row>
    <row r="5342" spans="1:24" ht="114.75">
      <c r="A5342" s="3" t="s">
        <v>12887</v>
      </c>
      <c r="B5342" s="6" t="s">
        <v>361</v>
      </c>
      <c r="C5342" s="6" t="s">
        <v>6226</v>
      </c>
      <c r="D5342" s="6" t="s">
        <v>6227</v>
      </c>
      <c r="E5342" s="6" t="s">
        <v>6228</v>
      </c>
      <c r="F5342" s="129" t="s">
        <v>6229</v>
      </c>
      <c r="G5342" s="57" t="s">
        <v>11450</v>
      </c>
      <c r="H5342" s="54">
        <v>0</v>
      </c>
      <c r="I5342" s="16">
        <v>470000000</v>
      </c>
      <c r="J5342" s="56" t="s">
        <v>229</v>
      </c>
      <c r="K5342" s="57" t="s">
        <v>9453</v>
      </c>
      <c r="L5342" s="12" t="s">
        <v>404</v>
      </c>
      <c r="M5342" s="3" t="s">
        <v>230</v>
      </c>
      <c r="N5342" s="8" t="s">
        <v>9479</v>
      </c>
      <c r="O5342" s="6" t="s">
        <v>365</v>
      </c>
      <c r="P5342" s="58">
        <v>796</v>
      </c>
      <c r="Q5342" s="26" t="s">
        <v>234</v>
      </c>
      <c r="R5342" s="26">
        <v>2</v>
      </c>
      <c r="S5342" s="59">
        <v>566415</v>
      </c>
      <c r="T5342" s="4">
        <v>0</v>
      </c>
      <c r="U5342" s="4">
        <f>T5342*1.12</f>
        <v>0</v>
      </c>
      <c r="V5342" s="3"/>
      <c r="W5342" s="3">
        <v>2014</v>
      </c>
      <c r="X5342" s="3" t="s">
        <v>12076</v>
      </c>
    </row>
    <row r="5343" spans="1:24" ht="114.75">
      <c r="A5343" s="3" t="s">
        <v>2188</v>
      </c>
      <c r="B5343" s="6" t="s">
        <v>361</v>
      </c>
      <c r="C5343" s="6" t="s">
        <v>6209</v>
      </c>
      <c r="D5343" s="6" t="s">
        <v>450</v>
      </c>
      <c r="E5343" s="6" t="s">
        <v>5183</v>
      </c>
      <c r="F5343" s="129" t="s">
        <v>6230</v>
      </c>
      <c r="G5343" s="57" t="s">
        <v>11450</v>
      </c>
      <c r="H5343" s="54">
        <v>0</v>
      </c>
      <c r="I5343" s="16">
        <v>470000000</v>
      </c>
      <c r="J5343" s="56" t="s">
        <v>229</v>
      </c>
      <c r="K5343" s="57" t="s">
        <v>641</v>
      </c>
      <c r="L5343" s="12" t="s">
        <v>404</v>
      </c>
      <c r="M5343" s="3" t="s">
        <v>230</v>
      </c>
      <c r="N5343" s="8" t="s">
        <v>9479</v>
      </c>
      <c r="O5343" s="6" t="s">
        <v>365</v>
      </c>
      <c r="P5343" s="58">
        <v>796</v>
      </c>
      <c r="Q5343" s="26" t="s">
        <v>234</v>
      </c>
      <c r="R5343" s="26">
        <v>1</v>
      </c>
      <c r="S5343" s="59">
        <v>47514</v>
      </c>
      <c r="T5343" s="4">
        <v>0</v>
      </c>
      <c r="U5343" s="4">
        <f t="shared" si="232"/>
        <v>0</v>
      </c>
      <c r="V5343" s="3"/>
      <c r="W5343" s="3">
        <v>2014</v>
      </c>
      <c r="X5343" s="3">
        <v>11</v>
      </c>
    </row>
    <row r="5344" spans="1:24" ht="114.75">
      <c r="A5344" s="3" t="s">
        <v>12888</v>
      </c>
      <c r="B5344" s="6" t="s">
        <v>361</v>
      </c>
      <c r="C5344" s="6" t="s">
        <v>6209</v>
      </c>
      <c r="D5344" s="6" t="s">
        <v>450</v>
      </c>
      <c r="E5344" s="6" t="s">
        <v>5183</v>
      </c>
      <c r="F5344" s="129" t="s">
        <v>6230</v>
      </c>
      <c r="G5344" s="57" t="s">
        <v>11450</v>
      </c>
      <c r="H5344" s="54">
        <v>0</v>
      </c>
      <c r="I5344" s="16">
        <v>470000000</v>
      </c>
      <c r="J5344" s="56" t="s">
        <v>229</v>
      </c>
      <c r="K5344" s="57" t="s">
        <v>9453</v>
      </c>
      <c r="L5344" s="12" t="s">
        <v>404</v>
      </c>
      <c r="M5344" s="3" t="s">
        <v>230</v>
      </c>
      <c r="N5344" s="8" t="s">
        <v>9479</v>
      </c>
      <c r="O5344" s="6" t="s">
        <v>365</v>
      </c>
      <c r="P5344" s="58">
        <v>796</v>
      </c>
      <c r="Q5344" s="26" t="s">
        <v>234</v>
      </c>
      <c r="R5344" s="26">
        <v>1</v>
      </c>
      <c r="S5344" s="59">
        <v>47514</v>
      </c>
      <c r="T5344" s="4">
        <v>0</v>
      </c>
      <c r="U5344" s="4">
        <f>T5344*1.12</f>
        <v>0</v>
      </c>
      <c r="V5344" s="3"/>
      <c r="W5344" s="3">
        <v>2014</v>
      </c>
      <c r="X5344" s="3" t="s">
        <v>12076</v>
      </c>
    </row>
    <row r="5345" spans="1:24" ht="114.75">
      <c r="A5345" s="3" t="s">
        <v>2189</v>
      </c>
      <c r="B5345" s="6" t="s">
        <v>361</v>
      </c>
      <c r="C5345" s="6" t="s">
        <v>6231</v>
      </c>
      <c r="D5345" s="6" t="s">
        <v>6232</v>
      </c>
      <c r="E5345" s="6" t="s">
        <v>6233</v>
      </c>
      <c r="F5345" s="129" t="s">
        <v>6234</v>
      </c>
      <c r="G5345" s="57" t="s">
        <v>11450</v>
      </c>
      <c r="H5345" s="54">
        <v>0</v>
      </c>
      <c r="I5345" s="16">
        <v>470000000</v>
      </c>
      <c r="J5345" s="56" t="s">
        <v>229</v>
      </c>
      <c r="K5345" s="57" t="s">
        <v>641</v>
      </c>
      <c r="L5345" s="12" t="s">
        <v>404</v>
      </c>
      <c r="M5345" s="3" t="s">
        <v>230</v>
      </c>
      <c r="N5345" s="8" t="s">
        <v>9479</v>
      </c>
      <c r="O5345" s="6" t="s">
        <v>365</v>
      </c>
      <c r="P5345" s="58">
        <v>796</v>
      </c>
      <c r="Q5345" s="26" t="s">
        <v>234</v>
      </c>
      <c r="R5345" s="26">
        <v>6</v>
      </c>
      <c r="S5345" s="59">
        <v>23426.15</v>
      </c>
      <c r="T5345" s="4">
        <v>0</v>
      </c>
      <c r="U5345" s="4">
        <f t="shared" si="232"/>
        <v>0</v>
      </c>
      <c r="V5345" s="3"/>
      <c r="W5345" s="3">
        <v>2014</v>
      </c>
      <c r="X5345" s="3">
        <v>11</v>
      </c>
    </row>
    <row r="5346" spans="1:24" ht="114.75">
      <c r="A5346" s="3" t="s">
        <v>12889</v>
      </c>
      <c r="B5346" s="6" t="s">
        <v>361</v>
      </c>
      <c r="C5346" s="6" t="s">
        <v>6231</v>
      </c>
      <c r="D5346" s="6" t="s">
        <v>6232</v>
      </c>
      <c r="E5346" s="6" t="s">
        <v>6233</v>
      </c>
      <c r="F5346" s="129" t="s">
        <v>6234</v>
      </c>
      <c r="G5346" s="57" t="s">
        <v>11450</v>
      </c>
      <c r="H5346" s="54">
        <v>0</v>
      </c>
      <c r="I5346" s="16">
        <v>470000000</v>
      </c>
      <c r="J5346" s="56" t="s">
        <v>229</v>
      </c>
      <c r="K5346" s="57" t="s">
        <v>9453</v>
      </c>
      <c r="L5346" s="12" t="s">
        <v>404</v>
      </c>
      <c r="M5346" s="3" t="s">
        <v>230</v>
      </c>
      <c r="N5346" s="8" t="s">
        <v>9479</v>
      </c>
      <c r="O5346" s="6" t="s">
        <v>365</v>
      </c>
      <c r="P5346" s="58">
        <v>796</v>
      </c>
      <c r="Q5346" s="26" t="s">
        <v>234</v>
      </c>
      <c r="R5346" s="26">
        <v>6</v>
      </c>
      <c r="S5346" s="59">
        <v>23426.15</v>
      </c>
      <c r="T5346" s="4">
        <v>0</v>
      </c>
      <c r="U5346" s="4">
        <f>T5346*1.12</f>
        <v>0</v>
      </c>
      <c r="V5346" s="3"/>
      <c r="W5346" s="3">
        <v>2014</v>
      </c>
      <c r="X5346" s="3" t="s">
        <v>12076</v>
      </c>
    </row>
    <row r="5347" spans="1:24" ht="114.75">
      <c r="A5347" s="3" t="s">
        <v>2190</v>
      </c>
      <c r="B5347" s="6" t="s">
        <v>361</v>
      </c>
      <c r="C5347" s="6" t="s">
        <v>6597</v>
      </c>
      <c r="D5347" s="6" t="s">
        <v>6598</v>
      </c>
      <c r="E5347" s="6" t="s">
        <v>6599</v>
      </c>
      <c r="F5347" s="129" t="s">
        <v>6235</v>
      </c>
      <c r="G5347" s="57" t="s">
        <v>11450</v>
      </c>
      <c r="H5347" s="54">
        <v>0</v>
      </c>
      <c r="I5347" s="16">
        <v>470000000</v>
      </c>
      <c r="J5347" s="56" t="s">
        <v>229</v>
      </c>
      <c r="K5347" s="57" t="s">
        <v>641</v>
      </c>
      <c r="L5347" s="12" t="s">
        <v>404</v>
      </c>
      <c r="M5347" s="3" t="s">
        <v>230</v>
      </c>
      <c r="N5347" s="8" t="s">
        <v>9479</v>
      </c>
      <c r="O5347" s="6" t="s">
        <v>365</v>
      </c>
      <c r="P5347" s="58">
        <v>839</v>
      </c>
      <c r="Q5347" s="26" t="s">
        <v>239</v>
      </c>
      <c r="R5347" s="26">
        <v>2</v>
      </c>
      <c r="S5347" s="59">
        <v>218113.1</v>
      </c>
      <c r="T5347" s="4">
        <v>0</v>
      </c>
      <c r="U5347" s="4">
        <f t="shared" si="232"/>
        <v>0</v>
      </c>
      <c r="V5347" s="3"/>
      <c r="W5347" s="3">
        <v>2014</v>
      </c>
      <c r="X5347" s="3">
        <v>11</v>
      </c>
    </row>
    <row r="5348" spans="1:24" ht="114.75">
      <c r="A5348" s="3" t="s">
        <v>12890</v>
      </c>
      <c r="B5348" s="6" t="s">
        <v>361</v>
      </c>
      <c r="C5348" s="6" t="s">
        <v>6597</v>
      </c>
      <c r="D5348" s="6" t="s">
        <v>6598</v>
      </c>
      <c r="E5348" s="6" t="s">
        <v>6599</v>
      </c>
      <c r="F5348" s="129" t="s">
        <v>6235</v>
      </c>
      <c r="G5348" s="57" t="s">
        <v>11450</v>
      </c>
      <c r="H5348" s="54">
        <v>0</v>
      </c>
      <c r="I5348" s="16">
        <v>470000000</v>
      </c>
      <c r="J5348" s="56" t="s">
        <v>229</v>
      </c>
      <c r="K5348" s="57" t="s">
        <v>9453</v>
      </c>
      <c r="L5348" s="12" t="s">
        <v>404</v>
      </c>
      <c r="M5348" s="3" t="s">
        <v>230</v>
      </c>
      <c r="N5348" s="8" t="s">
        <v>9479</v>
      </c>
      <c r="O5348" s="6" t="s">
        <v>365</v>
      </c>
      <c r="P5348" s="58">
        <v>839</v>
      </c>
      <c r="Q5348" s="26" t="s">
        <v>239</v>
      </c>
      <c r="R5348" s="26">
        <v>2</v>
      </c>
      <c r="S5348" s="59">
        <v>218113.1</v>
      </c>
      <c r="T5348" s="4">
        <v>0</v>
      </c>
      <c r="U5348" s="4">
        <f>T5348*1.12</f>
        <v>0</v>
      </c>
      <c r="V5348" s="3"/>
      <c r="W5348" s="3">
        <v>2014</v>
      </c>
      <c r="X5348" s="3" t="s">
        <v>12076</v>
      </c>
    </row>
    <row r="5349" spans="1:24" ht="114.75">
      <c r="A5349" s="3" t="s">
        <v>2191</v>
      </c>
      <c r="B5349" s="6" t="s">
        <v>361</v>
      </c>
      <c r="C5349" s="6" t="s">
        <v>7666</v>
      </c>
      <c r="D5349" s="6" t="s">
        <v>7667</v>
      </c>
      <c r="E5349" s="6" t="s">
        <v>7668</v>
      </c>
      <c r="F5349" s="129" t="s">
        <v>6236</v>
      </c>
      <c r="G5349" s="57" t="s">
        <v>11450</v>
      </c>
      <c r="H5349" s="54">
        <v>0</v>
      </c>
      <c r="I5349" s="16">
        <v>470000000</v>
      </c>
      <c r="J5349" s="56" t="s">
        <v>229</v>
      </c>
      <c r="K5349" s="57" t="s">
        <v>641</v>
      </c>
      <c r="L5349" s="12" t="s">
        <v>404</v>
      </c>
      <c r="M5349" s="3" t="s">
        <v>230</v>
      </c>
      <c r="N5349" s="8" t="s">
        <v>9479</v>
      </c>
      <c r="O5349" s="6" t="s">
        <v>365</v>
      </c>
      <c r="P5349" s="58">
        <v>839</v>
      </c>
      <c r="Q5349" s="26" t="s">
        <v>239</v>
      </c>
      <c r="R5349" s="26">
        <v>2</v>
      </c>
      <c r="S5349" s="59">
        <v>452318</v>
      </c>
      <c r="T5349" s="4">
        <v>0</v>
      </c>
      <c r="U5349" s="4">
        <f t="shared" si="232"/>
        <v>0</v>
      </c>
      <c r="V5349" s="3"/>
      <c r="W5349" s="3">
        <v>2014</v>
      </c>
      <c r="X5349" s="3">
        <v>11</v>
      </c>
    </row>
    <row r="5350" spans="1:24" ht="114.75">
      <c r="A5350" s="3" t="s">
        <v>12891</v>
      </c>
      <c r="B5350" s="6" t="s">
        <v>361</v>
      </c>
      <c r="C5350" s="6" t="s">
        <v>7666</v>
      </c>
      <c r="D5350" s="6" t="s">
        <v>7667</v>
      </c>
      <c r="E5350" s="6" t="s">
        <v>7668</v>
      </c>
      <c r="F5350" s="129" t="s">
        <v>6236</v>
      </c>
      <c r="G5350" s="57" t="s">
        <v>11450</v>
      </c>
      <c r="H5350" s="54">
        <v>0</v>
      </c>
      <c r="I5350" s="16">
        <v>470000000</v>
      </c>
      <c r="J5350" s="56" t="s">
        <v>229</v>
      </c>
      <c r="K5350" s="57" t="s">
        <v>9453</v>
      </c>
      <c r="L5350" s="12" t="s">
        <v>404</v>
      </c>
      <c r="M5350" s="3" t="s">
        <v>230</v>
      </c>
      <c r="N5350" s="8" t="s">
        <v>9479</v>
      </c>
      <c r="O5350" s="6" t="s">
        <v>365</v>
      </c>
      <c r="P5350" s="58">
        <v>839</v>
      </c>
      <c r="Q5350" s="26" t="s">
        <v>239</v>
      </c>
      <c r="R5350" s="26">
        <v>2</v>
      </c>
      <c r="S5350" s="59">
        <v>452318</v>
      </c>
      <c r="T5350" s="4">
        <v>0</v>
      </c>
      <c r="U5350" s="4">
        <f>T5350*1.12</f>
        <v>0</v>
      </c>
      <c r="V5350" s="3"/>
      <c r="W5350" s="3">
        <v>2014</v>
      </c>
      <c r="X5350" s="3" t="s">
        <v>12076</v>
      </c>
    </row>
    <row r="5351" spans="1:24" ht="114.75">
      <c r="A5351" s="3" t="s">
        <v>2192</v>
      </c>
      <c r="B5351" s="6" t="s">
        <v>361</v>
      </c>
      <c r="C5351" s="6" t="s">
        <v>5760</v>
      </c>
      <c r="D5351" s="6" t="s">
        <v>5761</v>
      </c>
      <c r="E5351" s="6" t="s">
        <v>5762</v>
      </c>
      <c r="F5351" s="30" t="s">
        <v>6237</v>
      </c>
      <c r="G5351" s="57" t="s">
        <v>11450</v>
      </c>
      <c r="H5351" s="54">
        <v>0</v>
      </c>
      <c r="I5351" s="16">
        <v>470000000</v>
      </c>
      <c r="J5351" s="56" t="s">
        <v>229</v>
      </c>
      <c r="K5351" s="57" t="s">
        <v>641</v>
      </c>
      <c r="L5351" s="12" t="s">
        <v>404</v>
      </c>
      <c r="M5351" s="3" t="s">
        <v>230</v>
      </c>
      <c r="N5351" s="8" t="s">
        <v>8899</v>
      </c>
      <c r="O5351" s="6" t="s">
        <v>365</v>
      </c>
      <c r="P5351" s="58">
        <v>796</v>
      </c>
      <c r="Q5351" s="31" t="s">
        <v>234</v>
      </c>
      <c r="R5351" s="32">
        <v>4</v>
      </c>
      <c r="S5351" s="59">
        <f>86029.69*1.07</f>
        <v>92051.768300000011</v>
      </c>
      <c r="T5351" s="4">
        <v>0</v>
      </c>
      <c r="U5351" s="4">
        <f t="shared" ref="U5351:U5395" si="235">T5351*1.12</f>
        <v>0</v>
      </c>
      <c r="V5351" s="3"/>
      <c r="W5351" s="3">
        <v>2014</v>
      </c>
      <c r="X5351" s="3">
        <v>11</v>
      </c>
    </row>
    <row r="5352" spans="1:24" ht="114.75">
      <c r="A5352" s="3" t="s">
        <v>12892</v>
      </c>
      <c r="B5352" s="6" t="s">
        <v>361</v>
      </c>
      <c r="C5352" s="6" t="s">
        <v>5760</v>
      </c>
      <c r="D5352" s="6" t="s">
        <v>5761</v>
      </c>
      <c r="E5352" s="6" t="s">
        <v>5762</v>
      </c>
      <c r="F5352" s="30" t="s">
        <v>6237</v>
      </c>
      <c r="G5352" s="57" t="s">
        <v>11450</v>
      </c>
      <c r="H5352" s="54">
        <v>0</v>
      </c>
      <c r="I5352" s="16">
        <v>470000000</v>
      </c>
      <c r="J5352" s="56" t="s">
        <v>229</v>
      </c>
      <c r="K5352" s="57" t="s">
        <v>9453</v>
      </c>
      <c r="L5352" s="12" t="s">
        <v>404</v>
      </c>
      <c r="M5352" s="3" t="s">
        <v>230</v>
      </c>
      <c r="N5352" s="8" t="s">
        <v>8899</v>
      </c>
      <c r="O5352" s="6" t="s">
        <v>365</v>
      </c>
      <c r="P5352" s="58">
        <v>796</v>
      </c>
      <c r="Q5352" s="31" t="s">
        <v>234</v>
      </c>
      <c r="R5352" s="32">
        <v>4</v>
      </c>
      <c r="S5352" s="59">
        <f>86029.69*1.07</f>
        <v>92051.768300000011</v>
      </c>
      <c r="T5352" s="4">
        <v>0</v>
      </c>
      <c r="U5352" s="4">
        <f>T5352*1.12</f>
        <v>0</v>
      </c>
      <c r="V5352" s="3"/>
      <c r="W5352" s="3">
        <v>2014</v>
      </c>
      <c r="X5352" s="3" t="s">
        <v>12076</v>
      </c>
    </row>
    <row r="5353" spans="1:24" ht="114.75">
      <c r="A5353" s="3" t="s">
        <v>2193</v>
      </c>
      <c r="B5353" s="6" t="s">
        <v>361</v>
      </c>
      <c r="C5353" s="6" t="s">
        <v>6238</v>
      </c>
      <c r="D5353" s="6" t="s">
        <v>6239</v>
      </c>
      <c r="E5353" s="6" t="s">
        <v>6240</v>
      </c>
      <c r="F5353" s="30" t="s">
        <v>6241</v>
      </c>
      <c r="G5353" s="57" t="s">
        <v>11450</v>
      </c>
      <c r="H5353" s="54">
        <v>0</v>
      </c>
      <c r="I5353" s="16">
        <v>470000000</v>
      </c>
      <c r="J5353" s="56" t="s">
        <v>229</v>
      </c>
      <c r="K5353" s="57" t="s">
        <v>641</v>
      </c>
      <c r="L5353" s="12" t="s">
        <v>404</v>
      </c>
      <c r="M5353" s="3" t="s">
        <v>230</v>
      </c>
      <c r="N5353" s="8" t="s">
        <v>8899</v>
      </c>
      <c r="O5353" s="6" t="s">
        <v>365</v>
      </c>
      <c r="P5353" s="58">
        <v>796</v>
      </c>
      <c r="Q5353" s="31" t="s">
        <v>234</v>
      </c>
      <c r="R5353" s="33">
        <v>40</v>
      </c>
      <c r="S5353" s="59">
        <f>6705.24*1.07</f>
        <v>7174.6068000000005</v>
      </c>
      <c r="T5353" s="4">
        <v>0</v>
      </c>
      <c r="U5353" s="4">
        <f t="shared" si="235"/>
        <v>0</v>
      </c>
      <c r="V5353" s="3"/>
      <c r="W5353" s="3">
        <v>2014</v>
      </c>
      <c r="X5353" s="3">
        <v>11</v>
      </c>
    </row>
    <row r="5354" spans="1:24" ht="114.75">
      <c r="A5354" s="3" t="s">
        <v>12893</v>
      </c>
      <c r="B5354" s="6" t="s">
        <v>361</v>
      </c>
      <c r="C5354" s="6" t="s">
        <v>6238</v>
      </c>
      <c r="D5354" s="6" t="s">
        <v>6239</v>
      </c>
      <c r="E5354" s="6" t="s">
        <v>6240</v>
      </c>
      <c r="F5354" s="30" t="s">
        <v>6241</v>
      </c>
      <c r="G5354" s="57" t="s">
        <v>11450</v>
      </c>
      <c r="H5354" s="54">
        <v>0</v>
      </c>
      <c r="I5354" s="16">
        <v>470000000</v>
      </c>
      <c r="J5354" s="56" t="s">
        <v>229</v>
      </c>
      <c r="K5354" s="57" t="s">
        <v>9453</v>
      </c>
      <c r="L5354" s="12" t="s">
        <v>404</v>
      </c>
      <c r="M5354" s="3" t="s">
        <v>230</v>
      </c>
      <c r="N5354" s="8" t="s">
        <v>8899</v>
      </c>
      <c r="O5354" s="6" t="s">
        <v>365</v>
      </c>
      <c r="P5354" s="58">
        <v>796</v>
      </c>
      <c r="Q5354" s="31" t="s">
        <v>234</v>
      </c>
      <c r="R5354" s="33">
        <v>0</v>
      </c>
      <c r="S5354" s="59">
        <f>6705.24*1.07</f>
        <v>7174.6068000000005</v>
      </c>
      <c r="T5354" s="4">
        <f>R5354*S5354</f>
        <v>0</v>
      </c>
      <c r="U5354" s="4">
        <f>T5354*1.12</f>
        <v>0</v>
      </c>
      <c r="V5354" s="3"/>
      <c r="W5354" s="3">
        <v>2014</v>
      </c>
      <c r="X5354" s="3" t="s">
        <v>12076</v>
      </c>
    </row>
    <row r="5355" spans="1:24" ht="114.75">
      <c r="A5355" s="3" t="s">
        <v>2194</v>
      </c>
      <c r="B5355" s="6" t="s">
        <v>361</v>
      </c>
      <c r="C5355" s="6" t="s">
        <v>6242</v>
      </c>
      <c r="D5355" s="6" t="s">
        <v>6243</v>
      </c>
      <c r="E5355" s="6" t="s">
        <v>5332</v>
      </c>
      <c r="F5355" s="129" t="s">
        <v>8127</v>
      </c>
      <c r="G5355" s="57" t="s">
        <v>11450</v>
      </c>
      <c r="H5355" s="54">
        <v>0</v>
      </c>
      <c r="I5355" s="16">
        <v>470000000</v>
      </c>
      <c r="J5355" s="56" t="s">
        <v>229</v>
      </c>
      <c r="K5355" s="57" t="s">
        <v>641</v>
      </c>
      <c r="L5355" s="12" t="s">
        <v>404</v>
      </c>
      <c r="M5355" s="3" t="s">
        <v>230</v>
      </c>
      <c r="N5355" s="8" t="s">
        <v>8899</v>
      </c>
      <c r="O5355" s="6" t="s">
        <v>365</v>
      </c>
      <c r="P5355" s="58">
        <v>796</v>
      </c>
      <c r="Q5355" s="31" t="s">
        <v>234</v>
      </c>
      <c r="R5355" s="39">
        <v>2</v>
      </c>
      <c r="S5355" s="59">
        <f>231488.56*1.07</f>
        <v>247692.7592</v>
      </c>
      <c r="T5355" s="4">
        <v>0</v>
      </c>
      <c r="U5355" s="4">
        <f t="shared" si="235"/>
        <v>0</v>
      </c>
      <c r="V5355" s="3"/>
      <c r="W5355" s="3">
        <v>2014</v>
      </c>
      <c r="X5355" s="3">
        <v>11</v>
      </c>
    </row>
    <row r="5356" spans="1:24" ht="114.75">
      <c r="A5356" s="3" t="s">
        <v>12894</v>
      </c>
      <c r="B5356" s="6" t="s">
        <v>361</v>
      </c>
      <c r="C5356" s="6" t="s">
        <v>6242</v>
      </c>
      <c r="D5356" s="6" t="s">
        <v>6243</v>
      </c>
      <c r="E5356" s="6" t="s">
        <v>5332</v>
      </c>
      <c r="F5356" s="129" t="s">
        <v>8127</v>
      </c>
      <c r="G5356" s="57" t="s">
        <v>11450</v>
      </c>
      <c r="H5356" s="54">
        <v>0</v>
      </c>
      <c r="I5356" s="16">
        <v>470000000</v>
      </c>
      <c r="J5356" s="56" t="s">
        <v>229</v>
      </c>
      <c r="K5356" s="57" t="s">
        <v>9453</v>
      </c>
      <c r="L5356" s="12" t="s">
        <v>404</v>
      </c>
      <c r="M5356" s="3" t="s">
        <v>230</v>
      </c>
      <c r="N5356" s="8" t="s">
        <v>8899</v>
      </c>
      <c r="O5356" s="6" t="s">
        <v>365</v>
      </c>
      <c r="P5356" s="58">
        <v>796</v>
      </c>
      <c r="Q5356" s="31" t="s">
        <v>234</v>
      </c>
      <c r="R5356" s="39">
        <v>2</v>
      </c>
      <c r="S5356" s="59">
        <f>231488.56*1.07</f>
        <v>247692.7592</v>
      </c>
      <c r="T5356" s="4">
        <v>0</v>
      </c>
      <c r="U5356" s="4">
        <f>T5356*1.12</f>
        <v>0</v>
      </c>
      <c r="V5356" s="3"/>
      <c r="W5356" s="3">
        <v>2014</v>
      </c>
      <c r="X5356" s="3" t="s">
        <v>12076</v>
      </c>
    </row>
    <row r="5357" spans="1:24" ht="114.75">
      <c r="A5357" s="3" t="s">
        <v>2195</v>
      </c>
      <c r="B5357" s="6" t="s">
        <v>361</v>
      </c>
      <c r="C5357" s="6" t="s">
        <v>5344</v>
      </c>
      <c r="D5357" s="6" t="s">
        <v>460</v>
      </c>
      <c r="E5357" s="6" t="s">
        <v>5345</v>
      </c>
      <c r="F5357" s="129" t="s">
        <v>8128</v>
      </c>
      <c r="G5357" s="57" t="s">
        <v>11450</v>
      </c>
      <c r="H5357" s="54">
        <v>0</v>
      </c>
      <c r="I5357" s="16">
        <v>470000000</v>
      </c>
      <c r="J5357" s="56" t="s">
        <v>229</v>
      </c>
      <c r="K5357" s="57" t="s">
        <v>641</v>
      </c>
      <c r="L5357" s="12" t="s">
        <v>404</v>
      </c>
      <c r="M5357" s="3" t="s">
        <v>230</v>
      </c>
      <c r="N5357" s="8" t="s">
        <v>8899</v>
      </c>
      <c r="O5357" s="6" t="s">
        <v>365</v>
      </c>
      <c r="P5357" s="58">
        <v>796</v>
      </c>
      <c r="Q5357" s="31" t="s">
        <v>234</v>
      </c>
      <c r="R5357" s="32">
        <v>200</v>
      </c>
      <c r="S5357" s="59">
        <f>1529.0383*1.07</f>
        <v>1636.0709810000001</v>
      </c>
      <c r="T5357" s="4">
        <v>0</v>
      </c>
      <c r="U5357" s="4">
        <f t="shared" si="235"/>
        <v>0</v>
      </c>
      <c r="V5357" s="3"/>
      <c r="W5357" s="3">
        <v>2014</v>
      </c>
      <c r="X5357" s="3">
        <v>11</v>
      </c>
    </row>
    <row r="5358" spans="1:24" ht="114.75">
      <c r="A5358" s="3" t="s">
        <v>12895</v>
      </c>
      <c r="B5358" s="6" t="s">
        <v>361</v>
      </c>
      <c r="C5358" s="6" t="s">
        <v>5344</v>
      </c>
      <c r="D5358" s="6" t="s">
        <v>460</v>
      </c>
      <c r="E5358" s="6" t="s">
        <v>5345</v>
      </c>
      <c r="F5358" s="129" t="s">
        <v>8128</v>
      </c>
      <c r="G5358" s="57" t="s">
        <v>11450</v>
      </c>
      <c r="H5358" s="54">
        <v>0</v>
      </c>
      <c r="I5358" s="16">
        <v>470000000</v>
      </c>
      <c r="J5358" s="56" t="s">
        <v>229</v>
      </c>
      <c r="K5358" s="57" t="s">
        <v>9453</v>
      </c>
      <c r="L5358" s="12" t="s">
        <v>404</v>
      </c>
      <c r="M5358" s="3" t="s">
        <v>230</v>
      </c>
      <c r="N5358" s="8" t="s">
        <v>8899</v>
      </c>
      <c r="O5358" s="6" t="s">
        <v>365</v>
      </c>
      <c r="P5358" s="58">
        <v>796</v>
      </c>
      <c r="Q5358" s="31" t="s">
        <v>234</v>
      </c>
      <c r="R5358" s="32">
        <v>0</v>
      </c>
      <c r="S5358" s="59">
        <f>1529.0383*1.07</f>
        <v>1636.0709810000001</v>
      </c>
      <c r="T5358" s="4">
        <f>R5358*S5358</f>
        <v>0</v>
      </c>
      <c r="U5358" s="4">
        <f>T5358*1.12</f>
        <v>0</v>
      </c>
      <c r="V5358" s="3"/>
      <c r="W5358" s="3">
        <v>2014</v>
      </c>
      <c r="X5358" s="3" t="s">
        <v>12076</v>
      </c>
    </row>
    <row r="5359" spans="1:24" ht="114.75">
      <c r="A5359" s="3" t="s">
        <v>2196</v>
      </c>
      <c r="B5359" s="6" t="s">
        <v>361</v>
      </c>
      <c r="C5359" s="6" t="s">
        <v>6265</v>
      </c>
      <c r="D5359" s="6" t="s">
        <v>3385</v>
      </c>
      <c r="E5359" s="6" t="s">
        <v>6266</v>
      </c>
      <c r="F5359" s="129" t="s">
        <v>6244</v>
      </c>
      <c r="G5359" s="57" t="s">
        <v>11450</v>
      </c>
      <c r="H5359" s="54">
        <v>0</v>
      </c>
      <c r="I5359" s="16">
        <v>470000000</v>
      </c>
      <c r="J5359" s="56" t="s">
        <v>229</v>
      </c>
      <c r="K5359" s="57" t="s">
        <v>641</v>
      </c>
      <c r="L5359" s="12" t="s">
        <v>404</v>
      </c>
      <c r="M5359" s="3" t="s">
        <v>230</v>
      </c>
      <c r="N5359" s="8" t="s">
        <v>8899</v>
      </c>
      <c r="O5359" s="6" t="s">
        <v>365</v>
      </c>
      <c r="P5359" s="58">
        <v>796</v>
      </c>
      <c r="Q5359" s="31" t="s">
        <v>234</v>
      </c>
      <c r="R5359" s="32">
        <v>20</v>
      </c>
      <c r="S5359" s="59">
        <f>8239.9185*1.07</f>
        <v>8816.7127949999995</v>
      </c>
      <c r="T5359" s="4">
        <v>0</v>
      </c>
      <c r="U5359" s="4">
        <f t="shared" si="235"/>
        <v>0</v>
      </c>
      <c r="V5359" s="3"/>
      <c r="W5359" s="3">
        <v>2014</v>
      </c>
      <c r="X5359" s="3">
        <v>11</v>
      </c>
    </row>
    <row r="5360" spans="1:24" ht="114.75">
      <c r="A5360" s="3" t="s">
        <v>12896</v>
      </c>
      <c r="B5360" s="6" t="s">
        <v>361</v>
      </c>
      <c r="C5360" s="6" t="s">
        <v>6265</v>
      </c>
      <c r="D5360" s="6" t="s">
        <v>3385</v>
      </c>
      <c r="E5360" s="6" t="s">
        <v>6266</v>
      </c>
      <c r="F5360" s="129" t="s">
        <v>6244</v>
      </c>
      <c r="G5360" s="57" t="s">
        <v>11450</v>
      </c>
      <c r="H5360" s="54">
        <v>0</v>
      </c>
      <c r="I5360" s="16">
        <v>470000000</v>
      </c>
      <c r="J5360" s="56" t="s">
        <v>229</v>
      </c>
      <c r="K5360" s="57" t="s">
        <v>9453</v>
      </c>
      <c r="L5360" s="12" t="s">
        <v>404</v>
      </c>
      <c r="M5360" s="3" t="s">
        <v>230</v>
      </c>
      <c r="N5360" s="8" t="s">
        <v>8899</v>
      </c>
      <c r="O5360" s="6" t="s">
        <v>365</v>
      </c>
      <c r="P5360" s="58">
        <v>796</v>
      </c>
      <c r="Q5360" s="31" t="s">
        <v>234</v>
      </c>
      <c r="R5360" s="32">
        <v>0</v>
      </c>
      <c r="S5360" s="59">
        <f>8239.9185*1.07</f>
        <v>8816.7127949999995</v>
      </c>
      <c r="T5360" s="4">
        <f>R5360*S5360</f>
        <v>0</v>
      </c>
      <c r="U5360" s="4">
        <f>T5360*1.12</f>
        <v>0</v>
      </c>
      <c r="V5360" s="3"/>
      <c r="W5360" s="3">
        <v>2014</v>
      </c>
      <c r="X5360" s="3" t="s">
        <v>12076</v>
      </c>
    </row>
    <row r="5361" spans="1:24" ht="114.75">
      <c r="A5361" s="3" t="s">
        <v>2197</v>
      </c>
      <c r="B5361" s="6" t="s">
        <v>361</v>
      </c>
      <c r="C5361" s="6" t="s">
        <v>6245</v>
      </c>
      <c r="D5361" s="6" t="s">
        <v>6246</v>
      </c>
      <c r="E5361" s="6" t="s">
        <v>6247</v>
      </c>
      <c r="F5361" s="129" t="s">
        <v>6248</v>
      </c>
      <c r="G5361" s="57" t="s">
        <v>11450</v>
      </c>
      <c r="H5361" s="54">
        <v>0</v>
      </c>
      <c r="I5361" s="16">
        <v>470000000</v>
      </c>
      <c r="J5361" s="56" t="s">
        <v>229</v>
      </c>
      <c r="K5361" s="57" t="s">
        <v>641</v>
      </c>
      <c r="L5361" s="12" t="s">
        <v>404</v>
      </c>
      <c r="M5361" s="3" t="s">
        <v>230</v>
      </c>
      <c r="N5361" s="8" t="s">
        <v>8899</v>
      </c>
      <c r="O5361" s="6" t="s">
        <v>365</v>
      </c>
      <c r="P5361" s="58">
        <v>796</v>
      </c>
      <c r="Q5361" s="31" t="s">
        <v>234</v>
      </c>
      <c r="R5361" s="32">
        <v>2</v>
      </c>
      <c r="S5361" s="59">
        <f>75303.456*1.07</f>
        <v>80574.697920000006</v>
      </c>
      <c r="T5361" s="4">
        <v>0</v>
      </c>
      <c r="U5361" s="4">
        <f t="shared" si="235"/>
        <v>0</v>
      </c>
      <c r="V5361" s="3"/>
      <c r="W5361" s="3">
        <v>2014</v>
      </c>
      <c r="X5361" s="3">
        <v>11</v>
      </c>
    </row>
    <row r="5362" spans="1:24" ht="114.75">
      <c r="A5362" s="3" t="s">
        <v>12897</v>
      </c>
      <c r="B5362" s="6" t="s">
        <v>361</v>
      </c>
      <c r="C5362" s="6" t="s">
        <v>6245</v>
      </c>
      <c r="D5362" s="6" t="s">
        <v>6246</v>
      </c>
      <c r="E5362" s="6" t="s">
        <v>6247</v>
      </c>
      <c r="F5362" s="129" t="s">
        <v>6248</v>
      </c>
      <c r="G5362" s="57" t="s">
        <v>11450</v>
      </c>
      <c r="H5362" s="54">
        <v>0</v>
      </c>
      <c r="I5362" s="16">
        <v>470000000</v>
      </c>
      <c r="J5362" s="56" t="s">
        <v>229</v>
      </c>
      <c r="K5362" s="57" t="s">
        <v>9453</v>
      </c>
      <c r="L5362" s="12" t="s">
        <v>404</v>
      </c>
      <c r="M5362" s="3" t="s">
        <v>230</v>
      </c>
      <c r="N5362" s="8" t="s">
        <v>8899</v>
      </c>
      <c r="O5362" s="6" t="s">
        <v>365</v>
      </c>
      <c r="P5362" s="58">
        <v>796</v>
      </c>
      <c r="Q5362" s="31" t="s">
        <v>234</v>
      </c>
      <c r="R5362" s="32">
        <v>2</v>
      </c>
      <c r="S5362" s="59">
        <f>75303.456*1.07</f>
        <v>80574.697920000006</v>
      </c>
      <c r="T5362" s="4">
        <v>0</v>
      </c>
      <c r="U5362" s="4">
        <f>T5362*1.12</f>
        <v>0</v>
      </c>
      <c r="V5362" s="3"/>
      <c r="W5362" s="3">
        <v>2014</v>
      </c>
      <c r="X5362" s="3" t="s">
        <v>12076</v>
      </c>
    </row>
    <row r="5363" spans="1:24" ht="114.75">
      <c r="A5363" s="3" t="s">
        <v>2198</v>
      </c>
      <c r="B5363" s="6" t="s">
        <v>361</v>
      </c>
      <c r="C5363" s="6" t="s">
        <v>6249</v>
      </c>
      <c r="D5363" s="6" t="s">
        <v>6227</v>
      </c>
      <c r="E5363" s="6" t="s">
        <v>6250</v>
      </c>
      <c r="F5363" s="30" t="s">
        <v>8129</v>
      </c>
      <c r="G5363" s="57" t="s">
        <v>11450</v>
      </c>
      <c r="H5363" s="54">
        <v>0</v>
      </c>
      <c r="I5363" s="16">
        <v>470000000</v>
      </c>
      <c r="J5363" s="56" t="s">
        <v>229</v>
      </c>
      <c r="K5363" s="57" t="s">
        <v>641</v>
      </c>
      <c r="L5363" s="12" t="s">
        <v>404</v>
      </c>
      <c r="M5363" s="3" t="s">
        <v>230</v>
      </c>
      <c r="N5363" s="8" t="s">
        <v>8899</v>
      </c>
      <c r="O5363" s="6" t="s">
        <v>365</v>
      </c>
      <c r="P5363" s="58">
        <v>796</v>
      </c>
      <c r="Q5363" s="31" t="s">
        <v>234</v>
      </c>
      <c r="R5363" s="33">
        <v>4</v>
      </c>
      <c r="S5363" s="59">
        <f>115064.6967*1.07</f>
        <v>123119.22546900001</v>
      </c>
      <c r="T5363" s="4">
        <v>0</v>
      </c>
      <c r="U5363" s="4">
        <f t="shared" si="235"/>
        <v>0</v>
      </c>
      <c r="V5363" s="3"/>
      <c r="W5363" s="3">
        <v>2014</v>
      </c>
      <c r="X5363" s="3">
        <v>11</v>
      </c>
    </row>
    <row r="5364" spans="1:24" ht="114.75">
      <c r="A5364" s="3" t="s">
        <v>12898</v>
      </c>
      <c r="B5364" s="6" t="s">
        <v>361</v>
      </c>
      <c r="C5364" s="6" t="s">
        <v>6249</v>
      </c>
      <c r="D5364" s="6" t="s">
        <v>6227</v>
      </c>
      <c r="E5364" s="6" t="s">
        <v>6250</v>
      </c>
      <c r="F5364" s="30" t="s">
        <v>8129</v>
      </c>
      <c r="G5364" s="57" t="s">
        <v>11450</v>
      </c>
      <c r="H5364" s="54">
        <v>0</v>
      </c>
      <c r="I5364" s="16">
        <v>470000000</v>
      </c>
      <c r="J5364" s="56" t="s">
        <v>229</v>
      </c>
      <c r="K5364" s="57" t="s">
        <v>9453</v>
      </c>
      <c r="L5364" s="12" t="s">
        <v>404</v>
      </c>
      <c r="M5364" s="3" t="s">
        <v>230</v>
      </c>
      <c r="N5364" s="8" t="s">
        <v>8899</v>
      </c>
      <c r="O5364" s="6" t="s">
        <v>365</v>
      </c>
      <c r="P5364" s="58">
        <v>796</v>
      </c>
      <c r="Q5364" s="31" t="s">
        <v>234</v>
      </c>
      <c r="R5364" s="33">
        <v>4</v>
      </c>
      <c r="S5364" s="59">
        <f>115064.6967*1.07</f>
        <v>123119.22546900001</v>
      </c>
      <c r="T5364" s="4">
        <v>0</v>
      </c>
      <c r="U5364" s="4">
        <f>T5364*1.12</f>
        <v>0</v>
      </c>
      <c r="V5364" s="3"/>
      <c r="W5364" s="3">
        <v>2014</v>
      </c>
      <c r="X5364" s="3" t="s">
        <v>12076</v>
      </c>
    </row>
    <row r="5365" spans="1:24" ht="114.75">
      <c r="A5365" s="3" t="s">
        <v>2199</v>
      </c>
      <c r="B5365" s="6" t="s">
        <v>361</v>
      </c>
      <c r="C5365" s="6" t="s">
        <v>6249</v>
      </c>
      <c r="D5365" s="6" t="s">
        <v>6227</v>
      </c>
      <c r="E5365" s="6" t="s">
        <v>6250</v>
      </c>
      <c r="F5365" s="30" t="s">
        <v>8130</v>
      </c>
      <c r="G5365" s="57" t="s">
        <v>11450</v>
      </c>
      <c r="H5365" s="54">
        <v>0</v>
      </c>
      <c r="I5365" s="16">
        <v>470000000</v>
      </c>
      <c r="J5365" s="56" t="s">
        <v>229</v>
      </c>
      <c r="K5365" s="57" t="s">
        <v>641</v>
      </c>
      <c r="L5365" s="12" t="s">
        <v>404</v>
      </c>
      <c r="M5365" s="3" t="s">
        <v>230</v>
      </c>
      <c r="N5365" s="8" t="s">
        <v>8899</v>
      </c>
      <c r="O5365" s="6" t="s">
        <v>365</v>
      </c>
      <c r="P5365" s="58">
        <v>796</v>
      </c>
      <c r="Q5365" s="31" t="s">
        <v>234</v>
      </c>
      <c r="R5365" s="33">
        <v>4</v>
      </c>
      <c r="S5365" s="59">
        <f>204667.72*1.07</f>
        <v>218994.46040000001</v>
      </c>
      <c r="T5365" s="4">
        <v>0</v>
      </c>
      <c r="U5365" s="4">
        <f t="shared" si="235"/>
        <v>0</v>
      </c>
      <c r="V5365" s="3"/>
      <c r="W5365" s="3">
        <v>2014</v>
      </c>
      <c r="X5365" s="3">
        <v>11</v>
      </c>
    </row>
    <row r="5366" spans="1:24" ht="114.75">
      <c r="A5366" s="3" t="s">
        <v>12899</v>
      </c>
      <c r="B5366" s="6" t="s">
        <v>361</v>
      </c>
      <c r="C5366" s="6" t="s">
        <v>6249</v>
      </c>
      <c r="D5366" s="6" t="s">
        <v>6227</v>
      </c>
      <c r="E5366" s="6" t="s">
        <v>6250</v>
      </c>
      <c r="F5366" s="30" t="s">
        <v>8130</v>
      </c>
      <c r="G5366" s="57" t="s">
        <v>11450</v>
      </c>
      <c r="H5366" s="54">
        <v>0</v>
      </c>
      <c r="I5366" s="16">
        <v>470000000</v>
      </c>
      <c r="J5366" s="56" t="s">
        <v>229</v>
      </c>
      <c r="K5366" s="57" t="s">
        <v>9453</v>
      </c>
      <c r="L5366" s="12" t="s">
        <v>404</v>
      </c>
      <c r="M5366" s="3" t="s">
        <v>230</v>
      </c>
      <c r="N5366" s="8" t="s">
        <v>8899</v>
      </c>
      <c r="O5366" s="6" t="s">
        <v>365</v>
      </c>
      <c r="P5366" s="58">
        <v>796</v>
      </c>
      <c r="Q5366" s="31" t="s">
        <v>234</v>
      </c>
      <c r="R5366" s="33">
        <v>0</v>
      </c>
      <c r="S5366" s="59">
        <f>204667.72*1.07</f>
        <v>218994.46040000001</v>
      </c>
      <c r="T5366" s="4">
        <f>R5366*S5366</f>
        <v>0</v>
      </c>
      <c r="U5366" s="4">
        <f>T5366*1.12</f>
        <v>0</v>
      </c>
      <c r="V5366" s="3"/>
      <c r="W5366" s="3">
        <v>2014</v>
      </c>
      <c r="X5366" s="3" t="s">
        <v>12076</v>
      </c>
    </row>
    <row r="5367" spans="1:24" ht="114.75">
      <c r="A5367" s="3" t="s">
        <v>2200</v>
      </c>
      <c r="B5367" s="6" t="s">
        <v>361</v>
      </c>
      <c r="C5367" s="6" t="s">
        <v>6251</v>
      </c>
      <c r="D5367" s="6" t="s">
        <v>453</v>
      </c>
      <c r="E5367" s="6" t="s">
        <v>5183</v>
      </c>
      <c r="F5367" s="30" t="s">
        <v>8131</v>
      </c>
      <c r="G5367" s="57" t="s">
        <v>11450</v>
      </c>
      <c r="H5367" s="54">
        <v>0</v>
      </c>
      <c r="I5367" s="16">
        <v>470000000</v>
      </c>
      <c r="J5367" s="56" t="s">
        <v>229</v>
      </c>
      <c r="K5367" s="57" t="s">
        <v>641</v>
      </c>
      <c r="L5367" s="12" t="s">
        <v>404</v>
      </c>
      <c r="M5367" s="3" t="s">
        <v>230</v>
      </c>
      <c r="N5367" s="8" t="s">
        <v>8899</v>
      </c>
      <c r="O5367" s="6" t="s">
        <v>365</v>
      </c>
      <c r="P5367" s="58">
        <v>796</v>
      </c>
      <c r="Q5367" s="31" t="s">
        <v>234</v>
      </c>
      <c r="R5367" s="33">
        <v>6</v>
      </c>
      <c r="S5367" s="59">
        <f>20336.54*1.07</f>
        <v>21760.097800000003</v>
      </c>
      <c r="T5367" s="4">
        <v>0</v>
      </c>
      <c r="U5367" s="4">
        <f t="shared" si="235"/>
        <v>0</v>
      </c>
      <c r="V5367" s="3"/>
      <c r="W5367" s="3">
        <v>2014</v>
      </c>
      <c r="X5367" s="3">
        <v>11</v>
      </c>
    </row>
    <row r="5368" spans="1:24" ht="114.75">
      <c r="A5368" s="3" t="s">
        <v>12900</v>
      </c>
      <c r="B5368" s="6" t="s">
        <v>361</v>
      </c>
      <c r="C5368" s="6" t="s">
        <v>6251</v>
      </c>
      <c r="D5368" s="6" t="s">
        <v>453</v>
      </c>
      <c r="E5368" s="6" t="s">
        <v>5183</v>
      </c>
      <c r="F5368" s="30" t="s">
        <v>8131</v>
      </c>
      <c r="G5368" s="57" t="s">
        <v>11450</v>
      </c>
      <c r="H5368" s="54">
        <v>0</v>
      </c>
      <c r="I5368" s="16">
        <v>470000000</v>
      </c>
      <c r="J5368" s="56" t="s">
        <v>229</v>
      </c>
      <c r="K5368" s="57" t="s">
        <v>9453</v>
      </c>
      <c r="L5368" s="12" t="s">
        <v>404</v>
      </c>
      <c r="M5368" s="3" t="s">
        <v>230</v>
      </c>
      <c r="N5368" s="8" t="s">
        <v>8899</v>
      </c>
      <c r="O5368" s="6" t="s">
        <v>365</v>
      </c>
      <c r="P5368" s="58">
        <v>796</v>
      </c>
      <c r="Q5368" s="31" t="s">
        <v>234</v>
      </c>
      <c r="R5368" s="33">
        <v>6</v>
      </c>
      <c r="S5368" s="59">
        <f>20336.54*1.07</f>
        <v>21760.097800000003</v>
      </c>
      <c r="T5368" s="4">
        <v>0</v>
      </c>
      <c r="U5368" s="4">
        <f>T5368*1.12</f>
        <v>0</v>
      </c>
      <c r="V5368" s="3"/>
      <c r="W5368" s="3">
        <v>2014</v>
      </c>
      <c r="X5368" s="3" t="s">
        <v>12076</v>
      </c>
    </row>
    <row r="5369" spans="1:24" ht="114.75">
      <c r="A5369" s="3" t="s">
        <v>2201</v>
      </c>
      <c r="B5369" s="6" t="s">
        <v>361</v>
      </c>
      <c r="C5369" s="6" t="s">
        <v>6249</v>
      </c>
      <c r="D5369" s="6" t="s">
        <v>6227</v>
      </c>
      <c r="E5369" s="6" t="s">
        <v>6250</v>
      </c>
      <c r="F5369" s="129" t="s">
        <v>8132</v>
      </c>
      <c r="G5369" s="57" t="s">
        <v>11450</v>
      </c>
      <c r="H5369" s="54">
        <v>0</v>
      </c>
      <c r="I5369" s="16">
        <v>470000000</v>
      </c>
      <c r="J5369" s="56" t="s">
        <v>229</v>
      </c>
      <c r="K5369" s="57" t="s">
        <v>641</v>
      </c>
      <c r="L5369" s="12" t="s">
        <v>404</v>
      </c>
      <c r="M5369" s="3" t="s">
        <v>230</v>
      </c>
      <c r="N5369" s="8" t="s">
        <v>8899</v>
      </c>
      <c r="O5369" s="6" t="s">
        <v>365</v>
      </c>
      <c r="P5369" s="58">
        <v>796</v>
      </c>
      <c r="Q5369" s="31" t="s">
        <v>234</v>
      </c>
      <c r="R5369" s="32">
        <v>4</v>
      </c>
      <c r="S5369" s="59">
        <f>226153.515*1.07</f>
        <v>241984.26105000003</v>
      </c>
      <c r="T5369" s="4">
        <v>0</v>
      </c>
      <c r="U5369" s="4">
        <f t="shared" si="235"/>
        <v>0</v>
      </c>
      <c r="V5369" s="3"/>
      <c r="W5369" s="3">
        <v>2014</v>
      </c>
      <c r="X5369" s="3">
        <v>11</v>
      </c>
    </row>
    <row r="5370" spans="1:24" ht="114.75">
      <c r="A5370" s="3" t="s">
        <v>12901</v>
      </c>
      <c r="B5370" s="6" t="s">
        <v>361</v>
      </c>
      <c r="C5370" s="6" t="s">
        <v>6249</v>
      </c>
      <c r="D5370" s="6" t="s">
        <v>6227</v>
      </c>
      <c r="E5370" s="6" t="s">
        <v>6250</v>
      </c>
      <c r="F5370" s="129" t="s">
        <v>8132</v>
      </c>
      <c r="G5370" s="57" t="s">
        <v>11450</v>
      </c>
      <c r="H5370" s="54">
        <v>0</v>
      </c>
      <c r="I5370" s="16">
        <v>470000000</v>
      </c>
      <c r="J5370" s="56" t="s">
        <v>229</v>
      </c>
      <c r="K5370" s="57" t="s">
        <v>9453</v>
      </c>
      <c r="L5370" s="12" t="s">
        <v>404</v>
      </c>
      <c r="M5370" s="3" t="s">
        <v>230</v>
      </c>
      <c r="N5370" s="8" t="s">
        <v>8899</v>
      </c>
      <c r="O5370" s="6" t="s">
        <v>365</v>
      </c>
      <c r="P5370" s="58">
        <v>796</v>
      </c>
      <c r="Q5370" s="31" t="s">
        <v>234</v>
      </c>
      <c r="R5370" s="32">
        <v>4</v>
      </c>
      <c r="S5370" s="59">
        <f>226153.515*1.07</f>
        <v>241984.26105000003</v>
      </c>
      <c r="T5370" s="4">
        <v>0</v>
      </c>
      <c r="U5370" s="4">
        <f>T5370*1.12</f>
        <v>0</v>
      </c>
      <c r="V5370" s="3"/>
      <c r="W5370" s="3">
        <v>2014</v>
      </c>
      <c r="X5370" s="3" t="s">
        <v>12076</v>
      </c>
    </row>
    <row r="5371" spans="1:24" ht="114.75">
      <c r="A5371" s="3" t="s">
        <v>2202</v>
      </c>
      <c r="B5371" s="6" t="s">
        <v>361</v>
      </c>
      <c r="C5371" s="6" t="s">
        <v>6219</v>
      </c>
      <c r="D5371" s="6" t="s">
        <v>6220</v>
      </c>
      <c r="E5371" s="6" t="s">
        <v>5332</v>
      </c>
      <c r="F5371" s="129" t="s">
        <v>8133</v>
      </c>
      <c r="G5371" s="57" t="s">
        <v>11450</v>
      </c>
      <c r="H5371" s="54">
        <v>0</v>
      </c>
      <c r="I5371" s="16">
        <v>470000000</v>
      </c>
      <c r="J5371" s="56" t="s">
        <v>229</v>
      </c>
      <c r="K5371" s="57" t="s">
        <v>641</v>
      </c>
      <c r="L5371" s="12" t="s">
        <v>404</v>
      </c>
      <c r="M5371" s="3" t="s">
        <v>230</v>
      </c>
      <c r="N5371" s="8" t="s">
        <v>8899</v>
      </c>
      <c r="O5371" s="6" t="s">
        <v>365</v>
      </c>
      <c r="P5371" s="58">
        <v>796</v>
      </c>
      <c r="Q5371" s="31" t="s">
        <v>234</v>
      </c>
      <c r="R5371" s="32">
        <v>2</v>
      </c>
      <c r="S5371" s="59">
        <f>410485.01*1.07</f>
        <v>439218.96070000005</v>
      </c>
      <c r="T5371" s="4">
        <v>0</v>
      </c>
      <c r="U5371" s="4">
        <f t="shared" si="235"/>
        <v>0</v>
      </c>
      <c r="V5371" s="3"/>
      <c r="W5371" s="3">
        <v>2014</v>
      </c>
      <c r="X5371" s="3">
        <v>11</v>
      </c>
    </row>
    <row r="5372" spans="1:24" ht="114.75">
      <c r="A5372" s="3" t="s">
        <v>12902</v>
      </c>
      <c r="B5372" s="6" t="s">
        <v>361</v>
      </c>
      <c r="C5372" s="6" t="s">
        <v>6219</v>
      </c>
      <c r="D5372" s="6" t="s">
        <v>6220</v>
      </c>
      <c r="E5372" s="6" t="s">
        <v>5332</v>
      </c>
      <c r="F5372" s="129" t="s">
        <v>8133</v>
      </c>
      <c r="G5372" s="57" t="s">
        <v>11450</v>
      </c>
      <c r="H5372" s="54">
        <v>0</v>
      </c>
      <c r="I5372" s="16">
        <v>470000000</v>
      </c>
      <c r="J5372" s="56" t="s">
        <v>229</v>
      </c>
      <c r="K5372" s="57" t="s">
        <v>9453</v>
      </c>
      <c r="L5372" s="12" t="s">
        <v>404</v>
      </c>
      <c r="M5372" s="3" t="s">
        <v>230</v>
      </c>
      <c r="N5372" s="8" t="s">
        <v>8899</v>
      </c>
      <c r="O5372" s="6" t="s">
        <v>365</v>
      </c>
      <c r="P5372" s="58">
        <v>796</v>
      </c>
      <c r="Q5372" s="31" t="s">
        <v>234</v>
      </c>
      <c r="R5372" s="32">
        <v>2</v>
      </c>
      <c r="S5372" s="59">
        <f>410485.01*1.07</f>
        <v>439218.96070000005</v>
      </c>
      <c r="T5372" s="4">
        <v>0</v>
      </c>
      <c r="U5372" s="4">
        <f>T5372*1.12</f>
        <v>0</v>
      </c>
      <c r="V5372" s="3"/>
      <c r="W5372" s="3">
        <v>2014</v>
      </c>
      <c r="X5372" s="3" t="s">
        <v>12076</v>
      </c>
    </row>
    <row r="5373" spans="1:24" ht="114.75">
      <c r="A5373" s="3" t="s">
        <v>2203</v>
      </c>
      <c r="B5373" s="6" t="s">
        <v>361</v>
      </c>
      <c r="C5373" s="6" t="s">
        <v>6252</v>
      </c>
      <c r="D5373" s="6" t="s">
        <v>6253</v>
      </c>
      <c r="E5373" s="6" t="s">
        <v>6254</v>
      </c>
      <c r="F5373" s="129" t="s">
        <v>8134</v>
      </c>
      <c r="G5373" s="57" t="s">
        <v>11450</v>
      </c>
      <c r="H5373" s="54">
        <v>0</v>
      </c>
      <c r="I5373" s="16">
        <v>470000000</v>
      </c>
      <c r="J5373" s="56" t="s">
        <v>229</v>
      </c>
      <c r="K5373" s="57" t="s">
        <v>641</v>
      </c>
      <c r="L5373" s="12" t="s">
        <v>404</v>
      </c>
      <c r="M5373" s="3" t="s">
        <v>230</v>
      </c>
      <c r="N5373" s="8" t="s">
        <v>8899</v>
      </c>
      <c r="O5373" s="6" t="s">
        <v>365</v>
      </c>
      <c r="P5373" s="58">
        <v>796</v>
      </c>
      <c r="Q5373" s="31" t="s">
        <v>234</v>
      </c>
      <c r="R5373" s="32">
        <v>6</v>
      </c>
      <c r="S5373" s="59">
        <f>4122.81*1.07</f>
        <v>4411.4067000000005</v>
      </c>
      <c r="T5373" s="4">
        <v>0</v>
      </c>
      <c r="U5373" s="4">
        <f t="shared" si="235"/>
        <v>0</v>
      </c>
      <c r="V5373" s="3"/>
      <c r="W5373" s="3">
        <v>2014</v>
      </c>
      <c r="X5373" s="3">
        <v>11</v>
      </c>
    </row>
    <row r="5374" spans="1:24" ht="114.75">
      <c r="A5374" s="3" t="s">
        <v>12903</v>
      </c>
      <c r="B5374" s="6" t="s">
        <v>361</v>
      </c>
      <c r="C5374" s="6" t="s">
        <v>6252</v>
      </c>
      <c r="D5374" s="6" t="s">
        <v>6253</v>
      </c>
      <c r="E5374" s="6" t="s">
        <v>6254</v>
      </c>
      <c r="F5374" s="129" t="s">
        <v>8134</v>
      </c>
      <c r="G5374" s="57" t="s">
        <v>11450</v>
      </c>
      <c r="H5374" s="54">
        <v>0</v>
      </c>
      <c r="I5374" s="16">
        <v>470000000</v>
      </c>
      <c r="J5374" s="56" t="s">
        <v>229</v>
      </c>
      <c r="K5374" s="57" t="s">
        <v>9453</v>
      </c>
      <c r="L5374" s="12" t="s">
        <v>404</v>
      </c>
      <c r="M5374" s="3" t="s">
        <v>230</v>
      </c>
      <c r="N5374" s="8" t="s">
        <v>8899</v>
      </c>
      <c r="O5374" s="6" t="s">
        <v>365</v>
      </c>
      <c r="P5374" s="58">
        <v>796</v>
      </c>
      <c r="Q5374" s="31" t="s">
        <v>234</v>
      </c>
      <c r="R5374" s="32">
        <v>0</v>
      </c>
      <c r="S5374" s="59">
        <f>4122.81*1.07</f>
        <v>4411.4067000000005</v>
      </c>
      <c r="T5374" s="4">
        <f>R5374*S5374</f>
        <v>0</v>
      </c>
      <c r="U5374" s="4">
        <f>T5374*1.12</f>
        <v>0</v>
      </c>
      <c r="V5374" s="3"/>
      <c r="W5374" s="3">
        <v>2014</v>
      </c>
      <c r="X5374" s="3" t="s">
        <v>12076</v>
      </c>
    </row>
    <row r="5375" spans="1:24" ht="114.75">
      <c r="A5375" s="3" t="s">
        <v>2204</v>
      </c>
      <c r="B5375" s="6" t="s">
        <v>361</v>
      </c>
      <c r="C5375" s="6" t="s">
        <v>11551</v>
      </c>
      <c r="D5375" s="6" t="s">
        <v>454</v>
      </c>
      <c r="E5375" s="6" t="s">
        <v>11552</v>
      </c>
      <c r="F5375" s="129" t="s">
        <v>8135</v>
      </c>
      <c r="G5375" s="57" t="s">
        <v>11450</v>
      </c>
      <c r="H5375" s="54">
        <v>0</v>
      </c>
      <c r="I5375" s="16">
        <v>470000000</v>
      </c>
      <c r="J5375" s="56" t="s">
        <v>229</v>
      </c>
      <c r="K5375" s="57" t="s">
        <v>641</v>
      </c>
      <c r="L5375" s="12" t="s">
        <v>404</v>
      </c>
      <c r="M5375" s="3" t="s">
        <v>230</v>
      </c>
      <c r="N5375" s="8" t="s">
        <v>8899</v>
      </c>
      <c r="O5375" s="6" t="s">
        <v>365</v>
      </c>
      <c r="P5375" s="58">
        <v>796</v>
      </c>
      <c r="Q5375" s="31" t="s">
        <v>234</v>
      </c>
      <c r="R5375" s="32">
        <v>5</v>
      </c>
      <c r="S5375" s="59">
        <f t="shared" ref="S5375:S5382" si="236">1404.02*1.07</f>
        <v>1502.3014000000001</v>
      </c>
      <c r="T5375" s="4">
        <v>0</v>
      </c>
      <c r="U5375" s="4">
        <f t="shared" si="235"/>
        <v>0</v>
      </c>
      <c r="V5375" s="3"/>
      <c r="W5375" s="3">
        <v>2014</v>
      </c>
      <c r="X5375" s="3">
        <v>11</v>
      </c>
    </row>
    <row r="5376" spans="1:24" ht="114.75">
      <c r="A5376" s="3" t="s">
        <v>12904</v>
      </c>
      <c r="B5376" s="6" t="s">
        <v>361</v>
      </c>
      <c r="C5376" s="6" t="s">
        <v>11551</v>
      </c>
      <c r="D5376" s="6" t="s">
        <v>454</v>
      </c>
      <c r="E5376" s="6" t="s">
        <v>11552</v>
      </c>
      <c r="F5376" s="129" t="s">
        <v>8135</v>
      </c>
      <c r="G5376" s="57" t="s">
        <v>11450</v>
      </c>
      <c r="H5376" s="54">
        <v>0</v>
      </c>
      <c r="I5376" s="16">
        <v>470000000</v>
      </c>
      <c r="J5376" s="56" t="s">
        <v>229</v>
      </c>
      <c r="K5376" s="57" t="s">
        <v>9453</v>
      </c>
      <c r="L5376" s="12" t="s">
        <v>404</v>
      </c>
      <c r="M5376" s="3" t="s">
        <v>230</v>
      </c>
      <c r="N5376" s="8" t="s">
        <v>8899</v>
      </c>
      <c r="O5376" s="6" t="s">
        <v>365</v>
      </c>
      <c r="P5376" s="58">
        <v>796</v>
      </c>
      <c r="Q5376" s="31" t="s">
        <v>234</v>
      </c>
      <c r="R5376" s="32">
        <v>5</v>
      </c>
      <c r="S5376" s="59">
        <f t="shared" si="236"/>
        <v>1502.3014000000001</v>
      </c>
      <c r="T5376" s="4">
        <v>0</v>
      </c>
      <c r="U5376" s="4">
        <f>T5376*1.12</f>
        <v>0</v>
      </c>
      <c r="V5376" s="3"/>
      <c r="W5376" s="3">
        <v>2014</v>
      </c>
      <c r="X5376" s="3" t="s">
        <v>12076</v>
      </c>
    </row>
    <row r="5377" spans="1:24" ht="114.75">
      <c r="A5377" s="3" t="s">
        <v>2205</v>
      </c>
      <c r="B5377" s="6" t="s">
        <v>361</v>
      </c>
      <c r="C5377" s="6" t="s">
        <v>11553</v>
      </c>
      <c r="D5377" s="6" t="s">
        <v>454</v>
      </c>
      <c r="E5377" s="6" t="s">
        <v>11554</v>
      </c>
      <c r="F5377" s="129" t="s">
        <v>8136</v>
      </c>
      <c r="G5377" s="57" t="s">
        <v>11450</v>
      </c>
      <c r="H5377" s="54">
        <v>0</v>
      </c>
      <c r="I5377" s="16">
        <v>470000000</v>
      </c>
      <c r="J5377" s="56" t="s">
        <v>229</v>
      </c>
      <c r="K5377" s="57" t="s">
        <v>641</v>
      </c>
      <c r="L5377" s="12" t="s">
        <v>404</v>
      </c>
      <c r="M5377" s="3" t="s">
        <v>230</v>
      </c>
      <c r="N5377" s="8" t="s">
        <v>8899</v>
      </c>
      <c r="O5377" s="6" t="s">
        <v>365</v>
      </c>
      <c r="P5377" s="58">
        <v>796</v>
      </c>
      <c r="Q5377" s="31" t="s">
        <v>234</v>
      </c>
      <c r="R5377" s="32">
        <v>5</v>
      </c>
      <c r="S5377" s="59">
        <f t="shared" si="236"/>
        <v>1502.3014000000001</v>
      </c>
      <c r="T5377" s="4">
        <v>0</v>
      </c>
      <c r="U5377" s="4">
        <f t="shared" si="235"/>
        <v>0</v>
      </c>
      <c r="V5377" s="3"/>
      <c r="W5377" s="3">
        <v>2014</v>
      </c>
      <c r="X5377" s="3">
        <v>11</v>
      </c>
    </row>
    <row r="5378" spans="1:24" ht="114.75">
      <c r="A5378" s="3" t="s">
        <v>12905</v>
      </c>
      <c r="B5378" s="6" t="s">
        <v>361</v>
      </c>
      <c r="C5378" s="6" t="s">
        <v>11553</v>
      </c>
      <c r="D5378" s="6" t="s">
        <v>454</v>
      </c>
      <c r="E5378" s="6" t="s">
        <v>11554</v>
      </c>
      <c r="F5378" s="129" t="s">
        <v>8136</v>
      </c>
      <c r="G5378" s="57" t="s">
        <v>11450</v>
      </c>
      <c r="H5378" s="54">
        <v>0</v>
      </c>
      <c r="I5378" s="16">
        <v>470000000</v>
      </c>
      <c r="J5378" s="56" t="s">
        <v>229</v>
      </c>
      <c r="K5378" s="57" t="s">
        <v>9453</v>
      </c>
      <c r="L5378" s="12" t="s">
        <v>404</v>
      </c>
      <c r="M5378" s="3" t="s">
        <v>230</v>
      </c>
      <c r="N5378" s="8" t="s">
        <v>8899</v>
      </c>
      <c r="O5378" s="6" t="s">
        <v>365</v>
      </c>
      <c r="P5378" s="58">
        <v>796</v>
      </c>
      <c r="Q5378" s="31" t="s">
        <v>234</v>
      </c>
      <c r="R5378" s="32">
        <v>5</v>
      </c>
      <c r="S5378" s="59">
        <f t="shared" si="236"/>
        <v>1502.3014000000001</v>
      </c>
      <c r="T5378" s="4">
        <v>0</v>
      </c>
      <c r="U5378" s="4">
        <f>T5378*1.12</f>
        <v>0</v>
      </c>
      <c r="V5378" s="3"/>
      <c r="W5378" s="3">
        <v>2014</v>
      </c>
      <c r="X5378" s="3" t="s">
        <v>12076</v>
      </c>
    </row>
    <row r="5379" spans="1:24" ht="114.75">
      <c r="A5379" s="3" t="s">
        <v>2206</v>
      </c>
      <c r="B5379" s="6" t="s">
        <v>361</v>
      </c>
      <c r="C5379" s="6" t="s">
        <v>11555</v>
      </c>
      <c r="D5379" s="6" t="s">
        <v>454</v>
      </c>
      <c r="E5379" s="6" t="s">
        <v>11556</v>
      </c>
      <c r="F5379" s="129" t="s">
        <v>8137</v>
      </c>
      <c r="G5379" s="57" t="s">
        <v>11450</v>
      </c>
      <c r="H5379" s="54">
        <v>0</v>
      </c>
      <c r="I5379" s="16">
        <v>470000000</v>
      </c>
      <c r="J5379" s="56" t="s">
        <v>229</v>
      </c>
      <c r="K5379" s="57" t="s">
        <v>641</v>
      </c>
      <c r="L5379" s="12" t="s">
        <v>404</v>
      </c>
      <c r="M5379" s="3" t="s">
        <v>230</v>
      </c>
      <c r="N5379" s="8" t="s">
        <v>8899</v>
      </c>
      <c r="O5379" s="6" t="s">
        <v>365</v>
      </c>
      <c r="P5379" s="58">
        <v>796</v>
      </c>
      <c r="Q5379" s="31" t="s">
        <v>234</v>
      </c>
      <c r="R5379" s="32">
        <v>5</v>
      </c>
      <c r="S5379" s="59">
        <f t="shared" si="236"/>
        <v>1502.3014000000001</v>
      </c>
      <c r="T5379" s="4">
        <v>0</v>
      </c>
      <c r="U5379" s="4">
        <f t="shared" si="235"/>
        <v>0</v>
      </c>
      <c r="V5379" s="3"/>
      <c r="W5379" s="3">
        <v>2014</v>
      </c>
      <c r="X5379" s="3">
        <v>11</v>
      </c>
    </row>
    <row r="5380" spans="1:24" ht="114.75">
      <c r="A5380" s="3" t="s">
        <v>12906</v>
      </c>
      <c r="B5380" s="6" t="s">
        <v>361</v>
      </c>
      <c r="C5380" s="6" t="s">
        <v>11555</v>
      </c>
      <c r="D5380" s="6" t="s">
        <v>454</v>
      </c>
      <c r="E5380" s="6" t="s">
        <v>11556</v>
      </c>
      <c r="F5380" s="129" t="s">
        <v>8137</v>
      </c>
      <c r="G5380" s="57" t="s">
        <v>11450</v>
      </c>
      <c r="H5380" s="54">
        <v>0</v>
      </c>
      <c r="I5380" s="16">
        <v>470000000</v>
      </c>
      <c r="J5380" s="56" t="s">
        <v>229</v>
      </c>
      <c r="K5380" s="57" t="s">
        <v>9453</v>
      </c>
      <c r="L5380" s="12" t="s">
        <v>404</v>
      </c>
      <c r="M5380" s="3" t="s">
        <v>230</v>
      </c>
      <c r="N5380" s="8" t="s">
        <v>8899</v>
      </c>
      <c r="O5380" s="6" t="s">
        <v>365</v>
      </c>
      <c r="P5380" s="58">
        <v>796</v>
      </c>
      <c r="Q5380" s="31" t="s">
        <v>234</v>
      </c>
      <c r="R5380" s="32">
        <v>5</v>
      </c>
      <c r="S5380" s="59">
        <f t="shared" si="236"/>
        <v>1502.3014000000001</v>
      </c>
      <c r="T5380" s="4">
        <v>0</v>
      </c>
      <c r="U5380" s="4">
        <f>T5380*1.12</f>
        <v>0</v>
      </c>
      <c r="V5380" s="3"/>
      <c r="W5380" s="3">
        <v>2014</v>
      </c>
      <c r="X5380" s="3" t="s">
        <v>12076</v>
      </c>
    </row>
    <row r="5381" spans="1:24" ht="114.75">
      <c r="A5381" s="3" t="s">
        <v>2207</v>
      </c>
      <c r="B5381" s="6" t="s">
        <v>361</v>
      </c>
      <c r="C5381" s="6" t="s">
        <v>11557</v>
      </c>
      <c r="D5381" s="6" t="s">
        <v>454</v>
      </c>
      <c r="E5381" s="6" t="s">
        <v>11558</v>
      </c>
      <c r="F5381" s="129" t="s">
        <v>8138</v>
      </c>
      <c r="G5381" s="57" t="s">
        <v>11450</v>
      </c>
      <c r="H5381" s="54">
        <v>0</v>
      </c>
      <c r="I5381" s="16">
        <v>470000000</v>
      </c>
      <c r="J5381" s="56" t="s">
        <v>229</v>
      </c>
      <c r="K5381" s="57" t="s">
        <v>641</v>
      </c>
      <c r="L5381" s="12" t="s">
        <v>404</v>
      </c>
      <c r="M5381" s="3" t="s">
        <v>230</v>
      </c>
      <c r="N5381" s="8" t="s">
        <v>8899</v>
      </c>
      <c r="O5381" s="6" t="s">
        <v>365</v>
      </c>
      <c r="P5381" s="58">
        <v>796</v>
      </c>
      <c r="Q5381" s="31" t="s">
        <v>234</v>
      </c>
      <c r="R5381" s="32">
        <v>5</v>
      </c>
      <c r="S5381" s="59">
        <f t="shared" si="236"/>
        <v>1502.3014000000001</v>
      </c>
      <c r="T5381" s="4">
        <v>0</v>
      </c>
      <c r="U5381" s="4">
        <f t="shared" si="235"/>
        <v>0</v>
      </c>
      <c r="V5381" s="3"/>
      <c r="W5381" s="3">
        <v>2014</v>
      </c>
      <c r="X5381" s="3">
        <v>11</v>
      </c>
    </row>
    <row r="5382" spans="1:24" ht="114.75">
      <c r="A5382" s="3" t="s">
        <v>12907</v>
      </c>
      <c r="B5382" s="6" t="s">
        <v>361</v>
      </c>
      <c r="C5382" s="6" t="s">
        <v>11557</v>
      </c>
      <c r="D5382" s="6" t="s">
        <v>454</v>
      </c>
      <c r="E5382" s="6" t="s">
        <v>11558</v>
      </c>
      <c r="F5382" s="129" t="s">
        <v>8138</v>
      </c>
      <c r="G5382" s="57" t="s">
        <v>11450</v>
      </c>
      <c r="H5382" s="54">
        <v>0</v>
      </c>
      <c r="I5382" s="16">
        <v>470000000</v>
      </c>
      <c r="J5382" s="56" t="s">
        <v>229</v>
      </c>
      <c r="K5382" s="57" t="s">
        <v>9453</v>
      </c>
      <c r="L5382" s="12" t="s">
        <v>404</v>
      </c>
      <c r="M5382" s="3" t="s">
        <v>230</v>
      </c>
      <c r="N5382" s="8" t="s">
        <v>8899</v>
      </c>
      <c r="O5382" s="6" t="s">
        <v>365</v>
      </c>
      <c r="P5382" s="58">
        <v>796</v>
      </c>
      <c r="Q5382" s="31" t="s">
        <v>234</v>
      </c>
      <c r="R5382" s="32">
        <v>5</v>
      </c>
      <c r="S5382" s="59">
        <f t="shared" si="236"/>
        <v>1502.3014000000001</v>
      </c>
      <c r="T5382" s="4">
        <v>0</v>
      </c>
      <c r="U5382" s="4">
        <f>T5382*1.12</f>
        <v>0</v>
      </c>
      <c r="V5382" s="3"/>
      <c r="W5382" s="3">
        <v>2014</v>
      </c>
      <c r="X5382" s="3" t="s">
        <v>12076</v>
      </c>
    </row>
    <row r="5383" spans="1:24" ht="165.75">
      <c r="A5383" s="3" t="s">
        <v>2208</v>
      </c>
      <c r="B5383" s="6" t="s">
        <v>361</v>
      </c>
      <c r="C5383" s="6" t="s">
        <v>6255</v>
      </c>
      <c r="D5383" s="6" t="s">
        <v>455</v>
      </c>
      <c r="E5383" s="6" t="s">
        <v>6256</v>
      </c>
      <c r="F5383" s="129" t="s">
        <v>8139</v>
      </c>
      <c r="G5383" s="57" t="s">
        <v>11450</v>
      </c>
      <c r="H5383" s="54">
        <v>0</v>
      </c>
      <c r="I5383" s="16">
        <v>470000000</v>
      </c>
      <c r="J5383" s="56" t="s">
        <v>229</v>
      </c>
      <c r="K5383" s="57" t="s">
        <v>641</v>
      </c>
      <c r="L5383" s="12" t="s">
        <v>404</v>
      </c>
      <c r="M5383" s="3" t="s">
        <v>230</v>
      </c>
      <c r="N5383" s="8" t="s">
        <v>8899</v>
      </c>
      <c r="O5383" s="6" t="s">
        <v>365</v>
      </c>
      <c r="P5383" s="58">
        <v>796</v>
      </c>
      <c r="Q5383" s="31" t="s">
        <v>234</v>
      </c>
      <c r="R5383" s="32">
        <v>20</v>
      </c>
      <c r="S5383" s="59">
        <f>2973.195*1.07</f>
        <v>3181.3186500000002</v>
      </c>
      <c r="T5383" s="4">
        <v>0</v>
      </c>
      <c r="U5383" s="4">
        <f t="shared" si="235"/>
        <v>0</v>
      </c>
      <c r="V5383" s="3"/>
      <c r="W5383" s="3">
        <v>2014</v>
      </c>
      <c r="X5383" s="3">
        <v>11</v>
      </c>
    </row>
    <row r="5384" spans="1:24" ht="165.75">
      <c r="A5384" s="3" t="s">
        <v>12908</v>
      </c>
      <c r="B5384" s="6" t="s">
        <v>361</v>
      </c>
      <c r="C5384" s="6" t="s">
        <v>6255</v>
      </c>
      <c r="D5384" s="6" t="s">
        <v>455</v>
      </c>
      <c r="E5384" s="6" t="s">
        <v>6256</v>
      </c>
      <c r="F5384" s="129" t="s">
        <v>8139</v>
      </c>
      <c r="G5384" s="57" t="s">
        <v>11450</v>
      </c>
      <c r="H5384" s="54">
        <v>0</v>
      </c>
      <c r="I5384" s="16">
        <v>470000000</v>
      </c>
      <c r="J5384" s="56" t="s">
        <v>229</v>
      </c>
      <c r="K5384" s="57" t="s">
        <v>9453</v>
      </c>
      <c r="L5384" s="12" t="s">
        <v>404</v>
      </c>
      <c r="M5384" s="3" t="s">
        <v>230</v>
      </c>
      <c r="N5384" s="8" t="s">
        <v>8899</v>
      </c>
      <c r="O5384" s="6" t="s">
        <v>365</v>
      </c>
      <c r="P5384" s="58">
        <v>796</v>
      </c>
      <c r="Q5384" s="31" t="s">
        <v>234</v>
      </c>
      <c r="R5384" s="32">
        <v>20</v>
      </c>
      <c r="S5384" s="59">
        <f>2973.195*1.07</f>
        <v>3181.3186500000002</v>
      </c>
      <c r="T5384" s="4">
        <v>0</v>
      </c>
      <c r="U5384" s="4">
        <f>T5384*1.12</f>
        <v>0</v>
      </c>
      <c r="V5384" s="3"/>
      <c r="W5384" s="3">
        <v>2014</v>
      </c>
      <c r="X5384" s="3" t="s">
        <v>12076</v>
      </c>
    </row>
    <row r="5385" spans="1:24" ht="114.75">
      <c r="A5385" s="3" t="s">
        <v>2209</v>
      </c>
      <c r="B5385" s="6" t="s">
        <v>361</v>
      </c>
      <c r="C5385" s="6" t="s">
        <v>5501</v>
      </c>
      <c r="D5385" s="6" t="s">
        <v>4382</v>
      </c>
      <c r="E5385" s="6" t="s">
        <v>5502</v>
      </c>
      <c r="F5385" s="129" t="s">
        <v>8140</v>
      </c>
      <c r="G5385" s="57" t="s">
        <v>11450</v>
      </c>
      <c r="H5385" s="54">
        <v>0</v>
      </c>
      <c r="I5385" s="16">
        <v>470000000</v>
      </c>
      <c r="J5385" s="56" t="s">
        <v>229</v>
      </c>
      <c r="K5385" s="57" t="s">
        <v>641</v>
      </c>
      <c r="L5385" s="12" t="s">
        <v>404</v>
      </c>
      <c r="M5385" s="3" t="s">
        <v>230</v>
      </c>
      <c r="N5385" s="8" t="s">
        <v>8899</v>
      </c>
      <c r="O5385" s="6" t="s">
        <v>365</v>
      </c>
      <c r="P5385" s="58">
        <v>796</v>
      </c>
      <c r="Q5385" s="31" t="s">
        <v>234</v>
      </c>
      <c r="R5385" s="32">
        <v>10</v>
      </c>
      <c r="S5385" s="59">
        <f>594.62*1.07</f>
        <v>636.24340000000007</v>
      </c>
      <c r="T5385" s="4">
        <v>0</v>
      </c>
      <c r="U5385" s="4">
        <f t="shared" si="235"/>
        <v>0</v>
      </c>
      <c r="V5385" s="3"/>
      <c r="W5385" s="3">
        <v>2014</v>
      </c>
      <c r="X5385" s="3">
        <v>11</v>
      </c>
    </row>
    <row r="5386" spans="1:24" ht="114.75">
      <c r="A5386" s="3" t="s">
        <v>12909</v>
      </c>
      <c r="B5386" s="6" t="s">
        <v>361</v>
      </c>
      <c r="C5386" s="6" t="s">
        <v>5501</v>
      </c>
      <c r="D5386" s="6" t="s">
        <v>4382</v>
      </c>
      <c r="E5386" s="6" t="s">
        <v>5502</v>
      </c>
      <c r="F5386" s="129" t="s">
        <v>8140</v>
      </c>
      <c r="G5386" s="57" t="s">
        <v>11450</v>
      </c>
      <c r="H5386" s="54">
        <v>0</v>
      </c>
      <c r="I5386" s="16">
        <v>470000000</v>
      </c>
      <c r="J5386" s="56" t="s">
        <v>229</v>
      </c>
      <c r="K5386" s="57" t="s">
        <v>9453</v>
      </c>
      <c r="L5386" s="12" t="s">
        <v>404</v>
      </c>
      <c r="M5386" s="3" t="s">
        <v>230</v>
      </c>
      <c r="N5386" s="8" t="s">
        <v>8899</v>
      </c>
      <c r="O5386" s="6" t="s">
        <v>365</v>
      </c>
      <c r="P5386" s="58">
        <v>796</v>
      </c>
      <c r="Q5386" s="31" t="s">
        <v>234</v>
      </c>
      <c r="R5386" s="32">
        <v>10</v>
      </c>
      <c r="S5386" s="59">
        <f>594.62*1.07</f>
        <v>636.24340000000007</v>
      </c>
      <c r="T5386" s="4">
        <v>0</v>
      </c>
      <c r="U5386" s="4">
        <f>T5386*1.12</f>
        <v>0</v>
      </c>
      <c r="V5386" s="3"/>
      <c r="W5386" s="3">
        <v>2014</v>
      </c>
      <c r="X5386" s="3" t="s">
        <v>12076</v>
      </c>
    </row>
    <row r="5387" spans="1:24" ht="114.75">
      <c r="A5387" s="3" t="s">
        <v>2210</v>
      </c>
      <c r="B5387" s="6" t="s">
        <v>361</v>
      </c>
      <c r="C5387" s="6" t="s">
        <v>5499</v>
      </c>
      <c r="D5387" s="6" t="s">
        <v>4382</v>
      </c>
      <c r="E5387" s="6" t="s">
        <v>5500</v>
      </c>
      <c r="F5387" s="129" t="s">
        <v>8141</v>
      </c>
      <c r="G5387" s="57" t="s">
        <v>11450</v>
      </c>
      <c r="H5387" s="54">
        <v>0</v>
      </c>
      <c r="I5387" s="16">
        <v>470000000</v>
      </c>
      <c r="J5387" s="56" t="s">
        <v>229</v>
      </c>
      <c r="K5387" s="57" t="s">
        <v>641</v>
      </c>
      <c r="L5387" s="12" t="s">
        <v>404</v>
      </c>
      <c r="M5387" s="3" t="s">
        <v>230</v>
      </c>
      <c r="N5387" s="8" t="s">
        <v>8899</v>
      </c>
      <c r="O5387" s="6" t="s">
        <v>365</v>
      </c>
      <c r="P5387" s="58">
        <v>796</v>
      </c>
      <c r="Q5387" s="31" t="s">
        <v>234</v>
      </c>
      <c r="R5387" s="32">
        <v>10</v>
      </c>
      <c r="S5387" s="59">
        <f>594.62*1.07</f>
        <v>636.24340000000007</v>
      </c>
      <c r="T5387" s="4">
        <v>0</v>
      </c>
      <c r="U5387" s="4">
        <f t="shared" si="235"/>
        <v>0</v>
      </c>
      <c r="V5387" s="3"/>
      <c r="W5387" s="3">
        <v>2014</v>
      </c>
      <c r="X5387" s="3">
        <v>11</v>
      </c>
    </row>
    <row r="5388" spans="1:24" ht="114.75">
      <c r="A5388" s="3" t="s">
        <v>12910</v>
      </c>
      <c r="B5388" s="6" t="s">
        <v>361</v>
      </c>
      <c r="C5388" s="6" t="s">
        <v>5499</v>
      </c>
      <c r="D5388" s="6" t="s">
        <v>4382</v>
      </c>
      <c r="E5388" s="6" t="s">
        <v>5500</v>
      </c>
      <c r="F5388" s="129" t="s">
        <v>8141</v>
      </c>
      <c r="G5388" s="57" t="s">
        <v>11450</v>
      </c>
      <c r="H5388" s="54">
        <v>0</v>
      </c>
      <c r="I5388" s="16">
        <v>470000000</v>
      </c>
      <c r="J5388" s="56" t="s">
        <v>229</v>
      </c>
      <c r="K5388" s="57" t="s">
        <v>9453</v>
      </c>
      <c r="L5388" s="12" t="s">
        <v>404</v>
      </c>
      <c r="M5388" s="3" t="s">
        <v>230</v>
      </c>
      <c r="N5388" s="8" t="s">
        <v>8899</v>
      </c>
      <c r="O5388" s="6" t="s">
        <v>365</v>
      </c>
      <c r="P5388" s="58">
        <v>796</v>
      </c>
      <c r="Q5388" s="31" t="s">
        <v>234</v>
      </c>
      <c r="R5388" s="32">
        <v>10</v>
      </c>
      <c r="S5388" s="59">
        <f>594.62*1.07</f>
        <v>636.24340000000007</v>
      </c>
      <c r="T5388" s="4">
        <v>0</v>
      </c>
      <c r="U5388" s="4">
        <f>T5388*1.12</f>
        <v>0</v>
      </c>
      <c r="V5388" s="3"/>
      <c r="W5388" s="3">
        <v>2014</v>
      </c>
      <c r="X5388" s="3" t="s">
        <v>12076</v>
      </c>
    </row>
    <row r="5389" spans="1:24" ht="114.75">
      <c r="A5389" s="3" t="s">
        <v>2211</v>
      </c>
      <c r="B5389" s="6" t="s">
        <v>361</v>
      </c>
      <c r="C5389" s="6" t="s">
        <v>6257</v>
      </c>
      <c r="D5389" s="6" t="s">
        <v>456</v>
      </c>
      <c r="E5389" s="6" t="s">
        <v>6258</v>
      </c>
      <c r="F5389" s="129" t="s">
        <v>6259</v>
      </c>
      <c r="G5389" s="57" t="s">
        <v>11450</v>
      </c>
      <c r="H5389" s="54">
        <v>0</v>
      </c>
      <c r="I5389" s="16">
        <v>470000000</v>
      </c>
      <c r="J5389" s="56" t="s">
        <v>229</v>
      </c>
      <c r="K5389" s="57" t="s">
        <v>641</v>
      </c>
      <c r="L5389" s="12" t="s">
        <v>404</v>
      </c>
      <c r="M5389" s="3" t="s">
        <v>230</v>
      </c>
      <c r="N5389" s="8" t="s">
        <v>8899</v>
      </c>
      <c r="O5389" s="6" t="s">
        <v>365</v>
      </c>
      <c r="P5389" s="58">
        <v>796</v>
      </c>
      <c r="Q5389" s="31" t="s">
        <v>234</v>
      </c>
      <c r="R5389" s="32">
        <v>3</v>
      </c>
      <c r="S5389" s="59">
        <f>26049.81*1.07</f>
        <v>27873.296700000003</v>
      </c>
      <c r="T5389" s="4">
        <v>0</v>
      </c>
      <c r="U5389" s="4">
        <f t="shared" si="235"/>
        <v>0</v>
      </c>
      <c r="V5389" s="3"/>
      <c r="W5389" s="3">
        <v>2014</v>
      </c>
      <c r="X5389" s="3">
        <v>11</v>
      </c>
    </row>
    <row r="5390" spans="1:24" ht="114.75">
      <c r="A5390" s="3" t="s">
        <v>12911</v>
      </c>
      <c r="B5390" s="6" t="s">
        <v>361</v>
      </c>
      <c r="C5390" s="6" t="s">
        <v>6257</v>
      </c>
      <c r="D5390" s="6" t="s">
        <v>456</v>
      </c>
      <c r="E5390" s="6" t="s">
        <v>6258</v>
      </c>
      <c r="F5390" s="129" t="s">
        <v>6259</v>
      </c>
      <c r="G5390" s="57" t="s">
        <v>11450</v>
      </c>
      <c r="H5390" s="54">
        <v>0</v>
      </c>
      <c r="I5390" s="16">
        <v>470000000</v>
      </c>
      <c r="J5390" s="56" t="s">
        <v>229</v>
      </c>
      <c r="K5390" s="57" t="s">
        <v>9453</v>
      </c>
      <c r="L5390" s="12" t="s">
        <v>404</v>
      </c>
      <c r="M5390" s="3" t="s">
        <v>230</v>
      </c>
      <c r="N5390" s="8" t="s">
        <v>8899</v>
      </c>
      <c r="O5390" s="6" t="s">
        <v>365</v>
      </c>
      <c r="P5390" s="58">
        <v>796</v>
      </c>
      <c r="Q5390" s="31" t="s">
        <v>234</v>
      </c>
      <c r="R5390" s="32">
        <v>3</v>
      </c>
      <c r="S5390" s="59">
        <f>26049.81*1.07</f>
        <v>27873.296700000003</v>
      </c>
      <c r="T5390" s="4">
        <v>0</v>
      </c>
      <c r="U5390" s="4">
        <f>T5390*1.12</f>
        <v>0</v>
      </c>
      <c r="V5390" s="3"/>
      <c r="W5390" s="3">
        <v>2014</v>
      </c>
      <c r="X5390" s="3" t="s">
        <v>12076</v>
      </c>
    </row>
    <row r="5391" spans="1:24" ht="114.75">
      <c r="A5391" s="3" t="s">
        <v>2212</v>
      </c>
      <c r="B5391" s="6" t="s">
        <v>361</v>
      </c>
      <c r="C5391" s="6" t="s">
        <v>6257</v>
      </c>
      <c r="D5391" s="6" t="s">
        <v>456</v>
      </c>
      <c r="E5391" s="6" t="s">
        <v>6258</v>
      </c>
      <c r="F5391" s="129" t="s">
        <v>6260</v>
      </c>
      <c r="G5391" s="57" t="s">
        <v>11450</v>
      </c>
      <c r="H5391" s="54">
        <v>0</v>
      </c>
      <c r="I5391" s="16">
        <v>470000000</v>
      </c>
      <c r="J5391" s="56" t="s">
        <v>229</v>
      </c>
      <c r="K5391" s="57" t="s">
        <v>641</v>
      </c>
      <c r="L5391" s="12" t="s">
        <v>404</v>
      </c>
      <c r="M5391" s="3" t="s">
        <v>230</v>
      </c>
      <c r="N5391" s="8" t="s">
        <v>8899</v>
      </c>
      <c r="O5391" s="6" t="s">
        <v>365</v>
      </c>
      <c r="P5391" s="58">
        <v>796</v>
      </c>
      <c r="Q5391" s="31" t="s">
        <v>234</v>
      </c>
      <c r="R5391" s="32">
        <v>3</v>
      </c>
      <c r="S5391" s="59">
        <f>9262.155*1.07</f>
        <v>9910.5058500000014</v>
      </c>
      <c r="T5391" s="4">
        <v>0</v>
      </c>
      <c r="U5391" s="4">
        <f t="shared" si="235"/>
        <v>0</v>
      </c>
      <c r="V5391" s="3"/>
      <c r="W5391" s="3">
        <v>2014</v>
      </c>
      <c r="X5391" s="3">
        <v>11</v>
      </c>
    </row>
    <row r="5392" spans="1:24" ht="114.75">
      <c r="A5392" s="3" t="s">
        <v>12912</v>
      </c>
      <c r="B5392" s="6" t="s">
        <v>361</v>
      </c>
      <c r="C5392" s="6" t="s">
        <v>6257</v>
      </c>
      <c r="D5392" s="6" t="s">
        <v>456</v>
      </c>
      <c r="E5392" s="6" t="s">
        <v>6258</v>
      </c>
      <c r="F5392" s="129" t="s">
        <v>6260</v>
      </c>
      <c r="G5392" s="57" t="s">
        <v>11450</v>
      </c>
      <c r="H5392" s="54">
        <v>0</v>
      </c>
      <c r="I5392" s="16">
        <v>470000000</v>
      </c>
      <c r="J5392" s="56" t="s">
        <v>229</v>
      </c>
      <c r="K5392" s="57" t="s">
        <v>9453</v>
      </c>
      <c r="L5392" s="12" t="s">
        <v>404</v>
      </c>
      <c r="M5392" s="3" t="s">
        <v>230</v>
      </c>
      <c r="N5392" s="8" t="s">
        <v>8899</v>
      </c>
      <c r="O5392" s="6" t="s">
        <v>365</v>
      </c>
      <c r="P5392" s="58">
        <v>796</v>
      </c>
      <c r="Q5392" s="31" t="s">
        <v>234</v>
      </c>
      <c r="R5392" s="32">
        <v>3</v>
      </c>
      <c r="S5392" s="59">
        <f>9262.155*1.07</f>
        <v>9910.5058500000014</v>
      </c>
      <c r="T5392" s="4">
        <v>0</v>
      </c>
      <c r="U5392" s="4">
        <f>T5392*1.12</f>
        <v>0</v>
      </c>
      <c r="V5392" s="3"/>
      <c r="W5392" s="3">
        <v>2014</v>
      </c>
      <c r="X5392" s="3" t="s">
        <v>12076</v>
      </c>
    </row>
    <row r="5393" spans="1:24" ht="114.75">
      <c r="A5393" s="3" t="s">
        <v>2213</v>
      </c>
      <c r="B5393" s="6" t="s">
        <v>361</v>
      </c>
      <c r="C5393" s="6" t="s">
        <v>7398</v>
      </c>
      <c r="D5393" s="6" t="s">
        <v>5654</v>
      </c>
      <c r="E5393" s="6" t="s">
        <v>11559</v>
      </c>
      <c r="F5393" s="129" t="s">
        <v>6261</v>
      </c>
      <c r="G5393" s="57" t="s">
        <v>11450</v>
      </c>
      <c r="H5393" s="54">
        <v>0</v>
      </c>
      <c r="I5393" s="16">
        <v>470000000</v>
      </c>
      <c r="J5393" s="56" t="s">
        <v>229</v>
      </c>
      <c r="K5393" s="57" t="s">
        <v>641</v>
      </c>
      <c r="L5393" s="12" t="s">
        <v>404</v>
      </c>
      <c r="M5393" s="3" t="s">
        <v>230</v>
      </c>
      <c r="N5393" s="8" t="s">
        <v>8899</v>
      </c>
      <c r="O5393" s="6" t="s">
        <v>365</v>
      </c>
      <c r="P5393" s="58">
        <v>796</v>
      </c>
      <c r="Q5393" s="31" t="s">
        <v>234</v>
      </c>
      <c r="R5393" s="32">
        <v>3</v>
      </c>
      <c r="S5393" s="59">
        <f>22477.235</f>
        <v>22477.235000000001</v>
      </c>
      <c r="T5393" s="4">
        <v>0</v>
      </c>
      <c r="U5393" s="4">
        <f t="shared" si="235"/>
        <v>0</v>
      </c>
      <c r="V5393" s="3"/>
      <c r="W5393" s="3">
        <v>2014</v>
      </c>
      <c r="X5393" s="3">
        <v>11</v>
      </c>
    </row>
    <row r="5394" spans="1:24" ht="114.75">
      <c r="A5394" s="3" t="s">
        <v>12913</v>
      </c>
      <c r="B5394" s="6" t="s">
        <v>361</v>
      </c>
      <c r="C5394" s="6" t="s">
        <v>7398</v>
      </c>
      <c r="D5394" s="6" t="s">
        <v>5654</v>
      </c>
      <c r="E5394" s="6" t="s">
        <v>11559</v>
      </c>
      <c r="F5394" s="129" t="s">
        <v>6261</v>
      </c>
      <c r="G5394" s="57" t="s">
        <v>11450</v>
      </c>
      <c r="H5394" s="54">
        <v>0</v>
      </c>
      <c r="I5394" s="16">
        <v>470000000</v>
      </c>
      <c r="J5394" s="56" t="s">
        <v>229</v>
      </c>
      <c r="K5394" s="57" t="s">
        <v>9453</v>
      </c>
      <c r="L5394" s="12" t="s">
        <v>404</v>
      </c>
      <c r="M5394" s="3" t="s">
        <v>230</v>
      </c>
      <c r="N5394" s="8" t="s">
        <v>8899</v>
      </c>
      <c r="O5394" s="6" t="s">
        <v>365</v>
      </c>
      <c r="P5394" s="58">
        <v>796</v>
      </c>
      <c r="Q5394" s="31" t="s">
        <v>234</v>
      </c>
      <c r="R5394" s="32">
        <v>3</v>
      </c>
      <c r="S5394" s="59">
        <f>22477.235</f>
        <v>22477.235000000001</v>
      </c>
      <c r="T5394" s="4">
        <v>0</v>
      </c>
      <c r="U5394" s="4">
        <f>T5394*1.12</f>
        <v>0</v>
      </c>
      <c r="V5394" s="3"/>
      <c r="W5394" s="3">
        <v>2014</v>
      </c>
      <c r="X5394" s="3" t="s">
        <v>12076</v>
      </c>
    </row>
    <row r="5395" spans="1:24" ht="114.75">
      <c r="A5395" s="3" t="s">
        <v>2214</v>
      </c>
      <c r="B5395" s="6" t="s">
        <v>361</v>
      </c>
      <c r="C5395" s="6" t="s">
        <v>7398</v>
      </c>
      <c r="D5395" s="6" t="s">
        <v>5654</v>
      </c>
      <c r="E5395" s="6" t="s">
        <v>11559</v>
      </c>
      <c r="F5395" s="129" t="s">
        <v>6262</v>
      </c>
      <c r="G5395" s="57" t="s">
        <v>11450</v>
      </c>
      <c r="H5395" s="54">
        <v>0</v>
      </c>
      <c r="I5395" s="16">
        <v>470000000</v>
      </c>
      <c r="J5395" s="56" t="s">
        <v>229</v>
      </c>
      <c r="K5395" s="57" t="s">
        <v>641</v>
      </c>
      <c r="L5395" s="12" t="s">
        <v>404</v>
      </c>
      <c r="M5395" s="3" t="s">
        <v>230</v>
      </c>
      <c r="N5395" s="8" t="s">
        <v>8899</v>
      </c>
      <c r="O5395" s="6" t="s">
        <v>365</v>
      </c>
      <c r="P5395" s="58">
        <v>796</v>
      </c>
      <c r="Q5395" s="31" t="s">
        <v>234</v>
      </c>
      <c r="R5395" s="32">
        <v>3</v>
      </c>
      <c r="S5395" s="59">
        <f>18733.85*1.07</f>
        <v>20045.219499999999</v>
      </c>
      <c r="T5395" s="4">
        <v>0</v>
      </c>
      <c r="U5395" s="4">
        <f t="shared" si="235"/>
        <v>0</v>
      </c>
      <c r="V5395" s="3"/>
      <c r="W5395" s="3">
        <v>2014</v>
      </c>
      <c r="X5395" s="3">
        <v>11</v>
      </c>
    </row>
    <row r="5396" spans="1:24" ht="114.75">
      <c r="A5396" s="3" t="s">
        <v>12914</v>
      </c>
      <c r="B5396" s="6" t="s">
        <v>361</v>
      </c>
      <c r="C5396" s="6" t="s">
        <v>7398</v>
      </c>
      <c r="D5396" s="6" t="s">
        <v>5654</v>
      </c>
      <c r="E5396" s="6" t="s">
        <v>11559</v>
      </c>
      <c r="F5396" s="129" t="s">
        <v>6262</v>
      </c>
      <c r="G5396" s="57" t="s">
        <v>11450</v>
      </c>
      <c r="H5396" s="54">
        <v>0</v>
      </c>
      <c r="I5396" s="16">
        <v>470000000</v>
      </c>
      <c r="J5396" s="56" t="s">
        <v>229</v>
      </c>
      <c r="K5396" s="57" t="s">
        <v>9453</v>
      </c>
      <c r="L5396" s="12" t="s">
        <v>404</v>
      </c>
      <c r="M5396" s="3" t="s">
        <v>230</v>
      </c>
      <c r="N5396" s="8" t="s">
        <v>8899</v>
      </c>
      <c r="O5396" s="6" t="s">
        <v>365</v>
      </c>
      <c r="P5396" s="58">
        <v>796</v>
      </c>
      <c r="Q5396" s="31" t="s">
        <v>234</v>
      </c>
      <c r="R5396" s="32">
        <v>3</v>
      </c>
      <c r="S5396" s="59">
        <f>18733.85*1.07</f>
        <v>20045.219499999999</v>
      </c>
      <c r="T5396" s="4">
        <v>0</v>
      </c>
      <c r="U5396" s="4">
        <f>T5396*1.12</f>
        <v>0</v>
      </c>
      <c r="V5396" s="3"/>
      <c r="W5396" s="3">
        <v>2014</v>
      </c>
      <c r="X5396" s="3" t="s">
        <v>12076</v>
      </c>
    </row>
    <row r="5397" spans="1:24" ht="114.75">
      <c r="A5397" s="3" t="s">
        <v>2215</v>
      </c>
      <c r="B5397" s="6" t="s">
        <v>361</v>
      </c>
      <c r="C5397" s="6" t="s">
        <v>5627</v>
      </c>
      <c r="D5397" s="6" t="s">
        <v>5628</v>
      </c>
      <c r="E5397" s="6" t="s">
        <v>5629</v>
      </c>
      <c r="F5397" s="129" t="s">
        <v>6267</v>
      </c>
      <c r="G5397" s="57" t="s">
        <v>11450</v>
      </c>
      <c r="H5397" s="54">
        <v>0</v>
      </c>
      <c r="I5397" s="16">
        <v>470000000</v>
      </c>
      <c r="J5397" s="56" t="s">
        <v>229</v>
      </c>
      <c r="K5397" s="57" t="s">
        <v>641</v>
      </c>
      <c r="L5397" s="12" t="s">
        <v>404</v>
      </c>
      <c r="M5397" s="3" t="s">
        <v>230</v>
      </c>
      <c r="N5397" s="8" t="s">
        <v>8899</v>
      </c>
      <c r="O5397" s="6" t="s">
        <v>365</v>
      </c>
      <c r="P5397" s="58">
        <v>796</v>
      </c>
      <c r="Q5397" s="31" t="s">
        <v>234</v>
      </c>
      <c r="R5397" s="32">
        <v>4</v>
      </c>
      <c r="S5397" s="59">
        <f>67042.61*1.07</f>
        <v>71735.592700000008</v>
      </c>
      <c r="T5397" s="4">
        <v>0</v>
      </c>
      <c r="U5397" s="4">
        <f t="shared" ref="U5397:U5480" si="237">T5397*1.12</f>
        <v>0</v>
      </c>
      <c r="V5397" s="3"/>
      <c r="W5397" s="3">
        <v>2014</v>
      </c>
      <c r="X5397" s="3">
        <v>7.11</v>
      </c>
    </row>
    <row r="5398" spans="1:24" ht="114.75">
      <c r="A5398" s="3" t="s">
        <v>12915</v>
      </c>
      <c r="B5398" s="6" t="s">
        <v>361</v>
      </c>
      <c r="C5398" s="6" t="s">
        <v>5627</v>
      </c>
      <c r="D5398" s="6" t="s">
        <v>5628</v>
      </c>
      <c r="E5398" s="6" t="s">
        <v>5629</v>
      </c>
      <c r="F5398" s="129" t="s">
        <v>6267</v>
      </c>
      <c r="G5398" s="57" t="s">
        <v>11449</v>
      </c>
      <c r="H5398" s="54">
        <v>0</v>
      </c>
      <c r="I5398" s="16">
        <v>470000000</v>
      </c>
      <c r="J5398" s="56" t="s">
        <v>229</v>
      </c>
      <c r="K5398" s="57" t="s">
        <v>9453</v>
      </c>
      <c r="L5398" s="12" t="s">
        <v>404</v>
      </c>
      <c r="M5398" s="3" t="s">
        <v>230</v>
      </c>
      <c r="N5398" s="8" t="s">
        <v>8899</v>
      </c>
      <c r="O5398" s="6" t="s">
        <v>365</v>
      </c>
      <c r="P5398" s="58">
        <v>796</v>
      </c>
      <c r="Q5398" s="31" t="s">
        <v>234</v>
      </c>
      <c r="R5398" s="32">
        <v>4</v>
      </c>
      <c r="S5398" s="59">
        <f>67042.61*1.07</f>
        <v>71735.592700000008</v>
      </c>
      <c r="T5398" s="4">
        <v>0</v>
      </c>
      <c r="U5398" s="4">
        <f>T5398*1.12</f>
        <v>0</v>
      </c>
      <c r="V5398" s="3"/>
      <c r="W5398" s="3">
        <v>2014</v>
      </c>
      <c r="X5398" s="3" t="s">
        <v>12076</v>
      </c>
    </row>
    <row r="5399" spans="1:24" ht="114.75">
      <c r="A5399" s="3" t="s">
        <v>2216</v>
      </c>
      <c r="B5399" s="6" t="s">
        <v>361</v>
      </c>
      <c r="C5399" s="6" t="s">
        <v>6268</v>
      </c>
      <c r="D5399" s="6" t="s">
        <v>6269</v>
      </c>
      <c r="E5399" s="6" t="s">
        <v>5332</v>
      </c>
      <c r="F5399" s="129" t="s">
        <v>6270</v>
      </c>
      <c r="G5399" s="3" t="s">
        <v>11449</v>
      </c>
      <c r="H5399" s="54">
        <v>0</v>
      </c>
      <c r="I5399" s="16">
        <v>470000000</v>
      </c>
      <c r="J5399" s="56" t="s">
        <v>229</v>
      </c>
      <c r="K5399" s="57" t="s">
        <v>641</v>
      </c>
      <c r="L5399" s="12" t="s">
        <v>404</v>
      </c>
      <c r="M5399" s="3" t="s">
        <v>230</v>
      </c>
      <c r="N5399" s="8" t="s">
        <v>8899</v>
      </c>
      <c r="O5399" s="6" t="s">
        <v>365</v>
      </c>
      <c r="P5399" s="58">
        <v>796</v>
      </c>
      <c r="Q5399" s="31" t="s">
        <v>234</v>
      </c>
      <c r="R5399" s="32">
        <v>4</v>
      </c>
      <c r="S5399" s="59">
        <f>107142.608*1.07</f>
        <v>114642.59056</v>
      </c>
      <c r="T5399" s="4">
        <v>0</v>
      </c>
      <c r="U5399" s="4">
        <f t="shared" si="237"/>
        <v>0</v>
      </c>
      <c r="V5399" s="3"/>
      <c r="W5399" s="3">
        <v>2014</v>
      </c>
      <c r="X5399" s="3">
        <v>11</v>
      </c>
    </row>
    <row r="5400" spans="1:24" ht="114.75">
      <c r="A5400" s="3" t="s">
        <v>12916</v>
      </c>
      <c r="B5400" s="6" t="s">
        <v>361</v>
      </c>
      <c r="C5400" s="6" t="s">
        <v>6268</v>
      </c>
      <c r="D5400" s="6" t="s">
        <v>6269</v>
      </c>
      <c r="E5400" s="6" t="s">
        <v>5332</v>
      </c>
      <c r="F5400" s="129" t="s">
        <v>6270</v>
      </c>
      <c r="G5400" s="3" t="s">
        <v>11449</v>
      </c>
      <c r="H5400" s="54">
        <v>0</v>
      </c>
      <c r="I5400" s="16">
        <v>470000000</v>
      </c>
      <c r="J5400" s="56" t="s">
        <v>229</v>
      </c>
      <c r="K5400" s="57" t="s">
        <v>9453</v>
      </c>
      <c r="L5400" s="12" t="s">
        <v>404</v>
      </c>
      <c r="M5400" s="3" t="s">
        <v>230</v>
      </c>
      <c r="N5400" s="8" t="s">
        <v>8899</v>
      </c>
      <c r="O5400" s="6" t="s">
        <v>365</v>
      </c>
      <c r="P5400" s="58">
        <v>796</v>
      </c>
      <c r="Q5400" s="31" t="s">
        <v>234</v>
      </c>
      <c r="R5400" s="32">
        <v>4</v>
      </c>
      <c r="S5400" s="59">
        <f>107142.608*1.07</f>
        <v>114642.59056</v>
      </c>
      <c r="T5400" s="4">
        <v>0</v>
      </c>
      <c r="U5400" s="4">
        <f>T5400*1.12</f>
        <v>0</v>
      </c>
      <c r="V5400" s="3"/>
      <c r="W5400" s="3">
        <v>2014</v>
      </c>
      <c r="X5400" s="3" t="s">
        <v>12076</v>
      </c>
    </row>
    <row r="5401" spans="1:24" ht="114.75">
      <c r="A5401" s="3" t="s">
        <v>2217</v>
      </c>
      <c r="B5401" s="6" t="s">
        <v>361</v>
      </c>
      <c r="C5401" s="6" t="s">
        <v>5356</v>
      </c>
      <c r="D5401" s="6" t="s">
        <v>5357</v>
      </c>
      <c r="E5401" s="6" t="s">
        <v>5358</v>
      </c>
      <c r="F5401" s="30" t="s">
        <v>8142</v>
      </c>
      <c r="G5401" s="3" t="s">
        <v>11449</v>
      </c>
      <c r="H5401" s="54">
        <v>0</v>
      </c>
      <c r="I5401" s="16">
        <v>470000000</v>
      </c>
      <c r="J5401" s="56" t="s">
        <v>229</v>
      </c>
      <c r="K5401" s="57" t="s">
        <v>641</v>
      </c>
      <c r="L5401" s="12" t="s">
        <v>404</v>
      </c>
      <c r="M5401" s="3" t="s">
        <v>230</v>
      </c>
      <c r="N5401" s="8" t="s">
        <v>8899</v>
      </c>
      <c r="O5401" s="6" t="s">
        <v>365</v>
      </c>
      <c r="P5401" s="58">
        <v>839</v>
      </c>
      <c r="Q5401" s="26" t="s">
        <v>239</v>
      </c>
      <c r="R5401" s="34">
        <v>20</v>
      </c>
      <c r="S5401" s="59">
        <v>4378</v>
      </c>
      <c r="T5401" s="4">
        <v>0</v>
      </c>
      <c r="U5401" s="4">
        <f t="shared" si="237"/>
        <v>0</v>
      </c>
      <c r="V5401" s="3"/>
      <c r="W5401" s="3">
        <v>2014</v>
      </c>
      <c r="X5401" s="3">
        <v>11</v>
      </c>
    </row>
    <row r="5402" spans="1:24" ht="114.75">
      <c r="A5402" s="3" t="s">
        <v>12917</v>
      </c>
      <c r="B5402" s="6" t="s">
        <v>361</v>
      </c>
      <c r="C5402" s="6" t="s">
        <v>5356</v>
      </c>
      <c r="D5402" s="6" t="s">
        <v>5357</v>
      </c>
      <c r="E5402" s="6" t="s">
        <v>5358</v>
      </c>
      <c r="F5402" s="30" t="s">
        <v>8142</v>
      </c>
      <c r="G5402" s="3" t="s">
        <v>11449</v>
      </c>
      <c r="H5402" s="54">
        <v>0</v>
      </c>
      <c r="I5402" s="16">
        <v>470000000</v>
      </c>
      <c r="J5402" s="56" t="s">
        <v>229</v>
      </c>
      <c r="K5402" s="57" t="s">
        <v>9453</v>
      </c>
      <c r="L5402" s="12" t="s">
        <v>404</v>
      </c>
      <c r="M5402" s="3" t="s">
        <v>230</v>
      </c>
      <c r="N5402" s="8" t="s">
        <v>8899</v>
      </c>
      <c r="O5402" s="6" t="s">
        <v>365</v>
      </c>
      <c r="P5402" s="58">
        <v>839</v>
      </c>
      <c r="Q5402" s="26" t="s">
        <v>239</v>
      </c>
      <c r="R5402" s="34">
        <v>20</v>
      </c>
      <c r="S5402" s="59">
        <v>4378</v>
      </c>
      <c r="T5402" s="4">
        <f>R5402*S5402</f>
        <v>87560</v>
      </c>
      <c r="U5402" s="4">
        <f>T5402*1.12</f>
        <v>98067.200000000012</v>
      </c>
      <c r="V5402" s="3"/>
      <c r="W5402" s="3">
        <v>2014</v>
      </c>
      <c r="X5402" s="3"/>
    </row>
    <row r="5403" spans="1:24" ht="114.75">
      <c r="A5403" s="3" t="s">
        <v>2218</v>
      </c>
      <c r="B5403" s="6" t="s">
        <v>361</v>
      </c>
      <c r="C5403" s="6" t="s">
        <v>6271</v>
      </c>
      <c r="D5403" s="6" t="s">
        <v>405</v>
      </c>
      <c r="E5403" s="6" t="s">
        <v>6272</v>
      </c>
      <c r="F5403" s="30" t="s">
        <v>8143</v>
      </c>
      <c r="G5403" s="3" t="s">
        <v>11449</v>
      </c>
      <c r="H5403" s="54">
        <v>0</v>
      </c>
      <c r="I5403" s="16">
        <v>470000000</v>
      </c>
      <c r="J5403" s="56" t="s">
        <v>229</v>
      </c>
      <c r="K5403" s="57" t="s">
        <v>641</v>
      </c>
      <c r="L5403" s="12" t="s">
        <v>404</v>
      </c>
      <c r="M5403" s="3" t="s">
        <v>230</v>
      </c>
      <c r="N5403" s="8" t="s">
        <v>8899</v>
      </c>
      <c r="O5403" s="6" t="s">
        <v>365</v>
      </c>
      <c r="P5403" s="58">
        <v>796</v>
      </c>
      <c r="Q5403" s="31" t="s">
        <v>234</v>
      </c>
      <c r="R5403" s="34">
        <v>40</v>
      </c>
      <c r="S5403" s="59">
        <v>1778.8980000000001</v>
      </c>
      <c r="T5403" s="4">
        <v>0</v>
      </c>
      <c r="U5403" s="4">
        <f t="shared" si="237"/>
        <v>0</v>
      </c>
      <c r="V5403" s="3"/>
      <c r="W5403" s="3">
        <v>2014</v>
      </c>
      <c r="X5403" s="3">
        <v>11</v>
      </c>
    </row>
    <row r="5404" spans="1:24" ht="114.75">
      <c r="A5404" s="3" t="s">
        <v>12918</v>
      </c>
      <c r="B5404" s="6" t="s">
        <v>361</v>
      </c>
      <c r="C5404" s="6" t="s">
        <v>6271</v>
      </c>
      <c r="D5404" s="6" t="s">
        <v>405</v>
      </c>
      <c r="E5404" s="6" t="s">
        <v>6272</v>
      </c>
      <c r="F5404" s="30" t="s">
        <v>8143</v>
      </c>
      <c r="G5404" s="3" t="s">
        <v>11449</v>
      </c>
      <c r="H5404" s="54">
        <v>0</v>
      </c>
      <c r="I5404" s="16">
        <v>470000000</v>
      </c>
      <c r="J5404" s="56" t="s">
        <v>229</v>
      </c>
      <c r="K5404" s="57" t="s">
        <v>9453</v>
      </c>
      <c r="L5404" s="12" t="s">
        <v>404</v>
      </c>
      <c r="M5404" s="3" t="s">
        <v>230</v>
      </c>
      <c r="N5404" s="8" t="s">
        <v>8899</v>
      </c>
      <c r="O5404" s="6" t="s">
        <v>365</v>
      </c>
      <c r="P5404" s="58">
        <v>796</v>
      </c>
      <c r="Q5404" s="31" t="s">
        <v>234</v>
      </c>
      <c r="R5404" s="34">
        <v>40</v>
      </c>
      <c r="S5404" s="59">
        <v>1778.8980000000001</v>
      </c>
      <c r="T5404" s="4">
        <v>0</v>
      </c>
      <c r="U5404" s="4">
        <f>T5404*1.12</f>
        <v>0</v>
      </c>
      <c r="V5404" s="3"/>
      <c r="W5404" s="3">
        <v>2014</v>
      </c>
      <c r="X5404" s="3" t="s">
        <v>12076</v>
      </c>
    </row>
    <row r="5405" spans="1:24" ht="114.75">
      <c r="A5405" s="3" t="s">
        <v>2219</v>
      </c>
      <c r="B5405" s="6" t="s">
        <v>361</v>
      </c>
      <c r="C5405" s="6" t="s">
        <v>6263</v>
      </c>
      <c r="D5405" s="6" t="s">
        <v>441</v>
      </c>
      <c r="E5405" s="6" t="s">
        <v>6264</v>
      </c>
      <c r="F5405" s="30" t="s">
        <v>8144</v>
      </c>
      <c r="G5405" s="3" t="s">
        <v>11449</v>
      </c>
      <c r="H5405" s="54">
        <v>0</v>
      </c>
      <c r="I5405" s="16">
        <v>470000000</v>
      </c>
      <c r="J5405" s="56" t="s">
        <v>229</v>
      </c>
      <c r="K5405" s="57" t="s">
        <v>641</v>
      </c>
      <c r="L5405" s="12" t="s">
        <v>404</v>
      </c>
      <c r="M5405" s="3" t="s">
        <v>230</v>
      </c>
      <c r="N5405" s="8" t="s">
        <v>8899</v>
      </c>
      <c r="O5405" s="6" t="s">
        <v>365</v>
      </c>
      <c r="P5405" s="58">
        <v>796</v>
      </c>
      <c r="Q5405" s="31" t="s">
        <v>234</v>
      </c>
      <c r="R5405" s="34">
        <v>4</v>
      </c>
      <c r="S5405" s="59">
        <v>53900.000000000007</v>
      </c>
      <c r="T5405" s="4">
        <v>0</v>
      </c>
      <c r="U5405" s="4">
        <f t="shared" si="237"/>
        <v>0</v>
      </c>
      <c r="V5405" s="3"/>
      <c r="W5405" s="3">
        <v>2014</v>
      </c>
      <c r="X5405" s="3">
        <v>11</v>
      </c>
    </row>
    <row r="5406" spans="1:24" ht="114.75">
      <c r="A5406" s="3" t="s">
        <v>12919</v>
      </c>
      <c r="B5406" s="6" t="s">
        <v>361</v>
      </c>
      <c r="C5406" s="6" t="s">
        <v>6263</v>
      </c>
      <c r="D5406" s="6" t="s">
        <v>441</v>
      </c>
      <c r="E5406" s="6" t="s">
        <v>6264</v>
      </c>
      <c r="F5406" s="30" t="s">
        <v>8144</v>
      </c>
      <c r="G5406" s="3" t="s">
        <v>11449</v>
      </c>
      <c r="H5406" s="54">
        <v>0</v>
      </c>
      <c r="I5406" s="16">
        <v>470000000</v>
      </c>
      <c r="J5406" s="56" t="s">
        <v>229</v>
      </c>
      <c r="K5406" s="57" t="s">
        <v>9453</v>
      </c>
      <c r="L5406" s="12" t="s">
        <v>404</v>
      </c>
      <c r="M5406" s="3" t="s">
        <v>230</v>
      </c>
      <c r="N5406" s="8" t="s">
        <v>8899</v>
      </c>
      <c r="O5406" s="6" t="s">
        <v>365</v>
      </c>
      <c r="P5406" s="58">
        <v>796</v>
      </c>
      <c r="Q5406" s="31" t="s">
        <v>234</v>
      </c>
      <c r="R5406" s="34">
        <v>4</v>
      </c>
      <c r="S5406" s="59">
        <v>53900.000000000007</v>
      </c>
      <c r="T5406" s="4">
        <v>0</v>
      </c>
      <c r="U5406" s="4">
        <f>T5406*1.12</f>
        <v>0</v>
      </c>
      <c r="V5406" s="3"/>
      <c r="W5406" s="3">
        <v>2014</v>
      </c>
      <c r="X5406" s="3" t="s">
        <v>12076</v>
      </c>
    </row>
    <row r="5407" spans="1:24" ht="114.75">
      <c r="A5407" s="3" t="s">
        <v>2220</v>
      </c>
      <c r="B5407" s="6" t="s">
        <v>361</v>
      </c>
      <c r="C5407" s="6" t="s">
        <v>6263</v>
      </c>
      <c r="D5407" s="6" t="s">
        <v>441</v>
      </c>
      <c r="E5407" s="6" t="s">
        <v>6264</v>
      </c>
      <c r="F5407" s="28" t="s">
        <v>8145</v>
      </c>
      <c r="G5407" s="3" t="s">
        <v>11449</v>
      </c>
      <c r="H5407" s="54">
        <v>0</v>
      </c>
      <c r="I5407" s="16">
        <v>470000000</v>
      </c>
      <c r="J5407" s="56" t="s">
        <v>229</v>
      </c>
      <c r="K5407" s="57" t="s">
        <v>641</v>
      </c>
      <c r="L5407" s="12" t="s">
        <v>404</v>
      </c>
      <c r="M5407" s="3" t="s">
        <v>230</v>
      </c>
      <c r="N5407" s="8" t="s">
        <v>8899</v>
      </c>
      <c r="O5407" s="6" t="s">
        <v>365</v>
      </c>
      <c r="P5407" s="58">
        <v>796</v>
      </c>
      <c r="Q5407" s="31" t="s">
        <v>234</v>
      </c>
      <c r="R5407" s="34">
        <v>4</v>
      </c>
      <c r="S5407" s="59">
        <v>53900.000000000007</v>
      </c>
      <c r="T5407" s="4">
        <v>0</v>
      </c>
      <c r="U5407" s="4">
        <f t="shared" si="237"/>
        <v>0</v>
      </c>
      <c r="V5407" s="3"/>
      <c r="W5407" s="3">
        <v>2014</v>
      </c>
      <c r="X5407" s="3">
        <v>11</v>
      </c>
    </row>
    <row r="5408" spans="1:24" ht="114.75">
      <c r="A5408" s="3" t="s">
        <v>12920</v>
      </c>
      <c r="B5408" s="6" t="s">
        <v>361</v>
      </c>
      <c r="C5408" s="6" t="s">
        <v>6263</v>
      </c>
      <c r="D5408" s="6" t="s">
        <v>441</v>
      </c>
      <c r="E5408" s="6" t="s">
        <v>6264</v>
      </c>
      <c r="F5408" s="28" t="s">
        <v>8145</v>
      </c>
      <c r="G5408" s="3" t="s">
        <v>11449</v>
      </c>
      <c r="H5408" s="54">
        <v>0</v>
      </c>
      <c r="I5408" s="16">
        <v>470000000</v>
      </c>
      <c r="J5408" s="56" t="s">
        <v>229</v>
      </c>
      <c r="K5408" s="57" t="s">
        <v>9453</v>
      </c>
      <c r="L5408" s="12" t="s">
        <v>404</v>
      </c>
      <c r="M5408" s="3" t="s">
        <v>230</v>
      </c>
      <c r="N5408" s="8" t="s">
        <v>8899</v>
      </c>
      <c r="O5408" s="6" t="s">
        <v>365</v>
      </c>
      <c r="P5408" s="58">
        <v>796</v>
      </c>
      <c r="Q5408" s="31" t="s">
        <v>234</v>
      </c>
      <c r="R5408" s="34">
        <v>4</v>
      </c>
      <c r="S5408" s="59">
        <v>53900.000000000007</v>
      </c>
      <c r="T5408" s="4">
        <v>0</v>
      </c>
      <c r="U5408" s="4">
        <f>T5408*1.12</f>
        <v>0</v>
      </c>
      <c r="V5408" s="3"/>
      <c r="W5408" s="3">
        <v>2014</v>
      </c>
      <c r="X5408" s="3" t="s">
        <v>12076</v>
      </c>
    </row>
    <row r="5409" spans="1:24" ht="114.75">
      <c r="A5409" s="3" t="s">
        <v>2221</v>
      </c>
      <c r="B5409" s="6" t="s">
        <v>361</v>
      </c>
      <c r="C5409" s="6" t="s">
        <v>6273</v>
      </c>
      <c r="D5409" s="6" t="s">
        <v>5963</v>
      </c>
      <c r="E5409" s="6" t="s">
        <v>6274</v>
      </c>
      <c r="F5409" s="28" t="s">
        <v>6275</v>
      </c>
      <c r="G5409" s="3" t="s">
        <v>11449</v>
      </c>
      <c r="H5409" s="54">
        <v>0</v>
      </c>
      <c r="I5409" s="16">
        <v>470000000</v>
      </c>
      <c r="J5409" s="56" t="s">
        <v>229</v>
      </c>
      <c r="K5409" s="57" t="s">
        <v>641</v>
      </c>
      <c r="L5409" s="12" t="s">
        <v>404</v>
      </c>
      <c r="M5409" s="3" t="s">
        <v>230</v>
      </c>
      <c r="N5409" s="8" t="s">
        <v>8899</v>
      </c>
      <c r="O5409" s="6" t="s">
        <v>365</v>
      </c>
      <c r="P5409" s="58">
        <v>796</v>
      </c>
      <c r="Q5409" s="31" t="s">
        <v>234</v>
      </c>
      <c r="R5409" s="34">
        <v>6</v>
      </c>
      <c r="S5409" s="59">
        <v>76685.718999999997</v>
      </c>
      <c r="T5409" s="4">
        <v>0</v>
      </c>
      <c r="U5409" s="4">
        <f t="shared" si="237"/>
        <v>0</v>
      </c>
      <c r="V5409" s="3"/>
      <c r="W5409" s="3">
        <v>2014</v>
      </c>
      <c r="X5409" s="3">
        <v>11</v>
      </c>
    </row>
    <row r="5410" spans="1:24" ht="114.75">
      <c r="A5410" s="3" t="s">
        <v>12921</v>
      </c>
      <c r="B5410" s="6" t="s">
        <v>361</v>
      </c>
      <c r="C5410" s="6" t="s">
        <v>6273</v>
      </c>
      <c r="D5410" s="6" t="s">
        <v>5963</v>
      </c>
      <c r="E5410" s="6" t="s">
        <v>6274</v>
      </c>
      <c r="F5410" s="28" t="s">
        <v>6275</v>
      </c>
      <c r="G5410" s="3" t="s">
        <v>11449</v>
      </c>
      <c r="H5410" s="54">
        <v>0</v>
      </c>
      <c r="I5410" s="16">
        <v>470000000</v>
      </c>
      <c r="J5410" s="56" t="s">
        <v>229</v>
      </c>
      <c r="K5410" s="57" t="s">
        <v>9453</v>
      </c>
      <c r="L5410" s="12" t="s">
        <v>404</v>
      </c>
      <c r="M5410" s="3" t="s">
        <v>230</v>
      </c>
      <c r="N5410" s="8" t="s">
        <v>8899</v>
      </c>
      <c r="O5410" s="6" t="s">
        <v>365</v>
      </c>
      <c r="P5410" s="58">
        <v>796</v>
      </c>
      <c r="Q5410" s="31" t="s">
        <v>234</v>
      </c>
      <c r="R5410" s="34">
        <v>6</v>
      </c>
      <c r="S5410" s="59">
        <v>76685.718999999997</v>
      </c>
      <c r="T5410" s="4">
        <v>0</v>
      </c>
      <c r="U5410" s="4">
        <f>T5410*1.12</f>
        <v>0</v>
      </c>
      <c r="V5410" s="3"/>
      <c r="W5410" s="3">
        <v>2014</v>
      </c>
      <c r="X5410" s="3" t="s">
        <v>12076</v>
      </c>
    </row>
    <row r="5411" spans="1:24" ht="114.75">
      <c r="A5411" s="3" t="s">
        <v>2222</v>
      </c>
      <c r="B5411" s="6" t="s">
        <v>361</v>
      </c>
      <c r="C5411" s="6" t="s">
        <v>6276</v>
      </c>
      <c r="D5411" s="6" t="s">
        <v>5357</v>
      </c>
      <c r="E5411" s="6" t="s">
        <v>6277</v>
      </c>
      <c r="F5411" s="30" t="s">
        <v>8146</v>
      </c>
      <c r="G5411" s="3" t="s">
        <v>11449</v>
      </c>
      <c r="H5411" s="54">
        <v>0</v>
      </c>
      <c r="I5411" s="16">
        <v>470000000</v>
      </c>
      <c r="J5411" s="56" t="s">
        <v>229</v>
      </c>
      <c r="K5411" s="57" t="s">
        <v>641</v>
      </c>
      <c r="L5411" s="12" t="s">
        <v>404</v>
      </c>
      <c r="M5411" s="3" t="s">
        <v>230</v>
      </c>
      <c r="N5411" s="8" t="s">
        <v>8899</v>
      </c>
      <c r="O5411" s="6" t="s">
        <v>365</v>
      </c>
      <c r="P5411" s="58">
        <v>839</v>
      </c>
      <c r="Q5411" s="26" t="s">
        <v>239</v>
      </c>
      <c r="R5411" s="34">
        <v>15</v>
      </c>
      <c r="S5411" s="59">
        <v>15321.427000000001</v>
      </c>
      <c r="T5411" s="4">
        <v>0</v>
      </c>
      <c r="U5411" s="4">
        <f t="shared" si="237"/>
        <v>0</v>
      </c>
      <c r="V5411" s="3"/>
      <c r="W5411" s="3">
        <v>2014</v>
      </c>
      <c r="X5411" s="3">
        <v>11</v>
      </c>
    </row>
    <row r="5412" spans="1:24" ht="114.75">
      <c r="A5412" s="3" t="s">
        <v>12922</v>
      </c>
      <c r="B5412" s="6" t="s">
        <v>361</v>
      </c>
      <c r="C5412" s="6" t="s">
        <v>6276</v>
      </c>
      <c r="D5412" s="6" t="s">
        <v>5357</v>
      </c>
      <c r="E5412" s="6" t="s">
        <v>6277</v>
      </c>
      <c r="F5412" s="30" t="s">
        <v>8146</v>
      </c>
      <c r="G5412" s="3" t="s">
        <v>11449</v>
      </c>
      <c r="H5412" s="54">
        <v>0</v>
      </c>
      <c r="I5412" s="16">
        <v>470000000</v>
      </c>
      <c r="J5412" s="56" t="s">
        <v>229</v>
      </c>
      <c r="K5412" s="57" t="s">
        <v>9453</v>
      </c>
      <c r="L5412" s="12" t="s">
        <v>404</v>
      </c>
      <c r="M5412" s="3" t="s">
        <v>230</v>
      </c>
      <c r="N5412" s="8" t="s">
        <v>8899</v>
      </c>
      <c r="O5412" s="6" t="s">
        <v>365</v>
      </c>
      <c r="P5412" s="58">
        <v>839</v>
      </c>
      <c r="Q5412" s="26" t="s">
        <v>239</v>
      </c>
      <c r="R5412" s="34">
        <v>15</v>
      </c>
      <c r="S5412" s="59">
        <v>15321.427000000001</v>
      </c>
      <c r="T5412" s="4">
        <v>0</v>
      </c>
      <c r="U5412" s="4">
        <f>T5412*1.12</f>
        <v>0</v>
      </c>
      <c r="V5412" s="3"/>
      <c r="W5412" s="3">
        <v>2014</v>
      </c>
      <c r="X5412" s="3" t="s">
        <v>12076</v>
      </c>
    </row>
    <row r="5413" spans="1:24" ht="114.75">
      <c r="A5413" s="3" t="s">
        <v>2223</v>
      </c>
      <c r="B5413" s="6" t="s">
        <v>361</v>
      </c>
      <c r="C5413" s="6" t="s">
        <v>6276</v>
      </c>
      <c r="D5413" s="6" t="s">
        <v>5357</v>
      </c>
      <c r="E5413" s="6" t="s">
        <v>6277</v>
      </c>
      <c r="F5413" s="30" t="s">
        <v>8147</v>
      </c>
      <c r="G5413" s="3" t="s">
        <v>11449</v>
      </c>
      <c r="H5413" s="54">
        <v>0</v>
      </c>
      <c r="I5413" s="16">
        <v>470000000</v>
      </c>
      <c r="J5413" s="56" t="s">
        <v>229</v>
      </c>
      <c r="K5413" s="57" t="s">
        <v>641</v>
      </c>
      <c r="L5413" s="12" t="s">
        <v>404</v>
      </c>
      <c r="M5413" s="3" t="s">
        <v>230</v>
      </c>
      <c r="N5413" s="8" t="s">
        <v>8899</v>
      </c>
      <c r="O5413" s="6" t="s">
        <v>365</v>
      </c>
      <c r="P5413" s="58">
        <v>839</v>
      </c>
      <c r="Q5413" s="26" t="s">
        <v>239</v>
      </c>
      <c r="R5413" s="34">
        <v>15</v>
      </c>
      <c r="S5413" s="59">
        <v>3928.5730000000003</v>
      </c>
      <c r="T5413" s="4">
        <v>0</v>
      </c>
      <c r="U5413" s="4">
        <f t="shared" si="237"/>
        <v>0</v>
      </c>
      <c r="V5413" s="3"/>
      <c r="W5413" s="3">
        <v>2014</v>
      </c>
      <c r="X5413" s="3">
        <v>11</v>
      </c>
    </row>
    <row r="5414" spans="1:24" ht="114.75">
      <c r="A5414" s="3" t="s">
        <v>12923</v>
      </c>
      <c r="B5414" s="6" t="s">
        <v>361</v>
      </c>
      <c r="C5414" s="6" t="s">
        <v>6276</v>
      </c>
      <c r="D5414" s="6" t="s">
        <v>5357</v>
      </c>
      <c r="E5414" s="6" t="s">
        <v>6277</v>
      </c>
      <c r="F5414" s="30" t="s">
        <v>8147</v>
      </c>
      <c r="G5414" s="3" t="s">
        <v>11449</v>
      </c>
      <c r="H5414" s="54">
        <v>0</v>
      </c>
      <c r="I5414" s="16">
        <v>470000000</v>
      </c>
      <c r="J5414" s="56" t="s">
        <v>229</v>
      </c>
      <c r="K5414" s="57" t="s">
        <v>9453</v>
      </c>
      <c r="L5414" s="12" t="s">
        <v>404</v>
      </c>
      <c r="M5414" s="3" t="s">
        <v>230</v>
      </c>
      <c r="N5414" s="8" t="s">
        <v>8899</v>
      </c>
      <c r="O5414" s="6" t="s">
        <v>365</v>
      </c>
      <c r="P5414" s="58">
        <v>839</v>
      </c>
      <c r="Q5414" s="26" t="s">
        <v>239</v>
      </c>
      <c r="R5414" s="34">
        <v>15</v>
      </c>
      <c r="S5414" s="59">
        <v>3928.5730000000003</v>
      </c>
      <c r="T5414" s="4">
        <v>0</v>
      </c>
      <c r="U5414" s="4">
        <f>T5414*1.12</f>
        <v>0</v>
      </c>
      <c r="V5414" s="3"/>
      <c r="W5414" s="3">
        <v>2014</v>
      </c>
      <c r="X5414" s="3" t="s">
        <v>12076</v>
      </c>
    </row>
    <row r="5415" spans="1:24" ht="114.75">
      <c r="A5415" s="3" t="s">
        <v>2224</v>
      </c>
      <c r="B5415" s="6" t="s">
        <v>361</v>
      </c>
      <c r="C5415" s="6" t="s">
        <v>6276</v>
      </c>
      <c r="D5415" s="6" t="s">
        <v>5357</v>
      </c>
      <c r="E5415" s="6" t="s">
        <v>6277</v>
      </c>
      <c r="F5415" s="30" t="s">
        <v>8148</v>
      </c>
      <c r="G5415" s="3" t="s">
        <v>11449</v>
      </c>
      <c r="H5415" s="54">
        <v>0</v>
      </c>
      <c r="I5415" s="16">
        <v>470000000</v>
      </c>
      <c r="J5415" s="56" t="s">
        <v>229</v>
      </c>
      <c r="K5415" s="57" t="s">
        <v>641</v>
      </c>
      <c r="L5415" s="12" t="s">
        <v>404</v>
      </c>
      <c r="M5415" s="3" t="s">
        <v>230</v>
      </c>
      <c r="N5415" s="8" t="s">
        <v>8899</v>
      </c>
      <c r="O5415" s="6" t="s">
        <v>365</v>
      </c>
      <c r="P5415" s="58">
        <v>839</v>
      </c>
      <c r="Q5415" s="26" t="s">
        <v>239</v>
      </c>
      <c r="R5415" s="34">
        <v>15</v>
      </c>
      <c r="S5415" s="59">
        <v>3928.5730000000003</v>
      </c>
      <c r="T5415" s="4">
        <v>0</v>
      </c>
      <c r="U5415" s="4">
        <f t="shared" si="237"/>
        <v>0</v>
      </c>
      <c r="V5415" s="3"/>
      <c r="W5415" s="3">
        <v>2014</v>
      </c>
      <c r="X5415" s="3">
        <v>11</v>
      </c>
    </row>
    <row r="5416" spans="1:24" ht="114.75">
      <c r="A5416" s="3" t="s">
        <v>12924</v>
      </c>
      <c r="B5416" s="6" t="s">
        <v>361</v>
      </c>
      <c r="C5416" s="6" t="s">
        <v>6276</v>
      </c>
      <c r="D5416" s="6" t="s">
        <v>5357</v>
      </c>
      <c r="E5416" s="6" t="s">
        <v>6277</v>
      </c>
      <c r="F5416" s="30" t="s">
        <v>8148</v>
      </c>
      <c r="G5416" s="3" t="s">
        <v>11449</v>
      </c>
      <c r="H5416" s="54">
        <v>0</v>
      </c>
      <c r="I5416" s="16">
        <v>470000000</v>
      </c>
      <c r="J5416" s="56" t="s">
        <v>229</v>
      </c>
      <c r="K5416" s="57" t="s">
        <v>9453</v>
      </c>
      <c r="L5416" s="12" t="s">
        <v>404</v>
      </c>
      <c r="M5416" s="3" t="s">
        <v>230</v>
      </c>
      <c r="N5416" s="8" t="s">
        <v>8899</v>
      </c>
      <c r="O5416" s="6" t="s">
        <v>365</v>
      </c>
      <c r="P5416" s="58">
        <v>839</v>
      </c>
      <c r="Q5416" s="26" t="s">
        <v>239</v>
      </c>
      <c r="R5416" s="34">
        <v>15</v>
      </c>
      <c r="S5416" s="59">
        <v>3928.5730000000003</v>
      </c>
      <c r="T5416" s="4">
        <v>0</v>
      </c>
      <c r="U5416" s="4">
        <f>T5416*1.12</f>
        <v>0</v>
      </c>
      <c r="V5416" s="3"/>
      <c r="W5416" s="3">
        <v>2014</v>
      </c>
      <c r="X5416" s="3" t="s">
        <v>12076</v>
      </c>
    </row>
    <row r="5417" spans="1:24" ht="114.75">
      <c r="A5417" s="3" t="s">
        <v>2225</v>
      </c>
      <c r="B5417" s="6" t="s">
        <v>361</v>
      </c>
      <c r="C5417" s="6" t="s">
        <v>6276</v>
      </c>
      <c r="D5417" s="6" t="s">
        <v>5357</v>
      </c>
      <c r="E5417" s="6" t="s">
        <v>6277</v>
      </c>
      <c r="F5417" s="30" t="s">
        <v>8149</v>
      </c>
      <c r="G5417" s="3" t="s">
        <v>11449</v>
      </c>
      <c r="H5417" s="54">
        <v>0</v>
      </c>
      <c r="I5417" s="16">
        <v>470000000</v>
      </c>
      <c r="J5417" s="56" t="s">
        <v>229</v>
      </c>
      <c r="K5417" s="57" t="s">
        <v>641</v>
      </c>
      <c r="L5417" s="12" t="s">
        <v>404</v>
      </c>
      <c r="M5417" s="3" t="s">
        <v>230</v>
      </c>
      <c r="N5417" s="8" t="s">
        <v>8899</v>
      </c>
      <c r="O5417" s="6" t="s">
        <v>365</v>
      </c>
      <c r="P5417" s="58">
        <v>839</v>
      </c>
      <c r="Q5417" s="26" t="s">
        <v>239</v>
      </c>
      <c r="R5417" s="34">
        <v>15</v>
      </c>
      <c r="S5417" s="59">
        <v>3928.5730000000003</v>
      </c>
      <c r="T5417" s="4">
        <v>0</v>
      </c>
      <c r="U5417" s="4">
        <f t="shared" si="237"/>
        <v>0</v>
      </c>
      <c r="V5417" s="3"/>
      <c r="W5417" s="3">
        <v>2014</v>
      </c>
      <c r="X5417" s="3">
        <v>11</v>
      </c>
    </row>
    <row r="5418" spans="1:24" ht="114.75">
      <c r="A5418" s="3" t="s">
        <v>12925</v>
      </c>
      <c r="B5418" s="6" t="s">
        <v>361</v>
      </c>
      <c r="C5418" s="6" t="s">
        <v>6276</v>
      </c>
      <c r="D5418" s="6" t="s">
        <v>5357</v>
      </c>
      <c r="E5418" s="6" t="s">
        <v>6277</v>
      </c>
      <c r="F5418" s="30" t="s">
        <v>8149</v>
      </c>
      <c r="G5418" s="3" t="s">
        <v>11449</v>
      </c>
      <c r="H5418" s="54">
        <v>0</v>
      </c>
      <c r="I5418" s="16">
        <v>470000000</v>
      </c>
      <c r="J5418" s="56" t="s">
        <v>229</v>
      </c>
      <c r="K5418" s="57" t="s">
        <v>9453</v>
      </c>
      <c r="L5418" s="12" t="s">
        <v>404</v>
      </c>
      <c r="M5418" s="3" t="s">
        <v>230</v>
      </c>
      <c r="N5418" s="8" t="s">
        <v>8899</v>
      </c>
      <c r="O5418" s="6" t="s">
        <v>365</v>
      </c>
      <c r="P5418" s="58">
        <v>839</v>
      </c>
      <c r="Q5418" s="26" t="s">
        <v>239</v>
      </c>
      <c r="R5418" s="34">
        <v>15</v>
      </c>
      <c r="S5418" s="59">
        <v>3928.5730000000003</v>
      </c>
      <c r="T5418" s="4">
        <v>0</v>
      </c>
      <c r="U5418" s="4">
        <f>T5418*1.12</f>
        <v>0</v>
      </c>
      <c r="V5418" s="3"/>
      <c r="W5418" s="3">
        <v>2014</v>
      </c>
      <c r="X5418" s="3" t="s">
        <v>12076</v>
      </c>
    </row>
    <row r="5419" spans="1:24" ht="114.75">
      <c r="A5419" s="3" t="s">
        <v>2226</v>
      </c>
      <c r="B5419" s="6" t="s">
        <v>361</v>
      </c>
      <c r="C5419" s="6" t="s">
        <v>6276</v>
      </c>
      <c r="D5419" s="6" t="s">
        <v>5357</v>
      </c>
      <c r="E5419" s="6" t="s">
        <v>6277</v>
      </c>
      <c r="F5419" s="30" t="s">
        <v>8150</v>
      </c>
      <c r="G5419" s="3" t="s">
        <v>11449</v>
      </c>
      <c r="H5419" s="54">
        <v>0</v>
      </c>
      <c r="I5419" s="16">
        <v>470000000</v>
      </c>
      <c r="J5419" s="56" t="s">
        <v>229</v>
      </c>
      <c r="K5419" s="57" t="s">
        <v>641</v>
      </c>
      <c r="L5419" s="12" t="s">
        <v>404</v>
      </c>
      <c r="M5419" s="3" t="s">
        <v>230</v>
      </c>
      <c r="N5419" s="8" t="s">
        <v>8899</v>
      </c>
      <c r="O5419" s="6" t="s">
        <v>365</v>
      </c>
      <c r="P5419" s="58">
        <v>839</v>
      </c>
      <c r="Q5419" s="26" t="s">
        <v>239</v>
      </c>
      <c r="R5419" s="34">
        <v>15</v>
      </c>
      <c r="S5419" s="59">
        <v>3928.5730000000003</v>
      </c>
      <c r="T5419" s="4">
        <v>0</v>
      </c>
      <c r="U5419" s="4">
        <f t="shared" si="237"/>
        <v>0</v>
      </c>
      <c r="V5419" s="3"/>
      <c r="W5419" s="3">
        <v>2014</v>
      </c>
      <c r="X5419" s="3">
        <v>11</v>
      </c>
    </row>
    <row r="5420" spans="1:24" ht="114.75">
      <c r="A5420" s="3" t="s">
        <v>12926</v>
      </c>
      <c r="B5420" s="6" t="s">
        <v>361</v>
      </c>
      <c r="C5420" s="6" t="s">
        <v>6276</v>
      </c>
      <c r="D5420" s="6" t="s">
        <v>5357</v>
      </c>
      <c r="E5420" s="6" t="s">
        <v>6277</v>
      </c>
      <c r="F5420" s="30" t="s">
        <v>8150</v>
      </c>
      <c r="G5420" s="3" t="s">
        <v>11449</v>
      </c>
      <c r="H5420" s="54">
        <v>0</v>
      </c>
      <c r="I5420" s="16">
        <v>470000000</v>
      </c>
      <c r="J5420" s="56" t="s">
        <v>229</v>
      </c>
      <c r="K5420" s="57" t="s">
        <v>9453</v>
      </c>
      <c r="L5420" s="12" t="s">
        <v>404</v>
      </c>
      <c r="M5420" s="3" t="s">
        <v>230</v>
      </c>
      <c r="N5420" s="8" t="s">
        <v>8899</v>
      </c>
      <c r="O5420" s="6" t="s">
        <v>365</v>
      </c>
      <c r="P5420" s="58">
        <v>839</v>
      </c>
      <c r="Q5420" s="26" t="s">
        <v>239</v>
      </c>
      <c r="R5420" s="34">
        <v>15</v>
      </c>
      <c r="S5420" s="59">
        <v>3928.5730000000003</v>
      </c>
      <c r="T5420" s="4">
        <v>0</v>
      </c>
      <c r="U5420" s="4">
        <f>T5420*1.12</f>
        <v>0</v>
      </c>
      <c r="V5420" s="3"/>
      <c r="W5420" s="3">
        <v>2014</v>
      </c>
      <c r="X5420" s="3" t="s">
        <v>12076</v>
      </c>
    </row>
    <row r="5421" spans="1:24" ht="114.75">
      <c r="A5421" s="3" t="s">
        <v>2227</v>
      </c>
      <c r="B5421" s="6" t="s">
        <v>361</v>
      </c>
      <c r="C5421" s="6" t="s">
        <v>6276</v>
      </c>
      <c r="D5421" s="6" t="s">
        <v>5357</v>
      </c>
      <c r="E5421" s="6" t="s">
        <v>6277</v>
      </c>
      <c r="F5421" s="30" t="s">
        <v>8151</v>
      </c>
      <c r="G5421" s="3" t="s">
        <v>11449</v>
      </c>
      <c r="H5421" s="54">
        <v>0</v>
      </c>
      <c r="I5421" s="16">
        <v>470000000</v>
      </c>
      <c r="J5421" s="56" t="s">
        <v>229</v>
      </c>
      <c r="K5421" s="57" t="s">
        <v>641</v>
      </c>
      <c r="L5421" s="12" t="s">
        <v>404</v>
      </c>
      <c r="M5421" s="3" t="s">
        <v>230</v>
      </c>
      <c r="N5421" s="8" t="s">
        <v>8899</v>
      </c>
      <c r="O5421" s="6" t="s">
        <v>365</v>
      </c>
      <c r="P5421" s="58">
        <v>839</v>
      </c>
      <c r="Q5421" s="26" t="s">
        <v>239</v>
      </c>
      <c r="R5421" s="34">
        <v>15</v>
      </c>
      <c r="S5421" s="59">
        <v>3928.5730000000003</v>
      </c>
      <c r="T5421" s="4">
        <v>0</v>
      </c>
      <c r="U5421" s="4">
        <f t="shared" si="237"/>
        <v>0</v>
      </c>
      <c r="V5421" s="3"/>
      <c r="W5421" s="3">
        <v>2014</v>
      </c>
      <c r="X5421" s="3">
        <v>11</v>
      </c>
    </row>
    <row r="5422" spans="1:24" ht="114.75">
      <c r="A5422" s="3" t="s">
        <v>12927</v>
      </c>
      <c r="B5422" s="6" t="s">
        <v>361</v>
      </c>
      <c r="C5422" s="6" t="s">
        <v>6276</v>
      </c>
      <c r="D5422" s="6" t="s">
        <v>5357</v>
      </c>
      <c r="E5422" s="6" t="s">
        <v>6277</v>
      </c>
      <c r="F5422" s="30" t="s">
        <v>8151</v>
      </c>
      <c r="G5422" s="3" t="s">
        <v>11449</v>
      </c>
      <c r="H5422" s="54">
        <v>0</v>
      </c>
      <c r="I5422" s="16">
        <v>470000000</v>
      </c>
      <c r="J5422" s="56" t="s">
        <v>229</v>
      </c>
      <c r="K5422" s="57" t="s">
        <v>9453</v>
      </c>
      <c r="L5422" s="12" t="s">
        <v>404</v>
      </c>
      <c r="M5422" s="3" t="s">
        <v>230</v>
      </c>
      <c r="N5422" s="8" t="s">
        <v>8899</v>
      </c>
      <c r="O5422" s="6" t="s">
        <v>365</v>
      </c>
      <c r="P5422" s="58">
        <v>839</v>
      </c>
      <c r="Q5422" s="26" t="s">
        <v>239</v>
      </c>
      <c r="R5422" s="34">
        <v>15</v>
      </c>
      <c r="S5422" s="59">
        <v>3928.5730000000003</v>
      </c>
      <c r="T5422" s="4">
        <v>0</v>
      </c>
      <c r="U5422" s="4">
        <f>T5422*1.12</f>
        <v>0</v>
      </c>
      <c r="V5422" s="3"/>
      <c r="W5422" s="3">
        <v>2014</v>
      </c>
      <c r="X5422" s="3" t="s">
        <v>12076</v>
      </c>
    </row>
    <row r="5423" spans="1:24" ht="114.75">
      <c r="A5423" s="3" t="s">
        <v>2228</v>
      </c>
      <c r="B5423" s="6" t="s">
        <v>361</v>
      </c>
      <c r="C5423" s="6" t="s">
        <v>6276</v>
      </c>
      <c r="D5423" s="6" t="s">
        <v>5357</v>
      </c>
      <c r="E5423" s="6" t="s">
        <v>6277</v>
      </c>
      <c r="F5423" s="30" t="s">
        <v>6278</v>
      </c>
      <c r="G5423" s="3" t="s">
        <v>11449</v>
      </c>
      <c r="H5423" s="54">
        <v>0</v>
      </c>
      <c r="I5423" s="16">
        <v>470000000</v>
      </c>
      <c r="J5423" s="56" t="s">
        <v>229</v>
      </c>
      <c r="K5423" s="57" t="s">
        <v>641</v>
      </c>
      <c r="L5423" s="12" t="s">
        <v>404</v>
      </c>
      <c r="M5423" s="3" t="s">
        <v>230</v>
      </c>
      <c r="N5423" s="8" t="s">
        <v>8899</v>
      </c>
      <c r="O5423" s="6" t="s">
        <v>365</v>
      </c>
      <c r="P5423" s="58">
        <v>839</v>
      </c>
      <c r="Q5423" s="26" t="s">
        <v>239</v>
      </c>
      <c r="R5423" s="34">
        <v>15</v>
      </c>
      <c r="S5423" s="59">
        <v>4910.7190000000001</v>
      </c>
      <c r="T5423" s="4">
        <v>0</v>
      </c>
      <c r="U5423" s="4">
        <f t="shared" si="237"/>
        <v>0</v>
      </c>
      <c r="V5423" s="3"/>
      <c r="W5423" s="3">
        <v>2014</v>
      </c>
      <c r="X5423" s="3">
        <v>11</v>
      </c>
    </row>
    <row r="5424" spans="1:24" ht="114.75">
      <c r="A5424" s="3" t="s">
        <v>12928</v>
      </c>
      <c r="B5424" s="6" t="s">
        <v>361</v>
      </c>
      <c r="C5424" s="6" t="s">
        <v>6276</v>
      </c>
      <c r="D5424" s="6" t="s">
        <v>5357</v>
      </c>
      <c r="E5424" s="6" t="s">
        <v>6277</v>
      </c>
      <c r="F5424" s="30" t="s">
        <v>6278</v>
      </c>
      <c r="G5424" s="3" t="s">
        <v>11449</v>
      </c>
      <c r="H5424" s="54">
        <v>0</v>
      </c>
      <c r="I5424" s="16">
        <v>470000000</v>
      </c>
      <c r="J5424" s="56" t="s">
        <v>229</v>
      </c>
      <c r="K5424" s="57" t="s">
        <v>9453</v>
      </c>
      <c r="L5424" s="12" t="s">
        <v>404</v>
      </c>
      <c r="M5424" s="3" t="s">
        <v>230</v>
      </c>
      <c r="N5424" s="8" t="s">
        <v>8899</v>
      </c>
      <c r="O5424" s="6" t="s">
        <v>365</v>
      </c>
      <c r="P5424" s="58">
        <v>839</v>
      </c>
      <c r="Q5424" s="26" t="s">
        <v>239</v>
      </c>
      <c r="R5424" s="34">
        <v>15</v>
      </c>
      <c r="S5424" s="59">
        <v>4910.7190000000001</v>
      </c>
      <c r="T5424" s="4">
        <v>0</v>
      </c>
      <c r="U5424" s="4">
        <f>T5424*1.12</f>
        <v>0</v>
      </c>
      <c r="V5424" s="3"/>
      <c r="W5424" s="3">
        <v>2014</v>
      </c>
      <c r="X5424" s="3" t="s">
        <v>12076</v>
      </c>
    </row>
    <row r="5425" spans="1:24" ht="114.75">
      <c r="A5425" s="3" t="s">
        <v>2229</v>
      </c>
      <c r="B5425" s="6" t="s">
        <v>361</v>
      </c>
      <c r="C5425" s="6" t="s">
        <v>6276</v>
      </c>
      <c r="D5425" s="6" t="s">
        <v>5357</v>
      </c>
      <c r="E5425" s="6" t="s">
        <v>6277</v>
      </c>
      <c r="F5425" s="30" t="s">
        <v>8152</v>
      </c>
      <c r="G5425" s="3" t="s">
        <v>11449</v>
      </c>
      <c r="H5425" s="54">
        <v>0</v>
      </c>
      <c r="I5425" s="16">
        <v>470000000</v>
      </c>
      <c r="J5425" s="56" t="s">
        <v>229</v>
      </c>
      <c r="K5425" s="57" t="s">
        <v>641</v>
      </c>
      <c r="L5425" s="12" t="s">
        <v>404</v>
      </c>
      <c r="M5425" s="3" t="s">
        <v>230</v>
      </c>
      <c r="N5425" s="8" t="s">
        <v>8899</v>
      </c>
      <c r="O5425" s="6" t="s">
        <v>365</v>
      </c>
      <c r="P5425" s="58">
        <v>839</v>
      </c>
      <c r="Q5425" s="26" t="s">
        <v>239</v>
      </c>
      <c r="R5425" s="34">
        <v>15</v>
      </c>
      <c r="S5425" s="59">
        <v>3437.5000000000005</v>
      </c>
      <c r="T5425" s="4">
        <v>0</v>
      </c>
      <c r="U5425" s="4">
        <f t="shared" si="237"/>
        <v>0</v>
      </c>
      <c r="V5425" s="3"/>
      <c r="W5425" s="3">
        <v>2014</v>
      </c>
      <c r="X5425" s="3">
        <v>11</v>
      </c>
    </row>
    <row r="5426" spans="1:24" ht="114.75">
      <c r="A5426" s="3" t="s">
        <v>12929</v>
      </c>
      <c r="B5426" s="6" t="s">
        <v>361</v>
      </c>
      <c r="C5426" s="6" t="s">
        <v>6276</v>
      </c>
      <c r="D5426" s="6" t="s">
        <v>5357</v>
      </c>
      <c r="E5426" s="6" t="s">
        <v>6277</v>
      </c>
      <c r="F5426" s="30" t="s">
        <v>8152</v>
      </c>
      <c r="G5426" s="3" t="s">
        <v>11449</v>
      </c>
      <c r="H5426" s="54">
        <v>0</v>
      </c>
      <c r="I5426" s="16">
        <v>470000000</v>
      </c>
      <c r="J5426" s="56" t="s">
        <v>229</v>
      </c>
      <c r="K5426" s="57" t="s">
        <v>9453</v>
      </c>
      <c r="L5426" s="12" t="s">
        <v>404</v>
      </c>
      <c r="M5426" s="3" t="s">
        <v>230</v>
      </c>
      <c r="N5426" s="8" t="s">
        <v>8899</v>
      </c>
      <c r="O5426" s="6" t="s">
        <v>365</v>
      </c>
      <c r="P5426" s="58">
        <v>839</v>
      </c>
      <c r="Q5426" s="26" t="s">
        <v>239</v>
      </c>
      <c r="R5426" s="34">
        <v>15</v>
      </c>
      <c r="S5426" s="59">
        <v>3437.5000000000005</v>
      </c>
      <c r="T5426" s="4">
        <v>0</v>
      </c>
      <c r="U5426" s="4">
        <f>T5426*1.12</f>
        <v>0</v>
      </c>
      <c r="V5426" s="3"/>
      <c r="W5426" s="3">
        <v>2014</v>
      </c>
      <c r="X5426" s="3" t="s">
        <v>12076</v>
      </c>
    </row>
    <row r="5427" spans="1:24" ht="114.75">
      <c r="A5427" s="3" t="s">
        <v>2230</v>
      </c>
      <c r="B5427" s="6" t="s">
        <v>361</v>
      </c>
      <c r="C5427" s="6" t="s">
        <v>6276</v>
      </c>
      <c r="D5427" s="6" t="s">
        <v>5357</v>
      </c>
      <c r="E5427" s="6" t="s">
        <v>6277</v>
      </c>
      <c r="F5427" s="30" t="s">
        <v>8153</v>
      </c>
      <c r="G5427" s="3" t="s">
        <v>11449</v>
      </c>
      <c r="H5427" s="54">
        <v>0</v>
      </c>
      <c r="I5427" s="16">
        <v>470000000</v>
      </c>
      <c r="J5427" s="56" t="s">
        <v>229</v>
      </c>
      <c r="K5427" s="57" t="s">
        <v>641</v>
      </c>
      <c r="L5427" s="12" t="s">
        <v>404</v>
      </c>
      <c r="M5427" s="3" t="s">
        <v>230</v>
      </c>
      <c r="N5427" s="8" t="s">
        <v>8899</v>
      </c>
      <c r="O5427" s="6" t="s">
        <v>365</v>
      </c>
      <c r="P5427" s="58">
        <v>839</v>
      </c>
      <c r="Q5427" s="26" t="s">
        <v>239</v>
      </c>
      <c r="R5427" s="34">
        <v>15</v>
      </c>
      <c r="S5427" s="59">
        <v>3437.5000000000005</v>
      </c>
      <c r="T5427" s="4">
        <v>0</v>
      </c>
      <c r="U5427" s="4">
        <f t="shared" si="237"/>
        <v>0</v>
      </c>
      <c r="V5427" s="3"/>
      <c r="W5427" s="3">
        <v>2014</v>
      </c>
      <c r="X5427" s="3">
        <v>11</v>
      </c>
    </row>
    <row r="5428" spans="1:24" ht="114.75">
      <c r="A5428" s="3" t="s">
        <v>12930</v>
      </c>
      <c r="B5428" s="6" t="s">
        <v>361</v>
      </c>
      <c r="C5428" s="6" t="s">
        <v>6276</v>
      </c>
      <c r="D5428" s="6" t="s">
        <v>5357</v>
      </c>
      <c r="E5428" s="6" t="s">
        <v>6277</v>
      </c>
      <c r="F5428" s="30" t="s">
        <v>8153</v>
      </c>
      <c r="G5428" s="3" t="s">
        <v>11449</v>
      </c>
      <c r="H5428" s="54">
        <v>0</v>
      </c>
      <c r="I5428" s="16">
        <v>470000000</v>
      </c>
      <c r="J5428" s="56" t="s">
        <v>229</v>
      </c>
      <c r="K5428" s="57" t="s">
        <v>9453</v>
      </c>
      <c r="L5428" s="12" t="s">
        <v>404</v>
      </c>
      <c r="M5428" s="3" t="s">
        <v>230</v>
      </c>
      <c r="N5428" s="8" t="s">
        <v>8899</v>
      </c>
      <c r="O5428" s="6" t="s">
        <v>365</v>
      </c>
      <c r="P5428" s="58">
        <v>839</v>
      </c>
      <c r="Q5428" s="26" t="s">
        <v>239</v>
      </c>
      <c r="R5428" s="34">
        <v>15</v>
      </c>
      <c r="S5428" s="59">
        <v>3437.5000000000005</v>
      </c>
      <c r="T5428" s="4">
        <v>0</v>
      </c>
      <c r="U5428" s="4">
        <f>T5428*1.12</f>
        <v>0</v>
      </c>
      <c r="V5428" s="3"/>
      <c r="W5428" s="3">
        <v>2014</v>
      </c>
      <c r="X5428" s="3" t="s">
        <v>12076</v>
      </c>
    </row>
    <row r="5429" spans="1:24" ht="114.75">
      <c r="A5429" s="3" t="s">
        <v>2231</v>
      </c>
      <c r="B5429" s="6" t="s">
        <v>361</v>
      </c>
      <c r="C5429" s="6" t="s">
        <v>6276</v>
      </c>
      <c r="D5429" s="6" t="s">
        <v>5357</v>
      </c>
      <c r="E5429" s="6" t="s">
        <v>6277</v>
      </c>
      <c r="F5429" s="30" t="s">
        <v>8154</v>
      </c>
      <c r="G5429" s="3" t="s">
        <v>11449</v>
      </c>
      <c r="H5429" s="54">
        <v>0</v>
      </c>
      <c r="I5429" s="16">
        <v>470000000</v>
      </c>
      <c r="J5429" s="56" t="s">
        <v>229</v>
      </c>
      <c r="K5429" s="57" t="s">
        <v>641</v>
      </c>
      <c r="L5429" s="12" t="s">
        <v>404</v>
      </c>
      <c r="M5429" s="3" t="s">
        <v>230</v>
      </c>
      <c r="N5429" s="8" t="s">
        <v>8899</v>
      </c>
      <c r="O5429" s="6" t="s">
        <v>365</v>
      </c>
      <c r="P5429" s="58">
        <v>839</v>
      </c>
      <c r="Q5429" s="26" t="s">
        <v>239</v>
      </c>
      <c r="R5429" s="34">
        <v>15</v>
      </c>
      <c r="S5429" s="59">
        <v>5760.8540000000012</v>
      </c>
      <c r="T5429" s="4">
        <v>0</v>
      </c>
      <c r="U5429" s="4">
        <f t="shared" si="237"/>
        <v>0</v>
      </c>
      <c r="V5429" s="3"/>
      <c r="W5429" s="3">
        <v>2014</v>
      </c>
      <c r="X5429" s="3">
        <v>11</v>
      </c>
    </row>
    <row r="5430" spans="1:24" ht="114.75">
      <c r="A5430" s="3" t="s">
        <v>12931</v>
      </c>
      <c r="B5430" s="6" t="s">
        <v>361</v>
      </c>
      <c r="C5430" s="6" t="s">
        <v>6276</v>
      </c>
      <c r="D5430" s="6" t="s">
        <v>5357</v>
      </c>
      <c r="E5430" s="6" t="s">
        <v>6277</v>
      </c>
      <c r="F5430" s="30" t="s">
        <v>8154</v>
      </c>
      <c r="G5430" s="3" t="s">
        <v>11449</v>
      </c>
      <c r="H5430" s="54">
        <v>0</v>
      </c>
      <c r="I5430" s="16">
        <v>470000000</v>
      </c>
      <c r="J5430" s="56" t="s">
        <v>229</v>
      </c>
      <c r="K5430" s="57" t="s">
        <v>9453</v>
      </c>
      <c r="L5430" s="12" t="s">
        <v>404</v>
      </c>
      <c r="M5430" s="3" t="s">
        <v>230</v>
      </c>
      <c r="N5430" s="8" t="s">
        <v>8899</v>
      </c>
      <c r="O5430" s="6" t="s">
        <v>365</v>
      </c>
      <c r="P5430" s="58">
        <v>839</v>
      </c>
      <c r="Q5430" s="26" t="s">
        <v>239</v>
      </c>
      <c r="R5430" s="34">
        <v>15</v>
      </c>
      <c r="S5430" s="59">
        <v>5760.8540000000012</v>
      </c>
      <c r="T5430" s="4">
        <v>0</v>
      </c>
      <c r="U5430" s="4">
        <f>T5430*1.12</f>
        <v>0</v>
      </c>
      <c r="V5430" s="3"/>
      <c r="W5430" s="3">
        <v>2014</v>
      </c>
      <c r="X5430" s="3" t="s">
        <v>12076</v>
      </c>
    </row>
    <row r="5431" spans="1:24" ht="114.75">
      <c r="A5431" s="3" t="s">
        <v>2232</v>
      </c>
      <c r="B5431" s="6" t="s">
        <v>361</v>
      </c>
      <c r="C5431" s="6" t="s">
        <v>6279</v>
      </c>
      <c r="D5431" s="6" t="s">
        <v>6280</v>
      </c>
      <c r="E5431" s="6" t="s">
        <v>6281</v>
      </c>
      <c r="F5431" s="30" t="s">
        <v>8155</v>
      </c>
      <c r="G5431" s="3" t="s">
        <v>11449</v>
      </c>
      <c r="H5431" s="54">
        <v>0</v>
      </c>
      <c r="I5431" s="16">
        <v>470000000</v>
      </c>
      <c r="J5431" s="56" t="s">
        <v>229</v>
      </c>
      <c r="K5431" s="57" t="s">
        <v>641</v>
      </c>
      <c r="L5431" s="12" t="s">
        <v>404</v>
      </c>
      <c r="M5431" s="3" t="s">
        <v>230</v>
      </c>
      <c r="N5431" s="8" t="s">
        <v>8899</v>
      </c>
      <c r="O5431" s="6" t="s">
        <v>365</v>
      </c>
      <c r="P5431" s="58">
        <v>839</v>
      </c>
      <c r="Q5431" s="26" t="s">
        <v>239</v>
      </c>
      <c r="R5431" s="34">
        <v>15</v>
      </c>
      <c r="S5431" s="59">
        <v>3928.5730000000003</v>
      </c>
      <c r="T5431" s="4">
        <v>0</v>
      </c>
      <c r="U5431" s="4">
        <f t="shared" si="237"/>
        <v>0</v>
      </c>
      <c r="V5431" s="3"/>
      <c r="W5431" s="3">
        <v>2014</v>
      </c>
      <c r="X5431" s="3">
        <v>11</v>
      </c>
    </row>
    <row r="5432" spans="1:24" ht="114.75">
      <c r="A5432" s="3" t="s">
        <v>12932</v>
      </c>
      <c r="B5432" s="6" t="s">
        <v>361</v>
      </c>
      <c r="C5432" s="6" t="s">
        <v>6279</v>
      </c>
      <c r="D5432" s="6" t="s">
        <v>6280</v>
      </c>
      <c r="E5432" s="6" t="s">
        <v>6281</v>
      </c>
      <c r="F5432" s="30" t="s">
        <v>8155</v>
      </c>
      <c r="G5432" s="3" t="s">
        <v>11449</v>
      </c>
      <c r="H5432" s="54">
        <v>0</v>
      </c>
      <c r="I5432" s="16">
        <v>470000000</v>
      </c>
      <c r="J5432" s="56" t="s">
        <v>229</v>
      </c>
      <c r="K5432" s="57" t="s">
        <v>9453</v>
      </c>
      <c r="L5432" s="12" t="s">
        <v>404</v>
      </c>
      <c r="M5432" s="3" t="s">
        <v>230</v>
      </c>
      <c r="N5432" s="8" t="s">
        <v>8899</v>
      </c>
      <c r="O5432" s="6" t="s">
        <v>365</v>
      </c>
      <c r="P5432" s="58">
        <v>839</v>
      </c>
      <c r="Q5432" s="26" t="s">
        <v>239</v>
      </c>
      <c r="R5432" s="34">
        <v>15</v>
      </c>
      <c r="S5432" s="59">
        <v>3928.5730000000003</v>
      </c>
      <c r="T5432" s="4">
        <v>0</v>
      </c>
      <c r="U5432" s="4">
        <f>T5432*1.12</f>
        <v>0</v>
      </c>
      <c r="V5432" s="3"/>
      <c r="W5432" s="3">
        <v>2014</v>
      </c>
      <c r="X5432" s="3" t="s">
        <v>12076</v>
      </c>
    </row>
    <row r="5433" spans="1:24" ht="114.75">
      <c r="A5433" s="3" t="s">
        <v>2233</v>
      </c>
      <c r="B5433" s="6" t="s">
        <v>361</v>
      </c>
      <c r="C5433" s="6" t="s">
        <v>6279</v>
      </c>
      <c r="D5433" s="6" t="s">
        <v>6280</v>
      </c>
      <c r="E5433" s="6" t="s">
        <v>6281</v>
      </c>
      <c r="F5433" s="30" t="s">
        <v>8156</v>
      </c>
      <c r="G5433" s="3" t="s">
        <v>11449</v>
      </c>
      <c r="H5433" s="54">
        <v>0</v>
      </c>
      <c r="I5433" s="16">
        <v>470000000</v>
      </c>
      <c r="J5433" s="56" t="s">
        <v>229</v>
      </c>
      <c r="K5433" s="57" t="s">
        <v>641</v>
      </c>
      <c r="L5433" s="12" t="s">
        <v>404</v>
      </c>
      <c r="M5433" s="3" t="s">
        <v>230</v>
      </c>
      <c r="N5433" s="8" t="s">
        <v>8899</v>
      </c>
      <c r="O5433" s="6" t="s">
        <v>365</v>
      </c>
      <c r="P5433" s="58">
        <v>839</v>
      </c>
      <c r="Q5433" s="26" t="s">
        <v>239</v>
      </c>
      <c r="R5433" s="34">
        <v>15</v>
      </c>
      <c r="S5433" s="59">
        <v>3928.5730000000003</v>
      </c>
      <c r="T5433" s="4">
        <v>0</v>
      </c>
      <c r="U5433" s="4">
        <f t="shared" si="237"/>
        <v>0</v>
      </c>
      <c r="V5433" s="3"/>
      <c r="W5433" s="3">
        <v>2014</v>
      </c>
      <c r="X5433" s="3">
        <v>11</v>
      </c>
    </row>
    <row r="5434" spans="1:24" ht="114.75">
      <c r="A5434" s="3" t="s">
        <v>12933</v>
      </c>
      <c r="B5434" s="6" t="s">
        <v>361</v>
      </c>
      <c r="C5434" s="6" t="s">
        <v>6279</v>
      </c>
      <c r="D5434" s="6" t="s">
        <v>6280</v>
      </c>
      <c r="E5434" s="6" t="s">
        <v>6281</v>
      </c>
      <c r="F5434" s="30" t="s">
        <v>8156</v>
      </c>
      <c r="G5434" s="3" t="s">
        <v>11449</v>
      </c>
      <c r="H5434" s="54">
        <v>0</v>
      </c>
      <c r="I5434" s="16">
        <v>470000000</v>
      </c>
      <c r="J5434" s="56" t="s">
        <v>229</v>
      </c>
      <c r="K5434" s="57" t="s">
        <v>9453</v>
      </c>
      <c r="L5434" s="12" t="s">
        <v>404</v>
      </c>
      <c r="M5434" s="3" t="s">
        <v>230</v>
      </c>
      <c r="N5434" s="8" t="s">
        <v>8899</v>
      </c>
      <c r="O5434" s="6" t="s">
        <v>365</v>
      </c>
      <c r="P5434" s="58">
        <v>839</v>
      </c>
      <c r="Q5434" s="26" t="s">
        <v>239</v>
      </c>
      <c r="R5434" s="34">
        <v>15</v>
      </c>
      <c r="S5434" s="59">
        <v>3928.5730000000003</v>
      </c>
      <c r="T5434" s="4">
        <v>0</v>
      </c>
      <c r="U5434" s="4">
        <f>T5434*1.12</f>
        <v>0</v>
      </c>
      <c r="V5434" s="3"/>
      <c r="W5434" s="3">
        <v>2014</v>
      </c>
      <c r="X5434" s="3" t="s">
        <v>12076</v>
      </c>
    </row>
    <row r="5435" spans="1:24" ht="114.75">
      <c r="A5435" s="3" t="s">
        <v>2234</v>
      </c>
      <c r="B5435" s="6" t="s">
        <v>361</v>
      </c>
      <c r="C5435" s="6" t="s">
        <v>6282</v>
      </c>
      <c r="D5435" s="6" t="s">
        <v>5357</v>
      </c>
      <c r="E5435" s="6" t="s">
        <v>6283</v>
      </c>
      <c r="F5435" s="30" t="s">
        <v>8157</v>
      </c>
      <c r="G5435" s="3" t="s">
        <v>11449</v>
      </c>
      <c r="H5435" s="54">
        <v>0</v>
      </c>
      <c r="I5435" s="16">
        <v>470000000</v>
      </c>
      <c r="J5435" s="56" t="s">
        <v>229</v>
      </c>
      <c r="K5435" s="57" t="s">
        <v>641</v>
      </c>
      <c r="L5435" s="12" t="s">
        <v>404</v>
      </c>
      <c r="M5435" s="3" t="s">
        <v>230</v>
      </c>
      <c r="N5435" s="8" t="s">
        <v>8899</v>
      </c>
      <c r="O5435" s="6" t="s">
        <v>365</v>
      </c>
      <c r="P5435" s="58">
        <v>839</v>
      </c>
      <c r="Q5435" s="26" t="s">
        <v>239</v>
      </c>
      <c r="R5435" s="34">
        <v>10</v>
      </c>
      <c r="S5435" s="59">
        <v>5892.8540000000012</v>
      </c>
      <c r="T5435" s="4">
        <v>0</v>
      </c>
      <c r="U5435" s="4">
        <f t="shared" si="237"/>
        <v>0</v>
      </c>
      <c r="V5435" s="3"/>
      <c r="W5435" s="3">
        <v>2014</v>
      </c>
      <c r="X5435" s="3">
        <v>11</v>
      </c>
    </row>
    <row r="5436" spans="1:24" ht="114.75">
      <c r="A5436" s="3" t="s">
        <v>12934</v>
      </c>
      <c r="B5436" s="6" t="s">
        <v>361</v>
      </c>
      <c r="C5436" s="6" t="s">
        <v>6282</v>
      </c>
      <c r="D5436" s="6" t="s">
        <v>5357</v>
      </c>
      <c r="E5436" s="6" t="s">
        <v>6283</v>
      </c>
      <c r="F5436" s="30" t="s">
        <v>8157</v>
      </c>
      <c r="G5436" s="3" t="s">
        <v>11449</v>
      </c>
      <c r="H5436" s="54">
        <v>0</v>
      </c>
      <c r="I5436" s="16">
        <v>470000000</v>
      </c>
      <c r="J5436" s="56" t="s">
        <v>229</v>
      </c>
      <c r="K5436" s="57" t="s">
        <v>9453</v>
      </c>
      <c r="L5436" s="12" t="s">
        <v>404</v>
      </c>
      <c r="M5436" s="3" t="s">
        <v>230</v>
      </c>
      <c r="N5436" s="8" t="s">
        <v>8899</v>
      </c>
      <c r="O5436" s="6" t="s">
        <v>365</v>
      </c>
      <c r="P5436" s="58">
        <v>839</v>
      </c>
      <c r="Q5436" s="26" t="s">
        <v>239</v>
      </c>
      <c r="R5436" s="34">
        <v>10</v>
      </c>
      <c r="S5436" s="59">
        <v>5892.8540000000012</v>
      </c>
      <c r="T5436" s="4">
        <v>0</v>
      </c>
      <c r="U5436" s="4">
        <f>T5436*1.12</f>
        <v>0</v>
      </c>
      <c r="V5436" s="3"/>
      <c r="W5436" s="3">
        <v>2014</v>
      </c>
      <c r="X5436" s="3" t="s">
        <v>12076</v>
      </c>
    </row>
    <row r="5437" spans="1:24" ht="114.75">
      <c r="A5437" s="3" t="s">
        <v>2235</v>
      </c>
      <c r="B5437" s="6" t="s">
        <v>361</v>
      </c>
      <c r="C5437" s="6" t="s">
        <v>6282</v>
      </c>
      <c r="D5437" s="6" t="s">
        <v>5357</v>
      </c>
      <c r="E5437" s="6" t="s">
        <v>6283</v>
      </c>
      <c r="F5437" s="30" t="s">
        <v>8158</v>
      </c>
      <c r="G5437" s="3" t="s">
        <v>11449</v>
      </c>
      <c r="H5437" s="54">
        <v>0</v>
      </c>
      <c r="I5437" s="16">
        <v>470000000</v>
      </c>
      <c r="J5437" s="56" t="s">
        <v>229</v>
      </c>
      <c r="K5437" s="57" t="s">
        <v>641</v>
      </c>
      <c r="L5437" s="12" t="s">
        <v>404</v>
      </c>
      <c r="M5437" s="3" t="s">
        <v>230</v>
      </c>
      <c r="N5437" s="8" t="s">
        <v>8899</v>
      </c>
      <c r="O5437" s="6" t="s">
        <v>365</v>
      </c>
      <c r="P5437" s="58">
        <v>839</v>
      </c>
      <c r="Q5437" s="26" t="s">
        <v>239</v>
      </c>
      <c r="R5437" s="34">
        <v>10</v>
      </c>
      <c r="S5437" s="59">
        <v>5892.8540000000012</v>
      </c>
      <c r="T5437" s="4">
        <v>0</v>
      </c>
      <c r="U5437" s="4">
        <f t="shared" si="237"/>
        <v>0</v>
      </c>
      <c r="V5437" s="3"/>
      <c r="W5437" s="3">
        <v>2014</v>
      </c>
      <c r="X5437" s="3">
        <v>11</v>
      </c>
    </row>
    <row r="5438" spans="1:24" ht="114.75">
      <c r="A5438" s="3" t="s">
        <v>12935</v>
      </c>
      <c r="B5438" s="6" t="s">
        <v>361</v>
      </c>
      <c r="C5438" s="6" t="s">
        <v>6282</v>
      </c>
      <c r="D5438" s="6" t="s">
        <v>5357</v>
      </c>
      <c r="E5438" s="6" t="s">
        <v>6283</v>
      </c>
      <c r="F5438" s="30" t="s">
        <v>8158</v>
      </c>
      <c r="G5438" s="3" t="s">
        <v>11449</v>
      </c>
      <c r="H5438" s="54">
        <v>0</v>
      </c>
      <c r="I5438" s="16">
        <v>470000000</v>
      </c>
      <c r="J5438" s="56" t="s">
        <v>229</v>
      </c>
      <c r="K5438" s="57" t="s">
        <v>9453</v>
      </c>
      <c r="L5438" s="12" t="s">
        <v>404</v>
      </c>
      <c r="M5438" s="3" t="s">
        <v>230</v>
      </c>
      <c r="N5438" s="8" t="s">
        <v>8899</v>
      </c>
      <c r="O5438" s="6" t="s">
        <v>365</v>
      </c>
      <c r="P5438" s="58">
        <v>839</v>
      </c>
      <c r="Q5438" s="26" t="s">
        <v>239</v>
      </c>
      <c r="R5438" s="34">
        <v>10</v>
      </c>
      <c r="S5438" s="59">
        <v>5892.8540000000012</v>
      </c>
      <c r="T5438" s="4">
        <v>0</v>
      </c>
      <c r="U5438" s="4">
        <f>T5438*1.12</f>
        <v>0</v>
      </c>
      <c r="V5438" s="3"/>
      <c r="W5438" s="3">
        <v>2014</v>
      </c>
      <c r="X5438" s="3" t="s">
        <v>12076</v>
      </c>
    </row>
    <row r="5439" spans="1:24" ht="114.75">
      <c r="A5439" s="3" t="s">
        <v>2236</v>
      </c>
      <c r="B5439" s="6" t="s">
        <v>361</v>
      </c>
      <c r="C5439" s="6" t="s">
        <v>6276</v>
      </c>
      <c r="D5439" s="6" t="s">
        <v>5357</v>
      </c>
      <c r="E5439" s="6" t="s">
        <v>6277</v>
      </c>
      <c r="F5439" s="30" t="s">
        <v>8159</v>
      </c>
      <c r="G5439" s="3" t="s">
        <v>11449</v>
      </c>
      <c r="H5439" s="54">
        <v>0</v>
      </c>
      <c r="I5439" s="16">
        <v>470000000</v>
      </c>
      <c r="J5439" s="56" t="s">
        <v>229</v>
      </c>
      <c r="K5439" s="57" t="s">
        <v>641</v>
      </c>
      <c r="L5439" s="12" t="s">
        <v>404</v>
      </c>
      <c r="M5439" s="3" t="s">
        <v>230</v>
      </c>
      <c r="N5439" s="8" t="s">
        <v>8899</v>
      </c>
      <c r="O5439" s="6" t="s">
        <v>365</v>
      </c>
      <c r="P5439" s="58">
        <v>839</v>
      </c>
      <c r="Q5439" s="26" t="s">
        <v>239</v>
      </c>
      <c r="R5439" s="34">
        <v>10</v>
      </c>
      <c r="S5439" s="59">
        <v>5892.8540000000012</v>
      </c>
      <c r="T5439" s="4">
        <v>0</v>
      </c>
      <c r="U5439" s="4">
        <f t="shared" si="237"/>
        <v>0</v>
      </c>
      <c r="V5439" s="3"/>
      <c r="W5439" s="3">
        <v>2014</v>
      </c>
      <c r="X5439" s="3">
        <v>11</v>
      </c>
    </row>
    <row r="5440" spans="1:24" ht="114.75">
      <c r="A5440" s="3" t="s">
        <v>12936</v>
      </c>
      <c r="B5440" s="6" t="s">
        <v>361</v>
      </c>
      <c r="C5440" s="6" t="s">
        <v>6276</v>
      </c>
      <c r="D5440" s="6" t="s">
        <v>5357</v>
      </c>
      <c r="E5440" s="6" t="s">
        <v>6277</v>
      </c>
      <c r="F5440" s="30" t="s">
        <v>8159</v>
      </c>
      <c r="G5440" s="3" t="s">
        <v>11449</v>
      </c>
      <c r="H5440" s="54">
        <v>0</v>
      </c>
      <c r="I5440" s="16">
        <v>470000000</v>
      </c>
      <c r="J5440" s="56" t="s">
        <v>229</v>
      </c>
      <c r="K5440" s="57" t="s">
        <v>9453</v>
      </c>
      <c r="L5440" s="12" t="s">
        <v>404</v>
      </c>
      <c r="M5440" s="3" t="s">
        <v>230</v>
      </c>
      <c r="N5440" s="8" t="s">
        <v>8899</v>
      </c>
      <c r="O5440" s="6" t="s">
        <v>365</v>
      </c>
      <c r="P5440" s="58">
        <v>839</v>
      </c>
      <c r="Q5440" s="26" t="s">
        <v>239</v>
      </c>
      <c r="R5440" s="34">
        <v>10</v>
      </c>
      <c r="S5440" s="59">
        <v>5892.8540000000012</v>
      </c>
      <c r="T5440" s="4">
        <v>0</v>
      </c>
      <c r="U5440" s="4">
        <f>T5440*1.12</f>
        <v>0</v>
      </c>
      <c r="V5440" s="3"/>
      <c r="W5440" s="3">
        <v>2014</v>
      </c>
      <c r="X5440" s="3" t="s">
        <v>12076</v>
      </c>
    </row>
    <row r="5441" spans="1:24" ht="114.75">
      <c r="A5441" s="3" t="s">
        <v>2237</v>
      </c>
      <c r="B5441" s="6" t="s">
        <v>361</v>
      </c>
      <c r="C5441" s="6" t="s">
        <v>6276</v>
      </c>
      <c r="D5441" s="6" t="s">
        <v>5357</v>
      </c>
      <c r="E5441" s="6" t="s">
        <v>6277</v>
      </c>
      <c r="F5441" s="30" t="s">
        <v>8160</v>
      </c>
      <c r="G5441" s="3" t="s">
        <v>11449</v>
      </c>
      <c r="H5441" s="54">
        <v>0</v>
      </c>
      <c r="I5441" s="16">
        <v>470000000</v>
      </c>
      <c r="J5441" s="56" t="s">
        <v>229</v>
      </c>
      <c r="K5441" s="57" t="s">
        <v>641</v>
      </c>
      <c r="L5441" s="12" t="s">
        <v>404</v>
      </c>
      <c r="M5441" s="3" t="s">
        <v>230</v>
      </c>
      <c r="N5441" s="8" t="s">
        <v>8899</v>
      </c>
      <c r="O5441" s="6" t="s">
        <v>365</v>
      </c>
      <c r="P5441" s="58">
        <v>839</v>
      </c>
      <c r="Q5441" s="26" t="s">
        <v>239</v>
      </c>
      <c r="R5441" s="34">
        <v>10</v>
      </c>
      <c r="S5441" s="59">
        <v>5892.8540000000012</v>
      </c>
      <c r="T5441" s="4">
        <v>0</v>
      </c>
      <c r="U5441" s="4">
        <f t="shared" si="237"/>
        <v>0</v>
      </c>
      <c r="V5441" s="3"/>
      <c r="W5441" s="3">
        <v>2014</v>
      </c>
      <c r="X5441" s="3">
        <v>11</v>
      </c>
    </row>
    <row r="5442" spans="1:24" ht="114.75">
      <c r="A5442" s="3" t="s">
        <v>12937</v>
      </c>
      <c r="B5442" s="6" t="s">
        <v>361</v>
      </c>
      <c r="C5442" s="6" t="s">
        <v>6276</v>
      </c>
      <c r="D5442" s="6" t="s">
        <v>5357</v>
      </c>
      <c r="E5442" s="6" t="s">
        <v>6277</v>
      </c>
      <c r="F5442" s="30" t="s">
        <v>8160</v>
      </c>
      <c r="G5442" s="3" t="s">
        <v>11449</v>
      </c>
      <c r="H5442" s="54">
        <v>0</v>
      </c>
      <c r="I5442" s="16">
        <v>470000000</v>
      </c>
      <c r="J5442" s="56" t="s">
        <v>229</v>
      </c>
      <c r="K5442" s="57" t="s">
        <v>9453</v>
      </c>
      <c r="L5442" s="12" t="s">
        <v>404</v>
      </c>
      <c r="M5442" s="3" t="s">
        <v>230</v>
      </c>
      <c r="N5442" s="8" t="s">
        <v>8899</v>
      </c>
      <c r="O5442" s="6" t="s">
        <v>365</v>
      </c>
      <c r="P5442" s="58">
        <v>839</v>
      </c>
      <c r="Q5442" s="26" t="s">
        <v>239</v>
      </c>
      <c r="R5442" s="34">
        <v>10</v>
      </c>
      <c r="S5442" s="59">
        <v>5892.8540000000012</v>
      </c>
      <c r="T5442" s="4">
        <v>0</v>
      </c>
      <c r="U5442" s="4">
        <f>T5442*1.12</f>
        <v>0</v>
      </c>
      <c r="V5442" s="3"/>
      <c r="W5442" s="3">
        <v>2014</v>
      </c>
      <c r="X5442" s="3" t="s">
        <v>12076</v>
      </c>
    </row>
    <row r="5443" spans="1:24" ht="114.75">
      <c r="A5443" s="3" t="s">
        <v>2238</v>
      </c>
      <c r="B5443" s="6" t="s">
        <v>361</v>
      </c>
      <c r="C5443" s="6" t="s">
        <v>6276</v>
      </c>
      <c r="D5443" s="6" t="s">
        <v>5357</v>
      </c>
      <c r="E5443" s="6" t="s">
        <v>6277</v>
      </c>
      <c r="F5443" s="30" t="s">
        <v>8161</v>
      </c>
      <c r="G5443" s="3" t="s">
        <v>11449</v>
      </c>
      <c r="H5443" s="54">
        <v>0</v>
      </c>
      <c r="I5443" s="16">
        <v>470000000</v>
      </c>
      <c r="J5443" s="56" t="s">
        <v>229</v>
      </c>
      <c r="K5443" s="57" t="s">
        <v>641</v>
      </c>
      <c r="L5443" s="12" t="s">
        <v>404</v>
      </c>
      <c r="M5443" s="3" t="s">
        <v>230</v>
      </c>
      <c r="N5443" s="8" t="s">
        <v>8899</v>
      </c>
      <c r="O5443" s="6" t="s">
        <v>365</v>
      </c>
      <c r="P5443" s="58">
        <v>839</v>
      </c>
      <c r="Q5443" s="26" t="s">
        <v>239</v>
      </c>
      <c r="R5443" s="34">
        <v>10</v>
      </c>
      <c r="S5443" s="59">
        <v>5892.8540000000012</v>
      </c>
      <c r="T5443" s="4">
        <v>0</v>
      </c>
      <c r="U5443" s="4">
        <f t="shared" si="237"/>
        <v>0</v>
      </c>
      <c r="V5443" s="3"/>
      <c r="W5443" s="3">
        <v>2014</v>
      </c>
      <c r="X5443" s="3">
        <v>11</v>
      </c>
    </row>
    <row r="5444" spans="1:24" ht="114.75">
      <c r="A5444" s="3" t="s">
        <v>12938</v>
      </c>
      <c r="B5444" s="6" t="s">
        <v>361</v>
      </c>
      <c r="C5444" s="6" t="s">
        <v>6276</v>
      </c>
      <c r="D5444" s="6" t="s">
        <v>5357</v>
      </c>
      <c r="E5444" s="6" t="s">
        <v>6277</v>
      </c>
      <c r="F5444" s="30" t="s">
        <v>8161</v>
      </c>
      <c r="G5444" s="3" t="s">
        <v>11449</v>
      </c>
      <c r="H5444" s="54">
        <v>0</v>
      </c>
      <c r="I5444" s="16">
        <v>470000000</v>
      </c>
      <c r="J5444" s="56" t="s">
        <v>229</v>
      </c>
      <c r="K5444" s="57" t="s">
        <v>9453</v>
      </c>
      <c r="L5444" s="12" t="s">
        <v>404</v>
      </c>
      <c r="M5444" s="3" t="s">
        <v>230</v>
      </c>
      <c r="N5444" s="8" t="s">
        <v>8899</v>
      </c>
      <c r="O5444" s="6" t="s">
        <v>365</v>
      </c>
      <c r="P5444" s="58">
        <v>839</v>
      </c>
      <c r="Q5444" s="26" t="s">
        <v>239</v>
      </c>
      <c r="R5444" s="34">
        <v>10</v>
      </c>
      <c r="S5444" s="59">
        <v>5892.8540000000012</v>
      </c>
      <c r="T5444" s="4">
        <v>0</v>
      </c>
      <c r="U5444" s="4">
        <f>T5444*1.12</f>
        <v>0</v>
      </c>
      <c r="V5444" s="3"/>
      <c r="W5444" s="3">
        <v>2014</v>
      </c>
      <c r="X5444" s="3" t="s">
        <v>12076</v>
      </c>
    </row>
    <row r="5445" spans="1:24" ht="114.75">
      <c r="A5445" s="3" t="s">
        <v>2239</v>
      </c>
      <c r="B5445" s="6" t="s">
        <v>361</v>
      </c>
      <c r="C5445" s="6" t="s">
        <v>5344</v>
      </c>
      <c r="D5445" s="6" t="s">
        <v>460</v>
      </c>
      <c r="E5445" s="6" t="s">
        <v>5345</v>
      </c>
      <c r="F5445" s="30" t="s">
        <v>8162</v>
      </c>
      <c r="G5445" s="3" t="s">
        <v>11449</v>
      </c>
      <c r="H5445" s="54">
        <v>0</v>
      </c>
      <c r="I5445" s="16">
        <v>470000000</v>
      </c>
      <c r="J5445" s="56" t="s">
        <v>229</v>
      </c>
      <c r="K5445" s="57" t="s">
        <v>641</v>
      </c>
      <c r="L5445" s="12" t="s">
        <v>404</v>
      </c>
      <c r="M5445" s="3" t="s">
        <v>230</v>
      </c>
      <c r="N5445" s="8" t="s">
        <v>8899</v>
      </c>
      <c r="O5445" s="6" t="s">
        <v>365</v>
      </c>
      <c r="P5445" s="58">
        <v>796</v>
      </c>
      <c r="Q5445" s="26" t="s">
        <v>234</v>
      </c>
      <c r="R5445" s="34">
        <v>40</v>
      </c>
      <c r="S5445" s="59">
        <v>658.82299999999998</v>
      </c>
      <c r="T5445" s="4">
        <v>0</v>
      </c>
      <c r="U5445" s="4">
        <f t="shared" si="237"/>
        <v>0</v>
      </c>
      <c r="V5445" s="3"/>
      <c r="W5445" s="3">
        <v>2014</v>
      </c>
      <c r="X5445" s="3">
        <v>11</v>
      </c>
    </row>
    <row r="5446" spans="1:24" ht="114.75">
      <c r="A5446" s="3" t="s">
        <v>12939</v>
      </c>
      <c r="B5446" s="6" t="s">
        <v>361</v>
      </c>
      <c r="C5446" s="6" t="s">
        <v>5344</v>
      </c>
      <c r="D5446" s="6" t="s">
        <v>460</v>
      </c>
      <c r="E5446" s="6" t="s">
        <v>5345</v>
      </c>
      <c r="F5446" s="30" t="s">
        <v>8162</v>
      </c>
      <c r="G5446" s="3" t="s">
        <v>11449</v>
      </c>
      <c r="H5446" s="54">
        <v>0</v>
      </c>
      <c r="I5446" s="16">
        <v>470000000</v>
      </c>
      <c r="J5446" s="56" t="s">
        <v>229</v>
      </c>
      <c r="K5446" s="57" t="s">
        <v>9453</v>
      </c>
      <c r="L5446" s="12" t="s">
        <v>404</v>
      </c>
      <c r="M5446" s="3" t="s">
        <v>230</v>
      </c>
      <c r="N5446" s="8" t="s">
        <v>8899</v>
      </c>
      <c r="O5446" s="6" t="s">
        <v>365</v>
      </c>
      <c r="P5446" s="58">
        <v>796</v>
      </c>
      <c r="Q5446" s="26" t="s">
        <v>234</v>
      </c>
      <c r="R5446" s="34">
        <v>40</v>
      </c>
      <c r="S5446" s="59">
        <v>658.82299999999998</v>
      </c>
      <c r="T5446" s="4">
        <v>0</v>
      </c>
      <c r="U5446" s="4">
        <f>T5446*1.12</f>
        <v>0</v>
      </c>
      <c r="V5446" s="3"/>
      <c r="W5446" s="3">
        <v>2014</v>
      </c>
      <c r="X5446" s="3" t="s">
        <v>12076</v>
      </c>
    </row>
    <row r="5447" spans="1:24" ht="114.75">
      <c r="A5447" s="3" t="s">
        <v>2240</v>
      </c>
      <c r="B5447" s="6" t="s">
        <v>361</v>
      </c>
      <c r="C5447" s="6" t="s">
        <v>6284</v>
      </c>
      <c r="D5447" s="6" t="s">
        <v>460</v>
      </c>
      <c r="E5447" s="6" t="s">
        <v>6285</v>
      </c>
      <c r="F5447" s="30" t="s">
        <v>8163</v>
      </c>
      <c r="G5447" s="3" t="s">
        <v>11449</v>
      </c>
      <c r="H5447" s="54">
        <v>0</v>
      </c>
      <c r="I5447" s="16">
        <v>470000000</v>
      </c>
      <c r="J5447" s="56" t="s">
        <v>229</v>
      </c>
      <c r="K5447" s="57" t="s">
        <v>641</v>
      </c>
      <c r="L5447" s="12" t="s">
        <v>404</v>
      </c>
      <c r="M5447" s="3" t="s">
        <v>230</v>
      </c>
      <c r="N5447" s="8" t="s">
        <v>8899</v>
      </c>
      <c r="O5447" s="6" t="s">
        <v>365</v>
      </c>
      <c r="P5447" s="58">
        <v>796</v>
      </c>
      <c r="Q5447" s="26" t="s">
        <v>234</v>
      </c>
      <c r="R5447" s="34">
        <v>40</v>
      </c>
      <c r="S5447" s="59">
        <v>346.00500000000005</v>
      </c>
      <c r="T5447" s="4">
        <v>0</v>
      </c>
      <c r="U5447" s="4">
        <f t="shared" si="237"/>
        <v>0</v>
      </c>
      <c r="V5447" s="3"/>
      <c r="W5447" s="3">
        <v>2014</v>
      </c>
      <c r="X5447" s="3">
        <v>11</v>
      </c>
    </row>
    <row r="5448" spans="1:24" ht="114.75">
      <c r="A5448" s="3" t="s">
        <v>12940</v>
      </c>
      <c r="B5448" s="6" t="s">
        <v>361</v>
      </c>
      <c r="C5448" s="6" t="s">
        <v>6284</v>
      </c>
      <c r="D5448" s="6" t="s">
        <v>460</v>
      </c>
      <c r="E5448" s="6" t="s">
        <v>6285</v>
      </c>
      <c r="F5448" s="30" t="s">
        <v>8163</v>
      </c>
      <c r="G5448" s="3" t="s">
        <v>11449</v>
      </c>
      <c r="H5448" s="54">
        <v>0</v>
      </c>
      <c r="I5448" s="16">
        <v>470000000</v>
      </c>
      <c r="J5448" s="56" t="s">
        <v>229</v>
      </c>
      <c r="K5448" s="57" t="s">
        <v>9453</v>
      </c>
      <c r="L5448" s="12" t="s">
        <v>404</v>
      </c>
      <c r="M5448" s="3" t="s">
        <v>230</v>
      </c>
      <c r="N5448" s="8" t="s">
        <v>8899</v>
      </c>
      <c r="O5448" s="6" t="s">
        <v>365</v>
      </c>
      <c r="P5448" s="58">
        <v>796</v>
      </c>
      <c r="Q5448" s="26" t="s">
        <v>234</v>
      </c>
      <c r="R5448" s="34">
        <v>40</v>
      </c>
      <c r="S5448" s="59">
        <v>346.00500000000005</v>
      </c>
      <c r="T5448" s="4">
        <v>0</v>
      </c>
      <c r="U5448" s="4">
        <f>T5448*1.12</f>
        <v>0</v>
      </c>
      <c r="V5448" s="3"/>
      <c r="W5448" s="3">
        <v>2014</v>
      </c>
      <c r="X5448" s="3" t="s">
        <v>12076</v>
      </c>
    </row>
    <row r="5449" spans="1:24" ht="114.75">
      <c r="A5449" s="3" t="s">
        <v>2241</v>
      </c>
      <c r="B5449" s="6" t="s">
        <v>361</v>
      </c>
      <c r="C5449" s="6" t="s">
        <v>6182</v>
      </c>
      <c r="D5449" s="6" t="s">
        <v>6183</v>
      </c>
      <c r="E5449" s="6" t="s">
        <v>6184</v>
      </c>
      <c r="F5449" s="30" t="s">
        <v>8164</v>
      </c>
      <c r="G5449" s="3" t="s">
        <v>11449</v>
      </c>
      <c r="H5449" s="54">
        <v>0</v>
      </c>
      <c r="I5449" s="16">
        <v>470000000</v>
      </c>
      <c r="J5449" s="56" t="s">
        <v>229</v>
      </c>
      <c r="K5449" s="57" t="s">
        <v>641</v>
      </c>
      <c r="L5449" s="12" t="s">
        <v>404</v>
      </c>
      <c r="M5449" s="3" t="s">
        <v>230</v>
      </c>
      <c r="N5449" s="8" t="s">
        <v>8899</v>
      </c>
      <c r="O5449" s="6" t="s">
        <v>365</v>
      </c>
      <c r="P5449" s="58">
        <v>796</v>
      </c>
      <c r="Q5449" s="26" t="s">
        <v>234</v>
      </c>
      <c r="R5449" s="34">
        <v>10</v>
      </c>
      <c r="S5449" s="59">
        <v>638.39600000000007</v>
      </c>
      <c r="T5449" s="4">
        <v>0</v>
      </c>
      <c r="U5449" s="4">
        <f t="shared" si="237"/>
        <v>0</v>
      </c>
      <c r="V5449" s="3"/>
      <c r="W5449" s="3">
        <v>2014</v>
      </c>
      <c r="X5449" s="3">
        <v>11</v>
      </c>
    </row>
    <row r="5450" spans="1:24" ht="114.75">
      <c r="A5450" s="3" t="s">
        <v>12941</v>
      </c>
      <c r="B5450" s="6" t="s">
        <v>361</v>
      </c>
      <c r="C5450" s="6" t="s">
        <v>6182</v>
      </c>
      <c r="D5450" s="6" t="s">
        <v>6183</v>
      </c>
      <c r="E5450" s="6" t="s">
        <v>6184</v>
      </c>
      <c r="F5450" s="30" t="s">
        <v>8164</v>
      </c>
      <c r="G5450" s="3" t="s">
        <v>11449</v>
      </c>
      <c r="H5450" s="54">
        <v>0</v>
      </c>
      <c r="I5450" s="16">
        <v>470000000</v>
      </c>
      <c r="J5450" s="56" t="s">
        <v>229</v>
      </c>
      <c r="K5450" s="57" t="s">
        <v>9453</v>
      </c>
      <c r="L5450" s="12" t="s">
        <v>404</v>
      </c>
      <c r="M5450" s="3" t="s">
        <v>230</v>
      </c>
      <c r="N5450" s="8" t="s">
        <v>8899</v>
      </c>
      <c r="O5450" s="6" t="s">
        <v>365</v>
      </c>
      <c r="P5450" s="58">
        <v>796</v>
      </c>
      <c r="Q5450" s="26" t="s">
        <v>234</v>
      </c>
      <c r="R5450" s="34">
        <v>10</v>
      </c>
      <c r="S5450" s="59">
        <v>638.39600000000007</v>
      </c>
      <c r="T5450" s="4">
        <v>0</v>
      </c>
      <c r="U5450" s="4">
        <f>T5450*1.12</f>
        <v>0</v>
      </c>
      <c r="V5450" s="3"/>
      <c r="W5450" s="3">
        <v>2014</v>
      </c>
      <c r="X5450" s="3" t="s">
        <v>12076</v>
      </c>
    </row>
    <row r="5451" spans="1:24" ht="114.75">
      <c r="A5451" s="3" t="s">
        <v>2242</v>
      </c>
      <c r="B5451" s="6" t="s">
        <v>361</v>
      </c>
      <c r="C5451" s="6" t="s">
        <v>6249</v>
      </c>
      <c r="D5451" s="6" t="s">
        <v>6227</v>
      </c>
      <c r="E5451" s="6" t="s">
        <v>6250</v>
      </c>
      <c r="F5451" s="30" t="s">
        <v>8165</v>
      </c>
      <c r="G5451" s="3" t="s">
        <v>11449</v>
      </c>
      <c r="H5451" s="54">
        <v>0</v>
      </c>
      <c r="I5451" s="16">
        <v>470000000</v>
      </c>
      <c r="J5451" s="56" t="s">
        <v>229</v>
      </c>
      <c r="K5451" s="57" t="s">
        <v>641</v>
      </c>
      <c r="L5451" s="12" t="s">
        <v>404</v>
      </c>
      <c r="M5451" s="3" t="s">
        <v>230</v>
      </c>
      <c r="N5451" s="8" t="s">
        <v>8899</v>
      </c>
      <c r="O5451" s="6" t="s">
        <v>365</v>
      </c>
      <c r="P5451" s="58">
        <v>796</v>
      </c>
      <c r="Q5451" s="26" t="s">
        <v>234</v>
      </c>
      <c r="R5451" s="34">
        <v>8</v>
      </c>
      <c r="S5451" s="59">
        <v>276368.31200000003</v>
      </c>
      <c r="T5451" s="4">
        <v>0</v>
      </c>
      <c r="U5451" s="4">
        <f t="shared" si="237"/>
        <v>0</v>
      </c>
      <c r="V5451" s="3"/>
      <c r="W5451" s="3">
        <v>2014</v>
      </c>
      <c r="X5451" s="3">
        <v>11</v>
      </c>
    </row>
    <row r="5452" spans="1:24" ht="114.75">
      <c r="A5452" s="3" t="s">
        <v>12942</v>
      </c>
      <c r="B5452" s="6" t="s">
        <v>361</v>
      </c>
      <c r="C5452" s="6" t="s">
        <v>6249</v>
      </c>
      <c r="D5452" s="6" t="s">
        <v>6227</v>
      </c>
      <c r="E5452" s="6" t="s">
        <v>6250</v>
      </c>
      <c r="F5452" s="30" t="s">
        <v>8165</v>
      </c>
      <c r="G5452" s="3" t="s">
        <v>11449</v>
      </c>
      <c r="H5452" s="54">
        <v>0</v>
      </c>
      <c r="I5452" s="16">
        <v>470000000</v>
      </c>
      <c r="J5452" s="56" t="s">
        <v>229</v>
      </c>
      <c r="K5452" s="57" t="s">
        <v>9453</v>
      </c>
      <c r="L5452" s="12" t="s">
        <v>404</v>
      </c>
      <c r="M5452" s="3" t="s">
        <v>230</v>
      </c>
      <c r="N5452" s="8" t="s">
        <v>8899</v>
      </c>
      <c r="O5452" s="6" t="s">
        <v>365</v>
      </c>
      <c r="P5452" s="58">
        <v>796</v>
      </c>
      <c r="Q5452" s="26" t="s">
        <v>234</v>
      </c>
      <c r="R5452" s="34">
        <v>8</v>
      </c>
      <c r="S5452" s="59">
        <v>276368.31200000003</v>
      </c>
      <c r="T5452" s="4">
        <v>0</v>
      </c>
      <c r="U5452" s="4">
        <f>T5452*1.12</f>
        <v>0</v>
      </c>
      <c r="V5452" s="3"/>
      <c r="W5452" s="3">
        <v>2014</v>
      </c>
      <c r="X5452" s="3" t="s">
        <v>12076</v>
      </c>
    </row>
    <row r="5453" spans="1:24" ht="114.75">
      <c r="A5453" s="3" t="s">
        <v>10687</v>
      </c>
      <c r="B5453" s="6" t="s">
        <v>361</v>
      </c>
      <c r="C5453" s="6" t="s">
        <v>6209</v>
      </c>
      <c r="D5453" s="6" t="s">
        <v>450</v>
      </c>
      <c r="E5453" s="6" t="s">
        <v>5183</v>
      </c>
      <c r="F5453" s="30" t="s">
        <v>6286</v>
      </c>
      <c r="G5453" s="3" t="s">
        <v>11449</v>
      </c>
      <c r="H5453" s="54">
        <v>0</v>
      </c>
      <c r="I5453" s="16">
        <v>470000000</v>
      </c>
      <c r="J5453" s="56" t="s">
        <v>229</v>
      </c>
      <c r="K5453" s="57" t="s">
        <v>641</v>
      </c>
      <c r="L5453" s="12" t="s">
        <v>404</v>
      </c>
      <c r="M5453" s="3" t="s">
        <v>230</v>
      </c>
      <c r="N5453" s="8" t="s">
        <v>8899</v>
      </c>
      <c r="O5453" s="6" t="s">
        <v>365</v>
      </c>
      <c r="P5453" s="58">
        <v>796</v>
      </c>
      <c r="Q5453" s="26" t="s">
        <v>234</v>
      </c>
      <c r="R5453" s="34">
        <v>2</v>
      </c>
      <c r="S5453" s="59">
        <v>1079344.871</v>
      </c>
      <c r="T5453" s="4">
        <v>0</v>
      </c>
      <c r="U5453" s="4">
        <f t="shared" si="237"/>
        <v>0</v>
      </c>
      <c r="V5453" s="3"/>
      <c r="W5453" s="3">
        <v>2014</v>
      </c>
      <c r="X5453" s="3">
        <v>11</v>
      </c>
    </row>
    <row r="5454" spans="1:24" ht="114.75">
      <c r="A5454" s="3" t="s">
        <v>12943</v>
      </c>
      <c r="B5454" s="6" t="s">
        <v>361</v>
      </c>
      <c r="C5454" s="6" t="s">
        <v>6209</v>
      </c>
      <c r="D5454" s="6" t="s">
        <v>450</v>
      </c>
      <c r="E5454" s="6" t="s">
        <v>5183</v>
      </c>
      <c r="F5454" s="30" t="s">
        <v>6286</v>
      </c>
      <c r="G5454" s="3" t="s">
        <v>11449</v>
      </c>
      <c r="H5454" s="54">
        <v>0</v>
      </c>
      <c r="I5454" s="16">
        <v>470000000</v>
      </c>
      <c r="J5454" s="56" t="s">
        <v>229</v>
      </c>
      <c r="K5454" s="57" t="s">
        <v>9453</v>
      </c>
      <c r="L5454" s="12" t="s">
        <v>404</v>
      </c>
      <c r="M5454" s="3" t="s">
        <v>230</v>
      </c>
      <c r="N5454" s="8" t="s">
        <v>8899</v>
      </c>
      <c r="O5454" s="6" t="s">
        <v>365</v>
      </c>
      <c r="P5454" s="58">
        <v>796</v>
      </c>
      <c r="Q5454" s="26" t="s">
        <v>234</v>
      </c>
      <c r="R5454" s="34">
        <v>2</v>
      </c>
      <c r="S5454" s="59">
        <v>1079344.871</v>
      </c>
      <c r="T5454" s="4">
        <v>0</v>
      </c>
      <c r="U5454" s="4">
        <f>T5454*1.12</f>
        <v>0</v>
      </c>
      <c r="V5454" s="3"/>
      <c r="W5454" s="3">
        <v>2014</v>
      </c>
      <c r="X5454" s="3" t="s">
        <v>12076</v>
      </c>
    </row>
    <row r="5455" spans="1:24" ht="114.75">
      <c r="A5455" s="3" t="s">
        <v>2243</v>
      </c>
      <c r="B5455" s="6" t="s">
        <v>361</v>
      </c>
      <c r="C5455" s="6" t="s">
        <v>6279</v>
      </c>
      <c r="D5455" s="6" t="s">
        <v>6280</v>
      </c>
      <c r="E5455" s="6" t="s">
        <v>6281</v>
      </c>
      <c r="F5455" s="30" t="s">
        <v>6287</v>
      </c>
      <c r="G5455" s="3" t="s">
        <v>11449</v>
      </c>
      <c r="H5455" s="54">
        <v>0</v>
      </c>
      <c r="I5455" s="16">
        <v>470000000</v>
      </c>
      <c r="J5455" s="56" t="s">
        <v>229</v>
      </c>
      <c r="K5455" s="57" t="s">
        <v>641</v>
      </c>
      <c r="L5455" s="12" t="s">
        <v>404</v>
      </c>
      <c r="M5455" s="3" t="s">
        <v>230</v>
      </c>
      <c r="N5455" s="8" t="s">
        <v>8899</v>
      </c>
      <c r="O5455" s="6" t="s">
        <v>365</v>
      </c>
      <c r="P5455" s="58">
        <v>796</v>
      </c>
      <c r="Q5455" s="26" t="s">
        <v>234</v>
      </c>
      <c r="R5455" s="34">
        <v>10</v>
      </c>
      <c r="S5455" s="59">
        <v>3928.5730000000003</v>
      </c>
      <c r="T5455" s="4">
        <v>0</v>
      </c>
      <c r="U5455" s="4">
        <f t="shared" si="237"/>
        <v>0</v>
      </c>
      <c r="V5455" s="3"/>
      <c r="W5455" s="3">
        <v>2014</v>
      </c>
      <c r="X5455" s="3">
        <v>11</v>
      </c>
    </row>
    <row r="5456" spans="1:24" ht="114.75">
      <c r="A5456" s="3" t="s">
        <v>12944</v>
      </c>
      <c r="B5456" s="6" t="s">
        <v>361</v>
      </c>
      <c r="C5456" s="6" t="s">
        <v>6279</v>
      </c>
      <c r="D5456" s="6" t="s">
        <v>6280</v>
      </c>
      <c r="E5456" s="6" t="s">
        <v>6281</v>
      </c>
      <c r="F5456" s="30" t="s">
        <v>6287</v>
      </c>
      <c r="G5456" s="3" t="s">
        <v>11449</v>
      </c>
      <c r="H5456" s="54">
        <v>0</v>
      </c>
      <c r="I5456" s="16">
        <v>470000000</v>
      </c>
      <c r="J5456" s="56" t="s">
        <v>229</v>
      </c>
      <c r="K5456" s="57" t="s">
        <v>9453</v>
      </c>
      <c r="L5456" s="12" t="s">
        <v>404</v>
      </c>
      <c r="M5456" s="3" t="s">
        <v>230</v>
      </c>
      <c r="N5456" s="8" t="s">
        <v>8899</v>
      </c>
      <c r="O5456" s="6" t="s">
        <v>365</v>
      </c>
      <c r="P5456" s="58">
        <v>796</v>
      </c>
      <c r="Q5456" s="26" t="s">
        <v>234</v>
      </c>
      <c r="R5456" s="34">
        <v>10</v>
      </c>
      <c r="S5456" s="59">
        <v>3928.5730000000003</v>
      </c>
      <c r="T5456" s="4">
        <v>0</v>
      </c>
      <c r="U5456" s="4">
        <f>T5456*1.12</f>
        <v>0</v>
      </c>
      <c r="V5456" s="3"/>
      <c r="W5456" s="3">
        <v>2014</v>
      </c>
      <c r="X5456" s="3" t="s">
        <v>12076</v>
      </c>
    </row>
    <row r="5457" spans="1:24" ht="114.75">
      <c r="A5457" s="3" t="s">
        <v>2244</v>
      </c>
      <c r="B5457" s="6" t="s">
        <v>361</v>
      </c>
      <c r="C5457" s="6" t="s">
        <v>6276</v>
      </c>
      <c r="D5457" s="6" t="s">
        <v>5357</v>
      </c>
      <c r="E5457" s="6" t="s">
        <v>6277</v>
      </c>
      <c r="F5457" s="30" t="s">
        <v>6288</v>
      </c>
      <c r="G5457" s="3" t="s">
        <v>11449</v>
      </c>
      <c r="H5457" s="54">
        <v>0</v>
      </c>
      <c r="I5457" s="16">
        <v>470000000</v>
      </c>
      <c r="J5457" s="56" t="s">
        <v>229</v>
      </c>
      <c r="K5457" s="57" t="s">
        <v>641</v>
      </c>
      <c r="L5457" s="12" t="s">
        <v>404</v>
      </c>
      <c r="M5457" s="3" t="s">
        <v>230</v>
      </c>
      <c r="N5457" s="8" t="s">
        <v>8899</v>
      </c>
      <c r="O5457" s="6" t="s">
        <v>365</v>
      </c>
      <c r="P5457" s="58">
        <v>796</v>
      </c>
      <c r="Q5457" s="26" t="s">
        <v>234</v>
      </c>
      <c r="R5457" s="34">
        <v>6</v>
      </c>
      <c r="S5457" s="59">
        <v>86699.96</v>
      </c>
      <c r="T5457" s="4">
        <v>0</v>
      </c>
      <c r="U5457" s="4">
        <f t="shared" si="237"/>
        <v>0</v>
      </c>
      <c r="V5457" s="3"/>
      <c r="W5457" s="3">
        <v>2014</v>
      </c>
      <c r="X5457" s="3">
        <v>11</v>
      </c>
    </row>
    <row r="5458" spans="1:24" ht="114.75">
      <c r="A5458" s="3" t="s">
        <v>12945</v>
      </c>
      <c r="B5458" s="6" t="s">
        <v>361</v>
      </c>
      <c r="C5458" s="6" t="s">
        <v>6276</v>
      </c>
      <c r="D5458" s="6" t="s">
        <v>5357</v>
      </c>
      <c r="E5458" s="6" t="s">
        <v>6277</v>
      </c>
      <c r="F5458" s="30" t="s">
        <v>6288</v>
      </c>
      <c r="G5458" s="3" t="s">
        <v>11449</v>
      </c>
      <c r="H5458" s="54">
        <v>0</v>
      </c>
      <c r="I5458" s="16">
        <v>470000000</v>
      </c>
      <c r="J5458" s="56" t="s">
        <v>229</v>
      </c>
      <c r="K5458" s="57" t="s">
        <v>9453</v>
      </c>
      <c r="L5458" s="12" t="s">
        <v>404</v>
      </c>
      <c r="M5458" s="3" t="s">
        <v>230</v>
      </c>
      <c r="N5458" s="8" t="s">
        <v>8899</v>
      </c>
      <c r="O5458" s="6" t="s">
        <v>365</v>
      </c>
      <c r="P5458" s="58">
        <v>796</v>
      </c>
      <c r="Q5458" s="26" t="s">
        <v>234</v>
      </c>
      <c r="R5458" s="34">
        <v>6</v>
      </c>
      <c r="S5458" s="59">
        <v>86699.96</v>
      </c>
      <c r="T5458" s="4">
        <v>0</v>
      </c>
      <c r="U5458" s="4">
        <f>T5458*1.12</f>
        <v>0</v>
      </c>
      <c r="V5458" s="3"/>
      <c r="W5458" s="3">
        <v>2014</v>
      </c>
      <c r="X5458" s="3" t="s">
        <v>12076</v>
      </c>
    </row>
    <row r="5459" spans="1:24" ht="114.75">
      <c r="A5459" s="3" t="s">
        <v>2245</v>
      </c>
      <c r="B5459" s="6" t="s">
        <v>361</v>
      </c>
      <c r="C5459" s="6" t="s">
        <v>6289</v>
      </c>
      <c r="D5459" s="6" t="s">
        <v>6290</v>
      </c>
      <c r="E5459" s="6" t="s">
        <v>6291</v>
      </c>
      <c r="F5459" s="30" t="s">
        <v>6292</v>
      </c>
      <c r="G5459" s="3" t="s">
        <v>11449</v>
      </c>
      <c r="H5459" s="54">
        <v>0</v>
      </c>
      <c r="I5459" s="16">
        <v>470000000</v>
      </c>
      <c r="J5459" s="56" t="s">
        <v>229</v>
      </c>
      <c r="K5459" s="57" t="s">
        <v>641</v>
      </c>
      <c r="L5459" s="12" t="s">
        <v>404</v>
      </c>
      <c r="M5459" s="3" t="s">
        <v>230</v>
      </c>
      <c r="N5459" s="8" t="s">
        <v>8899</v>
      </c>
      <c r="O5459" s="6" t="s">
        <v>365</v>
      </c>
      <c r="P5459" s="58">
        <v>796</v>
      </c>
      <c r="Q5459" s="26" t="s">
        <v>234</v>
      </c>
      <c r="R5459" s="34">
        <v>2</v>
      </c>
      <c r="S5459" s="59">
        <v>1850000</v>
      </c>
      <c r="T5459" s="4">
        <v>0</v>
      </c>
      <c r="U5459" s="4">
        <f t="shared" si="237"/>
        <v>0</v>
      </c>
      <c r="V5459" s="3"/>
      <c r="W5459" s="3">
        <v>2014</v>
      </c>
      <c r="X5459" s="3">
        <v>11</v>
      </c>
    </row>
    <row r="5460" spans="1:24" ht="114.75">
      <c r="A5460" s="3" t="s">
        <v>12946</v>
      </c>
      <c r="B5460" s="6" t="s">
        <v>361</v>
      </c>
      <c r="C5460" s="6" t="s">
        <v>6289</v>
      </c>
      <c r="D5460" s="6" t="s">
        <v>6290</v>
      </c>
      <c r="E5460" s="6" t="s">
        <v>6291</v>
      </c>
      <c r="F5460" s="30" t="s">
        <v>6292</v>
      </c>
      <c r="G5460" s="3" t="s">
        <v>11449</v>
      </c>
      <c r="H5460" s="54">
        <v>0</v>
      </c>
      <c r="I5460" s="16">
        <v>470000000</v>
      </c>
      <c r="J5460" s="56" t="s">
        <v>229</v>
      </c>
      <c r="K5460" s="57" t="s">
        <v>9453</v>
      </c>
      <c r="L5460" s="12" t="s">
        <v>404</v>
      </c>
      <c r="M5460" s="3" t="s">
        <v>230</v>
      </c>
      <c r="N5460" s="8" t="s">
        <v>8899</v>
      </c>
      <c r="O5460" s="6" t="s">
        <v>365</v>
      </c>
      <c r="P5460" s="58">
        <v>796</v>
      </c>
      <c r="Q5460" s="26" t="s">
        <v>234</v>
      </c>
      <c r="R5460" s="34">
        <v>2</v>
      </c>
      <c r="S5460" s="59">
        <v>1850000</v>
      </c>
      <c r="T5460" s="4">
        <v>0</v>
      </c>
      <c r="U5460" s="4">
        <f>T5460*1.12</f>
        <v>0</v>
      </c>
      <c r="V5460" s="3"/>
      <c r="W5460" s="3">
        <v>2014</v>
      </c>
      <c r="X5460" s="3" t="s">
        <v>12051</v>
      </c>
    </row>
    <row r="5461" spans="1:24" ht="114.75">
      <c r="A5461" s="3" t="s">
        <v>17140</v>
      </c>
      <c r="B5461" s="6" t="s">
        <v>361</v>
      </c>
      <c r="C5461" s="6" t="s">
        <v>6289</v>
      </c>
      <c r="D5461" s="6" t="s">
        <v>6290</v>
      </c>
      <c r="E5461" s="6" t="s">
        <v>6291</v>
      </c>
      <c r="F5461" s="30" t="s">
        <v>6292</v>
      </c>
      <c r="G5461" s="3" t="s">
        <v>11449</v>
      </c>
      <c r="H5461" s="54">
        <v>0</v>
      </c>
      <c r="I5461" s="16">
        <v>470000000</v>
      </c>
      <c r="J5461" s="56" t="s">
        <v>229</v>
      </c>
      <c r="K5461" s="57" t="s">
        <v>8950</v>
      </c>
      <c r="L5461" s="12" t="s">
        <v>404</v>
      </c>
      <c r="M5461" s="3" t="s">
        <v>230</v>
      </c>
      <c r="N5461" s="8" t="s">
        <v>8899</v>
      </c>
      <c r="O5461" s="6" t="s">
        <v>365</v>
      </c>
      <c r="P5461" s="58">
        <v>796</v>
      </c>
      <c r="Q5461" s="26" t="s">
        <v>234</v>
      </c>
      <c r="R5461" s="34">
        <v>1</v>
      </c>
      <c r="S5461" s="59">
        <v>2220000</v>
      </c>
      <c r="T5461" s="4">
        <v>0</v>
      </c>
      <c r="U5461" s="4">
        <f>T5461*1.12</f>
        <v>0</v>
      </c>
      <c r="V5461" s="3"/>
      <c r="W5461" s="3">
        <v>2014</v>
      </c>
      <c r="X5461" s="3" t="s">
        <v>12076</v>
      </c>
    </row>
    <row r="5462" spans="1:24" ht="114.75">
      <c r="A5462" s="3" t="s">
        <v>2246</v>
      </c>
      <c r="B5462" s="6" t="s">
        <v>361</v>
      </c>
      <c r="C5462" s="6" t="s">
        <v>6293</v>
      </c>
      <c r="D5462" s="6" t="s">
        <v>6294</v>
      </c>
      <c r="E5462" s="6" t="s">
        <v>6295</v>
      </c>
      <c r="F5462" s="30" t="s">
        <v>8166</v>
      </c>
      <c r="G5462" s="3" t="s">
        <v>11449</v>
      </c>
      <c r="H5462" s="54">
        <v>0</v>
      </c>
      <c r="I5462" s="16">
        <v>470000000</v>
      </c>
      <c r="J5462" s="56" t="s">
        <v>229</v>
      </c>
      <c r="K5462" s="57" t="s">
        <v>641</v>
      </c>
      <c r="L5462" s="12" t="s">
        <v>404</v>
      </c>
      <c r="M5462" s="3" t="s">
        <v>230</v>
      </c>
      <c r="N5462" s="8" t="s">
        <v>8899</v>
      </c>
      <c r="O5462" s="6" t="s">
        <v>365</v>
      </c>
      <c r="P5462" s="58">
        <v>839</v>
      </c>
      <c r="Q5462" s="26" t="s">
        <v>239</v>
      </c>
      <c r="R5462" s="34">
        <v>22</v>
      </c>
      <c r="S5462" s="59">
        <v>84592.76</v>
      </c>
      <c r="T5462" s="4">
        <v>0</v>
      </c>
      <c r="U5462" s="4">
        <f t="shared" si="237"/>
        <v>0</v>
      </c>
      <c r="V5462" s="3"/>
      <c r="W5462" s="3">
        <v>2014</v>
      </c>
      <c r="X5462" s="3">
        <v>11</v>
      </c>
    </row>
    <row r="5463" spans="1:24" ht="114.75">
      <c r="A5463" s="3" t="s">
        <v>12947</v>
      </c>
      <c r="B5463" s="6" t="s">
        <v>361</v>
      </c>
      <c r="C5463" s="6" t="s">
        <v>6293</v>
      </c>
      <c r="D5463" s="6" t="s">
        <v>6294</v>
      </c>
      <c r="E5463" s="6" t="s">
        <v>6295</v>
      </c>
      <c r="F5463" s="30" t="s">
        <v>8166</v>
      </c>
      <c r="G5463" s="3" t="s">
        <v>11449</v>
      </c>
      <c r="H5463" s="54">
        <v>0</v>
      </c>
      <c r="I5463" s="16">
        <v>470000000</v>
      </c>
      <c r="J5463" s="56" t="s">
        <v>229</v>
      </c>
      <c r="K5463" s="57" t="s">
        <v>9453</v>
      </c>
      <c r="L5463" s="12" t="s">
        <v>404</v>
      </c>
      <c r="M5463" s="3" t="s">
        <v>230</v>
      </c>
      <c r="N5463" s="8" t="s">
        <v>8899</v>
      </c>
      <c r="O5463" s="6" t="s">
        <v>365</v>
      </c>
      <c r="P5463" s="58">
        <v>839</v>
      </c>
      <c r="Q5463" s="26" t="s">
        <v>239</v>
      </c>
      <c r="R5463" s="34">
        <v>22</v>
      </c>
      <c r="S5463" s="59">
        <v>84592.76</v>
      </c>
      <c r="T5463" s="4">
        <v>0</v>
      </c>
      <c r="U5463" s="4">
        <f>T5463*1.12</f>
        <v>0</v>
      </c>
      <c r="V5463" s="3"/>
      <c r="W5463" s="3">
        <v>2014</v>
      </c>
      <c r="X5463" s="3" t="s">
        <v>12076</v>
      </c>
    </row>
    <row r="5464" spans="1:24" ht="114.75">
      <c r="A5464" s="3" t="s">
        <v>2247</v>
      </c>
      <c r="B5464" s="6" t="s">
        <v>361</v>
      </c>
      <c r="C5464" s="6" t="s">
        <v>6296</v>
      </c>
      <c r="D5464" s="6" t="s">
        <v>388</v>
      </c>
      <c r="E5464" s="6" t="s">
        <v>6297</v>
      </c>
      <c r="F5464" s="30" t="s">
        <v>8167</v>
      </c>
      <c r="G5464" s="3" t="s">
        <v>11449</v>
      </c>
      <c r="H5464" s="54">
        <v>0</v>
      </c>
      <c r="I5464" s="16">
        <v>470000000</v>
      </c>
      <c r="J5464" s="56" t="s">
        <v>229</v>
      </c>
      <c r="K5464" s="57" t="s">
        <v>641</v>
      </c>
      <c r="L5464" s="12" t="s">
        <v>404</v>
      </c>
      <c r="M5464" s="3" t="s">
        <v>230</v>
      </c>
      <c r="N5464" s="8" t="s">
        <v>8899</v>
      </c>
      <c r="O5464" s="6" t="s">
        <v>365</v>
      </c>
      <c r="P5464" s="58">
        <v>839</v>
      </c>
      <c r="Q5464" s="26" t="s">
        <v>239</v>
      </c>
      <c r="R5464" s="34">
        <v>5</v>
      </c>
      <c r="S5464" s="59">
        <v>38047.9</v>
      </c>
      <c r="T5464" s="4">
        <v>0</v>
      </c>
      <c r="U5464" s="4">
        <f t="shared" si="237"/>
        <v>0</v>
      </c>
      <c r="V5464" s="3"/>
      <c r="W5464" s="3">
        <v>2014</v>
      </c>
      <c r="X5464" s="3">
        <v>11</v>
      </c>
    </row>
    <row r="5465" spans="1:24" ht="114.75">
      <c r="A5465" s="3" t="s">
        <v>12948</v>
      </c>
      <c r="B5465" s="6" t="s">
        <v>361</v>
      </c>
      <c r="C5465" s="6" t="s">
        <v>6296</v>
      </c>
      <c r="D5465" s="6" t="s">
        <v>388</v>
      </c>
      <c r="E5465" s="6" t="s">
        <v>6297</v>
      </c>
      <c r="F5465" s="30" t="s">
        <v>8167</v>
      </c>
      <c r="G5465" s="3" t="s">
        <v>11449</v>
      </c>
      <c r="H5465" s="54">
        <v>0</v>
      </c>
      <c r="I5465" s="16">
        <v>470000000</v>
      </c>
      <c r="J5465" s="56" t="s">
        <v>229</v>
      </c>
      <c r="K5465" s="57" t="s">
        <v>9453</v>
      </c>
      <c r="L5465" s="12" t="s">
        <v>404</v>
      </c>
      <c r="M5465" s="3" t="s">
        <v>230</v>
      </c>
      <c r="N5465" s="8" t="s">
        <v>8899</v>
      </c>
      <c r="O5465" s="6" t="s">
        <v>365</v>
      </c>
      <c r="P5465" s="58">
        <v>839</v>
      </c>
      <c r="Q5465" s="26" t="s">
        <v>239</v>
      </c>
      <c r="R5465" s="34">
        <v>5</v>
      </c>
      <c r="S5465" s="59">
        <v>38047.9</v>
      </c>
      <c r="T5465" s="4">
        <v>0</v>
      </c>
      <c r="U5465" s="4">
        <f>T5465*1.12</f>
        <v>0</v>
      </c>
      <c r="V5465" s="3"/>
      <c r="W5465" s="3">
        <v>2014</v>
      </c>
      <c r="X5465" s="3" t="s">
        <v>12076</v>
      </c>
    </row>
    <row r="5466" spans="1:24" ht="114.75">
      <c r="A5466" s="3" t="s">
        <v>2248</v>
      </c>
      <c r="B5466" s="6" t="s">
        <v>361</v>
      </c>
      <c r="C5466" s="6" t="s">
        <v>6298</v>
      </c>
      <c r="D5466" s="6" t="s">
        <v>3125</v>
      </c>
      <c r="E5466" s="6" t="s">
        <v>3115</v>
      </c>
      <c r="F5466" s="30" t="s">
        <v>8168</v>
      </c>
      <c r="G5466" s="3" t="s">
        <v>11449</v>
      </c>
      <c r="H5466" s="54">
        <v>0</v>
      </c>
      <c r="I5466" s="16">
        <v>470000000</v>
      </c>
      <c r="J5466" s="56" t="s">
        <v>229</v>
      </c>
      <c r="K5466" s="57" t="s">
        <v>641</v>
      </c>
      <c r="L5466" s="12" t="s">
        <v>404</v>
      </c>
      <c r="M5466" s="3" t="s">
        <v>230</v>
      </c>
      <c r="N5466" s="8" t="s">
        <v>8899</v>
      </c>
      <c r="O5466" s="6" t="s">
        <v>365</v>
      </c>
      <c r="P5466" s="58">
        <v>839</v>
      </c>
      <c r="Q5466" s="26" t="s">
        <v>239</v>
      </c>
      <c r="R5466" s="34">
        <v>10</v>
      </c>
      <c r="S5466" s="59">
        <v>9625</v>
      </c>
      <c r="T5466" s="4">
        <v>0</v>
      </c>
      <c r="U5466" s="4">
        <f t="shared" si="237"/>
        <v>0</v>
      </c>
      <c r="V5466" s="3"/>
      <c r="W5466" s="3">
        <v>2014</v>
      </c>
      <c r="X5466" s="3">
        <v>11</v>
      </c>
    </row>
    <row r="5467" spans="1:24" ht="114.75">
      <c r="A5467" s="3" t="s">
        <v>12949</v>
      </c>
      <c r="B5467" s="6" t="s">
        <v>361</v>
      </c>
      <c r="C5467" s="6" t="s">
        <v>6298</v>
      </c>
      <c r="D5467" s="6" t="s">
        <v>3125</v>
      </c>
      <c r="E5467" s="6" t="s">
        <v>3115</v>
      </c>
      <c r="F5467" s="30" t="s">
        <v>8168</v>
      </c>
      <c r="G5467" s="3" t="s">
        <v>11449</v>
      </c>
      <c r="H5467" s="54">
        <v>0</v>
      </c>
      <c r="I5467" s="16">
        <v>470000000</v>
      </c>
      <c r="J5467" s="56" t="s">
        <v>229</v>
      </c>
      <c r="K5467" s="57" t="s">
        <v>9453</v>
      </c>
      <c r="L5467" s="12" t="s">
        <v>404</v>
      </c>
      <c r="M5467" s="3" t="s">
        <v>230</v>
      </c>
      <c r="N5467" s="8" t="s">
        <v>8899</v>
      </c>
      <c r="O5467" s="6" t="s">
        <v>365</v>
      </c>
      <c r="P5467" s="58">
        <v>839</v>
      </c>
      <c r="Q5467" s="26" t="s">
        <v>239</v>
      </c>
      <c r="R5467" s="34">
        <v>10</v>
      </c>
      <c r="S5467" s="59">
        <v>9625</v>
      </c>
      <c r="T5467" s="4">
        <v>0</v>
      </c>
      <c r="U5467" s="4">
        <f>T5467*1.12</f>
        <v>0</v>
      </c>
      <c r="V5467" s="3"/>
      <c r="W5467" s="3">
        <v>2014</v>
      </c>
      <c r="X5467" s="3" t="s">
        <v>12076</v>
      </c>
    </row>
    <row r="5468" spans="1:24" ht="114.75">
      <c r="A5468" s="3" t="s">
        <v>10688</v>
      </c>
      <c r="B5468" s="6" t="s">
        <v>361</v>
      </c>
      <c r="C5468" s="6" t="s">
        <v>3121</v>
      </c>
      <c r="D5468" s="6" t="s">
        <v>3122</v>
      </c>
      <c r="E5468" s="6" t="s">
        <v>3115</v>
      </c>
      <c r="F5468" s="30" t="s">
        <v>8169</v>
      </c>
      <c r="G5468" s="3" t="s">
        <v>11449</v>
      </c>
      <c r="H5468" s="54">
        <v>0</v>
      </c>
      <c r="I5468" s="16">
        <v>470000000</v>
      </c>
      <c r="J5468" s="56" t="s">
        <v>229</v>
      </c>
      <c r="K5468" s="57" t="s">
        <v>641</v>
      </c>
      <c r="L5468" s="12" t="s">
        <v>404</v>
      </c>
      <c r="M5468" s="3" t="s">
        <v>230</v>
      </c>
      <c r="N5468" s="8" t="s">
        <v>8899</v>
      </c>
      <c r="O5468" s="6" t="s">
        <v>365</v>
      </c>
      <c r="P5468" s="58">
        <v>839</v>
      </c>
      <c r="Q5468" s="26" t="s">
        <v>239</v>
      </c>
      <c r="R5468" s="34">
        <v>10</v>
      </c>
      <c r="S5468" s="59">
        <v>10450</v>
      </c>
      <c r="T5468" s="4">
        <v>0</v>
      </c>
      <c r="U5468" s="4">
        <f t="shared" si="237"/>
        <v>0</v>
      </c>
      <c r="V5468" s="3"/>
      <c r="W5468" s="3">
        <v>2014</v>
      </c>
      <c r="X5468" s="3">
        <v>11</v>
      </c>
    </row>
    <row r="5469" spans="1:24" ht="114.75">
      <c r="A5469" s="3" t="s">
        <v>12950</v>
      </c>
      <c r="B5469" s="6" t="s">
        <v>361</v>
      </c>
      <c r="C5469" s="6" t="s">
        <v>3121</v>
      </c>
      <c r="D5469" s="6" t="s">
        <v>3122</v>
      </c>
      <c r="E5469" s="6" t="s">
        <v>3115</v>
      </c>
      <c r="F5469" s="30" t="s">
        <v>8169</v>
      </c>
      <c r="G5469" s="3" t="s">
        <v>11449</v>
      </c>
      <c r="H5469" s="54">
        <v>0</v>
      </c>
      <c r="I5469" s="16">
        <v>470000000</v>
      </c>
      <c r="J5469" s="56" t="s">
        <v>229</v>
      </c>
      <c r="K5469" s="57" t="s">
        <v>9453</v>
      </c>
      <c r="L5469" s="12" t="s">
        <v>404</v>
      </c>
      <c r="M5469" s="3" t="s">
        <v>230</v>
      </c>
      <c r="N5469" s="8" t="s">
        <v>8899</v>
      </c>
      <c r="O5469" s="6" t="s">
        <v>365</v>
      </c>
      <c r="P5469" s="58">
        <v>839</v>
      </c>
      <c r="Q5469" s="26" t="s">
        <v>239</v>
      </c>
      <c r="R5469" s="34">
        <v>10</v>
      </c>
      <c r="S5469" s="59">
        <v>10450</v>
      </c>
      <c r="T5469" s="4">
        <v>0</v>
      </c>
      <c r="U5469" s="4">
        <f>T5469*1.12</f>
        <v>0</v>
      </c>
      <c r="V5469" s="3"/>
      <c r="W5469" s="3">
        <v>2014</v>
      </c>
      <c r="X5469" s="3" t="s">
        <v>12076</v>
      </c>
    </row>
    <row r="5470" spans="1:24" ht="114.75">
      <c r="A5470" s="3" t="s">
        <v>2249</v>
      </c>
      <c r="B5470" s="6" t="s">
        <v>361</v>
      </c>
      <c r="C5470" s="6" t="s">
        <v>6298</v>
      </c>
      <c r="D5470" s="6" t="s">
        <v>3125</v>
      </c>
      <c r="E5470" s="6" t="s">
        <v>3115</v>
      </c>
      <c r="F5470" s="30" t="s">
        <v>8170</v>
      </c>
      <c r="G5470" s="3" t="s">
        <v>11449</v>
      </c>
      <c r="H5470" s="54">
        <v>0</v>
      </c>
      <c r="I5470" s="16">
        <v>470000000</v>
      </c>
      <c r="J5470" s="56" t="s">
        <v>229</v>
      </c>
      <c r="K5470" s="57" t="s">
        <v>641</v>
      </c>
      <c r="L5470" s="12" t="s">
        <v>404</v>
      </c>
      <c r="M5470" s="3" t="s">
        <v>230</v>
      </c>
      <c r="N5470" s="8" t="s">
        <v>8899</v>
      </c>
      <c r="O5470" s="6" t="s">
        <v>365</v>
      </c>
      <c r="P5470" s="58">
        <v>796</v>
      </c>
      <c r="Q5470" s="26" t="s">
        <v>234</v>
      </c>
      <c r="R5470" s="34">
        <v>10</v>
      </c>
      <c r="S5470" s="59">
        <v>9625</v>
      </c>
      <c r="T5470" s="4">
        <v>0</v>
      </c>
      <c r="U5470" s="4">
        <f t="shared" si="237"/>
        <v>0</v>
      </c>
      <c r="V5470" s="3"/>
      <c r="W5470" s="3">
        <v>2014</v>
      </c>
      <c r="X5470" s="3">
        <v>11</v>
      </c>
    </row>
    <row r="5471" spans="1:24" ht="114.75">
      <c r="A5471" s="3" t="s">
        <v>12951</v>
      </c>
      <c r="B5471" s="6" t="s">
        <v>361</v>
      </c>
      <c r="C5471" s="6" t="s">
        <v>6298</v>
      </c>
      <c r="D5471" s="6" t="s">
        <v>3125</v>
      </c>
      <c r="E5471" s="6" t="s">
        <v>3115</v>
      </c>
      <c r="F5471" s="30" t="s">
        <v>8170</v>
      </c>
      <c r="G5471" s="3" t="s">
        <v>11449</v>
      </c>
      <c r="H5471" s="54">
        <v>0</v>
      </c>
      <c r="I5471" s="16">
        <v>470000000</v>
      </c>
      <c r="J5471" s="56" t="s">
        <v>229</v>
      </c>
      <c r="K5471" s="57" t="s">
        <v>9453</v>
      </c>
      <c r="L5471" s="12" t="s">
        <v>404</v>
      </c>
      <c r="M5471" s="3" t="s">
        <v>230</v>
      </c>
      <c r="N5471" s="8" t="s">
        <v>8899</v>
      </c>
      <c r="O5471" s="6" t="s">
        <v>365</v>
      </c>
      <c r="P5471" s="58">
        <v>796</v>
      </c>
      <c r="Q5471" s="26" t="s">
        <v>234</v>
      </c>
      <c r="R5471" s="34">
        <v>10</v>
      </c>
      <c r="S5471" s="59">
        <v>9625</v>
      </c>
      <c r="T5471" s="4">
        <v>0</v>
      </c>
      <c r="U5471" s="4">
        <f>T5471*1.12</f>
        <v>0</v>
      </c>
      <c r="V5471" s="3"/>
      <c r="W5471" s="3">
        <v>2014</v>
      </c>
      <c r="X5471" s="3" t="s">
        <v>12076</v>
      </c>
    </row>
    <row r="5472" spans="1:24" ht="114.75">
      <c r="A5472" s="3" t="s">
        <v>10689</v>
      </c>
      <c r="B5472" s="6" t="s">
        <v>361</v>
      </c>
      <c r="C5472" s="6" t="s">
        <v>3121</v>
      </c>
      <c r="D5472" s="6" t="s">
        <v>3122</v>
      </c>
      <c r="E5472" s="6" t="s">
        <v>3115</v>
      </c>
      <c r="F5472" s="30" t="s">
        <v>8171</v>
      </c>
      <c r="G5472" s="3" t="s">
        <v>11449</v>
      </c>
      <c r="H5472" s="54">
        <v>0</v>
      </c>
      <c r="I5472" s="16">
        <v>470000000</v>
      </c>
      <c r="J5472" s="56" t="s">
        <v>229</v>
      </c>
      <c r="K5472" s="57" t="s">
        <v>641</v>
      </c>
      <c r="L5472" s="12" t="s">
        <v>404</v>
      </c>
      <c r="M5472" s="3" t="s">
        <v>230</v>
      </c>
      <c r="N5472" s="8" t="s">
        <v>8899</v>
      </c>
      <c r="O5472" s="6" t="s">
        <v>365</v>
      </c>
      <c r="P5472" s="58">
        <v>796</v>
      </c>
      <c r="Q5472" s="26" t="s">
        <v>234</v>
      </c>
      <c r="R5472" s="34">
        <v>10</v>
      </c>
      <c r="S5472" s="59">
        <v>10450</v>
      </c>
      <c r="T5472" s="4">
        <v>0</v>
      </c>
      <c r="U5472" s="4">
        <f t="shared" si="237"/>
        <v>0</v>
      </c>
      <c r="V5472" s="3"/>
      <c r="W5472" s="3">
        <v>2014</v>
      </c>
      <c r="X5472" s="3">
        <v>11</v>
      </c>
    </row>
    <row r="5473" spans="1:24" ht="114.75">
      <c r="A5473" s="3" t="s">
        <v>12952</v>
      </c>
      <c r="B5473" s="6" t="s">
        <v>361</v>
      </c>
      <c r="C5473" s="6" t="s">
        <v>3121</v>
      </c>
      <c r="D5473" s="6" t="s">
        <v>3122</v>
      </c>
      <c r="E5473" s="6" t="s">
        <v>3115</v>
      </c>
      <c r="F5473" s="30" t="s">
        <v>8171</v>
      </c>
      <c r="G5473" s="3" t="s">
        <v>11449</v>
      </c>
      <c r="H5473" s="54">
        <v>0</v>
      </c>
      <c r="I5473" s="16">
        <v>470000000</v>
      </c>
      <c r="J5473" s="56" t="s">
        <v>229</v>
      </c>
      <c r="K5473" s="57" t="s">
        <v>9453</v>
      </c>
      <c r="L5473" s="12" t="s">
        <v>404</v>
      </c>
      <c r="M5473" s="3" t="s">
        <v>230</v>
      </c>
      <c r="N5473" s="8" t="s">
        <v>8899</v>
      </c>
      <c r="O5473" s="6" t="s">
        <v>365</v>
      </c>
      <c r="P5473" s="58">
        <v>796</v>
      </c>
      <c r="Q5473" s="26" t="s">
        <v>234</v>
      </c>
      <c r="R5473" s="34">
        <v>10</v>
      </c>
      <c r="S5473" s="59">
        <v>10450</v>
      </c>
      <c r="T5473" s="4">
        <v>0</v>
      </c>
      <c r="U5473" s="4">
        <f>T5473*1.12</f>
        <v>0</v>
      </c>
      <c r="V5473" s="3"/>
      <c r="W5473" s="3">
        <v>2014</v>
      </c>
      <c r="X5473" s="3" t="s">
        <v>12076</v>
      </c>
    </row>
    <row r="5474" spans="1:24" ht="114.75">
      <c r="A5474" s="3" t="s">
        <v>10690</v>
      </c>
      <c r="B5474" s="6" t="s">
        <v>361</v>
      </c>
      <c r="C5474" s="6" t="s">
        <v>6299</v>
      </c>
      <c r="D5474" s="6" t="s">
        <v>452</v>
      </c>
      <c r="E5474" s="6" t="s">
        <v>6274</v>
      </c>
      <c r="F5474" s="30" t="s">
        <v>8172</v>
      </c>
      <c r="G5474" s="3" t="s">
        <v>11449</v>
      </c>
      <c r="H5474" s="54">
        <v>0</v>
      </c>
      <c r="I5474" s="16">
        <v>470000000</v>
      </c>
      <c r="J5474" s="56" t="s">
        <v>229</v>
      </c>
      <c r="K5474" s="57" t="s">
        <v>641</v>
      </c>
      <c r="L5474" s="12" t="s">
        <v>404</v>
      </c>
      <c r="M5474" s="3" t="s">
        <v>230</v>
      </c>
      <c r="N5474" s="8" t="s">
        <v>8899</v>
      </c>
      <c r="O5474" s="6" t="s">
        <v>365</v>
      </c>
      <c r="P5474" s="58">
        <v>796</v>
      </c>
      <c r="Q5474" s="26" t="s">
        <v>234</v>
      </c>
      <c r="R5474" s="34">
        <v>2</v>
      </c>
      <c r="S5474" s="59">
        <v>194221.489</v>
      </c>
      <c r="T5474" s="4">
        <v>0</v>
      </c>
      <c r="U5474" s="4">
        <f t="shared" si="237"/>
        <v>0</v>
      </c>
      <c r="V5474" s="3"/>
      <c r="W5474" s="3">
        <v>2014</v>
      </c>
      <c r="X5474" s="3">
        <v>11</v>
      </c>
    </row>
    <row r="5475" spans="1:24" ht="114.75">
      <c r="A5475" s="3" t="s">
        <v>12953</v>
      </c>
      <c r="B5475" s="6" t="s">
        <v>361</v>
      </c>
      <c r="C5475" s="6" t="s">
        <v>6299</v>
      </c>
      <c r="D5475" s="6" t="s">
        <v>452</v>
      </c>
      <c r="E5475" s="6" t="s">
        <v>6274</v>
      </c>
      <c r="F5475" s="30" t="s">
        <v>8172</v>
      </c>
      <c r="G5475" s="3" t="s">
        <v>11449</v>
      </c>
      <c r="H5475" s="54">
        <v>0</v>
      </c>
      <c r="I5475" s="16">
        <v>470000000</v>
      </c>
      <c r="J5475" s="56" t="s">
        <v>229</v>
      </c>
      <c r="K5475" s="57" t="s">
        <v>9453</v>
      </c>
      <c r="L5475" s="12" t="s">
        <v>404</v>
      </c>
      <c r="M5475" s="3" t="s">
        <v>230</v>
      </c>
      <c r="N5475" s="8" t="s">
        <v>8899</v>
      </c>
      <c r="O5475" s="6" t="s">
        <v>365</v>
      </c>
      <c r="P5475" s="58">
        <v>796</v>
      </c>
      <c r="Q5475" s="26" t="s">
        <v>234</v>
      </c>
      <c r="R5475" s="34">
        <v>2</v>
      </c>
      <c r="S5475" s="59">
        <v>194221.489</v>
      </c>
      <c r="T5475" s="4">
        <v>0</v>
      </c>
      <c r="U5475" s="4">
        <f>T5475*1.12</f>
        <v>0</v>
      </c>
      <c r="V5475" s="3"/>
      <c r="W5475" s="3">
        <v>2014</v>
      </c>
      <c r="X5475" s="3" t="s">
        <v>12076</v>
      </c>
    </row>
    <row r="5476" spans="1:24" ht="114.75">
      <c r="A5476" s="3" t="s">
        <v>10691</v>
      </c>
      <c r="B5476" s="6" t="s">
        <v>361</v>
      </c>
      <c r="C5476" s="6" t="s">
        <v>6300</v>
      </c>
      <c r="D5476" s="6" t="s">
        <v>433</v>
      </c>
      <c r="E5476" s="6" t="s">
        <v>6291</v>
      </c>
      <c r="F5476" s="30" t="s">
        <v>8173</v>
      </c>
      <c r="G5476" s="3" t="s">
        <v>11449</v>
      </c>
      <c r="H5476" s="54">
        <v>0</v>
      </c>
      <c r="I5476" s="16">
        <v>470000000</v>
      </c>
      <c r="J5476" s="56" t="s">
        <v>229</v>
      </c>
      <c r="K5476" s="57" t="s">
        <v>641</v>
      </c>
      <c r="L5476" s="12" t="s">
        <v>404</v>
      </c>
      <c r="M5476" s="3" t="s">
        <v>230</v>
      </c>
      <c r="N5476" s="8" t="s">
        <v>8899</v>
      </c>
      <c r="O5476" s="6" t="s">
        <v>365</v>
      </c>
      <c r="P5476" s="58">
        <v>796</v>
      </c>
      <c r="Q5476" s="26" t="s">
        <v>234</v>
      </c>
      <c r="R5476" s="34">
        <v>2</v>
      </c>
      <c r="S5476" s="59">
        <v>108827.554</v>
      </c>
      <c r="T5476" s="4">
        <v>0</v>
      </c>
      <c r="U5476" s="4">
        <f t="shared" si="237"/>
        <v>0</v>
      </c>
      <c r="V5476" s="3"/>
      <c r="W5476" s="3">
        <v>2014</v>
      </c>
      <c r="X5476" s="3">
        <v>11</v>
      </c>
    </row>
    <row r="5477" spans="1:24" ht="114.75">
      <c r="A5477" s="3" t="s">
        <v>12954</v>
      </c>
      <c r="B5477" s="6" t="s">
        <v>361</v>
      </c>
      <c r="C5477" s="6" t="s">
        <v>6300</v>
      </c>
      <c r="D5477" s="6" t="s">
        <v>433</v>
      </c>
      <c r="E5477" s="6" t="s">
        <v>6291</v>
      </c>
      <c r="F5477" s="30" t="s">
        <v>8173</v>
      </c>
      <c r="G5477" s="3" t="s">
        <v>11449</v>
      </c>
      <c r="H5477" s="54">
        <v>0</v>
      </c>
      <c r="I5477" s="16">
        <v>470000000</v>
      </c>
      <c r="J5477" s="56" t="s">
        <v>229</v>
      </c>
      <c r="K5477" s="57" t="s">
        <v>9453</v>
      </c>
      <c r="L5477" s="12" t="s">
        <v>404</v>
      </c>
      <c r="M5477" s="3" t="s">
        <v>230</v>
      </c>
      <c r="N5477" s="8" t="s">
        <v>8899</v>
      </c>
      <c r="O5477" s="6" t="s">
        <v>365</v>
      </c>
      <c r="P5477" s="58">
        <v>796</v>
      </c>
      <c r="Q5477" s="26" t="s">
        <v>234</v>
      </c>
      <c r="R5477" s="34">
        <v>2</v>
      </c>
      <c r="S5477" s="59">
        <v>108827.554</v>
      </c>
      <c r="T5477" s="4">
        <v>0</v>
      </c>
      <c r="U5477" s="4">
        <f>T5477*1.12</f>
        <v>0</v>
      </c>
      <c r="V5477" s="3"/>
      <c r="W5477" s="3">
        <v>2014</v>
      </c>
      <c r="X5477" s="3" t="s">
        <v>12076</v>
      </c>
    </row>
    <row r="5478" spans="1:24" ht="114.75">
      <c r="A5478" s="3" t="s">
        <v>10692</v>
      </c>
      <c r="B5478" s="6" t="s">
        <v>361</v>
      </c>
      <c r="C5478" s="6" t="s">
        <v>6219</v>
      </c>
      <c r="D5478" s="6" t="s">
        <v>6220</v>
      </c>
      <c r="E5478" s="6" t="s">
        <v>5332</v>
      </c>
      <c r="F5478" s="30" t="s">
        <v>8174</v>
      </c>
      <c r="G5478" s="3" t="s">
        <v>11449</v>
      </c>
      <c r="H5478" s="54">
        <v>0</v>
      </c>
      <c r="I5478" s="16">
        <v>470000000</v>
      </c>
      <c r="J5478" s="56" t="s">
        <v>229</v>
      </c>
      <c r="K5478" s="57" t="s">
        <v>641</v>
      </c>
      <c r="L5478" s="12" t="s">
        <v>404</v>
      </c>
      <c r="M5478" s="3" t="s">
        <v>230</v>
      </c>
      <c r="N5478" s="8" t="s">
        <v>8899</v>
      </c>
      <c r="O5478" s="6" t="s">
        <v>365</v>
      </c>
      <c r="P5478" s="58">
        <v>796</v>
      </c>
      <c r="Q5478" s="6" t="s">
        <v>234</v>
      </c>
      <c r="R5478" s="34">
        <v>2</v>
      </c>
      <c r="S5478" s="59">
        <v>1520106.3900000001</v>
      </c>
      <c r="T5478" s="4">
        <v>0</v>
      </c>
      <c r="U5478" s="4">
        <f t="shared" si="237"/>
        <v>0</v>
      </c>
      <c r="V5478" s="3"/>
      <c r="W5478" s="3">
        <v>2014</v>
      </c>
      <c r="X5478" s="3">
        <v>11</v>
      </c>
    </row>
    <row r="5479" spans="1:24" ht="114.75">
      <c r="A5479" s="3" t="s">
        <v>12955</v>
      </c>
      <c r="B5479" s="6" t="s">
        <v>361</v>
      </c>
      <c r="C5479" s="6" t="s">
        <v>6219</v>
      </c>
      <c r="D5479" s="6" t="s">
        <v>6220</v>
      </c>
      <c r="E5479" s="6" t="s">
        <v>5332</v>
      </c>
      <c r="F5479" s="30" t="s">
        <v>8174</v>
      </c>
      <c r="G5479" s="3" t="s">
        <v>11449</v>
      </c>
      <c r="H5479" s="54">
        <v>0</v>
      </c>
      <c r="I5479" s="16">
        <v>470000000</v>
      </c>
      <c r="J5479" s="56" t="s">
        <v>229</v>
      </c>
      <c r="K5479" s="57" t="s">
        <v>9453</v>
      </c>
      <c r="L5479" s="12" t="s">
        <v>404</v>
      </c>
      <c r="M5479" s="3" t="s">
        <v>230</v>
      </c>
      <c r="N5479" s="8" t="s">
        <v>8899</v>
      </c>
      <c r="O5479" s="6" t="s">
        <v>365</v>
      </c>
      <c r="P5479" s="58">
        <v>796</v>
      </c>
      <c r="Q5479" s="6" t="s">
        <v>234</v>
      </c>
      <c r="R5479" s="34">
        <v>2</v>
      </c>
      <c r="S5479" s="59">
        <v>1520106.3900000001</v>
      </c>
      <c r="T5479" s="4">
        <f>R5479*S5479</f>
        <v>3040212.7800000003</v>
      </c>
      <c r="U5479" s="4">
        <f>T5479*1.12</f>
        <v>3405038.3136000005</v>
      </c>
      <c r="V5479" s="3"/>
      <c r="W5479" s="3">
        <v>2014</v>
      </c>
      <c r="X5479" s="3" t="s">
        <v>12076</v>
      </c>
    </row>
    <row r="5480" spans="1:24" ht="114.75">
      <c r="A5480" s="3" t="s">
        <v>10693</v>
      </c>
      <c r="B5480" s="6" t="s">
        <v>361</v>
      </c>
      <c r="C5480" s="6" t="s">
        <v>6182</v>
      </c>
      <c r="D5480" s="6" t="s">
        <v>6183</v>
      </c>
      <c r="E5480" s="6" t="s">
        <v>6184</v>
      </c>
      <c r="F5480" s="30" t="s">
        <v>8175</v>
      </c>
      <c r="G5480" s="3" t="s">
        <v>11449</v>
      </c>
      <c r="H5480" s="54">
        <v>0</v>
      </c>
      <c r="I5480" s="16">
        <v>470000000</v>
      </c>
      <c r="J5480" s="56" t="s">
        <v>229</v>
      </c>
      <c r="K5480" s="57" t="s">
        <v>641</v>
      </c>
      <c r="L5480" s="12" t="s">
        <v>404</v>
      </c>
      <c r="M5480" s="3" t="s">
        <v>230</v>
      </c>
      <c r="N5480" s="8" t="s">
        <v>8899</v>
      </c>
      <c r="O5480" s="6" t="s">
        <v>365</v>
      </c>
      <c r="P5480" s="58">
        <v>796</v>
      </c>
      <c r="Q5480" s="6" t="s">
        <v>234</v>
      </c>
      <c r="R5480" s="34">
        <v>40</v>
      </c>
      <c r="S5480" s="59">
        <v>1934.2290000000003</v>
      </c>
      <c r="T5480" s="4">
        <v>0</v>
      </c>
      <c r="U5480" s="4">
        <f t="shared" si="237"/>
        <v>0</v>
      </c>
      <c r="V5480" s="3"/>
      <c r="W5480" s="3">
        <v>2014</v>
      </c>
      <c r="X5480" s="3">
        <v>11</v>
      </c>
    </row>
    <row r="5481" spans="1:24" ht="114.75">
      <c r="A5481" s="3" t="s">
        <v>12956</v>
      </c>
      <c r="B5481" s="6" t="s">
        <v>361</v>
      </c>
      <c r="C5481" s="6" t="s">
        <v>6182</v>
      </c>
      <c r="D5481" s="6" t="s">
        <v>6183</v>
      </c>
      <c r="E5481" s="6" t="s">
        <v>6184</v>
      </c>
      <c r="F5481" s="30" t="s">
        <v>8175</v>
      </c>
      <c r="G5481" s="3" t="s">
        <v>11449</v>
      </c>
      <c r="H5481" s="54">
        <v>0</v>
      </c>
      <c r="I5481" s="16">
        <v>470000000</v>
      </c>
      <c r="J5481" s="56" t="s">
        <v>229</v>
      </c>
      <c r="K5481" s="57" t="s">
        <v>9453</v>
      </c>
      <c r="L5481" s="12" t="s">
        <v>404</v>
      </c>
      <c r="M5481" s="3" t="s">
        <v>230</v>
      </c>
      <c r="N5481" s="8" t="s">
        <v>8899</v>
      </c>
      <c r="O5481" s="6" t="s">
        <v>365</v>
      </c>
      <c r="P5481" s="58">
        <v>796</v>
      </c>
      <c r="Q5481" s="6" t="s">
        <v>234</v>
      </c>
      <c r="R5481" s="34">
        <v>40</v>
      </c>
      <c r="S5481" s="59">
        <v>1934.2290000000003</v>
      </c>
      <c r="T5481" s="4">
        <f>R5481*S5481</f>
        <v>77369.16</v>
      </c>
      <c r="U5481" s="4">
        <f>T5481*1.12</f>
        <v>86653.459200000012</v>
      </c>
      <c r="V5481" s="3"/>
      <c r="W5481" s="3">
        <v>2014</v>
      </c>
      <c r="X5481" s="3" t="s">
        <v>12076</v>
      </c>
    </row>
    <row r="5482" spans="1:24" ht="114.75">
      <c r="A5482" s="3" t="s">
        <v>10694</v>
      </c>
      <c r="B5482" s="6" t="s">
        <v>361</v>
      </c>
      <c r="C5482" s="6" t="s">
        <v>6252</v>
      </c>
      <c r="D5482" s="6" t="s">
        <v>6253</v>
      </c>
      <c r="E5482" s="6" t="s">
        <v>6254</v>
      </c>
      <c r="F5482" s="30" t="s">
        <v>6301</v>
      </c>
      <c r="G5482" s="3" t="s">
        <v>11450</v>
      </c>
      <c r="H5482" s="54">
        <v>0</v>
      </c>
      <c r="I5482" s="16">
        <v>470000000</v>
      </c>
      <c r="J5482" s="56" t="s">
        <v>229</v>
      </c>
      <c r="K5482" s="57" t="s">
        <v>641</v>
      </c>
      <c r="L5482" s="12" t="s">
        <v>404</v>
      </c>
      <c r="M5482" s="3" t="s">
        <v>230</v>
      </c>
      <c r="N5482" s="8" t="s">
        <v>8899</v>
      </c>
      <c r="O5482" s="6" t="s">
        <v>365</v>
      </c>
      <c r="P5482" s="58">
        <v>796</v>
      </c>
      <c r="Q5482" s="31" t="s">
        <v>234</v>
      </c>
      <c r="R5482" s="19">
        <v>2</v>
      </c>
      <c r="S5482" s="59">
        <f>5097.215*1.07</f>
        <v>5454.0200500000001</v>
      </c>
      <c r="T5482" s="4">
        <v>0</v>
      </c>
      <c r="U5482" s="4">
        <f>T5482*1.12</f>
        <v>0</v>
      </c>
      <c r="V5482" s="3"/>
      <c r="W5482" s="3">
        <v>2014</v>
      </c>
      <c r="X5482" s="3"/>
    </row>
    <row r="5483" spans="1:24" ht="114.75">
      <c r="A5483" s="3" t="s">
        <v>12957</v>
      </c>
      <c r="B5483" s="6" t="s">
        <v>361</v>
      </c>
      <c r="C5483" s="6" t="s">
        <v>6252</v>
      </c>
      <c r="D5483" s="6" t="s">
        <v>6253</v>
      </c>
      <c r="E5483" s="6" t="s">
        <v>6254</v>
      </c>
      <c r="F5483" s="30" t="s">
        <v>6301</v>
      </c>
      <c r="G5483" s="3" t="s">
        <v>11450</v>
      </c>
      <c r="H5483" s="54">
        <v>0</v>
      </c>
      <c r="I5483" s="16">
        <v>470000000</v>
      </c>
      <c r="J5483" s="56" t="s">
        <v>229</v>
      </c>
      <c r="K5483" s="57" t="s">
        <v>9453</v>
      </c>
      <c r="L5483" s="12" t="s">
        <v>404</v>
      </c>
      <c r="M5483" s="3" t="s">
        <v>230</v>
      </c>
      <c r="N5483" s="8" t="s">
        <v>8899</v>
      </c>
      <c r="O5483" s="6" t="s">
        <v>365</v>
      </c>
      <c r="P5483" s="58">
        <v>796</v>
      </c>
      <c r="Q5483" s="31" t="s">
        <v>234</v>
      </c>
      <c r="R5483" s="19">
        <v>2</v>
      </c>
      <c r="S5483" s="59">
        <f>5097.215*1.07</f>
        <v>5454.0200500000001</v>
      </c>
      <c r="T5483" s="4">
        <f>R5483*S5483</f>
        <v>10908.0401</v>
      </c>
      <c r="U5483" s="4">
        <f>T5483*1.12</f>
        <v>12217.004912000002</v>
      </c>
      <c r="V5483" s="3"/>
      <c r="W5483" s="3">
        <v>2014</v>
      </c>
      <c r="X5483" s="3"/>
    </row>
    <row r="5484" spans="1:24" ht="114.75">
      <c r="A5484" s="3" t="s">
        <v>10695</v>
      </c>
      <c r="B5484" s="6" t="s">
        <v>361</v>
      </c>
      <c r="C5484" s="6" t="s">
        <v>6302</v>
      </c>
      <c r="D5484" s="6" t="s">
        <v>6303</v>
      </c>
      <c r="E5484" s="6" t="s">
        <v>5572</v>
      </c>
      <c r="F5484" s="129" t="s">
        <v>8176</v>
      </c>
      <c r="G5484" s="3" t="s">
        <v>11450</v>
      </c>
      <c r="H5484" s="54">
        <v>0</v>
      </c>
      <c r="I5484" s="16">
        <v>470000000</v>
      </c>
      <c r="J5484" s="56" t="s">
        <v>229</v>
      </c>
      <c r="K5484" s="57" t="s">
        <v>641</v>
      </c>
      <c r="L5484" s="12" t="s">
        <v>404</v>
      </c>
      <c r="M5484" s="3" t="s">
        <v>230</v>
      </c>
      <c r="N5484" s="8" t="s">
        <v>8899</v>
      </c>
      <c r="O5484" s="6" t="s">
        <v>365</v>
      </c>
      <c r="P5484" s="58">
        <v>796</v>
      </c>
      <c r="Q5484" s="31" t="s">
        <v>234</v>
      </c>
      <c r="R5484" s="23">
        <v>3</v>
      </c>
      <c r="S5484" s="59">
        <f>82891.3*1.07</f>
        <v>88693.691000000006</v>
      </c>
      <c r="T5484" s="4">
        <v>0</v>
      </c>
      <c r="U5484" s="4">
        <f>T5484*1.12</f>
        <v>0</v>
      </c>
      <c r="V5484" s="3"/>
      <c r="W5484" s="3">
        <v>2014</v>
      </c>
      <c r="X5484" s="3">
        <v>11</v>
      </c>
    </row>
    <row r="5485" spans="1:24" ht="114.75">
      <c r="A5485" s="3" t="s">
        <v>12958</v>
      </c>
      <c r="B5485" s="6" t="s">
        <v>361</v>
      </c>
      <c r="C5485" s="6" t="s">
        <v>6302</v>
      </c>
      <c r="D5485" s="6" t="s">
        <v>6303</v>
      </c>
      <c r="E5485" s="6" t="s">
        <v>5572</v>
      </c>
      <c r="F5485" s="129" t="s">
        <v>8176</v>
      </c>
      <c r="G5485" s="3" t="s">
        <v>11450</v>
      </c>
      <c r="H5485" s="54">
        <v>0</v>
      </c>
      <c r="I5485" s="16">
        <v>470000000</v>
      </c>
      <c r="J5485" s="56" t="s">
        <v>229</v>
      </c>
      <c r="K5485" s="57" t="s">
        <v>9453</v>
      </c>
      <c r="L5485" s="12" t="s">
        <v>404</v>
      </c>
      <c r="M5485" s="3" t="s">
        <v>230</v>
      </c>
      <c r="N5485" s="8" t="s">
        <v>8899</v>
      </c>
      <c r="O5485" s="6" t="s">
        <v>365</v>
      </c>
      <c r="P5485" s="58">
        <v>796</v>
      </c>
      <c r="Q5485" s="31" t="s">
        <v>234</v>
      </c>
      <c r="R5485" s="23">
        <v>3</v>
      </c>
      <c r="S5485" s="59">
        <f>82891.3*1.07</f>
        <v>88693.691000000006</v>
      </c>
      <c r="T5485" s="4">
        <f>R5485*S5485</f>
        <v>266081.07300000003</v>
      </c>
      <c r="U5485" s="4">
        <f>T5485*1.12</f>
        <v>298010.80176000006</v>
      </c>
      <c r="V5485" s="3"/>
      <c r="W5485" s="3">
        <v>2014</v>
      </c>
      <c r="X5485" s="3"/>
    </row>
    <row r="5486" spans="1:24" ht="114.75">
      <c r="A5486" s="3" t="s">
        <v>10696</v>
      </c>
      <c r="B5486" s="6" t="s">
        <v>361</v>
      </c>
      <c r="C5486" s="6" t="s">
        <v>6623</v>
      </c>
      <c r="D5486" s="6" t="s">
        <v>6624</v>
      </c>
      <c r="E5486" s="6" t="s">
        <v>6240</v>
      </c>
      <c r="F5486" s="129" t="s">
        <v>6304</v>
      </c>
      <c r="G5486" s="3" t="s">
        <v>11449</v>
      </c>
      <c r="H5486" s="54">
        <v>0</v>
      </c>
      <c r="I5486" s="16">
        <v>470000000</v>
      </c>
      <c r="J5486" s="56" t="s">
        <v>229</v>
      </c>
      <c r="K5486" s="57" t="s">
        <v>641</v>
      </c>
      <c r="L5486" s="12" t="s">
        <v>404</v>
      </c>
      <c r="M5486" s="3" t="s">
        <v>230</v>
      </c>
      <c r="N5486" s="8" t="s">
        <v>8899</v>
      </c>
      <c r="O5486" s="6" t="s">
        <v>365</v>
      </c>
      <c r="P5486" s="58">
        <v>796</v>
      </c>
      <c r="Q5486" s="31" t="s">
        <v>234</v>
      </c>
      <c r="R5486" s="32">
        <v>2</v>
      </c>
      <c r="S5486" s="59">
        <f>1062897.9*1.07</f>
        <v>1137300.753</v>
      </c>
      <c r="T5486" s="4">
        <v>0</v>
      </c>
      <c r="U5486" s="4">
        <f t="shared" ref="U5486:U5580" si="238">T5486*1.12</f>
        <v>0</v>
      </c>
      <c r="V5486" s="3"/>
      <c r="W5486" s="3">
        <v>2014</v>
      </c>
      <c r="X5486" s="3">
        <v>11</v>
      </c>
    </row>
    <row r="5487" spans="1:24" ht="114.75">
      <c r="A5487" s="3" t="s">
        <v>12963</v>
      </c>
      <c r="B5487" s="6" t="s">
        <v>361</v>
      </c>
      <c r="C5487" s="6" t="s">
        <v>6623</v>
      </c>
      <c r="D5487" s="6" t="s">
        <v>6624</v>
      </c>
      <c r="E5487" s="6" t="s">
        <v>6240</v>
      </c>
      <c r="F5487" s="129" t="s">
        <v>6304</v>
      </c>
      <c r="G5487" s="3" t="s">
        <v>11449</v>
      </c>
      <c r="H5487" s="54">
        <v>0</v>
      </c>
      <c r="I5487" s="16">
        <v>470000000</v>
      </c>
      <c r="J5487" s="56" t="s">
        <v>229</v>
      </c>
      <c r="K5487" s="57" t="s">
        <v>9453</v>
      </c>
      <c r="L5487" s="12" t="s">
        <v>404</v>
      </c>
      <c r="M5487" s="3" t="s">
        <v>230</v>
      </c>
      <c r="N5487" s="8" t="s">
        <v>8899</v>
      </c>
      <c r="O5487" s="6" t="s">
        <v>365</v>
      </c>
      <c r="P5487" s="58">
        <v>796</v>
      </c>
      <c r="Q5487" s="31" t="s">
        <v>234</v>
      </c>
      <c r="R5487" s="32">
        <v>0</v>
      </c>
      <c r="S5487" s="59">
        <f>1062897.9*1.07</f>
        <v>1137300.753</v>
      </c>
      <c r="T5487" s="4">
        <f>R5487*S5487</f>
        <v>0</v>
      </c>
      <c r="U5487" s="4">
        <f>T5487*1.12</f>
        <v>0</v>
      </c>
      <c r="V5487" s="3"/>
      <c r="W5487" s="3">
        <v>2014</v>
      </c>
      <c r="X5487" s="3" t="s">
        <v>12076</v>
      </c>
    </row>
    <row r="5488" spans="1:24" ht="114.75">
      <c r="A5488" s="3" t="s">
        <v>2250</v>
      </c>
      <c r="B5488" s="6" t="s">
        <v>361</v>
      </c>
      <c r="C5488" s="6" t="s">
        <v>5547</v>
      </c>
      <c r="D5488" s="6" t="s">
        <v>415</v>
      </c>
      <c r="E5488" s="6" t="s">
        <v>5332</v>
      </c>
      <c r="F5488" s="129" t="s">
        <v>6305</v>
      </c>
      <c r="G5488" s="3" t="s">
        <v>11449</v>
      </c>
      <c r="H5488" s="54">
        <v>0</v>
      </c>
      <c r="I5488" s="16">
        <v>470000000</v>
      </c>
      <c r="J5488" s="56" t="s">
        <v>229</v>
      </c>
      <c r="K5488" s="57" t="s">
        <v>641</v>
      </c>
      <c r="L5488" s="12" t="s">
        <v>404</v>
      </c>
      <c r="M5488" s="3" t="s">
        <v>230</v>
      </c>
      <c r="N5488" s="8" t="s">
        <v>8899</v>
      </c>
      <c r="O5488" s="6" t="s">
        <v>365</v>
      </c>
      <c r="P5488" s="58">
        <v>796</v>
      </c>
      <c r="Q5488" s="31" t="s">
        <v>234</v>
      </c>
      <c r="R5488" s="32">
        <v>0</v>
      </c>
      <c r="S5488" s="59">
        <f>16679.55</f>
        <v>16679.55</v>
      </c>
      <c r="T5488" s="4">
        <v>0</v>
      </c>
      <c r="U5488" s="4">
        <f t="shared" si="238"/>
        <v>0</v>
      </c>
      <c r="V5488" s="3"/>
      <c r="W5488" s="3">
        <v>2014</v>
      </c>
      <c r="X5488" s="3">
        <v>11</v>
      </c>
    </row>
    <row r="5489" spans="1:24" ht="114.75">
      <c r="A5489" s="3" t="s">
        <v>12964</v>
      </c>
      <c r="B5489" s="6" t="s">
        <v>361</v>
      </c>
      <c r="C5489" s="6" t="s">
        <v>5547</v>
      </c>
      <c r="D5489" s="6" t="s">
        <v>415</v>
      </c>
      <c r="E5489" s="6" t="s">
        <v>5332</v>
      </c>
      <c r="F5489" s="129" t="s">
        <v>6305</v>
      </c>
      <c r="G5489" s="3" t="s">
        <v>11449</v>
      </c>
      <c r="H5489" s="54">
        <v>0</v>
      </c>
      <c r="I5489" s="16">
        <v>470000000</v>
      </c>
      <c r="J5489" s="56" t="s">
        <v>229</v>
      </c>
      <c r="K5489" s="57" t="s">
        <v>9453</v>
      </c>
      <c r="L5489" s="12" t="s">
        <v>404</v>
      </c>
      <c r="M5489" s="3" t="s">
        <v>230</v>
      </c>
      <c r="N5489" s="8" t="s">
        <v>8899</v>
      </c>
      <c r="O5489" s="6" t="s">
        <v>365</v>
      </c>
      <c r="P5489" s="58">
        <v>796</v>
      </c>
      <c r="Q5489" s="31" t="s">
        <v>234</v>
      </c>
      <c r="R5489" s="32">
        <v>0</v>
      </c>
      <c r="S5489" s="59">
        <f>16679.55</f>
        <v>16679.55</v>
      </c>
      <c r="T5489" s="4">
        <f>R5489*S5489</f>
        <v>0</v>
      </c>
      <c r="U5489" s="4">
        <f>T5489*1.12</f>
        <v>0</v>
      </c>
      <c r="V5489" s="3"/>
      <c r="W5489" s="3">
        <v>2014</v>
      </c>
      <c r="X5489" s="3" t="s">
        <v>12076</v>
      </c>
    </row>
    <row r="5490" spans="1:24" ht="114.75">
      <c r="A5490" s="3" t="s">
        <v>2251</v>
      </c>
      <c r="B5490" s="6" t="s">
        <v>361</v>
      </c>
      <c r="C5490" s="6" t="s">
        <v>6306</v>
      </c>
      <c r="D5490" s="6" t="s">
        <v>6307</v>
      </c>
      <c r="E5490" s="6" t="s">
        <v>5332</v>
      </c>
      <c r="F5490" s="30" t="s">
        <v>6308</v>
      </c>
      <c r="G5490" s="3" t="s">
        <v>11449</v>
      </c>
      <c r="H5490" s="54">
        <v>0</v>
      </c>
      <c r="I5490" s="16">
        <v>470000000</v>
      </c>
      <c r="J5490" s="56" t="s">
        <v>229</v>
      </c>
      <c r="K5490" s="57" t="s">
        <v>641</v>
      </c>
      <c r="L5490" s="12" t="s">
        <v>404</v>
      </c>
      <c r="M5490" s="3" t="s">
        <v>230</v>
      </c>
      <c r="N5490" s="8" t="s">
        <v>8899</v>
      </c>
      <c r="O5490" s="6" t="s">
        <v>365</v>
      </c>
      <c r="P5490" s="58">
        <v>796</v>
      </c>
      <c r="Q5490" s="31" t="s">
        <v>234</v>
      </c>
      <c r="R5490" s="33">
        <v>4</v>
      </c>
      <c r="S5490" s="59">
        <f>21336.6025*1.07</f>
        <v>22830.164675000004</v>
      </c>
      <c r="T5490" s="4">
        <v>0</v>
      </c>
      <c r="U5490" s="4">
        <f t="shared" si="238"/>
        <v>0</v>
      </c>
      <c r="V5490" s="3"/>
      <c r="W5490" s="3">
        <v>2014</v>
      </c>
      <c r="X5490" s="3">
        <v>11</v>
      </c>
    </row>
    <row r="5491" spans="1:24" ht="114.75">
      <c r="A5491" s="3" t="s">
        <v>12965</v>
      </c>
      <c r="B5491" s="6" t="s">
        <v>361</v>
      </c>
      <c r="C5491" s="6" t="s">
        <v>6306</v>
      </c>
      <c r="D5491" s="6" t="s">
        <v>6307</v>
      </c>
      <c r="E5491" s="6" t="s">
        <v>5332</v>
      </c>
      <c r="F5491" s="30" t="s">
        <v>6308</v>
      </c>
      <c r="G5491" s="3" t="s">
        <v>11449</v>
      </c>
      <c r="H5491" s="54">
        <v>0</v>
      </c>
      <c r="I5491" s="16">
        <v>470000000</v>
      </c>
      <c r="J5491" s="56" t="s">
        <v>229</v>
      </c>
      <c r="K5491" s="57" t="s">
        <v>9453</v>
      </c>
      <c r="L5491" s="12" t="s">
        <v>404</v>
      </c>
      <c r="M5491" s="3" t="s">
        <v>230</v>
      </c>
      <c r="N5491" s="8" t="s">
        <v>8899</v>
      </c>
      <c r="O5491" s="6" t="s">
        <v>365</v>
      </c>
      <c r="P5491" s="58">
        <v>796</v>
      </c>
      <c r="Q5491" s="31" t="s">
        <v>234</v>
      </c>
      <c r="R5491" s="33">
        <v>0</v>
      </c>
      <c r="S5491" s="59">
        <f>21336.6025*1.07</f>
        <v>22830.164675000004</v>
      </c>
      <c r="T5491" s="4">
        <f>R5491*S5491</f>
        <v>0</v>
      </c>
      <c r="U5491" s="4">
        <f>T5491*1.12</f>
        <v>0</v>
      </c>
      <c r="V5491" s="3"/>
      <c r="W5491" s="3">
        <v>2014</v>
      </c>
      <c r="X5491" s="3" t="s">
        <v>12076</v>
      </c>
    </row>
    <row r="5492" spans="1:24" ht="114.75">
      <c r="A5492" s="3" t="s">
        <v>10697</v>
      </c>
      <c r="B5492" s="6" t="s">
        <v>361</v>
      </c>
      <c r="C5492" s="6" t="s">
        <v>5810</v>
      </c>
      <c r="D5492" s="6" t="s">
        <v>457</v>
      </c>
      <c r="E5492" s="6" t="s">
        <v>5332</v>
      </c>
      <c r="F5492" s="129" t="s">
        <v>6309</v>
      </c>
      <c r="G5492" s="3" t="s">
        <v>11449</v>
      </c>
      <c r="H5492" s="54">
        <v>0</v>
      </c>
      <c r="I5492" s="16">
        <v>470000000</v>
      </c>
      <c r="J5492" s="56" t="s">
        <v>229</v>
      </c>
      <c r="K5492" s="57" t="s">
        <v>641</v>
      </c>
      <c r="L5492" s="12" t="s">
        <v>404</v>
      </c>
      <c r="M5492" s="3" t="s">
        <v>230</v>
      </c>
      <c r="N5492" s="8" t="s">
        <v>8899</v>
      </c>
      <c r="O5492" s="6" t="s">
        <v>365</v>
      </c>
      <c r="P5492" s="58">
        <v>796</v>
      </c>
      <c r="Q5492" s="31" t="s">
        <v>234</v>
      </c>
      <c r="R5492" s="32">
        <v>4</v>
      </c>
      <c r="S5492" s="59">
        <f>6899.44*1.07</f>
        <v>7382.4008000000003</v>
      </c>
      <c r="T5492" s="4">
        <v>0</v>
      </c>
      <c r="U5492" s="4">
        <f t="shared" si="238"/>
        <v>0</v>
      </c>
      <c r="V5492" s="3"/>
      <c r="W5492" s="3">
        <v>2014</v>
      </c>
      <c r="X5492" s="3">
        <v>11</v>
      </c>
    </row>
    <row r="5493" spans="1:24" ht="114.75">
      <c r="A5493" s="3" t="s">
        <v>12966</v>
      </c>
      <c r="B5493" s="6" t="s">
        <v>361</v>
      </c>
      <c r="C5493" s="6" t="s">
        <v>5810</v>
      </c>
      <c r="D5493" s="6" t="s">
        <v>457</v>
      </c>
      <c r="E5493" s="6" t="s">
        <v>5332</v>
      </c>
      <c r="F5493" s="129" t="s">
        <v>6309</v>
      </c>
      <c r="G5493" s="3" t="s">
        <v>11449</v>
      </c>
      <c r="H5493" s="54">
        <v>0</v>
      </c>
      <c r="I5493" s="16">
        <v>470000000</v>
      </c>
      <c r="J5493" s="56" t="s">
        <v>229</v>
      </c>
      <c r="K5493" s="57" t="s">
        <v>9453</v>
      </c>
      <c r="L5493" s="12" t="s">
        <v>404</v>
      </c>
      <c r="M5493" s="3" t="s">
        <v>230</v>
      </c>
      <c r="N5493" s="8" t="s">
        <v>8899</v>
      </c>
      <c r="O5493" s="6" t="s">
        <v>365</v>
      </c>
      <c r="P5493" s="58">
        <v>796</v>
      </c>
      <c r="Q5493" s="31" t="s">
        <v>234</v>
      </c>
      <c r="R5493" s="32">
        <v>0</v>
      </c>
      <c r="S5493" s="59">
        <f>6899.44*1.07</f>
        <v>7382.4008000000003</v>
      </c>
      <c r="T5493" s="4">
        <f>R5493*S5493</f>
        <v>0</v>
      </c>
      <c r="U5493" s="4">
        <f>T5493*1.12</f>
        <v>0</v>
      </c>
      <c r="V5493" s="3"/>
      <c r="W5493" s="3">
        <v>2014</v>
      </c>
      <c r="X5493" s="3" t="s">
        <v>12076</v>
      </c>
    </row>
    <row r="5494" spans="1:24" ht="114.75">
      <c r="A5494" s="3" t="s">
        <v>2252</v>
      </c>
      <c r="B5494" s="6" t="s">
        <v>361</v>
      </c>
      <c r="C5494" s="6" t="s">
        <v>6310</v>
      </c>
      <c r="D5494" s="6" t="s">
        <v>6311</v>
      </c>
      <c r="E5494" s="6" t="s">
        <v>5332</v>
      </c>
      <c r="F5494" s="30" t="s">
        <v>6312</v>
      </c>
      <c r="G5494" s="3" t="s">
        <v>11449</v>
      </c>
      <c r="H5494" s="54">
        <v>0</v>
      </c>
      <c r="I5494" s="16">
        <v>470000000</v>
      </c>
      <c r="J5494" s="56" t="s">
        <v>229</v>
      </c>
      <c r="K5494" s="57" t="s">
        <v>641</v>
      </c>
      <c r="L5494" s="12" t="s">
        <v>404</v>
      </c>
      <c r="M5494" s="3" t="s">
        <v>230</v>
      </c>
      <c r="N5494" s="8" t="s">
        <v>8899</v>
      </c>
      <c r="O5494" s="6" t="s">
        <v>365</v>
      </c>
      <c r="P5494" s="58">
        <v>796</v>
      </c>
      <c r="Q5494" s="31" t="s">
        <v>234</v>
      </c>
      <c r="R5494" s="33">
        <v>4</v>
      </c>
      <c r="S5494" s="59">
        <f>72113.0225*1.07</f>
        <v>77160.934075000012</v>
      </c>
      <c r="T5494" s="4">
        <v>0</v>
      </c>
      <c r="U5494" s="4">
        <f t="shared" si="238"/>
        <v>0</v>
      </c>
      <c r="V5494" s="3"/>
      <c r="W5494" s="3">
        <v>2014</v>
      </c>
      <c r="X5494" s="3">
        <v>11</v>
      </c>
    </row>
    <row r="5495" spans="1:24" ht="114.75">
      <c r="A5495" s="3" t="s">
        <v>12967</v>
      </c>
      <c r="B5495" s="6" t="s">
        <v>361</v>
      </c>
      <c r="C5495" s="6" t="s">
        <v>6310</v>
      </c>
      <c r="D5495" s="6" t="s">
        <v>6311</v>
      </c>
      <c r="E5495" s="6" t="s">
        <v>5332</v>
      </c>
      <c r="F5495" s="30" t="s">
        <v>6312</v>
      </c>
      <c r="G5495" s="3" t="s">
        <v>11449</v>
      </c>
      <c r="H5495" s="54">
        <v>0</v>
      </c>
      <c r="I5495" s="16">
        <v>470000000</v>
      </c>
      <c r="J5495" s="56" t="s">
        <v>229</v>
      </c>
      <c r="K5495" s="57" t="s">
        <v>9453</v>
      </c>
      <c r="L5495" s="12" t="s">
        <v>404</v>
      </c>
      <c r="M5495" s="3" t="s">
        <v>230</v>
      </c>
      <c r="N5495" s="8" t="s">
        <v>8899</v>
      </c>
      <c r="O5495" s="6" t="s">
        <v>365</v>
      </c>
      <c r="P5495" s="58">
        <v>796</v>
      </c>
      <c r="Q5495" s="31" t="s">
        <v>234</v>
      </c>
      <c r="R5495" s="33">
        <v>0</v>
      </c>
      <c r="S5495" s="59">
        <f>72113.0225*1.07</f>
        <v>77160.934075000012</v>
      </c>
      <c r="T5495" s="4">
        <f>R5495*S5495</f>
        <v>0</v>
      </c>
      <c r="U5495" s="4">
        <f>T5495*1.12</f>
        <v>0</v>
      </c>
      <c r="V5495" s="3"/>
      <c r="W5495" s="3">
        <v>2014</v>
      </c>
      <c r="X5495" s="3" t="s">
        <v>12076</v>
      </c>
    </row>
    <row r="5496" spans="1:24" ht="114.75">
      <c r="A5496" s="3" t="s">
        <v>10698</v>
      </c>
      <c r="B5496" s="6" t="s">
        <v>361</v>
      </c>
      <c r="C5496" s="6" t="s">
        <v>7373</v>
      </c>
      <c r="D5496" s="6" t="s">
        <v>11545</v>
      </c>
      <c r="E5496" s="6" t="s">
        <v>11546</v>
      </c>
      <c r="F5496" s="30" t="s">
        <v>6313</v>
      </c>
      <c r="G5496" s="3" t="s">
        <v>11449</v>
      </c>
      <c r="H5496" s="54">
        <v>0</v>
      </c>
      <c r="I5496" s="16">
        <v>470000000</v>
      </c>
      <c r="J5496" s="56" t="s">
        <v>229</v>
      </c>
      <c r="K5496" s="57" t="s">
        <v>641</v>
      </c>
      <c r="L5496" s="12" t="s">
        <v>404</v>
      </c>
      <c r="M5496" s="3" t="s">
        <v>230</v>
      </c>
      <c r="N5496" s="8" t="s">
        <v>8899</v>
      </c>
      <c r="O5496" s="6" t="s">
        <v>365</v>
      </c>
      <c r="P5496" s="58">
        <v>796</v>
      </c>
      <c r="Q5496" s="31" t="s">
        <v>234</v>
      </c>
      <c r="R5496" s="33">
        <v>10</v>
      </c>
      <c r="S5496" s="59">
        <f>4206.519*1.07</f>
        <v>4500.9753300000002</v>
      </c>
      <c r="T5496" s="4">
        <v>0</v>
      </c>
      <c r="U5496" s="4">
        <f t="shared" si="238"/>
        <v>0</v>
      </c>
      <c r="V5496" s="3"/>
      <c r="W5496" s="3">
        <v>2014</v>
      </c>
      <c r="X5496" s="3">
        <v>11</v>
      </c>
    </row>
    <row r="5497" spans="1:24" ht="114.75">
      <c r="A5497" s="3" t="s">
        <v>12968</v>
      </c>
      <c r="B5497" s="6" t="s">
        <v>361</v>
      </c>
      <c r="C5497" s="6" t="s">
        <v>7373</v>
      </c>
      <c r="D5497" s="6" t="s">
        <v>11545</v>
      </c>
      <c r="E5497" s="6" t="s">
        <v>11546</v>
      </c>
      <c r="F5497" s="30" t="s">
        <v>6313</v>
      </c>
      <c r="G5497" s="3" t="s">
        <v>11449</v>
      </c>
      <c r="H5497" s="54">
        <v>0</v>
      </c>
      <c r="I5497" s="16">
        <v>470000000</v>
      </c>
      <c r="J5497" s="56" t="s">
        <v>229</v>
      </c>
      <c r="K5497" s="57" t="s">
        <v>9453</v>
      </c>
      <c r="L5497" s="12" t="s">
        <v>404</v>
      </c>
      <c r="M5497" s="3" t="s">
        <v>230</v>
      </c>
      <c r="N5497" s="8" t="s">
        <v>8899</v>
      </c>
      <c r="O5497" s="6" t="s">
        <v>365</v>
      </c>
      <c r="P5497" s="58">
        <v>796</v>
      </c>
      <c r="Q5497" s="31" t="s">
        <v>234</v>
      </c>
      <c r="R5497" s="33">
        <v>0</v>
      </c>
      <c r="S5497" s="59">
        <f>4206.519*1.07</f>
        <v>4500.9753300000002</v>
      </c>
      <c r="T5497" s="4">
        <f>R5497*S5497</f>
        <v>0</v>
      </c>
      <c r="U5497" s="4">
        <f>T5497*1.12</f>
        <v>0</v>
      </c>
      <c r="V5497" s="3"/>
      <c r="W5497" s="3">
        <v>2014</v>
      </c>
      <c r="X5497" s="3" t="s">
        <v>12076</v>
      </c>
    </row>
    <row r="5498" spans="1:24" ht="114.75">
      <c r="A5498" s="3" t="s">
        <v>2253</v>
      </c>
      <c r="B5498" s="6" t="s">
        <v>361</v>
      </c>
      <c r="C5498" s="6" t="s">
        <v>7373</v>
      </c>
      <c r="D5498" s="6" t="s">
        <v>11545</v>
      </c>
      <c r="E5498" s="6" t="s">
        <v>11546</v>
      </c>
      <c r="F5498" s="30" t="s">
        <v>6314</v>
      </c>
      <c r="G5498" s="3" t="s">
        <v>11449</v>
      </c>
      <c r="H5498" s="54">
        <v>0</v>
      </c>
      <c r="I5498" s="16">
        <v>470000000</v>
      </c>
      <c r="J5498" s="56" t="s">
        <v>229</v>
      </c>
      <c r="K5498" s="57" t="s">
        <v>641</v>
      </c>
      <c r="L5498" s="12" t="s">
        <v>404</v>
      </c>
      <c r="M5498" s="3" t="s">
        <v>230</v>
      </c>
      <c r="N5498" s="8" t="s">
        <v>8899</v>
      </c>
      <c r="O5498" s="6" t="s">
        <v>365</v>
      </c>
      <c r="P5498" s="58">
        <v>796</v>
      </c>
      <c r="Q5498" s="31" t="s">
        <v>234</v>
      </c>
      <c r="R5498" s="33">
        <v>10</v>
      </c>
      <c r="S5498" s="59">
        <f>4337.979*1.07</f>
        <v>4641.6375300000009</v>
      </c>
      <c r="T5498" s="4">
        <v>0</v>
      </c>
      <c r="U5498" s="4">
        <f t="shared" si="238"/>
        <v>0</v>
      </c>
      <c r="V5498" s="3"/>
      <c r="W5498" s="3">
        <v>2014</v>
      </c>
      <c r="X5498" s="3">
        <v>11</v>
      </c>
    </row>
    <row r="5499" spans="1:24" ht="114.75">
      <c r="A5499" s="3" t="s">
        <v>12969</v>
      </c>
      <c r="B5499" s="6" t="s">
        <v>361</v>
      </c>
      <c r="C5499" s="6" t="s">
        <v>7373</v>
      </c>
      <c r="D5499" s="6" t="s">
        <v>11545</v>
      </c>
      <c r="E5499" s="6" t="s">
        <v>11546</v>
      </c>
      <c r="F5499" s="30" t="s">
        <v>6314</v>
      </c>
      <c r="G5499" s="3" t="s">
        <v>11449</v>
      </c>
      <c r="H5499" s="54">
        <v>0</v>
      </c>
      <c r="I5499" s="16">
        <v>470000000</v>
      </c>
      <c r="J5499" s="56" t="s">
        <v>229</v>
      </c>
      <c r="K5499" s="57" t="s">
        <v>9453</v>
      </c>
      <c r="L5499" s="12" t="s">
        <v>404</v>
      </c>
      <c r="M5499" s="3" t="s">
        <v>230</v>
      </c>
      <c r="N5499" s="8" t="s">
        <v>8899</v>
      </c>
      <c r="O5499" s="6" t="s">
        <v>365</v>
      </c>
      <c r="P5499" s="58">
        <v>796</v>
      </c>
      <c r="Q5499" s="31" t="s">
        <v>234</v>
      </c>
      <c r="R5499" s="33">
        <v>0</v>
      </c>
      <c r="S5499" s="59">
        <f>4337.979*1.07</f>
        <v>4641.6375300000009</v>
      </c>
      <c r="T5499" s="4">
        <f>R5499*S5499</f>
        <v>0</v>
      </c>
      <c r="U5499" s="4">
        <f>T5499*1.12</f>
        <v>0</v>
      </c>
      <c r="V5499" s="3"/>
      <c r="W5499" s="3">
        <v>2014</v>
      </c>
      <c r="X5499" s="3" t="s">
        <v>12076</v>
      </c>
    </row>
    <row r="5500" spans="1:24" ht="114.75">
      <c r="A5500" s="3" t="s">
        <v>2254</v>
      </c>
      <c r="B5500" s="6" t="s">
        <v>361</v>
      </c>
      <c r="C5500" s="6" t="s">
        <v>6315</v>
      </c>
      <c r="D5500" s="6" t="s">
        <v>6316</v>
      </c>
      <c r="E5500" s="6" t="s">
        <v>6274</v>
      </c>
      <c r="F5500" s="30" t="s">
        <v>6317</v>
      </c>
      <c r="G5500" s="3" t="s">
        <v>11449</v>
      </c>
      <c r="H5500" s="54">
        <v>0</v>
      </c>
      <c r="I5500" s="16">
        <v>470000000</v>
      </c>
      <c r="J5500" s="56" t="s">
        <v>229</v>
      </c>
      <c r="K5500" s="57" t="s">
        <v>641</v>
      </c>
      <c r="L5500" s="12" t="s">
        <v>404</v>
      </c>
      <c r="M5500" s="3" t="s">
        <v>230</v>
      </c>
      <c r="N5500" s="8" t="s">
        <v>8899</v>
      </c>
      <c r="O5500" s="6" t="s">
        <v>365</v>
      </c>
      <c r="P5500" s="58">
        <v>796</v>
      </c>
      <c r="Q5500" s="31" t="s">
        <v>234</v>
      </c>
      <c r="R5500" s="33">
        <v>10</v>
      </c>
      <c r="S5500" s="59">
        <f>8796.891*1.07</f>
        <v>9412.6733700000004</v>
      </c>
      <c r="T5500" s="4">
        <v>0</v>
      </c>
      <c r="U5500" s="4">
        <f t="shared" si="238"/>
        <v>0</v>
      </c>
      <c r="V5500" s="3"/>
      <c r="W5500" s="3">
        <v>2014</v>
      </c>
      <c r="X5500" s="3">
        <v>11</v>
      </c>
    </row>
    <row r="5501" spans="1:24" ht="114.75">
      <c r="A5501" s="3" t="s">
        <v>12970</v>
      </c>
      <c r="B5501" s="6" t="s">
        <v>361</v>
      </c>
      <c r="C5501" s="6" t="s">
        <v>6315</v>
      </c>
      <c r="D5501" s="6" t="s">
        <v>6316</v>
      </c>
      <c r="E5501" s="6" t="s">
        <v>6274</v>
      </c>
      <c r="F5501" s="30" t="s">
        <v>6317</v>
      </c>
      <c r="G5501" s="3" t="s">
        <v>11449</v>
      </c>
      <c r="H5501" s="54">
        <v>0</v>
      </c>
      <c r="I5501" s="16">
        <v>470000000</v>
      </c>
      <c r="J5501" s="56" t="s">
        <v>229</v>
      </c>
      <c r="K5501" s="57" t="s">
        <v>9453</v>
      </c>
      <c r="L5501" s="12" t="s">
        <v>404</v>
      </c>
      <c r="M5501" s="3" t="s">
        <v>230</v>
      </c>
      <c r="N5501" s="8" t="s">
        <v>8899</v>
      </c>
      <c r="O5501" s="6" t="s">
        <v>365</v>
      </c>
      <c r="P5501" s="58">
        <v>796</v>
      </c>
      <c r="Q5501" s="31" t="s">
        <v>234</v>
      </c>
      <c r="R5501" s="33">
        <v>0</v>
      </c>
      <c r="S5501" s="59">
        <f>8796.891*1.07</f>
        <v>9412.6733700000004</v>
      </c>
      <c r="T5501" s="4">
        <f>R5501*S5501</f>
        <v>0</v>
      </c>
      <c r="U5501" s="4">
        <f>T5501*1.12</f>
        <v>0</v>
      </c>
      <c r="V5501" s="3"/>
      <c r="W5501" s="3">
        <v>2014</v>
      </c>
      <c r="X5501" s="3" t="s">
        <v>12076</v>
      </c>
    </row>
    <row r="5502" spans="1:24" ht="114.75">
      <c r="A5502" s="3" t="s">
        <v>2255</v>
      </c>
      <c r="B5502" s="6" t="s">
        <v>361</v>
      </c>
      <c r="C5502" s="6" t="s">
        <v>6315</v>
      </c>
      <c r="D5502" s="6" t="s">
        <v>6316</v>
      </c>
      <c r="E5502" s="6" t="s">
        <v>6274</v>
      </c>
      <c r="F5502" s="30" t="s">
        <v>6318</v>
      </c>
      <c r="G5502" s="3" t="s">
        <v>11449</v>
      </c>
      <c r="H5502" s="54">
        <v>0</v>
      </c>
      <c r="I5502" s="16">
        <v>470000000</v>
      </c>
      <c r="J5502" s="56" t="s">
        <v>229</v>
      </c>
      <c r="K5502" s="57" t="s">
        <v>641</v>
      </c>
      <c r="L5502" s="12" t="s">
        <v>404</v>
      </c>
      <c r="M5502" s="3" t="s">
        <v>230</v>
      </c>
      <c r="N5502" s="8" t="s">
        <v>8899</v>
      </c>
      <c r="O5502" s="6" t="s">
        <v>365</v>
      </c>
      <c r="P5502" s="58">
        <v>796</v>
      </c>
      <c r="Q5502" s="31" t="s">
        <v>234</v>
      </c>
      <c r="R5502" s="33">
        <v>6</v>
      </c>
      <c r="S5502" s="59">
        <f>8907.315*1.07</f>
        <v>9530.8270500000017</v>
      </c>
      <c r="T5502" s="4">
        <v>0</v>
      </c>
      <c r="U5502" s="4">
        <f t="shared" si="238"/>
        <v>0</v>
      </c>
      <c r="V5502" s="3"/>
      <c r="W5502" s="3">
        <v>2014</v>
      </c>
      <c r="X5502" s="3">
        <v>11</v>
      </c>
    </row>
    <row r="5503" spans="1:24" ht="114.75">
      <c r="A5503" s="3" t="s">
        <v>12971</v>
      </c>
      <c r="B5503" s="6" t="s">
        <v>361</v>
      </c>
      <c r="C5503" s="6" t="s">
        <v>6315</v>
      </c>
      <c r="D5503" s="6" t="s">
        <v>6316</v>
      </c>
      <c r="E5503" s="6" t="s">
        <v>6274</v>
      </c>
      <c r="F5503" s="30" t="s">
        <v>6318</v>
      </c>
      <c r="G5503" s="3" t="s">
        <v>11449</v>
      </c>
      <c r="H5503" s="54">
        <v>0</v>
      </c>
      <c r="I5503" s="16">
        <v>470000000</v>
      </c>
      <c r="J5503" s="56" t="s">
        <v>229</v>
      </c>
      <c r="K5503" s="57" t="s">
        <v>9453</v>
      </c>
      <c r="L5503" s="12" t="s">
        <v>404</v>
      </c>
      <c r="M5503" s="3" t="s">
        <v>230</v>
      </c>
      <c r="N5503" s="8" t="s">
        <v>8899</v>
      </c>
      <c r="O5503" s="6" t="s">
        <v>365</v>
      </c>
      <c r="P5503" s="58">
        <v>796</v>
      </c>
      <c r="Q5503" s="31" t="s">
        <v>234</v>
      </c>
      <c r="R5503" s="33">
        <v>6</v>
      </c>
      <c r="S5503" s="59">
        <f>8907.315*1.07</f>
        <v>9530.8270500000017</v>
      </c>
      <c r="T5503" s="4">
        <f>R5503*S5503</f>
        <v>57184.962300000014</v>
      </c>
      <c r="U5503" s="4">
        <f>T5503*1.12</f>
        <v>64047.157776000022</v>
      </c>
      <c r="V5503" s="3"/>
      <c r="W5503" s="3">
        <v>2014</v>
      </c>
      <c r="X5503" s="3"/>
    </row>
    <row r="5504" spans="1:24" ht="114.75">
      <c r="A5504" s="3" t="s">
        <v>2256</v>
      </c>
      <c r="B5504" s="6" t="s">
        <v>361</v>
      </c>
      <c r="C5504" s="6" t="s">
        <v>6315</v>
      </c>
      <c r="D5504" s="6" t="s">
        <v>6316</v>
      </c>
      <c r="E5504" s="6" t="s">
        <v>6274</v>
      </c>
      <c r="F5504" s="30" t="s">
        <v>6319</v>
      </c>
      <c r="G5504" s="3" t="s">
        <v>11449</v>
      </c>
      <c r="H5504" s="54">
        <v>0</v>
      </c>
      <c r="I5504" s="16">
        <v>470000000</v>
      </c>
      <c r="J5504" s="56" t="s">
        <v>229</v>
      </c>
      <c r="K5504" s="57" t="s">
        <v>641</v>
      </c>
      <c r="L5504" s="12" t="s">
        <v>404</v>
      </c>
      <c r="M5504" s="3" t="s">
        <v>230</v>
      </c>
      <c r="N5504" s="8" t="s">
        <v>8899</v>
      </c>
      <c r="O5504" s="6" t="s">
        <v>365</v>
      </c>
      <c r="P5504" s="58">
        <v>796</v>
      </c>
      <c r="Q5504" s="31" t="s">
        <v>234</v>
      </c>
      <c r="R5504" s="33">
        <v>6</v>
      </c>
      <c r="S5504" s="59">
        <f>13655.4233*1.07</f>
        <v>14611.302931000002</v>
      </c>
      <c r="T5504" s="4">
        <v>0</v>
      </c>
      <c r="U5504" s="4">
        <f t="shared" si="238"/>
        <v>0</v>
      </c>
      <c r="V5504" s="3"/>
      <c r="W5504" s="3">
        <v>2014</v>
      </c>
      <c r="X5504" s="3">
        <v>11</v>
      </c>
    </row>
    <row r="5505" spans="1:24" ht="114.75">
      <c r="A5505" s="3" t="s">
        <v>12972</v>
      </c>
      <c r="B5505" s="6" t="s">
        <v>361</v>
      </c>
      <c r="C5505" s="6" t="s">
        <v>6315</v>
      </c>
      <c r="D5505" s="6" t="s">
        <v>6316</v>
      </c>
      <c r="E5505" s="6" t="s">
        <v>6274</v>
      </c>
      <c r="F5505" s="30" t="s">
        <v>6319</v>
      </c>
      <c r="G5505" s="3" t="s">
        <v>11449</v>
      </c>
      <c r="H5505" s="54">
        <v>0</v>
      </c>
      <c r="I5505" s="16">
        <v>470000000</v>
      </c>
      <c r="J5505" s="56" t="s">
        <v>229</v>
      </c>
      <c r="K5505" s="57" t="s">
        <v>9453</v>
      </c>
      <c r="L5505" s="12" t="s">
        <v>404</v>
      </c>
      <c r="M5505" s="3" t="s">
        <v>230</v>
      </c>
      <c r="N5505" s="8" t="s">
        <v>8899</v>
      </c>
      <c r="O5505" s="6" t="s">
        <v>365</v>
      </c>
      <c r="P5505" s="58">
        <v>796</v>
      </c>
      <c r="Q5505" s="31" t="s">
        <v>234</v>
      </c>
      <c r="R5505" s="33">
        <v>6</v>
      </c>
      <c r="S5505" s="59">
        <f>13655.4233*1.07</f>
        <v>14611.302931000002</v>
      </c>
      <c r="T5505" s="4">
        <f>R5505*S5505</f>
        <v>87667.817586000019</v>
      </c>
      <c r="U5505" s="4">
        <f>T5505*1.12</f>
        <v>98187.95569632003</v>
      </c>
      <c r="V5505" s="3"/>
      <c r="W5505" s="3">
        <v>2014</v>
      </c>
      <c r="X5505" s="3"/>
    </row>
    <row r="5506" spans="1:24" ht="114.75">
      <c r="A5506" s="3" t="s">
        <v>2257</v>
      </c>
      <c r="B5506" s="6" t="s">
        <v>361</v>
      </c>
      <c r="C5506" s="6" t="s">
        <v>7396</v>
      </c>
      <c r="D5506" s="6" t="s">
        <v>397</v>
      </c>
      <c r="E5506" s="6" t="s">
        <v>7397</v>
      </c>
      <c r="F5506" s="30" t="s">
        <v>6320</v>
      </c>
      <c r="G5506" s="3" t="s">
        <v>11449</v>
      </c>
      <c r="H5506" s="54">
        <v>0</v>
      </c>
      <c r="I5506" s="16">
        <v>470000000</v>
      </c>
      <c r="J5506" s="56" t="s">
        <v>229</v>
      </c>
      <c r="K5506" s="57" t="s">
        <v>641</v>
      </c>
      <c r="L5506" s="12" t="s">
        <v>404</v>
      </c>
      <c r="M5506" s="3" t="s">
        <v>230</v>
      </c>
      <c r="N5506" s="8" t="s">
        <v>8899</v>
      </c>
      <c r="O5506" s="6" t="s">
        <v>365</v>
      </c>
      <c r="P5506" s="58">
        <v>796</v>
      </c>
      <c r="Q5506" s="31" t="s">
        <v>234</v>
      </c>
      <c r="R5506" s="33">
        <v>40</v>
      </c>
      <c r="S5506" s="59">
        <f>941.2107*1.07</f>
        <v>1007.095449</v>
      </c>
      <c r="T5506" s="4">
        <v>0</v>
      </c>
      <c r="U5506" s="4">
        <f t="shared" si="238"/>
        <v>0</v>
      </c>
      <c r="V5506" s="3"/>
      <c r="W5506" s="3">
        <v>2014</v>
      </c>
      <c r="X5506" s="3">
        <v>11</v>
      </c>
    </row>
    <row r="5507" spans="1:24" ht="114.75">
      <c r="A5507" s="3" t="s">
        <v>12973</v>
      </c>
      <c r="B5507" s="6" t="s">
        <v>361</v>
      </c>
      <c r="C5507" s="6" t="s">
        <v>7396</v>
      </c>
      <c r="D5507" s="6" t="s">
        <v>397</v>
      </c>
      <c r="E5507" s="6" t="s">
        <v>7397</v>
      </c>
      <c r="F5507" s="30" t="s">
        <v>6320</v>
      </c>
      <c r="G5507" s="3" t="s">
        <v>11449</v>
      </c>
      <c r="H5507" s="54">
        <v>0</v>
      </c>
      <c r="I5507" s="16">
        <v>470000000</v>
      </c>
      <c r="J5507" s="56" t="s">
        <v>229</v>
      </c>
      <c r="K5507" s="57" t="s">
        <v>9453</v>
      </c>
      <c r="L5507" s="12" t="s">
        <v>404</v>
      </c>
      <c r="M5507" s="3" t="s">
        <v>230</v>
      </c>
      <c r="N5507" s="8" t="s">
        <v>8899</v>
      </c>
      <c r="O5507" s="6" t="s">
        <v>365</v>
      </c>
      <c r="P5507" s="58">
        <v>796</v>
      </c>
      <c r="Q5507" s="31" t="s">
        <v>234</v>
      </c>
      <c r="R5507" s="33">
        <v>0</v>
      </c>
      <c r="S5507" s="59">
        <f>941.2107*1.07</f>
        <v>1007.095449</v>
      </c>
      <c r="T5507" s="4">
        <f>R5507*S5507</f>
        <v>0</v>
      </c>
      <c r="U5507" s="4">
        <f>T5507*1.12</f>
        <v>0</v>
      </c>
      <c r="V5507" s="3"/>
      <c r="W5507" s="3">
        <v>2014</v>
      </c>
      <c r="X5507" s="3" t="s">
        <v>12076</v>
      </c>
    </row>
    <row r="5508" spans="1:24" ht="114.75">
      <c r="A5508" s="3" t="s">
        <v>2258</v>
      </c>
      <c r="B5508" s="6" t="s">
        <v>361</v>
      </c>
      <c r="C5508" s="6" t="s">
        <v>7396</v>
      </c>
      <c r="D5508" s="6" t="s">
        <v>397</v>
      </c>
      <c r="E5508" s="6" t="s">
        <v>7397</v>
      </c>
      <c r="F5508" s="30" t="s">
        <v>6321</v>
      </c>
      <c r="G5508" s="3" t="s">
        <v>11449</v>
      </c>
      <c r="H5508" s="54">
        <v>0</v>
      </c>
      <c r="I5508" s="16">
        <v>470000000</v>
      </c>
      <c r="J5508" s="56" t="s">
        <v>229</v>
      </c>
      <c r="K5508" s="57" t="s">
        <v>641</v>
      </c>
      <c r="L5508" s="12" t="s">
        <v>404</v>
      </c>
      <c r="M5508" s="3" t="s">
        <v>230</v>
      </c>
      <c r="N5508" s="8" t="s">
        <v>8899</v>
      </c>
      <c r="O5508" s="6" t="s">
        <v>365</v>
      </c>
      <c r="P5508" s="58">
        <v>796</v>
      </c>
      <c r="Q5508" s="31" t="s">
        <v>234</v>
      </c>
      <c r="R5508" s="33">
        <v>24</v>
      </c>
      <c r="S5508" s="59">
        <f>1467.0233*1.07</f>
        <v>1569.7149310000002</v>
      </c>
      <c r="T5508" s="4">
        <v>0</v>
      </c>
      <c r="U5508" s="4">
        <f t="shared" si="238"/>
        <v>0</v>
      </c>
      <c r="V5508" s="3"/>
      <c r="W5508" s="3">
        <v>2014</v>
      </c>
      <c r="X5508" s="3">
        <v>11</v>
      </c>
    </row>
    <row r="5509" spans="1:24" ht="114.75">
      <c r="A5509" s="3" t="s">
        <v>12974</v>
      </c>
      <c r="B5509" s="6" t="s">
        <v>361</v>
      </c>
      <c r="C5509" s="6" t="s">
        <v>7396</v>
      </c>
      <c r="D5509" s="6" t="s">
        <v>397</v>
      </c>
      <c r="E5509" s="6" t="s">
        <v>7397</v>
      </c>
      <c r="F5509" s="30" t="s">
        <v>6321</v>
      </c>
      <c r="G5509" s="3" t="s">
        <v>11449</v>
      </c>
      <c r="H5509" s="54">
        <v>0</v>
      </c>
      <c r="I5509" s="16">
        <v>470000000</v>
      </c>
      <c r="J5509" s="56" t="s">
        <v>229</v>
      </c>
      <c r="K5509" s="57" t="s">
        <v>9453</v>
      </c>
      <c r="L5509" s="12" t="s">
        <v>404</v>
      </c>
      <c r="M5509" s="3" t="s">
        <v>230</v>
      </c>
      <c r="N5509" s="8" t="s">
        <v>8899</v>
      </c>
      <c r="O5509" s="6" t="s">
        <v>365</v>
      </c>
      <c r="P5509" s="58">
        <v>796</v>
      </c>
      <c r="Q5509" s="31" t="s">
        <v>234</v>
      </c>
      <c r="R5509" s="33">
        <v>0</v>
      </c>
      <c r="S5509" s="59">
        <f>1467.0233*1.07</f>
        <v>1569.7149310000002</v>
      </c>
      <c r="T5509" s="4">
        <f>R5509*S5509</f>
        <v>0</v>
      </c>
      <c r="U5509" s="4">
        <f>T5509*1.12</f>
        <v>0</v>
      </c>
      <c r="V5509" s="3"/>
      <c r="W5509" s="3">
        <v>2014</v>
      </c>
      <c r="X5509" s="3" t="s">
        <v>12076</v>
      </c>
    </row>
    <row r="5510" spans="1:24" ht="114.75">
      <c r="A5510" s="3" t="s">
        <v>2259</v>
      </c>
      <c r="B5510" s="6" t="s">
        <v>361</v>
      </c>
      <c r="C5510" s="6" t="s">
        <v>7396</v>
      </c>
      <c r="D5510" s="6" t="s">
        <v>397</v>
      </c>
      <c r="E5510" s="6" t="s">
        <v>7397</v>
      </c>
      <c r="F5510" s="30" t="s">
        <v>6322</v>
      </c>
      <c r="G5510" s="3" t="s">
        <v>11449</v>
      </c>
      <c r="H5510" s="54">
        <v>0</v>
      </c>
      <c r="I5510" s="16">
        <v>470000000</v>
      </c>
      <c r="J5510" s="56" t="s">
        <v>229</v>
      </c>
      <c r="K5510" s="57" t="s">
        <v>641</v>
      </c>
      <c r="L5510" s="12" t="s">
        <v>404</v>
      </c>
      <c r="M5510" s="3" t="s">
        <v>230</v>
      </c>
      <c r="N5510" s="8" t="s">
        <v>8899</v>
      </c>
      <c r="O5510" s="6" t="s">
        <v>365</v>
      </c>
      <c r="P5510" s="58">
        <v>796</v>
      </c>
      <c r="Q5510" s="31" t="s">
        <v>234</v>
      </c>
      <c r="R5510" s="33">
        <v>8</v>
      </c>
      <c r="S5510" s="59">
        <f>100574.186*1.07</f>
        <v>107614.37902000001</v>
      </c>
      <c r="T5510" s="4">
        <v>0</v>
      </c>
      <c r="U5510" s="4">
        <f t="shared" si="238"/>
        <v>0</v>
      </c>
      <c r="V5510" s="3"/>
      <c r="W5510" s="3">
        <v>2014</v>
      </c>
      <c r="X5510" s="3">
        <v>11</v>
      </c>
    </row>
    <row r="5511" spans="1:24" ht="114.75">
      <c r="A5511" s="3" t="s">
        <v>12975</v>
      </c>
      <c r="B5511" s="6" t="s">
        <v>361</v>
      </c>
      <c r="C5511" s="6" t="s">
        <v>7396</v>
      </c>
      <c r="D5511" s="6" t="s">
        <v>397</v>
      </c>
      <c r="E5511" s="6" t="s">
        <v>7397</v>
      </c>
      <c r="F5511" s="30" t="s">
        <v>6322</v>
      </c>
      <c r="G5511" s="3" t="s">
        <v>11449</v>
      </c>
      <c r="H5511" s="54">
        <v>0</v>
      </c>
      <c r="I5511" s="16">
        <v>470000000</v>
      </c>
      <c r="J5511" s="56" t="s">
        <v>229</v>
      </c>
      <c r="K5511" s="57" t="s">
        <v>9453</v>
      </c>
      <c r="L5511" s="12" t="s">
        <v>404</v>
      </c>
      <c r="M5511" s="3" t="s">
        <v>230</v>
      </c>
      <c r="N5511" s="8" t="s">
        <v>8899</v>
      </c>
      <c r="O5511" s="6" t="s">
        <v>365</v>
      </c>
      <c r="P5511" s="58">
        <v>796</v>
      </c>
      <c r="Q5511" s="31" t="s">
        <v>234</v>
      </c>
      <c r="R5511" s="33">
        <v>0</v>
      </c>
      <c r="S5511" s="59">
        <f>100574.186*1.07</f>
        <v>107614.37902000001</v>
      </c>
      <c r="T5511" s="4">
        <f>R5511*S5511</f>
        <v>0</v>
      </c>
      <c r="U5511" s="4">
        <f>T5511*1.12</f>
        <v>0</v>
      </c>
      <c r="V5511" s="3"/>
      <c r="W5511" s="3">
        <v>2014</v>
      </c>
      <c r="X5511" s="3" t="s">
        <v>12076</v>
      </c>
    </row>
    <row r="5512" spans="1:24" ht="114.75">
      <c r="A5512" s="3" t="s">
        <v>2260</v>
      </c>
      <c r="B5512" s="6" t="s">
        <v>361</v>
      </c>
      <c r="C5512" s="6" t="s">
        <v>5578</v>
      </c>
      <c r="D5512" s="6" t="s">
        <v>458</v>
      </c>
      <c r="E5512" s="6" t="s">
        <v>5332</v>
      </c>
      <c r="F5512" s="30" t="s">
        <v>6323</v>
      </c>
      <c r="G5512" s="3" t="s">
        <v>11449</v>
      </c>
      <c r="H5512" s="54">
        <v>0</v>
      </c>
      <c r="I5512" s="16">
        <v>470000000</v>
      </c>
      <c r="J5512" s="56" t="s">
        <v>229</v>
      </c>
      <c r="K5512" s="57" t="s">
        <v>641</v>
      </c>
      <c r="L5512" s="12" t="s">
        <v>404</v>
      </c>
      <c r="M5512" s="3" t="s">
        <v>230</v>
      </c>
      <c r="N5512" s="8" t="s">
        <v>8899</v>
      </c>
      <c r="O5512" s="6" t="s">
        <v>365</v>
      </c>
      <c r="P5512" s="58">
        <v>796</v>
      </c>
      <c r="Q5512" s="31" t="s">
        <v>234</v>
      </c>
      <c r="R5512" s="33">
        <v>20</v>
      </c>
      <c r="S5512" s="59">
        <f t="shared" ref="S5512:S5523" si="239">1020.5715*1.07</f>
        <v>1092.0115050000002</v>
      </c>
      <c r="T5512" s="4">
        <v>0</v>
      </c>
      <c r="U5512" s="4">
        <f t="shared" si="238"/>
        <v>0</v>
      </c>
      <c r="V5512" s="3"/>
      <c r="W5512" s="3">
        <v>2014</v>
      </c>
      <c r="X5512" s="3">
        <v>11</v>
      </c>
    </row>
    <row r="5513" spans="1:24" ht="114.75">
      <c r="A5513" s="3" t="s">
        <v>12976</v>
      </c>
      <c r="B5513" s="6" t="s">
        <v>361</v>
      </c>
      <c r="C5513" s="6" t="s">
        <v>5578</v>
      </c>
      <c r="D5513" s="6" t="s">
        <v>458</v>
      </c>
      <c r="E5513" s="6" t="s">
        <v>5332</v>
      </c>
      <c r="F5513" s="30" t="s">
        <v>6323</v>
      </c>
      <c r="G5513" s="3" t="s">
        <v>11449</v>
      </c>
      <c r="H5513" s="54">
        <v>0</v>
      </c>
      <c r="I5513" s="16">
        <v>470000000</v>
      </c>
      <c r="J5513" s="56" t="s">
        <v>229</v>
      </c>
      <c r="K5513" s="57" t="s">
        <v>9453</v>
      </c>
      <c r="L5513" s="12" t="s">
        <v>404</v>
      </c>
      <c r="M5513" s="3" t="s">
        <v>230</v>
      </c>
      <c r="N5513" s="8" t="s">
        <v>8899</v>
      </c>
      <c r="O5513" s="6" t="s">
        <v>365</v>
      </c>
      <c r="P5513" s="58">
        <v>796</v>
      </c>
      <c r="Q5513" s="31" t="s">
        <v>234</v>
      </c>
      <c r="R5513" s="33">
        <v>0</v>
      </c>
      <c r="S5513" s="59">
        <f t="shared" si="239"/>
        <v>1092.0115050000002</v>
      </c>
      <c r="T5513" s="4">
        <f>R5513*S5513</f>
        <v>0</v>
      </c>
      <c r="U5513" s="4">
        <f>T5513*1.12</f>
        <v>0</v>
      </c>
      <c r="V5513" s="3"/>
      <c r="W5513" s="3">
        <v>2014</v>
      </c>
      <c r="X5513" s="3" t="s">
        <v>12076</v>
      </c>
    </row>
    <row r="5514" spans="1:24" ht="114.75">
      <c r="A5514" s="3" t="s">
        <v>2261</v>
      </c>
      <c r="B5514" s="6" t="s">
        <v>361</v>
      </c>
      <c r="C5514" s="6" t="s">
        <v>5578</v>
      </c>
      <c r="D5514" s="6" t="s">
        <v>458</v>
      </c>
      <c r="E5514" s="6" t="s">
        <v>5332</v>
      </c>
      <c r="F5514" s="30" t="s">
        <v>6324</v>
      </c>
      <c r="G5514" s="3" t="s">
        <v>11449</v>
      </c>
      <c r="H5514" s="54">
        <v>0</v>
      </c>
      <c r="I5514" s="16">
        <v>470000000</v>
      </c>
      <c r="J5514" s="56" t="s">
        <v>229</v>
      </c>
      <c r="K5514" s="57" t="s">
        <v>641</v>
      </c>
      <c r="L5514" s="12" t="s">
        <v>404</v>
      </c>
      <c r="M5514" s="3" t="s">
        <v>230</v>
      </c>
      <c r="N5514" s="8" t="s">
        <v>8899</v>
      </c>
      <c r="O5514" s="6" t="s">
        <v>365</v>
      </c>
      <c r="P5514" s="58">
        <v>796</v>
      </c>
      <c r="Q5514" s="31" t="s">
        <v>234</v>
      </c>
      <c r="R5514" s="33">
        <v>20</v>
      </c>
      <c r="S5514" s="59">
        <f t="shared" si="239"/>
        <v>1092.0115050000002</v>
      </c>
      <c r="T5514" s="4">
        <v>0</v>
      </c>
      <c r="U5514" s="4">
        <f t="shared" si="238"/>
        <v>0</v>
      </c>
      <c r="V5514" s="3"/>
      <c r="W5514" s="3">
        <v>2014</v>
      </c>
      <c r="X5514" s="3">
        <v>11</v>
      </c>
    </row>
    <row r="5515" spans="1:24" ht="114.75">
      <c r="A5515" s="3" t="s">
        <v>12977</v>
      </c>
      <c r="B5515" s="6" t="s">
        <v>361</v>
      </c>
      <c r="C5515" s="6" t="s">
        <v>5578</v>
      </c>
      <c r="D5515" s="6" t="s">
        <v>458</v>
      </c>
      <c r="E5515" s="6" t="s">
        <v>5332</v>
      </c>
      <c r="F5515" s="30" t="s">
        <v>6324</v>
      </c>
      <c r="G5515" s="3" t="s">
        <v>11449</v>
      </c>
      <c r="H5515" s="54">
        <v>0</v>
      </c>
      <c r="I5515" s="16">
        <v>470000000</v>
      </c>
      <c r="J5515" s="56" t="s">
        <v>229</v>
      </c>
      <c r="K5515" s="57" t="s">
        <v>9453</v>
      </c>
      <c r="L5515" s="12" t="s">
        <v>404</v>
      </c>
      <c r="M5515" s="3" t="s">
        <v>230</v>
      </c>
      <c r="N5515" s="8" t="s">
        <v>8899</v>
      </c>
      <c r="O5515" s="6" t="s">
        <v>365</v>
      </c>
      <c r="P5515" s="58">
        <v>796</v>
      </c>
      <c r="Q5515" s="31" t="s">
        <v>234</v>
      </c>
      <c r="R5515" s="33">
        <v>0</v>
      </c>
      <c r="S5515" s="59">
        <f t="shared" si="239"/>
        <v>1092.0115050000002</v>
      </c>
      <c r="T5515" s="4">
        <f>R5515*S5515</f>
        <v>0</v>
      </c>
      <c r="U5515" s="4">
        <f>T5515*1.12</f>
        <v>0</v>
      </c>
      <c r="V5515" s="3"/>
      <c r="W5515" s="3">
        <v>2014</v>
      </c>
      <c r="X5515" s="3" t="s">
        <v>12076</v>
      </c>
    </row>
    <row r="5516" spans="1:24" ht="114.75">
      <c r="A5516" s="3" t="s">
        <v>2262</v>
      </c>
      <c r="B5516" s="6" t="s">
        <v>361</v>
      </c>
      <c r="C5516" s="6" t="s">
        <v>5578</v>
      </c>
      <c r="D5516" s="6" t="s">
        <v>458</v>
      </c>
      <c r="E5516" s="6" t="s">
        <v>5332</v>
      </c>
      <c r="F5516" s="30" t="s">
        <v>6325</v>
      </c>
      <c r="G5516" s="3" t="s">
        <v>11449</v>
      </c>
      <c r="H5516" s="54">
        <v>0</v>
      </c>
      <c r="I5516" s="16">
        <v>470000000</v>
      </c>
      <c r="J5516" s="56" t="s">
        <v>229</v>
      </c>
      <c r="K5516" s="57" t="s">
        <v>641</v>
      </c>
      <c r="L5516" s="12" t="s">
        <v>404</v>
      </c>
      <c r="M5516" s="3" t="s">
        <v>230</v>
      </c>
      <c r="N5516" s="8" t="s">
        <v>8899</v>
      </c>
      <c r="O5516" s="6" t="s">
        <v>365</v>
      </c>
      <c r="P5516" s="58">
        <v>796</v>
      </c>
      <c r="Q5516" s="31" t="s">
        <v>234</v>
      </c>
      <c r="R5516" s="33">
        <v>20</v>
      </c>
      <c r="S5516" s="59">
        <f t="shared" si="239"/>
        <v>1092.0115050000002</v>
      </c>
      <c r="T5516" s="4">
        <v>0</v>
      </c>
      <c r="U5516" s="4">
        <f t="shared" si="238"/>
        <v>0</v>
      </c>
      <c r="V5516" s="3"/>
      <c r="W5516" s="3">
        <v>2014</v>
      </c>
      <c r="X5516" s="3">
        <v>11</v>
      </c>
    </row>
    <row r="5517" spans="1:24" ht="114.75">
      <c r="A5517" s="3" t="s">
        <v>12978</v>
      </c>
      <c r="B5517" s="6" t="s">
        <v>361</v>
      </c>
      <c r="C5517" s="6" t="s">
        <v>5578</v>
      </c>
      <c r="D5517" s="6" t="s">
        <v>458</v>
      </c>
      <c r="E5517" s="6" t="s">
        <v>5332</v>
      </c>
      <c r="F5517" s="30" t="s">
        <v>6325</v>
      </c>
      <c r="G5517" s="3" t="s">
        <v>11449</v>
      </c>
      <c r="H5517" s="54">
        <v>0</v>
      </c>
      <c r="I5517" s="16">
        <v>470000000</v>
      </c>
      <c r="J5517" s="56" t="s">
        <v>229</v>
      </c>
      <c r="K5517" s="57" t="s">
        <v>9453</v>
      </c>
      <c r="L5517" s="12" t="s">
        <v>404</v>
      </c>
      <c r="M5517" s="3" t="s">
        <v>230</v>
      </c>
      <c r="N5517" s="8" t="s">
        <v>8899</v>
      </c>
      <c r="O5517" s="6" t="s">
        <v>365</v>
      </c>
      <c r="P5517" s="58">
        <v>796</v>
      </c>
      <c r="Q5517" s="31" t="s">
        <v>234</v>
      </c>
      <c r="R5517" s="33">
        <v>0</v>
      </c>
      <c r="S5517" s="59">
        <f t="shared" si="239"/>
        <v>1092.0115050000002</v>
      </c>
      <c r="T5517" s="4">
        <f>R5517*S5517</f>
        <v>0</v>
      </c>
      <c r="U5517" s="4">
        <f>T5517*1.12</f>
        <v>0</v>
      </c>
      <c r="V5517" s="3"/>
      <c r="W5517" s="3">
        <v>2014</v>
      </c>
      <c r="X5517" s="3" t="s">
        <v>12076</v>
      </c>
    </row>
    <row r="5518" spans="1:24" ht="114.75">
      <c r="A5518" s="3" t="s">
        <v>2263</v>
      </c>
      <c r="B5518" s="6" t="s">
        <v>361</v>
      </c>
      <c r="C5518" s="6" t="s">
        <v>5578</v>
      </c>
      <c r="D5518" s="6" t="s">
        <v>458</v>
      </c>
      <c r="E5518" s="6" t="s">
        <v>5332</v>
      </c>
      <c r="F5518" s="30" t="s">
        <v>6326</v>
      </c>
      <c r="G5518" s="3" t="s">
        <v>11449</v>
      </c>
      <c r="H5518" s="54">
        <v>0</v>
      </c>
      <c r="I5518" s="16">
        <v>470000000</v>
      </c>
      <c r="J5518" s="56" t="s">
        <v>229</v>
      </c>
      <c r="K5518" s="57" t="s">
        <v>641</v>
      </c>
      <c r="L5518" s="12" t="s">
        <v>404</v>
      </c>
      <c r="M5518" s="3" t="s">
        <v>230</v>
      </c>
      <c r="N5518" s="8" t="s">
        <v>8899</v>
      </c>
      <c r="O5518" s="6" t="s">
        <v>365</v>
      </c>
      <c r="P5518" s="58">
        <v>796</v>
      </c>
      <c r="Q5518" s="31" t="s">
        <v>234</v>
      </c>
      <c r="R5518" s="33">
        <v>20</v>
      </c>
      <c r="S5518" s="59">
        <f t="shared" si="239"/>
        <v>1092.0115050000002</v>
      </c>
      <c r="T5518" s="4">
        <v>0</v>
      </c>
      <c r="U5518" s="4">
        <f t="shared" si="238"/>
        <v>0</v>
      </c>
      <c r="V5518" s="3"/>
      <c r="W5518" s="3">
        <v>2014</v>
      </c>
      <c r="X5518" s="3">
        <v>11</v>
      </c>
    </row>
    <row r="5519" spans="1:24" ht="114.75">
      <c r="A5519" s="3" t="s">
        <v>12979</v>
      </c>
      <c r="B5519" s="6" t="s">
        <v>361</v>
      </c>
      <c r="C5519" s="6" t="s">
        <v>5578</v>
      </c>
      <c r="D5519" s="6" t="s">
        <v>458</v>
      </c>
      <c r="E5519" s="6" t="s">
        <v>5332</v>
      </c>
      <c r="F5519" s="30" t="s">
        <v>6326</v>
      </c>
      <c r="G5519" s="3" t="s">
        <v>11449</v>
      </c>
      <c r="H5519" s="54">
        <v>0</v>
      </c>
      <c r="I5519" s="16">
        <v>470000000</v>
      </c>
      <c r="J5519" s="56" t="s">
        <v>229</v>
      </c>
      <c r="K5519" s="57" t="s">
        <v>9453</v>
      </c>
      <c r="L5519" s="12" t="s">
        <v>404</v>
      </c>
      <c r="M5519" s="3" t="s">
        <v>230</v>
      </c>
      <c r="N5519" s="8" t="s">
        <v>8899</v>
      </c>
      <c r="O5519" s="6" t="s">
        <v>365</v>
      </c>
      <c r="P5519" s="58">
        <v>796</v>
      </c>
      <c r="Q5519" s="31" t="s">
        <v>234</v>
      </c>
      <c r="R5519" s="33">
        <v>0</v>
      </c>
      <c r="S5519" s="59">
        <f t="shared" si="239"/>
        <v>1092.0115050000002</v>
      </c>
      <c r="T5519" s="4">
        <f>R5519*S5519</f>
        <v>0</v>
      </c>
      <c r="U5519" s="4">
        <f>T5519*1.12</f>
        <v>0</v>
      </c>
      <c r="V5519" s="3"/>
      <c r="W5519" s="3">
        <v>2014</v>
      </c>
      <c r="X5519" s="3" t="s">
        <v>12076</v>
      </c>
    </row>
    <row r="5520" spans="1:24" ht="114.75">
      <c r="A5520" s="3" t="s">
        <v>2264</v>
      </c>
      <c r="B5520" s="6" t="s">
        <v>361</v>
      </c>
      <c r="C5520" s="6" t="s">
        <v>5578</v>
      </c>
      <c r="D5520" s="6" t="s">
        <v>458</v>
      </c>
      <c r="E5520" s="6" t="s">
        <v>5332</v>
      </c>
      <c r="F5520" s="30" t="s">
        <v>6327</v>
      </c>
      <c r="G5520" s="3" t="s">
        <v>11449</v>
      </c>
      <c r="H5520" s="54">
        <v>0</v>
      </c>
      <c r="I5520" s="16">
        <v>470000000</v>
      </c>
      <c r="J5520" s="56" t="s">
        <v>229</v>
      </c>
      <c r="K5520" s="57" t="s">
        <v>641</v>
      </c>
      <c r="L5520" s="12" t="s">
        <v>404</v>
      </c>
      <c r="M5520" s="3" t="s">
        <v>230</v>
      </c>
      <c r="N5520" s="8" t="s">
        <v>8899</v>
      </c>
      <c r="O5520" s="6" t="s">
        <v>365</v>
      </c>
      <c r="P5520" s="58">
        <v>796</v>
      </c>
      <c r="Q5520" s="31" t="s">
        <v>234</v>
      </c>
      <c r="R5520" s="33">
        <v>20</v>
      </c>
      <c r="S5520" s="59">
        <f t="shared" si="239"/>
        <v>1092.0115050000002</v>
      </c>
      <c r="T5520" s="4">
        <v>0</v>
      </c>
      <c r="U5520" s="4">
        <f t="shared" si="238"/>
        <v>0</v>
      </c>
      <c r="V5520" s="3"/>
      <c r="W5520" s="3">
        <v>2014</v>
      </c>
      <c r="X5520" s="3">
        <v>11</v>
      </c>
    </row>
    <row r="5521" spans="1:24" ht="114.75">
      <c r="A5521" s="3" t="s">
        <v>12980</v>
      </c>
      <c r="B5521" s="6" t="s">
        <v>361</v>
      </c>
      <c r="C5521" s="6" t="s">
        <v>5578</v>
      </c>
      <c r="D5521" s="6" t="s">
        <v>458</v>
      </c>
      <c r="E5521" s="6" t="s">
        <v>5332</v>
      </c>
      <c r="F5521" s="30" t="s">
        <v>6327</v>
      </c>
      <c r="G5521" s="3" t="s">
        <v>11449</v>
      </c>
      <c r="H5521" s="54">
        <v>0</v>
      </c>
      <c r="I5521" s="16">
        <v>470000000</v>
      </c>
      <c r="J5521" s="56" t="s">
        <v>229</v>
      </c>
      <c r="K5521" s="57" t="s">
        <v>9453</v>
      </c>
      <c r="L5521" s="12" t="s">
        <v>404</v>
      </c>
      <c r="M5521" s="3" t="s">
        <v>230</v>
      </c>
      <c r="N5521" s="8" t="s">
        <v>8899</v>
      </c>
      <c r="O5521" s="6" t="s">
        <v>365</v>
      </c>
      <c r="P5521" s="58">
        <v>796</v>
      </c>
      <c r="Q5521" s="31" t="s">
        <v>234</v>
      </c>
      <c r="R5521" s="33">
        <v>0</v>
      </c>
      <c r="S5521" s="59">
        <f t="shared" si="239"/>
        <v>1092.0115050000002</v>
      </c>
      <c r="T5521" s="4">
        <f>R5521*S5521</f>
        <v>0</v>
      </c>
      <c r="U5521" s="4">
        <f>T5521*1.12</f>
        <v>0</v>
      </c>
      <c r="V5521" s="3"/>
      <c r="W5521" s="3">
        <v>2014</v>
      </c>
      <c r="X5521" s="3" t="s">
        <v>12076</v>
      </c>
    </row>
    <row r="5522" spans="1:24" ht="114.75">
      <c r="A5522" s="3" t="s">
        <v>2265</v>
      </c>
      <c r="B5522" s="6" t="s">
        <v>361</v>
      </c>
      <c r="C5522" s="6" t="s">
        <v>5578</v>
      </c>
      <c r="D5522" s="6" t="s">
        <v>458</v>
      </c>
      <c r="E5522" s="6" t="s">
        <v>5332</v>
      </c>
      <c r="F5522" s="30" t="s">
        <v>6328</v>
      </c>
      <c r="G5522" s="3" t="s">
        <v>11449</v>
      </c>
      <c r="H5522" s="54">
        <v>0</v>
      </c>
      <c r="I5522" s="16">
        <v>470000000</v>
      </c>
      <c r="J5522" s="56" t="s">
        <v>229</v>
      </c>
      <c r="K5522" s="57" t="s">
        <v>641</v>
      </c>
      <c r="L5522" s="12" t="s">
        <v>404</v>
      </c>
      <c r="M5522" s="3" t="s">
        <v>230</v>
      </c>
      <c r="N5522" s="8" t="s">
        <v>8899</v>
      </c>
      <c r="O5522" s="6" t="s">
        <v>365</v>
      </c>
      <c r="P5522" s="58">
        <v>796</v>
      </c>
      <c r="Q5522" s="31" t="s">
        <v>234</v>
      </c>
      <c r="R5522" s="33">
        <v>20</v>
      </c>
      <c r="S5522" s="59">
        <f t="shared" si="239"/>
        <v>1092.0115050000002</v>
      </c>
      <c r="T5522" s="4">
        <v>0</v>
      </c>
      <c r="U5522" s="4">
        <f t="shared" si="238"/>
        <v>0</v>
      </c>
      <c r="V5522" s="3"/>
      <c r="W5522" s="3">
        <v>2014</v>
      </c>
      <c r="X5522" s="3">
        <v>11</v>
      </c>
    </row>
    <row r="5523" spans="1:24" ht="114.75">
      <c r="A5523" s="3" t="s">
        <v>12981</v>
      </c>
      <c r="B5523" s="6" t="s">
        <v>361</v>
      </c>
      <c r="C5523" s="6" t="s">
        <v>5578</v>
      </c>
      <c r="D5523" s="6" t="s">
        <v>458</v>
      </c>
      <c r="E5523" s="6" t="s">
        <v>5332</v>
      </c>
      <c r="F5523" s="30" t="s">
        <v>6328</v>
      </c>
      <c r="G5523" s="3" t="s">
        <v>11449</v>
      </c>
      <c r="H5523" s="54">
        <v>0</v>
      </c>
      <c r="I5523" s="16">
        <v>470000000</v>
      </c>
      <c r="J5523" s="56" t="s">
        <v>229</v>
      </c>
      <c r="K5523" s="57" t="s">
        <v>9453</v>
      </c>
      <c r="L5523" s="12" t="s">
        <v>404</v>
      </c>
      <c r="M5523" s="3" t="s">
        <v>230</v>
      </c>
      <c r="N5523" s="8" t="s">
        <v>8899</v>
      </c>
      <c r="O5523" s="6" t="s">
        <v>365</v>
      </c>
      <c r="P5523" s="58">
        <v>796</v>
      </c>
      <c r="Q5523" s="31" t="s">
        <v>234</v>
      </c>
      <c r="R5523" s="33">
        <v>0</v>
      </c>
      <c r="S5523" s="59">
        <f t="shared" si="239"/>
        <v>1092.0115050000002</v>
      </c>
      <c r="T5523" s="4">
        <f>R5523*S5523</f>
        <v>0</v>
      </c>
      <c r="U5523" s="4">
        <f>T5523*1.12</f>
        <v>0</v>
      </c>
      <c r="V5523" s="3"/>
      <c r="W5523" s="3">
        <v>2014</v>
      </c>
      <c r="X5523" s="3" t="s">
        <v>12076</v>
      </c>
    </row>
    <row r="5524" spans="1:24" ht="114.75">
      <c r="A5524" s="3" t="s">
        <v>2266</v>
      </c>
      <c r="B5524" s="6" t="s">
        <v>361</v>
      </c>
      <c r="C5524" s="6" t="s">
        <v>6329</v>
      </c>
      <c r="D5524" s="6" t="s">
        <v>6330</v>
      </c>
      <c r="E5524" s="6" t="s">
        <v>6295</v>
      </c>
      <c r="F5524" s="30" t="s">
        <v>6331</v>
      </c>
      <c r="G5524" s="3" t="s">
        <v>11449</v>
      </c>
      <c r="H5524" s="54">
        <v>0</v>
      </c>
      <c r="I5524" s="16">
        <v>470000000</v>
      </c>
      <c r="J5524" s="56" t="s">
        <v>229</v>
      </c>
      <c r="K5524" s="57" t="s">
        <v>641</v>
      </c>
      <c r="L5524" s="12" t="s">
        <v>404</v>
      </c>
      <c r="M5524" s="3" t="s">
        <v>230</v>
      </c>
      <c r="N5524" s="8" t="s">
        <v>8899</v>
      </c>
      <c r="O5524" s="6" t="s">
        <v>365</v>
      </c>
      <c r="P5524" s="58">
        <v>796</v>
      </c>
      <c r="Q5524" s="31" t="s">
        <v>234</v>
      </c>
      <c r="R5524" s="33">
        <v>10</v>
      </c>
      <c r="S5524" s="59">
        <f>86963.1913*1.07</f>
        <v>93050.61469100001</v>
      </c>
      <c r="T5524" s="4">
        <v>0</v>
      </c>
      <c r="U5524" s="4">
        <f t="shared" si="238"/>
        <v>0</v>
      </c>
      <c r="V5524" s="3"/>
      <c r="W5524" s="3">
        <v>2014</v>
      </c>
      <c r="X5524" s="3">
        <v>11</v>
      </c>
    </row>
    <row r="5525" spans="1:24" ht="114.75">
      <c r="A5525" s="3" t="s">
        <v>12982</v>
      </c>
      <c r="B5525" s="6" t="s">
        <v>361</v>
      </c>
      <c r="C5525" s="6" t="s">
        <v>6329</v>
      </c>
      <c r="D5525" s="6" t="s">
        <v>6330</v>
      </c>
      <c r="E5525" s="6" t="s">
        <v>6295</v>
      </c>
      <c r="F5525" s="30" t="s">
        <v>6331</v>
      </c>
      <c r="G5525" s="3" t="s">
        <v>11449</v>
      </c>
      <c r="H5525" s="54">
        <v>0</v>
      </c>
      <c r="I5525" s="16">
        <v>470000000</v>
      </c>
      <c r="J5525" s="56" t="s">
        <v>229</v>
      </c>
      <c r="K5525" s="57" t="s">
        <v>9453</v>
      </c>
      <c r="L5525" s="12" t="s">
        <v>404</v>
      </c>
      <c r="M5525" s="3" t="s">
        <v>230</v>
      </c>
      <c r="N5525" s="8" t="s">
        <v>8899</v>
      </c>
      <c r="O5525" s="6" t="s">
        <v>365</v>
      </c>
      <c r="P5525" s="58">
        <v>796</v>
      </c>
      <c r="Q5525" s="31" t="s">
        <v>234</v>
      </c>
      <c r="R5525" s="33">
        <v>0</v>
      </c>
      <c r="S5525" s="59">
        <f>86963.1913*1.07</f>
        <v>93050.61469100001</v>
      </c>
      <c r="T5525" s="4">
        <f>R5525*S5525</f>
        <v>0</v>
      </c>
      <c r="U5525" s="4">
        <f>T5525*1.12</f>
        <v>0</v>
      </c>
      <c r="V5525" s="3"/>
      <c r="W5525" s="3">
        <v>2014</v>
      </c>
      <c r="X5525" s="3" t="s">
        <v>12076</v>
      </c>
    </row>
    <row r="5526" spans="1:24" ht="114.75">
      <c r="A5526" s="3" t="s">
        <v>2267</v>
      </c>
      <c r="B5526" s="6" t="s">
        <v>361</v>
      </c>
      <c r="C5526" s="6" t="s">
        <v>6332</v>
      </c>
      <c r="D5526" s="6" t="s">
        <v>6333</v>
      </c>
      <c r="E5526" s="6" t="s">
        <v>6295</v>
      </c>
      <c r="F5526" s="30" t="s">
        <v>6334</v>
      </c>
      <c r="G5526" s="3" t="s">
        <v>11449</v>
      </c>
      <c r="H5526" s="54">
        <v>0</v>
      </c>
      <c r="I5526" s="16">
        <v>470000000</v>
      </c>
      <c r="J5526" s="56" t="s">
        <v>229</v>
      </c>
      <c r="K5526" s="57" t="s">
        <v>641</v>
      </c>
      <c r="L5526" s="12" t="s">
        <v>404</v>
      </c>
      <c r="M5526" s="3" t="s">
        <v>230</v>
      </c>
      <c r="N5526" s="8" t="s">
        <v>8899</v>
      </c>
      <c r="O5526" s="6" t="s">
        <v>365</v>
      </c>
      <c r="P5526" s="58">
        <v>796</v>
      </c>
      <c r="Q5526" s="31" t="s">
        <v>234</v>
      </c>
      <c r="R5526" s="33">
        <v>2</v>
      </c>
      <c r="S5526" s="59">
        <f>385214.87*1.07</f>
        <v>412179.91090000002</v>
      </c>
      <c r="T5526" s="4">
        <v>0</v>
      </c>
      <c r="U5526" s="4">
        <f t="shared" si="238"/>
        <v>0</v>
      </c>
      <c r="V5526" s="3"/>
      <c r="W5526" s="3">
        <v>2014</v>
      </c>
      <c r="X5526" s="3">
        <v>11</v>
      </c>
    </row>
    <row r="5527" spans="1:24" ht="114.75">
      <c r="A5527" s="3" t="s">
        <v>12983</v>
      </c>
      <c r="B5527" s="6" t="s">
        <v>361</v>
      </c>
      <c r="C5527" s="6" t="s">
        <v>6332</v>
      </c>
      <c r="D5527" s="6" t="s">
        <v>6333</v>
      </c>
      <c r="E5527" s="6" t="s">
        <v>6295</v>
      </c>
      <c r="F5527" s="30" t="s">
        <v>6334</v>
      </c>
      <c r="G5527" s="3" t="s">
        <v>11449</v>
      </c>
      <c r="H5527" s="54">
        <v>0</v>
      </c>
      <c r="I5527" s="16">
        <v>470000000</v>
      </c>
      <c r="J5527" s="56" t="s">
        <v>229</v>
      </c>
      <c r="K5527" s="57" t="s">
        <v>9453</v>
      </c>
      <c r="L5527" s="12" t="s">
        <v>404</v>
      </c>
      <c r="M5527" s="3" t="s">
        <v>230</v>
      </c>
      <c r="N5527" s="8" t="s">
        <v>8899</v>
      </c>
      <c r="O5527" s="6" t="s">
        <v>365</v>
      </c>
      <c r="P5527" s="58">
        <v>796</v>
      </c>
      <c r="Q5527" s="31" t="s">
        <v>234</v>
      </c>
      <c r="R5527" s="33">
        <v>0</v>
      </c>
      <c r="S5527" s="59">
        <f>385214.87*1.07</f>
        <v>412179.91090000002</v>
      </c>
      <c r="T5527" s="4">
        <f>R5527*S5527</f>
        <v>0</v>
      </c>
      <c r="U5527" s="4">
        <f>T5527*1.12</f>
        <v>0</v>
      </c>
      <c r="V5527" s="3"/>
      <c r="W5527" s="3">
        <v>2014</v>
      </c>
      <c r="X5527" s="3" t="s">
        <v>12076</v>
      </c>
    </row>
    <row r="5528" spans="1:24" ht="114.75">
      <c r="A5528" s="3" t="s">
        <v>2268</v>
      </c>
      <c r="B5528" s="6" t="s">
        <v>361</v>
      </c>
      <c r="C5528" s="6" t="s">
        <v>6299</v>
      </c>
      <c r="D5528" s="6" t="s">
        <v>452</v>
      </c>
      <c r="E5528" s="6" t="s">
        <v>6274</v>
      </c>
      <c r="F5528" s="30" t="s">
        <v>6335</v>
      </c>
      <c r="G5528" s="3" t="s">
        <v>11449</v>
      </c>
      <c r="H5528" s="54">
        <v>0</v>
      </c>
      <c r="I5528" s="16">
        <v>470000000</v>
      </c>
      <c r="J5528" s="56" t="s">
        <v>229</v>
      </c>
      <c r="K5528" s="57" t="s">
        <v>641</v>
      </c>
      <c r="L5528" s="12" t="s">
        <v>404</v>
      </c>
      <c r="M5528" s="3" t="s">
        <v>230</v>
      </c>
      <c r="N5528" s="8" t="s">
        <v>8899</v>
      </c>
      <c r="O5528" s="6" t="s">
        <v>365</v>
      </c>
      <c r="P5528" s="58">
        <v>796</v>
      </c>
      <c r="Q5528" s="31" t="s">
        <v>234</v>
      </c>
      <c r="R5528" s="33">
        <v>8</v>
      </c>
      <c r="S5528" s="59">
        <f>61615.0037*1.07</f>
        <v>65928.053959000012</v>
      </c>
      <c r="T5528" s="4">
        <v>0</v>
      </c>
      <c r="U5528" s="4">
        <f t="shared" si="238"/>
        <v>0</v>
      </c>
      <c r="V5528" s="3"/>
      <c r="W5528" s="3">
        <v>2014</v>
      </c>
      <c r="X5528" s="3">
        <v>11</v>
      </c>
    </row>
    <row r="5529" spans="1:24" ht="114.75">
      <c r="A5529" s="3" t="s">
        <v>12984</v>
      </c>
      <c r="B5529" s="6" t="s">
        <v>361</v>
      </c>
      <c r="C5529" s="6" t="s">
        <v>6299</v>
      </c>
      <c r="D5529" s="6" t="s">
        <v>452</v>
      </c>
      <c r="E5529" s="6" t="s">
        <v>6274</v>
      </c>
      <c r="F5529" s="30" t="s">
        <v>6335</v>
      </c>
      <c r="G5529" s="3" t="s">
        <v>11449</v>
      </c>
      <c r="H5529" s="54">
        <v>0</v>
      </c>
      <c r="I5529" s="16">
        <v>470000000</v>
      </c>
      <c r="J5529" s="56" t="s">
        <v>229</v>
      </c>
      <c r="K5529" s="57" t="s">
        <v>9453</v>
      </c>
      <c r="L5529" s="12" t="s">
        <v>404</v>
      </c>
      <c r="M5529" s="3" t="s">
        <v>230</v>
      </c>
      <c r="N5529" s="8" t="s">
        <v>8899</v>
      </c>
      <c r="O5529" s="6" t="s">
        <v>365</v>
      </c>
      <c r="P5529" s="58">
        <v>796</v>
      </c>
      <c r="Q5529" s="31" t="s">
        <v>234</v>
      </c>
      <c r="R5529" s="33">
        <v>0</v>
      </c>
      <c r="S5529" s="59">
        <f>61615.0037*1.07</f>
        <v>65928.053959000012</v>
      </c>
      <c r="T5529" s="4">
        <f>R5529*S5529</f>
        <v>0</v>
      </c>
      <c r="U5529" s="4">
        <f>T5529*1.12</f>
        <v>0</v>
      </c>
      <c r="V5529" s="3"/>
      <c r="W5529" s="3">
        <v>2014</v>
      </c>
      <c r="X5529" s="3" t="s">
        <v>12076</v>
      </c>
    </row>
    <row r="5530" spans="1:24" ht="114.75">
      <c r="A5530" s="3" t="s">
        <v>2269</v>
      </c>
      <c r="B5530" s="6" t="s">
        <v>361</v>
      </c>
      <c r="C5530" s="6" t="s">
        <v>5523</v>
      </c>
      <c r="D5530" s="6" t="s">
        <v>416</v>
      </c>
      <c r="E5530" s="6" t="s">
        <v>5332</v>
      </c>
      <c r="F5530" s="107" t="s">
        <v>8177</v>
      </c>
      <c r="G5530" s="3" t="s">
        <v>11449</v>
      </c>
      <c r="H5530" s="54">
        <v>0</v>
      </c>
      <c r="I5530" s="16">
        <v>470000000</v>
      </c>
      <c r="J5530" s="56" t="s">
        <v>229</v>
      </c>
      <c r="K5530" s="57" t="s">
        <v>641</v>
      </c>
      <c r="L5530" s="12" t="s">
        <v>404</v>
      </c>
      <c r="M5530" s="3" t="s">
        <v>230</v>
      </c>
      <c r="N5530" s="8" t="s">
        <v>8899</v>
      </c>
      <c r="O5530" s="6" t="s">
        <v>365</v>
      </c>
      <c r="P5530" s="58">
        <v>796</v>
      </c>
      <c r="Q5530" s="31" t="s">
        <v>234</v>
      </c>
      <c r="R5530" s="34">
        <v>20</v>
      </c>
      <c r="S5530" s="59">
        <f>838.174*1.07</f>
        <v>896.84618</v>
      </c>
      <c r="T5530" s="4">
        <v>0</v>
      </c>
      <c r="U5530" s="4">
        <f t="shared" si="238"/>
        <v>0</v>
      </c>
      <c r="V5530" s="3"/>
      <c r="W5530" s="3">
        <v>2014</v>
      </c>
      <c r="X5530" s="3">
        <v>11</v>
      </c>
    </row>
    <row r="5531" spans="1:24" ht="114.75">
      <c r="A5531" s="3" t="s">
        <v>12985</v>
      </c>
      <c r="B5531" s="6" t="s">
        <v>361</v>
      </c>
      <c r="C5531" s="6" t="s">
        <v>5523</v>
      </c>
      <c r="D5531" s="6" t="s">
        <v>416</v>
      </c>
      <c r="E5531" s="6" t="s">
        <v>5332</v>
      </c>
      <c r="F5531" s="107" t="s">
        <v>8177</v>
      </c>
      <c r="G5531" s="3" t="s">
        <v>11449</v>
      </c>
      <c r="H5531" s="54">
        <v>0</v>
      </c>
      <c r="I5531" s="16">
        <v>470000000</v>
      </c>
      <c r="J5531" s="56" t="s">
        <v>229</v>
      </c>
      <c r="K5531" s="57" t="s">
        <v>9453</v>
      </c>
      <c r="L5531" s="12" t="s">
        <v>404</v>
      </c>
      <c r="M5531" s="3" t="s">
        <v>230</v>
      </c>
      <c r="N5531" s="8" t="s">
        <v>8899</v>
      </c>
      <c r="O5531" s="6" t="s">
        <v>365</v>
      </c>
      <c r="P5531" s="58">
        <v>796</v>
      </c>
      <c r="Q5531" s="31" t="s">
        <v>234</v>
      </c>
      <c r="R5531" s="34">
        <v>0</v>
      </c>
      <c r="S5531" s="59">
        <f>838.174*1.07</f>
        <v>896.84618</v>
      </c>
      <c r="T5531" s="4">
        <f>R5531*S5531</f>
        <v>0</v>
      </c>
      <c r="U5531" s="4">
        <f>T5531*1.12</f>
        <v>0</v>
      </c>
      <c r="V5531" s="3"/>
      <c r="W5531" s="3">
        <v>2014</v>
      </c>
      <c r="X5531" s="3" t="s">
        <v>12076</v>
      </c>
    </row>
    <row r="5532" spans="1:24" ht="114.75">
      <c r="A5532" s="3" t="s">
        <v>2270</v>
      </c>
      <c r="B5532" s="6" t="s">
        <v>361</v>
      </c>
      <c r="C5532" s="6" t="s">
        <v>5578</v>
      </c>
      <c r="D5532" s="6" t="s">
        <v>458</v>
      </c>
      <c r="E5532" s="6" t="s">
        <v>5332</v>
      </c>
      <c r="F5532" s="107" t="s">
        <v>8178</v>
      </c>
      <c r="G5532" s="3" t="s">
        <v>11449</v>
      </c>
      <c r="H5532" s="54">
        <v>0</v>
      </c>
      <c r="I5532" s="16">
        <v>470000000</v>
      </c>
      <c r="J5532" s="56" t="s">
        <v>229</v>
      </c>
      <c r="K5532" s="57" t="s">
        <v>641</v>
      </c>
      <c r="L5532" s="12" t="s">
        <v>404</v>
      </c>
      <c r="M5532" s="3" t="s">
        <v>230</v>
      </c>
      <c r="N5532" s="8" t="s">
        <v>8899</v>
      </c>
      <c r="O5532" s="6" t="s">
        <v>365</v>
      </c>
      <c r="P5532" s="58">
        <v>796</v>
      </c>
      <c r="Q5532" s="31" t="s">
        <v>234</v>
      </c>
      <c r="R5532" s="34">
        <v>20</v>
      </c>
      <c r="S5532" s="59">
        <f>1059.7785*1.07</f>
        <v>1133.9629949999999</v>
      </c>
      <c r="T5532" s="4">
        <v>0</v>
      </c>
      <c r="U5532" s="4">
        <f t="shared" si="238"/>
        <v>0</v>
      </c>
      <c r="V5532" s="3"/>
      <c r="W5532" s="3">
        <v>2014</v>
      </c>
      <c r="X5532" s="3">
        <v>11</v>
      </c>
    </row>
    <row r="5533" spans="1:24" ht="114.75">
      <c r="A5533" s="3" t="s">
        <v>12986</v>
      </c>
      <c r="B5533" s="6" t="s">
        <v>361</v>
      </c>
      <c r="C5533" s="6" t="s">
        <v>5578</v>
      </c>
      <c r="D5533" s="6" t="s">
        <v>458</v>
      </c>
      <c r="E5533" s="6" t="s">
        <v>5332</v>
      </c>
      <c r="F5533" s="107" t="s">
        <v>8178</v>
      </c>
      <c r="G5533" s="3" t="s">
        <v>11449</v>
      </c>
      <c r="H5533" s="54">
        <v>0</v>
      </c>
      <c r="I5533" s="16">
        <v>470000000</v>
      </c>
      <c r="J5533" s="56" t="s">
        <v>229</v>
      </c>
      <c r="K5533" s="57" t="s">
        <v>9453</v>
      </c>
      <c r="L5533" s="12" t="s">
        <v>404</v>
      </c>
      <c r="M5533" s="3" t="s">
        <v>230</v>
      </c>
      <c r="N5533" s="8" t="s">
        <v>8899</v>
      </c>
      <c r="O5533" s="6" t="s">
        <v>365</v>
      </c>
      <c r="P5533" s="58">
        <v>796</v>
      </c>
      <c r="Q5533" s="31" t="s">
        <v>234</v>
      </c>
      <c r="R5533" s="34">
        <v>0</v>
      </c>
      <c r="S5533" s="59">
        <f>1059.7785*1.07</f>
        <v>1133.9629949999999</v>
      </c>
      <c r="T5533" s="4">
        <f>R5533*S5533</f>
        <v>0</v>
      </c>
      <c r="U5533" s="4">
        <f>T5533*1.12</f>
        <v>0</v>
      </c>
      <c r="V5533" s="3"/>
      <c r="W5533" s="3">
        <v>2014</v>
      </c>
      <c r="X5533" s="3" t="s">
        <v>12076</v>
      </c>
    </row>
    <row r="5534" spans="1:24" ht="114.75">
      <c r="A5534" s="3" t="s">
        <v>2271</v>
      </c>
      <c r="B5534" s="6" t="s">
        <v>361</v>
      </c>
      <c r="C5534" s="6" t="s">
        <v>5578</v>
      </c>
      <c r="D5534" s="6" t="s">
        <v>458</v>
      </c>
      <c r="E5534" s="6" t="s">
        <v>5332</v>
      </c>
      <c r="F5534" s="107" t="s">
        <v>8179</v>
      </c>
      <c r="G5534" s="3" t="s">
        <v>11449</v>
      </c>
      <c r="H5534" s="54">
        <v>0</v>
      </c>
      <c r="I5534" s="16">
        <v>470000000</v>
      </c>
      <c r="J5534" s="56" t="s">
        <v>229</v>
      </c>
      <c r="K5534" s="57" t="s">
        <v>641</v>
      </c>
      <c r="L5534" s="12" t="s">
        <v>404</v>
      </c>
      <c r="M5534" s="3" t="s">
        <v>230</v>
      </c>
      <c r="N5534" s="8" t="s">
        <v>8899</v>
      </c>
      <c r="O5534" s="6" t="s">
        <v>365</v>
      </c>
      <c r="P5534" s="58">
        <v>796</v>
      </c>
      <c r="Q5534" s="31" t="s">
        <v>234</v>
      </c>
      <c r="R5534" s="34">
        <v>20</v>
      </c>
      <c r="S5534" s="59">
        <f>1467.3885*1.07</f>
        <v>1570.1056950000002</v>
      </c>
      <c r="T5534" s="4">
        <v>0</v>
      </c>
      <c r="U5534" s="4">
        <f t="shared" si="238"/>
        <v>0</v>
      </c>
      <c r="V5534" s="3"/>
      <c r="W5534" s="3">
        <v>2014</v>
      </c>
      <c r="X5534" s="3">
        <v>11</v>
      </c>
    </row>
    <row r="5535" spans="1:24" ht="114.75">
      <c r="A5535" s="3" t="s">
        <v>12987</v>
      </c>
      <c r="B5535" s="6" t="s">
        <v>361</v>
      </c>
      <c r="C5535" s="6" t="s">
        <v>5578</v>
      </c>
      <c r="D5535" s="6" t="s">
        <v>458</v>
      </c>
      <c r="E5535" s="6" t="s">
        <v>5332</v>
      </c>
      <c r="F5535" s="107" t="s">
        <v>8179</v>
      </c>
      <c r="G5535" s="3" t="s">
        <v>11449</v>
      </c>
      <c r="H5535" s="54">
        <v>0</v>
      </c>
      <c r="I5535" s="16">
        <v>470000000</v>
      </c>
      <c r="J5535" s="56" t="s">
        <v>229</v>
      </c>
      <c r="K5535" s="57" t="s">
        <v>9453</v>
      </c>
      <c r="L5535" s="12" t="s">
        <v>404</v>
      </c>
      <c r="M5535" s="3" t="s">
        <v>230</v>
      </c>
      <c r="N5535" s="8" t="s">
        <v>8899</v>
      </c>
      <c r="O5535" s="6" t="s">
        <v>365</v>
      </c>
      <c r="P5535" s="58">
        <v>796</v>
      </c>
      <c r="Q5535" s="31" t="s">
        <v>234</v>
      </c>
      <c r="R5535" s="34">
        <v>0</v>
      </c>
      <c r="S5535" s="59">
        <f>1467.3885*1.07</f>
        <v>1570.1056950000002</v>
      </c>
      <c r="T5535" s="4">
        <f>R5535*S5535</f>
        <v>0</v>
      </c>
      <c r="U5535" s="4">
        <f>T5535*1.12</f>
        <v>0</v>
      </c>
      <c r="V5535" s="3"/>
      <c r="W5535" s="3">
        <v>2014</v>
      </c>
      <c r="X5535" s="3" t="s">
        <v>12076</v>
      </c>
    </row>
    <row r="5536" spans="1:24" ht="114.75">
      <c r="A5536" s="3" t="s">
        <v>2272</v>
      </c>
      <c r="B5536" s="6" t="s">
        <v>361</v>
      </c>
      <c r="C5536" s="6" t="s">
        <v>5578</v>
      </c>
      <c r="D5536" s="6" t="s">
        <v>458</v>
      </c>
      <c r="E5536" s="6" t="s">
        <v>5332</v>
      </c>
      <c r="F5536" s="28" t="s">
        <v>8180</v>
      </c>
      <c r="G5536" s="3" t="s">
        <v>11449</v>
      </c>
      <c r="H5536" s="54">
        <v>0</v>
      </c>
      <c r="I5536" s="16">
        <v>470000000</v>
      </c>
      <c r="J5536" s="56" t="s">
        <v>229</v>
      </c>
      <c r="K5536" s="57" t="s">
        <v>641</v>
      </c>
      <c r="L5536" s="12" t="s">
        <v>404</v>
      </c>
      <c r="M5536" s="3" t="s">
        <v>230</v>
      </c>
      <c r="N5536" s="8" t="s">
        <v>8899</v>
      </c>
      <c r="O5536" s="6" t="s">
        <v>365</v>
      </c>
      <c r="P5536" s="58">
        <v>796</v>
      </c>
      <c r="Q5536" s="31" t="s">
        <v>234</v>
      </c>
      <c r="R5536" s="34">
        <v>20</v>
      </c>
      <c r="S5536" s="59">
        <f t="shared" ref="S5536:S5541" si="240">1059.7785*1.07</f>
        <v>1133.9629949999999</v>
      </c>
      <c r="T5536" s="4">
        <v>0</v>
      </c>
      <c r="U5536" s="4">
        <f t="shared" si="238"/>
        <v>0</v>
      </c>
      <c r="V5536" s="3"/>
      <c r="W5536" s="3">
        <v>2014</v>
      </c>
      <c r="X5536" s="3">
        <v>11</v>
      </c>
    </row>
    <row r="5537" spans="1:24" ht="114.75">
      <c r="A5537" s="3" t="s">
        <v>12988</v>
      </c>
      <c r="B5537" s="6" t="s">
        <v>361</v>
      </c>
      <c r="C5537" s="6" t="s">
        <v>5578</v>
      </c>
      <c r="D5537" s="6" t="s">
        <v>458</v>
      </c>
      <c r="E5537" s="6" t="s">
        <v>5332</v>
      </c>
      <c r="F5537" s="28" t="s">
        <v>8180</v>
      </c>
      <c r="G5537" s="3" t="s">
        <v>11449</v>
      </c>
      <c r="H5537" s="54">
        <v>0</v>
      </c>
      <c r="I5537" s="16">
        <v>470000000</v>
      </c>
      <c r="J5537" s="56" t="s">
        <v>229</v>
      </c>
      <c r="K5537" s="57" t="s">
        <v>9453</v>
      </c>
      <c r="L5537" s="12" t="s">
        <v>404</v>
      </c>
      <c r="M5537" s="3" t="s">
        <v>230</v>
      </c>
      <c r="N5537" s="8" t="s">
        <v>8899</v>
      </c>
      <c r="O5537" s="6" t="s">
        <v>365</v>
      </c>
      <c r="P5537" s="58">
        <v>796</v>
      </c>
      <c r="Q5537" s="31" t="s">
        <v>234</v>
      </c>
      <c r="R5537" s="34">
        <v>0</v>
      </c>
      <c r="S5537" s="59">
        <f t="shared" si="240"/>
        <v>1133.9629949999999</v>
      </c>
      <c r="T5537" s="4">
        <f>R5537*S5537</f>
        <v>0</v>
      </c>
      <c r="U5537" s="4">
        <f>T5537*1.12</f>
        <v>0</v>
      </c>
      <c r="V5537" s="3"/>
      <c r="W5537" s="3">
        <v>2014</v>
      </c>
      <c r="X5537" s="3" t="s">
        <v>12076</v>
      </c>
    </row>
    <row r="5538" spans="1:24" ht="114.75">
      <c r="A5538" s="3" t="s">
        <v>2273</v>
      </c>
      <c r="B5538" s="6" t="s">
        <v>361</v>
      </c>
      <c r="C5538" s="6" t="s">
        <v>5578</v>
      </c>
      <c r="D5538" s="6" t="s">
        <v>458</v>
      </c>
      <c r="E5538" s="6" t="s">
        <v>5332</v>
      </c>
      <c r="F5538" s="28" t="s">
        <v>8181</v>
      </c>
      <c r="G5538" s="3" t="s">
        <v>11449</v>
      </c>
      <c r="H5538" s="54">
        <v>0</v>
      </c>
      <c r="I5538" s="16">
        <v>470000000</v>
      </c>
      <c r="J5538" s="56" t="s">
        <v>229</v>
      </c>
      <c r="K5538" s="57" t="s">
        <v>641</v>
      </c>
      <c r="L5538" s="12" t="s">
        <v>404</v>
      </c>
      <c r="M5538" s="3" t="s">
        <v>230</v>
      </c>
      <c r="N5538" s="8" t="s">
        <v>8899</v>
      </c>
      <c r="O5538" s="6" t="s">
        <v>365</v>
      </c>
      <c r="P5538" s="58">
        <v>796</v>
      </c>
      <c r="Q5538" s="31" t="s">
        <v>234</v>
      </c>
      <c r="R5538" s="34">
        <v>20</v>
      </c>
      <c r="S5538" s="59">
        <f t="shared" si="240"/>
        <v>1133.9629949999999</v>
      </c>
      <c r="T5538" s="4">
        <v>0</v>
      </c>
      <c r="U5538" s="4">
        <f t="shared" si="238"/>
        <v>0</v>
      </c>
      <c r="V5538" s="3"/>
      <c r="W5538" s="3">
        <v>2014</v>
      </c>
      <c r="X5538" s="3">
        <v>11</v>
      </c>
    </row>
    <row r="5539" spans="1:24" ht="114.75">
      <c r="A5539" s="3" t="s">
        <v>12989</v>
      </c>
      <c r="B5539" s="6" t="s">
        <v>361</v>
      </c>
      <c r="C5539" s="6" t="s">
        <v>5578</v>
      </c>
      <c r="D5539" s="6" t="s">
        <v>458</v>
      </c>
      <c r="E5539" s="6" t="s">
        <v>5332</v>
      </c>
      <c r="F5539" s="28" t="s">
        <v>8181</v>
      </c>
      <c r="G5539" s="3" t="s">
        <v>11449</v>
      </c>
      <c r="H5539" s="54">
        <v>0</v>
      </c>
      <c r="I5539" s="16">
        <v>470000000</v>
      </c>
      <c r="J5539" s="56" t="s">
        <v>229</v>
      </c>
      <c r="K5539" s="57" t="s">
        <v>9453</v>
      </c>
      <c r="L5539" s="12" t="s">
        <v>404</v>
      </c>
      <c r="M5539" s="3" t="s">
        <v>230</v>
      </c>
      <c r="N5539" s="8" t="s">
        <v>8899</v>
      </c>
      <c r="O5539" s="6" t="s">
        <v>365</v>
      </c>
      <c r="P5539" s="58">
        <v>796</v>
      </c>
      <c r="Q5539" s="31" t="s">
        <v>234</v>
      </c>
      <c r="R5539" s="34">
        <v>0</v>
      </c>
      <c r="S5539" s="59">
        <f t="shared" si="240"/>
        <v>1133.9629949999999</v>
      </c>
      <c r="T5539" s="4">
        <f>R5539*S5539</f>
        <v>0</v>
      </c>
      <c r="U5539" s="4">
        <f>T5539*1.12</f>
        <v>0</v>
      </c>
      <c r="V5539" s="3"/>
      <c r="W5539" s="3">
        <v>2014</v>
      </c>
      <c r="X5539" s="3" t="s">
        <v>12076</v>
      </c>
    </row>
    <row r="5540" spans="1:24" ht="114.75">
      <c r="A5540" s="3" t="s">
        <v>2274</v>
      </c>
      <c r="B5540" s="6" t="s">
        <v>361</v>
      </c>
      <c r="C5540" s="6" t="s">
        <v>5578</v>
      </c>
      <c r="D5540" s="6" t="s">
        <v>458</v>
      </c>
      <c r="E5540" s="6" t="s">
        <v>5332</v>
      </c>
      <c r="F5540" s="28" t="s">
        <v>8182</v>
      </c>
      <c r="G5540" s="3" t="s">
        <v>11449</v>
      </c>
      <c r="H5540" s="54">
        <v>0</v>
      </c>
      <c r="I5540" s="16">
        <v>470000000</v>
      </c>
      <c r="J5540" s="56" t="s">
        <v>229</v>
      </c>
      <c r="K5540" s="57" t="s">
        <v>641</v>
      </c>
      <c r="L5540" s="12" t="s">
        <v>404</v>
      </c>
      <c r="M5540" s="3" t="s">
        <v>230</v>
      </c>
      <c r="N5540" s="8" t="s">
        <v>8899</v>
      </c>
      <c r="O5540" s="6" t="s">
        <v>365</v>
      </c>
      <c r="P5540" s="58">
        <v>796</v>
      </c>
      <c r="Q5540" s="31" t="s">
        <v>234</v>
      </c>
      <c r="R5540" s="34">
        <v>20</v>
      </c>
      <c r="S5540" s="59">
        <f t="shared" si="240"/>
        <v>1133.9629949999999</v>
      </c>
      <c r="T5540" s="4">
        <v>0</v>
      </c>
      <c r="U5540" s="4">
        <f t="shared" si="238"/>
        <v>0</v>
      </c>
      <c r="V5540" s="3"/>
      <c r="W5540" s="3">
        <v>2014</v>
      </c>
      <c r="X5540" s="3">
        <v>11</v>
      </c>
    </row>
    <row r="5541" spans="1:24" ht="114.75">
      <c r="A5541" s="3" t="s">
        <v>12990</v>
      </c>
      <c r="B5541" s="6" t="s">
        <v>361</v>
      </c>
      <c r="C5541" s="6" t="s">
        <v>5578</v>
      </c>
      <c r="D5541" s="6" t="s">
        <v>458</v>
      </c>
      <c r="E5541" s="6" t="s">
        <v>5332</v>
      </c>
      <c r="F5541" s="28" t="s">
        <v>8182</v>
      </c>
      <c r="G5541" s="3" t="s">
        <v>11449</v>
      </c>
      <c r="H5541" s="54">
        <v>0</v>
      </c>
      <c r="I5541" s="16">
        <v>470000000</v>
      </c>
      <c r="J5541" s="56" t="s">
        <v>229</v>
      </c>
      <c r="K5541" s="57" t="s">
        <v>9453</v>
      </c>
      <c r="L5541" s="12" t="s">
        <v>404</v>
      </c>
      <c r="M5541" s="3" t="s">
        <v>230</v>
      </c>
      <c r="N5541" s="8" t="s">
        <v>8899</v>
      </c>
      <c r="O5541" s="6" t="s">
        <v>365</v>
      </c>
      <c r="P5541" s="58">
        <v>796</v>
      </c>
      <c r="Q5541" s="31" t="s">
        <v>234</v>
      </c>
      <c r="R5541" s="34">
        <v>0</v>
      </c>
      <c r="S5541" s="59">
        <f t="shared" si="240"/>
        <v>1133.9629949999999</v>
      </c>
      <c r="T5541" s="4">
        <f>R5541*S5541</f>
        <v>0</v>
      </c>
      <c r="U5541" s="4">
        <f>T5541*1.12</f>
        <v>0</v>
      </c>
      <c r="V5541" s="3"/>
      <c r="W5541" s="3">
        <v>2014</v>
      </c>
      <c r="X5541" s="3" t="s">
        <v>12076</v>
      </c>
    </row>
    <row r="5542" spans="1:24" ht="114.75">
      <c r="A5542" s="3" t="s">
        <v>2275</v>
      </c>
      <c r="B5542" s="6" t="s">
        <v>361</v>
      </c>
      <c r="C5542" s="6" t="s">
        <v>6336</v>
      </c>
      <c r="D5542" s="6" t="s">
        <v>6337</v>
      </c>
      <c r="E5542" s="6" t="s">
        <v>5332</v>
      </c>
      <c r="F5542" s="28" t="s">
        <v>8183</v>
      </c>
      <c r="G5542" s="3" t="s">
        <v>11449</v>
      </c>
      <c r="H5542" s="54">
        <v>0</v>
      </c>
      <c r="I5542" s="16">
        <v>470000000</v>
      </c>
      <c r="J5542" s="56" t="s">
        <v>229</v>
      </c>
      <c r="K5542" s="57" t="s">
        <v>641</v>
      </c>
      <c r="L5542" s="12" t="s">
        <v>404</v>
      </c>
      <c r="M5542" s="3" t="s">
        <v>230</v>
      </c>
      <c r="N5542" s="8" t="s">
        <v>8899</v>
      </c>
      <c r="O5542" s="6" t="s">
        <v>365</v>
      </c>
      <c r="P5542" s="58">
        <v>796</v>
      </c>
      <c r="Q5542" s="31" t="s">
        <v>234</v>
      </c>
      <c r="R5542" s="34">
        <v>20</v>
      </c>
      <c r="S5542" s="59">
        <f>1643.47*1.07</f>
        <v>1758.5129000000002</v>
      </c>
      <c r="T5542" s="4">
        <v>0</v>
      </c>
      <c r="U5542" s="4">
        <f t="shared" si="238"/>
        <v>0</v>
      </c>
      <c r="V5542" s="3"/>
      <c r="W5542" s="3">
        <v>2014</v>
      </c>
      <c r="X5542" s="3">
        <v>11</v>
      </c>
    </row>
    <row r="5543" spans="1:24" ht="114.75">
      <c r="A5543" s="3" t="s">
        <v>12991</v>
      </c>
      <c r="B5543" s="6" t="s">
        <v>361</v>
      </c>
      <c r="C5543" s="6" t="s">
        <v>6336</v>
      </c>
      <c r="D5543" s="6" t="s">
        <v>6337</v>
      </c>
      <c r="E5543" s="6" t="s">
        <v>5332</v>
      </c>
      <c r="F5543" s="28" t="s">
        <v>8183</v>
      </c>
      <c r="G5543" s="3" t="s">
        <v>11449</v>
      </c>
      <c r="H5543" s="54">
        <v>0</v>
      </c>
      <c r="I5543" s="16">
        <v>470000000</v>
      </c>
      <c r="J5543" s="56" t="s">
        <v>229</v>
      </c>
      <c r="K5543" s="57" t="s">
        <v>9453</v>
      </c>
      <c r="L5543" s="12" t="s">
        <v>404</v>
      </c>
      <c r="M5543" s="3" t="s">
        <v>230</v>
      </c>
      <c r="N5543" s="8" t="s">
        <v>8899</v>
      </c>
      <c r="O5543" s="6" t="s">
        <v>365</v>
      </c>
      <c r="P5543" s="58">
        <v>796</v>
      </c>
      <c r="Q5543" s="31" t="s">
        <v>234</v>
      </c>
      <c r="R5543" s="34">
        <v>0</v>
      </c>
      <c r="S5543" s="59">
        <f>1643.47*1.07</f>
        <v>1758.5129000000002</v>
      </c>
      <c r="T5543" s="4">
        <f>R5543*S5543</f>
        <v>0</v>
      </c>
      <c r="U5543" s="4">
        <f>T5543*1.12</f>
        <v>0</v>
      </c>
      <c r="V5543" s="3"/>
      <c r="W5543" s="3">
        <v>2014</v>
      </c>
      <c r="X5543" s="3" t="s">
        <v>12076</v>
      </c>
    </row>
    <row r="5544" spans="1:24" ht="114.75">
      <c r="A5544" s="3" t="s">
        <v>2276</v>
      </c>
      <c r="B5544" s="6" t="s">
        <v>361</v>
      </c>
      <c r="C5544" s="6" t="s">
        <v>5578</v>
      </c>
      <c r="D5544" s="6" t="s">
        <v>458</v>
      </c>
      <c r="E5544" s="6" t="s">
        <v>5332</v>
      </c>
      <c r="F5544" s="28" t="s">
        <v>8184</v>
      </c>
      <c r="G5544" s="3" t="s">
        <v>11449</v>
      </c>
      <c r="H5544" s="54">
        <v>0</v>
      </c>
      <c r="I5544" s="16">
        <v>470000000</v>
      </c>
      <c r="J5544" s="56" t="s">
        <v>229</v>
      </c>
      <c r="K5544" s="57" t="s">
        <v>641</v>
      </c>
      <c r="L5544" s="12" t="s">
        <v>404</v>
      </c>
      <c r="M5544" s="3" t="s">
        <v>230</v>
      </c>
      <c r="N5544" s="8" t="s">
        <v>8899</v>
      </c>
      <c r="O5544" s="6" t="s">
        <v>365</v>
      </c>
      <c r="P5544" s="58">
        <v>796</v>
      </c>
      <c r="Q5544" s="31" t="s">
        <v>234</v>
      </c>
      <c r="R5544" s="34">
        <v>20</v>
      </c>
      <c r="S5544" s="59">
        <f>1369.565*1.07</f>
        <v>1465.4345500000002</v>
      </c>
      <c r="T5544" s="4">
        <v>0</v>
      </c>
      <c r="U5544" s="4">
        <f t="shared" si="238"/>
        <v>0</v>
      </c>
      <c r="V5544" s="3"/>
      <c r="W5544" s="3">
        <v>2014</v>
      </c>
      <c r="X5544" s="3">
        <v>11</v>
      </c>
    </row>
    <row r="5545" spans="1:24" ht="114.75">
      <c r="A5545" s="3" t="s">
        <v>12992</v>
      </c>
      <c r="B5545" s="6" t="s">
        <v>361</v>
      </c>
      <c r="C5545" s="6" t="s">
        <v>5578</v>
      </c>
      <c r="D5545" s="6" t="s">
        <v>458</v>
      </c>
      <c r="E5545" s="6" t="s">
        <v>5332</v>
      </c>
      <c r="F5545" s="28" t="s">
        <v>8184</v>
      </c>
      <c r="G5545" s="3" t="s">
        <v>11449</v>
      </c>
      <c r="H5545" s="54">
        <v>0</v>
      </c>
      <c r="I5545" s="16">
        <v>470000000</v>
      </c>
      <c r="J5545" s="56" t="s">
        <v>229</v>
      </c>
      <c r="K5545" s="57" t="s">
        <v>9453</v>
      </c>
      <c r="L5545" s="12" t="s">
        <v>404</v>
      </c>
      <c r="M5545" s="3" t="s">
        <v>230</v>
      </c>
      <c r="N5545" s="8" t="s">
        <v>8899</v>
      </c>
      <c r="O5545" s="6" t="s">
        <v>365</v>
      </c>
      <c r="P5545" s="58">
        <v>796</v>
      </c>
      <c r="Q5545" s="31" t="s">
        <v>234</v>
      </c>
      <c r="R5545" s="34">
        <v>0</v>
      </c>
      <c r="S5545" s="59">
        <f>1369.565*1.07</f>
        <v>1465.4345500000002</v>
      </c>
      <c r="T5545" s="4">
        <f>R5545*S5545</f>
        <v>0</v>
      </c>
      <c r="U5545" s="4">
        <f>T5545*1.12</f>
        <v>0</v>
      </c>
      <c r="V5545" s="3"/>
      <c r="W5545" s="3">
        <v>2014</v>
      </c>
      <c r="X5545" s="3" t="s">
        <v>12076</v>
      </c>
    </row>
    <row r="5546" spans="1:24" ht="114.75">
      <c r="A5546" s="3" t="s">
        <v>2277</v>
      </c>
      <c r="B5546" s="6" t="s">
        <v>361</v>
      </c>
      <c r="C5546" s="6" t="s">
        <v>5578</v>
      </c>
      <c r="D5546" s="6" t="s">
        <v>458</v>
      </c>
      <c r="E5546" s="6" t="s">
        <v>5332</v>
      </c>
      <c r="F5546" s="107" t="s">
        <v>8185</v>
      </c>
      <c r="G5546" s="3" t="s">
        <v>11449</v>
      </c>
      <c r="H5546" s="54">
        <v>0</v>
      </c>
      <c r="I5546" s="16">
        <v>470000000</v>
      </c>
      <c r="J5546" s="56" t="s">
        <v>229</v>
      </c>
      <c r="K5546" s="57" t="s">
        <v>641</v>
      </c>
      <c r="L5546" s="12" t="s">
        <v>404</v>
      </c>
      <c r="M5546" s="3" t="s">
        <v>230</v>
      </c>
      <c r="N5546" s="8" t="s">
        <v>8899</v>
      </c>
      <c r="O5546" s="6" t="s">
        <v>365</v>
      </c>
      <c r="P5546" s="58">
        <v>796</v>
      </c>
      <c r="Q5546" s="31" t="s">
        <v>234</v>
      </c>
      <c r="R5546" s="34">
        <v>20</v>
      </c>
      <c r="S5546" s="59">
        <f>1467.3885*1.07</f>
        <v>1570.1056950000002</v>
      </c>
      <c r="T5546" s="4">
        <v>0</v>
      </c>
      <c r="U5546" s="4">
        <f t="shared" si="238"/>
        <v>0</v>
      </c>
      <c r="V5546" s="3"/>
      <c r="W5546" s="3">
        <v>2014</v>
      </c>
      <c r="X5546" s="3">
        <v>11</v>
      </c>
    </row>
    <row r="5547" spans="1:24" ht="114.75">
      <c r="A5547" s="3" t="s">
        <v>12993</v>
      </c>
      <c r="B5547" s="6" t="s">
        <v>361</v>
      </c>
      <c r="C5547" s="6" t="s">
        <v>5578</v>
      </c>
      <c r="D5547" s="6" t="s">
        <v>458</v>
      </c>
      <c r="E5547" s="6" t="s">
        <v>5332</v>
      </c>
      <c r="F5547" s="107" t="s">
        <v>8185</v>
      </c>
      <c r="G5547" s="3" t="s">
        <v>11449</v>
      </c>
      <c r="H5547" s="54">
        <v>0</v>
      </c>
      <c r="I5547" s="16">
        <v>470000000</v>
      </c>
      <c r="J5547" s="56" t="s">
        <v>229</v>
      </c>
      <c r="K5547" s="57" t="s">
        <v>9453</v>
      </c>
      <c r="L5547" s="12" t="s">
        <v>404</v>
      </c>
      <c r="M5547" s="3" t="s">
        <v>230</v>
      </c>
      <c r="N5547" s="8" t="s">
        <v>8899</v>
      </c>
      <c r="O5547" s="6" t="s">
        <v>365</v>
      </c>
      <c r="P5547" s="58">
        <v>796</v>
      </c>
      <c r="Q5547" s="31" t="s">
        <v>234</v>
      </c>
      <c r="R5547" s="34">
        <v>0</v>
      </c>
      <c r="S5547" s="59">
        <f>1467.3885*1.07</f>
        <v>1570.1056950000002</v>
      </c>
      <c r="T5547" s="4">
        <f>R5547*S5547</f>
        <v>0</v>
      </c>
      <c r="U5547" s="4">
        <f>T5547*1.12</f>
        <v>0</v>
      </c>
      <c r="V5547" s="3"/>
      <c r="W5547" s="3">
        <v>2014</v>
      </c>
      <c r="X5547" s="3" t="s">
        <v>12076</v>
      </c>
    </row>
    <row r="5548" spans="1:24" ht="114.75">
      <c r="A5548" s="3" t="s">
        <v>2278</v>
      </c>
      <c r="B5548" s="6" t="s">
        <v>361</v>
      </c>
      <c r="C5548" s="6" t="s">
        <v>5578</v>
      </c>
      <c r="D5548" s="6" t="s">
        <v>458</v>
      </c>
      <c r="E5548" s="6" t="s">
        <v>5332</v>
      </c>
      <c r="F5548" s="107" t="s">
        <v>8186</v>
      </c>
      <c r="G5548" s="3" t="s">
        <v>11449</v>
      </c>
      <c r="H5548" s="54">
        <v>0</v>
      </c>
      <c r="I5548" s="16">
        <v>470000000</v>
      </c>
      <c r="J5548" s="56" t="s">
        <v>229</v>
      </c>
      <c r="K5548" s="57" t="s">
        <v>641</v>
      </c>
      <c r="L5548" s="12" t="s">
        <v>404</v>
      </c>
      <c r="M5548" s="3" t="s">
        <v>230</v>
      </c>
      <c r="N5548" s="8" t="s">
        <v>8899</v>
      </c>
      <c r="O5548" s="6" t="s">
        <v>365</v>
      </c>
      <c r="P5548" s="58">
        <v>796</v>
      </c>
      <c r="Q5548" s="31" t="s">
        <v>234</v>
      </c>
      <c r="R5548" s="34">
        <v>20</v>
      </c>
      <c r="S5548" s="59">
        <f>1467.3885*1.07</f>
        <v>1570.1056950000002</v>
      </c>
      <c r="T5548" s="4">
        <v>0</v>
      </c>
      <c r="U5548" s="4">
        <f t="shared" si="238"/>
        <v>0</v>
      </c>
      <c r="V5548" s="3"/>
      <c r="W5548" s="3">
        <v>2014</v>
      </c>
      <c r="X5548" s="3">
        <v>11</v>
      </c>
    </row>
    <row r="5549" spans="1:24" ht="114.75">
      <c r="A5549" s="3" t="s">
        <v>12994</v>
      </c>
      <c r="B5549" s="6" t="s">
        <v>361</v>
      </c>
      <c r="C5549" s="6" t="s">
        <v>5578</v>
      </c>
      <c r="D5549" s="6" t="s">
        <v>458</v>
      </c>
      <c r="E5549" s="6" t="s">
        <v>5332</v>
      </c>
      <c r="F5549" s="107" t="s">
        <v>8186</v>
      </c>
      <c r="G5549" s="3" t="s">
        <v>11449</v>
      </c>
      <c r="H5549" s="54">
        <v>0</v>
      </c>
      <c r="I5549" s="16">
        <v>470000000</v>
      </c>
      <c r="J5549" s="56" t="s">
        <v>229</v>
      </c>
      <c r="K5549" s="57" t="s">
        <v>9453</v>
      </c>
      <c r="L5549" s="12" t="s">
        <v>404</v>
      </c>
      <c r="M5549" s="3" t="s">
        <v>230</v>
      </c>
      <c r="N5549" s="8" t="s">
        <v>8899</v>
      </c>
      <c r="O5549" s="6" t="s">
        <v>365</v>
      </c>
      <c r="P5549" s="58">
        <v>796</v>
      </c>
      <c r="Q5549" s="31" t="s">
        <v>234</v>
      </c>
      <c r="R5549" s="34">
        <v>0</v>
      </c>
      <c r="S5549" s="59">
        <f>1467.3885*1.07</f>
        <v>1570.1056950000002</v>
      </c>
      <c r="T5549" s="4">
        <f>R5549*S5549</f>
        <v>0</v>
      </c>
      <c r="U5549" s="4">
        <f>T5549*1.12</f>
        <v>0</v>
      </c>
      <c r="V5549" s="3"/>
      <c r="W5549" s="3">
        <v>2014</v>
      </c>
      <c r="X5549" s="3" t="s">
        <v>12076</v>
      </c>
    </row>
    <row r="5550" spans="1:24" ht="114.75">
      <c r="A5550" s="3" t="s">
        <v>2279</v>
      </c>
      <c r="B5550" s="6" t="s">
        <v>361</v>
      </c>
      <c r="C5550" s="6" t="s">
        <v>5578</v>
      </c>
      <c r="D5550" s="6" t="s">
        <v>458</v>
      </c>
      <c r="E5550" s="6" t="s">
        <v>5332</v>
      </c>
      <c r="F5550" s="28" t="s">
        <v>8187</v>
      </c>
      <c r="G5550" s="3" t="s">
        <v>11449</v>
      </c>
      <c r="H5550" s="54">
        <v>0</v>
      </c>
      <c r="I5550" s="16">
        <v>470000000</v>
      </c>
      <c r="J5550" s="56" t="s">
        <v>229</v>
      </c>
      <c r="K5550" s="57" t="s">
        <v>641</v>
      </c>
      <c r="L5550" s="12" t="s">
        <v>404</v>
      </c>
      <c r="M5550" s="3" t="s">
        <v>230</v>
      </c>
      <c r="N5550" s="8" t="s">
        <v>8899</v>
      </c>
      <c r="O5550" s="6" t="s">
        <v>365</v>
      </c>
      <c r="P5550" s="58">
        <v>796</v>
      </c>
      <c r="Q5550" s="31" t="s">
        <v>234</v>
      </c>
      <c r="R5550" s="34">
        <v>20</v>
      </c>
      <c r="S5550" s="59">
        <f>1369.565*1.07</f>
        <v>1465.4345500000002</v>
      </c>
      <c r="T5550" s="4">
        <v>0</v>
      </c>
      <c r="U5550" s="4">
        <f t="shared" si="238"/>
        <v>0</v>
      </c>
      <c r="V5550" s="3"/>
      <c r="W5550" s="3">
        <v>2014</v>
      </c>
      <c r="X5550" s="3">
        <v>11</v>
      </c>
    </row>
    <row r="5551" spans="1:24" ht="114.75">
      <c r="A5551" s="3" t="s">
        <v>12995</v>
      </c>
      <c r="B5551" s="6" t="s">
        <v>361</v>
      </c>
      <c r="C5551" s="6" t="s">
        <v>5578</v>
      </c>
      <c r="D5551" s="6" t="s">
        <v>458</v>
      </c>
      <c r="E5551" s="6" t="s">
        <v>5332</v>
      </c>
      <c r="F5551" s="28" t="s">
        <v>8187</v>
      </c>
      <c r="G5551" s="3" t="s">
        <v>11449</v>
      </c>
      <c r="H5551" s="54">
        <v>0</v>
      </c>
      <c r="I5551" s="16">
        <v>470000000</v>
      </c>
      <c r="J5551" s="56" t="s">
        <v>229</v>
      </c>
      <c r="K5551" s="57" t="s">
        <v>9453</v>
      </c>
      <c r="L5551" s="12" t="s">
        <v>404</v>
      </c>
      <c r="M5551" s="3" t="s">
        <v>230</v>
      </c>
      <c r="N5551" s="8" t="s">
        <v>8899</v>
      </c>
      <c r="O5551" s="6" t="s">
        <v>365</v>
      </c>
      <c r="P5551" s="58">
        <v>796</v>
      </c>
      <c r="Q5551" s="31" t="s">
        <v>234</v>
      </c>
      <c r="R5551" s="34">
        <v>0</v>
      </c>
      <c r="S5551" s="59">
        <f>1369.565*1.07</f>
        <v>1465.4345500000002</v>
      </c>
      <c r="T5551" s="4">
        <f>R5551*S5551</f>
        <v>0</v>
      </c>
      <c r="U5551" s="4">
        <f>T5551*1.12</f>
        <v>0</v>
      </c>
      <c r="V5551" s="3"/>
      <c r="W5551" s="3">
        <v>2014</v>
      </c>
      <c r="X5551" s="3" t="s">
        <v>12076</v>
      </c>
    </row>
    <row r="5552" spans="1:24" ht="114.75">
      <c r="A5552" s="3" t="s">
        <v>2280</v>
      </c>
      <c r="B5552" s="6" t="s">
        <v>361</v>
      </c>
      <c r="C5552" s="6" t="s">
        <v>5578</v>
      </c>
      <c r="D5552" s="6" t="s">
        <v>458</v>
      </c>
      <c r="E5552" s="6" t="s">
        <v>5332</v>
      </c>
      <c r="F5552" s="28" t="s">
        <v>8188</v>
      </c>
      <c r="G5552" s="3" t="s">
        <v>11449</v>
      </c>
      <c r="H5552" s="54">
        <v>0</v>
      </c>
      <c r="I5552" s="16">
        <v>470000000</v>
      </c>
      <c r="J5552" s="56" t="s">
        <v>229</v>
      </c>
      <c r="K5552" s="57" t="s">
        <v>641</v>
      </c>
      <c r="L5552" s="12" t="s">
        <v>404</v>
      </c>
      <c r="M5552" s="3" t="s">
        <v>230</v>
      </c>
      <c r="N5552" s="8" t="s">
        <v>8899</v>
      </c>
      <c r="O5552" s="6" t="s">
        <v>365</v>
      </c>
      <c r="P5552" s="58">
        <v>796</v>
      </c>
      <c r="Q5552" s="31" t="s">
        <v>234</v>
      </c>
      <c r="R5552" s="34">
        <v>20</v>
      </c>
      <c r="S5552" s="59">
        <f>1369.565*1.07</f>
        <v>1465.4345500000002</v>
      </c>
      <c r="T5552" s="4">
        <v>0</v>
      </c>
      <c r="U5552" s="4">
        <f t="shared" si="238"/>
        <v>0</v>
      </c>
      <c r="V5552" s="3"/>
      <c r="W5552" s="3">
        <v>2014</v>
      </c>
      <c r="X5552" s="3">
        <v>11</v>
      </c>
    </row>
    <row r="5553" spans="1:24" ht="114.75">
      <c r="A5553" s="3" t="s">
        <v>12996</v>
      </c>
      <c r="B5553" s="6" t="s">
        <v>361</v>
      </c>
      <c r="C5553" s="6" t="s">
        <v>5578</v>
      </c>
      <c r="D5553" s="6" t="s">
        <v>458</v>
      </c>
      <c r="E5553" s="6" t="s">
        <v>5332</v>
      </c>
      <c r="F5553" s="28" t="s">
        <v>8188</v>
      </c>
      <c r="G5553" s="3" t="s">
        <v>11449</v>
      </c>
      <c r="H5553" s="54">
        <v>0</v>
      </c>
      <c r="I5553" s="16">
        <v>470000000</v>
      </c>
      <c r="J5553" s="56" t="s">
        <v>229</v>
      </c>
      <c r="K5553" s="57" t="s">
        <v>9453</v>
      </c>
      <c r="L5553" s="12" t="s">
        <v>404</v>
      </c>
      <c r="M5553" s="3" t="s">
        <v>230</v>
      </c>
      <c r="N5553" s="8" t="s">
        <v>8899</v>
      </c>
      <c r="O5553" s="6" t="s">
        <v>365</v>
      </c>
      <c r="P5553" s="58">
        <v>796</v>
      </c>
      <c r="Q5553" s="31" t="s">
        <v>234</v>
      </c>
      <c r="R5553" s="34">
        <v>0</v>
      </c>
      <c r="S5553" s="59">
        <f>1369.565*1.07</f>
        <v>1465.4345500000002</v>
      </c>
      <c r="T5553" s="4">
        <f>R5553*S5553</f>
        <v>0</v>
      </c>
      <c r="U5553" s="4">
        <f>T5553*1.12</f>
        <v>0</v>
      </c>
      <c r="V5553" s="3"/>
      <c r="W5553" s="3">
        <v>2014</v>
      </c>
      <c r="X5553" s="3" t="s">
        <v>12076</v>
      </c>
    </row>
    <row r="5554" spans="1:24" ht="114.75">
      <c r="A5554" s="3" t="s">
        <v>2281</v>
      </c>
      <c r="B5554" s="6" t="s">
        <v>361</v>
      </c>
      <c r="C5554" s="6" t="s">
        <v>6336</v>
      </c>
      <c r="D5554" s="6" t="s">
        <v>6337</v>
      </c>
      <c r="E5554" s="6" t="s">
        <v>5332</v>
      </c>
      <c r="F5554" s="30" t="s">
        <v>8189</v>
      </c>
      <c r="G5554" s="3" t="s">
        <v>11449</v>
      </c>
      <c r="H5554" s="54">
        <v>0</v>
      </c>
      <c r="I5554" s="16">
        <v>470000000</v>
      </c>
      <c r="J5554" s="56" t="s">
        <v>229</v>
      </c>
      <c r="K5554" s="57" t="s">
        <v>641</v>
      </c>
      <c r="L5554" s="12" t="s">
        <v>404</v>
      </c>
      <c r="M5554" s="3" t="s">
        <v>230</v>
      </c>
      <c r="N5554" s="8" t="s">
        <v>8899</v>
      </c>
      <c r="O5554" s="6" t="s">
        <v>365</v>
      </c>
      <c r="P5554" s="58">
        <v>796</v>
      </c>
      <c r="Q5554" s="31" t="s">
        <v>234</v>
      </c>
      <c r="R5554" s="34">
        <v>20</v>
      </c>
      <c r="S5554" s="59">
        <f>1643.4785*1.07</f>
        <v>1758.5219950000001</v>
      </c>
      <c r="T5554" s="4">
        <v>0</v>
      </c>
      <c r="U5554" s="4">
        <f t="shared" si="238"/>
        <v>0</v>
      </c>
      <c r="V5554" s="3"/>
      <c r="W5554" s="3">
        <v>2014</v>
      </c>
      <c r="X5554" s="3">
        <v>11</v>
      </c>
    </row>
    <row r="5555" spans="1:24" ht="114.75">
      <c r="A5555" s="3" t="s">
        <v>12997</v>
      </c>
      <c r="B5555" s="6" t="s">
        <v>361</v>
      </c>
      <c r="C5555" s="6" t="s">
        <v>6336</v>
      </c>
      <c r="D5555" s="6" t="s">
        <v>6337</v>
      </c>
      <c r="E5555" s="6" t="s">
        <v>5332</v>
      </c>
      <c r="F5555" s="30" t="s">
        <v>8189</v>
      </c>
      <c r="G5555" s="3" t="s">
        <v>11449</v>
      </c>
      <c r="H5555" s="54">
        <v>0</v>
      </c>
      <c r="I5555" s="16">
        <v>470000000</v>
      </c>
      <c r="J5555" s="56" t="s">
        <v>229</v>
      </c>
      <c r="K5555" s="57" t="s">
        <v>9453</v>
      </c>
      <c r="L5555" s="12" t="s">
        <v>404</v>
      </c>
      <c r="M5555" s="3" t="s">
        <v>230</v>
      </c>
      <c r="N5555" s="8" t="s">
        <v>8899</v>
      </c>
      <c r="O5555" s="6" t="s">
        <v>365</v>
      </c>
      <c r="P5555" s="58">
        <v>796</v>
      </c>
      <c r="Q5555" s="31" t="s">
        <v>234</v>
      </c>
      <c r="R5555" s="34">
        <v>0</v>
      </c>
      <c r="S5555" s="59">
        <f>1643.4785*1.07</f>
        <v>1758.5219950000001</v>
      </c>
      <c r="T5555" s="4">
        <f>R5555*S5555</f>
        <v>0</v>
      </c>
      <c r="U5555" s="4">
        <f>T5555*1.12</f>
        <v>0</v>
      </c>
      <c r="V5555" s="3"/>
      <c r="W5555" s="3">
        <v>2014</v>
      </c>
      <c r="X5555" s="3" t="s">
        <v>12076</v>
      </c>
    </row>
    <row r="5556" spans="1:24" ht="114.75">
      <c r="A5556" s="3" t="s">
        <v>2282</v>
      </c>
      <c r="B5556" s="6" t="s">
        <v>361</v>
      </c>
      <c r="C5556" s="6" t="s">
        <v>6336</v>
      </c>
      <c r="D5556" s="6" t="s">
        <v>6337</v>
      </c>
      <c r="E5556" s="6" t="s">
        <v>5332</v>
      </c>
      <c r="F5556" s="30" t="s">
        <v>8190</v>
      </c>
      <c r="G5556" s="3" t="s">
        <v>11449</v>
      </c>
      <c r="H5556" s="54">
        <v>0</v>
      </c>
      <c r="I5556" s="16">
        <v>470000000</v>
      </c>
      <c r="J5556" s="56" t="s">
        <v>229</v>
      </c>
      <c r="K5556" s="57" t="s">
        <v>641</v>
      </c>
      <c r="L5556" s="12" t="s">
        <v>404</v>
      </c>
      <c r="M5556" s="3" t="s">
        <v>230</v>
      </c>
      <c r="N5556" s="8" t="s">
        <v>8899</v>
      </c>
      <c r="O5556" s="6" t="s">
        <v>365</v>
      </c>
      <c r="P5556" s="58">
        <v>796</v>
      </c>
      <c r="Q5556" s="31" t="s">
        <v>234</v>
      </c>
      <c r="R5556" s="34">
        <v>20</v>
      </c>
      <c r="S5556" s="59">
        <f>1369.565*1.07</f>
        <v>1465.4345500000002</v>
      </c>
      <c r="T5556" s="4">
        <v>0</v>
      </c>
      <c r="U5556" s="4">
        <f t="shared" si="238"/>
        <v>0</v>
      </c>
      <c r="V5556" s="3"/>
      <c r="W5556" s="3">
        <v>2014</v>
      </c>
      <c r="X5556" s="3">
        <v>11</v>
      </c>
    </row>
    <row r="5557" spans="1:24" ht="114.75">
      <c r="A5557" s="3" t="s">
        <v>12998</v>
      </c>
      <c r="B5557" s="6" t="s">
        <v>361</v>
      </c>
      <c r="C5557" s="6" t="s">
        <v>6336</v>
      </c>
      <c r="D5557" s="6" t="s">
        <v>6337</v>
      </c>
      <c r="E5557" s="6" t="s">
        <v>5332</v>
      </c>
      <c r="F5557" s="30" t="s">
        <v>8190</v>
      </c>
      <c r="G5557" s="3" t="s">
        <v>11449</v>
      </c>
      <c r="H5557" s="54">
        <v>0</v>
      </c>
      <c r="I5557" s="16">
        <v>470000000</v>
      </c>
      <c r="J5557" s="56" t="s">
        <v>229</v>
      </c>
      <c r="K5557" s="57" t="s">
        <v>9453</v>
      </c>
      <c r="L5557" s="12" t="s">
        <v>404</v>
      </c>
      <c r="M5557" s="3" t="s">
        <v>230</v>
      </c>
      <c r="N5557" s="8" t="s">
        <v>8899</v>
      </c>
      <c r="O5557" s="6" t="s">
        <v>365</v>
      </c>
      <c r="P5557" s="58">
        <v>796</v>
      </c>
      <c r="Q5557" s="31" t="s">
        <v>234</v>
      </c>
      <c r="R5557" s="34">
        <v>0</v>
      </c>
      <c r="S5557" s="59">
        <f>1369.565*1.07</f>
        <v>1465.4345500000002</v>
      </c>
      <c r="T5557" s="4">
        <f>R5557*S5557</f>
        <v>0</v>
      </c>
      <c r="U5557" s="4">
        <f>T5557*1.12</f>
        <v>0</v>
      </c>
      <c r="V5557" s="3"/>
      <c r="W5557" s="3">
        <v>2014</v>
      </c>
      <c r="X5557" s="3" t="s">
        <v>12076</v>
      </c>
    </row>
    <row r="5558" spans="1:24" ht="114.75">
      <c r="A5558" s="3" t="s">
        <v>2283</v>
      </c>
      <c r="B5558" s="6" t="s">
        <v>361</v>
      </c>
      <c r="C5558" s="6" t="s">
        <v>6336</v>
      </c>
      <c r="D5558" s="6" t="s">
        <v>6337</v>
      </c>
      <c r="E5558" s="6" t="s">
        <v>5332</v>
      </c>
      <c r="F5558" s="30" t="s">
        <v>8191</v>
      </c>
      <c r="G5558" s="3" t="s">
        <v>11449</v>
      </c>
      <c r="H5558" s="54">
        <v>0</v>
      </c>
      <c r="I5558" s="16">
        <v>470000000</v>
      </c>
      <c r="J5558" s="56" t="s">
        <v>229</v>
      </c>
      <c r="K5558" s="57" t="s">
        <v>641</v>
      </c>
      <c r="L5558" s="12" t="s">
        <v>404</v>
      </c>
      <c r="M5558" s="3" t="s">
        <v>230</v>
      </c>
      <c r="N5558" s="8" t="s">
        <v>8899</v>
      </c>
      <c r="O5558" s="6" t="s">
        <v>365</v>
      </c>
      <c r="P5558" s="58">
        <v>796</v>
      </c>
      <c r="Q5558" s="31" t="s">
        <v>234</v>
      </c>
      <c r="R5558" s="34">
        <v>10</v>
      </c>
      <c r="S5558" s="59">
        <f>4382.609*1.07</f>
        <v>4689.391630000001</v>
      </c>
      <c r="T5558" s="4">
        <v>0</v>
      </c>
      <c r="U5558" s="4">
        <f t="shared" si="238"/>
        <v>0</v>
      </c>
      <c r="V5558" s="3"/>
      <c r="W5558" s="3">
        <v>2014</v>
      </c>
      <c r="X5558" s="3">
        <v>11</v>
      </c>
    </row>
    <row r="5559" spans="1:24" ht="114.75">
      <c r="A5559" s="3" t="s">
        <v>12999</v>
      </c>
      <c r="B5559" s="6" t="s">
        <v>361</v>
      </c>
      <c r="C5559" s="6" t="s">
        <v>6336</v>
      </c>
      <c r="D5559" s="6" t="s">
        <v>6337</v>
      </c>
      <c r="E5559" s="6" t="s">
        <v>5332</v>
      </c>
      <c r="F5559" s="30" t="s">
        <v>8191</v>
      </c>
      <c r="G5559" s="3" t="s">
        <v>11449</v>
      </c>
      <c r="H5559" s="54">
        <v>0</v>
      </c>
      <c r="I5559" s="16">
        <v>470000000</v>
      </c>
      <c r="J5559" s="56" t="s">
        <v>229</v>
      </c>
      <c r="K5559" s="57" t="s">
        <v>9453</v>
      </c>
      <c r="L5559" s="12" t="s">
        <v>404</v>
      </c>
      <c r="M5559" s="3" t="s">
        <v>230</v>
      </c>
      <c r="N5559" s="8" t="s">
        <v>8899</v>
      </c>
      <c r="O5559" s="6" t="s">
        <v>365</v>
      </c>
      <c r="P5559" s="58">
        <v>796</v>
      </c>
      <c r="Q5559" s="31" t="s">
        <v>234</v>
      </c>
      <c r="R5559" s="34">
        <v>0</v>
      </c>
      <c r="S5559" s="59">
        <f>4382.609*1.07</f>
        <v>4689.391630000001</v>
      </c>
      <c r="T5559" s="4">
        <f>R5559*S5559</f>
        <v>0</v>
      </c>
      <c r="U5559" s="4">
        <f>T5559*1.12</f>
        <v>0</v>
      </c>
      <c r="V5559" s="3"/>
      <c r="W5559" s="3">
        <v>2014</v>
      </c>
      <c r="X5559" s="3" t="s">
        <v>12076</v>
      </c>
    </row>
    <row r="5560" spans="1:24" ht="114.75">
      <c r="A5560" s="3" t="s">
        <v>2284</v>
      </c>
      <c r="B5560" s="6" t="s">
        <v>361</v>
      </c>
      <c r="C5560" s="6" t="s">
        <v>6336</v>
      </c>
      <c r="D5560" s="6" t="s">
        <v>6337</v>
      </c>
      <c r="E5560" s="6" t="s">
        <v>5332</v>
      </c>
      <c r="F5560" s="30" t="s">
        <v>8192</v>
      </c>
      <c r="G5560" s="3" t="s">
        <v>11449</v>
      </c>
      <c r="H5560" s="54">
        <v>0</v>
      </c>
      <c r="I5560" s="16">
        <v>470000000</v>
      </c>
      <c r="J5560" s="56" t="s">
        <v>229</v>
      </c>
      <c r="K5560" s="57" t="s">
        <v>641</v>
      </c>
      <c r="L5560" s="12" t="s">
        <v>404</v>
      </c>
      <c r="M5560" s="3" t="s">
        <v>230</v>
      </c>
      <c r="N5560" s="8" t="s">
        <v>8899</v>
      </c>
      <c r="O5560" s="6" t="s">
        <v>365</v>
      </c>
      <c r="P5560" s="58">
        <v>796</v>
      </c>
      <c r="Q5560" s="31" t="s">
        <v>234</v>
      </c>
      <c r="R5560" s="34">
        <v>10</v>
      </c>
      <c r="S5560" s="59">
        <f>3560.87*1.07</f>
        <v>3810.1309000000001</v>
      </c>
      <c r="T5560" s="4">
        <v>0</v>
      </c>
      <c r="U5560" s="4">
        <f t="shared" si="238"/>
        <v>0</v>
      </c>
      <c r="V5560" s="3"/>
      <c r="W5560" s="3">
        <v>2014</v>
      </c>
      <c r="X5560" s="3">
        <v>11</v>
      </c>
    </row>
    <row r="5561" spans="1:24" ht="114.75">
      <c r="A5561" s="3" t="s">
        <v>13000</v>
      </c>
      <c r="B5561" s="6" t="s">
        <v>361</v>
      </c>
      <c r="C5561" s="6" t="s">
        <v>6336</v>
      </c>
      <c r="D5561" s="6" t="s">
        <v>6337</v>
      </c>
      <c r="E5561" s="6" t="s">
        <v>5332</v>
      </c>
      <c r="F5561" s="30" t="s">
        <v>8192</v>
      </c>
      <c r="G5561" s="3" t="s">
        <v>11449</v>
      </c>
      <c r="H5561" s="54">
        <v>0</v>
      </c>
      <c r="I5561" s="16">
        <v>470000000</v>
      </c>
      <c r="J5561" s="56" t="s">
        <v>229</v>
      </c>
      <c r="K5561" s="57" t="s">
        <v>9453</v>
      </c>
      <c r="L5561" s="12" t="s">
        <v>404</v>
      </c>
      <c r="M5561" s="3" t="s">
        <v>230</v>
      </c>
      <c r="N5561" s="8" t="s">
        <v>8899</v>
      </c>
      <c r="O5561" s="6" t="s">
        <v>365</v>
      </c>
      <c r="P5561" s="58">
        <v>796</v>
      </c>
      <c r="Q5561" s="31" t="s">
        <v>234</v>
      </c>
      <c r="R5561" s="34">
        <v>0</v>
      </c>
      <c r="S5561" s="59">
        <f>3560.87*1.07</f>
        <v>3810.1309000000001</v>
      </c>
      <c r="T5561" s="4">
        <f>R5561*S5561</f>
        <v>0</v>
      </c>
      <c r="U5561" s="4">
        <f>T5561*1.12</f>
        <v>0</v>
      </c>
      <c r="V5561" s="3"/>
      <c r="W5561" s="3">
        <v>2014</v>
      </c>
      <c r="X5561" s="3" t="s">
        <v>12076</v>
      </c>
    </row>
    <row r="5562" spans="1:24" ht="114.75">
      <c r="A5562" s="3" t="s">
        <v>2285</v>
      </c>
      <c r="B5562" s="6" t="s">
        <v>361</v>
      </c>
      <c r="C5562" s="6" t="s">
        <v>6336</v>
      </c>
      <c r="D5562" s="6" t="s">
        <v>6337</v>
      </c>
      <c r="E5562" s="6" t="s">
        <v>5332</v>
      </c>
      <c r="F5562" s="30" t="s">
        <v>8193</v>
      </c>
      <c r="G5562" s="3" t="s">
        <v>11449</v>
      </c>
      <c r="H5562" s="54">
        <v>0</v>
      </c>
      <c r="I5562" s="16">
        <v>470000000</v>
      </c>
      <c r="J5562" s="56" t="s">
        <v>229</v>
      </c>
      <c r="K5562" s="57" t="s">
        <v>641</v>
      </c>
      <c r="L5562" s="12" t="s">
        <v>404</v>
      </c>
      <c r="M5562" s="3" t="s">
        <v>230</v>
      </c>
      <c r="N5562" s="8" t="s">
        <v>8899</v>
      </c>
      <c r="O5562" s="6" t="s">
        <v>365</v>
      </c>
      <c r="P5562" s="58">
        <v>796</v>
      </c>
      <c r="Q5562" s="31" t="s">
        <v>234</v>
      </c>
      <c r="R5562" s="34">
        <v>10</v>
      </c>
      <c r="S5562" s="59">
        <f>3195.652*1.07</f>
        <v>3419.3476400000004</v>
      </c>
      <c r="T5562" s="4">
        <v>0</v>
      </c>
      <c r="U5562" s="4">
        <f t="shared" si="238"/>
        <v>0</v>
      </c>
      <c r="V5562" s="3"/>
      <c r="W5562" s="3">
        <v>2014</v>
      </c>
      <c r="X5562" s="3">
        <v>11</v>
      </c>
    </row>
    <row r="5563" spans="1:24" ht="114.75">
      <c r="A5563" s="3" t="s">
        <v>13002</v>
      </c>
      <c r="B5563" s="6" t="s">
        <v>361</v>
      </c>
      <c r="C5563" s="6" t="s">
        <v>6336</v>
      </c>
      <c r="D5563" s="6" t="s">
        <v>6337</v>
      </c>
      <c r="E5563" s="6" t="s">
        <v>5332</v>
      </c>
      <c r="F5563" s="30" t="s">
        <v>8193</v>
      </c>
      <c r="G5563" s="3" t="s">
        <v>11449</v>
      </c>
      <c r="H5563" s="54">
        <v>0</v>
      </c>
      <c r="I5563" s="16">
        <v>470000000</v>
      </c>
      <c r="J5563" s="56" t="s">
        <v>229</v>
      </c>
      <c r="K5563" s="57" t="s">
        <v>9453</v>
      </c>
      <c r="L5563" s="12" t="s">
        <v>404</v>
      </c>
      <c r="M5563" s="3" t="s">
        <v>230</v>
      </c>
      <c r="N5563" s="8" t="s">
        <v>8899</v>
      </c>
      <c r="O5563" s="6" t="s">
        <v>365</v>
      </c>
      <c r="P5563" s="58">
        <v>796</v>
      </c>
      <c r="Q5563" s="31" t="s">
        <v>234</v>
      </c>
      <c r="R5563" s="34">
        <v>0</v>
      </c>
      <c r="S5563" s="59">
        <f>3195.652*1.07</f>
        <v>3419.3476400000004</v>
      </c>
      <c r="T5563" s="4">
        <f>R5563*S5563</f>
        <v>0</v>
      </c>
      <c r="U5563" s="4">
        <f>T5563*1.12</f>
        <v>0</v>
      </c>
      <c r="V5563" s="3"/>
      <c r="W5563" s="3">
        <v>2014</v>
      </c>
      <c r="X5563" s="3" t="s">
        <v>12076</v>
      </c>
    </row>
    <row r="5564" spans="1:24" ht="114.75">
      <c r="A5564" s="3" t="s">
        <v>2286</v>
      </c>
      <c r="B5564" s="6" t="s">
        <v>361</v>
      </c>
      <c r="C5564" s="6" t="s">
        <v>5578</v>
      </c>
      <c r="D5564" s="6" t="s">
        <v>458</v>
      </c>
      <c r="E5564" s="6" t="s">
        <v>5332</v>
      </c>
      <c r="F5564" s="30" t="s">
        <v>8194</v>
      </c>
      <c r="G5564" s="3" t="s">
        <v>11449</v>
      </c>
      <c r="H5564" s="54">
        <v>0</v>
      </c>
      <c r="I5564" s="16">
        <v>470000000</v>
      </c>
      <c r="J5564" s="56" t="s">
        <v>229</v>
      </c>
      <c r="K5564" s="57" t="s">
        <v>641</v>
      </c>
      <c r="L5564" s="12" t="s">
        <v>404</v>
      </c>
      <c r="M5564" s="3" t="s">
        <v>230</v>
      </c>
      <c r="N5564" s="8" t="s">
        <v>8899</v>
      </c>
      <c r="O5564" s="6" t="s">
        <v>365</v>
      </c>
      <c r="P5564" s="58">
        <v>796</v>
      </c>
      <c r="Q5564" s="31" t="s">
        <v>234</v>
      </c>
      <c r="R5564" s="34">
        <v>10</v>
      </c>
      <c r="S5564" s="59">
        <f>860.087*1.07</f>
        <v>920.29309000000001</v>
      </c>
      <c r="T5564" s="4">
        <v>0</v>
      </c>
      <c r="U5564" s="4">
        <f t="shared" si="238"/>
        <v>0</v>
      </c>
      <c r="V5564" s="3"/>
      <c r="W5564" s="3">
        <v>2014</v>
      </c>
      <c r="X5564" s="3">
        <v>11</v>
      </c>
    </row>
    <row r="5565" spans="1:24" ht="114.75">
      <c r="A5565" s="3" t="s">
        <v>13003</v>
      </c>
      <c r="B5565" s="6" t="s">
        <v>361</v>
      </c>
      <c r="C5565" s="6" t="s">
        <v>5578</v>
      </c>
      <c r="D5565" s="6" t="s">
        <v>458</v>
      </c>
      <c r="E5565" s="6" t="s">
        <v>5332</v>
      </c>
      <c r="F5565" s="30" t="s">
        <v>8194</v>
      </c>
      <c r="G5565" s="3" t="s">
        <v>11449</v>
      </c>
      <c r="H5565" s="54">
        <v>0</v>
      </c>
      <c r="I5565" s="16">
        <v>470000000</v>
      </c>
      <c r="J5565" s="56" t="s">
        <v>229</v>
      </c>
      <c r="K5565" s="57" t="s">
        <v>9453</v>
      </c>
      <c r="L5565" s="12" t="s">
        <v>404</v>
      </c>
      <c r="M5565" s="3" t="s">
        <v>230</v>
      </c>
      <c r="N5565" s="8" t="s">
        <v>8899</v>
      </c>
      <c r="O5565" s="6" t="s">
        <v>365</v>
      </c>
      <c r="P5565" s="58">
        <v>796</v>
      </c>
      <c r="Q5565" s="31" t="s">
        <v>234</v>
      </c>
      <c r="R5565" s="34">
        <v>0</v>
      </c>
      <c r="S5565" s="59">
        <f>860.087*1.07</f>
        <v>920.29309000000001</v>
      </c>
      <c r="T5565" s="4">
        <f>R5565*S5565</f>
        <v>0</v>
      </c>
      <c r="U5565" s="4">
        <f>T5565*1.12</f>
        <v>0</v>
      </c>
      <c r="V5565" s="3"/>
      <c r="W5565" s="3">
        <v>2014</v>
      </c>
      <c r="X5565" s="3" t="s">
        <v>12076</v>
      </c>
    </row>
    <row r="5566" spans="1:24" ht="114.75">
      <c r="A5566" s="3" t="s">
        <v>2287</v>
      </c>
      <c r="B5566" s="6" t="s">
        <v>361</v>
      </c>
      <c r="C5566" s="6" t="s">
        <v>5578</v>
      </c>
      <c r="D5566" s="6" t="s">
        <v>458</v>
      </c>
      <c r="E5566" s="6" t="s">
        <v>5332</v>
      </c>
      <c r="F5566" s="30" t="s">
        <v>8195</v>
      </c>
      <c r="G5566" s="3" t="s">
        <v>11449</v>
      </c>
      <c r="H5566" s="54">
        <v>0</v>
      </c>
      <c r="I5566" s="16">
        <v>470000000</v>
      </c>
      <c r="J5566" s="56" t="s">
        <v>229</v>
      </c>
      <c r="K5566" s="57" t="s">
        <v>641</v>
      </c>
      <c r="L5566" s="12" t="s">
        <v>404</v>
      </c>
      <c r="M5566" s="3" t="s">
        <v>230</v>
      </c>
      <c r="N5566" s="8" t="s">
        <v>8899</v>
      </c>
      <c r="O5566" s="6" t="s">
        <v>365</v>
      </c>
      <c r="P5566" s="58">
        <v>796</v>
      </c>
      <c r="Q5566" s="31" t="s">
        <v>234</v>
      </c>
      <c r="R5566" s="34">
        <v>10</v>
      </c>
      <c r="S5566" s="59">
        <f>1548.905*1.07</f>
        <v>1657.32835</v>
      </c>
      <c r="T5566" s="4">
        <v>0</v>
      </c>
      <c r="U5566" s="4">
        <f t="shared" si="238"/>
        <v>0</v>
      </c>
      <c r="V5566" s="3"/>
      <c r="W5566" s="3">
        <v>2014</v>
      </c>
      <c r="X5566" s="3">
        <v>11</v>
      </c>
    </row>
    <row r="5567" spans="1:24" ht="114.75">
      <c r="A5567" s="3" t="s">
        <v>13004</v>
      </c>
      <c r="B5567" s="6" t="s">
        <v>361</v>
      </c>
      <c r="C5567" s="6" t="s">
        <v>5578</v>
      </c>
      <c r="D5567" s="6" t="s">
        <v>458</v>
      </c>
      <c r="E5567" s="6" t="s">
        <v>5332</v>
      </c>
      <c r="F5567" s="30" t="s">
        <v>8195</v>
      </c>
      <c r="G5567" s="3" t="s">
        <v>11449</v>
      </c>
      <c r="H5567" s="54">
        <v>0</v>
      </c>
      <c r="I5567" s="16">
        <v>470000000</v>
      </c>
      <c r="J5567" s="56" t="s">
        <v>229</v>
      </c>
      <c r="K5567" s="57" t="s">
        <v>9453</v>
      </c>
      <c r="L5567" s="12" t="s">
        <v>404</v>
      </c>
      <c r="M5567" s="3" t="s">
        <v>230</v>
      </c>
      <c r="N5567" s="8" t="s">
        <v>8899</v>
      </c>
      <c r="O5567" s="6" t="s">
        <v>365</v>
      </c>
      <c r="P5567" s="58">
        <v>796</v>
      </c>
      <c r="Q5567" s="31" t="s">
        <v>234</v>
      </c>
      <c r="R5567" s="34">
        <v>0</v>
      </c>
      <c r="S5567" s="59">
        <f>1548.905*1.07</f>
        <v>1657.32835</v>
      </c>
      <c r="T5567" s="4">
        <f>R5567*S5567</f>
        <v>0</v>
      </c>
      <c r="U5567" s="4">
        <f>T5567*1.12</f>
        <v>0</v>
      </c>
      <c r="V5567" s="3"/>
      <c r="W5567" s="3">
        <v>2014</v>
      </c>
      <c r="X5567" s="3" t="s">
        <v>12076</v>
      </c>
    </row>
    <row r="5568" spans="1:24" ht="114.75">
      <c r="A5568" s="3" t="s">
        <v>2288</v>
      </c>
      <c r="B5568" s="6" t="s">
        <v>361</v>
      </c>
      <c r="C5568" s="6" t="s">
        <v>5578</v>
      </c>
      <c r="D5568" s="6" t="s">
        <v>458</v>
      </c>
      <c r="E5568" s="6" t="s">
        <v>5332</v>
      </c>
      <c r="F5568" s="30" t="s">
        <v>8196</v>
      </c>
      <c r="G5568" s="3" t="s">
        <v>11449</v>
      </c>
      <c r="H5568" s="54">
        <v>0</v>
      </c>
      <c r="I5568" s="16">
        <v>470000000</v>
      </c>
      <c r="J5568" s="56" t="s">
        <v>229</v>
      </c>
      <c r="K5568" s="57" t="s">
        <v>641</v>
      </c>
      <c r="L5568" s="12" t="s">
        <v>404</v>
      </c>
      <c r="M5568" s="3" t="s">
        <v>230</v>
      </c>
      <c r="N5568" s="8" t="s">
        <v>8899</v>
      </c>
      <c r="O5568" s="6" t="s">
        <v>365</v>
      </c>
      <c r="P5568" s="58">
        <v>796</v>
      </c>
      <c r="Q5568" s="31" t="s">
        <v>234</v>
      </c>
      <c r="R5568" s="34">
        <v>10</v>
      </c>
      <c r="S5568" s="59">
        <f>1548.905*1.07</f>
        <v>1657.32835</v>
      </c>
      <c r="T5568" s="4">
        <v>0</v>
      </c>
      <c r="U5568" s="4">
        <f t="shared" si="238"/>
        <v>0</v>
      </c>
      <c r="V5568" s="3"/>
      <c r="W5568" s="3">
        <v>2014</v>
      </c>
      <c r="X5568" s="3">
        <v>11</v>
      </c>
    </row>
    <row r="5569" spans="1:24" ht="114.75">
      <c r="A5569" s="3" t="s">
        <v>13005</v>
      </c>
      <c r="B5569" s="6" t="s">
        <v>361</v>
      </c>
      <c r="C5569" s="6" t="s">
        <v>5578</v>
      </c>
      <c r="D5569" s="6" t="s">
        <v>458</v>
      </c>
      <c r="E5569" s="6" t="s">
        <v>5332</v>
      </c>
      <c r="F5569" s="30" t="s">
        <v>8196</v>
      </c>
      <c r="G5569" s="3" t="s">
        <v>11449</v>
      </c>
      <c r="H5569" s="54">
        <v>0</v>
      </c>
      <c r="I5569" s="16">
        <v>470000000</v>
      </c>
      <c r="J5569" s="56" t="s">
        <v>229</v>
      </c>
      <c r="K5569" s="57" t="s">
        <v>9453</v>
      </c>
      <c r="L5569" s="12" t="s">
        <v>404</v>
      </c>
      <c r="M5569" s="3" t="s">
        <v>230</v>
      </c>
      <c r="N5569" s="8" t="s">
        <v>8899</v>
      </c>
      <c r="O5569" s="6" t="s">
        <v>365</v>
      </c>
      <c r="P5569" s="58">
        <v>796</v>
      </c>
      <c r="Q5569" s="31" t="s">
        <v>234</v>
      </c>
      <c r="R5569" s="34">
        <v>0</v>
      </c>
      <c r="S5569" s="59">
        <f>1548.905*1.07</f>
        <v>1657.32835</v>
      </c>
      <c r="T5569" s="4">
        <f>R5569*S5569</f>
        <v>0</v>
      </c>
      <c r="U5569" s="4">
        <f>T5569*1.12</f>
        <v>0</v>
      </c>
      <c r="V5569" s="3"/>
      <c r="W5569" s="3">
        <v>2014</v>
      </c>
      <c r="X5569" s="3" t="s">
        <v>12076</v>
      </c>
    </row>
    <row r="5570" spans="1:24" ht="114.75">
      <c r="A5570" s="3" t="s">
        <v>2289</v>
      </c>
      <c r="B5570" s="6" t="s">
        <v>361</v>
      </c>
      <c r="C5570" s="6" t="s">
        <v>5578</v>
      </c>
      <c r="D5570" s="6" t="s">
        <v>458</v>
      </c>
      <c r="E5570" s="6" t="s">
        <v>5332</v>
      </c>
      <c r="F5570" s="30" t="s">
        <v>8197</v>
      </c>
      <c r="G5570" s="3" t="s">
        <v>11449</v>
      </c>
      <c r="H5570" s="54">
        <v>0</v>
      </c>
      <c r="I5570" s="16">
        <v>470000000</v>
      </c>
      <c r="J5570" s="56" t="s">
        <v>229</v>
      </c>
      <c r="K5570" s="57" t="s">
        <v>641</v>
      </c>
      <c r="L5570" s="12" t="s">
        <v>404</v>
      </c>
      <c r="M5570" s="3" t="s">
        <v>230</v>
      </c>
      <c r="N5570" s="8" t="s">
        <v>8899</v>
      </c>
      <c r="O5570" s="6" t="s">
        <v>365</v>
      </c>
      <c r="P5570" s="58">
        <v>796</v>
      </c>
      <c r="Q5570" s="31" t="s">
        <v>234</v>
      </c>
      <c r="R5570" s="34">
        <v>10</v>
      </c>
      <c r="S5570" s="59">
        <f>1467.389*1.07</f>
        <v>1570.1062299999999</v>
      </c>
      <c r="T5570" s="4">
        <v>0</v>
      </c>
      <c r="U5570" s="4">
        <f t="shared" si="238"/>
        <v>0</v>
      </c>
      <c r="V5570" s="3"/>
      <c r="W5570" s="3">
        <v>2014</v>
      </c>
      <c r="X5570" s="3">
        <v>11</v>
      </c>
    </row>
    <row r="5571" spans="1:24" ht="114.75">
      <c r="A5571" s="3" t="s">
        <v>13006</v>
      </c>
      <c r="B5571" s="6" t="s">
        <v>361</v>
      </c>
      <c r="C5571" s="6" t="s">
        <v>5578</v>
      </c>
      <c r="D5571" s="6" t="s">
        <v>458</v>
      </c>
      <c r="E5571" s="6" t="s">
        <v>5332</v>
      </c>
      <c r="F5571" s="30" t="s">
        <v>8197</v>
      </c>
      <c r="G5571" s="3" t="s">
        <v>11449</v>
      </c>
      <c r="H5571" s="54">
        <v>0</v>
      </c>
      <c r="I5571" s="16">
        <v>470000000</v>
      </c>
      <c r="J5571" s="56" t="s">
        <v>229</v>
      </c>
      <c r="K5571" s="57" t="s">
        <v>9453</v>
      </c>
      <c r="L5571" s="12" t="s">
        <v>404</v>
      </c>
      <c r="M5571" s="3" t="s">
        <v>230</v>
      </c>
      <c r="N5571" s="8" t="s">
        <v>8899</v>
      </c>
      <c r="O5571" s="6" t="s">
        <v>365</v>
      </c>
      <c r="P5571" s="58">
        <v>796</v>
      </c>
      <c r="Q5571" s="31" t="s">
        <v>234</v>
      </c>
      <c r="R5571" s="34">
        <v>0</v>
      </c>
      <c r="S5571" s="59">
        <f>1467.389*1.07</f>
        <v>1570.1062299999999</v>
      </c>
      <c r="T5571" s="4">
        <f>R5571*S5571</f>
        <v>0</v>
      </c>
      <c r="U5571" s="4">
        <f>T5571*1.12</f>
        <v>0</v>
      </c>
      <c r="V5571" s="3"/>
      <c r="W5571" s="3">
        <v>2014</v>
      </c>
      <c r="X5571" s="3" t="s">
        <v>12076</v>
      </c>
    </row>
    <row r="5572" spans="1:24" ht="114.75">
      <c r="A5572" s="3" t="s">
        <v>2290</v>
      </c>
      <c r="B5572" s="6" t="s">
        <v>361</v>
      </c>
      <c r="C5572" s="6" t="s">
        <v>5578</v>
      </c>
      <c r="D5572" s="6" t="s">
        <v>458</v>
      </c>
      <c r="E5572" s="6" t="s">
        <v>5332</v>
      </c>
      <c r="F5572" s="30" t="s">
        <v>8198</v>
      </c>
      <c r="G5572" s="3" t="s">
        <v>11449</v>
      </c>
      <c r="H5572" s="54">
        <v>0</v>
      </c>
      <c r="I5572" s="16">
        <v>470000000</v>
      </c>
      <c r="J5572" s="56" t="s">
        <v>229</v>
      </c>
      <c r="K5572" s="57" t="s">
        <v>641</v>
      </c>
      <c r="L5572" s="12" t="s">
        <v>404</v>
      </c>
      <c r="M5572" s="3" t="s">
        <v>230</v>
      </c>
      <c r="N5572" s="8" t="s">
        <v>8899</v>
      </c>
      <c r="O5572" s="6" t="s">
        <v>365</v>
      </c>
      <c r="P5572" s="58">
        <v>796</v>
      </c>
      <c r="Q5572" s="31" t="s">
        <v>234</v>
      </c>
      <c r="R5572" s="34">
        <v>10</v>
      </c>
      <c r="S5572" s="59">
        <f t="shared" ref="S5572:S5577" si="241">1548.905*1.07</f>
        <v>1657.32835</v>
      </c>
      <c r="T5572" s="4">
        <v>0</v>
      </c>
      <c r="U5572" s="4">
        <f t="shared" si="238"/>
        <v>0</v>
      </c>
      <c r="V5572" s="3"/>
      <c r="W5572" s="3">
        <v>2014</v>
      </c>
      <c r="X5572" s="3">
        <v>11</v>
      </c>
    </row>
    <row r="5573" spans="1:24" ht="114.75">
      <c r="A5573" s="3" t="s">
        <v>13007</v>
      </c>
      <c r="B5573" s="6" t="s">
        <v>361</v>
      </c>
      <c r="C5573" s="6" t="s">
        <v>5578</v>
      </c>
      <c r="D5573" s="6" t="s">
        <v>458</v>
      </c>
      <c r="E5573" s="6" t="s">
        <v>5332</v>
      </c>
      <c r="F5573" s="30" t="s">
        <v>8198</v>
      </c>
      <c r="G5573" s="3" t="s">
        <v>11449</v>
      </c>
      <c r="H5573" s="54">
        <v>0</v>
      </c>
      <c r="I5573" s="16">
        <v>470000000</v>
      </c>
      <c r="J5573" s="56" t="s">
        <v>229</v>
      </c>
      <c r="K5573" s="57" t="s">
        <v>9453</v>
      </c>
      <c r="L5573" s="12" t="s">
        <v>404</v>
      </c>
      <c r="M5573" s="3" t="s">
        <v>230</v>
      </c>
      <c r="N5573" s="8" t="s">
        <v>8899</v>
      </c>
      <c r="O5573" s="6" t="s">
        <v>365</v>
      </c>
      <c r="P5573" s="58">
        <v>796</v>
      </c>
      <c r="Q5573" s="31" t="s">
        <v>234</v>
      </c>
      <c r="R5573" s="34">
        <v>0</v>
      </c>
      <c r="S5573" s="59">
        <f t="shared" si="241"/>
        <v>1657.32835</v>
      </c>
      <c r="T5573" s="4">
        <f>R5573*S5573</f>
        <v>0</v>
      </c>
      <c r="U5573" s="4">
        <f>T5573*1.12</f>
        <v>0</v>
      </c>
      <c r="V5573" s="3"/>
      <c r="W5573" s="3">
        <v>2014</v>
      </c>
      <c r="X5573" s="3" t="s">
        <v>12076</v>
      </c>
    </row>
    <row r="5574" spans="1:24" ht="114.75">
      <c r="A5574" s="3" t="s">
        <v>2291</v>
      </c>
      <c r="B5574" s="6" t="s">
        <v>361</v>
      </c>
      <c r="C5574" s="6" t="s">
        <v>5578</v>
      </c>
      <c r="D5574" s="6" t="s">
        <v>458</v>
      </c>
      <c r="E5574" s="6" t="s">
        <v>5332</v>
      </c>
      <c r="F5574" s="30" t="s">
        <v>8182</v>
      </c>
      <c r="G5574" s="3" t="s">
        <v>11449</v>
      </c>
      <c r="H5574" s="54">
        <v>0</v>
      </c>
      <c r="I5574" s="16">
        <v>470000000</v>
      </c>
      <c r="J5574" s="56" t="s">
        <v>229</v>
      </c>
      <c r="K5574" s="57" t="s">
        <v>641</v>
      </c>
      <c r="L5574" s="12" t="s">
        <v>404</v>
      </c>
      <c r="M5574" s="3" t="s">
        <v>230</v>
      </c>
      <c r="N5574" s="8" t="s">
        <v>8899</v>
      </c>
      <c r="O5574" s="6" t="s">
        <v>365</v>
      </c>
      <c r="P5574" s="58">
        <v>796</v>
      </c>
      <c r="Q5574" s="31" t="s">
        <v>234</v>
      </c>
      <c r="R5574" s="34">
        <v>10</v>
      </c>
      <c r="S5574" s="59">
        <f t="shared" si="241"/>
        <v>1657.32835</v>
      </c>
      <c r="T5574" s="4">
        <v>0</v>
      </c>
      <c r="U5574" s="4">
        <f t="shared" si="238"/>
        <v>0</v>
      </c>
      <c r="V5574" s="3"/>
      <c r="W5574" s="3">
        <v>2014</v>
      </c>
      <c r="X5574" s="3">
        <v>11</v>
      </c>
    </row>
    <row r="5575" spans="1:24" ht="114.75">
      <c r="A5575" s="3" t="s">
        <v>13008</v>
      </c>
      <c r="B5575" s="6" t="s">
        <v>361</v>
      </c>
      <c r="C5575" s="6" t="s">
        <v>5578</v>
      </c>
      <c r="D5575" s="6" t="s">
        <v>458</v>
      </c>
      <c r="E5575" s="6" t="s">
        <v>5332</v>
      </c>
      <c r="F5575" s="30" t="s">
        <v>8182</v>
      </c>
      <c r="G5575" s="3" t="s">
        <v>11449</v>
      </c>
      <c r="H5575" s="54">
        <v>0</v>
      </c>
      <c r="I5575" s="16">
        <v>470000000</v>
      </c>
      <c r="J5575" s="56" t="s">
        <v>229</v>
      </c>
      <c r="K5575" s="57" t="s">
        <v>9453</v>
      </c>
      <c r="L5575" s="12" t="s">
        <v>404</v>
      </c>
      <c r="M5575" s="3" t="s">
        <v>230</v>
      </c>
      <c r="N5575" s="8" t="s">
        <v>8899</v>
      </c>
      <c r="O5575" s="6" t="s">
        <v>365</v>
      </c>
      <c r="P5575" s="58">
        <v>796</v>
      </c>
      <c r="Q5575" s="31" t="s">
        <v>234</v>
      </c>
      <c r="R5575" s="34">
        <v>0</v>
      </c>
      <c r="S5575" s="59">
        <f t="shared" si="241"/>
        <v>1657.32835</v>
      </c>
      <c r="T5575" s="4">
        <f>R5575*S5575</f>
        <v>0</v>
      </c>
      <c r="U5575" s="4">
        <f>T5575*1.12</f>
        <v>0</v>
      </c>
      <c r="V5575" s="3"/>
      <c r="W5575" s="3">
        <v>2014</v>
      </c>
      <c r="X5575" s="3" t="s">
        <v>12076</v>
      </c>
    </row>
    <row r="5576" spans="1:24" ht="114.75">
      <c r="A5576" s="3" t="s">
        <v>2292</v>
      </c>
      <c r="B5576" s="6" t="s">
        <v>361</v>
      </c>
      <c r="C5576" s="6" t="s">
        <v>5578</v>
      </c>
      <c r="D5576" s="6" t="s">
        <v>458</v>
      </c>
      <c r="E5576" s="6" t="s">
        <v>5332</v>
      </c>
      <c r="F5576" s="30" t="s">
        <v>8199</v>
      </c>
      <c r="G5576" s="3" t="s">
        <v>11449</v>
      </c>
      <c r="H5576" s="54">
        <v>0</v>
      </c>
      <c r="I5576" s="16">
        <v>470000000</v>
      </c>
      <c r="J5576" s="56" t="s">
        <v>229</v>
      </c>
      <c r="K5576" s="57" t="s">
        <v>641</v>
      </c>
      <c r="L5576" s="12" t="s">
        <v>404</v>
      </c>
      <c r="M5576" s="3" t="s">
        <v>230</v>
      </c>
      <c r="N5576" s="8" t="s">
        <v>8899</v>
      </c>
      <c r="O5576" s="6" t="s">
        <v>365</v>
      </c>
      <c r="P5576" s="58">
        <v>796</v>
      </c>
      <c r="Q5576" s="31" t="s">
        <v>234</v>
      </c>
      <c r="R5576" s="34">
        <v>10</v>
      </c>
      <c r="S5576" s="59">
        <f t="shared" si="241"/>
        <v>1657.32835</v>
      </c>
      <c r="T5576" s="4">
        <v>0</v>
      </c>
      <c r="U5576" s="4">
        <f t="shared" si="238"/>
        <v>0</v>
      </c>
      <c r="V5576" s="3"/>
      <c r="W5576" s="3">
        <v>2014</v>
      </c>
      <c r="X5576" s="3">
        <v>11</v>
      </c>
    </row>
    <row r="5577" spans="1:24" ht="114.75">
      <c r="A5577" s="3" t="s">
        <v>13009</v>
      </c>
      <c r="B5577" s="6" t="s">
        <v>361</v>
      </c>
      <c r="C5577" s="6" t="s">
        <v>5578</v>
      </c>
      <c r="D5577" s="6" t="s">
        <v>458</v>
      </c>
      <c r="E5577" s="6" t="s">
        <v>5332</v>
      </c>
      <c r="F5577" s="30" t="s">
        <v>8199</v>
      </c>
      <c r="G5577" s="3" t="s">
        <v>11449</v>
      </c>
      <c r="H5577" s="54">
        <v>0</v>
      </c>
      <c r="I5577" s="16">
        <v>470000000</v>
      </c>
      <c r="J5577" s="56" t="s">
        <v>229</v>
      </c>
      <c r="K5577" s="57" t="s">
        <v>9453</v>
      </c>
      <c r="L5577" s="12" t="s">
        <v>404</v>
      </c>
      <c r="M5577" s="3" t="s">
        <v>230</v>
      </c>
      <c r="N5577" s="8" t="s">
        <v>8899</v>
      </c>
      <c r="O5577" s="6" t="s">
        <v>365</v>
      </c>
      <c r="P5577" s="58">
        <v>796</v>
      </c>
      <c r="Q5577" s="31" t="s">
        <v>234</v>
      </c>
      <c r="R5577" s="34">
        <v>0</v>
      </c>
      <c r="S5577" s="59">
        <f t="shared" si="241"/>
        <v>1657.32835</v>
      </c>
      <c r="T5577" s="4">
        <f>R5577*S5577</f>
        <v>0</v>
      </c>
      <c r="U5577" s="4">
        <f>T5577*1.12</f>
        <v>0</v>
      </c>
      <c r="V5577" s="3"/>
      <c r="W5577" s="3">
        <v>2014</v>
      </c>
      <c r="X5577" s="3" t="s">
        <v>12076</v>
      </c>
    </row>
    <row r="5578" spans="1:24" ht="114.75">
      <c r="A5578" s="3" t="s">
        <v>2293</v>
      </c>
      <c r="B5578" s="6" t="s">
        <v>361</v>
      </c>
      <c r="C5578" s="6" t="s">
        <v>5578</v>
      </c>
      <c r="D5578" s="6" t="s">
        <v>458</v>
      </c>
      <c r="E5578" s="6" t="s">
        <v>5332</v>
      </c>
      <c r="F5578" s="107" t="s">
        <v>8200</v>
      </c>
      <c r="G5578" s="3" t="s">
        <v>11449</v>
      </c>
      <c r="H5578" s="54">
        <v>0</v>
      </c>
      <c r="I5578" s="16">
        <v>470000000</v>
      </c>
      <c r="J5578" s="56" t="s">
        <v>229</v>
      </c>
      <c r="K5578" s="57" t="s">
        <v>641</v>
      </c>
      <c r="L5578" s="12" t="s">
        <v>404</v>
      </c>
      <c r="M5578" s="3" t="s">
        <v>230</v>
      </c>
      <c r="N5578" s="8" t="s">
        <v>8899</v>
      </c>
      <c r="O5578" s="6" t="s">
        <v>365</v>
      </c>
      <c r="P5578" s="58">
        <v>796</v>
      </c>
      <c r="Q5578" s="31" t="s">
        <v>234</v>
      </c>
      <c r="R5578" s="34">
        <v>10</v>
      </c>
      <c r="S5578" s="59">
        <f>1467.389*1.07</f>
        <v>1570.1062299999999</v>
      </c>
      <c r="T5578" s="4">
        <v>0</v>
      </c>
      <c r="U5578" s="4">
        <f t="shared" si="238"/>
        <v>0</v>
      </c>
      <c r="V5578" s="3"/>
      <c r="W5578" s="3">
        <v>2014</v>
      </c>
      <c r="X5578" s="3">
        <v>11</v>
      </c>
    </row>
    <row r="5579" spans="1:24" ht="114.75">
      <c r="A5579" s="3" t="s">
        <v>13010</v>
      </c>
      <c r="B5579" s="6" t="s">
        <v>361</v>
      </c>
      <c r="C5579" s="6" t="s">
        <v>5578</v>
      </c>
      <c r="D5579" s="6" t="s">
        <v>458</v>
      </c>
      <c r="E5579" s="6" t="s">
        <v>5332</v>
      </c>
      <c r="F5579" s="107" t="s">
        <v>8200</v>
      </c>
      <c r="G5579" s="3" t="s">
        <v>11449</v>
      </c>
      <c r="H5579" s="54">
        <v>0</v>
      </c>
      <c r="I5579" s="16">
        <v>470000000</v>
      </c>
      <c r="J5579" s="56" t="s">
        <v>229</v>
      </c>
      <c r="K5579" s="57" t="s">
        <v>9453</v>
      </c>
      <c r="L5579" s="12" t="s">
        <v>404</v>
      </c>
      <c r="M5579" s="3" t="s">
        <v>230</v>
      </c>
      <c r="N5579" s="8" t="s">
        <v>8899</v>
      </c>
      <c r="O5579" s="6" t="s">
        <v>365</v>
      </c>
      <c r="P5579" s="58">
        <v>796</v>
      </c>
      <c r="Q5579" s="31" t="s">
        <v>234</v>
      </c>
      <c r="R5579" s="34">
        <v>0</v>
      </c>
      <c r="S5579" s="59">
        <f>1467.389*1.07</f>
        <v>1570.1062299999999</v>
      </c>
      <c r="T5579" s="4">
        <f>R5579*S5579</f>
        <v>0</v>
      </c>
      <c r="U5579" s="4">
        <f>T5579*1.12</f>
        <v>0</v>
      </c>
      <c r="V5579" s="3"/>
      <c r="W5579" s="3">
        <v>2014</v>
      </c>
      <c r="X5579" s="3" t="s">
        <v>12076</v>
      </c>
    </row>
    <row r="5580" spans="1:24" ht="114.75">
      <c r="A5580" s="3" t="s">
        <v>2294</v>
      </c>
      <c r="B5580" s="6" t="s">
        <v>361</v>
      </c>
      <c r="C5580" s="6" t="s">
        <v>5578</v>
      </c>
      <c r="D5580" s="6" t="s">
        <v>458</v>
      </c>
      <c r="E5580" s="6" t="s">
        <v>5332</v>
      </c>
      <c r="F5580" s="30" t="s">
        <v>8201</v>
      </c>
      <c r="G5580" s="3" t="s">
        <v>11449</v>
      </c>
      <c r="H5580" s="54">
        <v>0</v>
      </c>
      <c r="I5580" s="16">
        <v>470000000</v>
      </c>
      <c r="J5580" s="56" t="s">
        <v>229</v>
      </c>
      <c r="K5580" s="57" t="s">
        <v>641</v>
      </c>
      <c r="L5580" s="12" t="s">
        <v>404</v>
      </c>
      <c r="M5580" s="3" t="s">
        <v>230</v>
      </c>
      <c r="N5580" s="8" t="s">
        <v>8899</v>
      </c>
      <c r="O5580" s="6" t="s">
        <v>365</v>
      </c>
      <c r="P5580" s="58">
        <v>796</v>
      </c>
      <c r="Q5580" s="31" t="s">
        <v>234</v>
      </c>
      <c r="R5580" s="34">
        <v>10</v>
      </c>
      <c r="S5580" s="59">
        <f>1467.389*1.07</f>
        <v>1570.1062299999999</v>
      </c>
      <c r="T5580" s="4">
        <v>0</v>
      </c>
      <c r="U5580" s="4">
        <f t="shared" si="238"/>
        <v>0</v>
      </c>
      <c r="V5580" s="3"/>
      <c r="W5580" s="3">
        <v>2014</v>
      </c>
      <c r="X5580" s="3">
        <v>11</v>
      </c>
    </row>
    <row r="5581" spans="1:24" ht="114.75">
      <c r="A5581" s="3" t="s">
        <v>13011</v>
      </c>
      <c r="B5581" s="6" t="s">
        <v>361</v>
      </c>
      <c r="C5581" s="6" t="s">
        <v>5578</v>
      </c>
      <c r="D5581" s="6" t="s">
        <v>458</v>
      </c>
      <c r="E5581" s="6" t="s">
        <v>5332</v>
      </c>
      <c r="F5581" s="30" t="s">
        <v>8201</v>
      </c>
      <c r="G5581" s="3" t="s">
        <v>11449</v>
      </c>
      <c r="H5581" s="54">
        <v>0</v>
      </c>
      <c r="I5581" s="16">
        <v>470000000</v>
      </c>
      <c r="J5581" s="56" t="s">
        <v>229</v>
      </c>
      <c r="K5581" s="57" t="s">
        <v>9453</v>
      </c>
      <c r="L5581" s="12" t="s">
        <v>404</v>
      </c>
      <c r="M5581" s="3" t="s">
        <v>230</v>
      </c>
      <c r="N5581" s="8" t="s">
        <v>8899</v>
      </c>
      <c r="O5581" s="6" t="s">
        <v>365</v>
      </c>
      <c r="P5581" s="58">
        <v>796</v>
      </c>
      <c r="Q5581" s="31" t="s">
        <v>234</v>
      </c>
      <c r="R5581" s="34">
        <v>0</v>
      </c>
      <c r="S5581" s="59">
        <f>1467.389*1.07</f>
        <v>1570.1062299999999</v>
      </c>
      <c r="T5581" s="4">
        <f>R5581*S5581</f>
        <v>0</v>
      </c>
      <c r="U5581" s="4">
        <f t="shared" ref="U5581:U5614" si="242">T5581*1.12</f>
        <v>0</v>
      </c>
      <c r="V5581" s="3"/>
      <c r="W5581" s="3">
        <v>2014</v>
      </c>
      <c r="X5581" s="3" t="s">
        <v>12076</v>
      </c>
    </row>
    <row r="5582" spans="1:24" ht="114.75">
      <c r="A5582" s="3" t="s">
        <v>2295</v>
      </c>
      <c r="B5582" s="6" t="s">
        <v>361</v>
      </c>
      <c r="C5582" s="6" t="s">
        <v>6299</v>
      </c>
      <c r="D5582" s="6" t="s">
        <v>452</v>
      </c>
      <c r="E5582" s="6" t="s">
        <v>6274</v>
      </c>
      <c r="F5582" s="129" t="s">
        <v>6338</v>
      </c>
      <c r="G5582" s="3" t="s">
        <v>11449</v>
      </c>
      <c r="H5582" s="185">
        <v>0</v>
      </c>
      <c r="I5582" s="16">
        <v>470000000</v>
      </c>
      <c r="J5582" s="56" t="s">
        <v>229</v>
      </c>
      <c r="K5582" s="57" t="s">
        <v>641</v>
      </c>
      <c r="L5582" s="57" t="s">
        <v>364</v>
      </c>
      <c r="M5582" s="3" t="s">
        <v>230</v>
      </c>
      <c r="N5582" s="8" t="s">
        <v>8899</v>
      </c>
      <c r="O5582" s="6" t="s">
        <v>365</v>
      </c>
      <c r="P5582" s="58">
        <v>796</v>
      </c>
      <c r="Q5582" s="31" t="s">
        <v>234</v>
      </c>
      <c r="R5582" s="32">
        <v>2</v>
      </c>
      <c r="S5582" s="59">
        <f>302794.78*1.07</f>
        <v>323990.41460000008</v>
      </c>
      <c r="T5582" s="4">
        <v>0</v>
      </c>
      <c r="U5582" s="4">
        <f t="shared" si="242"/>
        <v>0</v>
      </c>
      <c r="V5582" s="3"/>
      <c r="W5582" s="3">
        <v>2014</v>
      </c>
      <c r="X5582" s="3">
        <v>11.12</v>
      </c>
    </row>
    <row r="5583" spans="1:24" ht="114.75">
      <c r="A5583" s="3" t="s">
        <v>13012</v>
      </c>
      <c r="B5583" s="6" t="s">
        <v>361</v>
      </c>
      <c r="C5583" s="6" t="s">
        <v>6299</v>
      </c>
      <c r="D5583" s="6" t="s">
        <v>452</v>
      </c>
      <c r="E5583" s="6" t="s">
        <v>6274</v>
      </c>
      <c r="F5583" s="129" t="s">
        <v>6338</v>
      </c>
      <c r="G5583" s="3" t="s">
        <v>11449</v>
      </c>
      <c r="H5583" s="185">
        <v>0</v>
      </c>
      <c r="I5583" s="16">
        <v>470000000</v>
      </c>
      <c r="J5583" s="56" t="s">
        <v>229</v>
      </c>
      <c r="K5583" s="57" t="s">
        <v>9453</v>
      </c>
      <c r="L5583" s="12" t="s">
        <v>404</v>
      </c>
      <c r="M5583" s="3" t="s">
        <v>230</v>
      </c>
      <c r="N5583" s="8" t="s">
        <v>8899</v>
      </c>
      <c r="O5583" s="6" t="s">
        <v>365</v>
      </c>
      <c r="P5583" s="58">
        <v>796</v>
      </c>
      <c r="Q5583" s="31" t="s">
        <v>234</v>
      </c>
      <c r="R5583" s="32">
        <v>2</v>
      </c>
      <c r="S5583" s="59">
        <f>302794.78*1.07</f>
        <v>323990.41460000008</v>
      </c>
      <c r="T5583" s="4">
        <f>R5583*S5583</f>
        <v>647980.82920000015</v>
      </c>
      <c r="U5583" s="4">
        <f t="shared" si="242"/>
        <v>725738.52870400029</v>
      </c>
      <c r="V5583" s="3"/>
      <c r="W5583" s="3">
        <v>2014</v>
      </c>
      <c r="X5583" s="3"/>
    </row>
    <row r="5584" spans="1:24" ht="114.75">
      <c r="A5584" s="3" t="s">
        <v>2296</v>
      </c>
      <c r="B5584" s="6" t="s">
        <v>361</v>
      </c>
      <c r="C5584" s="6" t="s">
        <v>6299</v>
      </c>
      <c r="D5584" s="6" t="s">
        <v>452</v>
      </c>
      <c r="E5584" s="6" t="s">
        <v>6274</v>
      </c>
      <c r="F5584" s="129" t="s">
        <v>6339</v>
      </c>
      <c r="G5584" s="3" t="s">
        <v>11449</v>
      </c>
      <c r="H5584" s="185">
        <v>0</v>
      </c>
      <c r="I5584" s="16">
        <v>470000000</v>
      </c>
      <c r="J5584" s="56" t="s">
        <v>229</v>
      </c>
      <c r="K5584" s="57" t="s">
        <v>641</v>
      </c>
      <c r="L5584" s="57" t="s">
        <v>364</v>
      </c>
      <c r="M5584" s="3" t="s">
        <v>230</v>
      </c>
      <c r="N5584" s="8" t="s">
        <v>8899</v>
      </c>
      <c r="O5584" s="6" t="s">
        <v>365</v>
      </c>
      <c r="P5584" s="58">
        <v>796</v>
      </c>
      <c r="Q5584" s="31" t="s">
        <v>234</v>
      </c>
      <c r="R5584" s="32">
        <v>2</v>
      </c>
      <c r="S5584" s="59">
        <f>135869.57*1.07</f>
        <v>145380.43990000003</v>
      </c>
      <c r="T5584" s="4">
        <v>0</v>
      </c>
      <c r="U5584" s="4">
        <f t="shared" si="242"/>
        <v>0</v>
      </c>
      <c r="V5584" s="3"/>
      <c r="W5584" s="3">
        <v>2014</v>
      </c>
      <c r="X5584" s="3">
        <v>11.12</v>
      </c>
    </row>
    <row r="5585" spans="1:24" ht="114.75">
      <c r="A5585" s="3" t="s">
        <v>13013</v>
      </c>
      <c r="B5585" s="6" t="s">
        <v>361</v>
      </c>
      <c r="C5585" s="6" t="s">
        <v>6299</v>
      </c>
      <c r="D5585" s="6" t="s">
        <v>452</v>
      </c>
      <c r="E5585" s="6" t="s">
        <v>6274</v>
      </c>
      <c r="F5585" s="129" t="s">
        <v>6339</v>
      </c>
      <c r="G5585" s="3" t="s">
        <v>11449</v>
      </c>
      <c r="H5585" s="185">
        <v>0</v>
      </c>
      <c r="I5585" s="16">
        <v>470000000</v>
      </c>
      <c r="J5585" s="56" t="s">
        <v>229</v>
      </c>
      <c r="K5585" s="57" t="s">
        <v>9453</v>
      </c>
      <c r="L5585" s="12" t="s">
        <v>404</v>
      </c>
      <c r="M5585" s="3" t="s">
        <v>230</v>
      </c>
      <c r="N5585" s="8" t="s">
        <v>8899</v>
      </c>
      <c r="O5585" s="6" t="s">
        <v>365</v>
      </c>
      <c r="P5585" s="58">
        <v>796</v>
      </c>
      <c r="Q5585" s="31" t="s">
        <v>234</v>
      </c>
      <c r="R5585" s="32">
        <v>2</v>
      </c>
      <c r="S5585" s="59">
        <f>135869.57*1.07</f>
        <v>145380.43990000003</v>
      </c>
      <c r="T5585" s="4">
        <f>R5585*S5585</f>
        <v>290760.87980000005</v>
      </c>
      <c r="U5585" s="4">
        <f t="shared" si="242"/>
        <v>325652.18537600007</v>
      </c>
      <c r="V5585" s="3"/>
      <c r="W5585" s="3">
        <v>2014</v>
      </c>
      <c r="X5585" s="3"/>
    </row>
    <row r="5586" spans="1:24" ht="114.75">
      <c r="A5586" s="3" t="s">
        <v>2297</v>
      </c>
      <c r="B5586" s="6" t="s">
        <v>361</v>
      </c>
      <c r="C5586" s="6" t="s">
        <v>6299</v>
      </c>
      <c r="D5586" s="6" t="s">
        <v>452</v>
      </c>
      <c r="E5586" s="6" t="s">
        <v>6274</v>
      </c>
      <c r="F5586" s="129" t="s">
        <v>6340</v>
      </c>
      <c r="G5586" s="3" t="s">
        <v>11449</v>
      </c>
      <c r="H5586" s="185">
        <v>0</v>
      </c>
      <c r="I5586" s="16">
        <v>470000000</v>
      </c>
      <c r="J5586" s="56" t="s">
        <v>229</v>
      </c>
      <c r="K5586" s="57" t="s">
        <v>641</v>
      </c>
      <c r="L5586" s="57" t="s">
        <v>364</v>
      </c>
      <c r="M5586" s="3" t="s">
        <v>230</v>
      </c>
      <c r="N5586" s="8" t="s">
        <v>8899</v>
      </c>
      <c r="O5586" s="6" t="s">
        <v>365</v>
      </c>
      <c r="P5586" s="58">
        <v>796</v>
      </c>
      <c r="Q5586" s="31" t="s">
        <v>234</v>
      </c>
      <c r="R5586" s="32">
        <v>2</v>
      </c>
      <c r="S5586" s="59">
        <f>231269.57*1.07</f>
        <v>247458.43990000003</v>
      </c>
      <c r="T5586" s="4">
        <v>0</v>
      </c>
      <c r="U5586" s="4">
        <f t="shared" si="242"/>
        <v>0</v>
      </c>
      <c r="V5586" s="3"/>
      <c r="W5586" s="3">
        <v>2014</v>
      </c>
      <c r="X5586" s="3">
        <v>11.12</v>
      </c>
    </row>
    <row r="5587" spans="1:24" ht="114.75">
      <c r="A5587" s="3" t="s">
        <v>13014</v>
      </c>
      <c r="B5587" s="6" t="s">
        <v>361</v>
      </c>
      <c r="C5587" s="6" t="s">
        <v>6299</v>
      </c>
      <c r="D5587" s="6" t="s">
        <v>452</v>
      </c>
      <c r="E5587" s="6" t="s">
        <v>6274</v>
      </c>
      <c r="F5587" s="129" t="s">
        <v>6340</v>
      </c>
      <c r="G5587" s="3" t="s">
        <v>11449</v>
      </c>
      <c r="H5587" s="185">
        <v>0</v>
      </c>
      <c r="I5587" s="16">
        <v>470000000</v>
      </c>
      <c r="J5587" s="56" t="s">
        <v>229</v>
      </c>
      <c r="K5587" s="57" t="s">
        <v>9453</v>
      </c>
      <c r="L5587" s="12" t="s">
        <v>404</v>
      </c>
      <c r="M5587" s="3" t="s">
        <v>230</v>
      </c>
      <c r="N5587" s="8" t="s">
        <v>8899</v>
      </c>
      <c r="O5587" s="6" t="s">
        <v>365</v>
      </c>
      <c r="P5587" s="58">
        <v>796</v>
      </c>
      <c r="Q5587" s="31" t="s">
        <v>234</v>
      </c>
      <c r="R5587" s="32">
        <v>2</v>
      </c>
      <c r="S5587" s="59">
        <f>231269.57*1.07</f>
        <v>247458.43990000003</v>
      </c>
      <c r="T5587" s="4">
        <f>R5587*S5587</f>
        <v>494916.87980000005</v>
      </c>
      <c r="U5587" s="4">
        <f t="shared" si="242"/>
        <v>554306.9053760001</v>
      </c>
      <c r="V5587" s="3"/>
      <c r="W5587" s="3">
        <v>2014</v>
      </c>
      <c r="X5587" s="3"/>
    </row>
    <row r="5588" spans="1:24" ht="114.75">
      <c r="A5588" s="3" t="s">
        <v>2298</v>
      </c>
      <c r="B5588" s="6" t="s">
        <v>361</v>
      </c>
      <c r="C5588" s="6" t="s">
        <v>6238</v>
      </c>
      <c r="D5588" s="6" t="s">
        <v>6239</v>
      </c>
      <c r="E5588" s="6" t="s">
        <v>6240</v>
      </c>
      <c r="F5588" s="30" t="s">
        <v>6341</v>
      </c>
      <c r="G5588" s="3" t="s">
        <v>11449</v>
      </c>
      <c r="H5588" s="185">
        <v>0</v>
      </c>
      <c r="I5588" s="16">
        <v>470000000</v>
      </c>
      <c r="J5588" s="56" t="s">
        <v>229</v>
      </c>
      <c r="K5588" s="57" t="s">
        <v>641</v>
      </c>
      <c r="L5588" s="57" t="s">
        <v>364</v>
      </c>
      <c r="M5588" s="3" t="s">
        <v>230</v>
      </c>
      <c r="N5588" s="8" t="s">
        <v>8898</v>
      </c>
      <c r="O5588" s="6" t="s">
        <v>365</v>
      </c>
      <c r="P5588" s="58">
        <v>796</v>
      </c>
      <c r="Q5588" s="31" t="s">
        <v>234</v>
      </c>
      <c r="R5588" s="32">
        <v>4</v>
      </c>
      <c r="S5588" s="59">
        <f>284970*1.07</f>
        <v>304917.90000000002</v>
      </c>
      <c r="T5588" s="4">
        <v>0</v>
      </c>
      <c r="U5588" s="4">
        <f t="shared" si="242"/>
        <v>0</v>
      </c>
      <c r="V5588" s="3"/>
      <c r="W5588" s="3">
        <v>2014</v>
      </c>
      <c r="X5588" s="3" t="s">
        <v>12051</v>
      </c>
    </row>
    <row r="5589" spans="1:24" ht="114.75">
      <c r="A5589" s="3" t="s">
        <v>12038</v>
      </c>
      <c r="B5589" s="6" t="s">
        <v>361</v>
      </c>
      <c r="C5589" s="6" t="s">
        <v>6238</v>
      </c>
      <c r="D5589" s="6" t="s">
        <v>6239</v>
      </c>
      <c r="E5589" s="6" t="s">
        <v>6240</v>
      </c>
      <c r="F5589" s="30" t="s">
        <v>6341</v>
      </c>
      <c r="G5589" s="3" t="s">
        <v>11449</v>
      </c>
      <c r="H5589" s="185">
        <v>0</v>
      </c>
      <c r="I5589" s="16">
        <v>470000000</v>
      </c>
      <c r="J5589" s="56" t="s">
        <v>229</v>
      </c>
      <c r="K5589" s="57" t="s">
        <v>12050</v>
      </c>
      <c r="L5589" s="57" t="s">
        <v>364</v>
      </c>
      <c r="M5589" s="3" t="s">
        <v>230</v>
      </c>
      <c r="N5589" s="8" t="s">
        <v>8898</v>
      </c>
      <c r="O5589" s="6" t="s">
        <v>365</v>
      </c>
      <c r="P5589" s="58">
        <v>796</v>
      </c>
      <c r="Q5589" s="31" t="s">
        <v>234</v>
      </c>
      <c r="R5589" s="32">
        <v>40</v>
      </c>
      <c r="S5589" s="59">
        <v>14980</v>
      </c>
      <c r="T5589" s="4">
        <f>R5589*S5589</f>
        <v>599200</v>
      </c>
      <c r="U5589" s="4">
        <f>T5589*1.12</f>
        <v>671104.00000000012</v>
      </c>
      <c r="V5589" s="3"/>
      <c r="W5589" s="3">
        <v>2014</v>
      </c>
      <c r="X5589" s="3"/>
    </row>
    <row r="5590" spans="1:24" ht="114.75">
      <c r="A5590" s="3" t="s">
        <v>2299</v>
      </c>
      <c r="B5590" s="6" t="s">
        <v>361</v>
      </c>
      <c r="C5590" s="6" t="s">
        <v>6299</v>
      </c>
      <c r="D5590" s="6" t="s">
        <v>452</v>
      </c>
      <c r="E5590" s="6" t="s">
        <v>6274</v>
      </c>
      <c r="F5590" s="129" t="s">
        <v>8202</v>
      </c>
      <c r="G5590" s="3" t="s">
        <v>11449</v>
      </c>
      <c r="H5590" s="185">
        <v>0</v>
      </c>
      <c r="I5590" s="16">
        <v>470000000</v>
      </c>
      <c r="J5590" s="56" t="s">
        <v>229</v>
      </c>
      <c r="K5590" s="57" t="s">
        <v>641</v>
      </c>
      <c r="L5590" s="57" t="s">
        <v>364</v>
      </c>
      <c r="M5590" s="3" t="s">
        <v>230</v>
      </c>
      <c r="N5590" s="8" t="s">
        <v>8898</v>
      </c>
      <c r="O5590" s="6" t="s">
        <v>365</v>
      </c>
      <c r="P5590" s="58">
        <v>796</v>
      </c>
      <c r="Q5590" s="31" t="s">
        <v>234</v>
      </c>
      <c r="R5590" s="32">
        <v>2</v>
      </c>
      <c r="S5590" s="59">
        <f>77900*1.07</f>
        <v>83353</v>
      </c>
      <c r="T5590" s="4">
        <v>0</v>
      </c>
      <c r="U5590" s="4">
        <f t="shared" si="242"/>
        <v>0</v>
      </c>
      <c r="V5590" s="3"/>
      <c r="W5590" s="3">
        <v>2014</v>
      </c>
      <c r="X5590" s="3" t="s">
        <v>12051</v>
      </c>
    </row>
    <row r="5591" spans="1:24" ht="114.75">
      <c r="A5591" s="3" t="s">
        <v>12039</v>
      </c>
      <c r="B5591" s="6" t="s">
        <v>361</v>
      </c>
      <c r="C5591" s="6" t="s">
        <v>6299</v>
      </c>
      <c r="D5591" s="6" t="s">
        <v>452</v>
      </c>
      <c r="E5591" s="6" t="s">
        <v>6274</v>
      </c>
      <c r="F5591" s="129" t="s">
        <v>8202</v>
      </c>
      <c r="G5591" s="3" t="s">
        <v>11449</v>
      </c>
      <c r="H5591" s="185">
        <v>0</v>
      </c>
      <c r="I5591" s="16">
        <v>470000000</v>
      </c>
      <c r="J5591" s="56" t="s">
        <v>229</v>
      </c>
      <c r="K5591" s="57" t="s">
        <v>12050</v>
      </c>
      <c r="L5591" s="57" t="s">
        <v>364</v>
      </c>
      <c r="M5591" s="3" t="s">
        <v>230</v>
      </c>
      <c r="N5591" s="8" t="s">
        <v>8898</v>
      </c>
      <c r="O5591" s="6" t="s">
        <v>365</v>
      </c>
      <c r="P5591" s="58">
        <v>796</v>
      </c>
      <c r="Q5591" s="31" t="s">
        <v>234</v>
      </c>
      <c r="R5591" s="32">
        <v>4</v>
      </c>
      <c r="S5591" s="59">
        <v>568491</v>
      </c>
      <c r="T5591" s="4">
        <f>R5591*S5591</f>
        <v>2273964</v>
      </c>
      <c r="U5591" s="4">
        <f>T5591*1.12</f>
        <v>2546839.6800000002</v>
      </c>
      <c r="V5591" s="3"/>
      <c r="W5591" s="3">
        <v>2014</v>
      </c>
      <c r="X5591" s="3"/>
    </row>
    <row r="5592" spans="1:24" ht="114.75">
      <c r="A5592" s="3" t="s">
        <v>2300</v>
      </c>
      <c r="B5592" s="6" t="s">
        <v>361</v>
      </c>
      <c r="C5592" s="6" t="s">
        <v>6299</v>
      </c>
      <c r="D5592" s="6" t="s">
        <v>452</v>
      </c>
      <c r="E5592" s="6" t="s">
        <v>6274</v>
      </c>
      <c r="F5592" s="129" t="s">
        <v>8203</v>
      </c>
      <c r="G5592" s="3" t="s">
        <v>11449</v>
      </c>
      <c r="H5592" s="185">
        <v>0</v>
      </c>
      <c r="I5592" s="16">
        <v>470000000</v>
      </c>
      <c r="J5592" s="56" t="s">
        <v>229</v>
      </c>
      <c r="K5592" s="57" t="s">
        <v>641</v>
      </c>
      <c r="L5592" s="57" t="s">
        <v>364</v>
      </c>
      <c r="M5592" s="3" t="s">
        <v>230</v>
      </c>
      <c r="N5592" s="8" t="s">
        <v>8898</v>
      </c>
      <c r="O5592" s="6" t="s">
        <v>365</v>
      </c>
      <c r="P5592" s="58">
        <v>796</v>
      </c>
      <c r="Q5592" s="31" t="s">
        <v>234</v>
      </c>
      <c r="R5592" s="32">
        <v>2</v>
      </c>
      <c r="S5592" s="59">
        <f>47200*1.07</f>
        <v>50504</v>
      </c>
      <c r="T5592" s="4">
        <v>0</v>
      </c>
      <c r="U5592" s="4">
        <f t="shared" si="242"/>
        <v>0</v>
      </c>
      <c r="V5592" s="3"/>
      <c r="W5592" s="3">
        <v>2014</v>
      </c>
      <c r="X5592" s="3" t="s">
        <v>12051</v>
      </c>
    </row>
    <row r="5593" spans="1:24" ht="114.75">
      <c r="A5593" s="3" t="s">
        <v>12040</v>
      </c>
      <c r="B5593" s="6" t="s">
        <v>361</v>
      </c>
      <c r="C5593" s="6" t="s">
        <v>6299</v>
      </c>
      <c r="D5593" s="6" t="s">
        <v>452</v>
      </c>
      <c r="E5593" s="6" t="s">
        <v>6274</v>
      </c>
      <c r="F5593" s="129" t="s">
        <v>8203</v>
      </c>
      <c r="G5593" s="3" t="s">
        <v>11449</v>
      </c>
      <c r="H5593" s="185">
        <v>0</v>
      </c>
      <c r="I5593" s="16">
        <v>470000000</v>
      </c>
      <c r="J5593" s="56" t="s">
        <v>229</v>
      </c>
      <c r="K5593" s="57" t="s">
        <v>12050</v>
      </c>
      <c r="L5593" s="57" t="s">
        <v>364</v>
      </c>
      <c r="M5593" s="3" t="s">
        <v>230</v>
      </c>
      <c r="N5593" s="8" t="s">
        <v>8898</v>
      </c>
      <c r="O5593" s="6" t="s">
        <v>365</v>
      </c>
      <c r="P5593" s="58">
        <v>796</v>
      </c>
      <c r="Q5593" s="31" t="s">
        <v>234</v>
      </c>
      <c r="R5593" s="32">
        <v>4</v>
      </c>
      <c r="S5593" s="59">
        <v>487920</v>
      </c>
      <c r="T5593" s="4">
        <f>R5593*S5593</f>
        <v>1951680</v>
      </c>
      <c r="U5593" s="4">
        <f>T5593*1.12</f>
        <v>2185881.6000000001</v>
      </c>
      <c r="V5593" s="3"/>
      <c r="W5593" s="3">
        <v>2014</v>
      </c>
      <c r="X5593" s="3"/>
    </row>
    <row r="5594" spans="1:24" ht="114.75">
      <c r="A5594" s="3" t="s">
        <v>2301</v>
      </c>
      <c r="B5594" s="6" t="s">
        <v>361</v>
      </c>
      <c r="C5594" s="6" t="s">
        <v>6219</v>
      </c>
      <c r="D5594" s="6" t="s">
        <v>6220</v>
      </c>
      <c r="E5594" s="6" t="s">
        <v>5332</v>
      </c>
      <c r="F5594" s="129" t="s">
        <v>8204</v>
      </c>
      <c r="G5594" s="3" t="s">
        <v>11449</v>
      </c>
      <c r="H5594" s="185">
        <v>0</v>
      </c>
      <c r="I5594" s="16">
        <v>470000000</v>
      </c>
      <c r="J5594" s="56" t="s">
        <v>229</v>
      </c>
      <c r="K5594" s="57" t="s">
        <v>641</v>
      </c>
      <c r="L5594" s="57" t="s">
        <v>364</v>
      </c>
      <c r="M5594" s="3" t="s">
        <v>230</v>
      </c>
      <c r="N5594" s="8" t="s">
        <v>8898</v>
      </c>
      <c r="O5594" s="6" t="s">
        <v>365</v>
      </c>
      <c r="P5594" s="58">
        <v>796</v>
      </c>
      <c r="Q5594" s="31" t="s">
        <v>234</v>
      </c>
      <c r="R5594" s="32">
        <v>2</v>
      </c>
      <c r="S5594" s="59">
        <f>77900*1.07</f>
        <v>83353</v>
      </c>
      <c r="T5594" s="4">
        <v>0</v>
      </c>
      <c r="U5594" s="4">
        <f t="shared" si="242"/>
        <v>0</v>
      </c>
      <c r="V5594" s="3"/>
      <c r="W5594" s="3">
        <v>2014</v>
      </c>
      <c r="X5594" s="3" t="s">
        <v>12051</v>
      </c>
    </row>
    <row r="5595" spans="1:24" ht="114.75">
      <c r="A5595" s="3" t="s">
        <v>12041</v>
      </c>
      <c r="B5595" s="6" t="s">
        <v>361</v>
      </c>
      <c r="C5595" s="6" t="s">
        <v>6219</v>
      </c>
      <c r="D5595" s="6" t="s">
        <v>6220</v>
      </c>
      <c r="E5595" s="6" t="s">
        <v>5332</v>
      </c>
      <c r="F5595" s="129" t="s">
        <v>8204</v>
      </c>
      <c r="G5595" s="3" t="s">
        <v>11449</v>
      </c>
      <c r="H5595" s="185">
        <v>0</v>
      </c>
      <c r="I5595" s="16">
        <v>470000000</v>
      </c>
      <c r="J5595" s="56" t="s">
        <v>229</v>
      </c>
      <c r="K5595" s="57" t="s">
        <v>12050</v>
      </c>
      <c r="L5595" s="57" t="s">
        <v>364</v>
      </c>
      <c r="M5595" s="3" t="s">
        <v>230</v>
      </c>
      <c r="N5595" s="8" t="s">
        <v>8898</v>
      </c>
      <c r="O5595" s="6" t="s">
        <v>365</v>
      </c>
      <c r="P5595" s="58">
        <v>796</v>
      </c>
      <c r="Q5595" s="31" t="s">
        <v>234</v>
      </c>
      <c r="R5595" s="32">
        <v>4</v>
      </c>
      <c r="S5595" s="59">
        <v>438165</v>
      </c>
      <c r="T5595" s="4">
        <f>R5595*S5595</f>
        <v>1752660</v>
      </c>
      <c r="U5595" s="4">
        <f>T5595*1.12</f>
        <v>1962979.2000000002</v>
      </c>
      <c r="V5595" s="3"/>
      <c r="W5595" s="3">
        <v>2014</v>
      </c>
      <c r="X5595" s="3"/>
    </row>
    <row r="5596" spans="1:24" ht="114.75">
      <c r="A5596" s="3" t="s">
        <v>2302</v>
      </c>
      <c r="B5596" s="6" t="s">
        <v>361</v>
      </c>
      <c r="C5596" s="6" t="s">
        <v>6219</v>
      </c>
      <c r="D5596" s="6" t="s">
        <v>6220</v>
      </c>
      <c r="E5596" s="6" t="s">
        <v>5332</v>
      </c>
      <c r="F5596" s="129" t="s">
        <v>8205</v>
      </c>
      <c r="G5596" s="3" t="s">
        <v>11449</v>
      </c>
      <c r="H5596" s="185">
        <v>0</v>
      </c>
      <c r="I5596" s="16">
        <v>470000000</v>
      </c>
      <c r="J5596" s="56" t="s">
        <v>229</v>
      </c>
      <c r="K5596" s="57" t="s">
        <v>641</v>
      </c>
      <c r="L5596" s="57" t="s">
        <v>364</v>
      </c>
      <c r="M5596" s="3" t="s">
        <v>230</v>
      </c>
      <c r="N5596" s="8" t="s">
        <v>8898</v>
      </c>
      <c r="O5596" s="6" t="s">
        <v>365</v>
      </c>
      <c r="P5596" s="58">
        <v>796</v>
      </c>
      <c r="Q5596" s="31" t="s">
        <v>234</v>
      </c>
      <c r="R5596" s="32">
        <v>4</v>
      </c>
      <c r="S5596" s="59">
        <f>17900*1.07</f>
        <v>19153</v>
      </c>
      <c r="T5596" s="4">
        <v>0</v>
      </c>
      <c r="U5596" s="4">
        <f t="shared" si="242"/>
        <v>0</v>
      </c>
      <c r="V5596" s="3"/>
      <c r="W5596" s="3">
        <v>2014</v>
      </c>
      <c r="X5596" s="3" t="s">
        <v>12051</v>
      </c>
    </row>
    <row r="5597" spans="1:24" ht="114.75">
      <c r="A5597" s="3" t="s">
        <v>12042</v>
      </c>
      <c r="B5597" s="6" t="s">
        <v>361</v>
      </c>
      <c r="C5597" s="6" t="s">
        <v>6219</v>
      </c>
      <c r="D5597" s="6" t="s">
        <v>6220</v>
      </c>
      <c r="E5597" s="6" t="s">
        <v>5332</v>
      </c>
      <c r="F5597" s="129" t="s">
        <v>8205</v>
      </c>
      <c r="G5597" s="3" t="s">
        <v>11449</v>
      </c>
      <c r="H5597" s="185">
        <v>0</v>
      </c>
      <c r="I5597" s="16">
        <v>470000000</v>
      </c>
      <c r="J5597" s="56" t="s">
        <v>229</v>
      </c>
      <c r="K5597" s="57" t="s">
        <v>12050</v>
      </c>
      <c r="L5597" s="57" t="s">
        <v>364</v>
      </c>
      <c r="M5597" s="3" t="s">
        <v>230</v>
      </c>
      <c r="N5597" s="8" t="s">
        <v>8898</v>
      </c>
      <c r="O5597" s="6" t="s">
        <v>365</v>
      </c>
      <c r="P5597" s="58">
        <v>796</v>
      </c>
      <c r="Q5597" s="31" t="s">
        <v>234</v>
      </c>
      <c r="R5597" s="32">
        <v>4</v>
      </c>
      <c r="S5597" s="59">
        <v>86991</v>
      </c>
      <c r="T5597" s="4">
        <f>R5597*S5597</f>
        <v>347964</v>
      </c>
      <c r="U5597" s="4">
        <f>T5597*1.12</f>
        <v>389719.68000000005</v>
      </c>
      <c r="V5597" s="3"/>
      <c r="W5597" s="3">
        <v>2014</v>
      </c>
      <c r="X5597" s="3"/>
    </row>
    <row r="5598" spans="1:24" ht="114.75">
      <c r="A5598" s="3" t="s">
        <v>2303</v>
      </c>
      <c r="B5598" s="6" t="s">
        <v>361</v>
      </c>
      <c r="C5598" s="6" t="s">
        <v>6249</v>
      </c>
      <c r="D5598" s="6" t="s">
        <v>6227</v>
      </c>
      <c r="E5598" s="6" t="s">
        <v>6250</v>
      </c>
      <c r="F5598" s="129" t="s">
        <v>8206</v>
      </c>
      <c r="G5598" s="3" t="s">
        <v>11449</v>
      </c>
      <c r="H5598" s="185">
        <v>0</v>
      </c>
      <c r="I5598" s="16">
        <v>470000000</v>
      </c>
      <c r="J5598" s="56" t="s">
        <v>229</v>
      </c>
      <c r="K5598" s="57" t="s">
        <v>641</v>
      </c>
      <c r="L5598" s="57" t="s">
        <v>364</v>
      </c>
      <c r="M5598" s="3" t="s">
        <v>230</v>
      </c>
      <c r="N5598" s="8" t="s">
        <v>8898</v>
      </c>
      <c r="O5598" s="6" t="s">
        <v>365</v>
      </c>
      <c r="P5598" s="58">
        <v>796</v>
      </c>
      <c r="Q5598" s="31" t="s">
        <v>234</v>
      </c>
      <c r="R5598" s="32">
        <v>4</v>
      </c>
      <c r="S5598" s="59">
        <f>69500*1.07</f>
        <v>74365</v>
      </c>
      <c r="T5598" s="4">
        <v>0</v>
      </c>
      <c r="U5598" s="4">
        <f t="shared" si="242"/>
        <v>0</v>
      </c>
      <c r="V5598" s="3"/>
      <c r="W5598" s="3">
        <v>2014</v>
      </c>
      <c r="X5598" s="3" t="s">
        <v>12051</v>
      </c>
    </row>
    <row r="5599" spans="1:24" ht="114.75">
      <c r="A5599" s="3" t="s">
        <v>12043</v>
      </c>
      <c r="B5599" s="6" t="s">
        <v>361</v>
      </c>
      <c r="C5599" s="6" t="s">
        <v>6249</v>
      </c>
      <c r="D5599" s="6" t="s">
        <v>6227</v>
      </c>
      <c r="E5599" s="6" t="s">
        <v>6250</v>
      </c>
      <c r="F5599" s="129" t="s">
        <v>8206</v>
      </c>
      <c r="G5599" s="3" t="s">
        <v>11449</v>
      </c>
      <c r="H5599" s="185">
        <v>0</v>
      </c>
      <c r="I5599" s="16">
        <v>470000000</v>
      </c>
      <c r="J5599" s="56" t="s">
        <v>229</v>
      </c>
      <c r="K5599" s="57" t="s">
        <v>12050</v>
      </c>
      <c r="L5599" s="57" t="s">
        <v>364</v>
      </c>
      <c r="M5599" s="3" t="s">
        <v>230</v>
      </c>
      <c r="N5599" s="8" t="s">
        <v>8898</v>
      </c>
      <c r="O5599" s="6" t="s">
        <v>365</v>
      </c>
      <c r="P5599" s="58">
        <v>796</v>
      </c>
      <c r="Q5599" s="31" t="s">
        <v>234</v>
      </c>
      <c r="R5599" s="32">
        <v>4</v>
      </c>
      <c r="S5599" s="217">
        <v>160211.1</v>
      </c>
      <c r="T5599" s="4">
        <v>0</v>
      </c>
      <c r="U5599" s="4">
        <f>T5599*1.12</f>
        <v>0</v>
      </c>
      <c r="V5599" s="3"/>
      <c r="W5599" s="3">
        <v>2014</v>
      </c>
      <c r="X5599" s="3" t="s">
        <v>14785</v>
      </c>
    </row>
    <row r="5600" spans="1:24" ht="114.75">
      <c r="A5600" s="3" t="s">
        <v>16944</v>
      </c>
      <c r="B5600" s="6" t="s">
        <v>361</v>
      </c>
      <c r="C5600" s="6" t="s">
        <v>6249</v>
      </c>
      <c r="D5600" s="6" t="s">
        <v>6227</v>
      </c>
      <c r="E5600" s="6" t="s">
        <v>6250</v>
      </c>
      <c r="F5600" s="129" t="s">
        <v>8206</v>
      </c>
      <c r="G5600" s="3" t="s">
        <v>11449</v>
      </c>
      <c r="H5600" s="185">
        <v>0</v>
      </c>
      <c r="I5600" s="16">
        <v>470000000</v>
      </c>
      <c r="J5600" s="56" t="s">
        <v>229</v>
      </c>
      <c r="K5600" s="57" t="s">
        <v>8950</v>
      </c>
      <c r="L5600" s="57" t="s">
        <v>364</v>
      </c>
      <c r="M5600" s="3" t="s">
        <v>230</v>
      </c>
      <c r="N5600" s="8" t="s">
        <v>8898</v>
      </c>
      <c r="O5600" s="6" t="s">
        <v>365</v>
      </c>
      <c r="P5600" s="58">
        <v>796</v>
      </c>
      <c r="Q5600" s="31" t="s">
        <v>234</v>
      </c>
      <c r="R5600" s="32">
        <v>4</v>
      </c>
      <c r="S5600" s="217">
        <v>192253.32</v>
      </c>
      <c r="T5600" s="4">
        <v>0</v>
      </c>
      <c r="U5600" s="4">
        <f>T5600*1.12</f>
        <v>0</v>
      </c>
      <c r="V5600" s="3"/>
      <c r="W5600" s="3">
        <v>2014</v>
      </c>
      <c r="X5600" s="3">
        <v>11</v>
      </c>
    </row>
    <row r="5601" spans="1:24" ht="114.75">
      <c r="A5601" s="3" t="s">
        <v>18807</v>
      </c>
      <c r="B5601" s="6" t="s">
        <v>361</v>
      </c>
      <c r="C5601" s="6" t="s">
        <v>6249</v>
      </c>
      <c r="D5601" s="6" t="s">
        <v>6227</v>
      </c>
      <c r="E5601" s="6" t="s">
        <v>6250</v>
      </c>
      <c r="F5601" s="129" t="s">
        <v>8206</v>
      </c>
      <c r="G5601" s="3" t="s">
        <v>11449</v>
      </c>
      <c r="H5601" s="185">
        <v>0</v>
      </c>
      <c r="I5601" s="16">
        <v>470000000</v>
      </c>
      <c r="J5601" s="56" t="s">
        <v>229</v>
      </c>
      <c r="K5601" s="57" t="s">
        <v>18437</v>
      </c>
      <c r="L5601" s="57" t="s">
        <v>364</v>
      </c>
      <c r="M5601" s="3" t="s">
        <v>230</v>
      </c>
      <c r="N5601" s="8" t="s">
        <v>8898</v>
      </c>
      <c r="O5601" s="6" t="s">
        <v>365</v>
      </c>
      <c r="P5601" s="58">
        <v>796</v>
      </c>
      <c r="Q5601" s="31" t="s">
        <v>234</v>
      </c>
      <c r="R5601" s="32">
        <v>4</v>
      </c>
      <c r="S5601" s="217">
        <v>192253.32</v>
      </c>
      <c r="T5601" s="4">
        <f>R5601*S5601</f>
        <v>769013.28</v>
      </c>
      <c r="U5601" s="4">
        <f>T5601*1.12</f>
        <v>861294.87360000017</v>
      </c>
      <c r="V5601" s="3"/>
      <c r="W5601" s="3">
        <v>2014</v>
      </c>
      <c r="X5601" s="3"/>
    </row>
    <row r="5602" spans="1:24" ht="114.75">
      <c r="A5602" s="3" t="s">
        <v>2304</v>
      </c>
      <c r="B5602" s="6" t="s">
        <v>361</v>
      </c>
      <c r="C5602" s="6" t="s">
        <v>6226</v>
      </c>
      <c r="D5602" s="6" t="s">
        <v>6227</v>
      </c>
      <c r="E5602" s="6" t="s">
        <v>6228</v>
      </c>
      <c r="F5602" s="129" t="s">
        <v>8207</v>
      </c>
      <c r="G5602" s="3" t="s">
        <v>11449</v>
      </c>
      <c r="H5602" s="185">
        <v>0</v>
      </c>
      <c r="I5602" s="16">
        <v>470000000</v>
      </c>
      <c r="J5602" s="56" t="s">
        <v>229</v>
      </c>
      <c r="K5602" s="57" t="s">
        <v>641</v>
      </c>
      <c r="L5602" s="57" t="s">
        <v>364</v>
      </c>
      <c r="M5602" s="3" t="s">
        <v>230</v>
      </c>
      <c r="N5602" s="8" t="s">
        <v>8898</v>
      </c>
      <c r="O5602" s="6" t="s">
        <v>365</v>
      </c>
      <c r="P5602" s="58">
        <v>796</v>
      </c>
      <c r="Q5602" s="31" t="s">
        <v>234</v>
      </c>
      <c r="R5602" s="32">
        <v>8</v>
      </c>
      <c r="S5602" s="59">
        <f>2415*1.07</f>
        <v>2584.0500000000002</v>
      </c>
      <c r="T5602" s="4">
        <v>0</v>
      </c>
      <c r="U5602" s="4">
        <f t="shared" si="242"/>
        <v>0</v>
      </c>
      <c r="V5602" s="3"/>
      <c r="W5602" s="3">
        <v>2014</v>
      </c>
      <c r="X5602" s="3" t="s">
        <v>12051</v>
      </c>
    </row>
    <row r="5603" spans="1:24" ht="114.75">
      <c r="A5603" s="3" t="s">
        <v>12044</v>
      </c>
      <c r="B5603" s="6" t="s">
        <v>361</v>
      </c>
      <c r="C5603" s="6" t="s">
        <v>6226</v>
      </c>
      <c r="D5603" s="6" t="s">
        <v>6227</v>
      </c>
      <c r="E5603" s="6" t="s">
        <v>6228</v>
      </c>
      <c r="F5603" s="129" t="s">
        <v>8207</v>
      </c>
      <c r="G5603" s="3" t="s">
        <v>11449</v>
      </c>
      <c r="H5603" s="185">
        <v>0</v>
      </c>
      <c r="I5603" s="16">
        <v>470000000</v>
      </c>
      <c r="J5603" s="56" t="s">
        <v>229</v>
      </c>
      <c r="K5603" s="57" t="s">
        <v>12050</v>
      </c>
      <c r="L5603" s="57" t="s">
        <v>364</v>
      </c>
      <c r="M5603" s="3" t="s">
        <v>230</v>
      </c>
      <c r="N5603" s="8" t="s">
        <v>8898</v>
      </c>
      <c r="O5603" s="6" t="s">
        <v>365</v>
      </c>
      <c r="P5603" s="58">
        <v>796</v>
      </c>
      <c r="Q5603" s="31" t="s">
        <v>234</v>
      </c>
      <c r="R5603" s="32">
        <v>4</v>
      </c>
      <c r="S5603" s="217">
        <v>304917.90000000002</v>
      </c>
      <c r="T5603" s="4">
        <v>0</v>
      </c>
      <c r="U5603" s="4">
        <f>T5603*1.12</f>
        <v>0</v>
      </c>
      <c r="V5603" s="3"/>
      <c r="W5603" s="3">
        <v>2014</v>
      </c>
      <c r="X5603" s="3" t="s">
        <v>14785</v>
      </c>
    </row>
    <row r="5604" spans="1:24" ht="114.75">
      <c r="A5604" s="3" t="s">
        <v>16945</v>
      </c>
      <c r="B5604" s="6" t="s">
        <v>361</v>
      </c>
      <c r="C5604" s="6" t="s">
        <v>6226</v>
      </c>
      <c r="D5604" s="6" t="s">
        <v>6227</v>
      </c>
      <c r="E5604" s="6" t="s">
        <v>6228</v>
      </c>
      <c r="F5604" s="129" t="s">
        <v>8207</v>
      </c>
      <c r="G5604" s="3" t="s">
        <v>11449</v>
      </c>
      <c r="H5604" s="185">
        <v>0</v>
      </c>
      <c r="I5604" s="16">
        <v>470000000</v>
      </c>
      <c r="J5604" s="56" t="s">
        <v>229</v>
      </c>
      <c r="K5604" s="57" t="s">
        <v>8950</v>
      </c>
      <c r="L5604" s="57" t="s">
        <v>364</v>
      </c>
      <c r="M5604" s="3" t="s">
        <v>230</v>
      </c>
      <c r="N5604" s="8" t="s">
        <v>8898</v>
      </c>
      <c r="O5604" s="6" t="s">
        <v>365</v>
      </c>
      <c r="P5604" s="58">
        <v>796</v>
      </c>
      <c r="Q5604" s="31" t="s">
        <v>234</v>
      </c>
      <c r="R5604" s="32">
        <v>4</v>
      </c>
      <c r="S5604" s="217">
        <v>365901.48000000004</v>
      </c>
      <c r="T5604" s="4">
        <v>0</v>
      </c>
      <c r="U5604" s="4">
        <f>T5604*1.12</f>
        <v>0</v>
      </c>
      <c r="V5604" s="3"/>
      <c r="W5604" s="3">
        <v>2014</v>
      </c>
      <c r="X5604" s="3">
        <v>11</v>
      </c>
    </row>
    <row r="5605" spans="1:24" ht="114.75">
      <c r="A5605" s="3" t="s">
        <v>18808</v>
      </c>
      <c r="B5605" s="6" t="s">
        <v>361</v>
      </c>
      <c r="C5605" s="6" t="s">
        <v>6226</v>
      </c>
      <c r="D5605" s="6" t="s">
        <v>6227</v>
      </c>
      <c r="E5605" s="6" t="s">
        <v>6228</v>
      </c>
      <c r="F5605" s="129" t="s">
        <v>8207</v>
      </c>
      <c r="G5605" s="3" t="s">
        <v>11449</v>
      </c>
      <c r="H5605" s="185">
        <v>0</v>
      </c>
      <c r="I5605" s="16">
        <v>470000000</v>
      </c>
      <c r="J5605" s="56" t="s">
        <v>229</v>
      </c>
      <c r="K5605" s="57" t="s">
        <v>18437</v>
      </c>
      <c r="L5605" s="57" t="s">
        <v>364</v>
      </c>
      <c r="M5605" s="3" t="s">
        <v>230</v>
      </c>
      <c r="N5605" s="8" t="s">
        <v>8898</v>
      </c>
      <c r="O5605" s="6" t="s">
        <v>365</v>
      </c>
      <c r="P5605" s="58">
        <v>796</v>
      </c>
      <c r="Q5605" s="31" t="s">
        <v>234</v>
      </c>
      <c r="R5605" s="32">
        <v>4</v>
      </c>
      <c r="S5605" s="217">
        <v>365901.48000000004</v>
      </c>
      <c r="T5605" s="4">
        <f>R5605*S5605</f>
        <v>1463605.9200000002</v>
      </c>
      <c r="U5605" s="4">
        <f>T5605*1.12</f>
        <v>1639238.6304000004</v>
      </c>
      <c r="V5605" s="3"/>
      <c r="W5605" s="3">
        <v>2014</v>
      </c>
      <c r="X5605" s="3"/>
    </row>
    <row r="5606" spans="1:24" ht="114.75">
      <c r="A5606" s="3" t="s">
        <v>2305</v>
      </c>
      <c r="B5606" s="6" t="s">
        <v>361</v>
      </c>
      <c r="C5606" s="6" t="s">
        <v>6268</v>
      </c>
      <c r="D5606" s="6" t="s">
        <v>6269</v>
      </c>
      <c r="E5606" s="6" t="s">
        <v>5332</v>
      </c>
      <c r="F5606" s="129" t="s">
        <v>8208</v>
      </c>
      <c r="G5606" s="3" t="s">
        <v>11449</v>
      </c>
      <c r="H5606" s="185">
        <v>0</v>
      </c>
      <c r="I5606" s="16">
        <v>470000000</v>
      </c>
      <c r="J5606" s="56" t="s">
        <v>229</v>
      </c>
      <c r="K5606" s="57" t="s">
        <v>641</v>
      </c>
      <c r="L5606" s="57" t="s">
        <v>364</v>
      </c>
      <c r="M5606" s="3" t="s">
        <v>230</v>
      </c>
      <c r="N5606" s="8" t="s">
        <v>8898</v>
      </c>
      <c r="O5606" s="6" t="s">
        <v>365</v>
      </c>
      <c r="P5606" s="58">
        <v>796</v>
      </c>
      <c r="Q5606" s="31" t="s">
        <v>234</v>
      </c>
      <c r="R5606" s="32">
        <v>20</v>
      </c>
      <c r="S5606" s="59">
        <f>3700*1.07</f>
        <v>3959.0000000000005</v>
      </c>
      <c r="T5606" s="4">
        <v>0</v>
      </c>
      <c r="U5606" s="4">
        <f t="shared" si="242"/>
        <v>0</v>
      </c>
      <c r="V5606" s="3"/>
      <c r="W5606" s="3">
        <v>2014</v>
      </c>
      <c r="X5606" s="3" t="s">
        <v>12051</v>
      </c>
    </row>
    <row r="5607" spans="1:24" ht="114.75">
      <c r="A5607" s="3" t="s">
        <v>12045</v>
      </c>
      <c r="B5607" s="6" t="s">
        <v>361</v>
      </c>
      <c r="C5607" s="6" t="s">
        <v>6268</v>
      </c>
      <c r="D5607" s="6" t="s">
        <v>6269</v>
      </c>
      <c r="E5607" s="6" t="s">
        <v>5332</v>
      </c>
      <c r="F5607" s="129" t="s">
        <v>8208</v>
      </c>
      <c r="G5607" s="3" t="s">
        <v>11449</v>
      </c>
      <c r="H5607" s="185">
        <v>0</v>
      </c>
      <c r="I5607" s="16">
        <v>470000000</v>
      </c>
      <c r="J5607" s="56" t="s">
        <v>229</v>
      </c>
      <c r="K5607" s="57" t="s">
        <v>12050</v>
      </c>
      <c r="L5607" s="57" t="s">
        <v>364</v>
      </c>
      <c r="M5607" s="3" t="s">
        <v>230</v>
      </c>
      <c r="N5607" s="8" t="s">
        <v>8898</v>
      </c>
      <c r="O5607" s="6" t="s">
        <v>365</v>
      </c>
      <c r="P5607" s="58">
        <v>796</v>
      </c>
      <c r="Q5607" s="31" t="s">
        <v>234</v>
      </c>
      <c r="R5607" s="32">
        <v>2</v>
      </c>
      <c r="S5607" s="217">
        <v>83353</v>
      </c>
      <c r="T5607" s="4">
        <f>R5607*S5607</f>
        <v>166706</v>
      </c>
      <c r="U5607" s="4">
        <f>T5607*1.12</f>
        <v>186710.72000000003</v>
      </c>
      <c r="V5607" s="3"/>
      <c r="W5607" s="3">
        <v>2014</v>
      </c>
      <c r="X5607" s="3"/>
    </row>
    <row r="5608" spans="1:24" ht="114.75">
      <c r="A5608" s="3" t="s">
        <v>2306</v>
      </c>
      <c r="B5608" s="6" t="s">
        <v>361</v>
      </c>
      <c r="C5608" s="6" t="s">
        <v>6268</v>
      </c>
      <c r="D5608" s="6" t="s">
        <v>6269</v>
      </c>
      <c r="E5608" s="6" t="s">
        <v>5332</v>
      </c>
      <c r="F5608" s="129" t="s">
        <v>8209</v>
      </c>
      <c r="G5608" s="3" t="s">
        <v>11449</v>
      </c>
      <c r="H5608" s="185">
        <v>0</v>
      </c>
      <c r="I5608" s="16">
        <v>470000000</v>
      </c>
      <c r="J5608" s="56" t="s">
        <v>229</v>
      </c>
      <c r="K5608" s="57" t="s">
        <v>641</v>
      </c>
      <c r="L5608" s="57" t="s">
        <v>364</v>
      </c>
      <c r="M5608" s="3" t="s">
        <v>230</v>
      </c>
      <c r="N5608" s="8" t="s">
        <v>8898</v>
      </c>
      <c r="O5608" s="6" t="s">
        <v>365</v>
      </c>
      <c r="P5608" s="58">
        <v>796</v>
      </c>
      <c r="Q5608" s="31" t="s">
        <v>234</v>
      </c>
      <c r="R5608" s="32">
        <v>6</v>
      </c>
      <c r="S5608" s="59">
        <f>5600*1.07</f>
        <v>5992</v>
      </c>
      <c r="T5608" s="4">
        <v>0</v>
      </c>
      <c r="U5608" s="4">
        <f t="shared" si="242"/>
        <v>0</v>
      </c>
      <c r="V5608" s="3"/>
      <c r="W5608" s="3">
        <v>2014</v>
      </c>
      <c r="X5608" s="3" t="s">
        <v>12051</v>
      </c>
    </row>
    <row r="5609" spans="1:24" ht="114.75">
      <c r="A5609" s="3" t="s">
        <v>12046</v>
      </c>
      <c r="B5609" s="6" t="s">
        <v>361</v>
      </c>
      <c r="C5609" s="6" t="s">
        <v>6268</v>
      </c>
      <c r="D5609" s="6" t="s">
        <v>6269</v>
      </c>
      <c r="E5609" s="6" t="s">
        <v>5332</v>
      </c>
      <c r="F5609" s="129" t="s">
        <v>8209</v>
      </c>
      <c r="G5609" s="3" t="s">
        <v>11449</v>
      </c>
      <c r="H5609" s="185">
        <v>0</v>
      </c>
      <c r="I5609" s="16">
        <v>470000000</v>
      </c>
      <c r="J5609" s="56" t="s">
        <v>229</v>
      </c>
      <c r="K5609" s="57" t="s">
        <v>12050</v>
      </c>
      <c r="L5609" s="57" t="s">
        <v>364</v>
      </c>
      <c r="M5609" s="3" t="s">
        <v>230</v>
      </c>
      <c r="N5609" s="8" t="s">
        <v>8898</v>
      </c>
      <c r="O5609" s="6" t="s">
        <v>365</v>
      </c>
      <c r="P5609" s="58">
        <v>796</v>
      </c>
      <c r="Q5609" s="31" t="s">
        <v>234</v>
      </c>
      <c r="R5609" s="32">
        <v>2</v>
      </c>
      <c r="S5609" s="217">
        <v>50504</v>
      </c>
      <c r="T5609" s="4">
        <f>R5609*S5609</f>
        <v>101008</v>
      </c>
      <c r="U5609" s="4">
        <f>T5609*1.12</f>
        <v>113128.96000000001</v>
      </c>
      <c r="V5609" s="3"/>
      <c r="W5609" s="3">
        <v>2014</v>
      </c>
      <c r="X5609" s="3"/>
    </row>
    <row r="5610" spans="1:24" ht="114.75">
      <c r="A5610" s="3" t="s">
        <v>2307</v>
      </c>
      <c r="B5610" s="6" t="s">
        <v>361</v>
      </c>
      <c r="C5610" s="6" t="s">
        <v>6268</v>
      </c>
      <c r="D5610" s="6" t="s">
        <v>6269</v>
      </c>
      <c r="E5610" s="6" t="s">
        <v>5332</v>
      </c>
      <c r="F5610" s="129" t="s">
        <v>8210</v>
      </c>
      <c r="G5610" s="3" t="s">
        <v>11449</v>
      </c>
      <c r="H5610" s="185">
        <v>0</v>
      </c>
      <c r="I5610" s="16">
        <v>470000000</v>
      </c>
      <c r="J5610" s="56" t="s">
        <v>229</v>
      </c>
      <c r="K5610" s="57" t="s">
        <v>641</v>
      </c>
      <c r="L5610" s="57" t="s">
        <v>364</v>
      </c>
      <c r="M5610" s="3" t="s">
        <v>230</v>
      </c>
      <c r="N5610" s="8" t="s">
        <v>8898</v>
      </c>
      <c r="O5610" s="6" t="s">
        <v>365</v>
      </c>
      <c r="P5610" s="58">
        <v>796</v>
      </c>
      <c r="Q5610" s="31" t="s">
        <v>234</v>
      </c>
      <c r="R5610" s="32">
        <v>4</v>
      </c>
      <c r="S5610" s="59">
        <v>8442.5</v>
      </c>
      <c r="T5610" s="4">
        <v>0</v>
      </c>
      <c r="U5610" s="4">
        <f t="shared" si="242"/>
        <v>0</v>
      </c>
      <c r="V5610" s="3"/>
      <c r="W5610" s="3">
        <v>2014</v>
      </c>
      <c r="X5610" s="3" t="s">
        <v>12051</v>
      </c>
    </row>
    <row r="5611" spans="1:24" ht="114.75">
      <c r="A5611" s="3" t="s">
        <v>12047</v>
      </c>
      <c r="B5611" s="6" t="s">
        <v>361</v>
      </c>
      <c r="C5611" s="6" t="s">
        <v>6268</v>
      </c>
      <c r="D5611" s="6" t="s">
        <v>6269</v>
      </c>
      <c r="E5611" s="6" t="s">
        <v>5332</v>
      </c>
      <c r="F5611" s="129" t="s">
        <v>8210</v>
      </c>
      <c r="G5611" s="3" t="s">
        <v>11449</v>
      </c>
      <c r="H5611" s="185">
        <v>0</v>
      </c>
      <c r="I5611" s="16">
        <v>470000000</v>
      </c>
      <c r="J5611" s="56" t="s">
        <v>229</v>
      </c>
      <c r="K5611" s="57" t="s">
        <v>12050</v>
      </c>
      <c r="L5611" s="57" t="s">
        <v>364</v>
      </c>
      <c r="M5611" s="3" t="s">
        <v>230</v>
      </c>
      <c r="N5611" s="8" t="s">
        <v>8898</v>
      </c>
      <c r="O5611" s="6" t="s">
        <v>365</v>
      </c>
      <c r="P5611" s="58">
        <v>796</v>
      </c>
      <c r="Q5611" s="31" t="s">
        <v>234</v>
      </c>
      <c r="R5611" s="32">
        <v>2</v>
      </c>
      <c r="S5611" s="217">
        <v>83353</v>
      </c>
      <c r="T5611" s="4">
        <f>R5611*S5611</f>
        <v>166706</v>
      </c>
      <c r="U5611" s="4">
        <f>T5611*1.12</f>
        <v>186710.72000000003</v>
      </c>
      <c r="V5611" s="3"/>
      <c r="W5611" s="3">
        <v>2014</v>
      </c>
      <c r="X5611" s="3"/>
    </row>
    <row r="5612" spans="1:24" ht="114.75">
      <c r="A5612" s="3" t="s">
        <v>2308</v>
      </c>
      <c r="B5612" s="6" t="s">
        <v>361</v>
      </c>
      <c r="C5612" s="6" t="s">
        <v>6342</v>
      </c>
      <c r="D5612" s="6" t="s">
        <v>388</v>
      </c>
      <c r="E5612" s="6" t="s">
        <v>6343</v>
      </c>
      <c r="F5612" s="129" t="s">
        <v>8211</v>
      </c>
      <c r="G5612" s="3" t="s">
        <v>11449</v>
      </c>
      <c r="H5612" s="185">
        <v>0</v>
      </c>
      <c r="I5612" s="16">
        <v>470000000</v>
      </c>
      <c r="J5612" s="56" t="s">
        <v>229</v>
      </c>
      <c r="K5612" s="57" t="s">
        <v>641</v>
      </c>
      <c r="L5612" s="57" t="s">
        <v>364</v>
      </c>
      <c r="M5612" s="3" t="s">
        <v>230</v>
      </c>
      <c r="N5612" s="8" t="s">
        <v>8898</v>
      </c>
      <c r="O5612" s="6" t="s">
        <v>365</v>
      </c>
      <c r="P5612" s="58">
        <v>796</v>
      </c>
      <c r="Q5612" s="31" t="s">
        <v>234</v>
      </c>
      <c r="R5612" s="32">
        <v>6</v>
      </c>
      <c r="S5612" s="59">
        <v>95000</v>
      </c>
      <c r="T5612" s="4">
        <v>0</v>
      </c>
      <c r="U5612" s="4">
        <f t="shared" si="242"/>
        <v>0</v>
      </c>
      <c r="V5612" s="3"/>
      <c r="W5612" s="3">
        <v>2014</v>
      </c>
      <c r="X5612" s="3" t="s">
        <v>12051</v>
      </c>
    </row>
    <row r="5613" spans="1:24" ht="114.75">
      <c r="A5613" s="3" t="s">
        <v>12048</v>
      </c>
      <c r="B5613" s="6" t="s">
        <v>361</v>
      </c>
      <c r="C5613" s="6" t="s">
        <v>6342</v>
      </c>
      <c r="D5613" s="6" t="s">
        <v>388</v>
      </c>
      <c r="E5613" s="6" t="s">
        <v>6343</v>
      </c>
      <c r="F5613" s="129" t="s">
        <v>8211</v>
      </c>
      <c r="G5613" s="3" t="s">
        <v>11449</v>
      </c>
      <c r="H5613" s="185">
        <v>0</v>
      </c>
      <c r="I5613" s="16">
        <v>470000000</v>
      </c>
      <c r="J5613" s="56" t="s">
        <v>229</v>
      </c>
      <c r="K5613" s="57" t="s">
        <v>12050</v>
      </c>
      <c r="L5613" s="57" t="s">
        <v>364</v>
      </c>
      <c r="M5613" s="3" t="s">
        <v>230</v>
      </c>
      <c r="N5613" s="8" t="s">
        <v>8898</v>
      </c>
      <c r="O5613" s="6" t="s">
        <v>365</v>
      </c>
      <c r="P5613" s="58">
        <v>796</v>
      </c>
      <c r="Q5613" s="31" t="s">
        <v>234</v>
      </c>
      <c r="R5613" s="32">
        <v>4</v>
      </c>
      <c r="S5613" s="217">
        <v>19153</v>
      </c>
      <c r="T5613" s="4">
        <f>R5613*S5613</f>
        <v>76612</v>
      </c>
      <c r="U5613" s="4">
        <f>T5613*1.12</f>
        <v>85805.440000000002</v>
      </c>
      <c r="V5613" s="3"/>
      <c r="W5613" s="3">
        <v>2014</v>
      </c>
      <c r="X5613" s="3"/>
    </row>
    <row r="5614" spans="1:24" ht="114.75">
      <c r="A5614" s="3" t="s">
        <v>2309</v>
      </c>
      <c r="B5614" s="6" t="s">
        <v>361</v>
      </c>
      <c r="C5614" s="6" t="s">
        <v>6263</v>
      </c>
      <c r="D5614" s="6" t="s">
        <v>441</v>
      </c>
      <c r="E5614" s="6" t="s">
        <v>6264</v>
      </c>
      <c r="F5614" s="129" t="s">
        <v>8212</v>
      </c>
      <c r="G5614" s="3" t="s">
        <v>11449</v>
      </c>
      <c r="H5614" s="185">
        <v>0</v>
      </c>
      <c r="I5614" s="16">
        <v>470000000</v>
      </c>
      <c r="J5614" s="56" t="s">
        <v>229</v>
      </c>
      <c r="K5614" s="57" t="s">
        <v>641</v>
      </c>
      <c r="L5614" s="57" t="s">
        <v>364</v>
      </c>
      <c r="M5614" s="3" t="s">
        <v>230</v>
      </c>
      <c r="N5614" s="8" t="s">
        <v>8898</v>
      </c>
      <c r="O5614" s="6" t="s">
        <v>365</v>
      </c>
      <c r="P5614" s="58">
        <v>796</v>
      </c>
      <c r="Q5614" s="31" t="s">
        <v>234</v>
      </c>
      <c r="R5614" s="32">
        <v>30</v>
      </c>
      <c r="S5614" s="59">
        <v>3260</v>
      </c>
      <c r="T5614" s="4">
        <v>0</v>
      </c>
      <c r="U5614" s="4">
        <f t="shared" si="242"/>
        <v>0</v>
      </c>
      <c r="V5614" s="3"/>
      <c r="W5614" s="3">
        <v>2014</v>
      </c>
      <c r="X5614" s="3" t="s">
        <v>12051</v>
      </c>
    </row>
    <row r="5615" spans="1:24" ht="114.75">
      <c r="A5615" s="3" t="s">
        <v>12049</v>
      </c>
      <c r="B5615" s="6" t="s">
        <v>361</v>
      </c>
      <c r="C5615" s="6" t="s">
        <v>6263</v>
      </c>
      <c r="D5615" s="6" t="s">
        <v>441</v>
      </c>
      <c r="E5615" s="6" t="s">
        <v>6264</v>
      </c>
      <c r="F5615" s="129" t="s">
        <v>8212</v>
      </c>
      <c r="G5615" s="3" t="s">
        <v>11449</v>
      </c>
      <c r="H5615" s="185">
        <v>0</v>
      </c>
      <c r="I5615" s="16">
        <v>470000000</v>
      </c>
      <c r="J5615" s="56" t="s">
        <v>229</v>
      </c>
      <c r="K5615" s="57" t="s">
        <v>12050</v>
      </c>
      <c r="L5615" s="57" t="s">
        <v>364</v>
      </c>
      <c r="M5615" s="3" t="s">
        <v>230</v>
      </c>
      <c r="N5615" s="8" t="s">
        <v>8898</v>
      </c>
      <c r="O5615" s="6" t="s">
        <v>365</v>
      </c>
      <c r="P5615" s="58">
        <v>796</v>
      </c>
      <c r="Q5615" s="31" t="s">
        <v>234</v>
      </c>
      <c r="R5615" s="32">
        <v>4</v>
      </c>
      <c r="S5615" s="217">
        <v>74365</v>
      </c>
      <c r="T5615" s="4">
        <f>R5615*S5615</f>
        <v>297460</v>
      </c>
      <c r="U5615" s="4">
        <f>T5615*1.12</f>
        <v>333155.20000000001</v>
      </c>
      <c r="V5615" s="3"/>
      <c r="W5615" s="3">
        <v>2014</v>
      </c>
      <c r="X5615" s="3"/>
    </row>
    <row r="5616" spans="1:24" ht="114.75">
      <c r="A5616" s="3" t="s">
        <v>2310</v>
      </c>
      <c r="B5616" s="6" t="s">
        <v>361</v>
      </c>
      <c r="C5616" s="6" t="s">
        <v>5648</v>
      </c>
      <c r="D5616" s="6" t="s">
        <v>5649</v>
      </c>
      <c r="E5616" s="6" t="s">
        <v>5183</v>
      </c>
      <c r="F5616" s="129" t="s">
        <v>8213</v>
      </c>
      <c r="G5616" s="3" t="s">
        <v>11449</v>
      </c>
      <c r="H5616" s="185">
        <v>0</v>
      </c>
      <c r="I5616" s="16">
        <v>470000000</v>
      </c>
      <c r="J5616" s="56" t="s">
        <v>229</v>
      </c>
      <c r="K5616" s="57" t="s">
        <v>641</v>
      </c>
      <c r="L5616" s="57" t="s">
        <v>364</v>
      </c>
      <c r="M5616" s="3" t="s">
        <v>230</v>
      </c>
      <c r="N5616" s="8" t="s">
        <v>8898</v>
      </c>
      <c r="O5616" s="6" t="s">
        <v>365</v>
      </c>
      <c r="P5616" s="58">
        <v>796</v>
      </c>
      <c r="Q5616" s="31" t="s">
        <v>234</v>
      </c>
      <c r="R5616" s="19">
        <v>8</v>
      </c>
      <c r="S5616" s="59">
        <f>2415*1.07</f>
        <v>2584.0500000000002</v>
      </c>
      <c r="T5616" s="4">
        <v>0</v>
      </c>
      <c r="U5616" s="4">
        <f t="shared" ref="U5616:U5629" si="243">T5616*1.12</f>
        <v>0</v>
      </c>
      <c r="V5616" s="3"/>
      <c r="W5616" s="3">
        <v>2014</v>
      </c>
      <c r="X5616" s="3">
        <v>11</v>
      </c>
    </row>
    <row r="5617" spans="1:24" ht="114.75">
      <c r="A5617" s="3" t="s">
        <v>12052</v>
      </c>
      <c r="B5617" s="6" t="s">
        <v>361</v>
      </c>
      <c r="C5617" s="6" t="s">
        <v>5648</v>
      </c>
      <c r="D5617" s="6" t="s">
        <v>5649</v>
      </c>
      <c r="E5617" s="6" t="s">
        <v>5183</v>
      </c>
      <c r="F5617" s="129" t="s">
        <v>8213</v>
      </c>
      <c r="G5617" s="3" t="s">
        <v>11449</v>
      </c>
      <c r="H5617" s="185">
        <v>0</v>
      </c>
      <c r="I5617" s="16">
        <v>470000000</v>
      </c>
      <c r="J5617" s="56" t="s">
        <v>229</v>
      </c>
      <c r="K5617" s="57" t="s">
        <v>12050</v>
      </c>
      <c r="L5617" s="57" t="s">
        <v>364</v>
      </c>
      <c r="M5617" s="3" t="s">
        <v>230</v>
      </c>
      <c r="N5617" s="8" t="s">
        <v>8898</v>
      </c>
      <c r="O5617" s="6" t="s">
        <v>365</v>
      </c>
      <c r="P5617" s="58">
        <v>796</v>
      </c>
      <c r="Q5617" s="31" t="s">
        <v>234</v>
      </c>
      <c r="R5617" s="19">
        <v>8</v>
      </c>
      <c r="S5617" s="59">
        <f>2415*1.07</f>
        <v>2584.0500000000002</v>
      </c>
      <c r="T5617" s="4">
        <f>R5617*S5617</f>
        <v>20672.400000000001</v>
      </c>
      <c r="U5617" s="4">
        <f>T5617*1.12</f>
        <v>23153.088000000003</v>
      </c>
      <c r="V5617" s="3"/>
      <c r="W5617" s="3">
        <v>2014</v>
      </c>
      <c r="X5617" s="3"/>
    </row>
    <row r="5618" spans="1:24" ht="165.75">
      <c r="A5618" s="3" t="s">
        <v>2311</v>
      </c>
      <c r="B5618" s="6" t="s">
        <v>361</v>
      </c>
      <c r="C5618" s="6" t="s">
        <v>6255</v>
      </c>
      <c r="D5618" s="6" t="s">
        <v>455</v>
      </c>
      <c r="E5618" s="6" t="s">
        <v>6256</v>
      </c>
      <c r="F5618" s="129" t="s">
        <v>8214</v>
      </c>
      <c r="G5618" s="3" t="s">
        <v>11449</v>
      </c>
      <c r="H5618" s="185">
        <v>0</v>
      </c>
      <c r="I5618" s="16">
        <v>470000000</v>
      </c>
      <c r="J5618" s="56" t="s">
        <v>229</v>
      </c>
      <c r="K5618" s="57" t="s">
        <v>641</v>
      </c>
      <c r="L5618" s="57" t="s">
        <v>364</v>
      </c>
      <c r="M5618" s="3" t="s">
        <v>230</v>
      </c>
      <c r="N5618" s="8" t="s">
        <v>8898</v>
      </c>
      <c r="O5618" s="6" t="s">
        <v>365</v>
      </c>
      <c r="P5618" s="58">
        <v>796</v>
      </c>
      <c r="Q5618" s="31" t="s">
        <v>234</v>
      </c>
      <c r="R5618" s="19">
        <v>20</v>
      </c>
      <c r="S5618" s="59">
        <f>3700*1.07</f>
        <v>3959.0000000000005</v>
      </c>
      <c r="T5618" s="4">
        <v>0</v>
      </c>
      <c r="U5618" s="4">
        <f t="shared" si="243"/>
        <v>0</v>
      </c>
      <c r="V5618" s="3"/>
      <c r="W5618" s="3">
        <v>2014</v>
      </c>
      <c r="X5618" s="3">
        <v>11</v>
      </c>
    </row>
    <row r="5619" spans="1:24" ht="165.75">
      <c r="A5619" s="3" t="s">
        <v>12053</v>
      </c>
      <c r="B5619" s="6" t="s">
        <v>361</v>
      </c>
      <c r="C5619" s="6" t="s">
        <v>6255</v>
      </c>
      <c r="D5619" s="6" t="s">
        <v>455</v>
      </c>
      <c r="E5619" s="6" t="s">
        <v>6256</v>
      </c>
      <c r="F5619" s="129" t="s">
        <v>8214</v>
      </c>
      <c r="G5619" s="3" t="s">
        <v>11449</v>
      </c>
      <c r="H5619" s="185">
        <v>0</v>
      </c>
      <c r="I5619" s="16">
        <v>470000000</v>
      </c>
      <c r="J5619" s="56" t="s">
        <v>229</v>
      </c>
      <c r="K5619" s="57" t="s">
        <v>12050</v>
      </c>
      <c r="L5619" s="57" t="s">
        <v>364</v>
      </c>
      <c r="M5619" s="3" t="s">
        <v>230</v>
      </c>
      <c r="N5619" s="8" t="s">
        <v>8898</v>
      </c>
      <c r="O5619" s="6" t="s">
        <v>365</v>
      </c>
      <c r="P5619" s="58">
        <v>796</v>
      </c>
      <c r="Q5619" s="31" t="s">
        <v>234</v>
      </c>
      <c r="R5619" s="19">
        <v>20</v>
      </c>
      <c r="S5619" s="59">
        <f>3700*1.07</f>
        <v>3959.0000000000005</v>
      </c>
      <c r="T5619" s="4">
        <f>R5619*S5619</f>
        <v>79180.000000000015</v>
      </c>
      <c r="U5619" s="4">
        <f>T5619*1.12</f>
        <v>88681.60000000002</v>
      </c>
      <c r="V5619" s="3"/>
      <c r="W5619" s="3">
        <v>2014</v>
      </c>
      <c r="X5619" s="3"/>
    </row>
    <row r="5620" spans="1:24" ht="114.75">
      <c r="A5620" s="3" t="s">
        <v>2312</v>
      </c>
      <c r="B5620" s="6" t="s">
        <v>361</v>
      </c>
      <c r="C5620" s="6" t="s">
        <v>6252</v>
      </c>
      <c r="D5620" s="6" t="s">
        <v>6253</v>
      </c>
      <c r="E5620" s="6" t="s">
        <v>6254</v>
      </c>
      <c r="F5620" s="129" t="s">
        <v>8215</v>
      </c>
      <c r="G5620" s="3" t="s">
        <v>11449</v>
      </c>
      <c r="H5620" s="185">
        <v>0</v>
      </c>
      <c r="I5620" s="16">
        <v>470000000</v>
      </c>
      <c r="J5620" s="56" t="s">
        <v>229</v>
      </c>
      <c r="K5620" s="57" t="s">
        <v>641</v>
      </c>
      <c r="L5620" s="57" t="s">
        <v>364</v>
      </c>
      <c r="M5620" s="3" t="s">
        <v>230</v>
      </c>
      <c r="N5620" s="8" t="s">
        <v>8898</v>
      </c>
      <c r="O5620" s="6" t="s">
        <v>365</v>
      </c>
      <c r="P5620" s="58">
        <v>796</v>
      </c>
      <c r="Q5620" s="31" t="s">
        <v>234</v>
      </c>
      <c r="R5620" s="19">
        <v>6</v>
      </c>
      <c r="S5620" s="59">
        <f>5600*1.07</f>
        <v>5992</v>
      </c>
      <c r="T5620" s="4">
        <v>0</v>
      </c>
      <c r="U5620" s="4">
        <f t="shared" si="243"/>
        <v>0</v>
      </c>
      <c r="V5620" s="3"/>
      <c r="W5620" s="3">
        <v>2014</v>
      </c>
      <c r="X5620" s="3">
        <v>11</v>
      </c>
    </row>
    <row r="5621" spans="1:24" ht="114.75">
      <c r="A5621" s="3" t="s">
        <v>12054</v>
      </c>
      <c r="B5621" s="6" t="s">
        <v>361</v>
      </c>
      <c r="C5621" s="6" t="s">
        <v>6252</v>
      </c>
      <c r="D5621" s="6" t="s">
        <v>6253</v>
      </c>
      <c r="E5621" s="6" t="s">
        <v>6254</v>
      </c>
      <c r="F5621" s="129" t="s">
        <v>8215</v>
      </c>
      <c r="G5621" s="3" t="s">
        <v>11449</v>
      </c>
      <c r="H5621" s="185">
        <v>0</v>
      </c>
      <c r="I5621" s="16">
        <v>470000000</v>
      </c>
      <c r="J5621" s="56" t="s">
        <v>229</v>
      </c>
      <c r="K5621" s="57" t="s">
        <v>12050</v>
      </c>
      <c r="L5621" s="57" t="s">
        <v>364</v>
      </c>
      <c r="M5621" s="3" t="s">
        <v>230</v>
      </c>
      <c r="N5621" s="8" t="s">
        <v>8898</v>
      </c>
      <c r="O5621" s="6" t="s">
        <v>365</v>
      </c>
      <c r="P5621" s="58">
        <v>796</v>
      </c>
      <c r="Q5621" s="31" t="s">
        <v>234</v>
      </c>
      <c r="R5621" s="19">
        <v>6</v>
      </c>
      <c r="S5621" s="59">
        <f>5600*1.07</f>
        <v>5992</v>
      </c>
      <c r="T5621" s="4">
        <f>R5621*S5621</f>
        <v>35952</v>
      </c>
      <c r="U5621" s="4">
        <f>T5621*1.12</f>
        <v>40266.240000000005</v>
      </c>
      <c r="V5621" s="3"/>
      <c r="W5621" s="3">
        <v>2014</v>
      </c>
      <c r="X5621" s="3"/>
    </row>
    <row r="5622" spans="1:24" ht="114.75">
      <c r="A5622" s="3" t="s">
        <v>2313</v>
      </c>
      <c r="B5622" s="6" t="s">
        <v>361</v>
      </c>
      <c r="C5622" s="6" t="s">
        <v>5919</v>
      </c>
      <c r="D5622" s="6" t="s">
        <v>5920</v>
      </c>
      <c r="E5622" s="6" t="s">
        <v>5332</v>
      </c>
      <c r="F5622" s="129" t="s">
        <v>8216</v>
      </c>
      <c r="G5622" s="3" t="s">
        <v>11449</v>
      </c>
      <c r="H5622" s="185">
        <v>0</v>
      </c>
      <c r="I5622" s="16">
        <v>470000000</v>
      </c>
      <c r="J5622" s="56" t="s">
        <v>229</v>
      </c>
      <c r="K5622" s="57" t="s">
        <v>641</v>
      </c>
      <c r="L5622" s="57" t="s">
        <v>364</v>
      </c>
      <c r="M5622" s="3" t="s">
        <v>230</v>
      </c>
      <c r="N5622" s="8" t="s">
        <v>8898</v>
      </c>
      <c r="O5622" s="6" t="s">
        <v>365</v>
      </c>
      <c r="P5622" s="58">
        <v>796</v>
      </c>
      <c r="Q5622" s="31" t="s">
        <v>234</v>
      </c>
      <c r="R5622" s="19">
        <v>4</v>
      </c>
      <c r="S5622" s="59">
        <v>8442.5</v>
      </c>
      <c r="T5622" s="4">
        <v>0</v>
      </c>
      <c r="U5622" s="4">
        <f t="shared" si="243"/>
        <v>0</v>
      </c>
      <c r="V5622" s="3"/>
      <c r="W5622" s="3">
        <v>2014</v>
      </c>
      <c r="X5622" s="3">
        <v>11</v>
      </c>
    </row>
    <row r="5623" spans="1:24" ht="114.75">
      <c r="A5623" s="3" t="s">
        <v>12055</v>
      </c>
      <c r="B5623" s="6" t="s">
        <v>361</v>
      </c>
      <c r="C5623" s="6" t="s">
        <v>5919</v>
      </c>
      <c r="D5623" s="6" t="s">
        <v>5920</v>
      </c>
      <c r="E5623" s="6" t="s">
        <v>5332</v>
      </c>
      <c r="F5623" s="129" t="s">
        <v>8216</v>
      </c>
      <c r="G5623" s="3" t="s">
        <v>11449</v>
      </c>
      <c r="H5623" s="185">
        <v>0</v>
      </c>
      <c r="I5623" s="16">
        <v>470000000</v>
      </c>
      <c r="J5623" s="56" t="s">
        <v>229</v>
      </c>
      <c r="K5623" s="57" t="s">
        <v>12050</v>
      </c>
      <c r="L5623" s="57" t="s">
        <v>364</v>
      </c>
      <c r="M5623" s="3" t="s">
        <v>230</v>
      </c>
      <c r="N5623" s="8" t="s">
        <v>8898</v>
      </c>
      <c r="O5623" s="6" t="s">
        <v>365</v>
      </c>
      <c r="P5623" s="58">
        <v>796</v>
      </c>
      <c r="Q5623" s="31" t="s">
        <v>234</v>
      </c>
      <c r="R5623" s="19">
        <v>4</v>
      </c>
      <c r="S5623" s="59">
        <v>8442.5</v>
      </c>
      <c r="T5623" s="4">
        <f>R5623*S5623</f>
        <v>33770</v>
      </c>
      <c r="U5623" s="4">
        <f>T5623*1.12</f>
        <v>37822.400000000001</v>
      </c>
      <c r="V5623" s="3"/>
      <c r="W5623" s="3">
        <v>2014</v>
      </c>
      <c r="X5623" s="3"/>
    </row>
    <row r="5624" spans="1:24" ht="114.75">
      <c r="A5624" s="3" t="s">
        <v>2314</v>
      </c>
      <c r="B5624" s="6" t="s">
        <v>361</v>
      </c>
      <c r="C5624" s="6" t="s">
        <v>5760</v>
      </c>
      <c r="D5624" s="6" t="s">
        <v>5761</v>
      </c>
      <c r="E5624" s="6" t="s">
        <v>5762</v>
      </c>
      <c r="F5624" s="129" t="s">
        <v>6344</v>
      </c>
      <c r="G5624" s="3" t="s">
        <v>11449</v>
      </c>
      <c r="H5624" s="185">
        <v>0</v>
      </c>
      <c r="I5624" s="16">
        <v>470000000</v>
      </c>
      <c r="J5624" s="56" t="s">
        <v>229</v>
      </c>
      <c r="K5624" s="57" t="s">
        <v>641</v>
      </c>
      <c r="L5624" s="57" t="s">
        <v>364</v>
      </c>
      <c r="M5624" s="3" t="s">
        <v>230</v>
      </c>
      <c r="N5624" s="8" t="s">
        <v>8898</v>
      </c>
      <c r="O5624" s="6" t="s">
        <v>365</v>
      </c>
      <c r="P5624" s="58">
        <v>796</v>
      </c>
      <c r="Q5624" s="31" t="s">
        <v>234</v>
      </c>
      <c r="R5624" s="19">
        <v>6</v>
      </c>
      <c r="S5624" s="59">
        <v>95000</v>
      </c>
      <c r="T5624" s="4">
        <v>0</v>
      </c>
      <c r="U5624" s="4">
        <f t="shared" si="243"/>
        <v>0</v>
      </c>
      <c r="V5624" s="3"/>
      <c r="W5624" s="3">
        <v>2014</v>
      </c>
      <c r="X5624" s="3">
        <v>11</v>
      </c>
    </row>
    <row r="5625" spans="1:24" ht="114.75">
      <c r="A5625" s="3" t="s">
        <v>12056</v>
      </c>
      <c r="B5625" s="6" t="s">
        <v>361</v>
      </c>
      <c r="C5625" s="6" t="s">
        <v>5760</v>
      </c>
      <c r="D5625" s="6" t="s">
        <v>5761</v>
      </c>
      <c r="E5625" s="6" t="s">
        <v>5762</v>
      </c>
      <c r="F5625" s="129" t="s">
        <v>6344</v>
      </c>
      <c r="G5625" s="3" t="s">
        <v>11449</v>
      </c>
      <c r="H5625" s="185">
        <v>0</v>
      </c>
      <c r="I5625" s="16">
        <v>470000000</v>
      </c>
      <c r="J5625" s="56" t="s">
        <v>229</v>
      </c>
      <c r="K5625" s="57" t="s">
        <v>12050</v>
      </c>
      <c r="L5625" s="57" t="s">
        <v>364</v>
      </c>
      <c r="M5625" s="3" t="s">
        <v>230</v>
      </c>
      <c r="N5625" s="8" t="s">
        <v>8898</v>
      </c>
      <c r="O5625" s="6" t="s">
        <v>365</v>
      </c>
      <c r="P5625" s="58">
        <v>796</v>
      </c>
      <c r="Q5625" s="31" t="s">
        <v>234</v>
      </c>
      <c r="R5625" s="19">
        <v>6</v>
      </c>
      <c r="S5625" s="59">
        <v>95000</v>
      </c>
      <c r="T5625" s="4">
        <v>0</v>
      </c>
      <c r="U5625" s="4">
        <f>T5625*1.12</f>
        <v>0</v>
      </c>
      <c r="V5625" s="3"/>
      <c r="W5625" s="3">
        <v>2014</v>
      </c>
      <c r="X5625" s="3" t="s">
        <v>14785</v>
      </c>
    </row>
    <row r="5626" spans="1:24" ht="114.75">
      <c r="A5626" s="3" t="s">
        <v>16946</v>
      </c>
      <c r="B5626" s="6" t="s">
        <v>361</v>
      </c>
      <c r="C5626" s="6" t="s">
        <v>5760</v>
      </c>
      <c r="D5626" s="6" t="s">
        <v>5761</v>
      </c>
      <c r="E5626" s="6" t="s">
        <v>5762</v>
      </c>
      <c r="F5626" s="129" t="s">
        <v>6344</v>
      </c>
      <c r="G5626" s="3" t="s">
        <v>11449</v>
      </c>
      <c r="H5626" s="185">
        <v>0</v>
      </c>
      <c r="I5626" s="16">
        <v>470000000</v>
      </c>
      <c r="J5626" s="56" t="s">
        <v>229</v>
      </c>
      <c r="K5626" s="57" t="s">
        <v>8950</v>
      </c>
      <c r="L5626" s="57" t="s">
        <v>364</v>
      </c>
      <c r="M5626" s="3" t="s">
        <v>230</v>
      </c>
      <c r="N5626" s="8" t="s">
        <v>8898</v>
      </c>
      <c r="O5626" s="6" t="s">
        <v>365</v>
      </c>
      <c r="P5626" s="58">
        <v>796</v>
      </c>
      <c r="Q5626" s="31" t="s">
        <v>234</v>
      </c>
      <c r="R5626" s="19">
        <v>6</v>
      </c>
      <c r="S5626" s="59">
        <v>114000</v>
      </c>
      <c r="T5626" s="4">
        <v>0</v>
      </c>
      <c r="U5626" s="4">
        <f>T5626*1.12</f>
        <v>0</v>
      </c>
      <c r="V5626" s="3"/>
      <c r="W5626" s="3">
        <v>2014</v>
      </c>
      <c r="X5626" s="3">
        <v>11</v>
      </c>
    </row>
    <row r="5627" spans="1:24" ht="114.75">
      <c r="A5627" s="3" t="s">
        <v>18809</v>
      </c>
      <c r="B5627" s="6" t="s">
        <v>361</v>
      </c>
      <c r="C5627" s="6" t="s">
        <v>5760</v>
      </c>
      <c r="D5627" s="6" t="s">
        <v>5761</v>
      </c>
      <c r="E5627" s="6" t="s">
        <v>5762</v>
      </c>
      <c r="F5627" s="129" t="s">
        <v>6344</v>
      </c>
      <c r="G5627" s="3" t="s">
        <v>11449</v>
      </c>
      <c r="H5627" s="185">
        <v>0</v>
      </c>
      <c r="I5627" s="16">
        <v>470000000</v>
      </c>
      <c r="J5627" s="56" t="s">
        <v>229</v>
      </c>
      <c r="K5627" s="57" t="s">
        <v>18437</v>
      </c>
      <c r="L5627" s="57" t="s">
        <v>364</v>
      </c>
      <c r="M5627" s="3" t="s">
        <v>230</v>
      </c>
      <c r="N5627" s="8" t="s">
        <v>8898</v>
      </c>
      <c r="O5627" s="6" t="s">
        <v>365</v>
      </c>
      <c r="P5627" s="58">
        <v>796</v>
      </c>
      <c r="Q5627" s="31" t="s">
        <v>234</v>
      </c>
      <c r="R5627" s="19">
        <v>6</v>
      </c>
      <c r="S5627" s="59">
        <v>114000</v>
      </c>
      <c r="T5627" s="4">
        <v>0</v>
      </c>
      <c r="U5627" s="4">
        <f>T5627*1.12</f>
        <v>0</v>
      </c>
      <c r="V5627" s="3"/>
      <c r="W5627" s="3">
        <v>2014</v>
      </c>
      <c r="X5627" s="3">
        <v>14.15</v>
      </c>
    </row>
    <row r="5628" spans="1:24" ht="76.5">
      <c r="A5628" s="3" t="s">
        <v>19516</v>
      </c>
      <c r="B5628" s="6" t="s">
        <v>361</v>
      </c>
      <c r="C5628" s="6" t="s">
        <v>5760</v>
      </c>
      <c r="D5628" s="6" t="s">
        <v>5761</v>
      </c>
      <c r="E5628" s="6" t="s">
        <v>5762</v>
      </c>
      <c r="F5628" s="129" t="s">
        <v>6344</v>
      </c>
      <c r="G5628" s="3" t="s">
        <v>11449</v>
      </c>
      <c r="H5628" s="185">
        <v>0</v>
      </c>
      <c r="I5628" s="16">
        <v>470000000</v>
      </c>
      <c r="J5628" s="56" t="s">
        <v>229</v>
      </c>
      <c r="K5628" s="57" t="s">
        <v>18437</v>
      </c>
      <c r="L5628" s="57" t="s">
        <v>364</v>
      </c>
      <c r="M5628" s="3" t="s">
        <v>230</v>
      </c>
      <c r="N5628" s="8" t="s">
        <v>19369</v>
      </c>
      <c r="O5628" s="6" t="s">
        <v>19407</v>
      </c>
      <c r="P5628" s="58">
        <v>796</v>
      </c>
      <c r="Q5628" s="31" t="s">
        <v>234</v>
      </c>
      <c r="R5628" s="19">
        <v>6</v>
      </c>
      <c r="S5628" s="59">
        <v>114000</v>
      </c>
      <c r="T5628" s="4">
        <f>R5628*S5628</f>
        <v>684000</v>
      </c>
      <c r="U5628" s="4">
        <f>T5628*1.12</f>
        <v>766080.00000000012</v>
      </c>
      <c r="V5628" s="3"/>
      <c r="W5628" s="3">
        <v>2014</v>
      </c>
      <c r="X5628" s="3"/>
    </row>
    <row r="5629" spans="1:24" ht="114.75">
      <c r="A5629" s="3" t="s">
        <v>2315</v>
      </c>
      <c r="B5629" s="6" t="s">
        <v>361</v>
      </c>
      <c r="C5629" s="6" t="s">
        <v>6282</v>
      </c>
      <c r="D5629" s="6" t="s">
        <v>5357</v>
      </c>
      <c r="E5629" s="6" t="s">
        <v>6283</v>
      </c>
      <c r="F5629" s="129" t="s">
        <v>8217</v>
      </c>
      <c r="G5629" s="3" t="s">
        <v>11449</v>
      </c>
      <c r="H5629" s="185">
        <v>0</v>
      </c>
      <c r="I5629" s="16">
        <v>470000000</v>
      </c>
      <c r="J5629" s="56" t="s">
        <v>229</v>
      </c>
      <c r="K5629" s="57" t="s">
        <v>641</v>
      </c>
      <c r="L5629" s="57" t="s">
        <v>364</v>
      </c>
      <c r="M5629" s="3" t="s">
        <v>230</v>
      </c>
      <c r="N5629" s="8" t="s">
        <v>8898</v>
      </c>
      <c r="O5629" s="6" t="s">
        <v>365</v>
      </c>
      <c r="P5629" s="58">
        <v>796</v>
      </c>
      <c r="Q5629" s="31" t="s">
        <v>234</v>
      </c>
      <c r="R5629" s="19">
        <v>30</v>
      </c>
      <c r="S5629" s="59">
        <v>3260</v>
      </c>
      <c r="T5629" s="4">
        <v>0</v>
      </c>
      <c r="U5629" s="4">
        <f t="shared" si="243"/>
        <v>0</v>
      </c>
      <c r="V5629" s="3"/>
      <c r="W5629" s="3">
        <v>2014</v>
      </c>
      <c r="X5629" s="3">
        <v>11</v>
      </c>
    </row>
    <row r="5630" spans="1:24" ht="114.75">
      <c r="A5630" s="3" t="s">
        <v>12057</v>
      </c>
      <c r="B5630" s="6" t="s">
        <v>361</v>
      </c>
      <c r="C5630" s="6" t="s">
        <v>6282</v>
      </c>
      <c r="D5630" s="6" t="s">
        <v>5357</v>
      </c>
      <c r="E5630" s="6" t="s">
        <v>6283</v>
      </c>
      <c r="F5630" s="129" t="s">
        <v>8217</v>
      </c>
      <c r="G5630" s="3" t="s">
        <v>11449</v>
      </c>
      <c r="H5630" s="185">
        <v>0</v>
      </c>
      <c r="I5630" s="16">
        <v>470000000</v>
      </c>
      <c r="J5630" s="56" t="s">
        <v>229</v>
      </c>
      <c r="K5630" s="57" t="s">
        <v>12050</v>
      </c>
      <c r="L5630" s="57" t="s">
        <v>364</v>
      </c>
      <c r="M5630" s="3" t="s">
        <v>230</v>
      </c>
      <c r="N5630" s="8" t="s">
        <v>8898</v>
      </c>
      <c r="O5630" s="6" t="s">
        <v>365</v>
      </c>
      <c r="P5630" s="58">
        <v>796</v>
      </c>
      <c r="Q5630" s="31" t="s">
        <v>234</v>
      </c>
      <c r="R5630" s="19">
        <v>30</v>
      </c>
      <c r="S5630" s="59">
        <v>3260</v>
      </c>
      <c r="T5630" s="4">
        <f>R5630*S5630</f>
        <v>97800</v>
      </c>
      <c r="U5630" s="4">
        <f>T5630*1.12</f>
        <v>109536.00000000001</v>
      </c>
      <c r="V5630" s="3"/>
      <c r="W5630" s="3">
        <v>2014</v>
      </c>
      <c r="X5630" s="3"/>
    </row>
    <row r="5631" spans="1:24" ht="114.75">
      <c r="A5631" s="3" t="s">
        <v>2316</v>
      </c>
      <c r="B5631" s="6" t="s">
        <v>361</v>
      </c>
      <c r="C5631" s="6" t="s">
        <v>6005</v>
      </c>
      <c r="D5631" s="6" t="s">
        <v>6006</v>
      </c>
      <c r="E5631" s="6" t="s">
        <v>6007</v>
      </c>
      <c r="F5631" s="129" t="s">
        <v>8218</v>
      </c>
      <c r="G5631" s="3" t="s">
        <v>11449</v>
      </c>
      <c r="H5631" s="185">
        <v>0</v>
      </c>
      <c r="I5631" s="16">
        <v>470000000</v>
      </c>
      <c r="J5631" s="56" t="s">
        <v>229</v>
      </c>
      <c r="K5631" s="57" t="s">
        <v>641</v>
      </c>
      <c r="L5631" s="57" t="s">
        <v>364</v>
      </c>
      <c r="M5631" s="3" t="s">
        <v>230</v>
      </c>
      <c r="N5631" s="8" t="s">
        <v>8898</v>
      </c>
      <c r="O5631" s="6" t="s">
        <v>365</v>
      </c>
      <c r="P5631" s="58">
        <v>796</v>
      </c>
      <c r="Q5631" s="31" t="s">
        <v>234</v>
      </c>
      <c r="R5631" s="32">
        <v>50</v>
      </c>
      <c r="S5631" s="59">
        <v>5300.9785000000002</v>
      </c>
      <c r="T5631" s="4">
        <v>0</v>
      </c>
      <c r="U5631" s="4">
        <f t="shared" ref="U5631:U5758" si="244">T5631*1.12</f>
        <v>0</v>
      </c>
      <c r="V5631" s="3"/>
      <c r="W5631" s="3">
        <v>2014</v>
      </c>
      <c r="X5631" s="3">
        <v>11.12</v>
      </c>
    </row>
    <row r="5632" spans="1:24" ht="114.75">
      <c r="A5632" s="3" t="s">
        <v>13364</v>
      </c>
      <c r="B5632" s="6" t="s">
        <v>361</v>
      </c>
      <c r="C5632" s="6" t="s">
        <v>6005</v>
      </c>
      <c r="D5632" s="6" t="s">
        <v>6006</v>
      </c>
      <c r="E5632" s="6" t="s">
        <v>6007</v>
      </c>
      <c r="F5632" s="129" t="s">
        <v>8218</v>
      </c>
      <c r="G5632" s="3" t="s">
        <v>11449</v>
      </c>
      <c r="H5632" s="185">
        <v>0</v>
      </c>
      <c r="I5632" s="16">
        <v>470000000</v>
      </c>
      <c r="J5632" s="56" t="s">
        <v>229</v>
      </c>
      <c r="K5632" s="57" t="s">
        <v>642</v>
      </c>
      <c r="L5632" s="12" t="s">
        <v>404</v>
      </c>
      <c r="M5632" s="3" t="s">
        <v>230</v>
      </c>
      <c r="N5632" s="8" t="s">
        <v>8898</v>
      </c>
      <c r="O5632" s="6" t="s">
        <v>365</v>
      </c>
      <c r="P5632" s="58">
        <v>796</v>
      </c>
      <c r="Q5632" s="31" t="s">
        <v>234</v>
      </c>
      <c r="R5632" s="32">
        <v>50</v>
      </c>
      <c r="S5632" s="59">
        <v>5300.9785000000002</v>
      </c>
      <c r="T5632" s="4">
        <f>R5632*S5632</f>
        <v>265048.92499999999</v>
      </c>
      <c r="U5632" s="4">
        <f>T5632*1.12</f>
        <v>296854.79600000003</v>
      </c>
      <c r="V5632" s="3"/>
      <c r="W5632" s="3">
        <v>2014</v>
      </c>
      <c r="X5632" s="3"/>
    </row>
    <row r="5633" spans="1:24" ht="114.75">
      <c r="A5633" s="3" t="s">
        <v>2317</v>
      </c>
      <c r="B5633" s="6" t="s">
        <v>361</v>
      </c>
      <c r="C5633" s="6" t="s">
        <v>6345</v>
      </c>
      <c r="D5633" s="6" t="s">
        <v>494</v>
      </c>
      <c r="E5633" s="6" t="s">
        <v>6346</v>
      </c>
      <c r="F5633" s="129" t="s">
        <v>8219</v>
      </c>
      <c r="G5633" s="3" t="s">
        <v>11449</v>
      </c>
      <c r="H5633" s="185">
        <v>0</v>
      </c>
      <c r="I5633" s="16">
        <v>470000000</v>
      </c>
      <c r="J5633" s="56" t="s">
        <v>229</v>
      </c>
      <c r="K5633" s="57" t="s">
        <v>641</v>
      </c>
      <c r="L5633" s="57" t="s">
        <v>364</v>
      </c>
      <c r="M5633" s="3" t="s">
        <v>230</v>
      </c>
      <c r="N5633" s="8" t="s">
        <v>8898</v>
      </c>
      <c r="O5633" s="6" t="s">
        <v>365</v>
      </c>
      <c r="P5633" s="58">
        <v>796</v>
      </c>
      <c r="Q5633" s="31" t="s">
        <v>234</v>
      </c>
      <c r="R5633" s="32">
        <v>50</v>
      </c>
      <c r="S5633" s="59">
        <v>4327.3249999999998</v>
      </c>
      <c r="T5633" s="4">
        <v>0</v>
      </c>
      <c r="U5633" s="4">
        <f t="shared" si="244"/>
        <v>0</v>
      </c>
      <c r="V5633" s="3"/>
      <c r="W5633" s="3">
        <v>2014</v>
      </c>
      <c r="X5633" s="3">
        <v>11.12</v>
      </c>
    </row>
    <row r="5634" spans="1:24" ht="114.75">
      <c r="A5634" s="3" t="s">
        <v>13365</v>
      </c>
      <c r="B5634" s="6" t="s">
        <v>361</v>
      </c>
      <c r="C5634" s="6" t="s">
        <v>6345</v>
      </c>
      <c r="D5634" s="6" t="s">
        <v>494</v>
      </c>
      <c r="E5634" s="6" t="s">
        <v>6346</v>
      </c>
      <c r="F5634" s="129" t="s">
        <v>8219</v>
      </c>
      <c r="G5634" s="3" t="s">
        <v>11449</v>
      </c>
      <c r="H5634" s="185">
        <v>0</v>
      </c>
      <c r="I5634" s="16">
        <v>470000000</v>
      </c>
      <c r="J5634" s="56" t="s">
        <v>229</v>
      </c>
      <c r="K5634" s="57" t="s">
        <v>642</v>
      </c>
      <c r="L5634" s="12" t="s">
        <v>404</v>
      </c>
      <c r="M5634" s="3" t="s">
        <v>230</v>
      </c>
      <c r="N5634" s="8" t="s">
        <v>8898</v>
      </c>
      <c r="O5634" s="6" t="s">
        <v>365</v>
      </c>
      <c r="P5634" s="58">
        <v>796</v>
      </c>
      <c r="Q5634" s="31" t="s">
        <v>234</v>
      </c>
      <c r="R5634" s="32">
        <v>50</v>
      </c>
      <c r="S5634" s="59">
        <v>4327.3249999999998</v>
      </c>
      <c r="T5634" s="4">
        <f>R5634*S5634</f>
        <v>216366.25</v>
      </c>
      <c r="U5634" s="4">
        <f>T5634*1.12</f>
        <v>242330.2</v>
      </c>
      <c r="V5634" s="3"/>
      <c r="W5634" s="3">
        <v>2014</v>
      </c>
      <c r="X5634" s="3"/>
    </row>
    <row r="5635" spans="1:24" ht="114.75">
      <c r="A5635" s="3" t="s">
        <v>2318</v>
      </c>
      <c r="B5635" s="6" t="s">
        <v>361</v>
      </c>
      <c r="C5635" s="6" t="s">
        <v>6345</v>
      </c>
      <c r="D5635" s="6" t="s">
        <v>494</v>
      </c>
      <c r="E5635" s="6" t="s">
        <v>6346</v>
      </c>
      <c r="F5635" s="129" t="s">
        <v>8220</v>
      </c>
      <c r="G5635" s="3" t="s">
        <v>11449</v>
      </c>
      <c r="H5635" s="185">
        <v>0</v>
      </c>
      <c r="I5635" s="16">
        <v>470000000</v>
      </c>
      <c r="J5635" s="56" t="s">
        <v>229</v>
      </c>
      <c r="K5635" s="57" t="s">
        <v>641</v>
      </c>
      <c r="L5635" s="57" t="s">
        <v>364</v>
      </c>
      <c r="M5635" s="3" t="s">
        <v>230</v>
      </c>
      <c r="N5635" s="8" t="s">
        <v>8898</v>
      </c>
      <c r="O5635" s="6" t="s">
        <v>365</v>
      </c>
      <c r="P5635" s="58">
        <v>796</v>
      </c>
      <c r="Q5635" s="31" t="s">
        <v>234</v>
      </c>
      <c r="R5635" s="32">
        <v>50</v>
      </c>
      <c r="S5635" s="59">
        <v>6563.3734999999997</v>
      </c>
      <c r="T5635" s="4">
        <v>0</v>
      </c>
      <c r="U5635" s="4">
        <f t="shared" si="244"/>
        <v>0</v>
      </c>
      <c r="V5635" s="3"/>
      <c r="W5635" s="3">
        <v>2014</v>
      </c>
      <c r="X5635" s="3">
        <v>11.12</v>
      </c>
    </row>
    <row r="5636" spans="1:24" ht="114.75">
      <c r="A5636" s="3" t="s">
        <v>13366</v>
      </c>
      <c r="B5636" s="6" t="s">
        <v>361</v>
      </c>
      <c r="C5636" s="6" t="s">
        <v>6345</v>
      </c>
      <c r="D5636" s="6" t="s">
        <v>494</v>
      </c>
      <c r="E5636" s="6" t="s">
        <v>6346</v>
      </c>
      <c r="F5636" s="129" t="s">
        <v>8220</v>
      </c>
      <c r="G5636" s="3" t="s">
        <v>11449</v>
      </c>
      <c r="H5636" s="185">
        <v>0</v>
      </c>
      <c r="I5636" s="16">
        <v>470000000</v>
      </c>
      <c r="J5636" s="56" t="s">
        <v>229</v>
      </c>
      <c r="K5636" s="57" t="s">
        <v>642</v>
      </c>
      <c r="L5636" s="12" t="s">
        <v>404</v>
      </c>
      <c r="M5636" s="3" t="s">
        <v>230</v>
      </c>
      <c r="N5636" s="8" t="s">
        <v>8898</v>
      </c>
      <c r="O5636" s="6" t="s">
        <v>365</v>
      </c>
      <c r="P5636" s="58">
        <v>796</v>
      </c>
      <c r="Q5636" s="31" t="s">
        <v>234</v>
      </c>
      <c r="R5636" s="32">
        <v>50</v>
      </c>
      <c r="S5636" s="59">
        <v>6563.3734999999997</v>
      </c>
      <c r="T5636" s="4">
        <f>R5636*S5636</f>
        <v>328168.67499999999</v>
      </c>
      <c r="U5636" s="4">
        <f>T5636*1.12</f>
        <v>367548.91600000003</v>
      </c>
      <c r="V5636" s="3"/>
      <c r="W5636" s="3">
        <v>2014</v>
      </c>
      <c r="X5636" s="3"/>
    </row>
    <row r="5637" spans="1:24" ht="114.75">
      <c r="A5637" s="3" t="s">
        <v>2319</v>
      </c>
      <c r="B5637" s="6" t="s">
        <v>361</v>
      </c>
      <c r="C5637" s="6" t="s">
        <v>6345</v>
      </c>
      <c r="D5637" s="6" t="s">
        <v>494</v>
      </c>
      <c r="E5637" s="6" t="s">
        <v>6346</v>
      </c>
      <c r="F5637" s="129" t="s">
        <v>8221</v>
      </c>
      <c r="G5637" s="3" t="s">
        <v>11449</v>
      </c>
      <c r="H5637" s="185">
        <v>0</v>
      </c>
      <c r="I5637" s="16">
        <v>470000000</v>
      </c>
      <c r="J5637" s="56" t="s">
        <v>229</v>
      </c>
      <c r="K5637" s="57" t="s">
        <v>641</v>
      </c>
      <c r="L5637" s="57" t="s">
        <v>364</v>
      </c>
      <c r="M5637" s="3" t="s">
        <v>230</v>
      </c>
      <c r="N5637" s="8" t="s">
        <v>8898</v>
      </c>
      <c r="O5637" s="6" t="s">
        <v>365</v>
      </c>
      <c r="P5637" s="58">
        <v>796</v>
      </c>
      <c r="Q5637" s="31" t="s">
        <v>234</v>
      </c>
      <c r="R5637" s="32">
        <v>50</v>
      </c>
      <c r="S5637" s="59">
        <v>4989.0140000000001</v>
      </c>
      <c r="T5637" s="4">
        <v>0</v>
      </c>
      <c r="U5637" s="4">
        <f t="shared" si="244"/>
        <v>0</v>
      </c>
      <c r="V5637" s="3"/>
      <c r="W5637" s="3">
        <v>2014</v>
      </c>
      <c r="X5637" s="3">
        <v>11.12</v>
      </c>
    </row>
    <row r="5638" spans="1:24" ht="114.75">
      <c r="A5638" s="3" t="s">
        <v>13367</v>
      </c>
      <c r="B5638" s="6" t="s">
        <v>361</v>
      </c>
      <c r="C5638" s="6" t="s">
        <v>6345</v>
      </c>
      <c r="D5638" s="6" t="s">
        <v>494</v>
      </c>
      <c r="E5638" s="6" t="s">
        <v>6346</v>
      </c>
      <c r="F5638" s="129" t="s">
        <v>8221</v>
      </c>
      <c r="G5638" s="3" t="s">
        <v>11449</v>
      </c>
      <c r="H5638" s="185">
        <v>0</v>
      </c>
      <c r="I5638" s="16">
        <v>470000000</v>
      </c>
      <c r="J5638" s="56" t="s">
        <v>229</v>
      </c>
      <c r="K5638" s="57" t="s">
        <v>642</v>
      </c>
      <c r="L5638" s="12" t="s">
        <v>404</v>
      </c>
      <c r="M5638" s="3" t="s">
        <v>230</v>
      </c>
      <c r="N5638" s="8" t="s">
        <v>8898</v>
      </c>
      <c r="O5638" s="6" t="s">
        <v>365</v>
      </c>
      <c r="P5638" s="58">
        <v>796</v>
      </c>
      <c r="Q5638" s="31" t="s">
        <v>234</v>
      </c>
      <c r="R5638" s="32">
        <v>50</v>
      </c>
      <c r="S5638" s="59">
        <v>4989.0140000000001</v>
      </c>
      <c r="T5638" s="4">
        <f>R5638*S5638</f>
        <v>249450.7</v>
      </c>
      <c r="U5638" s="4">
        <f>T5638*1.12</f>
        <v>279384.78400000004</v>
      </c>
      <c r="V5638" s="3"/>
      <c r="W5638" s="3">
        <v>2014</v>
      </c>
      <c r="X5638" s="3"/>
    </row>
    <row r="5639" spans="1:24" ht="114.75">
      <c r="A5639" s="3" t="s">
        <v>2320</v>
      </c>
      <c r="B5639" s="6" t="s">
        <v>361</v>
      </c>
      <c r="C5639" s="6" t="s">
        <v>5351</v>
      </c>
      <c r="D5639" s="6" t="s">
        <v>389</v>
      </c>
      <c r="E5639" s="6" t="s">
        <v>5183</v>
      </c>
      <c r="F5639" s="129" t="s">
        <v>8222</v>
      </c>
      <c r="G5639" s="3" t="s">
        <v>11449</v>
      </c>
      <c r="H5639" s="185">
        <v>0</v>
      </c>
      <c r="I5639" s="16">
        <v>470000000</v>
      </c>
      <c r="J5639" s="56" t="s">
        <v>229</v>
      </c>
      <c r="K5639" s="57" t="s">
        <v>641</v>
      </c>
      <c r="L5639" s="57" t="s">
        <v>364</v>
      </c>
      <c r="M5639" s="3" t="s">
        <v>230</v>
      </c>
      <c r="N5639" s="8" t="s">
        <v>8898</v>
      </c>
      <c r="O5639" s="6" t="s">
        <v>365</v>
      </c>
      <c r="P5639" s="58">
        <v>796</v>
      </c>
      <c r="Q5639" s="31" t="s">
        <v>234</v>
      </c>
      <c r="R5639" s="32">
        <v>30</v>
      </c>
      <c r="S5639" s="59">
        <v>4618.2380000000003</v>
      </c>
      <c r="T5639" s="4">
        <v>0</v>
      </c>
      <c r="U5639" s="4">
        <f t="shared" si="244"/>
        <v>0</v>
      </c>
      <c r="V5639" s="3"/>
      <c r="W5639" s="3">
        <v>2014</v>
      </c>
      <c r="X5639" s="3">
        <v>11.12</v>
      </c>
    </row>
    <row r="5640" spans="1:24" ht="114.75">
      <c r="A5640" s="3" t="s">
        <v>13368</v>
      </c>
      <c r="B5640" s="6" t="s">
        <v>361</v>
      </c>
      <c r="C5640" s="6" t="s">
        <v>5351</v>
      </c>
      <c r="D5640" s="6" t="s">
        <v>389</v>
      </c>
      <c r="E5640" s="6" t="s">
        <v>5183</v>
      </c>
      <c r="F5640" s="129" t="s">
        <v>8222</v>
      </c>
      <c r="G5640" s="3" t="s">
        <v>11449</v>
      </c>
      <c r="H5640" s="185">
        <v>0</v>
      </c>
      <c r="I5640" s="16">
        <v>470000000</v>
      </c>
      <c r="J5640" s="56" t="s">
        <v>229</v>
      </c>
      <c r="K5640" s="57" t="s">
        <v>642</v>
      </c>
      <c r="L5640" s="12" t="s">
        <v>404</v>
      </c>
      <c r="M5640" s="3" t="s">
        <v>230</v>
      </c>
      <c r="N5640" s="8" t="s">
        <v>8898</v>
      </c>
      <c r="O5640" s="6" t="s">
        <v>365</v>
      </c>
      <c r="P5640" s="58">
        <v>796</v>
      </c>
      <c r="Q5640" s="31" t="s">
        <v>234</v>
      </c>
      <c r="R5640" s="32">
        <v>30</v>
      </c>
      <c r="S5640" s="59">
        <v>4618.2380000000003</v>
      </c>
      <c r="T5640" s="4">
        <f>R5640*S5640</f>
        <v>138547.14000000001</v>
      </c>
      <c r="U5640" s="4">
        <f>T5640*1.12</f>
        <v>155172.79680000004</v>
      </c>
      <c r="V5640" s="3"/>
      <c r="W5640" s="3">
        <v>2014</v>
      </c>
      <c r="X5640" s="3"/>
    </row>
    <row r="5641" spans="1:24" ht="114.75">
      <c r="A5641" s="3" t="s">
        <v>2321</v>
      </c>
      <c r="B5641" s="6" t="s">
        <v>361</v>
      </c>
      <c r="C5641" s="6" t="s">
        <v>5351</v>
      </c>
      <c r="D5641" s="6" t="s">
        <v>389</v>
      </c>
      <c r="E5641" s="6" t="s">
        <v>5183</v>
      </c>
      <c r="F5641" s="129" t="s">
        <v>8223</v>
      </c>
      <c r="G5641" s="3" t="s">
        <v>11449</v>
      </c>
      <c r="H5641" s="185">
        <v>0</v>
      </c>
      <c r="I5641" s="16">
        <v>470000000</v>
      </c>
      <c r="J5641" s="56" t="s">
        <v>229</v>
      </c>
      <c r="K5641" s="57" t="s">
        <v>641</v>
      </c>
      <c r="L5641" s="57" t="s">
        <v>364</v>
      </c>
      <c r="M5641" s="3" t="s">
        <v>230</v>
      </c>
      <c r="N5641" s="8" t="s">
        <v>8898</v>
      </c>
      <c r="O5641" s="6" t="s">
        <v>365</v>
      </c>
      <c r="P5641" s="58">
        <v>796</v>
      </c>
      <c r="Q5641" s="31" t="s">
        <v>234</v>
      </c>
      <c r="R5641" s="32">
        <v>50</v>
      </c>
      <c r="S5641" s="59">
        <v>6322.0405000000001</v>
      </c>
      <c r="T5641" s="4">
        <v>0</v>
      </c>
      <c r="U5641" s="4">
        <f t="shared" si="244"/>
        <v>0</v>
      </c>
      <c r="V5641" s="3"/>
      <c r="W5641" s="3">
        <v>2014</v>
      </c>
      <c r="X5641" s="3">
        <v>11.12</v>
      </c>
    </row>
    <row r="5642" spans="1:24" ht="114.75">
      <c r="A5642" s="3" t="s">
        <v>13369</v>
      </c>
      <c r="B5642" s="6" t="s">
        <v>361</v>
      </c>
      <c r="C5642" s="6" t="s">
        <v>5351</v>
      </c>
      <c r="D5642" s="6" t="s">
        <v>389</v>
      </c>
      <c r="E5642" s="6" t="s">
        <v>5183</v>
      </c>
      <c r="F5642" s="129" t="s">
        <v>8223</v>
      </c>
      <c r="G5642" s="3" t="s">
        <v>11449</v>
      </c>
      <c r="H5642" s="185">
        <v>0</v>
      </c>
      <c r="I5642" s="16">
        <v>470000000</v>
      </c>
      <c r="J5642" s="56" t="s">
        <v>229</v>
      </c>
      <c r="K5642" s="57" t="s">
        <v>642</v>
      </c>
      <c r="L5642" s="12" t="s">
        <v>404</v>
      </c>
      <c r="M5642" s="3" t="s">
        <v>230</v>
      </c>
      <c r="N5642" s="8" t="s">
        <v>8898</v>
      </c>
      <c r="O5642" s="6" t="s">
        <v>365</v>
      </c>
      <c r="P5642" s="58">
        <v>796</v>
      </c>
      <c r="Q5642" s="31" t="s">
        <v>234</v>
      </c>
      <c r="R5642" s="32">
        <v>50</v>
      </c>
      <c r="S5642" s="59">
        <v>6322.0405000000001</v>
      </c>
      <c r="T5642" s="4">
        <f>R5642*S5642</f>
        <v>316102.02500000002</v>
      </c>
      <c r="U5642" s="4">
        <f>T5642*1.12</f>
        <v>354034.26800000004</v>
      </c>
      <c r="V5642" s="3"/>
      <c r="W5642" s="3">
        <v>2014</v>
      </c>
      <c r="X5642" s="3"/>
    </row>
    <row r="5643" spans="1:24" ht="114.75">
      <c r="A5643" s="3" t="s">
        <v>2322</v>
      </c>
      <c r="B5643" s="6" t="s">
        <v>361</v>
      </c>
      <c r="C5643" s="6" t="s">
        <v>6347</v>
      </c>
      <c r="D5643" s="6" t="s">
        <v>494</v>
      </c>
      <c r="E5643" s="6" t="s">
        <v>6348</v>
      </c>
      <c r="F5643" s="129" t="s">
        <v>8224</v>
      </c>
      <c r="G5643" s="3" t="s">
        <v>11449</v>
      </c>
      <c r="H5643" s="185">
        <v>0</v>
      </c>
      <c r="I5643" s="16">
        <v>470000000</v>
      </c>
      <c r="J5643" s="56" t="s">
        <v>229</v>
      </c>
      <c r="K5643" s="57" t="s">
        <v>641</v>
      </c>
      <c r="L5643" s="57" t="s">
        <v>364</v>
      </c>
      <c r="M5643" s="3" t="s">
        <v>230</v>
      </c>
      <c r="N5643" s="8" t="s">
        <v>8898</v>
      </c>
      <c r="O5643" s="6" t="s">
        <v>365</v>
      </c>
      <c r="P5643" s="58">
        <v>796</v>
      </c>
      <c r="Q5643" s="31" t="s">
        <v>234</v>
      </c>
      <c r="R5643" s="32">
        <v>50</v>
      </c>
      <c r="S5643" s="59">
        <v>1655.9875</v>
      </c>
      <c r="T5643" s="4">
        <v>0</v>
      </c>
      <c r="U5643" s="4">
        <f t="shared" si="244"/>
        <v>0</v>
      </c>
      <c r="V5643" s="3"/>
      <c r="W5643" s="3">
        <v>2014</v>
      </c>
      <c r="X5643" s="3">
        <v>11.12</v>
      </c>
    </row>
    <row r="5644" spans="1:24" ht="114.75">
      <c r="A5644" s="3" t="s">
        <v>13370</v>
      </c>
      <c r="B5644" s="6" t="s">
        <v>361</v>
      </c>
      <c r="C5644" s="6" t="s">
        <v>6347</v>
      </c>
      <c r="D5644" s="6" t="s">
        <v>494</v>
      </c>
      <c r="E5644" s="6" t="s">
        <v>6348</v>
      </c>
      <c r="F5644" s="129" t="s">
        <v>8224</v>
      </c>
      <c r="G5644" s="3" t="s">
        <v>11449</v>
      </c>
      <c r="H5644" s="185">
        <v>0</v>
      </c>
      <c r="I5644" s="16">
        <v>470000000</v>
      </c>
      <c r="J5644" s="56" t="s">
        <v>229</v>
      </c>
      <c r="K5644" s="57" t="s">
        <v>642</v>
      </c>
      <c r="L5644" s="12" t="s">
        <v>404</v>
      </c>
      <c r="M5644" s="3" t="s">
        <v>230</v>
      </c>
      <c r="N5644" s="8" t="s">
        <v>8898</v>
      </c>
      <c r="O5644" s="6" t="s">
        <v>365</v>
      </c>
      <c r="P5644" s="58">
        <v>796</v>
      </c>
      <c r="Q5644" s="31" t="s">
        <v>234</v>
      </c>
      <c r="R5644" s="32">
        <v>50</v>
      </c>
      <c r="S5644" s="59">
        <v>1655.9875</v>
      </c>
      <c r="T5644" s="4">
        <f>R5644*S5644</f>
        <v>82799.375</v>
      </c>
      <c r="U5644" s="4">
        <f>T5644*1.12</f>
        <v>92735.3</v>
      </c>
      <c r="V5644" s="3"/>
      <c r="W5644" s="3">
        <v>2014</v>
      </c>
      <c r="X5644" s="3"/>
    </row>
    <row r="5645" spans="1:24" ht="114.75">
      <c r="A5645" s="3" t="s">
        <v>2323</v>
      </c>
      <c r="B5645" s="6" t="s">
        <v>361</v>
      </c>
      <c r="C5645" s="6" t="s">
        <v>6349</v>
      </c>
      <c r="D5645" s="6" t="s">
        <v>494</v>
      </c>
      <c r="E5645" s="6" t="s">
        <v>5332</v>
      </c>
      <c r="F5645" s="37" t="s">
        <v>8225</v>
      </c>
      <c r="G5645" s="3" t="s">
        <v>11449</v>
      </c>
      <c r="H5645" s="185">
        <v>0</v>
      </c>
      <c r="I5645" s="16">
        <v>470000000</v>
      </c>
      <c r="J5645" s="56" t="s">
        <v>229</v>
      </c>
      <c r="K5645" s="57" t="s">
        <v>641</v>
      </c>
      <c r="L5645" s="57" t="s">
        <v>364</v>
      </c>
      <c r="M5645" s="3" t="s">
        <v>230</v>
      </c>
      <c r="N5645" s="8" t="s">
        <v>8898</v>
      </c>
      <c r="O5645" s="6" t="s">
        <v>365</v>
      </c>
      <c r="P5645" s="58">
        <v>796</v>
      </c>
      <c r="Q5645" s="31" t="s">
        <v>234</v>
      </c>
      <c r="R5645" s="32">
        <v>50</v>
      </c>
      <c r="S5645" s="59">
        <v>4452.8104999999996</v>
      </c>
      <c r="T5645" s="4">
        <v>0</v>
      </c>
      <c r="U5645" s="4">
        <f t="shared" si="244"/>
        <v>0</v>
      </c>
      <c r="V5645" s="3"/>
      <c r="W5645" s="3">
        <v>2014</v>
      </c>
      <c r="X5645" s="3">
        <v>11.12</v>
      </c>
    </row>
    <row r="5646" spans="1:24" ht="114.75">
      <c r="A5646" s="3" t="s">
        <v>13371</v>
      </c>
      <c r="B5646" s="6" t="s">
        <v>361</v>
      </c>
      <c r="C5646" s="6" t="s">
        <v>6349</v>
      </c>
      <c r="D5646" s="6" t="s">
        <v>494</v>
      </c>
      <c r="E5646" s="6" t="s">
        <v>5332</v>
      </c>
      <c r="F5646" s="37" t="s">
        <v>8225</v>
      </c>
      <c r="G5646" s="3" t="s">
        <v>11449</v>
      </c>
      <c r="H5646" s="185">
        <v>0</v>
      </c>
      <c r="I5646" s="16">
        <v>470000000</v>
      </c>
      <c r="J5646" s="56" t="s">
        <v>229</v>
      </c>
      <c r="K5646" s="57" t="s">
        <v>642</v>
      </c>
      <c r="L5646" s="12" t="s">
        <v>404</v>
      </c>
      <c r="M5646" s="3" t="s">
        <v>230</v>
      </c>
      <c r="N5646" s="8" t="s">
        <v>8898</v>
      </c>
      <c r="O5646" s="6" t="s">
        <v>365</v>
      </c>
      <c r="P5646" s="58">
        <v>796</v>
      </c>
      <c r="Q5646" s="31" t="s">
        <v>234</v>
      </c>
      <c r="R5646" s="32">
        <v>50</v>
      </c>
      <c r="S5646" s="59">
        <v>4452.8104999999996</v>
      </c>
      <c r="T5646" s="4">
        <f>R5646*S5646</f>
        <v>222640.52499999997</v>
      </c>
      <c r="U5646" s="4">
        <f>T5646*1.12</f>
        <v>249357.38799999998</v>
      </c>
      <c r="V5646" s="3"/>
      <c r="W5646" s="3">
        <v>2014</v>
      </c>
      <c r="X5646" s="3"/>
    </row>
    <row r="5647" spans="1:24" ht="114.75">
      <c r="A5647" s="3" t="s">
        <v>2324</v>
      </c>
      <c r="B5647" s="6" t="s">
        <v>361</v>
      </c>
      <c r="C5647" s="6" t="s">
        <v>6349</v>
      </c>
      <c r="D5647" s="6" t="s">
        <v>494</v>
      </c>
      <c r="E5647" s="6" t="s">
        <v>5332</v>
      </c>
      <c r="F5647" s="37" t="s">
        <v>8226</v>
      </c>
      <c r="G5647" s="3" t="s">
        <v>11449</v>
      </c>
      <c r="H5647" s="185">
        <v>0</v>
      </c>
      <c r="I5647" s="16">
        <v>470000000</v>
      </c>
      <c r="J5647" s="56" t="s">
        <v>229</v>
      </c>
      <c r="K5647" s="57" t="s">
        <v>641</v>
      </c>
      <c r="L5647" s="57" t="s">
        <v>364</v>
      </c>
      <c r="M5647" s="3" t="s">
        <v>230</v>
      </c>
      <c r="N5647" s="8" t="s">
        <v>8898</v>
      </c>
      <c r="O5647" s="6" t="s">
        <v>365</v>
      </c>
      <c r="P5647" s="58">
        <v>796</v>
      </c>
      <c r="Q5647" s="31" t="s">
        <v>234</v>
      </c>
      <c r="R5647" s="32">
        <v>50</v>
      </c>
      <c r="S5647" s="59">
        <v>6049.9970000000003</v>
      </c>
      <c r="T5647" s="4">
        <v>0</v>
      </c>
      <c r="U5647" s="4">
        <f t="shared" si="244"/>
        <v>0</v>
      </c>
      <c r="V5647" s="3"/>
      <c r="W5647" s="3">
        <v>2014</v>
      </c>
      <c r="X5647" s="3">
        <v>11.12</v>
      </c>
    </row>
    <row r="5648" spans="1:24" ht="114.75">
      <c r="A5648" s="3" t="s">
        <v>13372</v>
      </c>
      <c r="B5648" s="6" t="s">
        <v>361</v>
      </c>
      <c r="C5648" s="6" t="s">
        <v>6349</v>
      </c>
      <c r="D5648" s="6" t="s">
        <v>494</v>
      </c>
      <c r="E5648" s="6" t="s">
        <v>5332</v>
      </c>
      <c r="F5648" s="37" t="s">
        <v>8226</v>
      </c>
      <c r="G5648" s="3" t="s">
        <v>11449</v>
      </c>
      <c r="H5648" s="185">
        <v>0</v>
      </c>
      <c r="I5648" s="16">
        <v>470000000</v>
      </c>
      <c r="J5648" s="56" t="s">
        <v>229</v>
      </c>
      <c r="K5648" s="57" t="s">
        <v>642</v>
      </c>
      <c r="L5648" s="12" t="s">
        <v>404</v>
      </c>
      <c r="M5648" s="3" t="s">
        <v>230</v>
      </c>
      <c r="N5648" s="8" t="s">
        <v>8898</v>
      </c>
      <c r="O5648" s="6" t="s">
        <v>365</v>
      </c>
      <c r="P5648" s="58">
        <v>796</v>
      </c>
      <c r="Q5648" s="31" t="s">
        <v>234</v>
      </c>
      <c r="R5648" s="32">
        <v>50</v>
      </c>
      <c r="S5648" s="59">
        <v>6049.9970000000003</v>
      </c>
      <c r="T5648" s="4">
        <f>R5648*S5648</f>
        <v>302499.85000000003</v>
      </c>
      <c r="U5648" s="4">
        <f>T5648*1.12</f>
        <v>338799.83200000005</v>
      </c>
      <c r="V5648" s="3"/>
      <c r="W5648" s="3">
        <v>2014</v>
      </c>
      <c r="X5648" s="3"/>
    </row>
    <row r="5649" spans="1:24" ht="114.75">
      <c r="A5649" s="3" t="s">
        <v>2325</v>
      </c>
      <c r="B5649" s="6" t="s">
        <v>361</v>
      </c>
      <c r="C5649" s="6" t="s">
        <v>6349</v>
      </c>
      <c r="D5649" s="6" t="s">
        <v>494</v>
      </c>
      <c r="E5649" s="6" t="s">
        <v>5332</v>
      </c>
      <c r="F5649" s="37" t="s">
        <v>8227</v>
      </c>
      <c r="G5649" s="3" t="s">
        <v>11449</v>
      </c>
      <c r="H5649" s="185">
        <v>0</v>
      </c>
      <c r="I5649" s="16">
        <v>470000000</v>
      </c>
      <c r="J5649" s="56" t="s">
        <v>229</v>
      </c>
      <c r="K5649" s="57" t="s">
        <v>641</v>
      </c>
      <c r="L5649" s="57" t="s">
        <v>364</v>
      </c>
      <c r="M5649" s="3" t="s">
        <v>230</v>
      </c>
      <c r="N5649" s="8" t="s">
        <v>8898</v>
      </c>
      <c r="O5649" s="6" t="s">
        <v>365</v>
      </c>
      <c r="P5649" s="58">
        <v>796</v>
      </c>
      <c r="Q5649" s="31" t="s">
        <v>234</v>
      </c>
      <c r="R5649" s="32">
        <v>50</v>
      </c>
      <c r="S5649" s="59">
        <v>10972.7435</v>
      </c>
      <c r="T5649" s="4">
        <v>0</v>
      </c>
      <c r="U5649" s="4">
        <f t="shared" si="244"/>
        <v>0</v>
      </c>
      <c r="V5649" s="3"/>
      <c r="W5649" s="3">
        <v>2014</v>
      </c>
      <c r="X5649" s="3">
        <v>11.12</v>
      </c>
    </row>
    <row r="5650" spans="1:24" ht="114.75">
      <c r="A5650" s="3" t="s">
        <v>13373</v>
      </c>
      <c r="B5650" s="6" t="s">
        <v>361</v>
      </c>
      <c r="C5650" s="6" t="s">
        <v>6349</v>
      </c>
      <c r="D5650" s="6" t="s">
        <v>494</v>
      </c>
      <c r="E5650" s="6" t="s">
        <v>5332</v>
      </c>
      <c r="F5650" s="37" t="s">
        <v>8227</v>
      </c>
      <c r="G5650" s="3" t="s">
        <v>11449</v>
      </c>
      <c r="H5650" s="185">
        <v>0</v>
      </c>
      <c r="I5650" s="16">
        <v>470000000</v>
      </c>
      <c r="J5650" s="56" t="s">
        <v>229</v>
      </c>
      <c r="K5650" s="57" t="s">
        <v>642</v>
      </c>
      <c r="L5650" s="12" t="s">
        <v>404</v>
      </c>
      <c r="M5650" s="3" t="s">
        <v>230</v>
      </c>
      <c r="N5650" s="8" t="s">
        <v>8898</v>
      </c>
      <c r="O5650" s="6" t="s">
        <v>365</v>
      </c>
      <c r="P5650" s="58">
        <v>796</v>
      </c>
      <c r="Q5650" s="31" t="s">
        <v>234</v>
      </c>
      <c r="R5650" s="32">
        <v>50</v>
      </c>
      <c r="S5650" s="59">
        <v>10972.7435</v>
      </c>
      <c r="T5650" s="4">
        <f>R5650*S5650</f>
        <v>548637.17500000005</v>
      </c>
      <c r="U5650" s="4">
        <f>T5650*1.12</f>
        <v>614473.63600000006</v>
      </c>
      <c r="V5650" s="3"/>
      <c r="W5650" s="3">
        <v>2014</v>
      </c>
      <c r="X5650" s="3"/>
    </row>
    <row r="5651" spans="1:24" ht="114.75">
      <c r="A5651" s="3" t="s">
        <v>2326</v>
      </c>
      <c r="B5651" s="6" t="s">
        <v>361</v>
      </c>
      <c r="C5651" s="6" t="s">
        <v>6284</v>
      </c>
      <c r="D5651" s="6" t="s">
        <v>460</v>
      </c>
      <c r="E5651" s="6" t="s">
        <v>6285</v>
      </c>
      <c r="F5651" s="37" t="s">
        <v>8228</v>
      </c>
      <c r="G5651" s="3" t="s">
        <v>11449</v>
      </c>
      <c r="H5651" s="185">
        <v>0</v>
      </c>
      <c r="I5651" s="16">
        <v>470000000</v>
      </c>
      <c r="J5651" s="56" t="s">
        <v>229</v>
      </c>
      <c r="K5651" s="57" t="s">
        <v>641</v>
      </c>
      <c r="L5651" s="57" t="s">
        <v>364</v>
      </c>
      <c r="M5651" s="3" t="s">
        <v>230</v>
      </c>
      <c r="N5651" s="8" t="s">
        <v>8898</v>
      </c>
      <c r="O5651" s="6" t="s">
        <v>365</v>
      </c>
      <c r="P5651" s="58">
        <v>796</v>
      </c>
      <c r="Q5651" s="31" t="s">
        <v>234</v>
      </c>
      <c r="R5651" s="32">
        <v>50</v>
      </c>
      <c r="S5651" s="59">
        <v>1576.1244999999999</v>
      </c>
      <c r="T5651" s="4">
        <v>0</v>
      </c>
      <c r="U5651" s="4">
        <f t="shared" si="244"/>
        <v>0</v>
      </c>
      <c r="V5651" s="3"/>
      <c r="W5651" s="3">
        <v>2014</v>
      </c>
      <c r="X5651" s="3">
        <v>11.12</v>
      </c>
    </row>
    <row r="5652" spans="1:24" ht="114.75">
      <c r="A5652" s="3" t="s">
        <v>13374</v>
      </c>
      <c r="B5652" s="6" t="s">
        <v>361</v>
      </c>
      <c r="C5652" s="6" t="s">
        <v>6284</v>
      </c>
      <c r="D5652" s="6" t="s">
        <v>460</v>
      </c>
      <c r="E5652" s="6" t="s">
        <v>6285</v>
      </c>
      <c r="F5652" s="37" t="s">
        <v>8228</v>
      </c>
      <c r="G5652" s="3" t="s">
        <v>11449</v>
      </c>
      <c r="H5652" s="185">
        <v>0</v>
      </c>
      <c r="I5652" s="16">
        <v>470000000</v>
      </c>
      <c r="J5652" s="56" t="s">
        <v>229</v>
      </c>
      <c r="K5652" s="57" t="s">
        <v>642</v>
      </c>
      <c r="L5652" s="12" t="s">
        <v>404</v>
      </c>
      <c r="M5652" s="3" t="s">
        <v>230</v>
      </c>
      <c r="N5652" s="8" t="s">
        <v>8898</v>
      </c>
      <c r="O5652" s="6" t="s">
        <v>365</v>
      </c>
      <c r="P5652" s="58">
        <v>796</v>
      </c>
      <c r="Q5652" s="31" t="s">
        <v>234</v>
      </c>
      <c r="R5652" s="32">
        <v>50</v>
      </c>
      <c r="S5652" s="59">
        <v>1576.1244999999999</v>
      </c>
      <c r="T5652" s="4">
        <f>R5652*S5652</f>
        <v>78806.224999999991</v>
      </c>
      <c r="U5652" s="4">
        <f>T5652*1.12</f>
        <v>88262.971999999994</v>
      </c>
      <c r="V5652" s="3"/>
      <c r="W5652" s="3">
        <v>2014</v>
      </c>
      <c r="X5652" s="3"/>
    </row>
    <row r="5653" spans="1:24" ht="114.75">
      <c r="A5653" s="3" t="s">
        <v>2327</v>
      </c>
      <c r="B5653" s="6" t="s">
        <v>361</v>
      </c>
      <c r="C5653" s="6" t="s">
        <v>5958</v>
      </c>
      <c r="D5653" s="6" t="s">
        <v>460</v>
      </c>
      <c r="E5653" s="6" t="s">
        <v>5959</v>
      </c>
      <c r="F5653" s="37" t="s">
        <v>8229</v>
      </c>
      <c r="G5653" s="3" t="s">
        <v>11449</v>
      </c>
      <c r="H5653" s="185">
        <v>0</v>
      </c>
      <c r="I5653" s="16">
        <v>470000000</v>
      </c>
      <c r="J5653" s="56" t="s">
        <v>229</v>
      </c>
      <c r="K5653" s="57" t="s">
        <v>641</v>
      </c>
      <c r="L5653" s="57" t="s">
        <v>364</v>
      </c>
      <c r="M5653" s="3" t="s">
        <v>230</v>
      </c>
      <c r="N5653" s="8" t="s">
        <v>8898</v>
      </c>
      <c r="O5653" s="6" t="s">
        <v>365</v>
      </c>
      <c r="P5653" s="58">
        <v>796</v>
      </c>
      <c r="Q5653" s="31" t="s">
        <v>234</v>
      </c>
      <c r="R5653" s="32">
        <v>50</v>
      </c>
      <c r="S5653" s="59">
        <v>5744.1509999999998</v>
      </c>
      <c r="T5653" s="4">
        <v>0</v>
      </c>
      <c r="U5653" s="4">
        <f t="shared" si="244"/>
        <v>0</v>
      </c>
      <c r="V5653" s="3"/>
      <c r="W5653" s="3">
        <v>2014</v>
      </c>
      <c r="X5653" s="3">
        <v>11.12</v>
      </c>
    </row>
    <row r="5654" spans="1:24" ht="114.75">
      <c r="A5654" s="3" t="s">
        <v>13375</v>
      </c>
      <c r="B5654" s="6" t="s">
        <v>361</v>
      </c>
      <c r="C5654" s="6" t="s">
        <v>5958</v>
      </c>
      <c r="D5654" s="6" t="s">
        <v>460</v>
      </c>
      <c r="E5654" s="6" t="s">
        <v>5959</v>
      </c>
      <c r="F5654" s="37" t="s">
        <v>8229</v>
      </c>
      <c r="G5654" s="3" t="s">
        <v>11449</v>
      </c>
      <c r="H5654" s="185">
        <v>0</v>
      </c>
      <c r="I5654" s="16">
        <v>470000000</v>
      </c>
      <c r="J5654" s="56" t="s">
        <v>229</v>
      </c>
      <c r="K5654" s="57" t="s">
        <v>642</v>
      </c>
      <c r="L5654" s="12" t="s">
        <v>404</v>
      </c>
      <c r="M5654" s="3" t="s">
        <v>230</v>
      </c>
      <c r="N5654" s="8" t="s">
        <v>8898</v>
      </c>
      <c r="O5654" s="6" t="s">
        <v>365</v>
      </c>
      <c r="P5654" s="58">
        <v>796</v>
      </c>
      <c r="Q5654" s="31" t="s">
        <v>234</v>
      </c>
      <c r="R5654" s="32">
        <v>50</v>
      </c>
      <c r="S5654" s="59">
        <v>5744.1509999999998</v>
      </c>
      <c r="T5654" s="4">
        <f>R5654*S5654</f>
        <v>287207.55</v>
      </c>
      <c r="U5654" s="4">
        <f>T5654*1.12</f>
        <v>321672.45600000001</v>
      </c>
      <c r="V5654" s="3"/>
      <c r="W5654" s="3">
        <v>2014</v>
      </c>
      <c r="X5654" s="3"/>
    </row>
    <row r="5655" spans="1:24" ht="114.75">
      <c r="A5655" s="3" t="s">
        <v>2328</v>
      </c>
      <c r="B5655" s="6" t="s">
        <v>361</v>
      </c>
      <c r="C5655" s="6" t="s">
        <v>6350</v>
      </c>
      <c r="D5655" s="6" t="s">
        <v>368</v>
      </c>
      <c r="E5655" s="6" t="s">
        <v>6351</v>
      </c>
      <c r="F5655" s="30" t="s">
        <v>8230</v>
      </c>
      <c r="G5655" s="3" t="s">
        <v>11449</v>
      </c>
      <c r="H5655" s="185">
        <v>0</v>
      </c>
      <c r="I5655" s="16">
        <v>470000000</v>
      </c>
      <c r="J5655" s="56" t="s">
        <v>229</v>
      </c>
      <c r="K5655" s="57" t="s">
        <v>641</v>
      </c>
      <c r="L5655" s="57" t="s">
        <v>364</v>
      </c>
      <c r="M5655" s="3" t="s">
        <v>230</v>
      </c>
      <c r="N5655" s="8" t="s">
        <v>8898</v>
      </c>
      <c r="O5655" s="6" t="s">
        <v>365</v>
      </c>
      <c r="P5655" s="58">
        <v>796</v>
      </c>
      <c r="Q5655" s="31" t="s">
        <v>234</v>
      </c>
      <c r="R5655" s="35">
        <v>30</v>
      </c>
      <c r="S5655" s="59">
        <v>5322.0405000000001</v>
      </c>
      <c r="T5655" s="4">
        <v>0</v>
      </c>
      <c r="U5655" s="4">
        <f t="shared" si="244"/>
        <v>0</v>
      </c>
      <c r="V5655" s="3"/>
      <c r="W5655" s="3">
        <v>2014</v>
      </c>
      <c r="X5655" s="3">
        <v>11.12</v>
      </c>
    </row>
    <row r="5656" spans="1:24" ht="114.75">
      <c r="A5656" s="3" t="s">
        <v>13376</v>
      </c>
      <c r="B5656" s="6" t="s">
        <v>361</v>
      </c>
      <c r="C5656" s="6" t="s">
        <v>6350</v>
      </c>
      <c r="D5656" s="6" t="s">
        <v>368</v>
      </c>
      <c r="E5656" s="6" t="s">
        <v>6351</v>
      </c>
      <c r="F5656" s="30" t="s">
        <v>8230</v>
      </c>
      <c r="G5656" s="3" t="s">
        <v>11449</v>
      </c>
      <c r="H5656" s="185">
        <v>0</v>
      </c>
      <c r="I5656" s="16">
        <v>470000000</v>
      </c>
      <c r="J5656" s="56" t="s">
        <v>229</v>
      </c>
      <c r="K5656" s="57" t="s">
        <v>642</v>
      </c>
      <c r="L5656" s="12" t="s">
        <v>404</v>
      </c>
      <c r="M5656" s="3" t="s">
        <v>230</v>
      </c>
      <c r="N5656" s="8" t="s">
        <v>8898</v>
      </c>
      <c r="O5656" s="6" t="s">
        <v>365</v>
      </c>
      <c r="P5656" s="58">
        <v>796</v>
      </c>
      <c r="Q5656" s="31" t="s">
        <v>234</v>
      </c>
      <c r="R5656" s="35">
        <v>30</v>
      </c>
      <c r="S5656" s="59">
        <v>5322.0405000000001</v>
      </c>
      <c r="T5656" s="4">
        <f>R5656*S5656</f>
        <v>159661.215</v>
      </c>
      <c r="U5656" s="4">
        <f>T5656*1.12</f>
        <v>178820.56080000001</v>
      </c>
      <c r="V5656" s="3"/>
      <c r="W5656" s="3">
        <v>2014</v>
      </c>
      <c r="X5656" s="3"/>
    </row>
    <row r="5657" spans="1:24" ht="114.75">
      <c r="A5657" s="3" t="s">
        <v>2329</v>
      </c>
      <c r="B5657" s="6" t="s">
        <v>361</v>
      </c>
      <c r="C5657" s="6" t="s">
        <v>6350</v>
      </c>
      <c r="D5657" s="6" t="s">
        <v>368</v>
      </c>
      <c r="E5657" s="6" t="s">
        <v>6351</v>
      </c>
      <c r="F5657" s="30" t="s">
        <v>8231</v>
      </c>
      <c r="G5657" s="3" t="s">
        <v>11449</v>
      </c>
      <c r="H5657" s="185">
        <v>0</v>
      </c>
      <c r="I5657" s="16">
        <v>470000000</v>
      </c>
      <c r="J5657" s="56" t="s">
        <v>229</v>
      </c>
      <c r="K5657" s="57" t="s">
        <v>641</v>
      </c>
      <c r="L5657" s="57" t="s">
        <v>364</v>
      </c>
      <c r="M5657" s="3" t="s">
        <v>230</v>
      </c>
      <c r="N5657" s="8" t="s">
        <v>8898</v>
      </c>
      <c r="O5657" s="6" t="s">
        <v>365</v>
      </c>
      <c r="P5657" s="58">
        <v>796</v>
      </c>
      <c r="Q5657" s="31" t="s">
        <v>234</v>
      </c>
      <c r="R5657" s="35">
        <v>30</v>
      </c>
      <c r="S5657" s="59">
        <v>924.08400000000006</v>
      </c>
      <c r="T5657" s="4">
        <v>0</v>
      </c>
      <c r="U5657" s="4">
        <f t="shared" si="244"/>
        <v>0</v>
      </c>
      <c r="V5657" s="3"/>
      <c r="W5657" s="3">
        <v>2014</v>
      </c>
      <c r="X5657" s="3">
        <v>11.12</v>
      </c>
    </row>
    <row r="5658" spans="1:24" ht="114.75">
      <c r="A5658" s="3" t="s">
        <v>13377</v>
      </c>
      <c r="B5658" s="6" t="s">
        <v>361</v>
      </c>
      <c r="C5658" s="6" t="s">
        <v>6350</v>
      </c>
      <c r="D5658" s="6" t="s">
        <v>368</v>
      </c>
      <c r="E5658" s="6" t="s">
        <v>6351</v>
      </c>
      <c r="F5658" s="30" t="s">
        <v>8231</v>
      </c>
      <c r="G5658" s="3" t="s">
        <v>11449</v>
      </c>
      <c r="H5658" s="185">
        <v>0</v>
      </c>
      <c r="I5658" s="16">
        <v>470000000</v>
      </c>
      <c r="J5658" s="56" t="s">
        <v>229</v>
      </c>
      <c r="K5658" s="57" t="s">
        <v>642</v>
      </c>
      <c r="L5658" s="12" t="s">
        <v>404</v>
      </c>
      <c r="M5658" s="3" t="s">
        <v>230</v>
      </c>
      <c r="N5658" s="8" t="s">
        <v>8898</v>
      </c>
      <c r="O5658" s="6" t="s">
        <v>365</v>
      </c>
      <c r="P5658" s="58">
        <v>796</v>
      </c>
      <c r="Q5658" s="31" t="s">
        <v>234</v>
      </c>
      <c r="R5658" s="35">
        <v>30</v>
      </c>
      <c r="S5658" s="59">
        <v>924.08400000000006</v>
      </c>
      <c r="T5658" s="4">
        <v>0</v>
      </c>
      <c r="U5658" s="4">
        <f>T5658*1.12</f>
        <v>0</v>
      </c>
      <c r="V5658" s="3"/>
      <c r="W5658" s="3">
        <v>2014</v>
      </c>
      <c r="X5658" s="3" t="s">
        <v>14785</v>
      </c>
    </row>
    <row r="5659" spans="1:24" ht="114.75">
      <c r="A5659" s="3" t="s">
        <v>16947</v>
      </c>
      <c r="B5659" s="6" t="s">
        <v>361</v>
      </c>
      <c r="C5659" s="6" t="s">
        <v>6350</v>
      </c>
      <c r="D5659" s="6" t="s">
        <v>368</v>
      </c>
      <c r="E5659" s="6" t="s">
        <v>6351</v>
      </c>
      <c r="F5659" s="30" t="s">
        <v>8231</v>
      </c>
      <c r="G5659" s="3" t="s">
        <v>11449</v>
      </c>
      <c r="H5659" s="185">
        <v>0</v>
      </c>
      <c r="I5659" s="16">
        <v>470000000</v>
      </c>
      <c r="J5659" s="56" t="s">
        <v>229</v>
      </c>
      <c r="K5659" s="57" t="s">
        <v>8950</v>
      </c>
      <c r="L5659" s="12" t="s">
        <v>404</v>
      </c>
      <c r="M5659" s="3" t="s">
        <v>230</v>
      </c>
      <c r="N5659" s="8" t="s">
        <v>8898</v>
      </c>
      <c r="O5659" s="6" t="s">
        <v>365</v>
      </c>
      <c r="P5659" s="58">
        <v>796</v>
      </c>
      <c r="Q5659" s="327" t="s">
        <v>234</v>
      </c>
      <c r="R5659" s="35">
        <v>30</v>
      </c>
      <c r="S5659" s="59">
        <v>1108.9008000000001</v>
      </c>
      <c r="T5659" s="4">
        <v>0</v>
      </c>
      <c r="U5659" s="4">
        <f t="shared" ref="U5659:U5660" si="245">T5659*1.12</f>
        <v>0</v>
      </c>
      <c r="V5659" s="3"/>
      <c r="W5659" s="3">
        <v>2014</v>
      </c>
      <c r="X5659" s="3">
        <v>11.15</v>
      </c>
    </row>
    <row r="5660" spans="1:24" ht="76.5">
      <c r="A5660" s="3" t="s">
        <v>19155</v>
      </c>
      <c r="B5660" s="6" t="s">
        <v>361</v>
      </c>
      <c r="C5660" s="6" t="s">
        <v>6350</v>
      </c>
      <c r="D5660" s="6" t="s">
        <v>368</v>
      </c>
      <c r="E5660" s="6" t="s">
        <v>6351</v>
      </c>
      <c r="F5660" s="30" t="s">
        <v>8231</v>
      </c>
      <c r="G5660" s="3" t="s">
        <v>11449</v>
      </c>
      <c r="H5660" s="185">
        <v>0</v>
      </c>
      <c r="I5660" s="16">
        <v>470000000</v>
      </c>
      <c r="J5660" s="56" t="s">
        <v>229</v>
      </c>
      <c r="K5660" s="57" t="s">
        <v>18437</v>
      </c>
      <c r="L5660" s="12" t="s">
        <v>404</v>
      </c>
      <c r="M5660" s="3" t="s">
        <v>230</v>
      </c>
      <c r="N5660" s="8" t="s">
        <v>8898</v>
      </c>
      <c r="O5660" s="6" t="s">
        <v>19407</v>
      </c>
      <c r="P5660" s="58">
        <v>796</v>
      </c>
      <c r="Q5660" s="327" t="s">
        <v>234</v>
      </c>
      <c r="R5660" s="35">
        <v>30</v>
      </c>
      <c r="S5660" s="59">
        <v>1108.9008000000001</v>
      </c>
      <c r="T5660" s="4">
        <f>R5660*S5660</f>
        <v>33267.024000000005</v>
      </c>
      <c r="U5660" s="4">
        <f t="shared" si="245"/>
        <v>37259.066880000006</v>
      </c>
      <c r="V5660" s="3"/>
      <c r="W5660" s="3">
        <v>2014</v>
      </c>
      <c r="X5660" s="3"/>
    </row>
    <row r="5661" spans="1:24" ht="114.75">
      <c r="A5661" s="3" t="s">
        <v>2330</v>
      </c>
      <c r="B5661" s="6" t="s">
        <v>361</v>
      </c>
      <c r="C5661" s="6" t="s">
        <v>6352</v>
      </c>
      <c r="D5661" s="6" t="s">
        <v>6353</v>
      </c>
      <c r="E5661" s="6" t="s">
        <v>6354</v>
      </c>
      <c r="F5661" s="30" t="s">
        <v>8232</v>
      </c>
      <c r="G5661" s="3" t="s">
        <v>11449</v>
      </c>
      <c r="H5661" s="185">
        <v>0</v>
      </c>
      <c r="I5661" s="16">
        <v>470000000</v>
      </c>
      <c r="J5661" s="56" t="s">
        <v>229</v>
      </c>
      <c r="K5661" s="57" t="s">
        <v>641</v>
      </c>
      <c r="L5661" s="57" t="s">
        <v>364</v>
      </c>
      <c r="M5661" s="3" t="s">
        <v>230</v>
      </c>
      <c r="N5661" s="8" t="s">
        <v>8898</v>
      </c>
      <c r="O5661" s="6" t="s">
        <v>365</v>
      </c>
      <c r="P5661" s="58">
        <v>796</v>
      </c>
      <c r="Q5661" s="31" t="s">
        <v>234</v>
      </c>
      <c r="R5661" s="35">
        <v>20</v>
      </c>
      <c r="S5661" s="59">
        <v>1300</v>
      </c>
      <c r="T5661" s="4">
        <v>0</v>
      </c>
      <c r="U5661" s="4">
        <f t="shared" si="244"/>
        <v>0</v>
      </c>
      <c r="V5661" s="3"/>
      <c r="W5661" s="3">
        <v>2014</v>
      </c>
      <c r="X5661" s="3">
        <v>11.12</v>
      </c>
    </row>
    <row r="5662" spans="1:24" ht="114.75">
      <c r="A5662" s="3" t="s">
        <v>13378</v>
      </c>
      <c r="B5662" s="6" t="s">
        <v>361</v>
      </c>
      <c r="C5662" s="6" t="s">
        <v>6352</v>
      </c>
      <c r="D5662" s="6" t="s">
        <v>6353</v>
      </c>
      <c r="E5662" s="6" t="s">
        <v>6354</v>
      </c>
      <c r="F5662" s="30" t="s">
        <v>8232</v>
      </c>
      <c r="G5662" s="3" t="s">
        <v>11449</v>
      </c>
      <c r="H5662" s="185">
        <v>0</v>
      </c>
      <c r="I5662" s="16">
        <v>470000000</v>
      </c>
      <c r="J5662" s="56" t="s">
        <v>229</v>
      </c>
      <c r="K5662" s="57" t="s">
        <v>642</v>
      </c>
      <c r="L5662" s="12" t="s">
        <v>404</v>
      </c>
      <c r="M5662" s="3" t="s">
        <v>230</v>
      </c>
      <c r="N5662" s="8" t="s">
        <v>8898</v>
      </c>
      <c r="O5662" s="6" t="s">
        <v>365</v>
      </c>
      <c r="P5662" s="58">
        <v>796</v>
      </c>
      <c r="Q5662" s="31" t="s">
        <v>234</v>
      </c>
      <c r="R5662" s="35">
        <v>20</v>
      </c>
      <c r="S5662" s="59">
        <v>1300</v>
      </c>
      <c r="T5662" s="4">
        <v>0</v>
      </c>
      <c r="U5662" s="4">
        <f>T5662*1.12</f>
        <v>0</v>
      </c>
      <c r="V5662" s="3"/>
      <c r="W5662" s="3">
        <v>2014</v>
      </c>
      <c r="X5662" s="3" t="s">
        <v>14785</v>
      </c>
    </row>
    <row r="5663" spans="1:24" ht="114.75">
      <c r="A5663" s="3" t="s">
        <v>16948</v>
      </c>
      <c r="B5663" s="6" t="s">
        <v>361</v>
      </c>
      <c r="C5663" s="6" t="s">
        <v>6352</v>
      </c>
      <c r="D5663" s="6" t="s">
        <v>6353</v>
      </c>
      <c r="E5663" s="6" t="s">
        <v>6354</v>
      </c>
      <c r="F5663" s="30" t="s">
        <v>8232</v>
      </c>
      <c r="G5663" s="3" t="s">
        <v>11449</v>
      </c>
      <c r="H5663" s="185">
        <v>0</v>
      </c>
      <c r="I5663" s="16">
        <v>470000000</v>
      </c>
      <c r="J5663" s="56" t="s">
        <v>229</v>
      </c>
      <c r="K5663" s="57" t="s">
        <v>8950</v>
      </c>
      <c r="L5663" s="12" t="s">
        <v>404</v>
      </c>
      <c r="M5663" s="3" t="s">
        <v>230</v>
      </c>
      <c r="N5663" s="8" t="s">
        <v>8898</v>
      </c>
      <c r="O5663" s="6" t="s">
        <v>365</v>
      </c>
      <c r="P5663" s="58">
        <v>796</v>
      </c>
      <c r="Q5663" s="327" t="s">
        <v>234</v>
      </c>
      <c r="R5663" s="35">
        <v>20</v>
      </c>
      <c r="S5663" s="59">
        <v>1560</v>
      </c>
      <c r="T5663" s="4">
        <v>0</v>
      </c>
      <c r="U5663" s="4">
        <f t="shared" ref="U5663:U5664" si="246">T5663*1.12</f>
        <v>0</v>
      </c>
      <c r="V5663" s="3"/>
      <c r="W5663" s="3">
        <v>2014</v>
      </c>
      <c r="X5663" s="3">
        <v>11.15</v>
      </c>
    </row>
    <row r="5664" spans="1:24" ht="76.5">
      <c r="A5664" s="3" t="s">
        <v>19522</v>
      </c>
      <c r="B5664" s="6" t="s">
        <v>361</v>
      </c>
      <c r="C5664" s="6" t="s">
        <v>6352</v>
      </c>
      <c r="D5664" s="6" t="s">
        <v>6353</v>
      </c>
      <c r="E5664" s="6" t="s">
        <v>6354</v>
      </c>
      <c r="F5664" s="30" t="s">
        <v>8232</v>
      </c>
      <c r="G5664" s="3" t="s">
        <v>11449</v>
      </c>
      <c r="H5664" s="185">
        <v>0</v>
      </c>
      <c r="I5664" s="16">
        <v>470000000</v>
      </c>
      <c r="J5664" s="56" t="s">
        <v>229</v>
      </c>
      <c r="K5664" s="57" t="s">
        <v>18437</v>
      </c>
      <c r="L5664" s="12" t="s">
        <v>404</v>
      </c>
      <c r="M5664" s="3" t="s">
        <v>230</v>
      </c>
      <c r="N5664" s="8" t="s">
        <v>8898</v>
      </c>
      <c r="O5664" s="6" t="s">
        <v>19407</v>
      </c>
      <c r="P5664" s="58">
        <v>796</v>
      </c>
      <c r="Q5664" s="327" t="s">
        <v>234</v>
      </c>
      <c r="R5664" s="35">
        <v>20</v>
      </c>
      <c r="S5664" s="59">
        <v>1560</v>
      </c>
      <c r="T5664" s="4">
        <f>R5664*S5664</f>
        <v>31200</v>
      </c>
      <c r="U5664" s="4">
        <f t="shared" si="246"/>
        <v>34944</v>
      </c>
      <c r="V5664" s="3"/>
      <c r="W5664" s="3">
        <v>2014</v>
      </c>
      <c r="X5664" s="3"/>
    </row>
    <row r="5665" spans="1:24" ht="114.75">
      <c r="A5665" s="3" t="s">
        <v>2331</v>
      </c>
      <c r="B5665" s="6" t="s">
        <v>361</v>
      </c>
      <c r="C5665" s="6" t="s">
        <v>6355</v>
      </c>
      <c r="D5665" s="6" t="s">
        <v>461</v>
      </c>
      <c r="E5665" s="6" t="s">
        <v>5332</v>
      </c>
      <c r="F5665" s="107" t="s">
        <v>8233</v>
      </c>
      <c r="G5665" s="3" t="s">
        <v>11449</v>
      </c>
      <c r="H5665" s="185">
        <v>0</v>
      </c>
      <c r="I5665" s="16">
        <v>470000000</v>
      </c>
      <c r="J5665" s="56" t="s">
        <v>229</v>
      </c>
      <c r="K5665" s="57" t="s">
        <v>641</v>
      </c>
      <c r="L5665" s="57" t="s">
        <v>364</v>
      </c>
      <c r="M5665" s="3" t="s">
        <v>230</v>
      </c>
      <c r="N5665" s="8" t="s">
        <v>8898</v>
      </c>
      <c r="O5665" s="6" t="s">
        <v>365</v>
      </c>
      <c r="P5665" s="58">
        <v>796</v>
      </c>
      <c r="Q5665" s="31" t="s">
        <v>234</v>
      </c>
      <c r="R5665" s="34">
        <v>3</v>
      </c>
      <c r="S5665" s="59">
        <v>121774.88400000001</v>
      </c>
      <c r="T5665" s="4">
        <v>0</v>
      </c>
      <c r="U5665" s="4">
        <f t="shared" si="244"/>
        <v>0</v>
      </c>
      <c r="V5665" s="3"/>
      <c r="W5665" s="3">
        <v>2014</v>
      </c>
      <c r="X5665" s="3">
        <v>11.12</v>
      </c>
    </row>
    <row r="5666" spans="1:24" ht="114.75">
      <c r="A5666" s="3" t="s">
        <v>13379</v>
      </c>
      <c r="B5666" s="6" t="s">
        <v>361</v>
      </c>
      <c r="C5666" s="6" t="s">
        <v>6355</v>
      </c>
      <c r="D5666" s="6" t="s">
        <v>461</v>
      </c>
      <c r="E5666" s="6" t="s">
        <v>5332</v>
      </c>
      <c r="F5666" s="107" t="s">
        <v>8233</v>
      </c>
      <c r="G5666" s="3" t="s">
        <v>11449</v>
      </c>
      <c r="H5666" s="185">
        <v>0</v>
      </c>
      <c r="I5666" s="16">
        <v>470000000</v>
      </c>
      <c r="J5666" s="56" t="s">
        <v>229</v>
      </c>
      <c r="K5666" s="57" t="s">
        <v>642</v>
      </c>
      <c r="L5666" s="12" t="s">
        <v>404</v>
      </c>
      <c r="M5666" s="3" t="s">
        <v>230</v>
      </c>
      <c r="N5666" s="8" t="s">
        <v>8898</v>
      </c>
      <c r="O5666" s="6" t="s">
        <v>365</v>
      </c>
      <c r="P5666" s="58">
        <v>796</v>
      </c>
      <c r="Q5666" s="31" t="s">
        <v>234</v>
      </c>
      <c r="R5666" s="34">
        <v>3</v>
      </c>
      <c r="S5666" s="59">
        <v>121774.88400000001</v>
      </c>
      <c r="T5666" s="4">
        <v>0</v>
      </c>
      <c r="U5666" s="4">
        <f>T5666*1.12</f>
        <v>0</v>
      </c>
      <c r="V5666" s="3"/>
      <c r="W5666" s="3">
        <v>2014</v>
      </c>
      <c r="X5666" s="3" t="s">
        <v>14785</v>
      </c>
    </row>
    <row r="5667" spans="1:24" ht="114.75">
      <c r="A5667" s="3" t="s">
        <v>16949</v>
      </c>
      <c r="B5667" s="6" t="s">
        <v>361</v>
      </c>
      <c r="C5667" s="6" t="s">
        <v>6355</v>
      </c>
      <c r="D5667" s="6" t="s">
        <v>461</v>
      </c>
      <c r="E5667" s="6" t="s">
        <v>5332</v>
      </c>
      <c r="F5667" s="107" t="s">
        <v>8233</v>
      </c>
      <c r="G5667" s="3" t="s">
        <v>11449</v>
      </c>
      <c r="H5667" s="185">
        <v>0</v>
      </c>
      <c r="I5667" s="16">
        <v>470000000</v>
      </c>
      <c r="J5667" s="56" t="s">
        <v>229</v>
      </c>
      <c r="K5667" s="57" t="s">
        <v>8950</v>
      </c>
      <c r="L5667" s="12" t="s">
        <v>404</v>
      </c>
      <c r="M5667" s="3" t="s">
        <v>230</v>
      </c>
      <c r="N5667" s="8" t="s">
        <v>8898</v>
      </c>
      <c r="O5667" s="6" t="s">
        <v>365</v>
      </c>
      <c r="P5667" s="58">
        <v>796</v>
      </c>
      <c r="Q5667" s="31" t="s">
        <v>234</v>
      </c>
      <c r="R5667" s="34">
        <v>3</v>
      </c>
      <c r="S5667" s="59">
        <v>146129.86079999999</v>
      </c>
      <c r="T5667" s="4">
        <f>R5667*S5667</f>
        <v>438389.58239999996</v>
      </c>
      <c r="U5667" s="4">
        <f>T5667*1.12</f>
        <v>490996.33228799998</v>
      </c>
      <c r="V5667" s="3"/>
      <c r="W5667" s="3">
        <v>2014</v>
      </c>
      <c r="X5667" s="3"/>
    </row>
    <row r="5668" spans="1:24" ht="114.75">
      <c r="A5668" s="3" t="s">
        <v>2332</v>
      </c>
      <c r="B5668" s="6" t="s">
        <v>361</v>
      </c>
      <c r="C5668" s="6" t="s">
        <v>6276</v>
      </c>
      <c r="D5668" s="6" t="s">
        <v>5357</v>
      </c>
      <c r="E5668" s="6" t="s">
        <v>6277</v>
      </c>
      <c r="F5668" s="107" t="s">
        <v>8234</v>
      </c>
      <c r="G5668" s="3" t="s">
        <v>11449</v>
      </c>
      <c r="H5668" s="185">
        <v>0</v>
      </c>
      <c r="I5668" s="16">
        <v>470000000</v>
      </c>
      <c r="J5668" s="56" t="s">
        <v>229</v>
      </c>
      <c r="K5668" s="57" t="s">
        <v>641</v>
      </c>
      <c r="L5668" s="57" t="s">
        <v>364</v>
      </c>
      <c r="M5668" s="3" t="s">
        <v>230</v>
      </c>
      <c r="N5668" s="8" t="s">
        <v>8898</v>
      </c>
      <c r="O5668" s="6" t="s">
        <v>365</v>
      </c>
      <c r="P5668" s="58">
        <v>839</v>
      </c>
      <c r="Q5668" s="26" t="s">
        <v>239</v>
      </c>
      <c r="R5668" s="34">
        <v>12</v>
      </c>
      <c r="S5668" s="59">
        <v>12230.694000000001</v>
      </c>
      <c r="T5668" s="4">
        <v>0</v>
      </c>
      <c r="U5668" s="4">
        <f t="shared" si="244"/>
        <v>0</v>
      </c>
      <c r="V5668" s="3"/>
      <c r="W5668" s="3">
        <v>2014</v>
      </c>
      <c r="X5668" s="3">
        <v>11.12</v>
      </c>
    </row>
    <row r="5669" spans="1:24" ht="114.75">
      <c r="A5669" s="3" t="s">
        <v>13380</v>
      </c>
      <c r="B5669" s="6" t="s">
        <v>361</v>
      </c>
      <c r="C5669" s="6" t="s">
        <v>6276</v>
      </c>
      <c r="D5669" s="6" t="s">
        <v>5357</v>
      </c>
      <c r="E5669" s="6" t="s">
        <v>6277</v>
      </c>
      <c r="F5669" s="107" t="s">
        <v>8234</v>
      </c>
      <c r="G5669" s="3" t="s">
        <v>11449</v>
      </c>
      <c r="H5669" s="185">
        <v>0</v>
      </c>
      <c r="I5669" s="16">
        <v>470000000</v>
      </c>
      <c r="J5669" s="56" t="s">
        <v>229</v>
      </c>
      <c r="K5669" s="57" t="s">
        <v>642</v>
      </c>
      <c r="L5669" s="12" t="s">
        <v>404</v>
      </c>
      <c r="M5669" s="3" t="s">
        <v>230</v>
      </c>
      <c r="N5669" s="8" t="s">
        <v>8898</v>
      </c>
      <c r="O5669" s="6" t="s">
        <v>365</v>
      </c>
      <c r="P5669" s="58">
        <v>839</v>
      </c>
      <c r="Q5669" s="26" t="s">
        <v>239</v>
      </c>
      <c r="R5669" s="34">
        <v>12</v>
      </c>
      <c r="S5669" s="59">
        <v>12230.694000000001</v>
      </c>
      <c r="T5669" s="4">
        <v>0</v>
      </c>
      <c r="U5669" s="4">
        <f>T5669*1.12</f>
        <v>0</v>
      </c>
      <c r="V5669" s="3"/>
      <c r="W5669" s="3">
        <v>2014</v>
      </c>
      <c r="X5669" s="3" t="s">
        <v>14785</v>
      </c>
    </row>
    <row r="5670" spans="1:24" ht="114.75">
      <c r="A5670" s="3" t="s">
        <v>16950</v>
      </c>
      <c r="B5670" s="6" t="s">
        <v>361</v>
      </c>
      <c r="C5670" s="6" t="s">
        <v>6276</v>
      </c>
      <c r="D5670" s="6" t="s">
        <v>5357</v>
      </c>
      <c r="E5670" s="6" t="s">
        <v>6277</v>
      </c>
      <c r="F5670" s="107" t="s">
        <v>8234</v>
      </c>
      <c r="G5670" s="3" t="s">
        <v>11449</v>
      </c>
      <c r="H5670" s="185">
        <v>0</v>
      </c>
      <c r="I5670" s="16">
        <v>470000000</v>
      </c>
      <c r="J5670" s="56" t="s">
        <v>229</v>
      </c>
      <c r="K5670" s="57" t="s">
        <v>8950</v>
      </c>
      <c r="L5670" s="12" t="s">
        <v>404</v>
      </c>
      <c r="M5670" s="3" t="s">
        <v>230</v>
      </c>
      <c r="N5670" s="8" t="s">
        <v>8898</v>
      </c>
      <c r="O5670" s="6" t="s">
        <v>365</v>
      </c>
      <c r="P5670" s="58">
        <v>839</v>
      </c>
      <c r="Q5670" s="333" t="s">
        <v>239</v>
      </c>
      <c r="R5670" s="339">
        <v>12</v>
      </c>
      <c r="S5670" s="59">
        <v>14676.832800000002</v>
      </c>
      <c r="T5670" s="4">
        <v>0</v>
      </c>
      <c r="U5670" s="4">
        <f t="shared" ref="U5670:U5671" si="247">T5670*1.12</f>
        <v>0</v>
      </c>
      <c r="V5670" s="3"/>
      <c r="W5670" s="3">
        <v>2014</v>
      </c>
      <c r="X5670" s="3">
        <v>11.15</v>
      </c>
    </row>
    <row r="5671" spans="1:24" ht="76.5">
      <c r="A5671" s="3" t="s">
        <v>19156</v>
      </c>
      <c r="B5671" s="6" t="s">
        <v>361</v>
      </c>
      <c r="C5671" s="6" t="s">
        <v>6276</v>
      </c>
      <c r="D5671" s="6" t="s">
        <v>5357</v>
      </c>
      <c r="E5671" s="6" t="s">
        <v>6277</v>
      </c>
      <c r="F5671" s="107" t="s">
        <v>8234</v>
      </c>
      <c r="G5671" s="3" t="s">
        <v>11449</v>
      </c>
      <c r="H5671" s="185">
        <v>0</v>
      </c>
      <c r="I5671" s="16">
        <v>470000000</v>
      </c>
      <c r="J5671" s="56" t="s">
        <v>229</v>
      </c>
      <c r="K5671" s="57" t="s">
        <v>18437</v>
      </c>
      <c r="L5671" s="12" t="s">
        <v>404</v>
      </c>
      <c r="M5671" s="3" t="s">
        <v>230</v>
      </c>
      <c r="N5671" s="8" t="s">
        <v>8898</v>
      </c>
      <c r="O5671" s="6" t="s">
        <v>19407</v>
      </c>
      <c r="P5671" s="58">
        <v>839</v>
      </c>
      <c r="Q5671" s="333" t="s">
        <v>239</v>
      </c>
      <c r="R5671" s="339">
        <v>12</v>
      </c>
      <c r="S5671" s="59">
        <v>14676.832800000002</v>
      </c>
      <c r="T5671" s="4">
        <f>R5671*S5671</f>
        <v>176121.99360000002</v>
      </c>
      <c r="U5671" s="4">
        <f t="shared" si="247"/>
        <v>197256.63283200003</v>
      </c>
      <c r="V5671" s="3"/>
      <c r="W5671" s="3">
        <v>2014</v>
      </c>
      <c r="X5671" s="3"/>
    </row>
    <row r="5672" spans="1:24" ht="114.75">
      <c r="A5672" s="3" t="s">
        <v>2333</v>
      </c>
      <c r="B5672" s="6" t="s">
        <v>361</v>
      </c>
      <c r="C5672" s="6" t="s">
        <v>6276</v>
      </c>
      <c r="D5672" s="6" t="s">
        <v>5357</v>
      </c>
      <c r="E5672" s="6" t="s">
        <v>6277</v>
      </c>
      <c r="F5672" s="107" t="s">
        <v>8235</v>
      </c>
      <c r="G5672" s="3" t="s">
        <v>11449</v>
      </c>
      <c r="H5672" s="185">
        <v>0</v>
      </c>
      <c r="I5672" s="16">
        <v>470000000</v>
      </c>
      <c r="J5672" s="56" t="s">
        <v>229</v>
      </c>
      <c r="K5672" s="57" t="s">
        <v>641</v>
      </c>
      <c r="L5672" s="57" t="s">
        <v>364</v>
      </c>
      <c r="M5672" s="3" t="s">
        <v>230</v>
      </c>
      <c r="N5672" s="8" t="s">
        <v>8898</v>
      </c>
      <c r="O5672" s="6" t="s">
        <v>365</v>
      </c>
      <c r="P5672" s="58">
        <v>839</v>
      </c>
      <c r="Q5672" s="26" t="s">
        <v>239</v>
      </c>
      <c r="R5672" s="34">
        <v>12</v>
      </c>
      <c r="S5672" s="59">
        <v>14543.718000000001</v>
      </c>
      <c r="T5672" s="4">
        <v>0</v>
      </c>
      <c r="U5672" s="4">
        <f t="shared" si="244"/>
        <v>0</v>
      </c>
      <c r="V5672" s="3"/>
      <c r="W5672" s="3">
        <v>2014</v>
      </c>
      <c r="X5672" s="3">
        <v>11.12</v>
      </c>
    </row>
    <row r="5673" spans="1:24" ht="114.75">
      <c r="A5673" s="3" t="s">
        <v>13381</v>
      </c>
      <c r="B5673" s="6" t="s">
        <v>361</v>
      </c>
      <c r="C5673" s="6" t="s">
        <v>6276</v>
      </c>
      <c r="D5673" s="6" t="s">
        <v>5357</v>
      </c>
      <c r="E5673" s="6" t="s">
        <v>6277</v>
      </c>
      <c r="F5673" s="107" t="s">
        <v>8235</v>
      </c>
      <c r="G5673" s="3" t="s">
        <v>11449</v>
      </c>
      <c r="H5673" s="185">
        <v>0</v>
      </c>
      <c r="I5673" s="16">
        <v>470000000</v>
      </c>
      <c r="J5673" s="56" t="s">
        <v>229</v>
      </c>
      <c r="K5673" s="57" t="s">
        <v>642</v>
      </c>
      <c r="L5673" s="12" t="s">
        <v>404</v>
      </c>
      <c r="M5673" s="3" t="s">
        <v>230</v>
      </c>
      <c r="N5673" s="8" t="s">
        <v>8898</v>
      </c>
      <c r="O5673" s="6" t="s">
        <v>365</v>
      </c>
      <c r="P5673" s="58">
        <v>839</v>
      </c>
      <c r="Q5673" s="26" t="s">
        <v>239</v>
      </c>
      <c r="R5673" s="34">
        <v>12</v>
      </c>
      <c r="S5673" s="59">
        <v>14543.718000000001</v>
      </c>
      <c r="T5673" s="4">
        <v>0</v>
      </c>
      <c r="U5673" s="4">
        <f>T5673*1.12</f>
        <v>0</v>
      </c>
      <c r="V5673" s="3"/>
      <c r="W5673" s="3">
        <v>2014</v>
      </c>
      <c r="X5673" s="3" t="s">
        <v>14785</v>
      </c>
    </row>
    <row r="5674" spans="1:24" ht="114.75">
      <c r="A5674" s="3" t="s">
        <v>16951</v>
      </c>
      <c r="B5674" s="6" t="s">
        <v>361</v>
      </c>
      <c r="C5674" s="6" t="s">
        <v>6276</v>
      </c>
      <c r="D5674" s="6" t="s">
        <v>5357</v>
      </c>
      <c r="E5674" s="6" t="s">
        <v>6277</v>
      </c>
      <c r="F5674" s="107" t="s">
        <v>8235</v>
      </c>
      <c r="G5674" s="3" t="s">
        <v>11449</v>
      </c>
      <c r="H5674" s="185">
        <v>0</v>
      </c>
      <c r="I5674" s="16">
        <v>470000000</v>
      </c>
      <c r="J5674" s="56" t="s">
        <v>229</v>
      </c>
      <c r="K5674" s="57" t="s">
        <v>8950</v>
      </c>
      <c r="L5674" s="12" t="s">
        <v>404</v>
      </c>
      <c r="M5674" s="3" t="s">
        <v>230</v>
      </c>
      <c r="N5674" s="8" t="s">
        <v>8898</v>
      </c>
      <c r="O5674" s="6" t="s">
        <v>365</v>
      </c>
      <c r="P5674" s="58">
        <v>839</v>
      </c>
      <c r="Q5674" s="333" t="s">
        <v>239</v>
      </c>
      <c r="R5674" s="339">
        <v>12</v>
      </c>
      <c r="S5674" s="59">
        <v>17452.461599999999</v>
      </c>
      <c r="T5674" s="4">
        <v>0</v>
      </c>
      <c r="U5674" s="4">
        <f t="shared" ref="U5674:U5675" si="248">T5674*1.12</f>
        <v>0</v>
      </c>
      <c r="V5674" s="3"/>
      <c r="W5674" s="3">
        <v>2014</v>
      </c>
      <c r="X5674" s="3">
        <v>11.15</v>
      </c>
    </row>
    <row r="5675" spans="1:24" ht="76.5">
      <c r="A5675" s="3" t="s">
        <v>19157</v>
      </c>
      <c r="B5675" s="6" t="s">
        <v>361</v>
      </c>
      <c r="C5675" s="6" t="s">
        <v>6276</v>
      </c>
      <c r="D5675" s="6" t="s">
        <v>5357</v>
      </c>
      <c r="E5675" s="6" t="s">
        <v>6277</v>
      </c>
      <c r="F5675" s="107" t="s">
        <v>8235</v>
      </c>
      <c r="G5675" s="3" t="s">
        <v>11449</v>
      </c>
      <c r="H5675" s="185">
        <v>0</v>
      </c>
      <c r="I5675" s="16">
        <v>470000000</v>
      </c>
      <c r="J5675" s="56" t="s">
        <v>229</v>
      </c>
      <c r="K5675" s="57" t="s">
        <v>18437</v>
      </c>
      <c r="L5675" s="12" t="s">
        <v>404</v>
      </c>
      <c r="M5675" s="3" t="s">
        <v>230</v>
      </c>
      <c r="N5675" s="8" t="s">
        <v>8898</v>
      </c>
      <c r="O5675" s="6" t="s">
        <v>19407</v>
      </c>
      <c r="P5675" s="58">
        <v>839</v>
      </c>
      <c r="Q5675" s="333" t="s">
        <v>239</v>
      </c>
      <c r="R5675" s="339">
        <v>12</v>
      </c>
      <c r="S5675" s="59">
        <v>17452.461599999999</v>
      </c>
      <c r="T5675" s="4">
        <f>R5675*S5675</f>
        <v>209429.5392</v>
      </c>
      <c r="U5675" s="4">
        <f t="shared" si="248"/>
        <v>234561.08390400003</v>
      </c>
      <c r="V5675" s="3"/>
      <c r="W5675" s="3">
        <v>2014</v>
      </c>
      <c r="X5675" s="3"/>
    </row>
    <row r="5676" spans="1:24" ht="114.75">
      <c r="A5676" s="3" t="s">
        <v>2334</v>
      </c>
      <c r="B5676" s="6" t="s">
        <v>361</v>
      </c>
      <c r="C5676" s="6" t="s">
        <v>6276</v>
      </c>
      <c r="D5676" s="6" t="s">
        <v>5357</v>
      </c>
      <c r="E5676" s="6" t="s">
        <v>6277</v>
      </c>
      <c r="F5676" s="107" t="s">
        <v>8236</v>
      </c>
      <c r="G5676" s="3" t="s">
        <v>11449</v>
      </c>
      <c r="H5676" s="185">
        <v>0</v>
      </c>
      <c r="I5676" s="16">
        <v>470000000</v>
      </c>
      <c r="J5676" s="56" t="s">
        <v>229</v>
      </c>
      <c r="K5676" s="57" t="s">
        <v>641</v>
      </c>
      <c r="L5676" s="57" t="s">
        <v>364</v>
      </c>
      <c r="M5676" s="3" t="s">
        <v>230</v>
      </c>
      <c r="N5676" s="8" t="s">
        <v>8898</v>
      </c>
      <c r="O5676" s="6" t="s">
        <v>365</v>
      </c>
      <c r="P5676" s="58">
        <v>839</v>
      </c>
      <c r="Q5676" s="26" t="s">
        <v>239</v>
      </c>
      <c r="R5676" s="34">
        <v>12</v>
      </c>
      <c r="S5676" s="59">
        <v>19442.209500000001</v>
      </c>
      <c r="T5676" s="4">
        <v>0</v>
      </c>
      <c r="U5676" s="4">
        <f t="shared" si="244"/>
        <v>0</v>
      </c>
      <c r="V5676" s="3"/>
      <c r="W5676" s="3">
        <v>2014</v>
      </c>
      <c r="X5676" s="3">
        <v>11.12</v>
      </c>
    </row>
    <row r="5677" spans="1:24" ht="114.75">
      <c r="A5677" s="3" t="s">
        <v>13382</v>
      </c>
      <c r="B5677" s="6" t="s">
        <v>361</v>
      </c>
      <c r="C5677" s="6" t="s">
        <v>6276</v>
      </c>
      <c r="D5677" s="6" t="s">
        <v>5357</v>
      </c>
      <c r="E5677" s="6" t="s">
        <v>6277</v>
      </c>
      <c r="F5677" s="107" t="s">
        <v>8236</v>
      </c>
      <c r="G5677" s="3" t="s">
        <v>11449</v>
      </c>
      <c r="H5677" s="185">
        <v>0</v>
      </c>
      <c r="I5677" s="16">
        <v>470000000</v>
      </c>
      <c r="J5677" s="56" t="s">
        <v>229</v>
      </c>
      <c r="K5677" s="57" t="s">
        <v>642</v>
      </c>
      <c r="L5677" s="12" t="s">
        <v>404</v>
      </c>
      <c r="M5677" s="3" t="s">
        <v>230</v>
      </c>
      <c r="N5677" s="8" t="s">
        <v>8898</v>
      </c>
      <c r="O5677" s="6" t="s">
        <v>365</v>
      </c>
      <c r="P5677" s="58">
        <v>839</v>
      </c>
      <c r="Q5677" s="26" t="s">
        <v>239</v>
      </c>
      <c r="R5677" s="34">
        <v>12</v>
      </c>
      <c r="S5677" s="59">
        <v>19442.209500000001</v>
      </c>
      <c r="T5677" s="4">
        <v>0</v>
      </c>
      <c r="U5677" s="4">
        <f>T5677*1.12</f>
        <v>0</v>
      </c>
      <c r="V5677" s="3"/>
      <c r="W5677" s="3">
        <v>2014</v>
      </c>
      <c r="X5677" s="3" t="s">
        <v>14785</v>
      </c>
    </row>
    <row r="5678" spans="1:24" ht="114.75">
      <c r="A5678" s="3" t="s">
        <v>16952</v>
      </c>
      <c r="B5678" s="6" t="s">
        <v>361</v>
      </c>
      <c r="C5678" s="6" t="s">
        <v>6276</v>
      </c>
      <c r="D5678" s="6" t="s">
        <v>5357</v>
      </c>
      <c r="E5678" s="6" t="s">
        <v>6277</v>
      </c>
      <c r="F5678" s="107" t="s">
        <v>8236</v>
      </c>
      <c r="G5678" s="3" t="s">
        <v>11449</v>
      </c>
      <c r="H5678" s="185">
        <v>0</v>
      </c>
      <c r="I5678" s="16">
        <v>470000000</v>
      </c>
      <c r="J5678" s="56" t="s">
        <v>229</v>
      </c>
      <c r="K5678" s="57" t="s">
        <v>8950</v>
      </c>
      <c r="L5678" s="12" t="s">
        <v>404</v>
      </c>
      <c r="M5678" s="3" t="s">
        <v>230</v>
      </c>
      <c r="N5678" s="8" t="s">
        <v>8898</v>
      </c>
      <c r="O5678" s="6" t="s">
        <v>365</v>
      </c>
      <c r="P5678" s="58">
        <v>839</v>
      </c>
      <c r="Q5678" s="333" t="s">
        <v>239</v>
      </c>
      <c r="R5678" s="339">
        <v>12</v>
      </c>
      <c r="S5678" s="59">
        <v>23330.651399999999</v>
      </c>
      <c r="T5678" s="4">
        <v>0</v>
      </c>
      <c r="U5678" s="4">
        <f t="shared" ref="U5678:U5679" si="249">T5678*1.12</f>
        <v>0</v>
      </c>
      <c r="V5678" s="3"/>
      <c r="W5678" s="3">
        <v>2014</v>
      </c>
      <c r="X5678" s="3">
        <v>11.15</v>
      </c>
    </row>
    <row r="5679" spans="1:24" ht="76.5">
      <c r="A5679" s="3" t="s">
        <v>19158</v>
      </c>
      <c r="B5679" s="6" t="s">
        <v>361</v>
      </c>
      <c r="C5679" s="6" t="s">
        <v>6276</v>
      </c>
      <c r="D5679" s="6" t="s">
        <v>5357</v>
      </c>
      <c r="E5679" s="6" t="s">
        <v>6277</v>
      </c>
      <c r="F5679" s="107" t="s">
        <v>8236</v>
      </c>
      <c r="G5679" s="3" t="s">
        <v>11449</v>
      </c>
      <c r="H5679" s="185">
        <v>0</v>
      </c>
      <c r="I5679" s="16">
        <v>470000000</v>
      </c>
      <c r="J5679" s="56" t="s">
        <v>229</v>
      </c>
      <c r="K5679" s="57" t="s">
        <v>18437</v>
      </c>
      <c r="L5679" s="12" t="s">
        <v>404</v>
      </c>
      <c r="M5679" s="3" t="s">
        <v>230</v>
      </c>
      <c r="N5679" s="8" t="s">
        <v>8898</v>
      </c>
      <c r="O5679" s="6" t="s">
        <v>19407</v>
      </c>
      <c r="P5679" s="58">
        <v>839</v>
      </c>
      <c r="Q5679" s="333" t="s">
        <v>239</v>
      </c>
      <c r="R5679" s="339">
        <v>12</v>
      </c>
      <c r="S5679" s="59">
        <v>23330.651399999999</v>
      </c>
      <c r="T5679" s="4">
        <f>R5679*S5679</f>
        <v>279967.81679999997</v>
      </c>
      <c r="U5679" s="4">
        <f t="shared" si="249"/>
        <v>313563.95481600001</v>
      </c>
      <c r="V5679" s="3"/>
      <c r="W5679" s="3">
        <v>2014</v>
      </c>
      <c r="X5679" s="3"/>
    </row>
    <row r="5680" spans="1:24" ht="114.75">
      <c r="A5680" s="3" t="s">
        <v>2335</v>
      </c>
      <c r="B5680" s="6" t="s">
        <v>361</v>
      </c>
      <c r="C5680" s="6" t="s">
        <v>6276</v>
      </c>
      <c r="D5680" s="6" t="s">
        <v>5357</v>
      </c>
      <c r="E5680" s="6" t="s">
        <v>6277</v>
      </c>
      <c r="F5680" s="107" t="s">
        <v>8237</v>
      </c>
      <c r="G5680" s="3" t="s">
        <v>11449</v>
      </c>
      <c r="H5680" s="185">
        <v>0</v>
      </c>
      <c r="I5680" s="16">
        <v>470000000</v>
      </c>
      <c r="J5680" s="56" t="s">
        <v>229</v>
      </c>
      <c r="K5680" s="57" t="s">
        <v>641</v>
      </c>
      <c r="L5680" s="57" t="s">
        <v>364</v>
      </c>
      <c r="M5680" s="3" t="s">
        <v>230</v>
      </c>
      <c r="N5680" s="8" t="s">
        <v>8898</v>
      </c>
      <c r="O5680" s="6" t="s">
        <v>365</v>
      </c>
      <c r="P5680" s="58">
        <v>839</v>
      </c>
      <c r="Q5680" s="26" t="s">
        <v>239</v>
      </c>
      <c r="R5680" s="34">
        <v>12</v>
      </c>
      <c r="S5680" s="59">
        <v>9827.5589999999993</v>
      </c>
      <c r="T5680" s="4">
        <v>0</v>
      </c>
      <c r="U5680" s="4">
        <f t="shared" si="244"/>
        <v>0</v>
      </c>
      <c r="V5680" s="3"/>
      <c r="W5680" s="3">
        <v>2014</v>
      </c>
      <c r="X5680" s="3">
        <v>11.12</v>
      </c>
    </row>
    <row r="5681" spans="1:24" ht="114.75">
      <c r="A5681" s="3" t="s">
        <v>13383</v>
      </c>
      <c r="B5681" s="6" t="s">
        <v>361</v>
      </c>
      <c r="C5681" s="6" t="s">
        <v>6276</v>
      </c>
      <c r="D5681" s="6" t="s">
        <v>5357</v>
      </c>
      <c r="E5681" s="6" t="s">
        <v>6277</v>
      </c>
      <c r="F5681" s="107" t="s">
        <v>8237</v>
      </c>
      <c r="G5681" s="3" t="s">
        <v>11449</v>
      </c>
      <c r="H5681" s="185">
        <v>0</v>
      </c>
      <c r="I5681" s="16">
        <v>470000000</v>
      </c>
      <c r="J5681" s="56" t="s">
        <v>229</v>
      </c>
      <c r="K5681" s="57" t="s">
        <v>642</v>
      </c>
      <c r="L5681" s="12" t="s">
        <v>404</v>
      </c>
      <c r="M5681" s="3" t="s">
        <v>230</v>
      </c>
      <c r="N5681" s="8" t="s">
        <v>8898</v>
      </c>
      <c r="O5681" s="6" t="s">
        <v>365</v>
      </c>
      <c r="P5681" s="58">
        <v>839</v>
      </c>
      <c r="Q5681" s="26" t="s">
        <v>239</v>
      </c>
      <c r="R5681" s="34">
        <v>12</v>
      </c>
      <c r="S5681" s="59">
        <v>9827.5589999999993</v>
      </c>
      <c r="T5681" s="4">
        <v>0</v>
      </c>
      <c r="U5681" s="4">
        <f>T5681*1.12</f>
        <v>0</v>
      </c>
      <c r="V5681" s="3"/>
      <c r="W5681" s="3">
        <v>2014</v>
      </c>
      <c r="X5681" s="3" t="s">
        <v>14785</v>
      </c>
    </row>
    <row r="5682" spans="1:24" ht="114.75">
      <c r="A5682" s="3" t="s">
        <v>16953</v>
      </c>
      <c r="B5682" s="6" t="s">
        <v>361</v>
      </c>
      <c r="C5682" s="6" t="s">
        <v>6276</v>
      </c>
      <c r="D5682" s="6" t="s">
        <v>5357</v>
      </c>
      <c r="E5682" s="6" t="s">
        <v>6277</v>
      </c>
      <c r="F5682" s="107" t="s">
        <v>8237</v>
      </c>
      <c r="G5682" s="3" t="s">
        <v>11449</v>
      </c>
      <c r="H5682" s="185">
        <v>0</v>
      </c>
      <c r="I5682" s="16">
        <v>470000000</v>
      </c>
      <c r="J5682" s="56" t="s">
        <v>229</v>
      </c>
      <c r="K5682" s="57" t="s">
        <v>8950</v>
      </c>
      <c r="L5682" s="12" t="s">
        <v>404</v>
      </c>
      <c r="M5682" s="3" t="s">
        <v>230</v>
      </c>
      <c r="N5682" s="8" t="s">
        <v>8898</v>
      </c>
      <c r="O5682" s="6" t="s">
        <v>365</v>
      </c>
      <c r="P5682" s="58">
        <v>839</v>
      </c>
      <c r="Q5682" s="333" t="s">
        <v>239</v>
      </c>
      <c r="R5682" s="339">
        <v>12</v>
      </c>
      <c r="S5682" s="59">
        <v>11793.0708</v>
      </c>
      <c r="T5682" s="4">
        <v>0</v>
      </c>
      <c r="U5682" s="4">
        <f t="shared" ref="U5682:U5683" si="250">T5682*1.12</f>
        <v>0</v>
      </c>
      <c r="V5682" s="3"/>
      <c r="W5682" s="3">
        <v>2014</v>
      </c>
      <c r="X5682" s="3">
        <v>11.15</v>
      </c>
    </row>
    <row r="5683" spans="1:24" ht="76.5">
      <c r="A5683" s="3" t="s">
        <v>19159</v>
      </c>
      <c r="B5683" s="6" t="s">
        <v>361</v>
      </c>
      <c r="C5683" s="6" t="s">
        <v>6276</v>
      </c>
      <c r="D5683" s="6" t="s">
        <v>5357</v>
      </c>
      <c r="E5683" s="6" t="s">
        <v>6277</v>
      </c>
      <c r="F5683" s="107" t="s">
        <v>8237</v>
      </c>
      <c r="G5683" s="3" t="s">
        <v>11449</v>
      </c>
      <c r="H5683" s="185">
        <v>0</v>
      </c>
      <c r="I5683" s="16">
        <v>470000000</v>
      </c>
      <c r="J5683" s="56" t="s">
        <v>229</v>
      </c>
      <c r="K5683" s="57" t="s">
        <v>18437</v>
      </c>
      <c r="L5683" s="12" t="s">
        <v>404</v>
      </c>
      <c r="M5683" s="3" t="s">
        <v>230</v>
      </c>
      <c r="N5683" s="8" t="s">
        <v>8898</v>
      </c>
      <c r="O5683" s="6" t="s">
        <v>19407</v>
      </c>
      <c r="P5683" s="58">
        <v>839</v>
      </c>
      <c r="Q5683" s="333" t="s">
        <v>239</v>
      </c>
      <c r="R5683" s="339">
        <v>12</v>
      </c>
      <c r="S5683" s="59">
        <v>11793.0708</v>
      </c>
      <c r="T5683" s="4">
        <f>R5683*S5683</f>
        <v>141516.84959999999</v>
      </c>
      <c r="U5683" s="4">
        <f t="shared" si="250"/>
        <v>158498.871552</v>
      </c>
      <c r="V5683" s="3"/>
      <c r="W5683" s="3">
        <v>2014</v>
      </c>
      <c r="X5683" s="3"/>
    </row>
    <row r="5684" spans="1:24" ht="114.75">
      <c r="A5684" s="3" t="s">
        <v>2336</v>
      </c>
      <c r="B5684" s="6" t="s">
        <v>361</v>
      </c>
      <c r="C5684" s="6" t="s">
        <v>6356</v>
      </c>
      <c r="D5684" s="6" t="s">
        <v>6357</v>
      </c>
      <c r="E5684" s="6" t="s">
        <v>5332</v>
      </c>
      <c r="F5684" s="107" t="s">
        <v>8238</v>
      </c>
      <c r="G5684" s="3" t="s">
        <v>11449</v>
      </c>
      <c r="H5684" s="185">
        <v>0</v>
      </c>
      <c r="I5684" s="16">
        <v>470000000</v>
      </c>
      <c r="J5684" s="56" t="s">
        <v>229</v>
      </c>
      <c r="K5684" s="57" t="s">
        <v>641</v>
      </c>
      <c r="L5684" s="57" t="s">
        <v>364</v>
      </c>
      <c r="M5684" s="3" t="s">
        <v>230</v>
      </c>
      <c r="N5684" s="8" t="s">
        <v>8898</v>
      </c>
      <c r="O5684" s="6" t="s">
        <v>365</v>
      </c>
      <c r="P5684" s="58">
        <v>796</v>
      </c>
      <c r="Q5684" s="26" t="s">
        <v>234</v>
      </c>
      <c r="R5684" s="34">
        <v>10</v>
      </c>
      <c r="S5684" s="59">
        <v>3456.7575000000002</v>
      </c>
      <c r="T5684" s="4">
        <v>0</v>
      </c>
      <c r="U5684" s="4">
        <f t="shared" si="244"/>
        <v>0</v>
      </c>
      <c r="V5684" s="3"/>
      <c r="W5684" s="3">
        <v>2014</v>
      </c>
      <c r="X5684" s="3">
        <v>11.12</v>
      </c>
    </row>
    <row r="5685" spans="1:24" ht="114.75">
      <c r="A5685" s="3" t="s">
        <v>13384</v>
      </c>
      <c r="B5685" s="6" t="s">
        <v>361</v>
      </c>
      <c r="C5685" s="6" t="s">
        <v>6356</v>
      </c>
      <c r="D5685" s="6" t="s">
        <v>6357</v>
      </c>
      <c r="E5685" s="6" t="s">
        <v>5332</v>
      </c>
      <c r="F5685" s="107" t="s">
        <v>8238</v>
      </c>
      <c r="G5685" s="3" t="s">
        <v>11449</v>
      </c>
      <c r="H5685" s="185">
        <v>0</v>
      </c>
      <c r="I5685" s="16">
        <v>470000000</v>
      </c>
      <c r="J5685" s="56" t="s">
        <v>229</v>
      </c>
      <c r="K5685" s="57" t="s">
        <v>642</v>
      </c>
      <c r="L5685" s="12" t="s">
        <v>404</v>
      </c>
      <c r="M5685" s="3" t="s">
        <v>230</v>
      </c>
      <c r="N5685" s="8" t="s">
        <v>8898</v>
      </c>
      <c r="O5685" s="6" t="s">
        <v>365</v>
      </c>
      <c r="P5685" s="58">
        <v>796</v>
      </c>
      <c r="Q5685" s="26" t="s">
        <v>234</v>
      </c>
      <c r="R5685" s="34">
        <v>10</v>
      </c>
      <c r="S5685" s="59">
        <v>3456.7575000000002</v>
      </c>
      <c r="T5685" s="4">
        <f>R5685*S5685</f>
        <v>34567.575000000004</v>
      </c>
      <c r="U5685" s="4">
        <f>T5685*1.12</f>
        <v>38715.684000000008</v>
      </c>
      <c r="V5685" s="3"/>
      <c r="W5685" s="3">
        <v>2014</v>
      </c>
      <c r="X5685" s="3"/>
    </row>
    <row r="5686" spans="1:24" ht="114.75">
      <c r="A5686" s="3" t="s">
        <v>2337</v>
      </c>
      <c r="B5686" s="6" t="s">
        <v>361</v>
      </c>
      <c r="C5686" s="6" t="s">
        <v>7395</v>
      </c>
      <c r="D5686" s="6" t="s">
        <v>11560</v>
      </c>
      <c r="E5686" s="6" t="s">
        <v>11561</v>
      </c>
      <c r="F5686" s="107" t="s">
        <v>8239</v>
      </c>
      <c r="G5686" s="3" t="s">
        <v>11449</v>
      </c>
      <c r="H5686" s="185">
        <v>0</v>
      </c>
      <c r="I5686" s="16">
        <v>470000000</v>
      </c>
      <c r="J5686" s="56" t="s">
        <v>229</v>
      </c>
      <c r="K5686" s="57" t="s">
        <v>641</v>
      </c>
      <c r="L5686" s="57" t="s">
        <v>364</v>
      </c>
      <c r="M5686" s="3" t="s">
        <v>230</v>
      </c>
      <c r="N5686" s="8" t="s">
        <v>8898</v>
      </c>
      <c r="O5686" s="6" t="s">
        <v>365</v>
      </c>
      <c r="P5686" s="58">
        <v>796</v>
      </c>
      <c r="Q5686" s="26" t="s">
        <v>234</v>
      </c>
      <c r="R5686" s="34">
        <v>10</v>
      </c>
      <c r="S5686" s="59">
        <v>6377.3114999999998</v>
      </c>
      <c r="T5686" s="4">
        <v>0</v>
      </c>
      <c r="U5686" s="4">
        <f t="shared" si="244"/>
        <v>0</v>
      </c>
      <c r="V5686" s="3"/>
      <c r="W5686" s="3">
        <v>2014</v>
      </c>
      <c r="X5686" s="3">
        <v>11.12</v>
      </c>
    </row>
    <row r="5687" spans="1:24" ht="114.75">
      <c r="A5687" s="3" t="s">
        <v>13385</v>
      </c>
      <c r="B5687" s="6" t="s">
        <v>361</v>
      </c>
      <c r="C5687" s="6" t="s">
        <v>7395</v>
      </c>
      <c r="D5687" s="6" t="s">
        <v>11560</v>
      </c>
      <c r="E5687" s="6" t="s">
        <v>11561</v>
      </c>
      <c r="F5687" s="107" t="s">
        <v>8239</v>
      </c>
      <c r="G5687" s="3" t="s">
        <v>11449</v>
      </c>
      <c r="H5687" s="185">
        <v>0</v>
      </c>
      <c r="I5687" s="16">
        <v>470000000</v>
      </c>
      <c r="J5687" s="56" t="s">
        <v>229</v>
      </c>
      <c r="K5687" s="57" t="s">
        <v>642</v>
      </c>
      <c r="L5687" s="12" t="s">
        <v>404</v>
      </c>
      <c r="M5687" s="3" t="s">
        <v>230</v>
      </c>
      <c r="N5687" s="8" t="s">
        <v>8898</v>
      </c>
      <c r="O5687" s="6" t="s">
        <v>365</v>
      </c>
      <c r="P5687" s="58">
        <v>796</v>
      </c>
      <c r="Q5687" s="26" t="s">
        <v>234</v>
      </c>
      <c r="R5687" s="34">
        <v>10</v>
      </c>
      <c r="S5687" s="59">
        <v>6377.3114999999998</v>
      </c>
      <c r="T5687" s="4">
        <f>R5687*S5687</f>
        <v>63773.114999999998</v>
      </c>
      <c r="U5687" s="4">
        <f>T5687*1.12</f>
        <v>71425.888800000001</v>
      </c>
      <c r="V5687" s="3"/>
      <c r="W5687" s="3">
        <v>2014</v>
      </c>
      <c r="X5687" s="3"/>
    </row>
    <row r="5688" spans="1:24" ht="114.75">
      <c r="A5688" s="3" t="s">
        <v>2338</v>
      </c>
      <c r="B5688" s="6" t="s">
        <v>361</v>
      </c>
      <c r="C5688" s="6" t="s">
        <v>11562</v>
      </c>
      <c r="D5688" s="6" t="s">
        <v>462</v>
      </c>
      <c r="E5688" s="6" t="s">
        <v>11563</v>
      </c>
      <c r="F5688" s="107" t="s">
        <v>8240</v>
      </c>
      <c r="G5688" s="3" t="s">
        <v>11449</v>
      </c>
      <c r="H5688" s="185">
        <v>0</v>
      </c>
      <c r="I5688" s="16">
        <v>470000000</v>
      </c>
      <c r="J5688" s="56" t="s">
        <v>229</v>
      </c>
      <c r="K5688" s="57" t="s">
        <v>641</v>
      </c>
      <c r="L5688" s="57" t="s">
        <v>364</v>
      </c>
      <c r="M5688" s="3" t="s">
        <v>230</v>
      </c>
      <c r="N5688" s="8" t="s">
        <v>8898</v>
      </c>
      <c r="O5688" s="6" t="s">
        <v>365</v>
      </c>
      <c r="P5688" s="58">
        <v>796</v>
      </c>
      <c r="Q5688" s="26" t="s">
        <v>234</v>
      </c>
      <c r="R5688" s="34">
        <v>10</v>
      </c>
      <c r="S5688" s="59">
        <v>19442.209500000001</v>
      </c>
      <c r="T5688" s="4">
        <v>0</v>
      </c>
      <c r="U5688" s="4">
        <f t="shared" si="244"/>
        <v>0</v>
      </c>
      <c r="V5688" s="3"/>
      <c r="W5688" s="3">
        <v>2014</v>
      </c>
      <c r="X5688" s="3">
        <v>11.12</v>
      </c>
    </row>
    <row r="5689" spans="1:24" ht="114.75">
      <c r="A5689" s="3" t="s">
        <v>13386</v>
      </c>
      <c r="B5689" s="6" t="s">
        <v>361</v>
      </c>
      <c r="C5689" s="6" t="s">
        <v>11562</v>
      </c>
      <c r="D5689" s="6" t="s">
        <v>462</v>
      </c>
      <c r="E5689" s="6" t="s">
        <v>11563</v>
      </c>
      <c r="F5689" s="107" t="s">
        <v>8240</v>
      </c>
      <c r="G5689" s="3" t="s">
        <v>11449</v>
      </c>
      <c r="H5689" s="185">
        <v>0</v>
      </c>
      <c r="I5689" s="16">
        <v>470000000</v>
      </c>
      <c r="J5689" s="56" t="s">
        <v>229</v>
      </c>
      <c r="K5689" s="57" t="s">
        <v>642</v>
      </c>
      <c r="L5689" s="12" t="s">
        <v>404</v>
      </c>
      <c r="M5689" s="3" t="s">
        <v>230</v>
      </c>
      <c r="N5689" s="8" t="s">
        <v>8898</v>
      </c>
      <c r="O5689" s="6" t="s">
        <v>365</v>
      </c>
      <c r="P5689" s="58">
        <v>796</v>
      </c>
      <c r="Q5689" s="26" t="s">
        <v>234</v>
      </c>
      <c r="R5689" s="34">
        <v>10</v>
      </c>
      <c r="S5689" s="59">
        <v>19442.209500000001</v>
      </c>
      <c r="T5689" s="4">
        <f>R5689*S5689</f>
        <v>194422.095</v>
      </c>
      <c r="U5689" s="4">
        <f>T5689*1.12</f>
        <v>217752.74640000003</v>
      </c>
      <c r="V5689" s="3"/>
      <c r="W5689" s="3">
        <v>2014</v>
      </c>
      <c r="X5689" s="3"/>
    </row>
    <row r="5690" spans="1:24" ht="114.75">
      <c r="A5690" s="3" t="s">
        <v>2339</v>
      </c>
      <c r="B5690" s="6" t="s">
        <v>361</v>
      </c>
      <c r="C5690" s="6" t="s">
        <v>11564</v>
      </c>
      <c r="D5690" s="6" t="s">
        <v>462</v>
      </c>
      <c r="E5690" s="6" t="s">
        <v>11565</v>
      </c>
      <c r="F5690" s="107" t="s">
        <v>8241</v>
      </c>
      <c r="G5690" s="3" t="s">
        <v>11449</v>
      </c>
      <c r="H5690" s="185">
        <v>0</v>
      </c>
      <c r="I5690" s="16">
        <v>470000000</v>
      </c>
      <c r="J5690" s="56" t="s">
        <v>229</v>
      </c>
      <c r="K5690" s="57" t="s">
        <v>641</v>
      </c>
      <c r="L5690" s="57" t="s">
        <v>364</v>
      </c>
      <c r="M5690" s="3" t="s">
        <v>230</v>
      </c>
      <c r="N5690" s="8" t="s">
        <v>8898</v>
      </c>
      <c r="O5690" s="6" t="s">
        <v>365</v>
      </c>
      <c r="P5690" s="58">
        <v>796</v>
      </c>
      <c r="Q5690" s="26" t="s">
        <v>234</v>
      </c>
      <c r="R5690" s="34">
        <v>10</v>
      </c>
      <c r="S5690" s="59">
        <v>5953.9724999999999</v>
      </c>
      <c r="T5690" s="4">
        <v>0</v>
      </c>
      <c r="U5690" s="4">
        <f t="shared" si="244"/>
        <v>0</v>
      </c>
      <c r="V5690" s="3"/>
      <c r="W5690" s="3">
        <v>2014</v>
      </c>
      <c r="X5690" s="3">
        <v>11.12</v>
      </c>
    </row>
    <row r="5691" spans="1:24" ht="114.75">
      <c r="A5691" s="3" t="s">
        <v>13387</v>
      </c>
      <c r="B5691" s="6" t="s">
        <v>361</v>
      </c>
      <c r="C5691" s="6" t="s">
        <v>11564</v>
      </c>
      <c r="D5691" s="6" t="s">
        <v>462</v>
      </c>
      <c r="E5691" s="6" t="s">
        <v>11565</v>
      </c>
      <c r="F5691" s="107" t="s">
        <v>8241</v>
      </c>
      <c r="G5691" s="3" t="s">
        <v>11449</v>
      </c>
      <c r="H5691" s="185">
        <v>0</v>
      </c>
      <c r="I5691" s="16">
        <v>470000000</v>
      </c>
      <c r="J5691" s="56" t="s">
        <v>229</v>
      </c>
      <c r="K5691" s="57" t="s">
        <v>642</v>
      </c>
      <c r="L5691" s="12" t="s">
        <v>404</v>
      </c>
      <c r="M5691" s="3" t="s">
        <v>230</v>
      </c>
      <c r="N5691" s="8" t="s">
        <v>8898</v>
      </c>
      <c r="O5691" s="6" t="s">
        <v>365</v>
      </c>
      <c r="P5691" s="58">
        <v>796</v>
      </c>
      <c r="Q5691" s="26" t="s">
        <v>234</v>
      </c>
      <c r="R5691" s="34">
        <v>10</v>
      </c>
      <c r="S5691" s="59">
        <v>5953.9724999999999</v>
      </c>
      <c r="T5691" s="4">
        <f>R5691*S5691</f>
        <v>59539.724999999999</v>
      </c>
      <c r="U5691" s="4">
        <f>T5691*1.12</f>
        <v>66684.491999999998</v>
      </c>
      <c r="V5691" s="3"/>
      <c r="W5691" s="3">
        <v>2014</v>
      </c>
      <c r="X5691" s="3"/>
    </row>
    <row r="5692" spans="1:24" ht="114.75">
      <c r="A5692" s="3" t="s">
        <v>2340</v>
      </c>
      <c r="B5692" s="6" t="s">
        <v>361</v>
      </c>
      <c r="C5692" s="6" t="s">
        <v>7394</v>
      </c>
      <c r="D5692" s="6" t="s">
        <v>11566</v>
      </c>
      <c r="E5692" s="6" t="s">
        <v>5183</v>
      </c>
      <c r="F5692" s="107" t="s">
        <v>8242</v>
      </c>
      <c r="G5692" s="3" t="s">
        <v>11449</v>
      </c>
      <c r="H5692" s="185">
        <v>0</v>
      </c>
      <c r="I5692" s="16">
        <v>470000000</v>
      </c>
      <c r="J5692" s="56" t="s">
        <v>229</v>
      </c>
      <c r="K5692" s="57" t="s">
        <v>641</v>
      </c>
      <c r="L5692" s="57" t="s">
        <v>364</v>
      </c>
      <c r="M5692" s="3" t="s">
        <v>230</v>
      </c>
      <c r="N5692" s="8" t="s">
        <v>8898</v>
      </c>
      <c r="O5692" s="6" t="s">
        <v>365</v>
      </c>
      <c r="P5692" s="58">
        <v>796</v>
      </c>
      <c r="Q5692" s="26" t="s">
        <v>234</v>
      </c>
      <c r="R5692" s="34">
        <v>10</v>
      </c>
      <c r="S5692" s="59">
        <v>20800</v>
      </c>
      <c r="T5692" s="4">
        <v>0</v>
      </c>
      <c r="U5692" s="4">
        <f t="shared" si="244"/>
        <v>0</v>
      </c>
      <c r="V5692" s="3"/>
      <c r="W5692" s="3">
        <v>2014</v>
      </c>
      <c r="X5692" s="3">
        <v>11.12</v>
      </c>
    </row>
    <row r="5693" spans="1:24" ht="114.75">
      <c r="A5693" s="3" t="s">
        <v>13388</v>
      </c>
      <c r="B5693" s="6" t="s">
        <v>361</v>
      </c>
      <c r="C5693" s="6" t="s">
        <v>7394</v>
      </c>
      <c r="D5693" s="6" t="s">
        <v>11566</v>
      </c>
      <c r="E5693" s="6" t="s">
        <v>5183</v>
      </c>
      <c r="F5693" s="107" t="s">
        <v>8242</v>
      </c>
      <c r="G5693" s="3" t="s">
        <v>11449</v>
      </c>
      <c r="H5693" s="185">
        <v>0</v>
      </c>
      <c r="I5693" s="16">
        <v>470000000</v>
      </c>
      <c r="J5693" s="56" t="s">
        <v>229</v>
      </c>
      <c r="K5693" s="57" t="s">
        <v>642</v>
      </c>
      <c r="L5693" s="12" t="s">
        <v>404</v>
      </c>
      <c r="M5693" s="3" t="s">
        <v>230</v>
      </c>
      <c r="N5693" s="8" t="s">
        <v>8898</v>
      </c>
      <c r="O5693" s="6" t="s">
        <v>365</v>
      </c>
      <c r="P5693" s="58">
        <v>796</v>
      </c>
      <c r="Q5693" s="26" t="s">
        <v>234</v>
      </c>
      <c r="R5693" s="34">
        <v>10</v>
      </c>
      <c r="S5693" s="59">
        <v>20800</v>
      </c>
      <c r="T5693" s="4">
        <v>0</v>
      </c>
      <c r="U5693" s="4">
        <f>T5693*1.12</f>
        <v>0</v>
      </c>
      <c r="V5693" s="3"/>
      <c r="W5693" s="3">
        <v>2014</v>
      </c>
      <c r="X5693" s="3" t="s">
        <v>14785</v>
      </c>
    </row>
    <row r="5694" spans="1:24" ht="114.75">
      <c r="A5694" s="3" t="s">
        <v>16954</v>
      </c>
      <c r="B5694" s="6" t="s">
        <v>361</v>
      </c>
      <c r="C5694" s="6" t="s">
        <v>7394</v>
      </c>
      <c r="D5694" s="6" t="s">
        <v>11566</v>
      </c>
      <c r="E5694" s="6" t="s">
        <v>5183</v>
      </c>
      <c r="F5694" s="107" t="s">
        <v>8242</v>
      </c>
      <c r="G5694" s="3" t="s">
        <v>11449</v>
      </c>
      <c r="H5694" s="185">
        <v>0</v>
      </c>
      <c r="I5694" s="16">
        <v>470000000</v>
      </c>
      <c r="J5694" s="56" t="s">
        <v>229</v>
      </c>
      <c r="K5694" s="57" t="s">
        <v>8950</v>
      </c>
      <c r="L5694" s="12" t="s">
        <v>404</v>
      </c>
      <c r="M5694" s="3" t="s">
        <v>230</v>
      </c>
      <c r="N5694" s="8" t="s">
        <v>8898</v>
      </c>
      <c r="O5694" s="6" t="s">
        <v>365</v>
      </c>
      <c r="P5694" s="58">
        <v>796</v>
      </c>
      <c r="Q5694" s="333" t="s">
        <v>234</v>
      </c>
      <c r="R5694" s="339">
        <v>10</v>
      </c>
      <c r="S5694" s="59">
        <v>24960</v>
      </c>
      <c r="T5694" s="4">
        <v>0</v>
      </c>
      <c r="U5694" s="4">
        <f t="shared" ref="U5694:U5695" si="251">T5694*1.12</f>
        <v>0</v>
      </c>
      <c r="V5694" s="3"/>
      <c r="W5694" s="3">
        <v>2014</v>
      </c>
      <c r="X5694" s="3">
        <v>11.15</v>
      </c>
    </row>
    <row r="5695" spans="1:24" ht="76.5">
      <c r="A5695" s="3" t="s">
        <v>19160</v>
      </c>
      <c r="B5695" s="6" t="s">
        <v>361</v>
      </c>
      <c r="C5695" s="6" t="s">
        <v>7394</v>
      </c>
      <c r="D5695" s="6" t="s">
        <v>11566</v>
      </c>
      <c r="E5695" s="6" t="s">
        <v>5183</v>
      </c>
      <c r="F5695" s="107" t="s">
        <v>8242</v>
      </c>
      <c r="G5695" s="3" t="s">
        <v>11449</v>
      </c>
      <c r="H5695" s="185">
        <v>0</v>
      </c>
      <c r="I5695" s="16">
        <v>470000000</v>
      </c>
      <c r="J5695" s="56" t="s">
        <v>229</v>
      </c>
      <c r="K5695" s="57" t="s">
        <v>18437</v>
      </c>
      <c r="L5695" s="12" t="s">
        <v>404</v>
      </c>
      <c r="M5695" s="3" t="s">
        <v>230</v>
      </c>
      <c r="N5695" s="8" t="s">
        <v>8898</v>
      </c>
      <c r="O5695" s="6" t="s">
        <v>19407</v>
      </c>
      <c r="P5695" s="58">
        <v>796</v>
      </c>
      <c r="Q5695" s="333" t="s">
        <v>234</v>
      </c>
      <c r="R5695" s="339">
        <v>10</v>
      </c>
      <c r="S5695" s="59">
        <v>24960</v>
      </c>
      <c r="T5695" s="4">
        <f>R5695*S5695</f>
        <v>249600</v>
      </c>
      <c r="U5695" s="4">
        <f t="shared" si="251"/>
        <v>279552</v>
      </c>
      <c r="V5695" s="3"/>
      <c r="W5695" s="3">
        <v>2014</v>
      </c>
      <c r="X5695" s="3"/>
    </row>
    <row r="5696" spans="1:24" ht="114.75">
      <c r="A5696" s="3" t="s">
        <v>2341</v>
      </c>
      <c r="B5696" s="6" t="s">
        <v>361</v>
      </c>
      <c r="C5696" s="6" t="s">
        <v>6358</v>
      </c>
      <c r="D5696" s="6" t="s">
        <v>6359</v>
      </c>
      <c r="E5696" s="6" t="s">
        <v>6360</v>
      </c>
      <c r="F5696" s="107" t="s">
        <v>6361</v>
      </c>
      <c r="G5696" s="3" t="s">
        <v>11449</v>
      </c>
      <c r="H5696" s="185">
        <v>0</v>
      </c>
      <c r="I5696" s="16">
        <v>470000000</v>
      </c>
      <c r="J5696" s="56" t="s">
        <v>229</v>
      </c>
      <c r="K5696" s="57" t="s">
        <v>641</v>
      </c>
      <c r="L5696" s="57" t="s">
        <v>364</v>
      </c>
      <c r="M5696" s="3" t="s">
        <v>230</v>
      </c>
      <c r="N5696" s="8" t="s">
        <v>8898</v>
      </c>
      <c r="O5696" s="6" t="s">
        <v>365</v>
      </c>
      <c r="P5696" s="58">
        <v>796</v>
      </c>
      <c r="Q5696" s="26" t="s">
        <v>234</v>
      </c>
      <c r="R5696" s="34">
        <v>3</v>
      </c>
      <c r="S5696" s="59">
        <v>156500</v>
      </c>
      <c r="T5696" s="4">
        <v>0</v>
      </c>
      <c r="U5696" s="4">
        <f t="shared" si="244"/>
        <v>0</v>
      </c>
      <c r="V5696" s="3"/>
      <c r="W5696" s="3">
        <v>2014</v>
      </c>
      <c r="X5696" s="3">
        <v>11.12</v>
      </c>
    </row>
    <row r="5697" spans="1:24" ht="114.75">
      <c r="A5697" s="3" t="s">
        <v>13389</v>
      </c>
      <c r="B5697" s="6" t="s">
        <v>361</v>
      </c>
      <c r="C5697" s="6" t="s">
        <v>6358</v>
      </c>
      <c r="D5697" s="6" t="s">
        <v>6359</v>
      </c>
      <c r="E5697" s="6" t="s">
        <v>6360</v>
      </c>
      <c r="F5697" s="107" t="s">
        <v>6361</v>
      </c>
      <c r="G5697" s="3" t="s">
        <v>11449</v>
      </c>
      <c r="H5697" s="185">
        <v>0</v>
      </c>
      <c r="I5697" s="16">
        <v>470000000</v>
      </c>
      <c r="J5697" s="56" t="s">
        <v>229</v>
      </c>
      <c r="K5697" s="57" t="s">
        <v>642</v>
      </c>
      <c r="L5697" s="12" t="s">
        <v>404</v>
      </c>
      <c r="M5697" s="3" t="s">
        <v>230</v>
      </c>
      <c r="N5697" s="8" t="s">
        <v>8898</v>
      </c>
      <c r="O5697" s="6" t="s">
        <v>365</v>
      </c>
      <c r="P5697" s="58">
        <v>796</v>
      </c>
      <c r="Q5697" s="26" t="s">
        <v>234</v>
      </c>
      <c r="R5697" s="34">
        <v>3</v>
      </c>
      <c r="S5697" s="59">
        <v>156500</v>
      </c>
      <c r="T5697" s="4">
        <f>R5697*S5697</f>
        <v>469500</v>
      </c>
      <c r="U5697" s="4">
        <f>T5697*1.12</f>
        <v>525840</v>
      </c>
      <c r="V5697" s="3"/>
      <c r="W5697" s="3">
        <v>2014</v>
      </c>
      <c r="X5697" s="3"/>
    </row>
    <row r="5698" spans="1:24" ht="114.75">
      <c r="A5698" s="3" t="s">
        <v>2342</v>
      </c>
      <c r="B5698" s="6" t="s">
        <v>361</v>
      </c>
      <c r="C5698" s="6" t="s">
        <v>6263</v>
      </c>
      <c r="D5698" s="6" t="s">
        <v>441</v>
      </c>
      <c r="E5698" s="6" t="s">
        <v>6264</v>
      </c>
      <c r="F5698" s="37" t="s">
        <v>8243</v>
      </c>
      <c r="G5698" s="3" t="s">
        <v>11449</v>
      </c>
      <c r="H5698" s="185">
        <v>0</v>
      </c>
      <c r="I5698" s="16">
        <v>470000000</v>
      </c>
      <c r="J5698" s="56" t="s">
        <v>229</v>
      </c>
      <c r="K5698" s="57" t="s">
        <v>641</v>
      </c>
      <c r="L5698" s="57" t="s">
        <v>364</v>
      </c>
      <c r="M5698" s="3" t="s">
        <v>230</v>
      </c>
      <c r="N5698" s="8" t="s">
        <v>8898</v>
      </c>
      <c r="O5698" s="6" t="s">
        <v>365</v>
      </c>
      <c r="P5698" s="58">
        <v>796</v>
      </c>
      <c r="Q5698" s="26" t="s">
        <v>234</v>
      </c>
      <c r="R5698" s="34">
        <v>3</v>
      </c>
      <c r="S5698" s="59">
        <v>276785.71000000002</v>
      </c>
      <c r="T5698" s="4">
        <v>0</v>
      </c>
      <c r="U5698" s="4">
        <f t="shared" si="244"/>
        <v>0</v>
      </c>
      <c r="V5698" s="3"/>
      <c r="W5698" s="3">
        <v>2014</v>
      </c>
      <c r="X5698" s="3">
        <v>11.12</v>
      </c>
    </row>
    <row r="5699" spans="1:24" ht="114.75">
      <c r="A5699" s="3" t="s">
        <v>13390</v>
      </c>
      <c r="B5699" s="6" t="s">
        <v>361</v>
      </c>
      <c r="C5699" s="6" t="s">
        <v>6263</v>
      </c>
      <c r="D5699" s="6" t="s">
        <v>441</v>
      </c>
      <c r="E5699" s="6" t="s">
        <v>6264</v>
      </c>
      <c r="F5699" s="37" t="s">
        <v>8243</v>
      </c>
      <c r="G5699" s="3" t="s">
        <v>11449</v>
      </c>
      <c r="H5699" s="185">
        <v>0</v>
      </c>
      <c r="I5699" s="16">
        <v>470000000</v>
      </c>
      <c r="J5699" s="56" t="s">
        <v>229</v>
      </c>
      <c r="K5699" s="57" t="s">
        <v>642</v>
      </c>
      <c r="L5699" s="12" t="s">
        <v>404</v>
      </c>
      <c r="M5699" s="3" t="s">
        <v>230</v>
      </c>
      <c r="N5699" s="8" t="s">
        <v>8898</v>
      </c>
      <c r="O5699" s="6" t="s">
        <v>365</v>
      </c>
      <c r="P5699" s="58">
        <v>796</v>
      </c>
      <c r="Q5699" s="26" t="s">
        <v>234</v>
      </c>
      <c r="R5699" s="34">
        <v>3</v>
      </c>
      <c r="S5699" s="59">
        <v>276785.71000000002</v>
      </c>
      <c r="T5699" s="4">
        <f>R5699*S5699</f>
        <v>830357.13000000012</v>
      </c>
      <c r="U5699" s="4">
        <f>T5699*1.12</f>
        <v>929999.98560000025</v>
      </c>
      <c r="V5699" s="3"/>
      <c r="W5699" s="3">
        <v>2014</v>
      </c>
      <c r="X5699" s="3"/>
    </row>
    <row r="5700" spans="1:24" ht="114.75">
      <c r="A5700" s="3" t="s">
        <v>2343</v>
      </c>
      <c r="B5700" s="6" t="s">
        <v>361</v>
      </c>
      <c r="C5700" s="6" t="s">
        <v>11567</v>
      </c>
      <c r="D5700" s="6" t="s">
        <v>5438</v>
      </c>
      <c r="E5700" s="6" t="s">
        <v>11568</v>
      </c>
      <c r="F5700" s="107" t="s">
        <v>6362</v>
      </c>
      <c r="G5700" s="3" t="s">
        <v>11449</v>
      </c>
      <c r="H5700" s="185">
        <v>0</v>
      </c>
      <c r="I5700" s="16">
        <v>470000000</v>
      </c>
      <c r="J5700" s="56" t="s">
        <v>229</v>
      </c>
      <c r="K5700" s="57" t="s">
        <v>641</v>
      </c>
      <c r="L5700" s="57" t="s">
        <v>364</v>
      </c>
      <c r="M5700" s="3" t="s">
        <v>230</v>
      </c>
      <c r="N5700" s="8" t="s">
        <v>8898</v>
      </c>
      <c r="O5700" s="6" t="s">
        <v>365</v>
      </c>
      <c r="P5700" s="58">
        <v>796</v>
      </c>
      <c r="Q5700" s="26" t="s">
        <v>234</v>
      </c>
      <c r="R5700" s="34">
        <v>20</v>
      </c>
      <c r="S5700" s="59">
        <v>20700</v>
      </c>
      <c r="T5700" s="4">
        <v>0</v>
      </c>
      <c r="U5700" s="4">
        <f t="shared" si="244"/>
        <v>0</v>
      </c>
      <c r="V5700" s="3"/>
      <c r="W5700" s="3">
        <v>2014</v>
      </c>
      <c r="X5700" s="3">
        <v>11.12</v>
      </c>
    </row>
    <row r="5701" spans="1:24" ht="114.75">
      <c r="A5701" s="3" t="s">
        <v>13391</v>
      </c>
      <c r="B5701" s="6" t="s">
        <v>361</v>
      </c>
      <c r="C5701" s="6" t="s">
        <v>11567</v>
      </c>
      <c r="D5701" s="6" t="s">
        <v>5438</v>
      </c>
      <c r="E5701" s="6" t="s">
        <v>11568</v>
      </c>
      <c r="F5701" s="107" t="s">
        <v>6362</v>
      </c>
      <c r="G5701" s="3" t="s">
        <v>11449</v>
      </c>
      <c r="H5701" s="185">
        <v>0</v>
      </c>
      <c r="I5701" s="16">
        <v>470000000</v>
      </c>
      <c r="J5701" s="56" t="s">
        <v>229</v>
      </c>
      <c r="K5701" s="57" t="s">
        <v>642</v>
      </c>
      <c r="L5701" s="12" t="s">
        <v>404</v>
      </c>
      <c r="M5701" s="3" t="s">
        <v>230</v>
      </c>
      <c r="N5701" s="8" t="s">
        <v>8898</v>
      </c>
      <c r="O5701" s="6" t="s">
        <v>365</v>
      </c>
      <c r="P5701" s="58">
        <v>796</v>
      </c>
      <c r="Q5701" s="26" t="s">
        <v>234</v>
      </c>
      <c r="R5701" s="34">
        <v>20</v>
      </c>
      <c r="S5701" s="59">
        <v>20700</v>
      </c>
      <c r="T5701" s="4">
        <f>R5701*S5701</f>
        <v>414000</v>
      </c>
      <c r="U5701" s="4">
        <f>T5701*1.12</f>
        <v>463680.00000000006</v>
      </c>
      <c r="V5701" s="3"/>
      <c r="W5701" s="3">
        <v>2014</v>
      </c>
      <c r="X5701" s="3"/>
    </row>
    <row r="5702" spans="1:24" ht="114.75">
      <c r="A5702" s="3" t="s">
        <v>2344</v>
      </c>
      <c r="B5702" s="6" t="s">
        <v>361</v>
      </c>
      <c r="C5702" s="6" t="s">
        <v>6363</v>
      </c>
      <c r="D5702" s="6" t="s">
        <v>6364</v>
      </c>
      <c r="E5702" s="6" t="s">
        <v>6365</v>
      </c>
      <c r="F5702" s="107" t="s">
        <v>6366</v>
      </c>
      <c r="G5702" s="3" t="s">
        <v>11449</v>
      </c>
      <c r="H5702" s="185">
        <v>0</v>
      </c>
      <c r="I5702" s="16">
        <v>470000000</v>
      </c>
      <c r="J5702" s="56" t="s">
        <v>229</v>
      </c>
      <c r="K5702" s="57" t="s">
        <v>641</v>
      </c>
      <c r="L5702" s="57" t="s">
        <v>364</v>
      </c>
      <c r="M5702" s="3" t="s">
        <v>230</v>
      </c>
      <c r="N5702" s="8" t="s">
        <v>8898</v>
      </c>
      <c r="O5702" s="6" t="s">
        <v>365</v>
      </c>
      <c r="P5702" s="58">
        <v>796</v>
      </c>
      <c r="Q5702" s="26" t="s">
        <v>234</v>
      </c>
      <c r="R5702" s="34">
        <v>16</v>
      </c>
      <c r="S5702" s="59">
        <v>10500</v>
      </c>
      <c r="T5702" s="4">
        <v>0</v>
      </c>
      <c r="U5702" s="4">
        <f t="shared" si="244"/>
        <v>0</v>
      </c>
      <c r="V5702" s="3"/>
      <c r="W5702" s="3">
        <v>2014</v>
      </c>
      <c r="X5702" s="3">
        <v>11.12</v>
      </c>
    </row>
    <row r="5703" spans="1:24" ht="114.75">
      <c r="A5703" s="3" t="s">
        <v>13392</v>
      </c>
      <c r="B5703" s="6" t="s">
        <v>361</v>
      </c>
      <c r="C5703" s="6" t="s">
        <v>6363</v>
      </c>
      <c r="D5703" s="6" t="s">
        <v>6364</v>
      </c>
      <c r="E5703" s="6" t="s">
        <v>6365</v>
      </c>
      <c r="F5703" s="107" t="s">
        <v>6366</v>
      </c>
      <c r="G5703" s="3" t="s">
        <v>11449</v>
      </c>
      <c r="H5703" s="185">
        <v>0</v>
      </c>
      <c r="I5703" s="16">
        <v>470000000</v>
      </c>
      <c r="J5703" s="56" t="s">
        <v>229</v>
      </c>
      <c r="K5703" s="57" t="s">
        <v>642</v>
      </c>
      <c r="L5703" s="12" t="s">
        <v>404</v>
      </c>
      <c r="M5703" s="3" t="s">
        <v>230</v>
      </c>
      <c r="N5703" s="8" t="s">
        <v>8898</v>
      </c>
      <c r="O5703" s="6" t="s">
        <v>365</v>
      </c>
      <c r="P5703" s="58">
        <v>796</v>
      </c>
      <c r="Q5703" s="26" t="s">
        <v>234</v>
      </c>
      <c r="R5703" s="34">
        <v>16</v>
      </c>
      <c r="S5703" s="59">
        <v>10500</v>
      </c>
      <c r="T5703" s="4">
        <v>0</v>
      </c>
      <c r="U5703" s="4">
        <f>T5703*1.12</f>
        <v>0</v>
      </c>
      <c r="V5703" s="3"/>
      <c r="W5703" s="3">
        <v>2014</v>
      </c>
      <c r="X5703" s="3" t="s">
        <v>14785</v>
      </c>
    </row>
    <row r="5704" spans="1:24" ht="114.75">
      <c r="A5704" s="3" t="s">
        <v>16955</v>
      </c>
      <c r="B5704" s="6" t="s">
        <v>361</v>
      </c>
      <c r="C5704" s="6" t="s">
        <v>6363</v>
      </c>
      <c r="D5704" s="6" t="s">
        <v>6364</v>
      </c>
      <c r="E5704" s="6" t="s">
        <v>6365</v>
      </c>
      <c r="F5704" s="107" t="s">
        <v>6366</v>
      </c>
      <c r="G5704" s="3" t="s">
        <v>11449</v>
      </c>
      <c r="H5704" s="185">
        <v>0</v>
      </c>
      <c r="I5704" s="16">
        <v>470000000</v>
      </c>
      <c r="J5704" s="56" t="s">
        <v>229</v>
      </c>
      <c r="K5704" s="57" t="s">
        <v>8950</v>
      </c>
      <c r="L5704" s="12" t="s">
        <v>404</v>
      </c>
      <c r="M5704" s="3" t="s">
        <v>230</v>
      </c>
      <c r="N5704" s="8" t="s">
        <v>8898</v>
      </c>
      <c r="O5704" s="6" t="s">
        <v>365</v>
      </c>
      <c r="P5704" s="58">
        <v>796</v>
      </c>
      <c r="Q5704" s="333" t="s">
        <v>234</v>
      </c>
      <c r="R5704" s="339">
        <v>16</v>
      </c>
      <c r="S5704" s="59">
        <v>12600</v>
      </c>
      <c r="T5704" s="4">
        <v>0</v>
      </c>
      <c r="U5704" s="4">
        <f t="shared" ref="U5704:U5705" si="252">T5704*1.12</f>
        <v>0</v>
      </c>
      <c r="V5704" s="3"/>
      <c r="W5704" s="3">
        <v>2014</v>
      </c>
      <c r="X5704" s="3">
        <v>11.15</v>
      </c>
    </row>
    <row r="5705" spans="1:24" ht="76.5">
      <c r="A5705" s="3" t="s">
        <v>19161</v>
      </c>
      <c r="B5705" s="6" t="s">
        <v>361</v>
      </c>
      <c r="C5705" s="6" t="s">
        <v>6363</v>
      </c>
      <c r="D5705" s="6" t="s">
        <v>6364</v>
      </c>
      <c r="E5705" s="6" t="s">
        <v>6365</v>
      </c>
      <c r="F5705" s="107" t="s">
        <v>6366</v>
      </c>
      <c r="G5705" s="3" t="s">
        <v>11449</v>
      </c>
      <c r="H5705" s="185">
        <v>0</v>
      </c>
      <c r="I5705" s="16">
        <v>470000000</v>
      </c>
      <c r="J5705" s="56" t="s">
        <v>229</v>
      </c>
      <c r="K5705" s="57" t="s">
        <v>18437</v>
      </c>
      <c r="L5705" s="12" t="s">
        <v>404</v>
      </c>
      <c r="M5705" s="3" t="s">
        <v>230</v>
      </c>
      <c r="N5705" s="8" t="s">
        <v>8898</v>
      </c>
      <c r="O5705" s="6" t="s">
        <v>19407</v>
      </c>
      <c r="P5705" s="58">
        <v>796</v>
      </c>
      <c r="Q5705" s="333" t="s">
        <v>234</v>
      </c>
      <c r="R5705" s="339">
        <v>16</v>
      </c>
      <c r="S5705" s="59">
        <v>12600</v>
      </c>
      <c r="T5705" s="4">
        <f>R5705*S5705</f>
        <v>201600</v>
      </c>
      <c r="U5705" s="4">
        <f t="shared" si="252"/>
        <v>225792.00000000003</v>
      </c>
      <c r="V5705" s="3"/>
      <c r="W5705" s="3">
        <v>2014</v>
      </c>
      <c r="X5705" s="3"/>
    </row>
    <row r="5706" spans="1:24" ht="114.75">
      <c r="A5706" s="3" t="s">
        <v>2345</v>
      </c>
      <c r="B5706" s="6" t="s">
        <v>361</v>
      </c>
      <c r="C5706" s="6" t="s">
        <v>6367</v>
      </c>
      <c r="D5706" s="6" t="s">
        <v>398</v>
      </c>
      <c r="E5706" s="6" t="s">
        <v>6365</v>
      </c>
      <c r="F5706" s="107" t="s">
        <v>8244</v>
      </c>
      <c r="G5706" s="3" t="s">
        <v>11449</v>
      </c>
      <c r="H5706" s="185">
        <v>0</v>
      </c>
      <c r="I5706" s="16">
        <v>470000000</v>
      </c>
      <c r="J5706" s="56" t="s">
        <v>229</v>
      </c>
      <c r="K5706" s="57" t="s">
        <v>641</v>
      </c>
      <c r="L5706" s="57" t="s">
        <v>364</v>
      </c>
      <c r="M5706" s="3" t="s">
        <v>230</v>
      </c>
      <c r="N5706" s="8" t="s">
        <v>8898</v>
      </c>
      <c r="O5706" s="6" t="s">
        <v>365</v>
      </c>
      <c r="P5706" s="58">
        <v>796</v>
      </c>
      <c r="Q5706" s="26" t="s">
        <v>234</v>
      </c>
      <c r="R5706" s="34">
        <v>6</v>
      </c>
      <c r="S5706" s="59">
        <v>6000</v>
      </c>
      <c r="T5706" s="4">
        <v>0</v>
      </c>
      <c r="U5706" s="4">
        <f t="shared" si="244"/>
        <v>0</v>
      </c>
      <c r="V5706" s="3"/>
      <c r="W5706" s="3">
        <v>2014</v>
      </c>
      <c r="X5706" s="3">
        <v>11.12</v>
      </c>
    </row>
    <row r="5707" spans="1:24" ht="114.75">
      <c r="A5707" s="3" t="s">
        <v>13393</v>
      </c>
      <c r="B5707" s="6" t="s">
        <v>361</v>
      </c>
      <c r="C5707" s="6" t="s">
        <v>6367</v>
      </c>
      <c r="D5707" s="6" t="s">
        <v>398</v>
      </c>
      <c r="E5707" s="6" t="s">
        <v>6365</v>
      </c>
      <c r="F5707" s="107" t="s">
        <v>8244</v>
      </c>
      <c r="G5707" s="3" t="s">
        <v>11449</v>
      </c>
      <c r="H5707" s="185">
        <v>0</v>
      </c>
      <c r="I5707" s="16">
        <v>470000000</v>
      </c>
      <c r="J5707" s="56" t="s">
        <v>229</v>
      </c>
      <c r="K5707" s="57" t="s">
        <v>642</v>
      </c>
      <c r="L5707" s="12" t="s">
        <v>404</v>
      </c>
      <c r="M5707" s="3" t="s">
        <v>230</v>
      </c>
      <c r="N5707" s="8" t="s">
        <v>8898</v>
      </c>
      <c r="O5707" s="6" t="s">
        <v>365</v>
      </c>
      <c r="P5707" s="58">
        <v>796</v>
      </c>
      <c r="Q5707" s="26" t="s">
        <v>234</v>
      </c>
      <c r="R5707" s="34">
        <v>6</v>
      </c>
      <c r="S5707" s="59">
        <v>6000</v>
      </c>
      <c r="T5707" s="4">
        <v>0</v>
      </c>
      <c r="U5707" s="4">
        <f>T5707*1.12</f>
        <v>0</v>
      </c>
      <c r="V5707" s="3"/>
      <c r="W5707" s="3">
        <v>2014</v>
      </c>
      <c r="X5707" s="3" t="s">
        <v>14785</v>
      </c>
    </row>
    <row r="5708" spans="1:24" ht="114.75">
      <c r="A5708" s="3" t="s">
        <v>16956</v>
      </c>
      <c r="B5708" s="6" t="s">
        <v>361</v>
      </c>
      <c r="C5708" s="6" t="s">
        <v>6367</v>
      </c>
      <c r="D5708" s="6" t="s">
        <v>398</v>
      </c>
      <c r="E5708" s="6" t="s">
        <v>6365</v>
      </c>
      <c r="F5708" s="107" t="s">
        <v>8244</v>
      </c>
      <c r="G5708" s="3" t="s">
        <v>11449</v>
      </c>
      <c r="H5708" s="185">
        <v>0</v>
      </c>
      <c r="I5708" s="16">
        <v>470000000</v>
      </c>
      <c r="J5708" s="56" t="s">
        <v>229</v>
      </c>
      <c r="K5708" s="57" t="s">
        <v>8950</v>
      </c>
      <c r="L5708" s="12" t="s">
        <v>404</v>
      </c>
      <c r="M5708" s="3" t="s">
        <v>230</v>
      </c>
      <c r="N5708" s="8" t="s">
        <v>8898</v>
      </c>
      <c r="O5708" s="6" t="s">
        <v>365</v>
      </c>
      <c r="P5708" s="58">
        <v>796</v>
      </c>
      <c r="Q5708" s="333" t="s">
        <v>234</v>
      </c>
      <c r="R5708" s="339">
        <v>6</v>
      </c>
      <c r="S5708" s="59">
        <v>7200</v>
      </c>
      <c r="T5708" s="4">
        <v>0</v>
      </c>
      <c r="U5708" s="4">
        <f t="shared" ref="U5708:U5709" si="253">T5708*1.12</f>
        <v>0</v>
      </c>
      <c r="V5708" s="3"/>
      <c r="W5708" s="3">
        <v>2014</v>
      </c>
      <c r="X5708" s="3">
        <v>11.15</v>
      </c>
    </row>
    <row r="5709" spans="1:24" ht="76.5">
      <c r="A5709" s="3" t="s">
        <v>19162</v>
      </c>
      <c r="B5709" s="6" t="s">
        <v>361</v>
      </c>
      <c r="C5709" s="6" t="s">
        <v>6367</v>
      </c>
      <c r="D5709" s="6" t="s">
        <v>398</v>
      </c>
      <c r="E5709" s="6" t="s">
        <v>6365</v>
      </c>
      <c r="F5709" s="107" t="s">
        <v>8244</v>
      </c>
      <c r="G5709" s="3" t="s">
        <v>11449</v>
      </c>
      <c r="H5709" s="185">
        <v>0</v>
      </c>
      <c r="I5709" s="16">
        <v>470000000</v>
      </c>
      <c r="J5709" s="56" t="s">
        <v>229</v>
      </c>
      <c r="K5709" s="57" t="s">
        <v>18437</v>
      </c>
      <c r="L5709" s="12" t="s">
        <v>404</v>
      </c>
      <c r="M5709" s="3" t="s">
        <v>230</v>
      </c>
      <c r="N5709" s="8" t="s">
        <v>8898</v>
      </c>
      <c r="O5709" s="6" t="s">
        <v>19407</v>
      </c>
      <c r="P5709" s="58">
        <v>796</v>
      </c>
      <c r="Q5709" s="333" t="s">
        <v>234</v>
      </c>
      <c r="R5709" s="339">
        <v>6</v>
      </c>
      <c r="S5709" s="59">
        <v>7200</v>
      </c>
      <c r="T5709" s="4">
        <f>R5709*S5709</f>
        <v>43200</v>
      </c>
      <c r="U5709" s="4">
        <f t="shared" si="253"/>
        <v>48384.000000000007</v>
      </c>
      <c r="V5709" s="3"/>
      <c r="W5709" s="3">
        <v>2014</v>
      </c>
      <c r="X5709" s="3"/>
    </row>
    <row r="5710" spans="1:24" ht="114.75">
      <c r="A5710" s="3" t="s">
        <v>2346</v>
      </c>
      <c r="B5710" s="6" t="s">
        <v>361</v>
      </c>
      <c r="C5710" s="6" t="s">
        <v>5508</v>
      </c>
      <c r="D5710" s="6" t="s">
        <v>5509</v>
      </c>
      <c r="E5710" s="6" t="s">
        <v>5510</v>
      </c>
      <c r="F5710" s="107" t="s">
        <v>8245</v>
      </c>
      <c r="G5710" s="3" t="s">
        <v>11449</v>
      </c>
      <c r="H5710" s="185">
        <v>0</v>
      </c>
      <c r="I5710" s="16">
        <v>470000000</v>
      </c>
      <c r="J5710" s="56" t="s">
        <v>229</v>
      </c>
      <c r="K5710" s="57" t="s">
        <v>641</v>
      </c>
      <c r="L5710" s="57" t="s">
        <v>364</v>
      </c>
      <c r="M5710" s="3" t="s">
        <v>230</v>
      </c>
      <c r="N5710" s="8" t="s">
        <v>8898</v>
      </c>
      <c r="O5710" s="6" t="s">
        <v>365</v>
      </c>
      <c r="P5710" s="58">
        <v>796</v>
      </c>
      <c r="Q5710" s="26" t="s">
        <v>234</v>
      </c>
      <c r="R5710" s="34">
        <v>5</v>
      </c>
      <c r="S5710" s="59">
        <v>18000</v>
      </c>
      <c r="T5710" s="4">
        <v>0</v>
      </c>
      <c r="U5710" s="4">
        <f t="shared" si="244"/>
        <v>0</v>
      </c>
      <c r="V5710" s="3"/>
      <c r="W5710" s="3">
        <v>2014</v>
      </c>
      <c r="X5710" s="3">
        <v>11.12</v>
      </c>
    </row>
    <row r="5711" spans="1:24" ht="114.75">
      <c r="A5711" s="3" t="s">
        <v>13394</v>
      </c>
      <c r="B5711" s="6" t="s">
        <v>361</v>
      </c>
      <c r="C5711" s="6" t="s">
        <v>5508</v>
      </c>
      <c r="D5711" s="6" t="s">
        <v>5509</v>
      </c>
      <c r="E5711" s="6" t="s">
        <v>5510</v>
      </c>
      <c r="F5711" s="107" t="s">
        <v>8245</v>
      </c>
      <c r="G5711" s="3" t="s">
        <v>11449</v>
      </c>
      <c r="H5711" s="185">
        <v>0</v>
      </c>
      <c r="I5711" s="16">
        <v>470000000</v>
      </c>
      <c r="J5711" s="56" t="s">
        <v>229</v>
      </c>
      <c r="K5711" s="57" t="s">
        <v>642</v>
      </c>
      <c r="L5711" s="12" t="s">
        <v>404</v>
      </c>
      <c r="M5711" s="3" t="s">
        <v>230</v>
      </c>
      <c r="N5711" s="8" t="s">
        <v>8898</v>
      </c>
      <c r="O5711" s="6" t="s">
        <v>365</v>
      </c>
      <c r="P5711" s="58">
        <v>796</v>
      </c>
      <c r="Q5711" s="26" t="s">
        <v>234</v>
      </c>
      <c r="R5711" s="34">
        <v>5</v>
      </c>
      <c r="S5711" s="59">
        <v>18000</v>
      </c>
      <c r="T5711" s="4">
        <v>0</v>
      </c>
      <c r="U5711" s="4">
        <f>T5711*1.12</f>
        <v>0</v>
      </c>
      <c r="V5711" s="3"/>
      <c r="W5711" s="3">
        <v>2014</v>
      </c>
      <c r="X5711" s="3" t="s">
        <v>14785</v>
      </c>
    </row>
    <row r="5712" spans="1:24" ht="114.75">
      <c r="A5712" s="3" t="s">
        <v>16957</v>
      </c>
      <c r="B5712" s="6" t="s">
        <v>361</v>
      </c>
      <c r="C5712" s="6" t="s">
        <v>5508</v>
      </c>
      <c r="D5712" s="6" t="s">
        <v>5509</v>
      </c>
      <c r="E5712" s="6" t="s">
        <v>5510</v>
      </c>
      <c r="F5712" s="107" t="s">
        <v>8245</v>
      </c>
      <c r="G5712" s="3" t="s">
        <v>11449</v>
      </c>
      <c r="H5712" s="185">
        <v>0</v>
      </c>
      <c r="I5712" s="16">
        <v>470000000</v>
      </c>
      <c r="J5712" s="56" t="s">
        <v>229</v>
      </c>
      <c r="K5712" s="57" t="s">
        <v>8950</v>
      </c>
      <c r="L5712" s="12" t="s">
        <v>404</v>
      </c>
      <c r="M5712" s="3" t="s">
        <v>230</v>
      </c>
      <c r="N5712" s="8" t="s">
        <v>8898</v>
      </c>
      <c r="O5712" s="6" t="s">
        <v>365</v>
      </c>
      <c r="P5712" s="58">
        <v>796</v>
      </c>
      <c r="Q5712" s="333" t="s">
        <v>234</v>
      </c>
      <c r="R5712" s="339">
        <v>5</v>
      </c>
      <c r="S5712" s="59">
        <v>21600</v>
      </c>
      <c r="T5712" s="4">
        <v>0</v>
      </c>
      <c r="U5712" s="4">
        <f t="shared" ref="U5712:U5713" si="254">T5712*1.12</f>
        <v>0</v>
      </c>
      <c r="V5712" s="3"/>
      <c r="W5712" s="3">
        <v>2014</v>
      </c>
      <c r="X5712" s="3">
        <v>11.15</v>
      </c>
    </row>
    <row r="5713" spans="1:24" ht="76.5">
      <c r="A5713" s="3" t="s">
        <v>19163</v>
      </c>
      <c r="B5713" s="6" t="s">
        <v>361</v>
      </c>
      <c r="C5713" s="6" t="s">
        <v>5508</v>
      </c>
      <c r="D5713" s="6" t="s">
        <v>5509</v>
      </c>
      <c r="E5713" s="6" t="s">
        <v>5510</v>
      </c>
      <c r="F5713" s="107" t="s">
        <v>8245</v>
      </c>
      <c r="G5713" s="3" t="s">
        <v>11449</v>
      </c>
      <c r="H5713" s="185">
        <v>0</v>
      </c>
      <c r="I5713" s="16">
        <v>470000000</v>
      </c>
      <c r="J5713" s="56" t="s">
        <v>229</v>
      </c>
      <c r="K5713" s="57" t="s">
        <v>18437</v>
      </c>
      <c r="L5713" s="12" t="s">
        <v>404</v>
      </c>
      <c r="M5713" s="3" t="s">
        <v>230</v>
      </c>
      <c r="N5713" s="8" t="s">
        <v>8898</v>
      </c>
      <c r="O5713" s="6" t="s">
        <v>19407</v>
      </c>
      <c r="P5713" s="58">
        <v>796</v>
      </c>
      <c r="Q5713" s="333" t="s">
        <v>234</v>
      </c>
      <c r="R5713" s="339">
        <v>5</v>
      </c>
      <c r="S5713" s="59">
        <v>21600</v>
      </c>
      <c r="T5713" s="4">
        <f>R5713*S5713</f>
        <v>108000</v>
      </c>
      <c r="U5713" s="4">
        <f t="shared" si="254"/>
        <v>120960.00000000001</v>
      </c>
      <c r="V5713" s="3"/>
      <c r="W5713" s="3">
        <v>2014</v>
      </c>
      <c r="X5713" s="3"/>
    </row>
    <row r="5714" spans="1:24" ht="114.75">
      <c r="A5714" s="3" t="s">
        <v>2347</v>
      </c>
      <c r="B5714" s="6" t="s">
        <v>361</v>
      </c>
      <c r="C5714" s="6" t="s">
        <v>6363</v>
      </c>
      <c r="D5714" s="6" t="s">
        <v>6364</v>
      </c>
      <c r="E5714" s="6" t="s">
        <v>6365</v>
      </c>
      <c r="F5714" s="107" t="s">
        <v>8246</v>
      </c>
      <c r="G5714" s="3" t="s">
        <v>11449</v>
      </c>
      <c r="H5714" s="185">
        <v>0</v>
      </c>
      <c r="I5714" s="16">
        <v>470000000</v>
      </c>
      <c r="J5714" s="56" t="s">
        <v>229</v>
      </c>
      <c r="K5714" s="57" t="s">
        <v>641</v>
      </c>
      <c r="L5714" s="57" t="s">
        <v>364</v>
      </c>
      <c r="M5714" s="3" t="s">
        <v>230</v>
      </c>
      <c r="N5714" s="8" t="s">
        <v>8898</v>
      </c>
      <c r="O5714" s="6" t="s">
        <v>365</v>
      </c>
      <c r="P5714" s="58">
        <v>796</v>
      </c>
      <c r="Q5714" s="26" t="s">
        <v>234</v>
      </c>
      <c r="R5714" s="34">
        <v>10</v>
      </c>
      <c r="S5714" s="59">
        <v>10000</v>
      </c>
      <c r="T5714" s="4">
        <v>0</v>
      </c>
      <c r="U5714" s="4">
        <f t="shared" si="244"/>
        <v>0</v>
      </c>
      <c r="V5714" s="3"/>
      <c r="W5714" s="3">
        <v>2014</v>
      </c>
      <c r="X5714" s="3">
        <v>11.12</v>
      </c>
    </row>
    <row r="5715" spans="1:24" ht="114.75">
      <c r="A5715" s="3" t="s">
        <v>13395</v>
      </c>
      <c r="B5715" s="6" t="s">
        <v>361</v>
      </c>
      <c r="C5715" s="6" t="s">
        <v>6363</v>
      </c>
      <c r="D5715" s="6" t="s">
        <v>6364</v>
      </c>
      <c r="E5715" s="6" t="s">
        <v>6365</v>
      </c>
      <c r="F5715" s="107" t="s">
        <v>8246</v>
      </c>
      <c r="G5715" s="3" t="s">
        <v>11449</v>
      </c>
      <c r="H5715" s="185">
        <v>0</v>
      </c>
      <c r="I5715" s="16">
        <v>470000000</v>
      </c>
      <c r="J5715" s="56" t="s">
        <v>229</v>
      </c>
      <c r="K5715" s="57" t="s">
        <v>642</v>
      </c>
      <c r="L5715" s="12" t="s">
        <v>404</v>
      </c>
      <c r="M5715" s="3" t="s">
        <v>230</v>
      </c>
      <c r="N5715" s="8" t="s">
        <v>8898</v>
      </c>
      <c r="O5715" s="6" t="s">
        <v>365</v>
      </c>
      <c r="P5715" s="58">
        <v>796</v>
      </c>
      <c r="Q5715" s="26" t="s">
        <v>234</v>
      </c>
      <c r="R5715" s="34">
        <v>10</v>
      </c>
      <c r="S5715" s="59">
        <v>10000</v>
      </c>
      <c r="T5715" s="4">
        <v>0</v>
      </c>
      <c r="U5715" s="4">
        <f>T5715*1.12</f>
        <v>0</v>
      </c>
      <c r="V5715" s="3"/>
      <c r="W5715" s="3">
        <v>2014</v>
      </c>
      <c r="X5715" s="3" t="s">
        <v>14785</v>
      </c>
    </row>
    <row r="5716" spans="1:24" ht="114.75">
      <c r="A5716" s="3" t="s">
        <v>16958</v>
      </c>
      <c r="B5716" s="6" t="s">
        <v>361</v>
      </c>
      <c r="C5716" s="6" t="s">
        <v>6363</v>
      </c>
      <c r="D5716" s="6" t="s">
        <v>6364</v>
      </c>
      <c r="E5716" s="6" t="s">
        <v>6365</v>
      </c>
      <c r="F5716" s="107" t="s">
        <v>8246</v>
      </c>
      <c r="G5716" s="3" t="s">
        <v>11449</v>
      </c>
      <c r="H5716" s="185">
        <v>0</v>
      </c>
      <c r="I5716" s="16">
        <v>470000000</v>
      </c>
      <c r="J5716" s="56" t="s">
        <v>229</v>
      </c>
      <c r="K5716" s="57" t="s">
        <v>8950</v>
      </c>
      <c r="L5716" s="12" t="s">
        <v>404</v>
      </c>
      <c r="M5716" s="3" t="s">
        <v>230</v>
      </c>
      <c r="N5716" s="8" t="s">
        <v>8898</v>
      </c>
      <c r="O5716" s="6" t="s">
        <v>365</v>
      </c>
      <c r="P5716" s="58">
        <v>796</v>
      </c>
      <c r="Q5716" s="333" t="s">
        <v>234</v>
      </c>
      <c r="R5716" s="339">
        <v>10</v>
      </c>
      <c r="S5716" s="59">
        <v>12000</v>
      </c>
      <c r="T5716" s="4">
        <v>0</v>
      </c>
      <c r="U5716" s="4">
        <f t="shared" ref="U5716:U5717" si="255">T5716*1.12</f>
        <v>0</v>
      </c>
      <c r="V5716" s="3"/>
      <c r="W5716" s="3">
        <v>2014</v>
      </c>
      <c r="X5716" s="3">
        <v>11.15</v>
      </c>
    </row>
    <row r="5717" spans="1:24" ht="76.5">
      <c r="A5717" s="3" t="s">
        <v>19164</v>
      </c>
      <c r="B5717" s="6" t="s">
        <v>361</v>
      </c>
      <c r="C5717" s="6" t="s">
        <v>6363</v>
      </c>
      <c r="D5717" s="6" t="s">
        <v>6364</v>
      </c>
      <c r="E5717" s="6" t="s">
        <v>6365</v>
      </c>
      <c r="F5717" s="107" t="s">
        <v>8246</v>
      </c>
      <c r="G5717" s="3" t="s">
        <v>11449</v>
      </c>
      <c r="H5717" s="185">
        <v>0</v>
      </c>
      <c r="I5717" s="16">
        <v>470000000</v>
      </c>
      <c r="J5717" s="56" t="s">
        <v>229</v>
      </c>
      <c r="K5717" s="57" t="s">
        <v>18437</v>
      </c>
      <c r="L5717" s="12" t="s">
        <v>404</v>
      </c>
      <c r="M5717" s="3" t="s">
        <v>230</v>
      </c>
      <c r="N5717" s="8" t="s">
        <v>8898</v>
      </c>
      <c r="O5717" s="6" t="s">
        <v>19407</v>
      </c>
      <c r="P5717" s="58">
        <v>796</v>
      </c>
      <c r="Q5717" s="333" t="s">
        <v>234</v>
      </c>
      <c r="R5717" s="339">
        <v>10</v>
      </c>
      <c r="S5717" s="59">
        <v>12000</v>
      </c>
      <c r="T5717" s="4">
        <f>R5717*S5717</f>
        <v>120000</v>
      </c>
      <c r="U5717" s="4">
        <f t="shared" si="255"/>
        <v>134400</v>
      </c>
      <c r="V5717" s="3"/>
      <c r="W5717" s="3">
        <v>2014</v>
      </c>
      <c r="X5717" s="3"/>
    </row>
    <row r="5718" spans="1:24" ht="114.75">
      <c r="A5718" s="3" t="s">
        <v>2348</v>
      </c>
      <c r="B5718" s="6" t="s">
        <v>361</v>
      </c>
      <c r="C5718" s="6" t="s">
        <v>6368</v>
      </c>
      <c r="D5718" s="6" t="s">
        <v>446</v>
      </c>
      <c r="E5718" s="6" t="s">
        <v>6365</v>
      </c>
      <c r="F5718" s="107" t="s">
        <v>8247</v>
      </c>
      <c r="G5718" s="3" t="s">
        <v>11449</v>
      </c>
      <c r="H5718" s="185">
        <v>0</v>
      </c>
      <c r="I5718" s="16">
        <v>470000000</v>
      </c>
      <c r="J5718" s="56" t="s">
        <v>229</v>
      </c>
      <c r="K5718" s="57" t="s">
        <v>641</v>
      </c>
      <c r="L5718" s="57" t="s">
        <v>364</v>
      </c>
      <c r="M5718" s="3" t="s">
        <v>230</v>
      </c>
      <c r="N5718" s="8" t="s">
        <v>8898</v>
      </c>
      <c r="O5718" s="6" t="s">
        <v>365</v>
      </c>
      <c r="P5718" s="58">
        <v>796</v>
      </c>
      <c r="Q5718" s="26" t="s">
        <v>234</v>
      </c>
      <c r="R5718" s="34">
        <v>2</v>
      </c>
      <c r="S5718" s="59">
        <v>150000</v>
      </c>
      <c r="T5718" s="4">
        <v>0</v>
      </c>
      <c r="U5718" s="4">
        <f t="shared" si="244"/>
        <v>0</v>
      </c>
      <c r="V5718" s="3"/>
      <c r="W5718" s="3">
        <v>2014</v>
      </c>
      <c r="X5718" s="3">
        <v>11.12</v>
      </c>
    </row>
    <row r="5719" spans="1:24" ht="114.75">
      <c r="A5719" s="3" t="s">
        <v>13396</v>
      </c>
      <c r="B5719" s="6" t="s">
        <v>361</v>
      </c>
      <c r="C5719" s="6" t="s">
        <v>6368</v>
      </c>
      <c r="D5719" s="6" t="s">
        <v>446</v>
      </c>
      <c r="E5719" s="6" t="s">
        <v>6365</v>
      </c>
      <c r="F5719" s="107" t="s">
        <v>8247</v>
      </c>
      <c r="G5719" s="3" t="s">
        <v>11449</v>
      </c>
      <c r="H5719" s="185">
        <v>0</v>
      </c>
      <c r="I5719" s="16">
        <v>470000000</v>
      </c>
      <c r="J5719" s="56" t="s">
        <v>229</v>
      </c>
      <c r="K5719" s="57" t="s">
        <v>642</v>
      </c>
      <c r="L5719" s="12" t="s">
        <v>404</v>
      </c>
      <c r="M5719" s="3" t="s">
        <v>230</v>
      </c>
      <c r="N5719" s="8" t="s">
        <v>8898</v>
      </c>
      <c r="O5719" s="6" t="s">
        <v>365</v>
      </c>
      <c r="P5719" s="58">
        <v>796</v>
      </c>
      <c r="Q5719" s="26" t="s">
        <v>234</v>
      </c>
      <c r="R5719" s="34">
        <v>2</v>
      </c>
      <c r="S5719" s="59">
        <v>150000</v>
      </c>
      <c r="T5719" s="4">
        <v>0</v>
      </c>
      <c r="U5719" s="4">
        <f>T5719*1.12</f>
        <v>0</v>
      </c>
      <c r="V5719" s="3"/>
      <c r="W5719" s="3">
        <v>2014</v>
      </c>
      <c r="X5719" s="3" t="s">
        <v>14785</v>
      </c>
    </row>
    <row r="5720" spans="1:24" ht="114.75">
      <c r="A5720" s="3" t="s">
        <v>16959</v>
      </c>
      <c r="B5720" s="6" t="s">
        <v>361</v>
      </c>
      <c r="C5720" s="6" t="s">
        <v>6368</v>
      </c>
      <c r="D5720" s="6" t="s">
        <v>446</v>
      </c>
      <c r="E5720" s="6" t="s">
        <v>6365</v>
      </c>
      <c r="F5720" s="107" t="s">
        <v>8247</v>
      </c>
      <c r="G5720" s="3" t="s">
        <v>11449</v>
      </c>
      <c r="H5720" s="185">
        <v>0</v>
      </c>
      <c r="I5720" s="16">
        <v>470000000</v>
      </c>
      <c r="J5720" s="56" t="s">
        <v>229</v>
      </c>
      <c r="K5720" s="57" t="s">
        <v>8950</v>
      </c>
      <c r="L5720" s="12" t="s">
        <v>404</v>
      </c>
      <c r="M5720" s="3" t="s">
        <v>230</v>
      </c>
      <c r="N5720" s="8" t="s">
        <v>8898</v>
      </c>
      <c r="O5720" s="6" t="s">
        <v>365</v>
      </c>
      <c r="P5720" s="58">
        <v>796</v>
      </c>
      <c r="Q5720" s="333" t="s">
        <v>234</v>
      </c>
      <c r="R5720" s="339">
        <v>2</v>
      </c>
      <c r="S5720" s="59">
        <v>180000</v>
      </c>
      <c r="T5720" s="4">
        <v>0</v>
      </c>
      <c r="U5720" s="4">
        <f t="shared" ref="U5720:U5721" si="256">T5720*1.12</f>
        <v>0</v>
      </c>
      <c r="V5720" s="3"/>
      <c r="W5720" s="3">
        <v>2014</v>
      </c>
      <c r="X5720" s="3">
        <v>11.15</v>
      </c>
    </row>
    <row r="5721" spans="1:24" ht="76.5">
      <c r="A5721" s="3" t="s">
        <v>19165</v>
      </c>
      <c r="B5721" s="6" t="s">
        <v>361</v>
      </c>
      <c r="C5721" s="6" t="s">
        <v>6368</v>
      </c>
      <c r="D5721" s="6" t="s">
        <v>446</v>
      </c>
      <c r="E5721" s="6" t="s">
        <v>6365</v>
      </c>
      <c r="F5721" s="107" t="s">
        <v>8247</v>
      </c>
      <c r="G5721" s="3" t="s">
        <v>11449</v>
      </c>
      <c r="H5721" s="185">
        <v>0</v>
      </c>
      <c r="I5721" s="16">
        <v>470000000</v>
      </c>
      <c r="J5721" s="56" t="s">
        <v>229</v>
      </c>
      <c r="K5721" s="57" t="s">
        <v>18437</v>
      </c>
      <c r="L5721" s="12" t="s">
        <v>404</v>
      </c>
      <c r="M5721" s="3" t="s">
        <v>230</v>
      </c>
      <c r="N5721" s="8" t="s">
        <v>8898</v>
      </c>
      <c r="O5721" s="6" t="s">
        <v>19407</v>
      </c>
      <c r="P5721" s="58">
        <v>796</v>
      </c>
      <c r="Q5721" s="333" t="s">
        <v>234</v>
      </c>
      <c r="R5721" s="339">
        <v>2</v>
      </c>
      <c r="S5721" s="59">
        <v>180000</v>
      </c>
      <c r="T5721" s="4">
        <f>R5721*S5721</f>
        <v>360000</v>
      </c>
      <c r="U5721" s="4">
        <f t="shared" si="256"/>
        <v>403200.00000000006</v>
      </c>
      <c r="V5721" s="3"/>
      <c r="W5721" s="3">
        <v>2014</v>
      </c>
      <c r="X5721" s="3"/>
    </row>
    <row r="5722" spans="1:24" ht="114.75">
      <c r="A5722" s="3" t="s">
        <v>2349</v>
      </c>
      <c r="B5722" s="6" t="s">
        <v>361</v>
      </c>
      <c r="C5722" s="6" t="s">
        <v>6369</v>
      </c>
      <c r="D5722" s="6" t="s">
        <v>398</v>
      </c>
      <c r="E5722" s="6" t="s">
        <v>6370</v>
      </c>
      <c r="F5722" s="107" t="s">
        <v>8248</v>
      </c>
      <c r="G5722" s="3" t="s">
        <v>11449</v>
      </c>
      <c r="H5722" s="185">
        <v>0</v>
      </c>
      <c r="I5722" s="16">
        <v>470000000</v>
      </c>
      <c r="J5722" s="56" t="s">
        <v>229</v>
      </c>
      <c r="K5722" s="57" t="s">
        <v>641</v>
      </c>
      <c r="L5722" s="57" t="s">
        <v>364</v>
      </c>
      <c r="M5722" s="3" t="s">
        <v>230</v>
      </c>
      <c r="N5722" s="8" t="s">
        <v>8898</v>
      </c>
      <c r="O5722" s="6" t="s">
        <v>365</v>
      </c>
      <c r="P5722" s="58">
        <v>796</v>
      </c>
      <c r="Q5722" s="26" t="s">
        <v>234</v>
      </c>
      <c r="R5722" s="34">
        <v>12</v>
      </c>
      <c r="S5722" s="59">
        <v>8000</v>
      </c>
      <c r="T5722" s="4">
        <v>0</v>
      </c>
      <c r="U5722" s="4">
        <f t="shared" si="244"/>
        <v>0</v>
      </c>
      <c r="V5722" s="3"/>
      <c r="W5722" s="3">
        <v>2014</v>
      </c>
      <c r="X5722" s="3">
        <v>11.12</v>
      </c>
    </row>
    <row r="5723" spans="1:24" ht="114.75">
      <c r="A5723" s="3" t="s">
        <v>13397</v>
      </c>
      <c r="B5723" s="6" t="s">
        <v>361</v>
      </c>
      <c r="C5723" s="6" t="s">
        <v>6369</v>
      </c>
      <c r="D5723" s="6" t="s">
        <v>398</v>
      </c>
      <c r="E5723" s="6" t="s">
        <v>6370</v>
      </c>
      <c r="F5723" s="107" t="s">
        <v>8248</v>
      </c>
      <c r="G5723" s="3" t="s">
        <v>11449</v>
      </c>
      <c r="H5723" s="185">
        <v>0</v>
      </c>
      <c r="I5723" s="16">
        <v>470000000</v>
      </c>
      <c r="J5723" s="56" t="s">
        <v>229</v>
      </c>
      <c r="K5723" s="57" t="s">
        <v>642</v>
      </c>
      <c r="L5723" s="12" t="s">
        <v>404</v>
      </c>
      <c r="M5723" s="3" t="s">
        <v>230</v>
      </c>
      <c r="N5723" s="8" t="s">
        <v>8898</v>
      </c>
      <c r="O5723" s="6" t="s">
        <v>365</v>
      </c>
      <c r="P5723" s="58">
        <v>796</v>
      </c>
      <c r="Q5723" s="26" t="s">
        <v>234</v>
      </c>
      <c r="R5723" s="34">
        <v>12</v>
      </c>
      <c r="S5723" s="59">
        <v>8000</v>
      </c>
      <c r="T5723" s="4">
        <v>0</v>
      </c>
      <c r="U5723" s="4">
        <f>T5723*1.12</f>
        <v>0</v>
      </c>
      <c r="V5723" s="3"/>
      <c r="W5723" s="3">
        <v>2014</v>
      </c>
      <c r="X5723" s="3" t="s">
        <v>14785</v>
      </c>
    </row>
    <row r="5724" spans="1:24" ht="114.75">
      <c r="A5724" s="3" t="s">
        <v>16960</v>
      </c>
      <c r="B5724" s="6" t="s">
        <v>361</v>
      </c>
      <c r="C5724" s="6" t="s">
        <v>6369</v>
      </c>
      <c r="D5724" s="6" t="s">
        <v>398</v>
      </c>
      <c r="E5724" s="6" t="s">
        <v>6370</v>
      </c>
      <c r="F5724" s="107" t="s">
        <v>8248</v>
      </c>
      <c r="G5724" s="3" t="s">
        <v>11449</v>
      </c>
      <c r="H5724" s="185">
        <v>0</v>
      </c>
      <c r="I5724" s="16">
        <v>470000000</v>
      </c>
      <c r="J5724" s="56" t="s">
        <v>229</v>
      </c>
      <c r="K5724" s="57" t="s">
        <v>8950</v>
      </c>
      <c r="L5724" s="12" t="s">
        <v>404</v>
      </c>
      <c r="M5724" s="3" t="s">
        <v>230</v>
      </c>
      <c r="N5724" s="8" t="s">
        <v>8898</v>
      </c>
      <c r="O5724" s="6" t="s">
        <v>365</v>
      </c>
      <c r="P5724" s="58">
        <v>796</v>
      </c>
      <c r="Q5724" s="333" t="s">
        <v>234</v>
      </c>
      <c r="R5724" s="339">
        <v>12</v>
      </c>
      <c r="S5724" s="59">
        <v>9600</v>
      </c>
      <c r="T5724" s="4">
        <v>0</v>
      </c>
      <c r="U5724" s="4">
        <f t="shared" ref="U5724:U5725" si="257">T5724*1.12</f>
        <v>0</v>
      </c>
      <c r="V5724" s="3"/>
      <c r="W5724" s="3">
        <v>2014</v>
      </c>
      <c r="X5724" s="3">
        <v>11.15</v>
      </c>
    </row>
    <row r="5725" spans="1:24" ht="76.5">
      <c r="A5725" s="3" t="s">
        <v>19166</v>
      </c>
      <c r="B5725" s="6" t="s">
        <v>361</v>
      </c>
      <c r="C5725" s="6" t="s">
        <v>6369</v>
      </c>
      <c r="D5725" s="6" t="s">
        <v>398</v>
      </c>
      <c r="E5725" s="6" t="s">
        <v>6370</v>
      </c>
      <c r="F5725" s="107" t="s">
        <v>8248</v>
      </c>
      <c r="G5725" s="3" t="s">
        <v>11449</v>
      </c>
      <c r="H5725" s="185">
        <v>0</v>
      </c>
      <c r="I5725" s="16">
        <v>470000000</v>
      </c>
      <c r="J5725" s="56" t="s">
        <v>229</v>
      </c>
      <c r="K5725" s="57" t="s">
        <v>18437</v>
      </c>
      <c r="L5725" s="12" t="s">
        <v>404</v>
      </c>
      <c r="M5725" s="3" t="s">
        <v>230</v>
      </c>
      <c r="N5725" s="8" t="s">
        <v>8898</v>
      </c>
      <c r="O5725" s="6" t="s">
        <v>19407</v>
      </c>
      <c r="P5725" s="58">
        <v>796</v>
      </c>
      <c r="Q5725" s="333" t="s">
        <v>234</v>
      </c>
      <c r="R5725" s="339">
        <v>12</v>
      </c>
      <c r="S5725" s="59">
        <v>9600</v>
      </c>
      <c r="T5725" s="4">
        <f>R5725*S5725</f>
        <v>115200</v>
      </c>
      <c r="U5725" s="4">
        <f t="shared" si="257"/>
        <v>129024.00000000001</v>
      </c>
      <c r="V5725" s="3"/>
      <c r="W5725" s="3">
        <v>2014</v>
      </c>
      <c r="X5725" s="3"/>
    </row>
    <row r="5726" spans="1:24" ht="114.75">
      <c r="A5726" s="3" t="s">
        <v>2350</v>
      </c>
      <c r="B5726" s="6" t="s">
        <v>361</v>
      </c>
      <c r="C5726" s="6" t="s">
        <v>6369</v>
      </c>
      <c r="D5726" s="6" t="s">
        <v>398</v>
      </c>
      <c r="E5726" s="6" t="s">
        <v>6370</v>
      </c>
      <c r="F5726" s="107" t="s">
        <v>8249</v>
      </c>
      <c r="G5726" s="3" t="s">
        <v>11449</v>
      </c>
      <c r="H5726" s="185">
        <v>0</v>
      </c>
      <c r="I5726" s="16">
        <v>470000000</v>
      </c>
      <c r="J5726" s="56" t="s">
        <v>229</v>
      </c>
      <c r="K5726" s="57" t="s">
        <v>641</v>
      </c>
      <c r="L5726" s="57" t="s">
        <v>364</v>
      </c>
      <c r="M5726" s="3" t="s">
        <v>230</v>
      </c>
      <c r="N5726" s="8" t="s">
        <v>8898</v>
      </c>
      <c r="O5726" s="6" t="s">
        <v>365</v>
      </c>
      <c r="P5726" s="58">
        <v>796</v>
      </c>
      <c r="Q5726" s="26" t="s">
        <v>234</v>
      </c>
      <c r="R5726" s="34">
        <v>12</v>
      </c>
      <c r="S5726" s="59">
        <v>6000</v>
      </c>
      <c r="T5726" s="4">
        <v>0</v>
      </c>
      <c r="U5726" s="4">
        <f t="shared" si="244"/>
        <v>0</v>
      </c>
      <c r="V5726" s="3"/>
      <c r="W5726" s="3">
        <v>2014</v>
      </c>
      <c r="X5726" s="3">
        <v>11.12</v>
      </c>
    </row>
    <row r="5727" spans="1:24" ht="114.75">
      <c r="A5727" s="3" t="s">
        <v>13398</v>
      </c>
      <c r="B5727" s="6" t="s">
        <v>361</v>
      </c>
      <c r="C5727" s="6" t="s">
        <v>6369</v>
      </c>
      <c r="D5727" s="6" t="s">
        <v>398</v>
      </c>
      <c r="E5727" s="6" t="s">
        <v>6370</v>
      </c>
      <c r="F5727" s="107" t="s">
        <v>8249</v>
      </c>
      <c r="G5727" s="3" t="s">
        <v>11449</v>
      </c>
      <c r="H5727" s="185">
        <v>0</v>
      </c>
      <c r="I5727" s="16">
        <v>470000000</v>
      </c>
      <c r="J5727" s="56" t="s">
        <v>229</v>
      </c>
      <c r="K5727" s="57" t="s">
        <v>642</v>
      </c>
      <c r="L5727" s="12" t="s">
        <v>404</v>
      </c>
      <c r="M5727" s="3" t="s">
        <v>230</v>
      </c>
      <c r="N5727" s="8" t="s">
        <v>8898</v>
      </c>
      <c r="O5727" s="6" t="s">
        <v>365</v>
      </c>
      <c r="P5727" s="58">
        <v>796</v>
      </c>
      <c r="Q5727" s="26" t="s">
        <v>234</v>
      </c>
      <c r="R5727" s="34">
        <v>12</v>
      </c>
      <c r="S5727" s="59">
        <v>6000</v>
      </c>
      <c r="T5727" s="4">
        <v>0</v>
      </c>
      <c r="U5727" s="4">
        <f>T5727*1.12</f>
        <v>0</v>
      </c>
      <c r="V5727" s="3"/>
      <c r="W5727" s="3">
        <v>2014</v>
      </c>
      <c r="X5727" s="3" t="s">
        <v>14785</v>
      </c>
    </row>
    <row r="5728" spans="1:24" ht="114.75">
      <c r="A5728" s="3" t="s">
        <v>16961</v>
      </c>
      <c r="B5728" s="6" t="s">
        <v>361</v>
      </c>
      <c r="C5728" s="6" t="s">
        <v>6369</v>
      </c>
      <c r="D5728" s="6" t="s">
        <v>398</v>
      </c>
      <c r="E5728" s="6" t="s">
        <v>6370</v>
      </c>
      <c r="F5728" s="107" t="s">
        <v>8249</v>
      </c>
      <c r="G5728" s="3" t="s">
        <v>11449</v>
      </c>
      <c r="H5728" s="185">
        <v>0</v>
      </c>
      <c r="I5728" s="16">
        <v>470000000</v>
      </c>
      <c r="J5728" s="56" t="s">
        <v>229</v>
      </c>
      <c r="K5728" s="57" t="s">
        <v>8950</v>
      </c>
      <c r="L5728" s="12" t="s">
        <v>404</v>
      </c>
      <c r="M5728" s="3" t="s">
        <v>230</v>
      </c>
      <c r="N5728" s="8" t="s">
        <v>8898</v>
      </c>
      <c r="O5728" s="6" t="s">
        <v>365</v>
      </c>
      <c r="P5728" s="58">
        <v>796</v>
      </c>
      <c r="Q5728" s="333" t="s">
        <v>234</v>
      </c>
      <c r="R5728" s="339">
        <v>12</v>
      </c>
      <c r="S5728" s="59">
        <v>7200</v>
      </c>
      <c r="T5728" s="4">
        <v>0</v>
      </c>
      <c r="U5728" s="4">
        <f t="shared" ref="U5728:U5729" si="258">T5728*1.12</f>
        <v>0</v>
      </c>
      <c r="V5728" s="3"/>
      <c r="W5728" s="3">
        <v>2014</v>
      </c>
      <c r="X5728" s="3">
        <v>11.15</v>
      </c>
    </row>
    <row r="5729" spans="1:24" ht="76.5">
      <c r="A5729" s="3" t="s">
        <v>19167</v>
      </c>
      <c r="B5729" s="6" t="s">
        <v>361</v>
      </c>
      <c r="C5729" s="6" t="s">
        <v>6369</v>
      </c>
      <c r="D5729" s="6" t="s">
        <v>398</v>
      </c>
      <c r="E5729" s="6" t="s">
        <v>6370</v>
      </c>
      <c r="F5729" s="107" t="s">
        <v>8249</v>
      </c>
      <c r="G5729" s="3" t="s">
        <v>11449</v>
      </c>
      <c r="H5729" s="185">
        <v>0</v>
      </c>
      <c r="I5729" s="16">
        <v>470000000</v>
      </c>
      <c r="J5729" s="56" t="s">
        <v>229</v>
      </c>
      <c r="K5729" s="57" t="s">
        <v>18437</v>
      </c>
      <c r="L5729" s="12" t="s">
        <v>404</v>
      </c>
      <c r="M5729" s="3" t="s">
        <v>230</v>
      </c>
      <c r="N5729" s="8" t="s">
        <v>8898</v>
      </c>
      <c r="O5729" s="6" t="s">
        <v>19407</v>
      </c>
      <c r="P5729" s="58">
        <v>796</v>
      </c>
      <c r="Q5729" s="333" t="s">
        <v>234</v>
      </c>
      <c r="R5729" s="339">
        <v>12</v>
      </c>
      <c r="S5729" s="59">
        <v>7200</v>
      </c>
      <c r="T5729" s="4">
        <f>R5729*S5729</f>
        <v>86400</v>
      </c>
      <c r="U5729" s="4">
        <f t="shared" si="258"/>
        <v>96768.000000000015</v>
      </c>
      <c r="V5729" s="3"/>
      <c r="W5729" s="3">
        <v>2014</v>
      </c>
      <c r="X5729" s="3"/>
    </row>
    <row r="5730" spans="1:24" ht="114.75">
      <c r="A5730" s="3" t="s">
        <v>2351</v>
      </c>
      <c r="B5730" s="6" t="s">
        <v>361</v>
      </c>
      <c r="C5730" s="6" t="s">
        <v>6371</v>
      </c>
      <c r="D5730" s="6" t="s">
        <v>6372</v>
      </c>
      <c r="E5730" s="6" t="s">
        <v>6240</v>
      </c>
      <c r="F5730" s="107" t="s">
        <v>8250</v>
      </c>
      <c r="G5730" s="3" t="s">
        <v>11449</v>
      </c>
      <c r="H5730" s="185">
        <v>0</v>
      </c>
      <c r="I5730" s="16">
        <v>470000000</v>
      </c>
      <c r="J5730" s="56" t="s">
        <v>229</v>
      </c>
      <c r="K5730" s="57" t="s">
        <v>641</v>
      </c>
      <c r="L5730" s="57" t="s">
        <v>364</v>
      </c>
      <c r="M5730" s="3" t="s">
        <v>230</v>
      </c>
      <c r="N5730" s="8" t="s">
        <v>8898</v>
      </c>
      <c r="O5730" s="6" t="s">
        <v>365</v>
      </c>
      <c r="P5730" s="58">
        <v>796</v>
      </c>
      <c r="Q5730" s="26" t="s">
        <v>234</v>
      </c>
      <c r="R5730" s="34">
        <v>26</v>
      </c>
      <c r="S5730" s="59">
        <v>30000</v>
      </c>
      <c r="T5730" s="4">
        <v>0</v>
      </c>
      <c r="U5730" s="4">
        <f t="shared" si="244"/>
        <v>0</v>
      </c>
      <c r="V5730" s="3"/>
      <c r="W5730" s="3">
        <v>2014</v>
      </c>
      <c r="X5730" s="3">
        <v>11.12</v>
      </c>
    </row>
    <row r="5731" spans="1:24" ht="114.75">
      <c r="A5731" s="3" t="s">
        <v>13399</v>
      </c>
      <c r="B5731" s="6" t="s">
        <v>361</v>
      </c>
      <c r="C5731" s="6" t="s">
        <v>6371</v>
      </c>
      <c r="D5731" s="6" t="s">
        <v>6372</v>
      </c>
      <c r="E5731" s="6" t="s">
        <v>6240</v>
      </c>
      <c r="F5731" s="107" t="s">
        <v>8250</v>
      </c>
      <c r="G5731" s="3" t="s">
        <v>11449</v>
      </c>
      <c r="H5731" s="185">
        <v>0</v>
      </c>
      <c r="I5731" s="16">
        <v>470000000</v>
      </c>
      <c r="J5731" s="56" t="s">
        <v>229</v>
      </c>
      <c r="K5731" s="57" t="s">
        <v>642</v>
      </c>
      <c r="L5731" s="12" t="s">
        <v>404</v>
      </c>
      <c r="M5731" s="3" t="s">
        <v>230</v>
      </c>
      <c r="N5731" s="8" t="s">
        <v>8898</v>
      </c>
      <c r="O5731" s="6" t="s">
        <v>365</v>
      </c>
      <c r="P5731" s="58">
        <v>796</v>
      </c>
      <c r="Q5731" s="26" t="s">
        <v>234</v>
      </c>
      <c r="R5731" s="34">
        <v>26</v>
      </c>
      <c r="S5731" s="59">
        <v>30000</v>
      </c>
      <c r="T5731" s="4">
        <f>R5731*S5731</f>
        <v>780000</v>
      </c>
      <c r="U5731" s="4">
        <f>T5731*1.12</f>
        <v>873600.00000000012</v>
      </c>
      <c r="V5731" s="3"/>
      <c r="W5731" s="3">
        <v>2014</v>
      </c>
      <c r="X5731" s="3"/>
    </row>
    <row r="5732" spans="1:24" ht="114.75">
      <c r="A5732" s="3" t="s">
        <v>2352</v>
      </c>
      <c r="B5732" s="6" t="s">
        <v>361</v>
      </c>
      <c r="C5732" s="6" t="s">
        <v>6371</v>
      </c>
      <c r="D5732" s="6" t="s">
        <v>6372</v>
      </c>
      <c r="E5732" s="6" t="s">
        <v>6240</v>
      </c>
      <c r="F5732" s="107" t="s">
        <v>8251</v>
      </c>
      <c r="G5732" s="3" t="s">
        <v>11449</v>
      </c>
      <c r="H5732" s="185">
        <v>0</v>
      </c>
      <c r="I5732" s="16">
        <v>470000000</v>
      </c>
      <c r="J5732" s="56" t="s">
        <v>229</v>
      </c>
      <c r="K5732" s="57" t="s">
        <v>641</v>
      </c>
      <c r="L5732" s="57" t="s">
        <v>364</v>
      </c>
      <c r="M5732" s="3" t="s">
        <v>230</v>
      </c>
      <c r="N5732" s="8" t="s">
        <v>8898</v>
      </c>
      <c r="O5732" s="6" t="s">
        <v>365</v>
      </c>
      <c r="P5732" s="58">
        <v>796</v>
      </c>
      <c r="Q5732" s="26" t="s">
        <v>234</v>
      </c>
      <c r="R5732" s="34">
        <v>26</v>
      </c>
      <c r="S5732" s="59">
        <v>30000</v>
      </c>
      <c r="T5732" s="4">
        <v>0</v>
      </c>
      <c r="U5732" s="4">
        <f t="shared" si="244"/>
        <v>0</v>
      </c>
      <c r="V5732" s="3"/>
      <c r="W5732" s="3">
        <v>2014</v>
      </c>
      <c r="X5732" s="3">
        <v>11.12</v>
      </c>
    </row>
    <row r="5733" spans="1:24" ht="114.75">
      <c r="A5733" s="3" t="s">
        <v>13400</v>
      </c>
      <c r="B5733" s="6" t="s">
        <v>361</v>
      </c>
      <c r="C5733" s="6" t="s">
        <v>6371</v>
      </c>
      <c r="D5733" s="6" t="s">
        <v>6372</v>
      </c>
      <c r="E5733" s="6" t="s">
        <v>6240</v>
      </c>
      <c r="F5733" s="107" t="s">
        <v>8251</v>
      </c>
      <c r="G5733" s="3" t="s">
        <v>11449</v>
      </c>
      <c r="H5733" s="185">
        <v>0</v>
      </c>
      <c r="I5733" s="16">
        <v>470000000</v>
      </c>
      <c r="J5733" s="56" t="s">
        <v>229</v>
      </c>
      <c r="K5733" s="57" t="s">
        <v>642</v>
      </c>
      <c r="L5733" s="12" t="s">
        <v>404</v>
      </c>
      <c r="M5733" s="3" t="s">
        <v>230</v>
      </c>
      <c r="N5733" s="8" t="s">
        <v>8898</v>
      </c>
      <c r="O5733" s="6" t="s">
        <v>365</v>
      </c>
      <c r="P5733" s="58">
        <v>796</v>
      </c>
      <c r="Q5733" s="26" t="s">
        <v>234</v>
      </c>
      <c r="R5733" s="34">
        <v>26</v>
      </c>
      <c r="S5733" s="59">
        <v>30000</v>
      </c>
      <c r="T5733" s="4">
        <f>R5733*S5733</f>
        <v>780000</v>
      </c>
      <c r="U5733" s="4">
        <f>T5733*1.12</f>
        <v>873600.00000000012</v>
      </c>
      <c r="V5733" s="3"/>
      <c r="W5733" s="3">
        <v>2014</v>
      </c>
      <c r="X5733" s="3"/>
    </row>
    <row r="5734" spans="1:24" ht="114.75">
      <c r="A5734" s="3" t="s">
        <v>2353</v>
      </c>
      <c r="B5734" s="6" t="s">
        <v>361</v>
      </c>
      <c r="C5734" s="6" t="s">
        <v>6373</v>
      </c>
      <c r="D5734" s="6" t="s">
        <v>6374</v>
      </c>
      <c r="E5734" s="6" t="s">
        <v>5332</v>
      </c>
      <c r="F5734" s="107" t="s">
        <v>8252</v>
      </c>
      <c r="G5734" s="3" t="s">
        <v>11449</v>
      </c>
      <c r="H5734" s="185">
        <v>0</v>
      </c>
      <c r="I5734" s="16">
        <v>470000000</v>
      </c>
      <c r="J5734" s="56" t="s">
        <v>229</v>
      </c>
      <c r="K5734" s="57" t="s">
        <v>641</v>
      </c>
      <c r="L5734" s="57" t="s">
        <v>364</v>
      </c>
      <c r="M5734" s="3" t="s">
        <v>230</v>
      </c>
      <c r="N5734" s="8" t="s">
        <v>8898</v>
      </c>
      <c r="O5734" s="6" t="s">
        <v>365</v>
      </c>
      <c r="P5734" s="58">
        <v>796</v>
      </c>
      <c r="Q5734" s="26" t="s">
        <v>234</v>
      </c>
      <c r="R5734" s="36">
        <v>4</v>
      </c>
      <c r="S5734" s="59">
        <v>10000</v>
      </c>
      <c r="T5734" s="4">
        <v>0</v>
      </c>
      <c r="U5734" s="4">
        <f t="shared" si="244"/>
        <v>0</v>
      </c>
      <c r="V5734" s="3"/>
      <c r="W5734" s="3">
        <v>2014</v>
      </c>
      <c r="X5734" s="3">
        <v>11.12</v>
      </c>
    </row>
    <row r="5735" spans="1:24" ht="114.75">
      <c r="A5735" s="3" t="s">
        <v>13401</v>
      </c>
      <c r="B5735" s="6" t="s">
        <v>361</v>
      </c>
      <c r="C5735" s="6" t="s">
        <v>6373</v>
      </c>
      <c r="D5735" s="6" t="s">
        <v>6374</v>
      </c>
      <c r="E5735" s="6" t="s">
        <v>5332</v>
      </c>
      <c r="F5735" s="107" t="s">
        <v>8252</v>
      </c>
      <c r="G5735" s="3" t="s">
        <v>11449</v>
      </c>
      <c r="H5735" s="185">
        <v>0</v>
      </c>
      <c r="I5735" s="16">
        <v>470000000</v>
      </c>
      <c r="J5735" s="56" t="s">
        <v>229</v>
      </c>
      <c r="K5735" s="57" t="s">
        <v>642</v>
      </c>
      <c r="L5735" s="12" t="s">
        <v>404</v>
      </c>
      <c r="M5735" s="3" t="s">
        <v>230</v>
      </c>
      <c r="N5735" s="8" t="s">
        <v>8898</v>
      </c>
      <c r="O5735" s="6" t="s">
        <v>365</v>
      </c>
      <c r="P5735" s="58">
        <v>796</v>
      </c>
      <c r="Q5735" s="26" t="s">
        <v>234</v>
      </c>
      <c r="R5735" s="36">
        <v>4</v>
      </c>
      <c r="S5735" s="59">
        <v>10000</v>
      </c>
      <c r="T5735" s="4">
        <v>0</v>
      </c>
      <c r="U5735" s="4">
        <f>T5735*1.12</f>
        <v>0</v>
      </c>
      <c r="V5735" s="3"/>
      <c r="W5735" s="3">
        <v>2014</v>
      </c>
      <c r="X5735" s="3" t="s">
        <v>14785</v>
      </c>
    </row>
    <row r="5736" spans="1:24" ht="114.75">
      <c r="A5736" s="3" t="s">
        <v>16962</v>
      </c>
      <c r="B5736" s="6" t="s">
        <v>361</v>
      </c>
      <c r="C5736" s="6" t="s">
        <v>6373</v>
      </c>
      <c r="D5736" s="6" t="s">
        <v>6374</v>
      </c>
      <c r="E5736" s="6" t="s">
        <v>5332</v>
      </c>
      <c r="F5736" s="107" t="s">
        <v>8252</v>
      </c>
      <c r="G5736" s="3" t="s">
        <v>11449</v>
      </c>
      <c r="H5736" s="185">
        <v>0</v>
      </c>
      <c r="I5736" s="16">
        <v>470000000</v>
      </c>
      <c r="J5736" s="56" t="s">
        <v>229</v>
      </c>
      <c r="K5736" s="57" t="s">
        <v>8950</v>
      </c>
      <c r="L5736" s="12" t="s">
        <v>404</v>
      </c>
      <c r="M5736" s="3" t="s">
        <v>230</v>
      </c>
      <c r="N5736" s="8" t="s">
        <v>8898</v>
      </c>
      <c r="O5736" s="6" t="s">
        <v>365</v>
      </c>
      <c r="P5736" s="58">
        <v>796</v>
      </c>
      <c r="Q5736" s="333" t="s">
        <v>234</v>
      </c>
      <c r="R5736" s="340">
        <v>4</v>
      </c>
      <c r="S5736" s="59">
        <v>12000</v>
      </c>
      <c r="T5736" s="4">
        <v>0</v>
      </c>
      <c r="U5736" s="4">
        <f t="shared" ref="U5736:U5737" si="259">T5736*1.12</f>
        <v>0</v>
      </c>
      <c r="V5736" s="3"/>
      <c r="W5736" s="3">
        <v>2014</v>
      </c>
      <c r="X5736" s="3">
        <v>11.15</v>
      </c>
    </row>
    <row r="5737" spans="1:24" ht="76.5">
      <c r="A5737" s="3" t="s">
        <v>19168</v>
      </c>
      <c r="B5737" s="6" t="s">
        <v>361</v>
      </c>
      <c r="C5737" s="6" t="s">
        <v>6373</v>
      </c>
      <c r="D5737" s="6" t="s">
        <v>6374</v>
      </c>
      <c r="E5737" s="6" t="s">
        <v>5332</v>
      </c>
      <c r="F5737" s="107" t="s">
        <v>8252</v>
      </c>
      <c r="G5737" s="3" t="s">
        <v>11449</v>
      </c>
      <c r="H5737" s="185">
        <v>0</v>
      </c>
      <c r="I5737" s="16">
        <v>470000000</v>
      </c>
      <c r="J5737" s="56" t="s">
        <v>229</v>
      </c>
      <c r="K5737" s="57" t="s">
        <v>18437</v>
      </c>
      <c r="L5737" s="12" t="s">
        <v>404</v>
      </c>
      <c r="M5737" s="3" t="s">
        <v>230</v>
      </c>
      <c r="N5737" s="8" t="s">
        <v>8898</v>
      </c>
      <c r="O5737" s="6" t="s">
        <v>19407</v>
      </c>
      <c r="P5737" s="58">
        <v>796</v>
      </c>
      <c r="Q5737" s="333" t="s">
        <v>234</v>
      </c>
      <c r="R5737" s="340">
        <v>4</v>
      </c>
      <c r="S5737" s="59">
        <v>12000</v>
      </c>
      <c r="T5737" s="4">
        <f>R5737*S5737</f>
        <v>48000</v>
      </c>
      <c r="U5737" s="4">
        <f t="shared" si="259"/>
        <v>53760.000000000007</v>
      </c>
      <c r="V5737" s="3"/>
      <c r="W5737" s="3">
        <v>2014</v>
      </c>
      <c r="X5737" s="3"/>
    </row>
    <row r="5738" spans="1:24" ht="114.75">
      <c r="A5738" s="3" t="s">
        <v>2354</v>
      </c>
      <c r="B5738" s="6" t="s">
        <v>361</v>
      </c>
      <c r="C5738" s="6" t="s">
        <v>6373</v>
      </c>
      <c r="D5738" s="6" t="s">
        <v>6374</v>
      </c>
      <c r="E5738" s="6" t="s">
        <v>5332</v>
      </c>
      <c r="F5738" s="107" t="s">
        <v>8253</v>
      </c>
      <c r="G5738" s="3" t="s">
        <v>11449</v>
      </c>
      <c r="H5738" s="185">
        <v>0</v>
      </c>
      <c r="I5738" s="16">
        <v>470000000</v>
      </c>
      <c r="J5738" s="56" t="s">
        <v>229</v>
      </c>
      <c r="K5738" s="57" t="s">
        <v>641</v>
      </c>
      <c r="L5738" s="57" t="s">
        <v>364</v>
      </c>
      <c r="M5738" s="3" t="s">
        <v>230</v>
      </c>
      <c r="N5738" s="8" t="s">
        <v>8898</v>
      </c>
      <c r="O5738" s="6" t="s">
        <v>365</v>
      </c>
      <c r="P5738" s="58">
        <v>796</v>
      </c>
      <c r="Q5738" s="26" t="s">
        <v>234</v>
      </c>
      <c r="R5738" s="36">
        <v>4</v>
      </c>
      <c r="S5738" s="59">
        <v>10000</v>
      </c>
      <c r="T5738" s="4">
        <v>0</v>
      </c>
      <c r="U5738" s="4">
        <f t="shared" si="244"/>
        <v>0</v>
      </c>
      <c r="V5738" s="3"/>
      <c r="W5738" s="3">
        <v>2014</v>
      </c>
      <c r="X5738" s="3">
        <v>11.12</v>
      </c>
    </row>
    <row r="5739" spans="1:24" ht="114.75">
      <c r="A5739" s="3" t="s">
        <v>13402</v>
      </c>
      <c r="B5739" s="6" t="s">
        <v>361</v>
      </c>
      <c r="C5739" s="6" t="s">
        <v>6373</v>
      </c>
      <c r="D5739" s="6" t="s">
        <v>6374</v>
      </c>
      <c r="E5739" s="6" t="s">
        <v>5332</v>
      </c>
      <c r="F5739" s="107" t="s">
        <v>8253</v>
      </c>
      <c r="G5739" s="3" t="s">
        <v>11449</v>
      </c>
      <c r="H5739" s="185">
        <v>0</v>
      </c>
      <c r="I5739" s="16">
        <v>470000000</v>
      </c>
      <c r="J5739" s="56" t="s">
        <v>229</v>
      </c>
      <c r="K5739" s="57" t="s">
        <v>642</v>
      </c>
      <c r="L5739" s="12" t="s">
        <v>404</v>
      </c>
      <c r="M5739" s="3" t="s">
        <v>230</v>
      </c>
      <c r="N5739" s="8" t="s">
        <v>8898</v>
      </c>
      <c r="O5739" s="6" t="s">
        <v>365</v>
      </c>
      <c r="P5739" s="58">
        <v>796</v>
      </c>
      <c r="Q5739" s="26" t="s">
        <v>234</v>
      </c>
      <c r="R5739" s="36">
        <v>4</v>
      </c>
      <c r="S5739" s="59">
        <v>10000</v>
      </c>
      <c r="T5739" s="4">
        <v>0</v>
      </c>
      <c r="U5739" s="4">
        <f>T5739*1.12</f>
        <v>0</v>
      </c>
      <c r="V5739" s="3"/>
      <c r="W5739" s="3">
        <v>2014</v>
      </c>
      <c r="X5739" s="3" t="s">
        <v>14785</v>
      </c>
    </row>
    <row r="5740" spans="1:24" ht="114.75">
      <c r="A5740" s="3" t="s">
        <v>16963</v>
      </c>
      <c r="B5740" s="6" t="s">
        <v>361</v>
      </c>
      <c r="C5740" s="6" t="s">
        <v>6373</v>
      </c>
      <c r="D5740" s="6" t="s">
        <v>6374</v>
      </c>
      <c r="E5740" s="6" t="s">
        <v>5332</v>
      </c>
      <c r="F5740" s="107" t="s">
        <v>8253</v>
      </c>
      <c r="G5740" s="3" t="s">
        <v>11449</v>
      </c>
      <c r="H5740" s="185">
        <v>0</v>
      </c>
      <c r="I5740" s="16">
        <v>470000000</v>
      </c>
      <c r="J5740" s="56" t="s">
        <v>229</v>
      </c>
      <c r="K5740" s="57" t="s">
        <v>8950</v>
      </c>
      <c r="L5740" s="12" t="s">
        <v>404</v>
      </c>
      <c r="M5740" s="3" t="s">
        <v>230</v>
      </c>
      <c r="N5740" s="8" t="s">
        <v>8898</v>
      </c>
      <c r="O5740" s="6" t="s">
        <v>365</v>
      </c>
      <c r="P5740" s="58">
        <v>796</v>
      </c>
      <c r="Q5740" s="333" t="s">
        <v>234</v>
      </c>
      <c r="R5740" s="340">
        <v>4</v>
      </c>
      <c r="S5740" s="59">
        <v>12000</v>
      </c>
      <c r="T5740" s="4">
        <v>0</v>
      </c>
      <c r="U5740" s="4">
        <f t="shared" ref="U5740:U5741" si="260">T5740*1.12</f>
        <v>0</v>
      </c>
      <c r="V5740" s="3"/>
      <c r="W5740" s="3">
        <v>2014</v>
      </c>
      <c r="X5740" s="3">
        <v>11.15</v>
      </c>
    </row>
    <row r="5741" spans="1:24" ht="76.5">
      <c r="A5741" s="3" t="s">
        <v>19169</v>
      </c>
      <c r="B5741" s="6" t="s">
        <v>361</v>
      </c>
      <c r="C5741" s="6" t="s">
        <v>6373</v>
      </c>
      <c r="D5741" s="6" t="s">
        <v>6374</v>
      </c>
      <c r="E5741" s="6" t="s">
        <v>5332</v>
      </c>
      <c r="F5741" s="107" t="s">
        <v>8253</v>
      </c>
      <c r="G5741" s="3" t="s">
        <v>11449</v>
      </c>
      <c r="H5741" s="185">
        <v>0</v>
      </c>
      <c r="I5741" s="16">
        <v>470000000</v>
      </c>
      <c r="J5741" s="56" t="s">
        <v>229</v>
      </c>
      <c r="K5741" s="57" t="s">
        <v>18437</v>
      </c>
      <c r="L5741" s="12" t="s">
        <v>404</v>
      </c>
      <c r="M5741" s="3" t="s">
        <v>230</v>
      </c>
      <c r="N5741" s="8" t="s">
        <v>8898</v>
      </c>
      <c r="O5741" s="6" t="s">
        <v>19407</v>
      </c>
      <c r="P5741" s="58">
        <v>796</v>
      </c>
      <c r="Q5741" s="333" t="s">
        <v>234</v>
      </c>
      <c r="R5741" s="340">
        <v>4</v>
      </c>
      <c r="S5741" s="59">
        <v>12000</v>
      </c>
      <c r="T5741" s="4">
        <f>R5741*S5741</f>
        <v>48000</v>
      </c>
      <c r="U5741" s="4">
        <f t="shared" si="260"/>
        <v>53760.000000000007</v>
      </c>
      <c r="V5741" s="3"/>
      <c r="W5741" s="3">
        <v>2014</v>
      </c>
      <c r="X5741" s="3"/>
    </row>
    <row r="5742" spans="1:24" ht="114.75">
      <c r="A5742" s="3" t="s">
        <v>2355</v>
      </c>
      <c r="B5742" s="6" t="s">
        <v>361</v>
      </c>
      <c r="C5742" s="6" t="s">
        <v>6373</v>
      </c>
      <c r="D5742" s="6" t="s">
        <v>6374</v>
      </c>
      <c r="E5742" s="6" t="s">
        <v>5332</v>
      </c>
      <c r="F5742" s="107" t="s">
        <v>8254</v>
      </c>
      <c r="G5742" s="3" t="s">
        <v>11449</v>
      </c>
      <c r="H5742" s="185">
        <v>0</v>
      </c>
      <c r="I5742" s="16">
        <v>470000000</v>
      </c>
      <c r="J5742" s="56" t="s">
        <v>229</v>
      </c>
      <c r="K5742" s="57" t="s">
        <v>641</v>
      </c>
      <c r="L5742" s="57" t="s">
        <v>364</v>
      </c>
      <c r="M5742" s="3" t="s">
        <v>230</v>
      </c>
      <c r="N5742" s="8" t="s">
        <v>8898</v>
      </c>
      <c r="O5742" s="6" t="s">
        <v>365</v>
      </c>
      <c r="P5742" s="58">
        <v>796</v>
      </c>
      <c r="Q5742" s="26" t="s">
        <v>234</v>
      </c>
      <c r="R5742" s="36">
        <v>4</v>
      </c>
      <c r="S5742" s="59">
        <v>10000</v>
      </c>
      <c r="T5742" s="4">
        <v>0</v>
      </c>
      <c r="U5742" s="4">
        <f t="shared" si="244"/>
        <v>0</v>
      </c>
      <c r="V5742" s="3"/>
      <c r="W5742" s="3">
        <v>2014</v>
      </c>
      <c r="X5742" s="3">
        <v>11.12</v>
      </c>
    </row>
    <row r="5743" spans="1:24" ht="114.75">
      <c r="A5743" s="3" t="s">
        <v>13403</v>
      </c>
      <c r="B5743" s="6" t="s">
        <v>361</v>
      </c>
      <c r="C5743" s="6" t="s">
        <v>6373</v>
      </c>
      <c r="D5743" s="6" t="s">
        <v>6374</v>
      </c>
      <c r="E5743" s="6" t="s">
        <v>5332</v>
      </c>
      <c r="F5743" s="107" t="s">
        <v>8254</v>
      </c>
      <c r="G5743" s="3" t="s">
        <v>11449</v>
      </c>
      <c r="H5743" s="185">
        <v>0</v>
      </c>
      <c r="I5743" s="16">
        <v>470000000</v>
      </c>
      <c r="J5743" s="56" t="s">
        <v>229</v>
      </c>
      <c r="K5743" s="57" t="s">
        <v>642</v>
      </c>
      <c r="L5743" s="12" t="s">
        <v>404</v>
      </c>
      <c r="M5743" s="3" t="s">
        <v>230</v>
      </c>
      <c r="N5743" s="8" t="s">
        <v>8898</v>
      </c>
      <c r="O5743" s="6" t="s">
        <v>365</v>
      </c>
      <c r="P5743" s="58">
        <v>796</v>
      </c>
      <c r="Q5743" s="26" t="s">
        <v>234</v>
      </c>
      <c r="R5743" s="36">
        <v>4</v>
      </c>
      <c r="S5743" s="59">
        <v>10000</v>
      </c>
      <c r="T5743" s="4">
        <v>0</v>
      </c>
      <c r="U5743" s="4">
        <f>T5743*1.12</f>
        <v>0</v>
      </c>
      <c r="V5743" s="3"/>
      <c r="W5743" s="3">
        <v>2014</v>
      </c>
      <c r="X5743" s="3" t="s">
        <v>14785</v>
      </c>
    </row>
    <row r="5744" spans="1:24" ht="114.75">
      <c r="A5744" s="3" t="s">
        <v>16964</v>
      </c>
      <c r="B5744" s="6" t="s">
        <v>361</v>
      </c>
      <c r="C5744" s="6" t="s">
        <v>6373</v>
      </c>
      <c r="D5744" s="6" t="s">
        <v>6374</v>
      </c>
      <c r="E5744" s="6" t="s">
        <v>5332</v>
      </c>
      <c r="F5744" s="107" t="s">
        <v>8254</v>
      </c>
      <c r="G5744" s="3" t="s">
        <v>11449</v>
      </c>
      <c r="H5744" s="185">
        <v>0</v>
      </c>
      <c r="I5744" s="16">
        <v>470000000</v>
      </c>
      <c r="J5744" s="56" t="s">
        <v>229</v>
      </c>
      <c r="K5744" s="57" t="s">
        <v>8950</v>
      </c>
      <c r="L5744" s="12" t="s">
        <v>404</v>
      </c>
      <c r="M5744" s="3" t="s">
        <v>230</v>
      </c>
      <c r="N5744" s="8" t="s">
        <v>8898</v>
      </c>
      <c r="O5744" s="6" t="s">
        <v>365</v>
      </c>
      <c r="P5744" s="58">
        <v>796</v>
      </c>
      <c r="Q5744" s="333" t="s">
        <v>234</v>
      </c>
      <c r="R5744" s="340">
        <v>4</v>
      </c>
      <c r="S5744" s="59">
        <v>12000</v>
      </c>
      <c r="T5744" s="4">
        <v>0</v>
      </c>
      <c r="U5744" s="4">
        <f t="shared" ref="U5744:U5745" si="261">T5744*1.12</f>
        <v>0</v>
      </c>
      <c r="V5744" s="3"/>
      <c r="W5744" s="3">
        <v>2014</v>
      </c>
      <c r="X5744" s="3">
        <v>11.15</v>
      </c>
    </row>
    <row r="5745" spans="1:24" ht="76.5">
      <c r="A5745" s="3" t="s">
        <v>19170</v>
      </c>
      <c r="B5745" s="6" t="s">
        <v>361</v>
      </c>
      <c r="C5745" s="6" t="s">
        <v>6373</v>
      </c>
      <c r="D5745" s="6" t="s">
        <v>6374</v>
      </c>
      <c r="E5745" s="6" t="s">
        <v>5332</v>
      </c>
      <c r="F5745" s="107" t="s">
        <v>8254</v>
      </c>
      <c r="G5745" s="3" t="s">
        <v>11449</v>
      </c>
      <c r="H5745" s="185">
        <v>0</v>
      </c>
      <c r="I5745" s="16">
        <v>470000000</v>
      </c>
      <c r="J5745" s="56" t="s">
        <v>229</v>
      </c>
      <c r="K5745" s="57" t="s">
        <v>18437</v>
      </c>
      <c r="L5745" s="12" t="s">
        <v>404</v>
      </c>
      <c r="M5745" s="3" t="s">
        <v>230</v>
      </c>
      <c r="N5745" s="8" t="s">
        <v>8898</v>
      </c>
      <c r="O5745" s="6" t="s">
        <v>19407</v>
      </c>
      <c r="P5745" s="58">
        <v>796</v>
      </c>
      <c r="Q5745" s="333" t="s">
        <v>234</v>
      </c>
      <c r="R5745" s="340">
        <v>4</v>
      </c>
      <c r="S5745" s="59">
        <v>12000</v>
      </c>
      <c r="T5745" s="4">
        <f>R5745*S5745</f>
        <v>48000</v>
      </c>
      <c r="U5745" s="4">
        <f t="shared" si="261"/>
        <v>53760.000000000007</v>
      </c>
      <c r="V5745" s="3"/>
      <c r="W5745" s="3">
        <v>2014</v>
      </c>
      <c r="X5745" s="3"/>
    </row>
    <row r="5746" spans="1:24" ht="114.75">
      <c r="A5746" s="3" t="s">
        <v>2356</v>
      </c>
      <c r="B5746" s="6" t="s">
        <v>361</v>
      </c>
      <c r="C5746" s="6" t="s">
        <v>6375</v>
      </c>
      <c r="D5746" s="6" t="s">
        <v>6376</v>
      </c>
      <c r="E5746" s="6" t="s">
        <v>5332</v>
      </c>
      <c r="F5746" s="107" t="s">
        <v>8255</v>
      </c>
      <c r="G5746" s="3" t="s">
        <v>11449</v>
      </c>
      <c r="H5746" s="185">
        <v>0</v>
      </c>
      <c r="I5746" s="16">
        <v>470000000</v>
      </c>
      <c r="J5746" s="56" t="s">
        <v>229</v>
      </c>
      <c r="K5746" s="57" t="s">
        <v>641</v>
      </c>
      <c r="L5746" s="57" t="s">
        <v>364</v>
      </c>
      <c r="M5746" s="3" t="s">
        <v>230</v>
      </c>
      <c r="N5746" s="8" t="s">
        <v>8898</v>
      </c>
      <c r="O5746" s="6" t="s">
        <v>365</v>
      </c>
      <c r="P5746" s="58">
        <v>796</v>
      </c>
      <c r="Q5746" s="26" t="s">
        <v>234</v>
      </c>
      <c r="R5746" s="36">
        <v>4</v>
      </c>
      <c r="S5746" s="59">
        <v>26517.854000000003</v>
      </c>
      <c r="T5746" s="4">
        <v>0</v>
      </c>
      <c r="U5746" s="4">
        <f t="shared" si="244"/>
        <v>0</v>
      </c>
      <c r="V5746" s="3"/>
      <c r="W5746" s="3">
        <v>2014</v>
      </c>
      <c r="X5746" s="3">
        <v>11.12</v>
      </c>
    </row>
    <row r="5747" spans="1:24" ht="114.75">
      <c r="A5747" s="3" t="s">
        <v>13404</v>
      </c>
      <c r="B5747" s="6" t="s">
        <v>361</v>
      </c>
      <c r="C5747" s="6" t="s">
        <v>6375</v>
      </c>
      <c r="D5747" s="6" t="s">
        <v>6376</v>
      </c>
      <c r="E5747" s="6" t="s">
        <v>5332</v>
      </c>
      <c r="F5747" s="107" t="s">
        <v>8255</v>
      </c>
      <c r="G5747" s="3" t="s">
        <v>11449</v>
      </c>
      <c r="H5747" s="185">
        <v>0</v>
      </c>
      <c r="I5747" s="16">
        <v>470000000</v>
      </c>
      <c r="J5747" s="56" t="s">
        <v>229</v>
      </c>
      <c r="K5747" s="57" t="s">
        <v>642</v>
      </c>
      <c r="L5747" s="12" t="s">
        <v>404</v>
      </c>
      <c r="M5747" s="3" t="s">
        <v>230</v>
      </c>
      <c r="N5747" s="8" t="s">
        <v>8898</v>
      </c>
      <c r="O5747" s="6" t="s">
        <v>365</v>
      </c>
      <c r="P5747" s="58">
        <v>796</v>
      </c>
      <c r="Q5747" s="26" t="s">
        <v>234</v>
      </c>
      <c r="R5747" s="36">
        <v>4</v>
      </c>
      <c r="S5747" s="59">
        <v>26517.854000000003</v>
      </c>
      <c r="T5747" s="4">
        <v>0</v>
      </c>
      <c r="U5747" s="4">
        <f>T5747*1.12</f>
        <v>0</v>
      </c>
      <c r="V5747" s="3"/>
      <c r="W5747" s="3">
        <v>2014</v>
      </c>
      <c r="X5747" s="3" t="s">
        <v>14785</v>
      </c>
    </row>
    <row r="5748" spans="1:24" ht="114.75">
      <c r="A5748" s="3" t="s">
        <v>16965</v>
      </c>
      <c r="B5748" s="6" t="s">
        <v>361</v>
      </c>
      <c r="C5748" s="6" t="s">
        <v>6375</v>
      </c>
      <c r="D5748" s="6" t="s">
        <v>6376</v>
      </c>
      <c r="E5748" s="6" t="s">
        <v>5332</v>
      </c>
      <c r="F5748" s="107" t="s">
        <v>8255</v>
      </c>
      <c r="G5748" s="3" t="s">
        <v>11449</v>
      </c>
      <c r="H5748" s="185">
        <v>0</v>
      </c>
      <c r="I5748" s="16">
        <v>470000000</v>
      </c>
      <c r="J5748" s="56" t="s">
        <v>229</v>
      </c>
      <c r="K5748" s="57" t="s">
        <v>8950</v>
      </c>
      <c r="L5748" s="12" t="s">
        <v>404</v>
      </c>
      <c r="M5748" s="3" t="s">
        <v>230</v>
      </c>
      <c r="N5748" s="8" t="s">
        <v>8898</v>
      </c>
      <c r="O5748" s="6" t="s">
        <v>365</v>
      </c>
      <c r="P5748" s="58">
        <v>796</v>
      </c>
      <c r="Q5748" s="333" t="s">
        <v>234</v>
      </c>
      <c r="R5748" s="340">
        <v>4</v>
      </c>
      <c r="S5748" s="59">
        <v>31821.424800000001</v>
      </c>
      <c r="T5748" s="4">
        <v>0</v>
      </c>
      <c r="U5748" s="4">
        <f t="shared" ref="U5748:U5749" si="262">T5748*1.12</f>
        <v>0</v>
      </c>
      <c r="V5748" s="3"/>
      <c r="W5748" s="3">
        <v>2014</v>
      </c>
      <c r="X5748" s="3">
        <v>11.15</v>
      </c>
    </row>
    <row r="5749" spans="1:24" ht="76.5">
      <c r="A5749" s="3" t="s">
        <v>19171</v>
      </c>
      <c r="B5749" s="6" t="s">
        <v>361</v>
      </c>
      <c r="C5749" s="6" t="s">
        <v>6375</v>
      </c>
      <c r="D5749" s="6" t="s">
        <v>6376</v>
      </c>
      <c r="E5749" s="6" t="s">
        <v>5332</v>
      </c>
      <c r="F5749" s="107" t="s">
        <v>8255</v>
      </c>
      <c r="G5749" s="3" t="s">
        <v>11449</v>
      </c>
      <c r="H5749" s="185">
        <v>0</v>
      </c>
      <c r="I5749" s="16">
        <v>470000000</v>
      </c>
      <c r="J5749" s="56" t="s">
        <v>229</v>
      </c>
      <c r="K5749" s="57" t="s">
        <v>18437</v>
      </c>
      <c r="L5749" s="12" t="s">
        <v>404</v>
      </c>
      <c r="M5749" s="3" t="s">
        <v>230</v>
      </c>
      <c r="N5749" s="8" t="s">
        <v>8898</v>
      </c>
      <c r="O5749" s="6" t="s">
        <v>19407</v>
      </c>
      <c r="P5749" s="58">
        <v>796</v>
      </c>
      <c r="Q5749" s="333" t="s">
        <v>234</v>
      </c>
      <c r="R5749" s="340">
        <v>4</v>
      </c>
      <c r="S5749" s="59">
        <v>31821.424800000001</v>
      </c>
      <c r="T5749" s="4">
        <f>R5749*S5749</f>
        <v>127285.6992</v>
      </c>
      <c r="U5749" s="4">
        <f t="shared" si="262"/>
        <v>142559.98310400001</v>
      </c>
      <c r="V5749" s="3"/>
      <c r="W5749" s="3">
        <v>2014</v>
      </c>
      <c r="X5749" s="3"/>
    </row>
    <row r="5750" spans="1:24" ht="114.75">
      <c r="A5750" s="3" t="s">
        <v>2357</v>
      </c>
      <c r="B5750" s="6" t="s">
        <v>361</v>
      </c>
      <c r="C5750" s="6" t="s">
        <v>6377</v>
      </c>
      <c r="D5750" s="6" t="s">
        <v>6378</v>
      </c>
      <c r="E5750" s="6" t="s">
        <v>5332</v>
      </c>
      <c r="F5750" s="107" t="s">
        <v>8256</v>
      </c>
      <c r="G5750" s="3" t="s">
        <v>11449</v>
      </c>
      <c r="H5750" s="185">
        <v>0</v>
      </c>
      <c r="I5750" s="16">
        <v>470000000</v>
      </c>
      <c r="J5750" s="56" t="s">
        <v>229</v>
      </c>
      <c r="K5750" s="57" t="s">
        <v>641</v>
      </c>
      <c r="L5750" s="57" t="s">
        <v>364</v>
      </c>
      <c r="M5750" s="3" t="s">
        <v>230</v>
      </c>
      <c r="N5750" s="8" t="s">
        <v>8898</v>
      </c>
      <c r="O5750" s="6" t="s">
        <v>365</v>
      </c>
      <c r="P5750" s="58">
        <v>796</v>
      </c>
      <c r="Q5750" s="26" t="s">
        <v>234</v>
      </c>
      <c r="R5750" s="36">
        <v>4</v>
      </c>
      <c r="S5750" s="59">
        <v>69732.146000000008</v>
      </c>
      <c r="T5750" s="4">
        <v>0</v>
      </c>
      <c r="U5750" s="4">
        <f t="shared" si="244"/>
        <v>0</v>
      </c>
      <c r="V5750" s="3"/>
      <c r="W5750" s="3">
        <v>2014</v>
      </c>
      <c r="X5750" s="3">
        <v>11.12</v>
      </c>
    </row>
    <row r="5751" spans="1:24" ht="114.75">
      <c r="A5751" s="3" t="s">
        <v>13405</v>
      </c>
      <c r="B5751" s="6" t="s">
        <v>361</v>
      </c>
      <c r="C5751" s="6" t="s">
        <v>6377</v>
      </c>
      <c r="D5751" s="6" t="s">
        <v>6378</v>
      </c>
      <c r="E5751" s="6" t="s">
        <v>5332</v>
      </c>
      <c r="F5751" s="107" t="s">
        <v>8256</v>
      </c>
      <c r="G5751" s="3" t="s">
        <v>11449</v>
      </c>
      <c r="H5751" s="185">
        <v>0</v>
      </c>
      <c r="I5751" s="16">
        <v>470000000</v>
      </c>
      <c r="J5751" s="56" t="s">
        <v>229</v>
      </c>
      <c r="K5751" s="57" t="s">
        <v>642</v>
      </c>
      <c r="L5751" s="12" t="s">
        <v>404</v>
      </c>
      <c r="M5751" s="3" t="s">
        <v>230</v>
      </c>
      <c r="N5751" s="8" t="s">
        <v>8898</v>
      </c>
      <c r="O5751" s="6" t="s">
        <v>365</v>
      </c>
      <c r="P5751" s="58">
        <v>796</v>
      </c>
      <c r="Q5751" s="26" t="s">
        <v>234</v>
      </c>
      <c r="R5751" s="36">
        <v>4</v>
      </c>
      <c r="S5751" s="59">
        <v>69732.146000000008</v>
      </c>
      <c r="T5751" s="4">
        <v>0</v>
      </c>
      <c r="U5751" s="4">
        <f>T5751*1.12</f>
        <v>0</v>
      </c>
      <c r="V5751" s="3"/>
      <c r="W5751" s="3">
        <v>2014</v>
      </c>
      <c r="X5751" s="3" t="s">
        <v>14785</v>
      </c>
    </row>
    <row r="5752" spans="1:24" ht="114.75">
      <c r="A5752" s="3" t="s">
        <v>16966</v>
      </c>
      <c r="B5752" s="6" t="s">
        <v>361</v>
      </c>
      <c r="C5752" s="6" t="s">
        <v>6377</v>
      </c>
      <c r="D5752" s="6" t="s">
        <v>6378</v>
      </c>
      <c r="E5752" s="6" t="s">
        <v>5332</v>
      </c>
      <c r="F5752" s="107" t="s">
        <v>8256</v>
      </c>
      <c r="G5752" s="3" t="s">
        <v>11449</v>
      </c>
      <c r="H5752" s="185">
        <v>0</v>
      </c>
      <c r="I5752" s="16">
        <v>470000000</v>
      </c>
      <c r="J5752" s="56" t="s">
        <v>229</v>
      </c>
      <c r="K5752" s="57" t="s">
        <v>8950</v>
      </c>
      <c r="L5752" s="12" t="s">
        <v>404</v>
      </c>
      <c r="M5752" s="3" t="s">
        <v>230</v>
      </c>
      <c r="N5752" s="8" t="s">
        <v>8898</v>
      </c>
      <c r="O5752" s="6" t="s">
        <v>365</v>
      </c>
      <c r="P5752" s="58">
        <v>796</v>
      </c>
      <c r="Q5752" s="333" t="s">
        <v>234</v>
      </c>
      <c r="R5752" s="340">
        <v>4</v>
      </c>
      <c r="S5752" s="59">
        <v>83678.575200000007</v>
      </c>
      <c r="T5752" s="4">
        <v>0</v>
      </c>
      <c r="U5752" s="4">
        <f t="shared" ref="U5752:U5753" si="263">T5752*1.12</f>
        <v>0</v>
      </c>
      <c r="V5752" s="3"/>
      <c r="W5752" s="3">
        <v>2014</v>
      </c>
      <c r="X5752" s="3">
        <v>11.15</v>
      </c>
    </row>
    <row r="5753" spans="1:24" ht="76.5">
      <c r="A5753" s="3" t="s">
        <v>19172</v>
      </c>
      <c r="B5753" s="6" t="s">
        <v>361</v>
      </c>
      <c r="C5753" s="6" t="s">
        <v>6377</v>
      </c>
      <c r="D5753" s="6" t="s">
        <v>6378</v>
      </c>
      <c r="E5753" s="6" t="s">
        <v>5332</v>
      </c>
      <c r="F5753" s="107" t="s">
        <v>8256</v>
      </c>
      <c r="G5753" s="3" t="s">
        <v>11449</v>
      </c>
      <c r="H5753" s="185">
        <v>0</v>
      </c>
      <c r="I5753" s="16">
        <v>470000000</v>
      </c>
      <c r="J5753" s="56" t="s">
        <v>229</v>
      </c>
      <c r="K5753" s="57" t="s">
        <v>18437</v>
      </c>
      <c r="L5753" s="12" t="s">
        <v>404</v>
      </c>
      <c r="M5753" s="3" t="s">
        <v>230</v>
      </c>
      <c r="N5753" s="8" t="s">
        <v>8898</v>
      </c>
      <c r="O5753" s="6" t="s">
        <v>19407</v>
      </c>
      <c r="P5753" s="58">
        <v>796</v>
      </c>
      <c r="Q5753" s="333" t="s">
        <v>234</v>
      </c>
      <c r="R5753" s="340">
        <v>4</v>
      </c>
      <c r="S5753" s="59">
        <v>83678.575200000007</v>
      </c>
      <c r="T5753" s="4">
        <f>R5753*S5753</f>
        <v>334714.30080000003</v>
      </c>
      <c r="U5753" s="4">
        <f t="shared" si="263"/>
        <v>374880.01689600007</v>
      </c>
      <c r="V5753" s="3"/>
      <c r="W5753" s="3">
        <v>2014</v>
      </c>
      <c r="X5753" s="3"/>
    </row>
    <row r="5754" spans="1:24" ht="114.75">
      <c r="A5754" s="3" t="s">
        <v>2358</v>
      </c>
      <c r="B5754" s="6" t="s">
        <v>361</v>
      </c>
      <c r="C5754" s="6" t="s">
        <v>6379</v>
      </c>
      <c r="D5754" s="6" t="s">
        <v>6380</v>
      </c>
      <c r="E5754" s="6" t="s">
        <v>6381</v>
      </c>
      <c r="F5754" s="107" t="s">
        <v>8257</v>
      </c>
      <c r="G5754" s="3" t="s">
        <v>11449</v>
      </c>
      <c r="H5754" s="185">
        <v>0</v>
      </c>
      <c r="I5754" s="16">
        <v>470000000</v>
      </c>
      <c r="J5754" s="56" t="s">
        <v>229</v>
      </c>
      <c r="K5754" s="57" t="s">
        <v>641</v>
      </c>
      <c r="L5754" s="57" t="s">
        <v>364</v>
      </c>
      <c r="M5754" s="3" t="s">
        <v>230</v>
      </c>
      <c r="N5754" s="8" t="s">
        <v>8898</v>
      </c>
      <c r="O5754" s="6" t="s">
        <v>365</v>
      </c>
      <c r="P5754" s="58">
        <v>796</v>
      </c>
      <c r="Q5754" s="26" t="s">
        <v>234</v>
      </c>
      <c r="R5754" s="36">
        <v>4</v>
      </c>
      <c r="S5754" s="59">
        <v>33491.073000000004</v>
      </c>
      <c r="T5754" s="4">
        <v>0</v>
      </c>
      <c r="U5754" s="4">
        <f t="shared" si="244"/>
        <v>0</v>
      </c>
      <c r="V5754" s="3"/>
      <c r="W5754" s="3">
        <v>2014</v>
      </c>
      <c r="X5754" s="3">
        <v>11.12</v>
      </c>
    </row>
    <row r="5755" spans="1:24" ht="114.75">
      <c r="A5755" s="3" t="s">
        <v>13406</v>
      </c>
      <c r="B5755" s="6" t="s">
        <v>361</v>
      </c>
      <c r="C5755" s="6" t="s">
        <v>6379</v>
      </c>
      <c r="D5755" s="6" t="s">
        <v>6380</v>
      </c>
      <c r="E5755" s="6" t="s">
        <v>6381</v>
      </c>
      <c r="F5755" s="107" t="s">
        <v>8257</v>
      </c>
      <c r="G5755" s="3" t="s">
        <v>11449</v>
      </c>
      <c r="H5755" s="185">
        <v>0</v>
      </c>
      <c r="I5755" s="16">
        <v>470000000</v>
      </c>
      <c r="J5755" s="56" t="s">
        <v>229</v>
      </c>
      <c r="K5755" s="57" t="s">
        <v>642</v>
      </c>
      <c r="L5755" s="12" t="s">
        <v>404</v>
      </c>
      <c r="M5755" s="3" t="s">
        <v>230</v>
      </c>
      <c r="N5755" s="8" t="s">
        <v>8898</v>
      </c>
      <c r="O5755" s="6" t="s">
        <v>365</v>
      </c>
      <c r="P5755" s="58">
        <v>796</v>
      </c>
      <c r="Q5755" s="26" t="s">
        <v>234</v>
      </c>
      <c r="R5755" s="36">
        <v>4</v>
      </c>
      <c r="S5755" s="59">
        <v>33491.073000000004</v>
      </c>
      <c r="T5755" s="4">
        <v>0</v>
      </c>
      <c r="U5755" s="4">
        <f>T5755*1.12</f>
        <v>0</v>
      </c>
      <c r="V5755" s="3"/>
      <c r="W5755" s="3">
        <v>2014</v>
      </c>
      <c r="X5755" s="3" t="s">
        <v>14785</v>
      </c>
    </row>
    <row r="5756" spans="1:24" ht="114.75">
      <c r="A5756" s="3" t="s">
        <v>16967</v>
      </c>
      <c r="B5756" s="6" t="s">
        <v>361</v>
      </c>
      <c r="C5756" s="6" t="s">
        <v>6379</v>
      </c>
      <c r="D5756" s="6" t="s">
        <v>6380</v>
      </c>
      <c r="E5756" s="6" t="s">
        <v>6381</v>
      </c>
      <c r="F5756" s="107" t="s">
        <v>8257</v>
      </c>
      <c r="G5756" s="3" t="s">
        <v>11449</v>
      </c>
      <c r="H5756" s="185">
        <v>0</v>
      </c>
      <c r="I5756" s="16">
        <v>470000000</v>
      </c>
      <c r="J5756" s="56" t="s">
        <v>229</v>
      </c>
      <c r="K5756" s="57" t="s">
        <v>8950</v>
      </c>
      <c r="L5756" s="12" t="s">
        <v>404</v>
      </c>
      <c r="M5756" s="3" t="s">
        <v>230</v>
      </c>
      <c r="N5756" s="8" t="s">
        <v>8898</v>
      </c>
      <c r="O5756" s="6" t="s">
        <v>365</v>
      </c>
      <c r="P5756" s="58">
        <v>796</v>
      </c>
      <c r="Q5756" s="333" t="s">
        <v>234</v>
      </c>
      <c r="R5756" s="340">
        <v>4</v>
      </c>
      <c r="S5756" s="59">
        <v>40189.287600000003</v>
      </c>
      <c r="T5756" s="4">
        <v>0</v>
      </c>
      <c r="U5756" s="4">
        <f t="shared" ref="U5756:U5757" si="264">T5756*1.12</f>
        <v>0</v>
      </c>
      <c r="V5756" s="3"/>
      <c r="W5756" s="3">
        <v>2014</v>
      </c>
      <c r="X5756" s="3">
        <v>11.15</v>
      </c>
    </row>
    <row r="5757" spans="1:24" ht="76.5">
      <c r="A5757" s="3" t="s">
        <v>19173</v>
      </c>
      <c r="B5757" s="6" t="s">
        <v>361</v>
      </c>
      <c r="C5757" s="6" t="s">
        <v>6379</v>
      </c>
      <c r="D5757" s="6" t="s">
        <v>6380</v>
      </c>
      <c r="E5757" s="6" t="s">
        <v>6381</v>
      </c>
      <c r="F5757" s="107" t="s">
        <v>8257</v>
      </c>
      <c r="G5757" s="3" t="s">
        <v>11449</v>
      </c>
      <c r="H5757" s="185">
        <v>0</v>
      </c>
      <c r="I5757" s="16">
        <v>470000000</v>
      </c>
      <c r="J5757" s="56" t="s">
        <v>229</v>
      </c>
      <c r="K5757" s="57" t="s">
        <v>18437</v>
      </c>
      <c r="L5757" s="12" t="s">
        <v>404</v>
      </c>
      <c r="M5757" s="3" t="s">
        <v>230</v>
      </c>
      <c r="N5757" s="8" t="s">
        <v>8898</v>
      </c>
      <c r="O5757" s="6" t="s">
        <v>19407</v>
      </c>
      <c r="P5757" s="58">
        <v>796</v>
      </c>
      <c r="Q5757" s="333" t="s">
        <v>234</v>
      </c>
      <c r="R5757" s="340">
        <v>4</v>
      </c>
      <c r="S5757" s="59">
        <v>40189.287600000003</v>
      </c>
      <c r="T5757" s="4">
        <f>R5757*S5757</f>
        <v>160757.15040000001</v>
      </c>
      <c r="U5757" s="4">
        <f t="shared" si="264"/>
        <v>180048.00844800004</v>
      </c>
      <c r="V5757" s="3"/>
      <c r="W5757" s="3">
        <v>2014</v>
      </c>
      <c r="X5757" s="3"/>
    </row>
    <row r="5758" spans="1:24" ht="114.75">
      <c r="A5758" s="3" t="s">
        <v>2359</v>
      </c>
      <c r="B5758" s="6" t="s">
        <v>361</v>
      </c>
      <c r="C5758" s="6" t="s">
        <v>6238</v>
      </c>
      <c r="D5758" s="6" t="s">
        <v>6239</v>
      </c>
      <c r="E5758" s="6" t="s">
        <v>6240</v>
      </c>
      <c r="F5758" s="107" t="s">
        <v>8258</v>
      </c>
      <c r="G5758" s="3" t="s">
        <v>11449</v>
      </c>
      <c r="H5758" s="185">
        <v>0</v>
      </c>
      <c r="I5758" s="16">
        <v>470000000</v>
      </c>
      <c r="J5758" s="56" t="s">
        <v>229</v>
      </c>
      <c r="K5758" s="57" t="s">
        <v>641</v>
      </c>
      <c r="L5758" s="57" t="s">
        <v>364</v>
      </c>
      <c r="M5758" s="3" t="s">
        <v>230</v>
      </c>
      <c r="N5758" s="8" t="s">
        <v>8898</v>
      </c>
      <c r="O5758" s="6" t="s">
        <v>365</v>
      </c>
      <c r="P5758" s="58" t="s">
        <v>241</v>
      </c>
      <c r="Q5758" s="26" t="s">
        <v>234</v>
      </c>
      <c r="R5758" s="36">
        <v>60</v>
      </c>
      <c r="S5758" s="59">
        <v>25683</v>
      </c>
      <c r="T5758" s="4">
        <v>0</v>
      </c>
      <c r="U5758" s="4">
        <f t="shared" si="244"/>
        <v>0</v>
      </c>
      <c r="V5758" s="3"/>
      <c r="W5758" s="3">
        <v>2014</v>
      </c>
      <c r="X5758" s="3">
        <v>11.12</v>
      </c>
    </row>
    <row r="5759" spans="1:24" ht="114.75">
      <c r="A5759" s="3" t="s">
        <v>13407</v>
      </c>
      <c r="B5759" s="6" t="s">
        <v>361</v>
      </c>
      <c r="C5759" s="6" t="s">
        <v>6238</v>
      </c>
      <c r="D5759" s="6" t="s">
        <v>6239</v>
      </c>
      <c r="E5759" s="6" t="s">
        <v>6240</v>
      </c>
      <c r="F5759" s="107" t="s">
        <v>8258</v>
      </c>
      <c r="G5759" s="3" t="s">
        <v>11449</v>
      </c>
      <c r="H5759" s="185">
        <v>0</v>
      </c>
      <c r="I5759" s="16">
        <v>470000000</v>
      </c>
      <c r="J5759" s="56" t="s">
        <v>229</v>
      </c>
      <c r="K5759" s="57" t="s">
        <v>642</v>
      </c>
      <c r="L5759" s="12" t="s">
        <v>404</v>
      </c>
      <c r="M5759" s="3" t="s">
        <v>230</v>
      </c>
      <c r="N5759" s="8" t="s">
        <v>8898</v>
      </c>
      <c r="O5759" s="6" t="s">
        <v>365</v>
      </c>
      <c r="P5759" s="58" t="s">
        <v>241</v>
      </c>
      <c r="Q5759" s="26" t="s">
        <v>234</v>
      </c>
      <c r="R5759" s="36">
        <v>60</v>
      </c>
      <c r="S5759" s="59">
        <v>25683</v>
      </c>
      <c r="T5759" s="4">
        <f>R5759*S5759</f>
        <v>1540980</v>
      </c>
      <c r="U5759" s="4">
        <f>T5759*1.12</f>
        <v>1725897.6</v>
      </c>
      <c r="V5759" s="3"/>
      <c r="W5759" s="3">
        <v>2014</v>
      </c>
      <c r="X5759" s="3"/>
    </row>
    <row r="5760" spans="1:24" ht="114.75">
      <c r="A5760" s="3" t="s">
        <v>2360</v>
      </c>
      <c r="B5760" s="6" t="s">
        <v>361</v>
      </c>
      <c r="C5760" s="6" t="s">
        <v>6252</v>
      </c>
      <c r="D5760" s="6" t="s">
        <v>6253</v>
      </c>
      <c r="E5760" s="6" t="s">
        <v>6254</v>
      </c>
      <c r="F5760" s="129" t="s">
        <v>8259</v>
      </c>
      <c r="G5760" s="3" t="s">
        <v>11449</v>
      </c>
      <c r="H5760" s="185">
        <v>0</v>
      </c>
      <c r="I5760" s="16">
        <v>470000000</v>
      </c>
      <c r="J5760" s="56" t="s">
        <v>229</v>
      </c>
      <c r="K5760" s="57" t="s">
        <v>641</v>
      </c>
      <c r="L5760" s="57" t="s">
        <v>364</v>
      </c>
      <c r="M5760" s="3" t="s">
        <v>230</v>
      </c>
      <c r="N5760" s="8" t="s">
        <v>8898</v>
      </c>
      <c r="O5760" s="6" t="s">
        <v>365</v>
      </c>
      <c r="P5760" s="58">
        <v>796</v>
      </c>
      <c r="Q5760" s="26" t="s">
        <v>234</v>
      </c>
      <c r="R5760" s="32">
        <v>4</v>
      </c>
      <c r="S5760" s="59">
        <f>4400*1.07</f>
        <v>4708</v>
      </c>
      <c r="T5760" s="4">
        <v>0</v>
      </c>
      <c r="U5760" s="4">
        <f t="shared" ref="U5760:U5783" si="265">T5760*1.12</f>
        <v>0</v>
      </c>
      <c r="V5760" s="3"/>
      <c r="W5760" s="3">
        <v>2014</v>
      </c>
      <c r="X5760" s="3" t="s">
        <v>11817</v>
      </c>
    </row>
    <row r="5761" spans="1:24" ht="114.75">
      <c r="A5761" s="3" t="s">
        <v>13507</v>
      </c>
      <c r="B5761" s="6" t="s">
        <v>361</v>
      </c>
      <c r="C5761" s="6" t="s">
        <v>6252</v>
      </c>
      <c r="D5761" s="6" t="s">
        <v>6253</v>
      </c>
      <c r="E5761" s="6" t="s">
        <v>6254</v>
      </c>
      <c r="F5761" s="129" t="s">
        <v>8259</v>
      </c>
      <c r="G5761" s="3" t="s">
        <v>11450</v>
      </c>
      <c r="H5761" s="185">
        <v>0</v>
      </c>
      <c r="I5761" s="16">
        <v>470000000</v>
      </c>
      <c r="J5761" s="56" t="s">
        <v>229</v>
      </c>
      <c r="K5761" s="57" t="s">
        <v>642</v>
      </c>
      <c r="L5761" s="12" t="s">
        <v>404</v>
      </c>
      <c r="M5761" s="3" t="s">
        <v>230</v>
      </c>
      <c r="N5761" s="8" t="s">
        <v>8898</v>
      </c>
      <c r="O5761" s="6" t="s">
        <v>365</v>
      </c>
      <c r="P5761" s="58">
        <v>796</v>
      </c>
      <c r="Q5761" s="26" t="s">
        <v>234</v>
      </c>
      <c r="R5761" s="32">
        <v>4</v>
      </c>
      <c r="S5761" s="59">
        <f>4400*1.07</f>
        <v>4708</v>
      </c>
      <c r="T5761" s="4">
        <f>R5761*S5761</f>
        <v>18832</v>
      </c>
      <c r="U5761" s="4">
        <f>T5761*1.12</f>
        <v>21091.840000000004</v>
      </c>
      <c r="V5761" s="3"/>
      <c r="W5761" s="3">
        <v>2014</v>
      </c>
      <c r="X5761" s="3"/>
    </row>
    <row r="5762" spans="1:24" ht="114.75">
      <c r="A5762" s="3" t="s">
        <v>2361</v>
      </c>
      <c r="B5762" s="6" t="s">
        <v>361</v>
      </c>
      <c r="C5762" s="6" t="s">
        <v>5344</v>
      </c>
      <c r="D5762" s="6" t="s">
        <v>460</v>
      </c>
      <c r="E5762" s="6" t="s">
        <v>5345</v>
      </c>
      <c r="F5762" s="129" t="s">
        <v>8260</v>
      </c>
      <c r="G5762" s="3" t="s">
        <v>11449</v>
      </c>
      <c r="H5762" s="185">
        <v>0</v>
      </c>
      <c r="I5762" s="16">
        <v>470000000</v>
      </c>
      <c r="J5762" s="56" t="s">
        <v>229</v>
      </c>
      <c r="K5762" s="57" t="s">
        <v>641</v>
      </c>
      <c r="L5762" s="57" t="s">
        <v>364</v>
      </c>
      <c r="M5762" s="3" t="s">
        <v>230</v>
      </c>
      <c r="N5762" s="8" t="s">
        <v>8898</v>
      </c>
      <c r="O5762" s="6" t="s">
        <v>365</v>
      </c>
      <c r="P5762" s="58">
        <v>796</v>
      </c>
      <c r="Q5762" s="26" t="s">
        <v>234</v>
      </c>
      <c r="R5762" s="32">
        <v>20</v>
      </c>
      <c r="S5762" s="59">
        <v>2100</v>
      </c>
      <c r="T5762" s="4">
        <v>0</v>
      </c>
      <c r="U5762" s="4">
        <f t="shared" si="265"/>
        <v>0</v>
      </c>
      <c r="V5762" s="3"/>
      <c r="W5762" s="3">
        <v>2014</v>
      </c>
      <c r="X5762" s="3" t="s">
        <v>11817</v>
      </c>
    </row>
    <row r="5763" spans="1:24" ht="114.75">
      <c r="A5763" s="3" t="s">
        <v>13508</v>
      </c>
      <c r="B5763" s="6" t="s">
        <v>361</v>
      </c>
      <c r="C5763" s="6" t="s">
        <v>5344</v>
      </c>
      <c r="D5763" s="6" t="s">
        <v>460</v>
      </c>
      <c r="E5763" s="6" t="s">
        <v>5345</v>
      </c>
      <c r="F5763" s="129" t="s">
        <v>8260</v>
      </c>
      <c r="G5763" s="3" t="s">
        <v>11450</v>
      </c>
      <c r="H5763" s="185">
        <v>0</v>
      </c>
      <c r="I5763" s="16">
        <v>470000000</v>
      </c>
      <c r="J5763" s="56" t="s">
        <v>229</v>
      </c>
      <c r="K5763" s="57" t="s">
        <v>642</v>
      </c>
      <c r="L5763" s="12" t="s">
        <v>404</v>
      </c>
      <c r="M5763" s="3" t="s">
        <v>230</v>
      </c>
      <c r="N5763" s="8" t="s">
        <v>8898</v>
      </c>
      <c r="O5763" s="6" t="s">
        <v>365</v>
      </c>
      <c r="P5763" s="58">
        <v>796</v>
      </c>
      <c r="Q5763" s="26" t="s">
        <v>234</v>
      </c>
      <c r="R5763" s="32">
        <v>20</v>
      </c>
      <c r="S5763" s="59">
        <v>2100</v>
      </c>
      <c r="T5763" s="4">
        <f>R5763*S5763</f>
        <v>42000</v>
      </c>
      <c r="U5763" s="4">
        <f>T5763*1.12</f>
        <v>47040.000000000007</v>
      </c>
      <c r="V5763" s="3"/>
      <c r="W5763" s="3">
        <v>2014</v>
      </c>
      <c r="X5763" s="3"/>
    </row>
    <row r="5764" spans="1:24" ht="114.75">
      <c r="A5764" s="3" t="s">
        <v>2362</v>
      </c>
      <c r="B5764" s="6" t="s">
        <v>361</v>
      </c>
      <c r="C5764" s="6" t="s">
        <v>5344</v>
      </c>
      <c r="D5764" s="6" t="s">
        <v>460</v>
      </c>
      <c r="E5764" s="6" t="s">
        <v>5345</v>
      </c>
      <c r="F5764" s="129" t="s">
        <v>8261</v>
      </c>
      <c r="G5764" s="3" t="s">
        <v>11449</v>
      </c>
      <c r="H5764" s="185">
        <v>0</v>
      </c>
      <c r="I5764" s="16">
        <v>470000000</v>
      </c>
      <c r="J5764" s="56" t="s">
        <v>229</v>
      </c>
      <c r="K5764" s="57" t="s">
        <v>641</v>
      </c>
      <c r="L5764" s="57" t="s">
        <v>364</v>
      </c>
      <c r="M5764" s="3" t="s">
        <v>230</v>
      </c>
      <c r="N5764" s="8" t="s">
        <v>8898</v>
      </c>
      <c r="O5764" s="6" t="s">
        <v>365</v>
      </c>
      <c r="P5764" s="58">
        <v>796</v>
      </c>
      <c r="Q5764" s="26" t="s">
        <v>234</v>
      </c>
      <c r="R5764" s="32">
        <v>20</v>
      </c>
      <c r="S5764" s="59">
        <v>1400</v>
      </c>
      <c r="T5764" s="4">
        <v>0</v>
      </c>
      <c r="U5764" s="4">
        <f t="shared" si="265"/>
        <v>0</v>
      </c>
      <c r="V5764" s="3"/>
      <c r="W5764" s="3">
        <v>2014</v>
      </c>
      <c r="X5764" s="3" t="s">
        <v>11817</v>
      </c>
    </row>
    <row r="5765" spans="1:24" ht="114.75">
      <c r="A5765" s="3" t="s">
        <v>13509</v>
      </c>
      <c r="B5765" s="6" t="s">
        <v>361</v>
      </c>
      <c r="C5765" s="6" t="s">
        <v>5344</v>
      </c>
      <c r="D5765" s="6" t="s">
        <v>460</v>
      </c>
      <c r="E5765" s="6" t="s">
        <v>5345</v>
      </c>
      <c r="F5765" s="129" t="s">
        <v>8261</v>
      </c>
      <c r="G5765" s="3" t="s">
        <v>11450</v>
      </c>
      <c r="H5765" s="185">
        <v>0</v>
      </c>
      <c r="I5765" s="16">
        <v>470000000</v>
      </c>
      <c r="J5765" s="56" t="s">
        <v>229</v>
      </c>
      <c r="K5765" s="57" t="s">
        <v>642</v>
      </c>
      <c r="L5765" s="12" t="s">
        <v>404</v>
      </c>
      <c r="M5765" s="3" t="s">
        <v>230</v>
      </c>
      <c r="N5765" s="8" t="s">
        <v>8898</v>
      </c>
      <c r="O5765" s="6" t="s">
        <v>365</v>
      </c>
      <c r="P5765" s="58">
        <v>796</v>
      </c>
      <c r="Q5765" s="26" t="s">
        <v>234</v>
      </c>
      <c r="R5765" s="32">
        <v>20</v>
      </c>
      <c r="S5765" s="59">
        <v>1400</v>
      </c>
      <c r="T5765" s="4">
        <f>R5765*S5765</f>
        <v>28000</v>
      </c>
      <c r="U5765" s="4">
        <f>T5765*1.12</f>
        <v>31360.000000000004</v>
      </c>
      <c r="V5765" s="3"/>
      <c r="W5765" s="3">
        <v>2014</v>
      </c>
      <c r="X5765" s="3"/>
    </row>
    <row r="5766" spans="1:24" ht="114.75">
      <c r="A5766" s="3" t="s">
        <v>2363</v>
      </c>
      <c r="B5766" s="6" t="s">
        <v>361</v>
      </c>
      <c r="C5766" s="6" t="s">
        <v>6091</v>
      </c>
      <c r="D5766" s="6" t="s">
        <v>4382</v>
      </c>
      <c r="E5766" s="6" t="s">
        <v>6092</v>
      </c>
      <c r="F5766" s="129" t="s">
        <v>8262</v>
      </c>
      <c r="G5766" s="3" t="s">
        <v>11449</v>
      </c>
      <c r="H5766" s="185">
        <v>0</v>
      </c>
      <c r="I5766" s="16">
        <v>470000000</v>
      </c>
      <c r="J5766" s="56" t="s">
        <v>229</v>
      </c>
      <c r="K5766" s="57" t="s">
        <v>641</v>
      </c>
      <c r="L5766" s="57" t="s">
        <v>364</v>
      </c>
      <c r="M5766" s="3" t="s">
        <v>230</v>
      </c>
      <c r="N5766" s="8" t="s">
        <v>8898</v>
      </c>
      <c r="O5766" s="6" t="s">
        <v>365</v>
      </c>
      <c r="P5766" s="58">
        <v>796</v>
      </c>
      <c r="Q5766" s="26" t="s">
        <v>234</v>
      </c>
      <c r="R5766" s="32">
        <v>4</v>
      </c>
      <c r="S5766" s="59">
        <v>1705.34</v>
      </c>
      <c r="T5766" s="4">
        <v>0</v>
      </c>
      <c r="U5766" s="4">
        <f t="shared" si="265"/>
        <v>0</v>
      </c>
      <c r="V5766" s="3"/>
      <c r="W5766" s="3">
        <v>2014</v>
      </c>
      <c r="X5766" s="3" t="s">
        <v>11817</v>
      </c>
    </row>
    <row r="5767" spans="1:24" ht="114.75">
      <c r="A5767" s="3" t="s">
        <v>13510</v>
      </c>
      <c r="B5767" s="6" t="s">
        <v>361</v>
      </c>
      <c r="C5767" s="6" t="s">
        <v>6091</v>
      </c>
      <c r="D5767" s="6" t="s">
        <v>4382</v>
      </c>
      <c r="E5767" s="6" t="s">
        <v>6092</v>
      </c>
      <c r="F5767" s="129" t="s">
        <v>8262</v>
      </c>
      <c r="G5767" s="3" t="s">
        <v>11450</v>
      </c>
      <c r="H5767" s="185">
        <v>0</v>
      </c>
      <c r="I5767" s="16">
        <v>470000000</v>
      </c>
      <c r="J5767" s="56" t="s">
        <v>229</v>
      </c>
      <c r="K5767" s="57" t="s">
        <v>642</v>
      </c>
      <c r="L5767" s="12" t="s">
        <v>404</v>
      </c>
      <c r="M5767" s="3" t="s">
        <v>230</v>
      </c>
      <c r="N5767" s="8" t="s">
        <v>8898</v>
      </c>
      <c r="O5767" s="6" t="s">
        <v>365</v>
      </c>
      <c r="P5767" s="58">
        <v>796</v>
      </c>
      <c r="Q5767" s="26" t="s">
        <v>234</v>
      </c>
      <c r="R5767" s="32">
        <v>4</v>
      </c>
      <c r="S5767" s="59">
        <v>1705.34</v>
      </c>
      <c r="T5767" s="4">
        <f>R5767*S5767</f>
        <v>6821.36</v>
      </c>
      <c r="U5767" s="4">
        <f>T5767*1.12</f>
        <v>7639.9232000000002</v>
      </c>
      <c r="V5767" s="3"/>
      <c r="W5767" s="3">
        <v>2014</v>
      </c>
      <c r="X5767" s="3"/>
    </row>
    <row r="5768" spans="1:24" ht="114.75">
      <c r="A5768" s="3" t="s">
        <v>2364</v>
      </c>
      <c r="B5768" s="6" t="s">
        <v>361</v>
      </c>
      <c r="C5768" s="6" t="s">
        <v>6382</v>
      </c>
      <c r="D5768" s="6" t="s">
        <v>4382</v>
      </c>
      <c r="E5768" s="6" t="s">
        <v>5500</v>
      </c>
      <c r="F5768" s="129" t="s">
        <v>8263</v>
      </c>
      <c r="G5768" s="3" t="s">
        <v>11449</v>
      </c>
      <c r="H5768" s="185">
        <v>0</v>
      </c>
      <c r="I5768" s="16">
        <v>470000000</v>
      </c>
      <c r="J5768" s="56" t="s">
        <v>229</v>
      </c>
      <c r="K5768" s="57" t="s">
        <v>641</v>
      </c>
      <c r="L5768" s="57" t="s">
        <v>364</v>
      </c>
      <c r="M5768" s="3" t="s">
        <v>230</v>
      </c>
      <c r="N5768" s="8" t="s">
        <v>8898</v>
      </c>
      <c r="O5768" s="6" t="s">
        <v>365</v>
      </c>
      <c r="P5768" s="58">
        <v>796</v>
      </c>
      <c r="Q5768" s="26" t="s">
        <v>234</v>
      </c>
      <c r="R5768" s="32">
        <v>4</v>
      </c>
      <c r="S5768" s="59">
        <v>6300</v>
      </c>
      <c r="T5768" s="4">
        <v>0</v>
      </c>
      <c r="U5768" s="4">
        <f t="shared" si="265"/>
        <v>0</v>
      </c>
      <c r="V5768" s="3"/>
      <c r="W5768" s="3">
        <v>2014</v>
      </c>
      <c r="X5768" s="3" t="s">
        <v>11817</v>
      </c>
    </row>
    <row r="5769" spans="1:24" ht="114.75">
      <c r="A5769" s="3" t="s">
        <v>13511</v>
      </c>
      <c r="B5769" s="6" t="s">
        <v>361</v>
      </c>
      <c r="C5769" s="6" t="s">
        <v>6382</v>
      </c>
      <c r="D5769" s="6" t="s">
        <v>4382</v>
      </c>
      <c r="E5769" s="6" t="s">
        <v>5500</v>
      </c>
      <c r="F5769" s="129" t="s">
        <v>8263</v>
      </c>
      <c r="G5769" s="3" t="s">
        <v>11450</v>
      </c>
      <c r="H5769" s="185">
        <v>0</v>
      </c>
      <c r="I5769" s="16">
        <v>470000000</v>
      </c>
      <c r="J5769" s="56" t="s">
        <v>229</v>
      </c>
      <c r="K5769" s="57" t="s">
        <v>642</v>
      </c>
      <c r="L5769" s="12" t="s">
        <v>404</v>
      </c>
      <c r="M5769" s="3" t="s">
        <v>230</v>
      </c>
      <c r="N5769" s="8" t="s">
        <v>8898</v>
      </c>
      <c r="O5769" s="6" t="s">
        <v>365</v>
      </c>
      <c r="P5769" s="58">
        <v>796</v>
      </c>
      <c r="Q5769" s="26" t="s">
        <v>234</v>
      </c>
      <c r="R5769" s="32">
        <v>4</v>
      </c>
      <c r="S5769" s="59">
        <v>6300</v>
      </c>
      <c r="T5769" s="4">
        <f>R5769*S5769</f>
        <v>25200</v>
      </c>
      <c r="U5769" s="4">
        <f>T5769*1.12</f>
        <v>28224.000000000004</v>
      </c>
      <c r="V5769" s="3"/>
      <c r="W5769" s="3">
        <v>2014</v>
      </c>
      <c r="X5769" s="3"/>
    </row>
    <row r="5770" spans="1:24" ht="114.75">
      <c r="A5770" s="3" t="s">
        <v>2365</v>
      </c>
      <c r="B5770" s="6" t="s">
        <v>361</v>
      </c>
      <c r="C5770" s="6" t="s">
        <v>6383</v>
      </c>
      <c r="D5770" s="6" t="s">
        <v>4382</v>
      </c>
      <c r="E5770" s="6" t="s">
        <v>5502</v>
      </c>
      <c r="F5770" s="129" t="s">
        <v>8264</v>
      </c>
      <c r="G5770" s="3" t="s">
        <v>11449</v>
      </c>
      <c r="H5770" s="185">
        <v>0</v>
      </c>
      <c r="I5770" s="16">
        <v>470000000</v>
      </c>
      <c r="J5770" s="56" t="s">
        <v>229</v>
      </c>
      <c r="K5770" s="57" t="s">
        <v>641</v>
      </c>
      <c r="L5770" s="57" t="s">
        <v>364</v>
      </c>
      <c r="M5770" s="3" t="s">
        <v>230</v>
      </c>
      <c r="N5770" s="8" t="s">
        <v>8898</v>
      </c>
      <c r="O5770" s="6" t="s">
        <v>365</v>
      </c>
      <c r="P5770" s="58">
        <v>796</v>
      </c>
      <c r="Q5770" s="26" t="s">
        <v>234</v>
      </c>
      <c r="R5770" s="32">
        <v>4</v>
      </c>
      <c r="S5770" s="59">
        <v>6300</v>
      </c>
      <c r="T5770" s="4">
        <v>0</v>
      </c>
      <c r="U5770" s="4">
        <f t="shared" si="265"/>
        <v>0</v>
      </c>
      <c r="V5770" s="3"/>
      <c r="W5770" s="3">
        <v>2014</v>
      </c>
      <c r="X5770" s="3" t="s">
        <v>11817</v>
      </c>
    </row>
    <row r="5771" spans="1:24" ht="114.75">
      <c r="A5771" s="3" t="s">
        <v>13512</v>
      </c>
      <c r="B5771" s="6" t="s">
        <v>361</v>
      </c>
      <c r="C5771" s="6" t="s">
        <v>6383</v>
      </c>
      <c r="D5771" s="6" t="s">
        <v>4382</v>
      </c>
      <c r="E5771" s="6" t="s">
        <v>5502</v>
      </c>
      <c r="F5771" s="129" t="s">
        <v>8264</v>
      </c>
      <c r="G5771" s="3" t="s">
        <v>11450</v>
      </c>
      <c r="H5771" s="185">
        <v>0</v>
      </c>
      <c r="I5771" s="16">
        <v>470000000</v>
      </c>
      <c r="J5771" s="56" t="s">
        <v>229</v>
      </c>
      <c r="K5771" s="57" t="s">
        <v>642</v>
      </c>
      <c r="L5771" s="12" t="s">
        <v>404</v>
      </c>
      <c r="M5771" s="3" t="s">
        <v>230</v>
      </c>
      <c r="N5771" s="8" t="s">
        <v>8898</v>
      </c>
      <c r="O5771" s="6" t="s">
        <v>365</v>
      </c>
      <c r="P5771" s="58">
        <v>796</v>
      </c>
      <c r="Q5771" s="26" t="s">
        <v>234</v>
      </c>
      <c r="R5771" s="32">
        <v>4</v>
      </c>
      <c r="S5771" s="59">
        <v>6300</v>
      </c>
      <c r="T5771" s="4">
        <f>R5771*S5771</f>
        <v>25200</v>
      </c>
      <c r="U5771" s="4">
        <f>T5771*1.12</f>
        <v>28224.000000000004</v>
      </c>
      <c r="V5771" s="3"/>
      <c r="W5771" s="3">
        <v>2014</v>
      </c>
      <c r="X5771" s="3"/>
    </row>
    <row r="5772" spans="1:24" ht="114.75">
      <c r="A5772" s="3" t="s">
        <v>2366</v>
      </c>
      <c r="B5772" s="6" t="s">
        <v>361</v>
      </c>
      <c r="C5772" s="6" t="s">
        <v>7390</v>
      </c>
      <c r="D5772" s="6" t="s">
        <v>4562</v>
      </c>
      <c r="E5772" s="6" t="s">
        <v>7391</v>
      </c>
      <c r="F5772" s="129" t="s">
        <v>8265</v>
      </c>
      <c r="G5772" s="3" t="s">
        <v>11449</v>
      </c>
      <c r="H5772" s="185">
        <v>0</v>
      </c>
      <c r="I5772" s="16">
        <v>470000000</v>
      </c>
      <c r="J5772" s="56" t="s">
        <v>229</v>
      </c>
      <c r="K5772" s="57" t="s">
        <v>641</v>
      </c>
      <c r="L5772" s="57" t="s">
        <v>364</v>
      </c>
      <c r="M5772" s="3" t="s">
        <v>230</v>
      </c>
      <c r="N5772" s="8" t="s">
        <v>8898</v>
      </c>
      <c r="O5772" s="6" t="s">
        <v>365</v>
      </c>
      <c r="P5772" s="58">
        <v>796</v>
      </c>
      <c r="Q5772" s="26" t="s">
        <v>234</v>
      </c>
      <c r="R5772" s="32">
        <v>0</v>
      </c>
      <c r="S5772" s="59">
        <v>9523</v>
      </c>
      <c r="T5772" s="4">
        <f t="shared" ref="T5772:T5821" si="266">R5772*S5772</f>
        <v>0</v>
      </c>
      <c r="U5772" s="4">
        <f t="shared" si="265"/>
        <v>0</v>
      </c>
      <c r="V5772" s="3"/>
      <c r="W5772" s="3">
        <v>2014</v>
      </c>
      <c r="X5772" s="3"/>
    </row>
    <row r="5773" spans="1:24" ht="114.75">
      <c r="A5773" s="3" t="s">
        <v>2367</v>
      </c>
      <c r="B5773" s="6" t="s">
        <v>361</v>
      </c>
      <c r="C5773" s="6" t="s">
        <v>5508</v>
      </c>
      <c r="D5773" s="6" t="s">
        <v>5509</v>
      </c>
      <c r="E5773" s="6" t="s">
        <v>5510</v>
      </c>
      <c r="F5773" s="129" t="s">
        <v>8266</v>
      </c>
      <c r="G5773" s="3" t="s">
        <v>11449</v>
      </c>
      <c r="H5773" s="185">
        <v>0</v>
      </c>
      <c r="I5773" s="16">
        <v>470000000</v>
      </c>
      <c r="J5773" s="56" t="s">
        <v>229</v>
      </c>
      <c r="K5773" s="57" t="s">
        <v>641</v>
      </c>
      <c r="L5773" s="57" t="s">
        <v>364</v>
      </c>
      <c r="M5773" s="3" t="s">
        <v>230</v>
      </c>
      <c r="N5773" s="8" t="s">
        <v>8898</v>
      </c>
      <c r="O5773" s="6" t="s">
        <v>365</v>
      </c>
      <c r="P5773" s="58">
        <v>796</v>
      </c>
      <c r="Q5773" s="26" t="s">
        <v>234</v>
      </c>
      <c r="R5773" s="32">
        <v>5</v>
      </c>
      <c r="S5773" s="59">
        <v>12120</v>
      </c>
      <c r="T5773" s="4">
        <v>0</v>
      </c>
      <c r="U5773" s="4">
        <f t="shared" si="265"/>
        <v>0</v>
      </c>
      <c r="V5773" s="3"/>
      <c r="W5773" s="3">
        <v>2014</v>
      </c>
      <c r="X5773" s="3" t="s">
        <v>11817</v>
      </c>
    </row>
    <row r="5774" spans="1:24" ht="114.75">
      <c r="A5774" s="3" t="s">
        <v>13513</v>
      </c>
      <c r="B5774" s="6" t="s">
        <v>361</v>
      </c>
      <c r="C5774" s="6" t="s">
        <v>5508</v>
      </c>
      <c r="D5774" s="6" t="s">
        <v>5509</v>
      </c>
      <c r="E5774" s="6" t="s">
        <v>5510</v>
      </c>
      <c r="F5774" s="129" t="s">
        <v>8266</v>
      </c>
      <c r="G5774" s="3" t="s">
        <v>11450</v>
      </c>
      <c r="H5774" s="185">
        <v>0</v>
      </c>
      <c r="I5774" s="16">
        <v>470000000</v>
      </c>
      <c r="J5774" s="56" t="s">
        <v>229</v>
      </c>
      <c r="K5774" s="57" t="s">
        <v>642</v>
      </c>
      <c r="L5774" s="12" t="s">
        <v>404</v>
      </c>
      <c r="M5774" s="3" t="s">
        <v>230</v>
      </c>
      <c r="N5774" s="8" t="s">
        <v>8898</v>
      </c>
      <c r="O5774" s="6" t="s">
        <v>365</v>
      </c>
      <c r="P5774" s="58">
        <v>796</v>
      </c>
      <c r="Q5774" s="26" t="s">
        <v>234</v>
      </c>
      <c r="R5774" s="32">
        <v>5</v>
      </c>
      <c r="S5774" s="59">
        <v>12120</v>
      </c>
      <c r="T5774" s="4">
        <f>R5774*S5774</f>
        <v>60600</v>
      </c>
      <c r="U5774" s="4">
        <f>T5774*1.12</f>
        <v>67872</v>
      </c>
      <c r="V5774" s="3"/>
      <c r="W5774" s="3">
        <v>2014</v>
      </c>
      <c r="X5774" s="3"/>
    </row>
    <row r="5775" spans="1:24" ht="114.75">
      <c r="A5775" s="3" t="s">
        <v>2368</v>
      </c>
      <c r="B5775" s="6" t="s">
        <v>361</v>
      </c>
      <c r="C5775" s="6" t="s">
        <v>5508</v>
      </c>
      <c r="D5775" s="6" t="s">
        <v>5509</v>
      </c>
      <c r="E5775" s="6" t="s">
        <v>5510</v>
      </c>
      <c r="F5775" s="129" t="s">
        <v>8267</v>
      </c>
      <c r="G5775" s="3" t="s">
        <v>11449</v>
      </c>
      <c r="H5775" s="185">
        <v>0</v>
      </c>
      <c r="I5775" s="16">
        <v>470000000</v>
      </c>
      <c r="J5775" s="56" t="s">
        <v>229</v>
      </c>
      <c r="K5775" s="57" t="s">
        <v>641</v>
      </c>
      <c r="L5775" s="57" t="s">
        <v>364</v>
      </c>
      <c r="M5775" s="3" t="s">
        <v>230</v>
      </c>
      <c r="N5775" s="8" t="s">
        <v>8898</v>
      </c>
      <c r="O5775" s="6" t="s">
        <v>365</v>
      </c>
      <c r="P5775" s="58">
        <v>796</v>
      </c>
      <c r="Q5775" s="26" t="s">
        <v>234</v>
      </c>
      <c r="R5775" s="32">
        <v>5</v>
      </c>
      <c r="S5775" s="59">
        <v>12240</v>
      </c>
      <c r="T5775" s="4">
        <v>0</v>
      </c>
      <c r="U5775" s="4">
        <f t="shared" si="265"/>
        <v>0</v>
      </c>
      <c r="V5775" s="3"/>
      <c r="W5775" s="3">
        <v>2014</v>
      </c>
      <c r="X5775" s="3" t="s">
        <v>13516</v>
      </c>
    </row>
    <row r="5776" spans="1:24" ht="114.75">
      <c r="A5776" s="3" t="s">
        <v>13515</v>
      </c>
      <c r="B5776" s="6" t="s">
        <v>361</v>
      </c>
      <c r="C5776" s="6" t="s">
        <v>5508</v>
      </c>
      <c r="D5776" s="6" t="s">
        <v>5509</v>
      </c>
      <c r="E5776" s="6" t="s">
        <v>5510</v>
      </c>
      <c r="F5776" s="129" t="s">
        <v>8267</v>
      </c>
      <c r="G5776" s="3" t="s">
        <v>11450</v>
      </c>
      <c r="H5776" s="185">
        <v>0</v>
      </c>
      <c r="I5776" s="16">
        <v>470000000</v>
      </c>
      <c r="J5776" s="56" t="s">
        <v>229</v>
      </c>
      <c r="K5776" s="57" t="s">
        <v>642</v>
      </c>
      <c r="L5776" s="12" t="s">
        <v>404</v>
      </c>
      <c r="M5776" s="3" t="s">
        <v>230</v>
      </c>
      <c r="N5776" s="8" t="s">
        <v>8898</v>
      </c>
      <c r="O5776" s="6" t="s">
        <v>365</v>
      </c>
      <c r="P5776" s="58">
        <v>796</v>
      </c>
      <c r="Q5776" s="26" t="s">
        <v>234</v>
      </c>
      <c r="R5776" s="32">
        <v>5</v>
      </c>
      <c r="S5776" s="59">
        <v>12240</v>
      </c>
      <c r="T5776" s="4">
        <f>R5776*S5776</f>
        <v>61200</v>
      </c>
      <c r="U5776" s="4">
        <f>T5776*1.12</f>
        <v>68544</v>
      </c>
      <c r="V5776" s="3"/>
      <c r="W5776" s="3">
        <v>2014</v>
      </c>
      <c r="X5776" s="3"/>
    </row>
    <row r="5777" spans="1:24" ht="165.75">
      <c r="A5777" s="3" t="s">
        <v>2369</v>
      </c>
      <c r="B5777" s="6" t="s">
        <v>361</v>
      </c>
      <c r="C5777" s="6" t="s">
        <v>6255</v>
      </c>
      <c r="D5777" s="6" t="s">
        <v>455</v>
      </c>
      <c r="E5777" s="6" t="s">
        <v>6256</v>
      </c>
      <c r="F5777" s="129" t="s">
        <v>8268</v>
      </c>
      <c r="G5777" s="3" t="s">
        <v>11449</v>
      </c>
      <c r="H5777" s="185">
        <v>0</v>
      </c>
      <c r="I5777" s="16">
        <v>470000000</v>
      </c>
      <c r="J5777" s="56" t="s">
        <v>229</v>
      </c>
      <c r="K5777" s="57" t="s">
        <v>641</v>
      </c>
      <c r="L5777" s="57" t="s">
        <v>364</v>
      </c>
      <c r="M5777" s="3" t="s">
        <v>230</v>
      </c>
      <c r="N5777" s="8" t="s">
        <v>8898</v>
      </c>
      <c r="O5777" s="6" t="s">
        <v>365</v>
      </c>
      <c r="P5777" s="58">
        <v>796</v>
      </c>
      <c r="Q5777" s="26" t="s">
        <v>234</v>
      </c>
      <c r="R5777" s="32">
        <v>20</v>
      </c>
      <c r="S5777" s="59">
        <v>8100</v>
      </c>
      <c r="T5777" s="4">
        <v>0</v>
      </c>
      <c r="U5777" s="4">
        <f t="shared" si="265"/>
        <v>0</v>
      </c>
      <c r="V5777" s="3"/>
      <c r="W5777" s="3">
        <v>2014</v>
      </c>
      <c r="X5777" s="3" t="s">
        <v>11817</v>
      </c>
    </row>
    <row r="5778" spans="1:24" ht="165.75">
      <c r="A5778" s="3" t="s">
        <v>13514</v>
      </c>
      <c r="B5778" s="6" t="s">
        <v>361</v>
      </c>
      <c r="C5778" s="6" t="s">
        <v>6255</v>
      </c>
      <c r="D5778" s="6" t="s">
        <v>455</v>
      </c>
      <c r="E5778" s="6" t="s">
        <v>6256</v>
      </c>
      <c r="F5778" s="129" t="s">
        <v>8268</v>
      </c>
      <c r="G5778" s="3" t="s">
        <v>11450</v>
      </c>
      <c r="H5778" s="185">
        <v>0</v>
      </c>
      <c r="I5778" s="16">
        <v>470000000</v>
      </c>
      <c r="J5778" s="56" t="s">
        <v>229</v>
      </c>
      <c r="K5778" s="57" t="s">
        <v>642</v>
      </c>
      <c r="L5778" s="12" t="s">
        <v>404</v>
      </c>
      <c r="M5778" s="3" t="s">
        <v>230</v>
      </c>
      <c r="N5778" s="8" t="s">
        <v>8898</v>
      </c>
      <c r="O5778" s="6" t="s">
        <v>365</v>
      </c>
      <c r="P5778" s="58">
        <v>796</v>
      </c>
      <c r="Q5778" s="26" t="s">
        <v>234</v>
      </c>
      <c r="R5778" s="32">
        <v>20</v>
      </c>
      <c r="S5778" s="59">
        <v>8100</v>
      </c>
      <c r="T5778" s="4">
        <f>R5778*S5778</f>
        <v>162000</v>
      </c>
      <c r="U5778" s="4">
        <f>T5778*1.12</f>
        <v>181440.00000000003</v>
      </c>
      <c r="V5778" s="3"/>
      <c r="W5778" s="3">
        <v>2014</v>
      </c>
      <c r="X5778" s="3"/>
    </row>
    <row r="5779" spans="1:24" ht="165.75">
      <c r="A5779" s="3" t="s">
        <v>2370</v>
      </c>
      <c r="B5779" s="6" t="s">
        <v>361</v>
      </c>
      <c r="C5779" s="6" t="s">
        <v>6255</v>
      </c>
      <c r="D5779" s="6" t="s">
        <v>455</v>
      </c>
      <c r="E5779" s="6" t="s">
        <v>6256</v>
      </c>
      <c r="F5779" s="129" t="s">
        <v>8269</v>
      </c>
      <c r="G5779" s="3" t="s">
        <v>11449</v>
      </c>
      <c r="H5779" s="185">
        <v>0</v>
      </c>
      <c r="I5779" s="16">
        <v>470000000</v>
      </c>
      <c r="J5779" s="56" t="s">
        <v>229</v>
      </c>
      <c r="K5779" s="57" t="s">
        <v>641</v>
      </c>
      <c r="L5779" s="57" t="s">
        <v>364</v>
      </c>
      <c r="M5779" s="3" t="s">
        <v>230</v>
      </c>
      <c r="N5779" s="8" t="s">
        <v>8898</v>
      </c>
      <c r="O5779" s="6" t="s">
        <v>365</v>
      </c>
      <c r="P5779" s="58">
        <v>796</v>
      </c>
      <c r="Q5779" s="26" t="s">
        <v>234</v>
      </c>
      <c r="R5779" s="32">
        <v>10</v>
      </c>
      <c r="S5779" s="59">
        <v>2808</v>
      </c>
      <c r="T5779" s="4">
        <v>0</v>
      </c>
      <c r="U5779" s="4">
        <f t="shared" si="265"/>
        <v>0</v>
      </c>
      <c r="V5779" s="3"/>
      <c r="W5779" s="3">
        <v>2014</v>
      </c>
      <c r="X5779" s="3" t="s">
        <v>11817</v>
      </c>
    </row>
    <row r="5780" spans="1:24" ht="165.75">
      <c r="A5780" s="3" t="s">
        <v>13517</v>
      </c>
      <c r="B5780" s="6" t="s">
        <v>361</v>
      </c>
      <c r="C5780" s="6" t="s">
        <v>6255</v>
      </c>
      <c r="D5780" s="6" t="s">
        <v>455</v>
      </c>
      <c r="E5780" s="6" t="s">
        <v>6256</v>
      </c>
      <c r="F5780" s="129" t="s">
        <v>8269</v>
      </c>
      <c r="G5780" s="3" t="s">
        <v>11450</v>
      </c>
      <c r="H5780" s="185">
        <v>0</v>
      </c>
      <c r="I5780" s="16">
        <v>470000000</v>
      </c>
      <c r="J5780" s="56" t="s">
        <v>229</v>
      </c>
      <c r="K5780" s="57" t="s">
        <v>642</v>
      </c>
      <c r="L5780" s="12" t="s">
        <v>404</v>
      </c>
      <c r="M5780" s="3" t="s">
        <v>230</v>
      </c>
      <c r="N5780" s="8" t="s">
        <v>8898</v>
      </c>
      <c r="O5780" s="6" t="s">
        <v>365</v>
      </c>
      <c r="P5780" s="58">
        <v>796</v>
      </c>
      <c r="Q5780" s="26" t="s">
        <v>234</v>
      </c>
      <c r="R5780" s="32">
        <v>10</v>
      </c>
      <c r="S5780" s="59">
        <v>2808</v>
      </c>
      <c r="T5780" s="4">
        <f>R5780*S5780</f>
        <v>28080</v>
      </c>
      <c r="U5780" s="4">
        <f>T5780*1.12</f>
        <v>31449.600000000002</v>
      </c>
      <c r="V5780" s="3"/>
      <c r="W5780" s="3">
        <v>2014</v>
      </c>
      <c r="X5780" s="3"/>
    </row>
    <row r="5781" spans="1:24" ht="165.75">
      <c r="A5781" s="3" t="s">
        <v>2371</v>
      </c>
      <c r="B5781" s="6" t="s">
        <v>361</v>
      </c>
      <c r="C5781" s="6" t="s">
        <v>6255</v>
      </c>
      <c r="D5781" s="6" t="s">
        <v>455</v>
      </c>
      <c r="E5781" s="6" t="s">
        <v>6256</v>
      </c>
      <c r="F5781" s="129" t="s">
        <v>8270</v>
      </c>
      <c r="G5781" s="3" t="s">
        <v>11449</v>
      </c>
      <c r="H5781" s="185">
        <v>0</v>
      </c>
      <c r="I5781" s="16">
        <v>470000000</v>
      </c>
      <c r="J5781" s="56" t="s">
        <v>229</v>
      </c>
      <c r="K5781" s="57" t="s">
        <v>641</v>
      </c>
      <c r="L5781" s="57" t="s">
        <v>364</v>
      </c>
      <c r="M5781" s="3" t="s">
        <v>230</v>
      </c>
      <c r="N5781" s="8" t="s">
        <v>8898</v>
      </c>
      <c r="O5781" s="6" t="s">
        <v>365</v>
      </c>
      <c r="P5781" s="58">
        <v>796</v>
      </c>
      <c r="Q5781" s="26" t="s">
        <v>234</v>
      </c>
      <c r="R5781" s="32">
        <v>20</v>
      </c>
      <c r="S5781" s="59">
        <v>2618</v>
      </c>
      <c r="T5781" s="4">
        <v>0</v>
      </c>
      <c r="U5781" s="4">
        <f t="shared" si="265"/>
        <v>0</v>
      </c>
      <c r="V5781" s="3"/>
      <c r="W5781" s="3">
        <v>2014</v>
      </c>
      <c r="X5781" s="3" t="s">
        <v>11817</v>
      </c>
    </row>
    <row r="5782" spans="1:24" ht="165.75">
      <c r="A5782" s="3" t="s">
        <v>13518</v>
      </c>
      <c r="B5782" s="6" t="s">
        <v>361</v>
      </c>
      <c r="C5782" s="6" t="s">
        <v>6255</v>
      </c>
      <c r="D5782" s="6" t="s">
        <v>455</v>
      </c>
      <c r="E5782" s="6" t="s">
        <v>6256</v>
      </c>
      <c r="F5782" s="129" t="s">
        <v>8270</v>
      </c>
      <c r="G5782" s="3" t="s">
        <v>11450</v>
      </c>
      <c r="H5782" s="185">
        <v>0</v>
      </c>
      <c r="I5782" s="16">
        <v>470000000</v>
      </c>
      <c r="J5782" s="56" t="s">
        <v>229</v>
      </c>
      <c r="K5782" s="57" t="s">
        <v>642</v>
      </c>
      <c r="L5782" s="12" t="s">
        <v>404</v>
      </c>
      <c r="M5782" s="3" t="s">
        <v>230</v>
      </c>
      <c r="N5782" s="8" t="s">
        <v>8898</v>
      </c>
      <c r="O5782" s="6" t="s">
        <v>365</v>
      </c>
      <c r="P5782" s="58">
        <v>796</v>
      </c>
      <c r="Q5782" s="26" t="s">
        <v>234</v>
      </c>
      <c r="R5782" s="32">
        <v>20</v>
      </c>
      <c r="S5782" s="59">
        <v>2618</v>
      </c>
      <c r="T5782" s="4">
        <f>R5782*S5782</f>
        <v>52360</v>
      </c>
      <c r="U5782" s="4">
        <f>T5782*1.12</f>
        <v>58643.200000000004</v>
      </c>
      <c r="V5782" s="3"/>
      <c r="W5782" s="3">
        <v>2014</v>
      </c>
      <c r="X5782" s="3"/>
    </row>
    <row r="5783" spans="1:24" ht="114.75">
      <c r="A5783" s="3" t="s">
        <v>2372</v>
      </c>
      <c r="B5783" s="6" t="s">
        <v>361</v>
      </c>
      <c r="C5783" s="6" t="s">
        <v>7387</v>
      </c>
      <c r="D5783" s="6" t="s">
        <v>7388</v>
      </c>
      <c r="E5783" s="6" t="s">
        <v>7389</v>
      </c>
      <c r="F5783" s="129" t="s">
        <v>8271</v>
      </c>
      <c r="G5783" s="3" t="s">
        <v>11449</v>
      </c>
      <c r="H5783" s="185">
        <v>0</v>
      </c>
      <c r="I5783" s="16">
        <v>470000000</v>
      </c>
      <c r="J5783" s="56" t="s">
        <v>229</v>
      </c>
      <c r="K5783" s="57" t="s">
        <v>641</v>
      </c>
      <c r="L5783" s="57" t="s">
        <v>364</v>
      </c>
      <c r="M5783" s="3" t="s">
        <v>230</v>
      </c>
      <c r="N5783" s="8" t="s">
        <v>8898</v>
      </c>
      <c r="O5783" s="6" t="s">
        <v>365</v>
      </c>
      <c r="P5783" s="58">
        <v>796</v>
      </c>
      <c r="Q5783" s="26" t="s">
        <v>234</v>
      </c>
      <c r="R5783" s="32">
        <v>6</v>
      </c>
      <c r="S5783" s="59">
        <v>15857</v>
      </c>
      <c r="T5783" s="4">
        <v>0</v>
      </c>
      <c r="U5783" s="4">
        <f t="shared" si="265"/>
        <v>0</v>
      </c>
      <c r="V5783" s="3"/>
      <c r="W5783" s="3">
        <v>2014</v>
      </c>
      <c r="X5783" s="3" t="s">
        <v>11817</v>
      </c>
    </row>
    <row r="5784" spans="1:24" ht="114.75">
      <c r="A5784" s="3" t="s">
        <v>13519</v>
      </c>
      <c r="B5784" s="6" t="s">
        <v>361</v>
      </c>
      <c r="C5784" s="6" t="s">
        <v>7387</v>
      </c>
      <c r="D5784" s="6" t="s">
        <v>7388</v>
      </c>
      <c r="E5784" s="6" t="s">
        <v>7389</v>
      </c>
      <c r="F5784" s="129" t="s">
        <v>8271</v>
      </c>
      <c r="G5784" s="3" t="s">
        <v>11450</v>
      </c>
      <c r="H5784" s="185">
        <v>0</v>
      </c>
      <c r="I5784" s="16">
        <v>470000000</v>
      </c>
      <c r="J5784" s="56" t="s">
        <v>229</v>
      </c>
      <c r="K5784" s="57" t="s">
        <v>642</v>
      </c>
      <c r="L5784" s="12" t="s">
        <v>404</v>
      </c>
      <c r="M5784" s="3" t="s">
        <v>230</v>
      </c>
      <c r="N5784" s="8" t="s">
        <v>8898</v>
      </c>
      <c r="O5784" s="6" t="s">
        <v>365</v>
      </c>
      <c r="P5784" s="58">
        <v>796</v>
      </c>
      <c r="Q5784" s="26" t="s">
        <v>234</v>
      </c>
      <c r="R5784" s="32">
        <v>6</v>
      </c>
      <c r="S5784" s="59">
        <v>15857</v>
      </c>
      <c r="T5784" s="4">
        <f>R5784*S5784</f>
        <v>95142</v>
      </c>
      <c r="U5784" s="4">
        <f>T5784*1.12</f>
        <v>106559.04000000001</v>
      </c>
      <c r="V5784" s="3"/>
      <c r="W5784" s="3">
        <v>2014</v>
      </c>
      <c r="X5784" s="3"/>
    </row>
    <row r="5785" spans="1:24" ht="114.75">
      <c r="A5785" s="3" t="s">
        <v>2373</v>
      </c>
      <c r="B5785" s="6" t="s">
        <v>361</v>
      </c>
      <c r="C5785" s="6" t="s">
        <v>6384</v>
      </c>
      <c r="D5785" s="6" t="s">
        <v>3119</v>
      </c>
      <c r="E5785" s="6" t="s">
        <v>6385</v>
      </c>
      <c r="F5785" s="8" t="s">
        <v>6386</v>
      </c>
      <c r="G5785" s="3" t="s">
        <v>11449</v>
      </c>
      <c r="H5785" s="185">
        <v>0</v>
      </c>
      <c r="I5785" s="16">
        <v>470000000</v>
      </c>
      <c r="J5785" s="56" t="s">
        <v>229</v>
      </c>
      <c r="K5785" s="57" t="s">
        <v>641</v>
      </c>
      <c r="L5785" s="57" t="s">
        <v>364</v>
      </c>
      <c r="M5785" s="3" t="s">
        <v>230</v>
      </c>
      <c r="N5785" s="8" t="s">
        <v>9479</v>
      </c>
      <c r="O5785" s="6" t="s">
        <v>365</v>
      </c>
      <c r="P5785" s="58">
        <v>796</v>
      </c>
      <c r="Q5785" s="26" t="s">
        <v>234</v>
      </c>
      <c r="R5785" s="32">
        <v>1</v>
      </c>
      <c r="S5785" s="59">
        <f>1725000*1.07</f>
        <v>1845750</v>
      </c>
      <c r="T5785" s="4">
        <f t="shared" si="266"/>
        <v>1845750</v>
      </c>
      <c r="U5785" s="4">
        <f t="shared" ref="U5785:U5848" si="267">T5785*1.12</f>
        <v>2067240.0000000002</v>
      </c>
      <c r="V5785" s="3"/>
      <c r="W5785" s="3">
        <v>2014</v>
      </c>
      <c r="X5785" s="3"/>
    </row>
    <row r="5786" spans="1:24" ht="114.75">
      <c r="A5786" s="3" t="s">
        <v>2374</v>
      </c>
      <c r="B5786" s="6" t="s">
        <v>361</v>
      </c>
      <c r="C5786" s="6" t="s">
        <v>3121</v>
      </c>
      <c r="D5786" s="6" t="s">
        <v>3122</v>
      </c>
      <c r="E5786" s="6" t="s">
        <v>3115</v>
      </c>
      <c r="F5786" s="8" t="s">
        <v>6387</v>
      </c>
      <c r="G5786" s="3" t="s">
        <v>11449</v>
      </c>
      <c r="H5786" s="185">
        <v>0</v>
      </c>
      <c r="I5786" s="16">
        <v>470000000</v>
      </c>
      <c r="J5786" s="56" t="s">
        <v>229</v>
      </c>
      <c r="K5786" s="57" t="s">
        <v>641</v>
      </c>
      <c r="L5786" s="57" t="s">
        <v>364</v>
      </c>
      <c r="M5786" s="3" t="s">
        <v>230</v>
      </c>
      <c r="N5786" s="8" t="s">
        <v>9479</v>
      </c>
      <c r="O5786" s="6" t="s">
        <v>365</v>
      </c>
      <c r="P5786" s="58">
        <v>839</v>
      </c>
      <c r="Q5786" s="31" t="s">
        <v>239</v>
      </c>
      <c r="R5786" s="32">
        <v>2</v>
      </c>
      <c r="S5786" s="59">
        <f>2530*1.07</f>
        <v>2707.1000000000004</v>
      </c>
      <c r="T5786" s="4">
        <f t="shared" si="266"/>
        <v>5414.2000000000007</v>
      </c>
      <c r="U5786" s="4">
        <f t="shared" si="267"/>
        <v>6063.9040000000014</v>
      </c>
      <c r="V5786" s="3"/>
      <c r="W5786" s="3">
        <v>2014</v>
      </c>
      <c r="X5786" s="3"/>
    </row>
    <row r="5787" spans="1:24" ht="114.75">
      <c r="A5787" s="3" t="s">
        <v>2375</v>
      </c>
      <c r="B5787" s="6" t="s">
        <v>361</v>
      </c>
      <c r="C5787" s="6" t="s">
        <v>6298</v>
      </c>
      <c r="D5787" s="6" t="s">
        <v>3125</v>
      </c>
      <c r="E5787" s="6" t="s">
        <v>3115</v>
      </c>
      <c r="F5787" s="8" t="s">
        <v>6388</v>
      </c>
      <c r="G5787" s="3" t="s">
        <v>11449</v>
      </c>
      <c r="H5787" s="185">
        <v>0</v>
      </c>
      <c r="I5787" s="16">
        <v>470000000</v>
      </c>
      <c r="J5787" s="56" t="s">
        <v>229</v>
      </c>
      <c r="K5787" s="57" t="s">
        <v>641</v>
      </c>
      <c r="L5787" s="57" t="s">
        <v>364</v>
      </c>
      <c r="M5787" s="3" t="s">
        <v>230</v>
      </c>
      <c r="N5787" s="8" t="s">
        <v>9479</v>
      </c>
      <c r="O5787" s="6" t="s">
        <v>365</v>
      </c>
      <c r="P5787" s="58">
        <v>839</v>
      </c>
      <c r="Q5787" s="31" t="s">
        <v>239</v>
      </c>
      <c r="R5787" s="32">
        <v>2</v>
      </c>
      <c r="S5787" s="59">
        <f>1610*1.07</f>
        <v>1722.7</v>
      </c>
      <c r="T5787" s="4">
        <f t="shared" si="266"/>
        <v>3445.4</v>
      </c>
      <c r="U5787" s="4">
        <f t="shared" si="267"/>
        <v>3858.8480000000004</v>
      </c>
      <c r="V5787" s="3"/>
      <c r="W5787" s="3">
        <v>2014</v>
      </c>
      <c r="X5787" s="3"/>
    </row>
    <row r="5788" spans="1:24" ht="114.75">
      <c r="A5788" s="3" t="s">
        <v>2376</v>
      </c>
      <c r="B5788" s="6" t="s">
        <v>361</v>
      </c>
      <c r="C5788" s="6" t="s">
        <v>6298</v>
      </c>
      <c r="D5788" s="6" t="s">
        <v>3125</v>
      </c>
      <c r="E5788" s="6" t="s">
        <v>3115</v>
      </c>
      <c r="F5788" s="8" t="s">
        <v>6389</v>
      </c>
      <c r="G5788" s="3" t="s">
        <v>11449</v>
      </c>
      <c r="H5788" s="185">
        <v>0</v>
      </c>
      <c r="I5788" s="16">
        <v>470000000</v>
      </c>
      <c r="J5788" s="56" t="s">
        <v>229</v>
      </c>
      <c r="K5788" s="57" t="s">
        <v>641</v>
      </c>
      <c r="L5788" s="57" t="s">
        <v>364</v>
      </c>
      <c r="M5788" s="3" t="s">
        <v>230</v>
      </c>
      <c r="N5788" s="8" t="s">
        <v>9479</v>
      </c>
      <c r="O5788" s="6" t="s">
        <v>365</v>
      </c>
      <c r="P5788" s="58">
        <v>839</v>
      </c>
      <c r="Q5788" s="31" t="s">
        <v>239</v>
      </c>
      <c r="R5788" s="32">
        <v>2</v>
      </c>
      <c r="S5788" s="59">
        <f>1610*1.07</f>
        <v>1722.7</v>
      </c>
      <c r="T5788" s="4">
        <f t="shared" si="266"/>
        <v>3445.4</v>
      </c>
      <c r="U5788" s="4">
        <f t="shared" si="267"/>
        <v>3858.8480000000004</v>
      </c>
      <c r="V5788" s="3"/>
      <c r="W5788" s="3">
        <v>2014</v>
      </c>
      <c r="X5788" s="3"/>
    </row>
    <row r="5789" spans="1:24" ht="114.75">
      <c r="A5789" s="3" t="s">
        <v>2377</v>
      </c>
      <c r="B5789" s="6" t="s">
        <v>361</v>
      </c>
      <c r="C5789" s="6" t="s">
        <v>3121</v>
      </c>
      <c r="D5789" s="6" t="s">
        <v>3122</v>
      </c>
      <c r="E5789" s="6" t="s">
        <v>3115</v>
      </c>
      <c r="F5789" s="30" t="s">
        <v>6390</v>
      </c>
      <c r="G5789" s="3" t="s">
        <v>11449</v>
      </c>
      <c r="H5789" s="185">
        <v>0</v>
      </c>
      <c r="I5789" s="16">
        <v>470000000</v>
      </c>
      <c r="J5789" s="56" t="s">
        <v>229</v>
      </c>
      <c r="K5789" s="57" t="s">
        <v>641</v>
      </c>
      <c r="L5789" s="57" t="s">
        <v>364</v>
      </c>
      <c r="M5789" s="3" t="s">
        <v>230</v>
      </c>
      <c r="N5789" s="8" t="s">
        <v>9479</v>
      </c>
      <c r="O5789" s="6" t="s">
        <v>365</v>
      </c>
      <c r="P5789" s="58">
        <v>839</v>
      </c>
      <c r="Q5789" s="31" t="s">
        <v>239</v>
      </c>
      <c r="R5789" s="32">
        <v>2</v>
      </c>
      <c r="S5789" s="59">
        <f>4140*1.07</f>
        <v>4429.8</v>
      </c>
      <c r="T5789" s="4">
        <f t="shared" si="266"/>
        <v>8859.6</v>
      </c>
      <c r="U5789" s="4">
        <f t="shared" si="267"/>
        <v>9922.7520000000022</v>
      </c>
      <c r="V5789" s="3"/>
      <c r="W5789" s="3">
        <v>2014</v>
      </c>
      <c r="X5789" s="3"/>
    </row>
    <row r="5790" spans="1:24" ht="114.75">
      <c r="A5790" s="3" t="s">
        <v>2378</v>
      </c>
      <c r="B5790" s="6" t="s">
        <v>361</v>
      </c>
      <c r="C5790" s="6" t="s">
        <v>6298</v>
      </c>
      <c r="D5790" s="6" t="s">
        <v>3125</v>
      </c>
      <c r="E5790" s="6" t="s">
        <v>3115</v>
      </c>
      <c r="F5790" s="30" t="s">
        <v>6391</v>
      </c>
      <c r="G5790" s="3" t="s">
        <v>11449</v>
      </c>
      <c r="H5790" s="185">
        <v>0</v>
      </c>
      <c r="I5790" s="16">
        <v>470000000</v>
      </c>
      <c r="J5790" s="56" t="s">
        <v>229</v>
      </c>
      <c r="K5790" s="57" t="s">
        <v>641</v>
      </c>
      <c r="L5790" s="57" t="s">
        <v>364</v>
      </c>
      <c r="M5790" s="3" t="s">
        <v>230</v>
      </c>
      <c r="N5790" s="8" t="s">
        <v>9479</v>
      </c>
      <c r="O5790" s="6" t="s">
        <v>365</v>
      </c>
      <c r="P5790" s="58">
        <v>839</v>
      </c>
      <c r="Q5790" s="31" t="s">
        <v>239</v>
      </c>
      <c r="R5790" s="32">
        <v>2</v>
      </c>
      <c r="S5790" s="59">
        <f>5175*1.07</f>
        <v>5537.25</v>
      </c>
      <c r="T5790" s="4">
        <f t="shared" si="266"/>
        <v>11074.5</v>
      </c>
      <c r="U5790" s="4">
        <f t="shared" si="267"/>
        <v>12403.44</v>
      </c>
      <c r="V5790" s="3"/>
      <c r="W5790" s="3">
        <v>2014</v>
      </c>
      <c r="X5790" s="3"/>
    </row>
    <row r="5791" spans="1:24" ht="114.75">
      <c r="A5791" s="3" t="s">
        <v>2379</v>
      </c>
      <c r="B5791" s="6" t="s">
        <v>361</v>
      </c>
      <c r="C5791" s="6" t="s">
        <v>6392</v>
      </c>
      <c r="D5791" s="6" t="s">
        <v>440</v>
      </c>
      <c r="E5791" s="6" t="s">
        <v>6393</v>
      </c>
      <c r="F5791" s="30" t="s">
        <v>11734</v>
      </c>
      <c r="G5791" s="3" t="s">
        <v>11449</v>
      </c>
      <c r="H5791" s="185">
        <v>0</v>
      </c>
      <c r="I5791" s="16">
        <v>470000000</v>
      </c>
      <c r="J5791" s="56" t="s">
        <v>229</v>
      </c>
      <c r="K5791" s="57" t="s">
        <v>641</v>
      </c>
      <c r="L5791" s="57" t="s">
        <v>364</v>
      </c>
      <c r="M5791" s="3" t="s">
        <v>230</v>
      </c>
      <c r="N5791" s="8" t="s">
        <v>9479</v>
      </c>
      <c r="O5791" s="6" t="s">
        <v>365</v>
      </c>
      <c r="P5791" s="58">
        <v>839</v>
      </c>
      <c r="Q5791" s="31" t="s">
        <v>239</v>
      </c>
      <c r="R5791" s="32">
        <v>6</v>
      </c>
      <c r="S5791" s="59">
        <f>10580*1.07</f>
        <v>11320.6</v>
      </c>
      <c r="T5791" s="4">
        <v>0</v>
      </c>
      <c r="U5791" s="4">
        <f t="shared" si="267"/>
        <v>0</v>
      </c>
      <c r="V5791" s="3"/>
      <c r="W5791" s="3">
        <v>2014</v>
      </c>
      <c r="X5791" s="3" t="s">
        <v>16431</v>
      </c>
    </row>
    <row r="5792" spans="1:24" ht="114.75">
      <c r="A5792" s="3" t="s">
        <v>16968</v>
      </c>
      <c r="B5792" s="6" t="s">
        <v>361</v>
      </c>
      <c r="C5792" s="6" t="s">
        <v>6392</v>
      </c>
      <c r="D5792" s="6" t="s">
        <v>440</v>
      </c>
      <c r="E5792" s="6" t="s">
        <v>6393</v>
      </c>
      <c r="F5792" s="30" t="s">
        <v>11734</v>
      </c>
      <c r="G5792" s="3" t="s">
        <v>11450</v>
      </c>
      <c r="H5792" s="185">
        <v>0</v>
      </c>
      <c r="I5792" s="16">
        <v>470000000</v>
      </c>
      <c r="J5792" s="56" t="s">
        <v>229</v>
      </c>
      <c r="K5792" s="57" t="s">
        <v>8950</v>
      </c>
      <c r="L5792" s="57" t="s">
        <v>364</v>
      </c>
      <c r="M5792" s="3" t="s">
        <v>230</v>
      </c>
      <c r="N5792" s="8" t="s">
        <v>9479</v>
      </c>
      <c r="O5792" s="6" t="s">
        <v>365</v>
      </c>
      <c r="P5792" s="58">
        <v>839</v>
      </c>
      <c r="Q5792" s="31" t="s">
        <v>239</v>
      </c>
      <c r="R5792" s="32">
        <v>6</v>
      </c>
      <c r="S5792" s="59">
        <v>13584.72</v>
      </c>
      <c r="T5792" s="4">
        <f t="shared" ref="T5792" si="268">R5792*S5792</f>
        <v>81508.319999999992</v>
      </c>
      <c r="U5792" s="4">
        <f t="shared" si="267"/>
        <v>91289.318400000004</v>
      </c>
      <c r="V5792" s="3"/>
      <c r="W5792" s="3">
        <v>2014</v>
      </c>
      <c r="X5792" s="3"/>
    </row>
    <row r="5793" spans="1:24" ht="114.75">
      <c r="A5793" s="3" t="s">
        <v>2380</v>
      </c>
      <c r="B5793" s="6" t="s">
        <v>361</v>
      </c>
      <c r="C5793" s="6" t="s">
        <v>6394</v>
      </c>
      <c r="D5793" s="6" t="s">
        <v>6395</v>
      </c>
      <c r="E5793" s="6" t="s">
        <v>6396</v>
      </c>
      <c r="F5793" s="8" t="s">
        <v>11735</v>
      </c>
      <c r="G5793" s="3" t="s">
        <v>11449</v>
      </c>
      <c r="H5793" s="185">
        <v>0</v>
      </c>
      <c r="I5793" s="16">
        <v>470000000</v>
      </c>
      <c r="J5793" s="56" t="s">
        <v>229</v>
      </c>
      <c r="K5793" s="57" t="s">
        <v>641</v>
      </c>
      <c r="L5793" s="57" t="s">
        <v>364</v>
      </c>
      <c r="M5793" s="3" t="s">
        <v>230</v>
      </c>
      <c r="N5793" s="8" t="s">
        <v>9479</v>
      </c>
      <c r="O5793" s="6" t="s">
        <v>365</v>
      </c>
      <c r="P5793" s="58">
        <v>839</v>
      </c>
      <c r="Q5793" s="31" t="s">
        <v>239</v>
      </c>
      <c r="R5793" s="32">
        <v>16</v>
      </c>
      <c r="S5793" s="59">
        <f>4255*1.07</f>
        <v>4552.8500000000004</v>
      </c>
      <c r="T5793" s="4">
        <f t="shared" si="266"/>
        <v>72845.600000000006</v>
      </c>
      <c r="U5793" s="4">
        <f t="shared" si="267"/>
        <v>81587.072000000015</v>
      </c>
      <c r="V5793" s="3"/>
      <c r="W5793" s="3">
        <v>2014</v>
      </c>
      <c r="X5793" s="3"/>
    </row>
    <row r="5794" spans="1:24" ht="114.75">
      <c r="A5794" s="3" t="s">
        <v>2381</v>
      </c>
      <c r="B5794" s="6" t="s">
        <v>361</v>
      </c>
      <c r="C5794" s="6" t="s">
        <v>6397</v>
      </c>
      <c r="D5794" s="6" t="s">
        <v>472</v>
      </c>
      <c r="E5794" s="6" t="s">
        <v>3115</v>
      </c>
      <c r="F5794" s="129" t="s">
        <v>6398</v>
      </c>
      <c r="G5794" s="3" t="s">
        <v>11449</v>
      </c>
      <c r="H5794" s="185">
        <v>0</v>
      </c>
      <c r="I5794" s="16">
        <v>470000000</v>
      </c>
      <c r="J5794" s="56" t="s">
        <v>229</v>
      </c>
      <c r="K5794" s="57" t="s">
        <v>641</v>
      </c>
      <c r="L5794" s="57" t="s">
        <v>364</v>
      </c>
      <c r="M5794" s="3" t="s">
        <v>230</v>
      </c>
      <c r="N5794" s="8" t="s">
        <v>9479</v>
      </c>
      <c r="O5794" s="6" t="s">
        <v>365</v>
      </c>
      <c r="P5794" s="58">
        <v>796</v>
      </c>
      <c r="Q5794" s="31" t="s">
        <v>234</v>
      </c>
      <c r="R5794" s="32">
        <v>20</v>
      </c>
      <c r="S5794" s="59">
        <f>345*1.07</f>
        <v>369.15000000000003</v>
      </c>
      <c r="T5794" s="4">
        <v>0</v>
      </c>
      <c r="U5794" s="4">
        <f t="shared" si="267"/>
        <v>0</v>
      </c>
      <c r="V5794" s="3"/>
      <c r="W5794" s="3">
        <v>2014</v>
      </c>
      <c r="X5794" s="3" t="s">
        <v>16431</v>
      </c>
    </row>
    <row r="5795" spans="1:24" ht="114.75">
      <c r="A5795" s="3" t="s">
        <v>16969</v>
      </c>
      <c r="B5795" s="6" t="s">
        <v>361</v>
      </c>
      <c r="C5795" s="6" t="s">
        <v>6397</v>
      </c>
      <c r="D5795" s="6" t="s">
        <v>472</v>
      </c>
      <c r="E5795" s="6" t="s">
        <v>3115</v>
      </c>
      <c r="F5795" s="129" t="s">
        <v>6398</v>
      </c>
      <c r="G5795" s="3" t="s">
        <v>11450</v>
      </c>
      <c r="H5795" s="185">
        <v>0</v>
      </c>
      <c r="I5795" s="16">
        <v>470000000</v>
      </c>
      <c r="J5795" s="56" t="s">
        <v>229</v>
      </c>
      <c r="K5795" s="57" t="s">
        <v>8950</v>
      </c>
      <c r="L5795" s="57" t="s">
        <v>364</v>
      </c>
      <c r="M5795" s="3" t="s">
        <v>230</v>
      </c>
      <c r="N5795" s="8" t="s">
        <v>9479</v>
      </c>
      <c r="O5795" s="6" t="s">
        <v>365</v>
      </c>
      <c r="P5795" s="58">
        <v>796</v>
      </c>
      <c r="Q5795" s="31" t="s">
        <v>234</v>
      </c>
      <c r="R5795" s="32">
        <v>20</v>
      </c>
      <c r="S5795" s="59">
        <v>442.98</v>
      </c>
      <c r="T5795" s="4">
        <f t="shared" ref="T5795" si="269">R5795*S5795</f>
        <v>8859.6</v>
      </c>
      <c r="U5795" s="4">
        <f t="shared" si="267"/>
        <v>9922.7520000000022</v>
      </c>
      <c r="V5795" s="3"/>
      <c r="W5795" s="3">
        <v>2014</v>
      </c>
      <c r="X5795" s="3"/>
    </row>
    <row r="5796" spans="1:24" ht="114.75">
      <c r="A5796" s="3" t="s">
        <v>2382</v>
      </c>
      <c r="B5796" s="6" t="s">
        <v>361</v>
      </c>
      <c r="C5796" s="6" t="s">
        <v>6399</v>
      </c>
      <c r="D5796" s="6" t="s">
        <v>5342</v>
      </c>
      <c r="E5796" s="6" t="s">
        <v>5343</v>
      </c>
      <c r="F5796" s="129" t="s">
        <v>6400</v>
      </c>
      <c r="G5796" s="3" t="s">
        <v>11449</v>
      </c>
      <c r="H5796" s="185">
        <v>0</v>
      </c>
      <c r="I5796" s="16">
        <v>470000000</v>
      </c>
      <c r="J5796" s="56" t="s">
        <v>229</v>
      </c>
      <c r="K5796" s="57" t="s">
        <v>641</v>
      </c>
      <c r="L5796" s="57" t="s">
        <v>364</v>
      </c>
      <c r="M5796" s="3" t="s">
        <v>230</v>
      </c>
      <c r="N5796" s="8" t="s">
        <v>9479</v>
      </c>
      <c r="O5796" s="6" t="s">
        <v>365</v>
      </c>
      <c r="P5796" s="58">
        <v>796</v>
      </c>
      <c r="Q5796" s="31" t="s">
        <v>234</v>
      </c>
      <c r="R5796" s="32">
        <v>5</v>
      </c>
      <c r="S5796" s="59">
        <f>6900*1.07</f>
        <v>7383</v>
      </c>
      <c r="T5796" s="4">
        <v>0</v>
      </c>
      <c r="U5796" s="4">
        <f t="shared" si="267"/>
        <v>0</v>
      </c>
      <c r="V5796" s="3"/>
      <c r="W5796" s="3">
        <v>2014</v>
      </c>
      <c r="X5796" s="3" t="s">
        <v>16431</v>
      </c>
    </row>
    <row r="5797" spans="1:24" ht="114.75">
      <c r="A5797" s="3" t="s">
        <v>16970</v>
      </c>
      <c r="B5797" s="6" t="s">
        <v>361</v>
      </c>
      <c r="C5797" s="6" t="s">
        <v>6399</v>
      </c>
      <c r="D5797" s="6" t="s">
        <v>5342</v>
      </c>
      <c r="E5797" s="6" t="s">
        <v>5343</v>
      </c>
      <c r="F5797" s="129" t="s">
        <v>6400</v>
      </c>
      <c r="G5797" s="3" t="s">
        <v>11450</v>
      </c>
      <c r="H5797" s="185">
        <v>0</v>
      </c>
      <c r="I5797" s="16">
        <v>470000000</v>
      </c>
      <c r="J5797" s="56" t="s">
        <v>229</v>
      </c>
      <c r="K5797" s="57" t="s">
        <v>8950</v>
      </c>
      <c r="L5797" s="57" t="s">
        <v>364</v>
      </c>
      <c r="M5797" s="3" t="s">
        <v>230</v>
      </c>
      <c r="N5797" s="8" t="s">
        <v>9479</v>
      </c>
      <c r="O5797" s="6" t="s">
        <v>365</v>
      </c>
      <c r="P5797" s="58">
        <v>796</v>
      </c>
      <c r="Q5797" s="31" t="s">
        <v>234</v>
      </c>
      <c r="R5797" s="32">
        <v>5</v>
      </c>
      <c r="S5797" s="59">
        <v>8859.6</v>
      </c>
      <c r="T5797" s="4">
        <f t="shared" ref="T5797" si="270">R5797*S5797</f>
        <v>44298</v>
      </c>
      <c r="U5797" s="4">
        <f t="shared" si="267"/>
        <v>49613.760000000002</v>
      </c>
      <c r="V5797" s="3"/>
      <c r="W5797" s="3">
        <v>2014</v>
      </c>
      <c r="X5797" s="3"/>
    </row>
    <row r="5798" spans="1:24" ht="114.75">
      <c r="A5798" s="3" t="s">
        <v>2383</v>
      </c>
      <c r="B5798" s="6" t="s">
        <v>361</v>
      </c>
      <c r="C5798" s="6" t="s">
        <v>5608</v>
      </c>
      <c r="D5798" s="6" t="s">
        <v>5609</v>
      </c>
      <c r="E5798" s="6" t="s">
        <v>3115</v>
      </c>
      <c r="F5798" s="129" t="s">
        <v>6401</v>
      </c>
      <c r="G5798" s="3" t="s">
        <v>11449</v>
      </c>
      <c r="H5798" s="185">
        <v>0</v>
      </c>
      <c r="I5798" s="16">
        <v>470000000</v>
      </c>
      <c r="J5798" s="56" t="s">
        <v>229</v>
      </c>
      <c r="K5798" s="57" t="s">
        <v>641</v>
      </c>
      <c r="L5798" s="57" t="s">
        <v>364</v>
      </c>
      <c r="M5798" s="3" t="s">
        <v>230</v>
      </c>
      <c r="N5798" s="8" t="s">
        <v>9479</v>
      </c>
      <c r="O5798" s="6" t="s">
        <v>365</v>
      </c>
      <c r="P5798" s="58">
        <v>796</v>
      </c>
      <c r="Q5798" s="31" t="s">
        <v>234</v>
      </c>
      <c r="R5798" s="32">
        <v>2</v>
      </c>
      <c r="S5798" s="59">
        <f>139725*1.07</f>
        <v>149505.75</v>
      </c>
      <c r="T5798" s="4">
        <f t="shared" si="266"/>
        <v>299011.5</v>
      </c>
      <c r="U5798" s="4">
        <f t="shared" si="267"/>
        <v>334892.88</v>
      </c>
      <c r="V5798" s="3"/>
      <c r="W5798" s="3">
        <v>2014</v>
      </c>
      <c r="X5798" s="3"/>
    </row>
    <row r="5799" spans="1:24" ht="114.75">
      <c r="A5799" s="3" t="s">
        <v>2384</v>
      </c>
      <c r="B5799" s="6" t="s">
        <v>361</v>
      </c>
      <c r="C5799" s="6" t="s">
        <v>11569</v>
      </c>
      <c r="D5799" s="6" t="s">
        <v>405</v>
      </c>
      <c r="E5799" s="6" t="s">
        <v>11570</v>
      </c>
      <c r="F5799" s="129" t="s">
        <v>8272</v>
      </c>
      <c r="G5799" s="3" t="s">
        <v>11449</v>
      </c>
      <c r="H5799" s="185">
        <v>0</v>
      </c>
      <c r="I5799" s="16">
        <v>470000000</v>
      </c>
      <c r="J5799" s="56" t="s">
        <v>229</v>
      </c>
      <c r="K5799" s="57" t="s">
        <v>641</v>
      </c>
      <c r="L5799" s="57" t="s">
        <v>364</v>
      </c>
      <c r="M5799" s="3" t="s">
        <v>230</v>
      </c>
      <c r="N5799" s="8" t="s">
        <v>9479</v>
      </c>
      <c r="O5799" s="6" t="s">
        <v>365</v>
      </c>
      <c r="P5799" s="58">
        <v>796</v>
      </c>
      <c r="Q5799" s="31" t="s">
        <v>234</v>
      </c>
      <c r="R5799" s="32">
        <v>60</v>
      </c>
      <c r="S5799" s="59">
        <f>4600*1.07</f>
        <v>4922</v>
      </c>
      <c r="T5799" s="4">
        <f t="shared" si="266"/>
        <v>295320</v>
      </c>
      <c r="U5799" s="4">
        <f t="shared" si="267"/>
        <v>330758.40000000002</v>
      </c>
      <c r="V5799" s="3"/>
      <c r="W5799" s="3">
        <v>2014</v>
      </c>
      <c r="X5799" s="3"/>
    </row>
    <row r="5800" spans="1:24" ht="114.75">
      <c r="A5800" s="3" t="s">
        <v>2385</v>
      </c>
      <c r="B5800" s="6" t="s">
        <v>361</v>
      </c>
      <c r="C5800" s="6" t="s">
        <v>11569</v>
      </c>
      <c r="D5800" s="6" t="s">
        <v>405</v>
      </c>
      <c r="E5800" s="6" t="s">
        <v>11570</v>
      </c>
      <c r="F5800" s="129" t="s">
        <v>6402</v>
      </c>
      <c r="G5800" s="3" t="s">
        <v>11449</v>
      </c>
      <c r="H5800" s="185">
        <v>0</v>
      </c>
      <c r="I5800" s="16">
        <v>470000000</v>
      </c>
      <c r="J5800" s="56" t="s">
        <v>229</v>
      </c>
      <c r="K5800" s="57" t="s">
        <v>641</v>
      </c>
      <c r="L5800" s="57" t="s">
        <v>364</v>
      </c>
      <c r="M5800" s="3" t="s">
        <v>230</v>
      </c>
      <c r="N5800" s="8" t="s">
        <v>9479</v>
      </c>
      <c r="O5800" s="6" t="s">
        <v>365</v>
      </c>
      <c r="P5800" s="58">
        <v>796</v>
      </c>
      <c r="Q5800" s="31" t="s">
        <v>234</v>
      </c>
      <c r="R5800" s="32">
        <v>60</v>
      </c>
      <c r="S5800" s="59">
        <f>3105*1.07</f>
        <v>3322.3500000000004</v>
      </c>
      <c r="T5800" s="4">
        <f t="shared" si="266"/>
        <v>199341.00000000003</v>
      </c>
      <c r="U5800" s="4">
        <f t="shared" si="267"/>
        <v>223261.92000000004</v>
      </c>
      <c r="V5800" s="3"/>
      <c r="W5800" s="3">
        <v>2014</v>
      </c>
      <c r="X5800" s="3"/>
    </row>
    <row r="5801" spans="1:24" ht="114.75">
      <c r="A5801" s="3" t="s">
        <v>2386</v>
      </c>
      <c r="B5801" s="6" t="s">
        <v>361</v>
      </c>
      <c r="C5801" s="6" t="s">
        <v>5360</v>
      </c>
      <c r="D5801" s="6" t="s">
        <v>463</v>
      </c>
      <c r="E5801" s="6" t="s">
        <v>3115</v>
      </c>
      <c r="F5801" s="129" t="s">
        <v>6403</v>
      </c>
      <c r="G5801" s="3" t="s">
        <v>11449</v>
      </c>
      <c r="H5801" s="185">
        <v>0</v>
      </c>
      <c r="I5801" s="16">
        <v>470000000</v>
      </c>
      <c r="J5801" s="56" t="s">
        <v>229</v>
      </c>
      <c r="K5801" s="57" t="s">
        <v>641</v>
      </c>
      <c r="L5801" s="57" t="s">
        <v>364</v>
      </c>
      <c r="M5801" s="3" t="s">
        <v>230</v>
      </c>
      <c r="N5801" s="8" t="s">
        <v>9479</v>
      </c>
      <c r="O5801" s="6" t="s">
        <v>365</v>
      </c>
      <c r="P5801" s="58">
        <v>796</v>
      </c>
      <c r="Q5801" s="31" t="s">
        <v>234</v>
      </c>
      <c r="R5801" s="32">
        <v>12</v>
      </c>
      <c r="S5801" s="59">
        <f>7935*1.07</f>
        <v>8490.4500000000007</v>
      </c>
      <c r="T5801" s="4">
        <f t="shared" si="266"/>
        <v>101885.40000000001</v>
      </c>
      <c r="U5801" s="4">
        <f t="shared" si="267"/>
        <v>114111.64800000002</v>
      </c>
      <c r="V5801" s="3"/>
      <c r="W5801" s="3">
        <v>2014</v>
      </c>
      <c r="X5801" s="3"/>
    </row>
    <row r="5802" spans="1:24" ht="114.75">
      <c r="A5802" s="3" t="s">
        <v>2387</v>
      </c>
      <c r="B5802" s="6" t="s">
        <v>361</v>
      </c>
      <c r="C5802" s="6" t="s">
        <v>5360</v>
      </c>
      <c r="D5802" s="6" t="s">
        <v>463</v>
      </c>
      <c r="E5802" s="6" t="s">
        <v>3115</v>
      </c>
      <c r="F5802" s="129" t="s">
        <v>6404</v>
      </c>
      <c r="G5802" s="3" t="s">
        <v>11449</v>
      </c>
      <c r="H5802" s="185">
        <v>0</v>
      </c>
      <c r="I5802" s="16">
        <v>470000000</v>
      </c>
      <c r="J5802" s="56" t="s">
        <v>229</v>
      </c>
      <c r="K5802" s="57" t="s">
        <v>641</v>
      </c>
      <c r="L5802" s="57" t="s">
        <v>364</v>
      </c>
      <c r="M5802" s="3" t="s">
        <v>230</v>
      </c>
      <c r="N5802" s="8" t="s">
        <v>9479</v>
      </c>
      <c r="O5802" s="6" t="s">
        <v>365</v>
      </c>
      <c r="P5802" s="58">
        <v>796</v>
      </c>
      <c r="Q5802" s="31" t="s">
        <v>234</v>
      </c>
      <c r="R5802" s="32">
        <v>6</v>
      </c>
      <c r="S5802" s="59">
        <f>7245*1.07</f>
        <v>7752.1500000000005</v>
      </c>
      <c r="T5802" s="4">
        <f t="shared" si="266"/>
        <v>46512.9</v>
      </c>
      <c r="U5802" s="4">
        <f t="shared" si="267"/>
        <v>52094.448000000004</v>
      </c>
      <c r="V5802" s="3"/>
      <c r="W5802" s="3">
        <v>2014</v>
      </c>
      <c r="X5802" s="3"/>
    </row>
    <row r="5803" spans="1:24" ht="114.75">
      <c r="A5803" s="3" t="s">
        <v>2388</v>
      </c>
      <c r="B5803" s="6" t="s">
        <v>361</v>
      </c>
      <c r="C5803" s="6" t="s">
        <v>6405</v>
      </c>
      <c r="D5803" s="6" t="s">
        <v>406</v>
      </c>
      <c r="E5803" s="6" t="s">
        <v>3115</v>
      </c>
      <c r="F5803" s="129" t="s">
        <v>6406</v>
      </c>
      <c r="G5803" s="3" t="s">
        <v>11449</v>
      </c>
      <c r="H5803" s="185">
        <v>0</v>
      </c>
      <c r="I5803" s="16">
        <v>470000000</v>
      </c>
      <c r="J5803" s="56" t="s">
        <v>229</v>
      </c>
      <c r="K5803" s="57" t="s">
        <v>641</v>
      </c>
      <c r="L5803" s="57" t="s">
        <v>364</v>
      </c>
      <c r="M5803" s="3" t="s">
        <v>230</v>
      </c>
      <c r="N5803" s="8" t="s">
        <v>9479</v>
      </c>
      <c r="O5803" s="6" t="s">
        <v>365</v>
      </c>
      <c r="P5803" s="58">
        <v>796</v>
      </c>
      <c r="Q5803" s="31" t="s">
        <v>234</v>
      </c>
      <c r="R5803" s="32">
        <v>60</v>
      </c>
      <c r="S5803" s="59">
        <f>1150*1.07</f>
        <v>1230.5</v>
      </c>
      <c r="T5803" s="4">
        <f t="shared" si="266"/>
        <v>73830</v>
      </c>
      <c r="U5803" s="4">
        <f t="shared" si="267"/>
        <v>82689.600000000006</v>
      </c>
      <c r="V5803" s="3"/>
      <c r="W5803" s="3">
        <v>2014</v>
      </c>
      <c r="X5803" s="3"/>
    </row>
    <row r="5804" spans="1:24" ht="114.75">
      <c r="A5804" s="3" t="s">
        <v>2389</v>
      </c>
      <c r="B5804" s="6" t="s">
        <v>361</v>
      </c>
      <c r="C5804" s="6" t="s">
        <v>6405</v>
      </c>
      <c r="D5804" s="6" t="s">
        <v>406</v>
      </c>
      <c r="E5804" s="6" t="s">
        <v>3115</v>
      </c>
      <c r="F5804" s="129" t="s">
        <v>6407</v>
      </c>
      <c r="G5804" s="3" t="s">
        <v>11449</v>
      </c>
      <c r="H5804" s="185">
        <v>0</v>
      </c>
      <c r="I5804" s="16">
        <v>470000000</v>
      </c>
      <c r="J5804" s="56" t="s">
        <v>229</v>
      </c>
      <c r="K5804" s="57" t="s">
        <v>641</v>
      </c>
      <c r="L5804" s="57" t="s">
        <v>364</v>
      </c>
      <c r="M5804" s="3" t="s">
        <v>230</v>
      </c>
      <c r="N5804" s="8" t="s">
        <v>9479</v>
      </c>
      <c r="O5804" s="6" t="s">
        <v>365</v>
      </c>
      <c r="P5804" s="58">
        <v>796</v>
      </c>
      <c r="Q5804" s="31" t="s">
        <v>234</v>
      </c>
      <c r="R5804" s="32">
        <v>60</v>
      </c>
      <c r="S5804" s="59">
        <f>1265*1.07</f>
        <v>1353.5500000000002</v>
      </c>
      <c r="T5804" s="4">
        <f t="shared" si="266"/>
        <v>81213.000000000015</v>
      </c>
      <c r="U5804" s="4">
        <f t="shared" si="267"/>
        <v>90958.560000000027</v>
      </c>
      <c r="V5804" s="3"/>
      <c r="W5804" s="3">
        <v>2014</v>
      </c>
      <c r="X5804" s="3"/>
    </row>
    <row r="5805" spans="1:24" ht="114.75">
      <c r="A5805" s="3" t="s">
        <v>2390</v>
      </c>
      <c r="B5805" s="6" t="s">
        <v>361</v>
      </c>
      <c r="C5805" s="6" t="s">
        <v>6349</v>
      </c>
      <c r="D5805" s="6" t="s">
        <v>494</v>
      </c>
      <c r="E5805" s="6" t="s">
        <v>5332</v>
      </c>
      <c r="F5805" s="129" t="s">
        <v>6408</v>
      </c>
      <c r="G5805" s="3" t="s">
        <v>11449</v>
      </c>
      <c r="H5805" s="185">
        <v>0</v>
      </c>
      <c r="I5805" s="16">
        <v>470000000</v>
      </c>
      <c r="J5805" s="56" t="s">
        <v>229</v>
      </c>
      <c r="K5805" s="57" t="s">
        <v>641</v>
      </c>
      <c r="L5805" s="57" t="s">
        <v>364</v>
      </c>
      <c r="M5805" s="3" t="s">
        <v>230</v>
      </c>
      <c r="N5805" s="8" t="s">
        <v>9479</v>
      </c>
      <c r="O5805" s="6" t="s">
        <v>365</v>
      </c>
      <c r="P5805" s="58">
        <v>796</v>
      </c>
      <c r="Q5805" s="31" t="s">
        <v>234</v>
      </c>
      <c r="R5805" s="32">
        <v>100</v>
      </c>
      <c r="S5805" s="59">
        <f>345*1.07</f>
        <v>369.15000000000003</v>
      </c>
      <c r="T5805" s="4">
        <f>R5805*S5805</f>
        <v>36915</v>
      </c>
      <c r="U5805" s="4">
        <f t="shared" si="267"/>
        <v>41344.800000000003</v>
      </c>
      <c r="V5805" s="3"/>
      <c r="W5805" s="3">
        <v>2014</v>
      </c>
      <c r="X5805" s="3"/>
    </row>
    <row r="5806" spans="1:24" ht="114.75">
      <c r="A5806" s="3" t="s">
        <v>10699</v>
      </c>
      <c r="B5806" s="6" t="s">
        <v>361</v>
      </c>
      <c r="C5806" s="6" t="s">
        <v>6284</v>
      </c>
      <c r="D5806" s="6" t="s">
        <v>460</v>
      </c>
      <c r="E5806" s="6" t="s">
        <v>6285</v>
      </c>
      <c r="F5806" s="129" t="s">
        <v>6409</v>
      </c>
      <c r="G5806" s="3" t="s">
        <v>11449</v>
      </c>
      <c r="H5806" s="185">
        <v>0</v>
      </c>
      <c r="I5806" s="16">
        <v>470000000</v>
      </c>
      <c r="J5806" s="56" t="s">
        <v>229</v>
      </c>
      <c r="K5806" s="57" t="s">
        <v>641</v>
      </c>
      <c r="L5806" s="57" t="s">
        <v>364</v>
      </c>
      <c r="M5806" s="3" t="s">
        <v>230</v>
      </c>
      <c r="N5806" s="8" t="s">
        <v>9479</v>
      </c>
      <c r="O5806" s="6" t="s">
        <v>365</v>
      </c>
      <c r="P5806" s="58">
        <v>796</v>
      </c>
      <c r="Q5806" s="31" t="s">
        <v>234</v>
      </c>
      <c r="R5806" s="32">
        <v>100</v>
      </c>
      <c r="S5806" s="59">
        <f>230*1.07</f>
        <v>246.10000000000002</v>
      </c>
      <c r="T5806" s="4">
        <v>0</v>
      </c>
      <c r="U5806" s="4">
        <f t="shared" si="267"/>
        <v>0</v>
      </c>
      <c r="V5806" s="3"/>
      <c r="W5806" s="3">
        <v>2014</v>
      </c>
      <c r="X5806" s="3" t="s">
        <v>16431</v>
      </c>
    </row>
    <row r="5807" spans="1:24" ht="114.75">
      <c r="A5807" s="3" t="s">
        <v>16971</v>
      </c>
      <c r="B5807" s="6" t="s">
        <v>361</v>
      </c>
      <c r="C5807" s="6" t="s">
        <v>6284</v>
      </c>
      <c r="D5807" s="6" t="s">
        <v>460</v>
      </c>
      <c r="E5807" s="6" t="s">
        <v>6285</v>
      </c>
      <c r="F5807" s="129" t="s">
        <v>6409</v>
      </c>
      <c r="G5807" s="3" t="s">
        <v>11450</v>
      </c>
      <c r="H5807" s="185">
        <v>0</v>
      </c>
      <c r="I5807" s="16">
        <v>470000000</v>
      </c>
      <c r="J5807" s="56" t="s">
        <v>229</v>
      </c>
      <c r="K5807" s="57" t="s">
        <v>8950</v>
      </c>
      <c r="L5807" s="57" t="s">
        <v>364</v>
      </c>
      <c r="M5807" s="3" t="s">
        <v>230</v>
      </c>
      <c r="N5807" s="8" t="s">
        <v>9479</v>
      </c>
      <c r="O5807" s="6" t="s">
        <v>365</v>
      </c>
      <c r="P5807" s="58">
        <v>796</v>
      </c>
      <c r="Q5807" s="31" t="s">
        <v>234</v>
      </c>
      <c r="R5807" s="32">
        <v>100</v>
      </c>
      <c r="S5807" s="59">
        <v>295.32</v>
      </c>
      <c r="T5807" s="4">
        <f t="shared" ref="T5807" si="271">R5807*S5807</f>
        <v>29532</v>
      </c>
      <c r="U5807" s="4">
        <f t="shared" si="267"/>
        <v>33075.840000000004</v>
      </c>
      <c r="V5807" s="3"/>
      <c r="W5807" s="3">
        <v>2014</v>
      </c>
      <c r="X5807" s="3"/>
    </row>
    <row r="5808" spans="1:24" ht="114.75">
      <c r="A5808" s="3" t="s">
        <v>2391</v>
      </c>
      <c r="B5808" s="6" t="s">
        <v>361</v>
      </c>
      <c r="C5808" s="6" t="s">
        <v>6284</v>
      </c>
      <c r="D5808" s="6" t="s">
        <v>460</v>
      </c>
      <c r="E5808" s="6" t="s">
        <v>6285</v>
      </c>
      <c r="F5808" s="129" t="s">
        <v>6410</v>
      </c>
      <c r="G5808" s="3" t="s">
        <v>11449</v>
      </c>
      <c r="H5808" s="185">
        <v>0</v>
      </c>
      <c r="I5808" s="16">
        <v>470000000</v>
      </c>
      <c r="J5808" s="56" t="s">
        <v>229</v>
      </c>
      <c r="K5808" s="57" t="s">
        <v>641</v>
      </c>
      <c r="L5808" s="57" t="s">
        <v>364</v>
      </c>
      <c r="M5808" s="3" t="s">
        <v>230</v>
      </c>
      <c r="N5808" s="8" t="s">
        <v>9479</v>
      </c>
      <c r="O5808" s="6" t="s">
        <v>365</v>
      </c>
      <c r="P5808" s="58">
        <v>796</v>
      </c>
      <c r="Q5808" s="31" t="s">
        <v>234</v>
      </c>
      <c r="R5808" s="32">
        <v>100</v>
      </c>
      <c r="S5808" s="59">
        <f>690*1.07</f>
        <v>738.30000000000007</v>
      </c>
      <c r="T5808" s="4">
        <v>0</v>
      </c>
      <c r="U5808" s="4">
        <f t="shared" si="267"/>
        <v>0</v>
      </c>
      <c r="V5808" s="3"/>
      <c r="W5808" s="3">
        <v>2014</v>
      </c>
      <c r="X5808" s="3" t="s">
        <v>16431</v>
      </c>
    </row>
    <row r="5809" spans="1:24" ht="114.75">
      <c r="A5809" s="3" t="s">
        <v>16972</v>
      </c>
      <c r="B5809" s="6" t="s">
        <v>361</v>
      </c>
      <c r="C5809" s="6" t="s">
        <v>6284</v>
      </c>
      <c r="D5809" s="6" t="s">
        <v>460</v>
      </c>
      <c r="E5809" s="6" t="s">
        <v>6285</v>
      </c>
      <c r="F5809" s="129" t="s">
        <v>6410</v>
      </c>
      <c r="G5809" s="3" t="s">
        <v>11450</v>
      </c>
      <c r="H5809" s="185">
        <v>0</v>
      </c>
      <c r="I5809" s="16">
        <v>470000000</v>
      </c>
      <c r="J5809" s="56" t="s">
        <v>229</v>
      </c>
      <c r="K5809" s="57" t="s">
        <v>8950</v>
      </c>
      <c r="L5809" s="57" t="s">
        <v>364</v>
      </c>
      <c r="M5809" s="3" t="s">
        <v>230</v>
      </c>
      <c r="N5809" s="8" t="s">
        <v>9479</v>
      </c>
      <c r="O5809" s="6" t="s">
        <v>365</v>
      </c>
      <c r="P5809" s="58">
        <v>796</v>
      </c>
      <c r="Q5809" s="31" t="s">
        <v>234</v>
      </c>
      <c r="R5809" s="32">
        <v>100</v>
      </c>
      <c r="S5809" s="59">
        <v>885.96</v>
      </c>
      <c r="T5809" s="4">
        <f t="shared" ref="T5809" si="272">R5809*S5809</f>
        <v>88596</v>
      </c>
      <c r="U5809" s="4">
        <f t="shared" si="267"/>
        <v>99227.520000000004</v>
      </c>
      <c r="V5809" s="3"/>
      <c r="W5809" s="3">
        <v>2014</v>
      </c>
      <c r="X5809" s="3"/>
    </row>
    <row r="5810" spans="1:24" ht="114.75">
      <c r="A5810" s="3" t="s">
        <v>2392</v>
      </c>
      <c r="B5810" s="6" t="s">
        <v>361</v>
      </c>
      <c r="C5810" s="6" t="s">
        <v>5958</v>
      </c>
      <c r="D5810" s="6" t="s">
        <v>460</v>
      </c>
      <c r="E5810" s="6" t="s">
        <v>5959</v>
      </c>
      <c r="F5810" s="129" t="s">
        <v>6411</v>
      </c>
      <c r="G5810" s="3" t="s">
        <v>11449</v>
      </c>
      <c r="H5810" s="185">
        <v>0</v>
      </c>
      <c r="I5810" s="16">
        <v>470000000</v>
      </c>
      <c r="J5810" s="56" t="s">
        <v>229</v>
      </c>
      <c r="K5810" s="57" t="s">
        <v>641</v>
      </c>
      <c r="L5810" s="57" t="s">
        <v>364</v>
      </c>
      <c r="M5810" s="3" t="s">
        <v>230</v>
      </c>
      <c r="N5810" s="8" t="s">
        <v>9479</v>
      </c>
      <c r="O5810" s="6" t="s">
        <v>365</v>
      </c>
      <c r="P5810" s="58">
        <v>839</v>
      </c>
      <c r="Q5810" s="31" t="s">
        <v>239</v>
      </c>
      <c r="R5810" s="32">
        <v>40</v>
      </c>
      <c r="S5810" s="59">
        <f>2185*1.07</f>
        <v>2337.9500000000003</v>
      </c>
      <c r="T5810" s="4">
        <f t="shared" si="266"/>
        <v>93518.000000000015</v>
      </c>
      <c r="U5810" s="4">
        <f t="shared" si="267"/>
        <v>104740.16000000003</v>
      </c>
      <c r="V5810" s="3"/>
      <c r="W5810" s="3">
        <v>2014</v>
      </c>
      <c r="X5810" s="3"/>
    </row>
    <row r="5811" spans="1:24" ht="114.75">
      <c r="A5811" s="3" t="s">
        <v>2393</v>
      </c>
      <c r="B5811" s="6" t="s">
        <v>361</v>
      </c>
      <c r="C5811" s="6" t="s">
        <v>6412</v>
      </c>
      <c r="D5811" s="6" t="s">
        <v>5376</v>
      </c>
      <c r="E5811" s="6" t="s">
        <v>3115</v>
      </c>
      <c r="F5811" s="129" t="s">
        <v>6413</v>
      </c>
      <c r="G5811" s="3" t="s">
        <v>11449</v>
      </c>
      <c r="H5811" s="185">
        <v>0</v>
      </c>
      <c r="I5811" s="16">
        <v>470000000</v>
      </c>
      <c r="J5811" s="56" t="s">
        <v>229</v>
      </c>
      <c r="K5811" s="57" t="s">
        <v>641</v>
      </c>
      <c r="L5811" s="57" t="s">
        <v>364</v>
      </c>
      <c r="M5811" s="3" t="s">
        <v>230</v>
      </c>
      <c r="N5811" s="8" t="s">
        <v>9479</v>
      </c>
      <c r="O5811" s="6" t="s">
        <v>365</v>
      </c>
      <c r="P5811" s="58">
        <v>796</v>
      </c>
      <c r="Q5811" s="31" t="s">
        <v>234</v>
      </c>
      <c r="R5811" s="32">
        <v>8</v>
      </c>
      <c r="S5811" s="59">
        <f>9430*1.07</f>
        <v>10090.1</v>
      </c>
      <c r="T5811" s="4">
        <v>0</v>
      </c>
      <c r="U5811" s="4">
        <f t="shared" si="267"/>
        <v>0</v>
      </c>
      <c r="V5811" s="3"/>
      <c r="W5811" s="3">
        <v>2014</v>
      </c>
      <c r="X5811" s="3" t="s">
        <v>16431</v>
      </c>
    </row>
    <row r="5812" spans="1:24" ht="114.75">
      <c r="A5812" s="3" t="s">
        <v>16973</v>
      </c>
      <c r="B5812" s="6" t="s">
        <v>361</v>
      </c>
      <c r="C5812" s="6" t="s">
        <v>6412</v>
      </c>
      <c r="D5812" s="6" t="s">
        <v>5376</v>
      </c>
      <c r="E5812" s="6" t="s">
        <v>3115</v>
      </c>
      <c r="F5812" s="129" t="s">
        <v>6413</v>
      </c>
      <c r="G5812" s="3" t="s">
        <v>11450</v>
      </c>
      <c r="H5812" s="185">
        <v>0</v>
      </c>
      <c r="I5812" s="16">
        <v>470000000</v>
      </c>
      <c r="J5812" s="56" t="s">
        <v>229</v>
      </c>
      <c r="K5812" s="57" t="s">
        <v>8950</v>
      </c>
      <c r="L5812" s="57" t="s">
        <v>364</v>
      </c>
      <c r="M5812" s="3" t="s">
        <v>230</v>
      </c>
      <c r="N5812" s="8" t="s">
        <v>9479</v>
      </c>
      <c r="O5812" s="6" t="s">
        <v>365</v>
      </c>
      <c r="P5812" s="58">
        <v>796</v>
      </c>
      <c r="Q5812" s="31" t="s">
        <v>234</v>
      </c>
      <c r="R5812" s="32">
        <v>8</v>
      </c>
      <c r="S5812" s="59">
        <v>12108.12</v>
      </c>
      <c r="T5812" s="4">
        <f t="shared" ref="T5812" si="273">R5812*S5812</f>
        <v>96864.960000000006</v>
      </c>
      <c r="U5812" s="4">
        <f t="shared" si="267"/>
        <v>108488.75520000001</v>
      </c>
      <c r="V5812" s="3"/>
      <c r="W5812" s="3">
        <v>2014</v>
      </c>
      <c r="X5812" s="3"/>
    </row>
    <row r="5813" spans="1:24" ht="114.75">
      <c r="A5813" s="3" t="s">
        <v>2394</v>
      </c>
      <c r="B5813" s="6" t="s">
        <v>361</v>
      </c>
      <c r="C5813" s="6" t="s">
        <v>6414</v>
      </c>
      <c r="D5813" s="6" t="s">
        <v>407</v>
      </c>
      <c r="E5813" s="6" t="s">
        <v>3115</v>
      </c>
      <c r="F5813" s="129" t="s">
        <v>6415</v>
      </c>
      <c r="G5813" s="3" t="s">
        <v>11449</v>
      </c>
      <c r="H5813" s="185">
        <v>0</v>
      </c>
      <c r="I5813" s="16">
        <v>470000000</v>
      </c>
      <c r="J5813" s="56" t="s">
        <v>229</v>
      </c>
      <c r="K5813" s="57" t="s">
        <v>641</v>
      </c>
      <c r="L5813" s="57" t="s">
        <v>364</v>
      </c>
      <c r="M5813" s="3" t="s">
        <v>230</v>
      </c>
      <c r="N5813" s="8" t="s">
        <v>9479</v>
      </c>
      <c r="O5813" s="6" t="s">
        <v>365</v>
      </c>
      <c r="P5813" s="58">
        <v>796</v>
      </c>
      <c r="Q5813" s="31" t="s">
        <v>234</v>
      </c>
      <c r="R5813" s="32">
        <v>8</v>
      </c>
      <c r="S5813" s="59">
        <f>47150*1.07</f>
        <v>50450.5</v>
      </c>
      <c r="T5813" s="4">
        <f t="shared" si="266"/>
        <v>403604</v>
      </c>
      <c r="U5813" s="4">
        <f t="shared" si="267"/>
        <v>452036.48000000004</v>
      </c>
      <c r="V5813" s="3"/>
      <c r="W5813" s="3">
        <v>2014</v>
      </c>
      <c r="X5813" s="3"/>
    </row>
    <row r="5814" spans="1:24" ht="114.75">
      <c r="A5814" s="3" t="s">
        <v>2395</v>
      </c>
      <c r="B5814" s="6" t="s">
        <v>361</v>
      </c>
      <c r="C5814" s="6" t="s">
        <v>11571</v>
      </c>
      <c r="D5814" s="6" t="s">
        <v>11572</v>
      </c>
      <c r="E5814" s="6" t="s">
        <v>11573</v>
      </c>
      <c r="F5814" s="129" t="s">
        <v>6416</v>
      </c>
      <c r="G5814" s="3" t="s">
        <v>11449</v>
      </c>
      <c r="H5814" s="185">
        <v>0</v>
      </c>
      <c r="I5814" s="16">
        <v>470000000</v>
      </c>
      <c r="J5814" s="56" t="s">
        <v>229</v>
      </c>
      <c r="K5814" s="57" t="s">
        <v>641</v>
      </c>
      <c r="L5814" s="57" t="s">
        <v>364</v>
      </c>
      <c r="M5814" s="3" t="s">
        <v>230</v>
      </c>
      <c r="N5814" s="8" t="s">
        <v>9479</v>
      </c>
      <c r="O5814" s="6" t="s">
        <v>365</v>
      </c>
      <c r="P5814" s="58">
        <v>796</v>
      </c>
      <c r="Q5814" s="31" t="s">
        <v>234</v>
      </c>
      <c r="R5814" s="32">
        <v>2</v>
      </c>
      <c r="S5814" s="59">
        <f>25990*1.07</f>
        <v>27809.300000000003</v>
      </c>
      <c r="T5814" s="4">
        <f t="shared" si="266"/>
        <v>55618.600000000006</v>
      </c>
      <c r="U5814" s="4">
        <f t="shared" si="267"/>
        <v>62292.832000000009</v>
      </c>
      <c r="V5814" s="3"/>
      <c r="W5814" s="3">
        <v>2014</v>
      </c>
      <c r="X5814" s="3"/>
    </row>
    <row r="5815" spans="1:24" ht="114.75">
      <c r="A5815" s="3" t="s">
        <v>2396</v>
      </c>
      <c r="B5815" s="6" t="s">
        <v>361</v>
      </c>
      <c r="C5815" s="6" t="s">
        <v>6296</v>
      </c>
      <c r="D5815" s="6" t="s">
        <v>388</v>
      </c>
      <c r="E5815" s="6" t="s">
        <v>6297</v>
      </c>
      <c r="F5815" s="129" t="s">
        <v>6417</v>
      </c>
      <c r="G5815" s="3" t="s">
        <v>11449</v>
      </c>
      <c r="H5815" s="185">
        <v>0</v>
      </c>
      <c r="I5815" s="16">
        <v>470000000</v>
      </c>
      <c r="J5815" s="56" t="s">
        <v>229</v>
      </c>
      <c r="K5815" s="57" t="s">
        <v>641</v>
      </c>
      <c r="L5815" s="57" t="s">
        <v>364</v>
      </c>
      <c r="M5815" s="3" t="s">
        <v>230</v>
      </c>
      <c r="N5815" s="8" t="s">
        <v>9479</v>
      </c>
      <c r="O5815" s="6" t="s">
        <v>365</v>
      </c>
      <c r="P5815" s="58">
        <v>796</v>
      </c>
      <c r="Q5815" s="31" t="s">
        <v>234</v>
      </c>
      <c r="R5815" s="32">
        <v>2</v>
      </c>
      <c r="S5815" s="59">
        <f>18975*1.07</f>
        <v>20303.25</v>
      </c>
      <c r="T5815" s="4">
        <f t="shared" si="266"/>
        <v>40606.5</v>
      </c>
      <c r="U5815" s="4">
        <f t="shared" si="267"/>
        <v>45479.280000000006</v>
      </c>
      <c r="V5815" s="3"/>
      <c r="W5815" s="3">
        <v>2014</v>
      </c>
      <c r="X5815" s="3"/>
    </row>
    <row r="5816" spans="1:24" ht="114.75">
      <c r="A5816" s="3" t="s">
        <v>2397</v>
      </c>
      <c r="B5816" s="6" t="s">
        <v>361</v>
      </c>
      <c r="C5816" s="6" t="s">
        <v>6296</v>
      </c>
      <c r="D5816" s="6" t="s">
        <v>388</v>
      </c>
      <c r="E5816" s="6" t="s">
        <v>6297</v>
      </c>
      <c r="F5816" s="129" t="s">
        <v>6418</v>
      </c>
      <c r="G5816" s="3" t="s">
        <v>11449</v>
      </c>
      <c r="H5816" s="185">
        <v>0</v>
      </c>
      <c r="I5816" s="16">
        <v>470000000</v>
      </c>
      <c r="J5816" s="56" t="s">
        <v>229</v>
      </c>
      <c r="K5816" s="57" t="s">
        <v>641</v>
      </c>
      <c r="L5816" s="57" t="s">
        <v>364</v>
      </c>
      <c r="M5816" s="3" t="s">
        <v>230</v>
      </c>
      <c r="N5816" s="8" t="s">
        <v>9479</v>
      </c>
      <c r="O5816" s="6" t="s">
        <v>365</v>
      </c>
      <c r="P5816" s="58">
        <v>796</v>
      </c>
      <c r="Q5816" s="31" t="s">
        <v>234</v>
      </c>
      <c r="R5816" s="32">
        <v>2</v>
      </c>
      <c r="S5816" s="59">
        <f>15295*1.07</f>
        <v>16365.650000000001</v>
      </c>
      <c r="T5816" s="4">
        <f t="shared" si="266"/>
        <v>32731.300000000003</v>
      </c>
      <c r="U5816" s="4">
        <f t="shared" si="267"/>
        <v>36659.056000000004</v>
      </c>
      <c r="V5816" s="3"/>
      <c r="W5816" s="3">
        <v>2014</v>
      </c>
      <c r="X5816" s="3"/>
    </row>
    <row r="5817" spans="1:24" ht="114.75">
      <c r="A5817" s="3" t="s">
        <v>2398</v>
      </c>
      <c r="B5817" s="6" t="s">
        <v>361</v>
      </c>
      <c r="C5817" s="6" t="s">
        <v>6263</v>
      </c>
      <c r="D5817" s="6" t="s">
        <v>441</v>
      </c>
      <c r="E5817" s="6" t="s">
        <v>6264</v>
      </c>
      <c r="F5817" s="129" t="s">
        <v>6419</v>
      </c>
      <c r="G5817" s="3" t="s">
        <v>11449</v>
      </c>
      <c r="H5817" s="185">
        <v>0</v>
      </c>
      <c r="I5817" s="16">
        <v>470000000</v>
      </c>
      <c r="J5817" s="56" t="s">
        <v>229</v>
      </c>
      <c r="K5817" s="57" t="s">
        <v>641</v>
      </c>
      <c r="L5817" s="57" t="s">
        <v>364</v>
      </c>
      <c r="M5817" s="3" t="s">
        <v>230</v>
      </c>
      <c r="N5817" s="8" t="s">
        <v>9479</v>
      </c>
      <c r="O5817" s="6" t="s">
        <v>365</v>
      </c>
      <c r="P5817" s="58">
        <v>796</v>
      </c>
      <c r="Q5817" s="31" t="s">
        <v>234</v>
      </c>
      <c r="R5817" s="32">
        <v>2</v>
      </c>
      <c r="S5817" s="59">
        <f>16445*1.07</f>
        <v>17596.150000000001</v>
      </c>
      <c r="T5817" s="4">
        <v>0</v>
      </c>
      <c r="U5817" s="4">
        <f t="shared" si="267"/>
        <v>0</v>
      </c>
      <c r="V5817" s="3"/>
      <c r="W5817" s="3">
        <v>2014</v>
      </c>
      <c r="X5817" s="3" t="s">
        <v>16431</v>
      </c>
    </row>
    <row r="5818" spans="1:24" ht="114.75">
      <c r="A5818" s="3" t="s">
        <v>16974</v>
      </c>
      <c r="B5818" s="6" t="s">
        <v>361</v>
      </c>
      <c r="C5818" s="6" t="s">
        <v>6263</v>
      </c>
      <c r="D5818" s="6" t="s">
        <v>441</v>
      </c>
      <c r="E5818" s="6" t="s">
        <v>6264</v>
      </c>
      <c r="F5818" s="129" t="s">
        <v>6419</v>
      </c>
      <c r="G5818" s="3" t="s">
        <v>11450</v>
      </c>
      <c r="H5818" s="185">
        <v>0</v>
      </c>
      <c r="I5818" s="16">
        <v>470000000</v>
      </c>
      <c r="J5818" s="56" t="s">
        <v>229</v>
      </c>
      <c r="K5818" s="57" t="s">
        <v>8950</v>
      </c>
      <c r="L5818" s="57" t="s">
        <v>364</v>
      </c>
      <c r="M5818" s="3" t="s">
        <v>230</v>
      </c>
      <c r="N5818" s="8" t="s">
        <v>9479</v>
      </c>
      <c r="O5818" s="6" t="s">
        <v>365</v>
      </c>
      <c r="P5818" s="58">
        <v>796</v>
      </c>
      <c r="Q5818" s="31" t="s">
        <v>234</v>
      </c>
      <c r="R5818" s="32">
        <v>2</v>
      </c>
      <c r="S5818" s="59">
        <v>21115.38</v>
      </c>
      <c r="T5818" s="4">
        <f t="shared" ref="T5818" si="274">R5818*S5818</f>
        <v>42230.76</v>
      </c>
      <c r="U5818" s="4">
        <f t="shared" si="267"/>
        <v>47298.451200000003</v>
      </c>
      <c r="V5818" s="3"/>
      <c r="W5818" s="3">
        <v>2014</v>
      </c>
      <c r="X5818" s="3"/>
    </row>
    <row r="5819" spans="1:24" ht="114.75">
      <c r="A5819" s="3" t="s">
        <v>2399</v>
      </c>
      <c r="B5819" s="6" t="s">
        <v>361</v>
      </c>
      <c r="C5819" s="6" t="s">
        <v>6420</v>
      </c>
      <c r="D5819" s="6" t="s">
        <v>5483</v>
      </c>
      <c r="E5819" s="6" t="s">
        <v>6421</v>
      </c>
      <c r="F5819" s="129" t="s">
        <v>6422</v>
      </c>
      <c r="G5819" s="3" t="s">
        <v>11449</v>
      </c>
      <c r="H5819" s="185">
        <v>0</v>
      </c>
      <c r="I5819" s="16">
        <v>470000000</v>
      </c>
      <c r="J5819" s="56" t="s">
        <v>229</v>
      </c>
      <c r="K5819" s="57" t="s">
        <v>641</v>
      </c>
      <c r="L5819" s="57" t="s">
        <v>364</v>
      </c>
      <c r="M5819" s="3" t="s">
        <v>230</v>
      </c>
      <c r="N5819" s="8" t="s">
        <v>9479</v>
      </c>
      <c r="O5819" s="6" t="s">
        <v>365</v>
      </c>
      <c r="P5819" s="58">
        <v>796</v>
      </c>
      <c r="Q5819" s="31" t="s">
        <v>234</v>
      </c>
      <c r="R5819" s="32">
        <v>2</v>
      </c>
      <c r="S5819" s="59">
        <f>17250*1.07</f>
        <v>18457.5</v>
      </c>
      <c r="T5819" s="4">
        <v>0</v>
      </c>
      <c r="U5819" s="4">
        <f t="shared" si="267"/>
        <v>0</v>
      </c>
      <c r="V5819" s="3"/>
      <c r="W5819" s="3">
        <v>2014</v>
      </c>
      <c r="X5819" s="3" t="s">
        <v>16431</v>
      </c>
    </row>
    <row r="5820" spans="1:24" ht="114.75">
      <c r="A5820" s="3" t="s">
        <v>16975</v>
      </c>
      <c r="B5820" s="6" t="s">
        <v>361</v>
      </c>
      <c r="C5820" s="6" t="s">
        <v>6420</v>
      </c>
      <c r="D5820" s="6" t="s">
        <v>5483</v>
      </c>
      <c r="E5820" s="6" t="s">
        <v>6421</v>
      </c>
      <c r="F5820" s="129" t="s">
        <v>6422</v>
      </c>
      <c r="G5820" s="3" t="s">
        <v>11450</v>
      </c>
      <c r="H5820" s="185">
        <v>0</v>
      </c>
      <c r="I5820" s="16">
        <v>470000000</v>
      </c>
      <c r="J5820" s="56" t="s">
        <v>229</v>
      </c>
      <c r="K5820" s="57" t="s">
        <v>8950</v>
      </c>
      <c r="L5820" s="57" t="s">
        <v>364</v>
      </c>
      <c r="M5820" s="3" t="s">
        <v>230</v>
      </c>
      <c r="N5820" s="8" t="s">
        <v>9479</v>
      </c>
      <c r="O5820" s="6" t="s">
        <v>365</v>
      </c>
      <c r="P5820" s="58">
        <v>796</v>
      </c>
      <c r="Q5820" s="31" t="s">
        <v>234</v>
      </c>
      <c r="R5820" s="32">
        <v>2</v>
      </c>
      <c r="S5820" s="59">
        <v>22149</v>
      </c>
      <c r="T5820" s="4">
        <f t="shared" ref="T5820" si="275">R5820*S5820</f>
        <v>44298</v>
      </c>
      <c r="U5820" s="4">
        <f t="shared" si="267"/>
        <v>49613.760000000002</v>
      </c>
      <c r="V5820" s="3"/>
      <c r="W5820" s="3">
        <v>2014</v>
      </c>
      <c r="X5820" s="3"/>
    </row>
    <row r="5821" spans="1:24" ht="114.75">
      <c r="A5821" s="3" t="s">
        <v>2400</v>
      </c>
      <c r="B5821" s="6" t="s">
        <v>361</v>
      </c>
      <c r="C5821" s="6" t="s">
        <v>5799</v>
      </c>
      <c r="D5821" s="6" t="s">
        <v>422</v>
      </c>
      <c r="E5821" s="6" t="s">
        <v>5800</v>
      </c>
      <c r="F5821" s="129" t="s">
        <v>6423</v>
      </c>
      <c r="G5821" s="3" t="s">
        <v>11449</v>
      </c>
      <c r="H5821" s="185">
        <v>0</v>
      </c>
      <c r="I5821" s="16">
        <v>470000000</v>
      </c>
      <c r="J5821" s="56" t="s">
        <v>229</v>
      </c>
      <c r="K5821" s="57" t="s">
        <v>641</v>
      </c>
      <c r="L5821" s="57" t="s">
        <v>364</v>
      </c>
      <c r="M5821" s="3" t="s">
        <v>230</v>
      </c>
      <c r="N5821" s="8" t="s">
        <v>9479</v>
      </c>
      <c r="O5821" s="6" t="s">
        <v>365</v>
      </c>
      <c r="P5821" s="58">
        <v>796</v>
      </c>
      <c r="Q5821" s="31" t="s">
        <v>234</v>
      </c>
      <c r="R5821" s="32">
        <v>6</v>
      </c>
      <c r="S5821" s="59">
        <f>575*1.07</f>
        <v>615.25</v>
      </c>
      <c r="T5821" s="4">
        <f t="shared" si="266"/>
        <v>3691.5</v>
      </c>
      <c r="U5821" s="4">
        <f t="shared" si="267"/>
        <v>4134.4800000000005</v>
      </c>
      <c r="V5821" s="3"/>
      <c r="W5821" s="3">
        <v>2014</v>
      </c>
      <c r="X5821" s="3"/>
    </row>
    <row r="5822" spans="1:24" ht="114.75">
      <c r="A5822" s="3" t="s">
        <v>2401</v>
      </c>
      <c r="B5822" s="6" t="s">
        <v>361</v>
      </c>
      <c r="C5822" s="6" t="s">
        <v>6263</v>
      </c>
      <c r="D5822" s="6" t="s">
        <v>441</v>
      </c>
      <c r="E5822" s="6" t="s">
        <v>6264</v>
      </c>
      <c r="F5822" s="129" t="s">
        <v>6424</v>
      </c>
      <c r="G5822" s="3" t="s">
        <v>11449</v>
      </c>
      <c r="H5822" s="185">
        <v>0</v>
      </c>
      <c r="I5822" s="16">
        <v>470000000</v>
      </c>
      <c r="J5822" s="56" t="s">
        <v>229</v>
      </c>
      <c r="K5822" s="57" t="s">
        <v>641</v>
      </c>
      <c r="L5822" s="57" t="s">
        <v>364</v>
      </c>
      <c r="M5822" s="3" t="s">
        <v>230</v>
      </c>
      <c r="N5822" s="8" t="s">
        <v>9479</v>
      </c>
      <c r="O5822" s="6" t="s">
        <v>365</v>
      </c>
      <c r="P5822" s="58">
        <v>796</v>
      </c>
      <c r="Q5822" s="31" t="s">
        <v>234</v>
      </c>
      <c r="R5822" s="34">
        <v>2</v>
      </c>
      <c r="S5822" s="59">
        <f>17020*1.07</f>
        <v>18211.400000000001</v>
      </c>
      <c r="T5822" s="4">
        <v>0</v>
      </c>
      <c r="U5822" s="4">
        <f t="shared" si="267"/>
        <v>0</v>
      </c>
      <c r="V5822" s="3"/>
      <c r="W5822" s="3">
        <v>2014</v>
      </c>
      <c r="X5822" s="3" t="s">
        <v>16431</v>
      </c>
    </row>
    <row r="5823" spans="1:24" ht="114.75">
      <c r="A5823" s="3" t="s">
        <v>16976</v>
      </c>
      <c r="B5823" s="6" t="s">
        <v>361</v>
      </c>
      <c r="C5823" s="6" t="s">
        <v>6263</v>
      </c>
      <c r="D5823" s="6" t="s">
        <v>441</v>
      </c>
      <c r="E5823" s="6" t="s">
        <v>6264</v>
      </c>
      <c r="F5823" s="129" t="s">
        <v>6424</v>
      </c>
      <c r="G5823" s="3" t="s">
        <v>11450</v>
      </c>
      <c r="H5823" s="185">
        <v>0</v>
      </c>
      <c r="I5823" s="16">
        <v>470000000</v>
      </c>
      <c r="J5823" s="56" t="s">
        <v>229</v>
      </c>
      <c r="K5823" s="57" t="s">
        <v>8950</v>
      </c>
      <c r="L5823" s="57" t="s">
        <v>364</v>
      </c>
      <c r="M5823" s="3" t="s">
        <v>230</v>
      </c>
      <c r="N5823" s="8" t="s">
        <v>9479</v>
      </c>
      <c r="O5823" s="6" t="s">
        <v>365</v>
      </c>
      <c r="P5823" s="58">
        <v>796</v>
      </c>
      <c r="Q5823" s="31" t="s">
        <v>234</v>
      </c>
      <c r="R5823" s="34">
        <v>2</v>
      </c>
      <c r="S5823" s="59">
        <v>21853.68</v>
      </c>
      <c r="T5823" s="4">
        <f t="shared" ref="T5823:T5886" si="276">R5823*S5823</f>
        <v>43707.360000000001</v>
      </c>
      <c r="U5823" s="4">
        <f t="shared" si="267"/>
        <v>48952.243200000004</v>
      </c>
      <c r="V5823" s="3"/>
      <c r="W5823" s="3">
        <v>2014</v>
      </c>
      <c r="X5823" s="3"/>
    </row>
    <row r="5824" spans="1:24" ht="127.5">
      <c r="A5824" s="3" t="s">
        <v>2402</v>
      </c>
      <c r="B5824" s="6" t="s">
        <v>361</v>
      </c>
      <c r="C5824" s="6" t="s">
        <v>6425</v>
      </c>
      <c r="D5824" s="6" t="s">
        <v>3119</v>
      </c>
      <c r="E5824" s="6" t="s">
        <v>6426</v>
      </c>
      <c r="F5824" s="224" t="s">
        <v>6427</v>
      </c>
      <c r="G5824" s="3" t="s">
        <v>11449</v>
      </c>
      <c r="H5824" s="185">
        <v>0</v>
      </c>
      <c r="I5824" s="16">
        <v>470000000</v>
      </c>
      <c r="J5824" s="56" t="s">
        <v>229</v>
      </c>
      <c r="K5824" s="57" t="s">
        <v>641</v>
      </c>
      <c r="L5824" s="57" t="s">
        <v>364</v>
      </c>
      <c r="M5824" s="3" t="s">
        <v>230</v>
      </c>
      <c r="N5824" s="8" t="s">
        <v>9479</v>
      </c>
      <c r="O5824" s="6" t="s">
        <v>365</v>
      </c>
      <c r="P5824" s="58">
        <v>796</v>
      </c>
      <c r="Q5824" s="31" t="s">
        <v>234</v>
      </c>
      <c r="R5824" s="32">
        <v>1</v>
      </c>
      <c r="S5824" s="59">
        <f>1380000*1.07</f>
        <v>1476600</v>
      </c>
      <c r="T5824" s="4">
        <f t="shared" si="276"/>
        <v>1476600</v>
      </c>
      <c r="U5824" s="4">
        <f t="shared" si="267"/>
        <v>1653792.0000000002</v>
      </c>
      <c r="V5824" s="3"/>
      <c r="W5824" s="3">
        <v>2014</v>
      </c>
      <c r="X5824" s="3"/>
    </row>
    <row r="5825" spans="1:24" ht="114.75">
      <c r="A5825" s="3" t="s">
        <v>2403</v>
      </c>
      <c r="B5825" s="6" t="s">
        <v>361</v>
      </c>
      <c r="C5825" s="6" t="s">
        <v>3116</v>
      </c>
      <c r="D5825" s="6" t="s">
        <v>3117</v>
      </c>
      <c r="E5825" s="6" t="s">
        <v>3115</v>
      </c>
      <c r="F5825" s="129" t="s">
        <v>6428</v>
      </c>
      <c r="G5825" s="3" t="s">
        <v>11449</v>
      </c>
      <c r="H5825" s="185">
        <v>0</v>
      </c>
      <c r="I5825" s="16">
        <v>470000000</v>
      </c>
      <c r="J5825" s="56" t="s">
        <v>229</v>
      </c>
      <c r="K5825" s="57" t="s">
        <v>641</v>
      </c>
      <c r="L5825" s="57" t="s">
        <v>364</v>
      </c>
      <c r="M5825" s="3" t="s">
        <v>230</v>
      </c>
      <c r="N5825" s="8" t="s">
        <v>9479</v>
      </c>
      <c r="O5825" s="6" t="s">
        <v>365</v>
      </c>
      <c r="P5825" s="58">
        <v>796</v>
      </c>
      <c r="Q5825" s="31" t="s">
        <v>234</v>
      </c>
      <c r="R5825" s="32">
        <v>1</v>
      </c>
      <c r="S5825" s="59">
        <f>231495*1.07</f>
        <v>247699.65000000002</v>
      </c>
      <c r="T5825" s="4">
        <f t="shared" si="276"/>
        <v>247699.65000000002</v>
      </c>
      <c r="U5825" s="4">
        <f t="shared" si="267"/>
        <v>277423.60800000007</v>
      </c>
      <c r="V5825" s="3"/>
      <c r="W5825" s="3">
        <v>2014</v>
      </c>
      <c r="X5825" s="3"/>
    </row>
    <row r="5826" spans="1:24" ht="114.75">
      <c r="A5826" s="3" t="s">
        <v>2404</v>
      </c>
      <c r="B5826" s="6" t="s">
        <v>361</v>
      </c>
      <c r="C5826" s="6" t="s">
        <v>6429</v>
      </c>
      <c r="D5826" s="6" t="s">
        <v>471</v>
      </c>
      <c r="E5826" s="6" t="s">
        <v>3115</v>
      </c>
      <c r="F5826" s="129" t="s">
        <v>6430</v>
      </c>
      <c r="G5826" s="3" t="s">
        <v>11449</v>
      </c>
      <c r="H5826" s="185">
        <v>0</v>
      </c>
      <c r="I5826" s="16">
        <v>470000000</v>
      </c>
      <c r="J5826" s="56" t="s">
        <v>229</v>
      </c>
      <c r="K5826" s="57" t="s">
        <v>641</v>
      </c>
      <c r="L5826" s="57" t="s">
        <v>364</v>
      </c>
      <c r="M5826" s="3" t="s">
        <v>230</v>
      </c>
      <c r="N5826" s="8" t="s">
        <v>9479</v>
      </c>
      <c r="O5826" s="6" t="s">
        <v>365</v>
      </c>
      <c r="P5826" s="58">
        <v>796</v>
      </c>
      <c r="Q5826" s="31" t="s">
        <v>234</v>
      </c>
      <c r="R5826" s="32">
        <v>1</v>
      </c>
      <c r="S5826" s="59">
        <f>10120*1.07</f>
        <v>10828.400000000001</v>
      </c>
      <c r="T5826" s="4">
        <f t="shared" si="276"/>
        <v>10828.400000000001</v>
      </c>
      <c r="U5826" s="4">
        <f t="shared" si="267"/>
        <v>12127.808000000003</v>
      </c>
      <c r="V5826" s="3"/>
      <c r="W5826" s="3">
        <v>2014</v>
      </c>
      <c r="X5826" s="3"/>
    </row>
    <row r="5827" spans="1:24" ht="114.75">
      <c r="A5827" s="3" t="s">
        <v>2405</v>
      </c>
      <c r="B5827" s="6" t="s">
        <v>361</v>
      </c>
      <c r="C5827" s="6" t="s">
        <v>5604</v>
      </c>
      <c r="D5827" s="6" t="s">
        <v>512</v>
      </c>
      <c r="E5827" s="6" t="s">
        <v>3115</v>
      </c>
      <c r="F5827" s="129" t="s">
        <v>6431</v>
      </c>
      <c r="G5827" s="3" t="s">
        <v>11449</v>
      </c>
      <c r="H5827" s="185">
        <v>0</v>
      </c>
      <c r="I5827" s="16">
        <v>470000000</v>
      </c>
      <c r="J5827" s="56" t="s">
        <v>229</v>
      </c>
      <c r="K5827" s="57" t="s">
        <v>641</v>
      </c>
      <c r="L5827" s="57" t="s">
        <v>364</v>
      </c>
      <c r="M5827" s="3" t="s">
        <v>230</v>
      </c>
      <c r="N5827" s="8" t="s">
        <v>9479</v>
      </c>
      <c r="O5827" s="6" t="s">
        <v>365</v>
      </c>
      <c r="P5827" s="58">
        <v>796</v>
      </c>
      <c r="Q5827" s="31" t="s">
        <v>234</v>
      </c>
      <c r="R5827" s="32">
        <v>12</v>
      </c>
      <c r="S5827" s="59">
        <f>13800*1.07</f>
        <v>14766</v>
      </c>
      <c r="T5827" s="4">
        <f t="shared" si="276"/>
        <v>177192</v>
      </c>
      <c r="U5827" s="4">
        <f t="shared" si="267"/>
        <v>198455.04000000001</v>
      </c>
      <c r="V5827" s="3"/>
      <c r="W5827" s="3">
        <v>2014</v>
      </c>
      <c r="X5827" s="3"/>
    </row>
    <row r="5828" spans="1:24" ht="114.75">
      <c r="A5828" s="3" t="s">
        <v>2406</v>
      </c>
      <c r="B5828" s="6" t="s">
        <v>361</v>
      </c>
      <c r="C5828" s="6" t="s">
        <v>11571</v>
      </c>
      <c r="D5828" s="6" t="s">
        <v>11572</v>
      </c>
      <c r="E5828" s="6" t="s">
        <v>11573</v>
      </c>
      <c r="F5828" s="129" t="s">
        <v>6432</v>
      </c>
      <c r="G5828" s="3" t="s">
        <v>11449</v>
      </c>
      <c r="H5828" s="185">
        <v>0</v>
      </c>
      <c r="I5828" s="16">
        <v>470000000</v>
      </c>
      <c r="J5828" s="56" t="s">
        <v>229</v>
      </c>
      <c r="K5828" s="57" t="s">
        <v>641</v>
      </c>
      <c r="L5828" s="57" t="s">
        <v>364</v>
      </c>
      <c r="M5828" s="3" t="s">
        <v>230</v>
      </c>
      <c r="N5828" s="8" t="s">
        <v>9479</v>
      </c>
      <c r="O5828" s="6" t="s">
        <v>365</v>
      </c>
      <c r="P5828" s="58">
        <v>796</v>
      </c>
      <c r="Q5828" s="31" t="s">
        <v>234</v>
      </c>
      <c r="R5828" s="31">
        <v>3</v>
      </c>
      <c r="S5828" s="59">
        <f>24840*1.07</f>
        <v>26578.800000000003</v>
      </c>
      <c r="T5828" s="4">
        <f t="shared" si="276"/>
        <v>79736.400000000009</v>
      </c>
      <c r="U5828" s="4">
        <f t="shared" si="267"/>
        <v>89304.768000000025</v>
      </c>
      <c r="V5828" s="3"/>
      <c r="W5828" s="3">
        <v>2014</v>
      </c>
      <c r="X5828" s="3"/>
    </row>
    <row r="5829" spans="1:24" ht="114.75">
      <c r="A5829" s="3" t="s">
        <v>2407</v>
      </c>
      <c r="B5829" s="6" t="s">
        <v>361</v>
      </c>
      <c r="C5829" s="6" t="s">
        <v>6397</v>
      </c>
      <c r="D5829" s="6" t="s">
        <v>472</v>
      </c>
      <c r="E5829" s="6" t="s">
        <v>3115</v>
      </c>
      <c r="F5829" s="129" t="s">
        <v>6433</v>
      </c>
      <c r="G5829" s="3" t="s">
        <v>11449</v>
      </c>
      <c r="H5829" s="185">
        <v>0</v>
      </c>
      <c r="I5829" s="16">
        <v>470000000</v>
      </c>
      <c r="J5829" s="56" t="s">
        <v>229</v>
      </c>
      <c r="K5829" s="57" t="s">
        <v>641</v>
      </c>
      <c r="L5829" s="57" t="s">
        <v>364</v>
      </c>
      <c r="M5829" s="3" t="s">
        <v>230</v>
      </c>
      <c r="N5829" s="8" t="s">
        <v>9479</v>
      </c>
      <c r="O5829" s="6" t="s">
        <v>365</v>
      </c>
      <c r="P5829" s="58">
        <v>796</v>
      </c>
      <c r="Q5829" s="31" t="s">
        <v>234</v>
      </c>
      <c r="R5829" s="31">
        <v>12</v>
      </c>
      <c r="S5829" s="59">
        <f>1035*1.07</f>
        <v>1107.45</v>
      </c>
      <c r="T5829" s="4">
        <v>0</v>
      </c>
      <c r="U5829" s="4">
        <f t="shared" si="267"/>
        <v>0</v>
      </c>
      <c r="V5829" s="3"/>
      <c r="W5829" s="3">
        <v>2014</v>
      </c>
      <c r="X5829" s="3" t="s">
        <v>16431</v>
      </c>
    </row>
    <row r="5830" spans="1:24" ht="114.75">
      <c r="A5830" s="3" t="s">
        <v>16977</v>
      </c>
      <c r="B5830" s="6" t="s">
        <v>361</v>
      </c>
      <c r="C5830" s="6" t="s">
        <v>6397</v>
      </c>
      <c r="D5830" s="6" t="s">
        <v>472</v>
      </c>
      <c r="E5830" s="6" t="s">
        <v>3115</v>
      </c>
      <c r="F5830" s="129" t="s">
        <v>6433</v>
      </c>
      <c r="G5830" s="3" t="s">
        <v>11450</v>
      </c>
      <c r="H5830" s="185">
        <v>0</v>
      </c>
      <c r="I5830" s="16">
        <v>470000000</v>
      </c>
      <c r="J5830" s="56" t="s">
        <v>229</v>
      </c>
      <c r="K5830" s="57" t="s">
        <v>8950</v>
      </c>
      <c r="L5830" s="57" t="s">
        <v>364</v>
      </c>
      <c r="M5830" s="3" t="s">
        <v>230</v>
      </c>
      <c r="N5830" s="8" t="s">
        <v>9479</v>
      </c>
      <c r="O5830" s="6" t="s">
        <v>365</v>
      </c>
      <c r="P5830" s="58">
        <v>796</v>
      </c>
      <c r="Q5830" s="31" t="s">
        <v>234</v>
      </c>
      <c r="R5830" s="31">
        <v>12</v>
      </c>
      <c r="S5830" s="59">
        <v>1328.94</v>
      </c>
      <c r="T5830" s="4">
        <f t="shared" ref="T5830" si="277">R5830*S5830</f>
        <v>15947.28</v>
      </c>
      <c r="U5830" s="4">
        <f t="shared" si="267"/>
        <v>17860.953600000001</v>
      </c>
      <c r="V5830" s="3"/>
      <c r="W5830" s="3">
        <v>2014</v>
      </c>
      <c r="X5830" s="3"/>
    </row>
    <row r="5831" spans="1:24" ht="114.75">
      <c r="A5831" s="3" t="s">
        <v>2408</v>
      </c>
      <c r="B5831" s="6" t="s">
        <v>361</v>
      </c>
      <c r="C5831" s="6" t="s">
        <v>5958</v>
      </c>
      <c r="D5831" s="6" t="s">
        <v>460</v>
      </c>
      <c r="E5831" s="6" t="s">
        <v>5959</v>
      </c>
      <c r="F5831" s="129" t="s">
        <v>6434</v>
      </c>
      <c r="G5831" s="3" t="s">
        <v>11449</v>
      </c>
      <c r="H5831" s="185">
        <v>0</v>
      </c>
      <c r="I5831" s="16">
        <v>470000000</v>
      </c>
      <c r="J5831" s="56" t="s">
        <v>229</v>
      </c>
      <c r="K5831" s="57" t="s">
        <v>641</v>
      </c>
      <c r="L5831" s="57" t="s">
        <v>364</v>
      </c>
      <c r="M5831" s="3" t="s">
        <v>230</v>
      </c>
      <c r="N5831" s="8" t="s">
        <v>9479</v>
      </c>
      <c r="O5831" s="6" t="s">
        <v>365</v>
      </c>
      <c r="P5831" s="58">
        <v>839</v>
      </c>
      <c r="Q5831" s="31" t="s">
        <v>239</v>
      </c>
      <c r="R5831" s="31">
        <v>60</v>
      </c>
      <c r="S5831" s="59">
        <f>1725*1.07</f>
        <v>1845.75</v>
      </c>
      <c r="T5831" s="4">
        <v>0</v>
      </c>
      <c r="U5831" s="4">
        <f t="shared" si="267"/>
        <v>0</v>
      </c>
      <c r="V5831" s="3"/>
      <c r="W5831" s="3">
        <v>2014</v>
      </c>
      <c r="X5831" s="3" t="s">
        <v>16431</v>
      </c>
    </row>
    <row r="5832" spans="1:24" ht="114.75">
      <c r="A5832" s="3" t="s">
        <v>16978</v>
      </c>
      <c r="B5832" s="6" t="s">
        <v>361</v>
      </c>
      <c r="C5832" s="6" t="s">
        <v>5958</v>
      </c>
      <c r="D5832" s="6" t="s">
        <v>460</v>
      </c>
      <c r="E5832" s="6" t="s">
        <v>5959</v>
      </c>
      <c r="F5832" s="129" t="s">
        <v>6434</v>
      </c>
      <c r="G5832" s="3" t="s">
        <v>11450</v>
      </c>
      <c r="H5832" s="185">
        <v>0</v>
      </c>
      <c r="I5832" s="16">
        <v>470000000</v>
      </c>
      <c r="J5832" s="56" t="s">
        <v>229</v>
      </c>
      <c r="K5832" s="57" t="s">
        <v>8950</v>
      </c>
      <c r="L5832" s="57" t="s">
        <v>364</v>
      </c>
      <c r="M5832" s="3" t="s">
        <v>230</v>
      </c>
      <c r="N5832" s="8" t="s">
        <v>9479</v>
      </c>
      <c r="O5832" s="6" t="s">
        <v>365</v>
      </c>
      <c r="P5832" s="58">
        <v>839</v>
      </c>
      <c r="Q5832" s="31" t="s">
        <v>239</v>
      </c>
      <c r="R5832" s="31">
        <v>60</v>
      </c>
      <c r="S5832" s="59">
        <v>2214.9</v>
      </c>
      <c r="T5832" s="4">
        <f t="shared" ref="T5832" si="278">R5832*S5832</f>
        <v>132894</v>
      </c>
      <c r="U5832" s="4">
        <f t="shared" si="267"/>
        <v>148841.28000000003</v>
      </c>
      <c r="V5832" s="3"/>
      <c r="W5832" s="3">
        <v>2014</v>
      </c>
      <c r="X5832" s="3"/>
    </row>
    <row r="5833" spans="1:24" ht="114.75">
      <c r="A5833" s="3" t="s">
        <v>2409</v>
      </c>
      <c r="B5833" s="6" t="s">
        <v>361</v>
      </c>
      <c r="C5833" s="6" t="s">
        <v>6263</v>
      </c>
      <c r="D5833" s="6" t="s">
        <v>441</v>
      </c>
      <c r="E5833" s="6" t="s">
        <v>6264</v>
      </c>
      <c r="F5833" s="129" t="s">
        <v>6435</v>
      </c>
      <c r="G5833" s="3" t="s">
        <v>11449</v>
      </c>
      <c r="H5833" s="185">
        <v>0</v>
      </c>
      <c r="I5833" s="16">
        <v>470000000</v>
      </c>
      <c r="J5833" s="56" t="s">
        <v>229</v>
      </c>
      <c r="K5833" s="57" t="s">
        <v>641</v>
      </c>
      <c r="L5833" s="57" t="s">
        <v>364</v>
      </c>
      <c r="M5833" s="3" t="s">
        <v>230</v>
      </c>
      <c r="N5833" s="8" t="s">
        <v>9479</v>
      </c>
      <c r="O5833" s="6" t="s">
        <v>365</v>
      </c>
      <c r="P5833" s="58">
        <v>796</v>
      </c>
      <c r="Q5833" s="31" t="s">
        <v>234</v>
      </c>
      <c r="R5833" s="31">
        <v>2</v>
      </c>
      <c r="S5833" s="59">
        <f>21390*1.07</f>
        <v>22887.300000000003</v>
      </c>
      <c r="T5833" s="4">
        <f t="shared" si="276"/>
        <v>45774.600000000006</v>
      </c>
      <c r="U5833" s="4">
        <f t="shared" si="267"/>
        <v>51267.552000000011</v>
      </c>
      <c r="V5833" s="3"/>
      <c r="W5833" s="3">
        <v>2014</v>
      </c>
      <c r="X5833" s="3"/>
    </row>
    <row r="5834" spans="1:24" ht="114.75">
      <c r="A5834" s="3" t="s">
        <v>2410</v>
      </c>
      <c r="B5834" s="6" t="s">
        <v>361</v>
      </c>
      <c r="C5834" s="6" t="s">
        <v>5608</v>
      </c>
      <c r="D5834" s="6" t="s">
        <v>5609</v>
      </c>
      <c r="E5834" s="6" t="s">
        <v>3115</v>
      </c>
      <c r="F5834" s="129" t="s">
        <v>11797</v>
      </c>
      <c r="G5834" s="3" t="s">
        <v>11449</v>
      </c>
      <c r="H5834" s="185">
        <v>0</v>
      </c>
      <c r="I5834" s="16">
        <v>470000000</v>
      </c>
      <c r="J5834" s="56" t="s">
        <v>229</v>
      </c>
      <c r="K5834" s="57" t="s">
        <v>641</v>
      </c>
      <c r="L5834" s="57" t="s">
        <v>364</v>
      </c>
      <c r="M5834" s="3" t="s">
        <v>230</v>
      </c>
      <c r="N5834" s="8" t="s">
        <v>9479</v>
      </c>
      <c r="O5834" s="6" t="s">
        <v>365</v>
      </c>
      <c r="P5834" s="58">
        <v>796</v>
      </c>
      <c r="Q5834" s="31" t="s">
        <v>234</v>
      </c>
      <c r="R5834" s="31">
        <v>2</v>
      </c>
      <c r="S5834" s="59">
        <v>89663</v>
      </c>
      <c r="T5834" s="4">
        <v>0</v>
      </c>
      <c r="U5834" s="4">
        <f t="shared" si="267"/>
        <v>0</v>
      </c>
      <c r="V5834" s="3"/>
      <c r="W5834" s="3">
        <v>2014</v>
      </c>
      <c r="X5834" s="3" t="s">
        <v>16431</v>
      </c>
    </row>
    <row r="5835" spans="1:24" ht="114.75">
      <c r="A5835" s="3" t="s">
        <v>16979</v>
      </c>
      <c r="B5835" s="6" t="s">
        <v>361</v>
      </c>
      <c r="C5835" s="6" t="s">
        <v>5608</v>
      </c>
      <c r="D5835" s="6" t="s">
        <v>5609</v>
      </c>
      <c r="E5835" s="6" t="s">
        <v>3115</v>
      </c>
      <c r="F5835" s="129" t="s">
        <v>11797</v>
      </c>
      <c r="G5835" s="3" t="s">
        <v>11450</v>
      </c>
      <c r="H5835" s="185">
        <v>0</v>
      </c>
      <c r="I5835" s="16">
        <v>470000000</v>
      </c>
      <c r="J5835" s="56" t="s">
        <v>229</v>
      </c>
      <c r="K5835" s="57" t="s">
        <v>8950</v>
      </c>
      <c r="L5835" s="57" t="s">
        <v>364</v>
      </c>
      <c r="M5835" s="3" t="s">
        <v>230</v>
      </c>
      <c r="N5835" s="8" t="s">
        <v>9479</v>
      </c>
      <c r="O5835" s="6" t="s">
        <v>365</v>
      </c>
      <c r="P5835" s="58">
        <v>796</v>
      </c>
      <c r="Q5835" s="31" t="s">
        <v>234</v>
      </c>
      <c r="R5835" s="31">
        <v>2</v>
      </c>
      <c r="S5835" s="59">
        <v>107595.59999999999</v>
      </c>
      <c r="T5835" s="4">
        <f t="shared" ref="T5835" si="279">R5835*S5835</f>
        <v>215191.19999999998</v>
      </c>
      <c r="U5835" s="4">
        <f t="shared" si="267"/>
        <v>241014.144</v>
      </c>
      <c r="V5835" s="3"/>
      <c r="W5835" s="3">
        <v>2014</v>
      </c>
      <c r="X5835" s="3"/>
    </row>
    <row r="5836" spans="1:24" ht="114.75">
      <c r="A5836" s="3" t="s">
        <v>2411</v>
      </c>
      <c r="B5836" s="6" t="s">
        <v>361</v>
      </c>
      <c r="C5836" s="6" t="s">
        <v>5360</v>
      </c>
      <c r="D5836" s="6" t="s">
        <v>463</v>
      </c>
      <c r="E5836" s="6" t="s">
        <v>3115</v>
      </c>
      <c r="F5836" s="129" t="s">
        <v>6436</v>
      </c>
      <c r="G5836" s="3" t="s">
        <v>11449</v>
      </c>
      <c r="H5836" s="185">
        <v>0</v>
      </c>
      <c r="I5836" s="16">
        <v>470000000</v>
      </c>
      <c r="J5836" s="56" t="s">
        <v>229</v>
      </c>
      <c r="K5836" s="57" t="s">
        <v>641</v>
      </c>
      <c r="L5836" s="57" t="s">
        <v>364</v>
      </c>
      <c r="M5836" s="3" t="s">
        <v>230</v>
      </c>
      <c r="N5836" s="8" t="s">
        <v>9479</v>
      </c>
      <c r="O5836" s="6" t="s">
        <v>365</v>
      </c>
      <c r="P5836" s="58">
        <v>796</v>
      </c>
      <c r="Q5836" s="31" t="s">
        <v>234</v>
      </c>
      <c r="R5836" s="31">
        <v>12</v>
      </c>
      <c r="S5836" s="59">
        <v>12000</v>
      </c>
      <c r="T5836" s="4">
        <f t="shared" si="276"/>
        <v>144000</v>
      </c>
      <c r="U5836" s="4">
        <f t="shared" si="267"/>
        <v>161280.00000000003</v>
      </c>
      <c r="V5836" s="3"/>
      <c r="W5836" s="3">
        <v>2014</v>
      </c>
      <c r="X5836" s="3"/>
    </row>
    <row r="5837" spans="1:24" ht="114.75">
      <c r="A5837" s="3" t="s">
        <v>2412</v>
      </c>
      <c r="B5837" s="6" t="s">
        <v>361</v>
      </c>
      <c r="C5837" s="6" t="s">
        <v>6405</v>
      </c>
      <c r="D5837" s="6" t="s">
        <v>406</v>
      </c>
      <c r="E5837" s="6" t="s">
        <v>3115</v>
      </c>
      <c r="F5837" s="129" t="s">
        <v>6437</v>
      </c>
      <c r="G5837" s="3" t="s">
        <v>11449</v>
      </c>
      <c r="H5837" s="185">
        <v>0</v>
      </c>
      <c r="I5837" s="16">
        <v>470000000</v>
      </c>
      <c r="J5837" s="56" t="s">
        <v>229</v>
      </c>
      <c r="K5837" s="57" t="s">
        <v>641</v>
      </c>
      <c r="L5837" s="57" t="s">
        <v>364</v>
      </c>
      <c r="M5837" s="3" t="s">
        <v>230</v>
      </c>
      <c r="N5837" s="8" t="s">
        <v>9479</v>
      </c>
      <c r="O5837" s="6" t="s">
        <v>365</v>
      </c>
      <c r="P5837" s="58">
        <v>796</v>
      </c>
      <c r="Q5837" s="31" t="s">
        <v>234</v>
      </c>
      <c r="R5837" s="31">
        <v>40</v>
      </c>
      <c r="S5837" s="59">
        <v>1340</v>
      </c>
      <c r="T5837" s="4">
        <f t="shared" si="276"/>
        <v>53600</v>
      </c>
      <c r="U5837" s="4">
        <f t="shared" si="267"/>
        <v>60032.000000000007</v>
      </c>
      <c r="V5837" s="3"/>
      <c r="W5837" s="3">
        <v>2014</v>
      </c>
      <c r="X5837" s="3"/>
    </row>
    <row r="5838" spans="1:24" ht="114.75">
      <c r="A5838" s="3" t="s">
        <v>2413</v>
      </c>
      <c r="B5838" s="6" t="s">
        <v>361</v>
      </c>
      <c r="C5838" s="6" t="s">
        <v>6271</v>
      </c>
      <c r="D5838" s="6" t="s">
        <v>405</v>
      </c>
      <c r="E5838" s="6" t="s">
        <v>6272</v>
      </c>
      <c r="F5838" s="129" t="s">
        <v>6438</v>
      </c>
      <c r="G5838" s="3" t="s">
        <v>11449</v>
      </c>
      <c r="H5838" s="185">
        <v>0</v>
      </c>
      <c r="I5838" s="16">
        <v>470000000</v>
      </c>
      <c r="J5838" s="56" t="s">
        <v>229</v>
      </c>
      <c r="K5838" s="57" t="s">
        <v>641</v>
      </c>
      <c r="L5838" s="57" t="s">
        <v>364</v>
      </c>
      <c r="M5838" s="3" t="s">
        <v>230</v>
      </c>
      <c r="N5838" s="8" t="s">
        <v>9479</v>
      </c>
      <c r="O5838" s="6" t="s">
        <v>365</v>
      </c>
      <c r="P5838" s="58">
        <v>796</v>
      </c>
      <c r="Q5838" s="31" t="s">
        <v>234</v>
      </c>
      <c r="R5838" s="31">
        <v>40</v>
      </c>
      <c r="S5838" s="59">
        <v>3570</v>
      </c>
      <c r="T5838" s="4">
        <f t="shared" si="276"/>
        <v>142800</v>
      </c>
      <c r="U5838" s="4">
        <f t="shared" si="267"/>
        <v>159936.00000000003</v>
      </c>
      <c r="V5838" s="3"/>
      <c r="W5838" s="3">
        <v>2014</v>
      </c>
      <c r="X5838" s="3"/>
    </row>
    <row r="5839" spans="1:24" ht="114.75">
      <c r="A5839" s="3" t="s">
        <v>2414</v>
      </c>
      <c r="B5839" s="6" t="s">
        <v>361</v>
      </c>
      <c r="C5839" s="6" t="s">
        <v>5356</v>
      </c>
      <c r="D5839" s="6" t="s">
        <v>5357</v>
      </c>
      <c r="E5839" s="6" t="s">
        <v>5358</v>
      </c>
      <c r="F5839" s="129" t="s">
        <v>6439</v>
      </c>
      <c r="G5839" s="3" t="s">
        <v>11449</v>
      </c>
      <c r="H5839" s="185">
        <v>0</v>
      </c>
      <c r="I5839" s="16">
        <v>470000000</v>
      </c>
      <c r="J5839" s="56" t="s">
        <v>229</v>
      </c>
      <c r="K5839" s="57" t="s">
        <v>641</v>
      </c>
      <c r="L5839" s="57" t="s">
        <v>364</v>
      </c>
      <c r="M5839" s="3" t="s">
        <v>230</v>
      </c>
      <c r="N5839" s="8" t="s">
        <v>9479</v>
      </c>
      <c r="O5839" s="6" t="s">
        <v>365</v>
      </c>
      <c r="P5839" s="58">
        <v>796</v>
      </c>
      <c r="Q5839" s="31" t="s">
        <v>234</v>
      </c>
      <c r="R5839" s="31">
        <v>60</v>
      </c>
      <c r="S5839" s="59">
        <v>1300</v>
      </c>
      <c r="T5839" s="4">
        <f t="shared" si="276"/>
        <v>78000</v>
      </c>
      <c r="U5839" s="4">
        <f t="shared" si="267"/>
        <v>87360.000000000015</v>
      </c>
      <c r="V5839" s="3"/>
      <c r="W5839" s="3">
        <v>2014</v>
      </c>
      <c r="X5839" s="3"/>
    </row>
    <row r="5840" spans="1:24" ht="114.75">
      <c r="A5840" s="3" t="s">
        <v>2415</v>
      </c>
      <c r="B5840" s="6" t="s">
        <v>361</v>
      </c>
      <c r="C5840" s="6" t="s">
        <v>6300</v>
      </c>
      <c r="D5840" s="6" t="s">
        <v>433</v>
      </c>
      <c r="E5840" s="6" t="s">
        <v>6291</v>
      </c>
      <c r="F5840" s="129" t="s">
        <v>8273</v>
      </c>
      <c r="G5840" s="3" t="s">
        <v>11449</v>
      </c>
      <c r="H5840" s="185">
        <v>0</v>
      </c>
      <c r="I5840" s="16">
        <v>470000000</v>
      </c>
      <c r="J5840" s="56" t="s">
        <v>229</v>
      </c>
      <c r="K5840" s="57" t="s">
        <v>641</v>
      </c>
      <c r="L5840" s="57" t="s">
        <v>364</v>
      </c>
      <c r="M5840" s="3" t="s">
        <v>230</v>
      </c>
      <c r="N5840" s="8" t="s">
        <v>8898</v>
      </c>
      <c r="O5840" s="6" t="s">
        <v>365</v>
      </c>
      <c r="P5840" s="58">
        <v>796</v>
      </c>
      <c r="Q5840" s="31" t="s">
        <v>234</v>
      </c>
      <c r="R5840" s="31">
        <v>4</v>
      </c>
      <c r="S5840" s="59">
        <f>48000*1.07</f>
        <v>51360</v>
      </c>
      <c r="T5840" s="4">
        <v>0</v>
      </c>
      <c r="U5840" s="4">
        <f t="shared" si="267"/>
        <v>0</v>
      </c>
      <c r="V5840" s="3"/>
      <c r="W5840" s="3">
        <v>2014</v>
      </c>
      <c r="X5840" s="3" t="s">
        <v>11817</v>
      </c>
    </row>
    <row r="5841" spans="1:24" ht="114.75">
      <c r="A5841" s="3" t="s">
        <v>13520</v>
      </c>
      <c r="B5841" s="6" t="s">
        <v>361</v>
      </c>
      <c r="C5841" s="6" t="s">
        <v>6300</v>
      </c>
      <c r="D5841" s="6" t="s">
        <v>433</v>
      </c>
      <c r="E5841" s="6" t="s">
        <v>6291</v>
      </c>
      <c r="F5841" s="129" t="s">
        <v>8273</v>
      </c>
      <c r="G5841" s="3" t="s">
        <v>11450</v>
      </c>
      <c r="H5841" s="185">
        <v>0</v>
      </c>
      <c r="I5841" s="16">
        <v>470000000</v>
      </c>
      <c r="J5841" s="56" t="s">
        <v>229</v>
      </c>
      <c r="K5841" s="57" t="s">
        <v>642</v>
      </c>
      <c r="L5841" s="12" t="s">
        <v>404</v>
      </c>
      <c r="M5841" s="3" t="s">
        <v>230</v>
      </c>
      <c r="N5841" s="8" t="s">
        <v>8898</v>
      </c>
      <c r="O5841" s="6" t="s">
        <v>365</v>
      </c>
      <c r="P5841" s="58">
        <v>796</v>
      </c>
      <c r="Q5841" s="31" t="s">
        <v>234</v>
      </c>
      <c r="R5841" s="31">
        <v>4</v>
      </c>
      <c r="S5841" s="59">
        <f>48000*1.07</f>
        <v>51360</v>
      </c>
      <c r="T5841" s="4">
        <f>R5841*S5841</f>
        <v>205440</v>
      </c>
      <c r="U5841" s="4">
        <f>T5841*1.12</f>
        <v>230092.80000000002</v>
      </c>
      <c r="V5841" s="3"/>
      <c r="W5841" s="3">
        <v>2014</v>
      </c>
      <c r="X5841" s="3"/>
    </row>
    <row r="5842" spans="1:24" ht="114.75">
      <c r="A5842" s="3" t="s">
        <v>2416</v>
      </c>
      <c r="B5842" s="6" t="s">
        <v>361</v>
      </c>
      <c r="C5842" s="6" t="s">
        <v>6440</v>
      </c>
      <c r="D5842" s="6" t="s">
        <v>408</v>
      </c>
      <c r="E5842" s="6" t="s">
        <v>6274</v>
      </c>
      <c r="F5842" s="129" t="s">
        <v>8274</v>
      </c>
      <c r="G5842" s="3" t="s">
        <v>11449</v>
      </c>
      <c r="H5842" s="185">
        <v>0</v>
      </c>
      <c r="I5842" s="16">
        <v>470000000</v>
      </c>
      <c r="J5842" s="56" t="s">
        <v>229</v>
      </c>
      <c r="K5842" s="57" t="s">
        <v>641</v>
      </c>
      <c r="L5842" s="57" t="s">
        <v>364</v>
      </c>
      <c r="M5842" s="3" t="s">
        <v>230</v>
      </c>
      <c r="N5842" s="8" t="s">
        <v>8898</v>
      </c>
      <c r="O5842" s="6" t="s">
        <v>365</v>
      </c>
      <c r="P5842" s="58">
        <v>796</v>
      </c>
      <c r="Q5842" s="31" t="s">
        <v>234</v>
      </c>
      <c r="R5842" s="31">
        <v>1</v>
      </c>
      <c r="S5842" s="59">
        <f>3800*1.07</f>
        <v>4066.0000000000005</v>
      </c>
      <c r="T5842" s="4">
        <v>0</v>
      </c>
      <c r="U5842" s="4">
        <f t="shared" si="267"/>
        <v>0</v>
      </c>
      <c r="V5842" s="3"/>
      <c r="W5842" s="3">
        <v>2014</v>
      </c>
      <c r="X5842" s="3" t="s">
        <v>11817</v>
      </c>
    </row>
    <row r="5843" spans="1:24" ht="114.75">
      <c r="A5843" s="3" t="s">
        <v>13521</v>
      </c>
      <c r="B5843" s="6" t="s">
        <v>361</v>
      </c>
      <c r="C5843" s="6" t="s">
        <v>6440</v>
      </c>
      <c r="D5843" s="6" t="s">
        <v>408</v>
      </c>
      <c r="E5843" s="6" t="s">
        <v>6274</v>
      </c>
      <c r="F5843" s="129" t="s">
        <v>8274</v>
      </c>
      <c r="G5843" s="3" t="s">
        <v>11450</v>
      </c>
      <c r="H5843" s="185">
        <v>0</v>
      </c>
      <c r="I5843" s="16">
        <v>470000000</v>
      </c>
      <c r="J5843" s="56" t="s">
        <v>229</v>
      </c>
      <c r="K5843" s="57" t="s">
        <v>642</v>
      </c>
      <c r="L5843" s="12" t="s">
        <v>404</v>
      </c>
      <c r="M5843" s="3" t="s">
        <v>230</v>
      </c>
      <c r="N5843" s="8" t="s">
        <v>8898</v>
      </c>
      <c r="O5843" s="6" t="s">
        <v>365</v>
      </c>
      <c r="P5843" s="58">
        <v>796</v>
      </c>
      <c r="Q5843" s="31" t="s">
        <v>234</v>
      </c>
      <c r="R5843" s="31">
        <v>1</v>
      </c>
      <c r="S5843" s="59">
        <f>3800*1.07</f>
        <v>4066.0000000000005</v>
      </c>
      <c r="T5843" s="4">
        <f>R5843*S5843</f>
        <v>4066.0000000000005</v>
      </c>
      <c r="U5843" s="4">
        <f>T5843*1.12</f>
        <v>4553.920000000001</v>
      </c>
      <c r="V5843" s="3"/>
      <c r="W5843" s="3">
        <v>2014</v>
      </c>
      <c r="X5843" s="3"/>
    </row>
    <row r="5844" spans="1:24" ht="114.75">
      <c r="A5844" s="3" t="s">
        <v>2417</v>
      </c>
      <c r="B5844" s="6" t="s">
        <v>361</v>
      </c>
      <c r="C5844" s="6" t="s">
        <v>6441</v>
      </c>
      <c r="D5844" s="6" t="s">
        <v>5388</v>
      </c>
      <c r="E5844" s="6" t="s">
        <v>6274</v>
      </c>
      <c r="F5844" s="129" t="s">
        <v>8275</v>
      </c>
      <c r="G5844" s="3" t="s">
        <v>11449</v>
      </c>
      <c r="H5844" s="185">
        <v>0</v>
      </c>
      <c r="I5844" s="16">
        <v>470000000</v>
      </c>
      <c r="J5844" s="56" t="s">
        <v>229</v>
      </c>
      <c r="K5844" s="57" t="s">
        <v>641</v>
      </c>
      <c r="L5844" s="57" t="s">
        <v>364</v>
      </c>
      <c r="M5844" s="3" t="s">
        <v>230</v>
      </c>
      <c r="N5844" s="8" t="s">
        <v>8898</v>
      </c>
      <c r="O5844" s="6" t="s">
        <v>365</v>
      </c>
      <c r="P5844" s="58">
        <v>796</v>
      </c>
      <c r="Q5844" s="31" t="s">
        <v>234</v>
      </c>
      <c r="R5844" s="31">
        <v>1</v>
      </c>
      <c r="S5844" s="59">
        <f>4500*1.07</f>
        <v>4815</v>
      </c>
      <c r="T5844" s="4">
        <v>0</v>
      </c>
      <c r="U5844" s="4">
        <f t="shared" si="267"/>
        <v>0</v>
      </c>
      <c r="V5844" s="3"/>
      <c r="W5844" s="3">
        <v>2014</v>
      </c>
      <c r="X5844" s="3" t="s">
        <v>11817</v>
      </c>
    </row>
    <row r="5845" spans="1:24" ht="114.75">
      <c r="A5845" s="3" t="s">
        <v>13522</v>
      </c>
      <c r="B5845" s="6" t="s">
        <v>361</v>
      </c>
      <c r="C5845" s="6" t="s">
        <v>6441</v>
      </c>
      <c r="D5845" s="6" t="s">
        <v>5388</v>
      </c>
      <c r="E5845" s="6" t="s">
        <v>6274</v>
      </c>
      <c r="F5845" s="129" t="s">
        <v>8275</v>
      </c>
      <c r="G5845" s="3" t="s">
        <v>11450</v>
      </c>
      <c r="H5845" s="185">
        <v>0</v>
      </c>
      <c r="I5845" s="16">
        <v>470000000</v>
      </c>
      <c r="J5845" s="56" t="s">
        <v>229</v>
      </c>
      <c r="K5845" s="57" t="s">
        <v>642</v>
      </c>
      <c r="L5845" s="12" t="s">
        <v>404</v>
      </c>
      <c r="M5845" s="3" t="s">
        <v>230</v>
      </c>
      <c r="N5845" s="8" t="s">
        <v>8898</v>
      </c>
      <c r="O5845" s="6" t="s">
        <v>365</v>
      </c>
      <c r="P5845" s="58">
        <v>796</v>
      </c>
      <c r="Q5845" s="31" t="s">
        <v>234</v>
      </c>
      <c r="R5845" s="31">
        <v>1</v>
      </c>
      <c r="S5845" s="59">
        <f>4500*1.07</f>
        <v>4815</v>
      </c>
      <c r="T5845" s="4">
        <f>R5845*S5845</f>
        <v>4815</v>
      </c>
      <c r="U5845" s="4">
        <f>T5845*1.12</f>
        <v>5392.8</v>
      </c>
      <c r="V5845" s="3"/>
      <c r="W5845" s="3">
        <v>2014</v>
      </c>
      <c r="X5845" s="3"/>
    </row>
    <row r="5846" spans="1:24" ht="114.75">
      <c r="A5846" s="3" t="s">
        <v>2418</v>
      </c>
      <c r="B5846" s="6" t="s">
        <v>361</v>
      </c>
      <c r="C5846" s="6" t="s">
        <v>6440</v>
      </c>
      <c r="D5846" s="6" t="s">
        <v>408</v>
      </c>
      <c r="E5846" s="6" t="s">
        <v>6274</v>
      </c>
      <c r="F5846" s="129" t="s">
        <v>8276</v>
      </c>
      <c r="G5846" s="3" t="s">
        <v>11449</v>
      </c>
      <c r="H5846" s="185">
        <v>0</v>
      </c>
      <c r="I5846" s="16">
        <v>470000000</v>
      </c>
      <c r="J5846" s="56" t="s">
        <v>229</v>
      </c>
      <c r="K5846" s="57" t="s">
        <v>641</v>
      </c>
      <c r="L5846" s="57" t="s">
        <v>364</v>
      </c>
      <c r="M5846" s="3" t="s">
        <v>230</v>
      </c>
      <c r="N5846" s="8" t="s">
        <v>8898</v>
      </c>
      <c r="O5846" s="6" t="s">
        <v>365</v>
      </c>
      <c r="P5846" s="58">
        <v>796</v>
      </c>
      <c r="Q5846" s="31" t="s">
        <v>234</v>
      </c>
      <c r="R5846" s="31">
        <v>1</v>
      </c>
      <c r="S5846" s="59">
        <f>8100*1.07</f>
        <v>8667</v>
      </c>
      <c r="T5846" s="4">
        <v>0</v>
      </c>
      <c r="U5846" s="4">
        <f t="shared" si="267"/>
        <v>0</v>
      </c>
      <c r="V5846" s="3"/>
      <c r="W5846" s="3">
        <v>2014</v>
      </c>
      <c r="X5846" s="3" t="s">
        <v>11817</v>
      </c>
    </row>
    <row r="5847" spans="1:24" ht="114.75">
      <c r="A5847" s="3" t="s">
        <v>13523</v>
      </c>
      <c r="B5847" s="6" t="s">
        <v>361</v>
      </c>
      <c r="C5847" s="6" t="s">
        <v>6440</v>
      </c>
      <c r="D5847" s="6" t="s">
        <v>408</v>
      </c>
      <c r="E5847" s="6" t="s">
        <v>6274</v>
      </c>
      <c r="F5847" s="129" t="s">
        <v>8276</v>
      </c>
      <c r="G5847" s="3" t="s">
        <v>11450</v>
      </c>
      <c r="H5847" s="185">
        <v>0</v>
      </c>
      <c r="I5847" s="16">
        <v>470000000</v>
      </c>
      <c r="J5847" s="56" t="s">
        <v>229</v>
      </c>
      <c r="K5847" s="57" t="s">
        <v>642</v>
      </c>
      <c r="L5847" s="12" t="s">
        <v>404</v>
      </c>
      <c r="M5847" s="3" t="s">
        <v>230</v>
      </c>
      <c r="N5847" s="8" t="s">
        <v>8898</v>
      </c>
      <c r="O5847" s="6" t="s">
        <v>365</v>
      </c>
      <c r="P5847" s="58">
        <v>796</v>
      </c>
      <c r="Q5847" s="31" t="s">
        <v>234</v>
      </c>
      <c r="R5847" s="31">
        <v>1</v>
      </c>
      <c r="S5847" s="59">
        <f>8100*1.07</f>
        <v>8667</v>
      </c>
      <c r="T5847" s="4">
        <f>R5847*S5847</f>
        <v>8667</v>
      </c>
      <c r="U5847" s="4">
        <f>T5847*1.12</f>
        <v>9707.0400000000009</v>
      </c>
      <c r="V5847" s="3"/>
      <c r="W5847" s="3">
        <v>2014</v>
      </c>
      <c r="X5847" s="3"/>
    </row>
    <row r="5848" spans="1:24" ht="114.75">
      <c r="A5848" s="3" t="s">
        <v>2419</v>
      </c>
      <c r="B5848" s="6" t="s">
        <v>361</v>
      </c>
      <c r="C5848" s="6" t="s">
        <v>5810</v>
      </c>
      <c r="D5848" s="6" t="s">
        <v>457</v>
      </c>
      <c r="E5848" s="6" t="s">
        <v>5332</v>
      </c>
      <c r="F5848" s="129" t="s">
        <v>8277</v>
      </c>
      <c r="G5848" s="3" t="s">
        <v>11449</v>
      </c>
      <c r="H5848" s="185">
        <v>0</v>
      </c>
      <c r="I5848" s="16">
        <v>470000000</v>
      </c>
      <c r="J5848" s="56" t="s">
        <v>229</v>
      </c>
      <c r="K5848" s="57" t="s">
        <v>641</v>
      </c>
      <c r="L5848" s="57" t="s">
        <v>364</v>
      </c>
      <c r="M5848" s="3" t="s">
        <v>230</v>
      </c>
      <c r="N5848" s="8" t="s">
        <v>8898</v>
      </c>
      <c r="O5848" s="6" t="s">
        <v>365</v>
      </c>
      <c r="P5848" s="58">
        <v>796</v>
      </c>
      <c r="Q5848" s="31" t="s">
        <v>234</v>
      </c>
      <c r="R5848" s="31">
        <v>2</v>
      </c>
      <c r="S5848" s="59">
        <f>3000*1.07</f>
        <v>3210</v>
      </c>
      <c r="T5848" s="4">
        <v>0</v>
      </c>
      <c r="U5848" s="4">
        <f t="shared" si="267"/>
        <v>0</v>
      </c>
      <c r="V5848" s="3"/>
      <c r="W5848" s="3">
        <v>2014</v>
      </c>
      <c r="X5848" s="3" t="s">
        <v>11817</v>
      </c>
    </row>
    <row r="5849" spans="1:24" ht="114.75">
      <c r="A5849" s="3" t="s">
        <v>13524</v>
      </c>
      <c r="B5849" s="6" t="s">
        <v>361</v>
      </c>
      <c r="C5849" s="6" t="s">
        <v>5810</v>
      </c>
      <c r="D5849" s="6" t="s">
        <v>457</v>
      </c>
      <c r="E5849" s="6" t="s">
        <v>5332</v>
      </c>
      <c r="F5849" s="129" t="s">
        <v>8277</v>
      </c>
      <c r="G5849" s="3" t="s">
        <v>11450</v>
      </c>
      <c r="H5849" s="185">
        <v>0</v>
      </c>
      <c r="I5849" s="16">
        <v>470000000</v>
      </c>
      <c r="J5849" s="56" t="s">
        <v>229</v>
      </c>
      <c r="K5849" s="57" t="s">
        <v>642</v>
      </c>
      <c r="L5849" s="12" t="s">
        <v>404</v>
      </c>
      <c r="M5849" s="3" t="s">
        <v>230</v>
      </c>
      <c r="N5849" s="8" t="s">
        <v>8898</v>
      </c>
      <c r="O5849" s="6" t="s">
        <v>365</v>
      </c>
      <c r="P5849" s="58">
        <v>796</v>
      </c>
      <c r="Q5849" s="31" t="s">
        <v>234</v>
      </c>
      <c r="R5849" s="31">
        <v>2</v>
      </c>
      <c r="S5849" s="59">
        <f>3000*1.07</f>
        <v>3210</v>
      </c>
      <c r="T5849" s="4">
        <f>R5849*S5849</f>
        <v>6420</v>
      </c>
      <c r="U5849" s="4">
        <f>T5849*1.12</f>
        <v>7190.4000000000005</v>
      </c>
      <c r="V5849" s="3"/>
      <c r="W5849" s="3">
        <v>2014</v>
      </c>
      <c r="X5849" s="3"/>
    </row>
    <row r="5850" spans="1:24" ht="114.75">
      <c r="A5850" s="3" t="s">
        <v>2420</v>
      </c>
      <c r="B5850" s="6" t="s">
        <v>361</v>
      </c>
      <c r="C5850" s="6" t="s">
        <v>6442</v>
      </c>
      <c r="D5850" s="6" t="s">
        <v>6443</v>
      </c>
      <c r="E5850" s="6" t="s">
        <v>6365</v>
      </c>
      <c r="F5850" s="129" t="s">
        <v>8278</v>
      </c>
      <c r="G5850" s="3" t="s">
        <v>11449</v>
      </c>
      <c r="H5850" s="185">
        <v>0</v>
      </c>
      <c r="I5850" s="16">
        <v>470000000</v>
      </c>
      <c r="J5850" s="56" t="s">
        <v>229</v>
      </c>
      <c r="K5850" s="57" t="s">
        <v>641</v>
      </c>
      <c r="L5850" s="57" t="s">
        <v>364</v>
      </c>
      <c r="M5850" s="3" t="s">
        <v>230</v>
      </c>
      <c r="N5850" s="8" t="s">
        <v>8898</v>
      </c>
      <c r="O5850" s="6" t="s">
        <v>365</v>
      </c>
      <c r="P5850" s="58">
        <v>796</v>
      </c>
      <c r="Q5850" s="31" t="s">
        <v>234</v>
      </c>
      <c r="R5850" s="31">
        <v>1</v>
      </c>
      <c r="S5850" s="59">
        <f>700*1.07</f>
        <v>749</v>
      </c>
      <c r="T5850" s="4">
        <v>0</v>
      </c>
      <c r="U5850" s="4">
        <f t="shared" ref="U5850" si="280">T5850*1.12</f>
        <v>0</v>
      </c>
      <c r="V5850" s="3"/>
      <c r="W5850" s="3">
        <v>2014</v>
      </c>
      <c r="X5850" s="3" t="s">
        <v>11817</v>
      </c>
    </row>
    <row r="5851" spans="1:24" ht="114.75">
      <c r="A5851" s="3" t="s">
        <v>13525</v>
      </c>
      <c r="B5851" s="6" t="s">
        <v>361</v>
      </c>
      <c r="C5851" s="6" t="s">
        <v>6442</v>
      </c>
      <c r="D5851" s="6" t="s">
        <v>6443</v>
      </c>
      <c r="E5851" s="6" t="s">
        <v>6365</v>
      </c>
      <c r="F5851" s="129" t="s">
        <v>8278</v>
      </c>
      <c r="G5851" s="3" t="s">
        <v>11450</v>
      </c>
      <c r="H5851" s="185">
        <v>0</v>
      </c>
      <c r="I5851" s="16">
        <v>470000000</v>
      </c>
      <c r="J5851" s="56" t="s">
        <v>229</v>
      </c>
      <c r="K5851" s="57" t="s">
        <v>642</v>
      </c>
      <c r="L5851" s="12" t="s">
        <v>404</v>
      </c>
      <c r="M5851" s="3" t="s">
        <v>230</v>
      </c>
      <c r="N5851" s="8" t="s">
        <v>8898</v>
      </c>
      <c r="O5851" s="6" t="s">
        <v>365</v>
      </c>
      <c r="P5851" s="58">
        <v>796</v>
      </c>
      <c r="Q5851" s="31" t="s">
        <v>234</v>
      </c>
      <c r="R5851" s="31">
        <v>1</v>
      </c>
      <c r="S5851" s="59">
        <f>700*1.07</f>
        <v>749</v>
      </c>
      <c r="T5851" s="4">
        <f>R5851*S5851</f>
        <v>749</v>
      </c>
      <c r="U5851" s="4">
        <f>T5851*1.12</f>
        <v>838.88000000000011</v>
      </c>
      <c r="V5851" s="3"/>
      <c r="W5851" s="3">
        <v>2014</v>
      </c>
      <c r="X5851" s="3"/>
    </row>
    <row r="5852" spans="1:24" ht="114.75">
      <c r="A5852" s="3" t="s">
        <v>2421</v>
      </c>
      <c r="B5852" s="6" t="s">
        <v>361</v>
      </c>
      <c r="C5852" s="6" t="s">
        <v>6444</v>
      </c>
      <c r="D5852" s="6" t="s">
        <v>6445</v>
      </c>
      <c r="E5852" s="6" t="s">
        <v>6446</v>
      </c>
      <c r="F5852" s="9" t="s">
        <v>8279</v>
      </c>
      <c r="G5852" s="3" t="s">
        <v>11449</v>
      </c>
      <c r="H5852" s="185">
        <v>0</v>
      </c>
      <c r="I5852" s="16">
        <v>470000000</v>
      </c>
      <c r="J5852" s="56" t="s">
        <v>229</v>
      </c>
      <c r="K5852" s="57" t="s">
        <v>641</v>
      </c>
      <c r="L5852" s="57" t="s">
        <v>364</v>
      </c>
      <c r="M5852" s="3" t="s">
        <v>230</v>
      </c>
      <c r="N5852" s="8" t="s">
        <v>9479</v>
      </c>
      <c r="O5852" s="6" t="s">
        <v>365</v>
      </c>
      <c r="P5852" s="58">
        <v>796</v>
      </c>
      <c r="Q5852" s="31" t="s">
        <v>234</v>
      </c>
      <c r="R5852" s="8">
        <v>4</v>
      </c>
      <c r="S5852" s="59">
        <f>2600*1.07</f>
        <v>2782</v>
      </c>
      <c r="T5852" s="4">
        <f t="shared" si="276"/>
        <v>11128</v>
      </c>
      <c r="U5852" s="4">
        <f t="shared" ref="U5852:U5889" si="281">T5852*1.12</f>
        <v>12463.36</v>
      </c>
      <c r="V5852" s="3"/>
      <c r="W5852" s="3">
        <v>2014</v>
      </c>
      <c r="X5852" s="3"/>
    </row>
    <row r="5853" spans="1:24" ht="114.75">
      <c r="A5853" s="3" t="s">
        <v>2422</v>
      </c>
      <c r="B5853" s="6" t="s">
        <v>361</v>
      </c>
      <c r="C5853" s="6" t="s">
        <v>6300</v>
      </c>
      <c r="D5853" s="6" t="s">
        <v>433</v>
      </c>
      <c r="E5853" s="6" t="s">
        <v>6291</v>
      </c>
      <c r="F5853" s="9" t="s">
        <v>8280</v>
      </c>
      <c r="G5853" s="3" t="s">
        <v>11449</v>
      </c>
      <c r="H5853" s="185">
        <v>0</v>
      </c>
      <c r="I5853" s="16">
        <v>470000000</v>
      </c>
      <c r="J5853" s="56" t="s">
        <v>229</v>
      </c>
      <c r="K5853" s="57" t="s">
        <v>641</v>
      </c>
      <c r="L5853" s="57" t="s">
        <v>364</v>
      </c>
      <c r="M5853" s="3" t="s">
        <v>230</v>
      </c>
      <c r="N5853" s="8" t="s">
        <v>9479</v>
      </c>
      <c r="O5853" s="6" t="s">
        <v>365</v>
      </c>
      <c r="P5853" s="58">
        <v>796</v>
      </c>
      <c r="Q5853" s="31" t="s">
        <v>234</v>
      </c>
      <c r="R5853" s="8">
        <v>3</v>
      </c>
      <c r="S5853" s="59">
        <f>127000*1.7</f>
        <v>215900</v>
      </c>
      <c r="T5853" s="4">
        <f t="shared" si="276"/>
        <v>647700</v>
      </c>
      <c r="U5853" s="4">
        <f t="shared" si="281"/>
        <v>725424.00000000012</v>
      </c>
      <c r="V5853" s="3"/>
      <c r="W5853" s="3">
        <v>2014</v>
      </c>
      <c r="X5853" s="3"/>
    </row>
    <row r="5854" spans="1:24" ht="114.75">
      <c r="A5854" s="3" t="s">
        <v>2423</v>
      </c>
      <c r="B5854" s="6" t="s">
        <v>361</v>
      </c>
      <c r="C5854" s="6" t="s">
        <v>5770</v>
      </c>
      <c r="D5854" s="6" t="s">
        <v>5771</v>
      </c>
      <c r="E5854" s="6" t="s">
        <v>5772</v>
      </c>
      <c r="F5854" s="9" t="s">
        <v>8281</v>
      </c>
      <c r="G5854" s="3" t="s">
        <v>11449</v>
      </c>
      <c r="H5854" s="185">
        <v>0</v>
      </c>
      <c r="I5854" s="16">
        <v>470000000</v>
      </c>
      <c r="J5854" s="56" t="s">
        <v>229</v>
      </c>
      <c r="K5854" s="57" t="s">
        <v>641</v>
      </c>
      <c r="L5854" s="57" t="s">
        <v>364</v>
      </c>
      <c r="M5854" s="3" t="s">
        <v>230</v>
      </c>
      <c r="N5854" s="8" t="s">
        <v>9479</v>
      </c>
      <c r="O5854" s="6" t="s">
        <v>365</v>
      </c>
      <c r="P5854" s="58">
        <v>796</v>
      </c>
      <c r="Q5854" s="31" t="s">
        <v>234</v>
      </c>
      <c r="R5854" s="9">
        <v>1</v>
      </c>
      <c r="S5854" s="59">
        <f>1452500*1.07</f>
        <v>1554175</v>
      </c>
      <c r="T5854" s="4">
        <f t="shared" si="276"/>
        <v>1554175</v>
      </c>
      <c r="U5854" s="4">
        <f t="shared" si="281"/>
        <v>1740676.0000000002</v>
      </c>
      <c r="V5854" s="3"/>
      <c r="W5854" s="3">
        <v>2014</v>
      </c>
      <c r="X5854" s="3"/>
    </row>
    <row r="5855" spans="1:24" ht="114.75">
      <c r="A5855" s="3" t="s">
        <v>2424</v>
      </c>
      <c r="B5855" s="6" t="s">
        <v>361</v>
      </c>
      <c r="C5855" s="6" t="s">
        <v>6447</v>
      </c>
      <c r="D5855" s="6" t="s">
        <v>5399</v>
      </c>
      <c r="E5855" s="6" t="s">
        <v>6448</v>
      </c>
      <c r="F5855" s="8" t="s">
        <v>6449</v>
      </c>
      <c r="G5855" s="3" t="s">
        <v>11449</v>
      </c>
      <c r="H5855" s="185">
        <v>0</v>
      </c>
      <c r="I5855" s="16">
        <v>470000000</v>
      </c>
      <c r="J5855" s="56" t="s">
        <v>229</v>
      </c>
      <c r="K5855" s="57" t="s">
        <v>641</v>
      </c>
      <c r="L5855" s="57" t="s">
        <v>364</v>
      </c>
      <c r="M5855" s="3" t="s">
        <v>230</v>
      </c>
      <c r="N5855" s="8" t="s">
        <v>9479</v>
      </c>
      <c r="O5855" s="6" t="s">
        <v>365</v>
      </c>
      <c r="P5855" s="58">
        <v>796</v>
      </c>
      <c r="Q5855" s="31" t="s">
        <v>234</v>
      </c>
      <c r="R5855" s="9">
        <v>1</v>
      </c>
      <c r="S5855" s="59">
        <f>726600*1.07</f>
        <v>777462</v>
      </c>
      <c r="T5855" s="4">
        <f t="shared" si="276"/>
        <v>777462</v>
      </c>
      <c r="U5855" s="4">
        <f t="shared" si="281"/>
        <v>870757.44000000006</v>
      </c>
      <c r="V5855" s="3"/>
      <c r="W5855" s="3">
        <v>2014</v>
      </c>
      <c r="X5855" s="3"/>
    </row>
    <row r="5856" spans="1:24" ht="114.75">
      <c r="A5856" s="3" t="s">
        <v>2425</v>
      </c>
      <c r="B5856" s="6" t="s">
        <v>361</v>
      </c>
      <c r="C5856" s="6" t="s">
        <v>5627</v>
      </c>
      <c r="D5856" s="6" t="s">
        <v>5628</v>
      </c>
      <c r="E5856" s="6" t="s">
        <v>5629</v>
      </c>
      <c r="F5856" s="8" t="s">
        <v>8282</v>
      </c>
      <c r="G5856" s="3" t="s">
        <v>11449</v>
      </c>
      <c r="H5856" s="185">
        <v>0</v>
      </c>
      <c r="I5856" s="16">
        <v>470000000</v>
      </c>
      <c r="J5856" s="56" t="s">
        <v>229</v>
      </c>
      <c r="K5856" s="57" t="s">
        <v>641</v>
      </c>
      <c r="L5856" s="57" t="s">
        <v>364</v>
      </c>
      <c r="M5856" s="3" t="s">
        <v>230</v>
      </c>
      <c r="N5856" s="8" t="s">
        <v>9479</v>
      </c>
      <c r="O5856" s="6" t="s">
        <v>365</v>
      </c>
      <c r="P5856" s="58">
        <v>796</v>
      </c>
      <c r="Q5856" s="31" t="s">
        <v>234</v>
      </c>
      <c r="R5856" s="9">
        <v>1</v>
      </c>
      <c r="S5856" s="59">
        <f>147990*1.07</f>
        <v>158349.30000000002</v>
      </c>
      <c r="T5856" s="4">
        <f t="shared" si="276"/>
        <v>158349.30000000002</v>
      </c>
      <c r="U5856" s="4">
        <f t="shared" si="281"/>
        <v>177351.21600000004</v>
      </c>
      <c r="V5856" s="3"/>
      <c r="W5856" s="3">
        <v>2014</v>
      </c>
      <c r="X5856" s="3"/>
    </row>
    <row r="5857" spans="1:24" ht="114.75">
      <c r="A5857" s="3" t="s">
        <v>2426</v>
      </c>
      <c r="B5857" s="6" t="s">
        <v>361</v>
      </c>
      <c r="C5857" s="6" t="s">
        <v>6450</v>
      </c>
      <c r="D5857" s="6" t="s">
        <v>5413</v>
      </c>
      <c r="E5857" s="6" t="s">
        <v>6274</v>
      </c>
      <c r="F5857" s="9" t="s">
        <v>8283</v>
      </c>
      <c r="G5857" s="3" t="s">
        <v>11449</v>
      </c>
      <c r="H5857" s="185">
        <v>0</v>
      </c>
      <c r="I5857" s="16">
        <v>470000000</v>
      </c>
      <c r="J5857" s="56" t="s">
        <v>229</v>
      </c>
      <c r="K5857" s="57" t="s">
        <v>641</v>
      </c>
      <c r="L5857" s="57" t="s">
        <v>364</v>
      </c>
      <c r="M5857" s="3" t="s">
        <v>230</v>
      </c>
      <c r="N5857" s="8" t="s">
        <v>9479</v>
      </c>
      <c r="O5857" s="6" t="s">
        <v>365</v>
      </c>
      <c r="P5857" s="58">
        <v>796</v>
      </c>
      <c r="Q5857" s="31" t="s">
        <v>234</v>
      </c>
      <c r="R5857" s="9">
        <v>1</v>
      </c>
      <c r="S5857" s="59">
        <f>378571*1.07</f>
        <v>405070.97000000003</v>
      </c>
      <c r="T5857" s="4">
        <f t="shared" si="276"/>
        <v>405070.97000000003</v>
      </c>
      <c r="U5857" s="4">
        <f t="shared" si="281"/>
        <v>453679.48640000005</v>
      </c>
      <c r="V5857" s="3"/>
      <c r="W5857" s="3">
        <v>2014</v>
      </c>
      <c r="X5857" s="3"/>
    </row>
    <row r="5858" spans="1:24" ht="114.75">
      <c r="A5858" s="3" t="s">
        <v>2427</v>
      </c>
      <c r="B5858" s="6" t="s">
        <v>361</v>
      </c>
      <c r="C5858" s="6" t="s">
        <v>5627</v>
      </c>
      <c r="D5858" s="6" t="s">
        <v>5628</v>
      </c>
      <c r="E5858" s="6" t="s">
        <v>5629</v>
      </c>
      <c r="F5858" s="8" t="s">
        <v>8284</v>
      </c>
      <c r="G5858" s="3" t="s">
        <v>11449</v>
      </c>
      <c r="H5858" s="185">
        <v>0</v>
      </c>
      <c r="I5858" s="16">
        <v>470000000</v>
      </c>
      <c r="J5858" s="56" t="s">
        <v>229</v>
      </c>
      <c r="K5858" s="57" t="s">
        <v>641</v>
      </c>
      <c r="L5858" s="57" t="s">
        <v>364</v>
      </c>
      <c r="M5858" s="3" t="s">
        <v>230</v>
      </c>
      <c r="N5858" s="8" t="s">
        <v>9479</v>
      </c>
      <c r="O5858" s="6" t="s">
        <v>365</v>
      </c>
      <c r="P5858" s="58">
        <v>796</v>
      </c>
      <c r="Q5858" s="31" t="s">
        <v>234</v>
      </c>
      <c r="R5858" s="9">
        <v>2</v>
      </c>
      <c r="S5858" s="59">
        <v>87500</v>
      </c>
      <c r="T5858" s="4">
        <f t="shared" si="276"/>
        <v>175000</v>
      </c>
      <c r="U5858" s="4">
        <f t="shared" si="281"/>
        <v>196000.00000000003</v>
      </c>
      <c r="V5858" s="3"/>
      <c r="W5858" s="3">
        <v>2014</v>
      </c>
      <c r="X5858" s="3"/>
    </row>
    <row r="5859" spans="1:24" ht="114.75">
      <c r="A5859" s="3" t="s">
        <v>2428</v>
      </c>
      <c r="B5859" s="6" t="s">
        <v>361</v>
      </c>
      <c r="C5859" s="6" t="s">
        <v>6363</v>
      </c>
      <c r="D5859" s="6" t="s">
        <v>6364</v>
      </c>
      <c r="E5859" s="6" t="s">
        <v>6365</v>
      </c>
      <c r="F5859" s="9" t="s">
        <v>8285</v>
      </c>
      <c r="G5859" s="3" t="s">
        <v>11449</v>
      </c>
      <c r="H5859" s="185">
        <v>0</v>
      </c>
      <c r="I5859" s="16">
        <v>470000000</v>
      </c>
      <c r="J5859" s="56" t="s">
        <v>229</v>
      </c>
      <c r="K5859" s="57" t="s">
        <v>641</v>
      </c>
      <c r="L5859" s="57" t="s">
        <v>364</v>
      </c>
      <c r="M5859" s="3" t="s">
        <v>230</v>
      </c>
      <c r="N5859" s="8" t="s">
        <v>9479</v>
      </c>
      <c r="O5859" s="6" t="s">
        <v>365</v>
      </c>
      <c r="P5859" s="58">
        <v>796</v>
      </c>
      <c r="Q5859" s="31" t="s">
        <v>234</v>
      </c>
      <c r="R5859" s="9">
        <v>20</v>
      </c>
      <c r="S5859" s="59">
        <v>7767.86</v>
      </c>
      <c r="T5859" s="4">
        <f t="shared" si="276"/>
        <v>155357.19999999998</v>
      </c>
      <c r="U5859" s="4">
        <f t="shared" si="281"/>
        <v>174000.06399999998</v>
      </c>
      <c r="V5859" s="3"/>
      <c r="W5859" s="3">
        <v>2014</v>
      </c>
      <c r="X5859" s="3"/>
    </row>
    <row r="5860" spans="1:24" ht="114.75">
      <c r="A5860" s="3" t="s">
        <v>2429</v>
      </c>
      <c r="B5860" s="6" t="s">
        <v>361</v>
      </c>
      <c r="C5860" s="6" t="s">
        <v>6363</v>
      </c>
      <c r="D5860" s="6" t="s">
        <v>6364</v>
      </c>
      <c r="E5860" s="6" t="s">
        <v>6365</v>
      </c>
      <c r="F5860" s="9" t="s">
        <v>8286</v>
      </c>
      <c r="G5860" s="3" t="s">
        <v>11449</v>
      </c>
      <c r="H5860" s="185">
        <v>0</v>
      </c>
      <c r="I5860" s="16">
        <v>470000000</v>
      </c>
      <c r="J5860" s="56" t="s">
        <v>229</v>
      </c>
      <c r="K5860" s="57" t="s">
        <v>641</v>
      </c>
      <c r="L5860" s="57" t="s">
        <v>364</v>
      </c>
      <c r="M5860" s="3" t="s">
        <v>230</v>
      </c>
      <c r="N5860" s="8" t="s">
        <v>9479</v>
      </c>
      <c r="O5860" s="6" t="s">
        <v>365</v>
      </c>
      <c r="P5860" s="58">
        <v>796</v>
      </c>
      <c r="Q5860" s="31" t="s">
        <v>234</v>
      </c>
      <c r="R5860" s="9">
        <v>20</v>
      </c>
      <c r="S5860" s="59">
        <v>10892.86</v>
      </c>
      <c r="T5860" s="4">
        <f t="shared" si="276"/>
        <v>217857.2</v>
      </c>
      <c r="U5860" s="4">
        <f t="shared" si="281"/>
        <v>244000.06400000004</v>
      </c>
      <c r="V5860" s="3"/>
      <c r="W5860" s="3">
        <v>2014</v>
      </c>
      <c r="X5860" s="3"/>
    </row>
    <row r="5861" spans="1:24" ht="114.75">
      <c r="A5861" s="3" t="s">
        <v>2430</v>
      </c>
      <c r="B5861" s="6" t="s">
        <v>361</v>
      </c>
      <c r="C5861" s="6" t="s">
        <v>5627</v>
      </c>
      <c r="D5861" s="6" t="s">
        <v>5628</v>
      </c>
      <c r="E5861" s="6" t="s">
        <v>5629</v>
      </c>
      <c r="F5861" s="8" t="s">
        <v>8287</v>
      </c>
      <c r="G5861" s="3" t="s">
        <v>11449</v>
      </c>
      <c r="H5861" s="185">
        <v>0</v>
      </c>
      <c r="I5861" s="16">
        <v>470000000</v>
      </c>
      <c r="J5861" s="56" t="s">
        <v>229</v>
      </c>
      <c r="K5861" s="57" t="s">
        <v>641</v>
      </c>
      <c r="L5861" s="57" t="s">
        <v>364</v>
      </c>
      <c r="M5861" s="3" t="s">
        <v>230</v>
      </c>
      <c r="N5861" s="8" t="s">
        <v>9479</v>
      </c>
      <c r="O5861" s="6" t="s">
        <v>365</v>
      </c>
      <c r="P5861" s="58">
        <v>796</v>
      </c>
      <c r="Q5861" s="31" t="s">
        <v>234</v>
      </c>
      <c r="R5861" s="9">
        <v>1</v>
      </c>
      <c r="S5861" s="59">
        <v>60714.29</v>
      </c>
      <c r="T5861" s="4">
        <f t="shared" si="276"/>
        <v>60714.29</v>
      </c>
      <c r="U5861" s="4">
        <f t="shared" si="281"/>
        <v>68000.00480000001</v>
      </c>
      <c r="V5861" s="3"/>
      <c r="W5861" s="3">
        <v>2014</v>
      </c>
      <c r="X5861" s="3"/>
    </row>
    <row r="5862" spans="1:24" ht="114.75">
      <c r="A5862" s="3" t="s">
        <v>2431</v>
      </c>
      <c r="B5862" s="6" t="s">
        <v>361</v>
      </c>
      <c r="C5862" s="6" t="s">
        <v>5627</v>
      </c>
      <c r="D5862" s="6" t="s">
        <v>5628</v>
      </c>
      <c r="E5862" s="6" t="s">
        <v>5629</v>
      </c>
      <c r="F5862" s="8" t="s">
        <v>8288</v>
      </c>
      <c r="G5862" s="3" t="s">
        <v>11449</v>
      </c>
      <c r="H5862" s="185">
        <v>0</v>
      </c>
      <c r="I5862" s="16">
        <v>470000000</v>
      </c>
      <c r="J5862" s="56" t="s">
        <v>229</v>
      </c>
      <c r="K5862" s="57" t="s">
        <v>641</v>
      </c>
      <c r="L5862" s="57" t="s">
        <v>364</v>
      </c>
      <c r="M5862" s="3" t="s">
        <v>230</v>
      </c>
      <c r="N5862" s="8" t="s">
        <v>9479</v>
      </c>
      <c r="O5862" s="6" t="s">
        <v>365</v>
      </c>
      <c r="P5862" s="58">
        <v>796</v>
      </c>
      <c r="Q5862" s="31" t="s">
        <v>234</v>
      </c>
      <c r="R5862" s="9">
        <v>1</v>
      </c>
      <c r="S5862" s="59">
        <f>40100*1.07</f>
        <v>42907</v>
      </c>
      <c r="T5862" s="4">
        <f t="shared" si="276"/>
        <v>42907</v>
      </c>
      <c r="U5862" s="4">
        <f t="shared" si="281"/>
        <v>48055.840000000004</v>
      </c>
      <c r="V5862" s="3"/>
      <c r="W5862" s="3">
        <v>2014</v>
      </c>
      <c r="X5862" s="3"/>
    </row>
    <row r="5863" spans="1:24" ht="114.75">
      <c r="A5863" s="3" t="s">
        <v>2432</v>
      </c>
      <c r="B5863" s="6" t="s">
        <v>361</v>
      </c>
      <c r="C5863" s="6" t="s">
        <v>5641</v>
      </c>
      <c r="D5863" s="6" t="s">
        <v>430</v>
      </c>
      <c r="E5863" s="6" t="s">
        <v>5642</v>
      </c>
      <c r="F5863" s="129" t="s">
        <v>8289</v>
      </c>
      <c r="G5863" s="3" t="s">
        <v>11449</v>
      </c>
      <c r="H5863" s="185">
        <v>0</v>
      </c>
      <c r="I5863" s="16">
        <v>470000000</v>
      </c>
      <c r="J5863" s="56" t="s">
        <v>229</v>
      </c>
      <c r="K5863" s="57" t="s">
        <v>641</v>
      </c>
      <c r="L5863" s="57" t="s">
        <v>364</v>
      </c>
      <c r="M5863" s="3" t="s">
        <v>230</v>
      </c>
      <c r="N5863" s="8" t="s">
        <v>9479</v>
      </c>
      <c r="O5863" s="6" t="s">
        <v>365</v>
      </c>
      <c r="P5863" s="58">
        <v>796</v>
      </c>
      <c r="Q5863" s="31" t="s">
        <v>234</v>
      </c>
      <c r="R5863" s="9">
        <v>1</v>
      </c>
      <c r="S5863" s="59">
        <f>40100*1.07</f>
        <v>42907</v>
      </c>
      <c r="T5863" s="4">
        <f t="shared" si="276"/>
        <v>42907</v>
      </c>
      <c r="U5863" s="4">
        <f t="shared" si="281"/>
        <v>48055.840000000004</v>
      </c>
      <c r="V5863" s="3"/>
      <c r="W5863" s="3">
        <v>2014</v>
      </c>
      <c r="X5863" s="3"/>
    </row>
    <row r="5864" spans="1:24" ht="114.75">
      <c r="A5864" s="3" t="s">
        <v>2433</v>
      </c>
      <c r="B5864" s="6" t="s">
        <v>361</v>
      </c>
      <c r="C5864" s="6" t="s">
        <v>5646</v>
      </c>
      <c r="D5864" s="6" t="s">
        <v>464</v>
      </c>
      <c r="E5864" s="6" t="s">
        <v>5647</v>
      </c>
      <c r="F5864" s="8" t="s">
        <v>8290</v>
      </c>
      <c r="G5864" s="3" t="s">
        <v>11449</v>
      </c>
      <c r="H5864" s="185">
        <v>0</v>
      </c>
      <c r="I5864" s="16">
        <v>470000000</v>
      </c>
      <c r="J5864" s="56" t="s">
        <v>229</v>
      </c>
      <c r="K5864" s="57" t="s">
        <v>641</v>
      </c>
      <c r="L5864" s="57" t="s">
        <v>364</v>
      </c>
      <c r="M5864" s="3" t="s">
        <v>230</v>
      </c>
      <c r="N5864" s="8" t="s">
        <v>9479</v>
      </c>
      <c r="O5864" s="6" t="s">
        <v>365</v>
      </c>
      <c r="P5864" s="58">
        <v>796</v>
      </c>
      <c r="Q5864" s="31" t="s">
        <v>234</v>
      </c>
      <c r="R5864" s="9">
        <v>4</v>
      </c>
      <c r="S5864" s="59">
        <v>7589.29</v>
      </c>
      <c r="T5864" s="4">
        <f t="shared" si="276"/>
        <v>30357.16</v>
      </c>
      <c r="U5864" s="4">
        <f t="shared" si="281"/>
        <v>34000.019200000002</v>
      </c>
      <c r="V5864" s="3"/>
      <c r="W5864" s="3">
        <v>2014</v>
      </c>
      <c r="X5864" s="3"/>
    </row>
    <row r="5865" spans="1:24" ht="114.75">
      <c r="A5865" s="3" t="s">
        <v>2434</v>
      </c>
      <c r="B5865" s="6" t="s">
        <v>361</v>
      </c>
      <c r="C5865" s="6" t="s">
        <v>6451</v>
      </c>
      <c r="D5865" s="6" t="s">
        <v>388</v>
      </c>
      <c r="E5865" s="6" t="s">
        <v>6075</v>
      </c>
      <c r="F5865" s="129" t="s">
        <v>8291</v>
      </c>
      <c r="G5865" s="3" t="s">
        <v>11449</v>
      </c>
      <c r="H5865" s="185">
        <v>0</v>
      </c>
      <c r="I5865" s="16">
        <v>470000000</v>
      </c>
      <c r="J5865" s="56" t="s">
        <v>229</v>
      </c>
      <c r="K5865" s="57" t="s">
        <v>641</v>
      </c>
      <c r="L5865" s="57" t="s">
        <v>364</v>
      </c>
      <c r="M5865" s="3" t="s">
        <v>230</v>
      </c>
      <c r="N5865" s="8" t="s">
        <v>9479</v>
      </c>
      <c r="O5865" s="6" t="s">
        <v>365</v>
      </c>
      <c r="P5865" s="58">
        <v>796</v>
      </c>
      <c r="Q5865" s="31" t="s">
        <v>234</v>
      </c>
      <c r="R5865" s="9">
        <v>2</v>
      </c>
      <c r="S5865" s="59">
        <f>45000*1.07</f>
        <v>48150</v>
      </c>
      <c r="T5865" s="4">
        <f t="shared" si="276"/>
        <v>96300</v>
      </c>
      <c r="U5865" s="4">
        <f t="shared" si="281"/>
        <v>107856.00000000001</v>
      </c>
      <c r="V5865" s="3"/>
      <c r="W5865" s="3">
        <v>2014</v>
      </c>
      <c r="X5865" s="3"/>
    </row>
    <row r="5866" spans="1:24" ht="114.75">
      <c r="A5866" s="3" t="s">
        <v>2435</v>
      </c>
      <c r="B5866" s="6" t="s">
        <v>361</v>
      </c>
      <c r="C5866" s="6" t="s">
        <v>6452</v>
      </c>
      <c r="D5866" s="6" t="s">
        <v>6453</v>
      </c>
      <c r="E5866" s="6" t="s">
        <v>5332</v>
      </c>
      <c r="F5866" s="129" t="s">
        <v>8292</v>
      </c>
      <c r="G5866" s="3" t="s">
        <v>11449</v>
      </c>
      <c r="H5866" s="185">
        <v>0</v>
      </c>
      <c r="I5866" s="16">
        <v>470000000</v>
      </c>
      <c r="J5866" s="56" t="s">
        <v>229</v>
      </c>
      <c r="K5866" s="57" t="s">
        <v>641</v>
      </c>
      <c r="L5866" s="57" t="s">
        <v>364</v>
      </c>
      <c r="M5866" s="3" t="s">
        <v>230</v>
      </c>
      <c r="N5866" s="8" t="s">
        <v>9479</v>
      </c>
      <c r="O5866" s="6" t="s">
        <v>365</v>
      </c>
      <c r="P5866" s="58">
        <v>796</v>
      </c>
      <c r="Q5866" s="31" t="s">
        <v>234</v>
      </c>
      <c r="R5866" s="37">
        <v>6</v>
      </c>
      <c r="S5866" s="59">
        <v>5535.71</v>
      </c>
      <c r="T5866" s="4">
        <f t="shared" si="276"/>
        <v>33214.26</v>
      </c>
      <c r="U5866" s="4">
        <f t="shared" si="281"/>
        <v>37199.971200000007</v>
      </c>
      <c r="V5866" s="3"/>
      <c r="W5866" s="3">
        <v>2014</v>
      </c>
      <c r="X5866" s="3"/>
    </row>
    <row r="5867" spans="1:24" ht="114.75">
      <c r="A5867" s="3" t="s">
        <v>2436</v>
      </c>
      <c r="B5867" s="6" t="s">
        <v>361</v>
      </c>
      <c r="C5867" s="6" t="s">
        <v>5652</v>
      </c>
      <c r="D5867" s="6" t="s">
        <v>422</v>
      </c>
      <c r="E5867" s="6" t="s">
        <v>5332</v>
      </c>
      <c r="F5867" s="129" t="s">
        <v>8293</v>
      </c>
      <c r="G5867" s="3" t="s">
        <v>11449</v>
      </c>
      <c r="H5867" s="185">
        <v>0</v>
      </c>
      <c r="I5867" s="16">
        <v>470000000</v>
      </c>
      <c r="J5867" s="56" t="s">
        <v>229</v>
      </c>
      <c r="K5867" s="57" t="s">
        <v>641</v>
      </c>
      <c r="L5867" s="57" t="s">
        <v>364</v>
      </c>
      <c r="M5867" s="3" t="s">
        <v>230</v>
      </c>
      <c r="N5867" s="8" t="s">
        <v>9479</v>
      </c>
      <c r="O5867" s="6" t="s">
        <v>365</v>
      </c>
      <c r="P5867" s="58">
        <v>796</v>
      </c>
      <c r="Q5867" s="31" t="s">
        <v>234</v>
      </c>
      <c r="R5867" s="37">
        <v>6</v>
      </c>
      <c r="S5867" s="59">
        <f>1900*1.07</f>
        <v>2033.0000000000002</v>
      </c>
      <c r="T5867" s="4">
        <f t="shared" si="276"/>
        <v>12198.000000000002</v>
      </c>
      <c r="U5867" s="4">
        <f t="shared" si="281"/>
        <v>13661.760000000004</v>
      </c>
      <c r="V5867" s="3"/>
      <c r="W5867" s="3">
        <v>2014</v>
      </c>
      <c r="X5867" s="3"/>
    </row>
    <row r="5868" spans="1:24" ht="165.75">
      <c r="A5868" s="3" t="s">
        <v>2437</v>
      </c>
      <c r="B5868" s="6" t="s">
        <v>361</v>
      </c>
      <c r="C5868" s="6" t="s">
        <v>6255</v>
      </c>
      <c r="D5868" s="6" t="s">
        <v>455</v>
      </c>
      <c r="E5868" s="6" t="s">
        <v>6256</v>
      </c>
      <c r="F5868" s="129" t="s">
        <v>8294</v>
      </c>
      <c r="G5868" s="3" t="s">
        <v>11449</v>
      </c>
      <c r="H5868" s="185">
        <v>0</v>
      </c>
      <c r="I5868" s="16">
        <v>470000000</v>
      </c>
      <c r="J5868" s="56" t="s">
        <v>229</v>
      </c>
      <c r="K5868" s="57" t="s">
        <v>641</v>
      </c>
      <c r="L5868" s="57" t="s">
        <v>364</v>
      </c>
      <c r="M5868" s="3" t="s">
        <v>230</v>
      </c>
      <c r="N5868" s="8" t="s">
        <v>9479</v>
      </c>
      <c r="O5868" s="6" t="s">
        <v>365</v>
      </c>
      <c r="P5868" s="58">
        <v>796</v>
      </c>
      <c r="Q5868" s="31" t="s">
        <v>234</v>
      </c>
      <c r="R5868" s="37">
        <v>10</v>
      </c>
      <c r="S5868" s="59">
        <v>4752.22</v>
      </c>
      <c r="T5868" s="4">
        <f t="shared" si="276"/>
        <v>47522.200000000004</v>
      </c>
      <c r="U5868" s="4">
        <f t="shared" si="281"/>
        <v>53224.864000000009</v>
      </c>
      <c r="V5868" s="3"/>
      <c r="W5868" s="3">
        <v>2014</v>
      </c>
      <c r="X5868" s="3"/>
    </row>
    <row r="5869" spans="1:24" ht="165.75">
      <c r="A5869" s="3" t="s">
        <v>2438</v>
      </c>
      <c r="B5869" s="6" t="s">
        <v>361</v>
      </c>
      <c r="C5869" s="6" t="s">
        <v>6255</v>
      </c>
      <c r="D5869" s="6" t="s">
        <v>455</v>
      </c>
      <c r="E5869" s="6" t="s">
        <v>6256</v>
      </c>
      <c r="F5869" s="129" t="s">
        <v>8295</v>
      </c>
      <c r="G5869" s="3" t="s">
        <v>11449</v>
      </c>
      <c r="H5869" s="185">
        <v>0</v>
      </c>
      <c r="I5869" s="16">
        <v>470000000</v>
      </c>
      <c r="J5869" s="56" t="s">
        <v>229</v>
      </c>
      <c r="K5869" s="57" t="s">
        <v>641</v>
      </c>
      <c r="L5869" s="57" t="s">
        <v>364</v>
      </c>
      <c r="M5869" s="3" t="s">
        <v>230</v>
      </c>
      <c r="N5869" s="8" t="s">
        <v>9479</v>
      </c>
      <c r="O5869" s="6" t="s">
        <v>365</v>
      </c>
      <c r="P5869" s="58">
        <v>796</v>
      </c>
      <c r="Q5869" s="31" t="s">
        <v>234</v>
      </c>
      <c r="R5869" s="37">
        <v>10</v>
      </c>
      <c r="S5869" s="59">
        <v>6250</v>
      </c>
      <c r="T5869" s="4">
        <f t="shared" si="276"/>
        <v>62500</v>
      </c>
      <c r="U5869" s="4">
        <f t="shared" si="281"/>
        <v>70000</v>
      </c>
      <c r="V5869" s="3"/>
      <c r="W5869" s="3">
        <v>2014</v>
      </c>
      <c r="X5869" s="3"/>
    </row>
    <row r="5870" spans="1:24" ht="114.75">
      <c r="A5870" s="3" t="s">
        <v>2439</v>
      </c>
      <c r="B5870" s="6" t="s">
        <v>361</v>
      </c>
      <c r="C5870" s="6" t="s">
        <v>6454</v>
      </c>
      <c r="D5870" s="6" t="s">
        <v>6253</v>
      </c>
      <c r="E5870" s="6" t="s">
        <v>6455</v>
      </c>
      <c r="F5870" s="129" t="s">
        <v>8296</v>
      </c>
      <c r="G5870" s="3" t="s">
        <v>11449</v>
      </c>
      <c r="H5870" s="185">
        <v>0</v>
      </c>
      <c r="I5870" s="16">
        <v>470000000</v>
      </c>
      <c r="J5870" s="56" t="s">
        <v>229</v>
      </c>
      <c r="K5870" s="57" t="s">
        <v>641</v>
      </c>
      <c r="L5870" s="57" t="s">
        <v>364</v>
      </c>
      <c r="M5870" s="3" t="s">
        <v>230</v>
      </c>
      <c r="N5870" s="8" t="s">
        <v>9479</v>
      </c>
      <c r="O5870" s="6" t="s">
        <v>365</v>
      </c>
      <c r="P5870" s="58">
        <v>796</v>
      </c>
      <c r="Q5870" s="31" t="s">
        <v>234</v>
      </c>
      <c r="R5870" s="37">
        <v>2</v>
      </c>
      <c r="S5870" s="59">
        <v>27312.29</v>
      </c>
      <c r="T5870" s="4">
        <f t="shared" si="276"/>
        <v>54624.58</v>
      </c>
      <c r="U5870" s="4">
        <f t="shared" si="281"/>
        <v>61179.529600000009</v>
      </c>
      <c r="V5870" s="3"/>
      <c r="W5870" s="3">
        <v>2014</v>
      </c>
      <c r="X5870" s="3"/>
    </row>
    <row r="5871" spans="1:24" ht="114.75">
      <c r="A5871" s="3" t="s">
        <v>2440</v>
      </c>
      <c r="B5871" s="6" t="s">
        <v>361</v>
      </c>
      <c r="C5871" s="6" t="s">
        <v>6454</v>
      </c>
      <c r="D5871" s="6" t="s">
        <v>6253</v>
      </c>
      <c r="E5871" s="6" t="s">
        <v>6455</v>
      </c>
      <c r="F5871" s="129" t="s">
        <v>8297</v>
      </c>
      <c r="G5871" s="3" t="s">
        <v>11449</v>
      </c>
      <c r="H5871" s="185">
        <v>0</v>
      </c>
      <c r="I5871" s="16">
        <v>470000000</v>
      </c>
      <c r="J5871" s="56" t="s">
        <v>229</v>
      </c>
      <c r="K5871" s="57" t="s">
        <v>641</v>
      </c>
      <c r="L5871" s="57" t="s">
        <v>364</v>
      </c>
      <c r="M5871" s="3" t="s">
        <v>230</v>
      </c>
      <c r="N5871" s="8" t="s">
        <v>9479</v>
      </c>
      <c r="O5871" s="6" t="s">
        <v>365</v>
      </c>
      <c r="P5871" s="58">
        <v>796</v>
      </c>
      <c r="Q5871" s="31" t="s">
        <v>234</v>
      </c>
      <c r="R5871" s="37">
        <v>2</v>
      </c>
      <c r="S5871" s="59">
        <v>33928.57</v>
      </c>
      <c r="T5871" s="4">
        <f t="shared" si="276"/>
        <v>67857.14</v>
      </c>
      <c r="U5871" s="4">
        <f t="shared" si="281"/>
        <v>75999.996800000008</v>
      </c>
      <c r="V5871" s="3"/>
      <c r="W5871" s="3">
        <v>2014</v>
      </c>
      <c r="X5871" s="3"/>
    </row>
    <row r="5872" spans="1:24" ht="114.75">
      <c r="A5872" s="3" t="s">
        <v>2441</v>
      </c>
      <c r="B5872" s="6" t="s">
        <v>361</v>
      </c>
      <c r="C5872" s="6" t="s">
        <v>6458</v>
      </c>
      <c r="D5872" s="6" t="s">
        <v>6253</v>
      </c>
      <c r="E5872" s="6" t="s">
        <v>6459</v>
      </c>
      <c r="F5872" s="129" t="s">
        <v>8298</v>
      </c>
      <c r="G5872" s="3" t="s">
        <v>11449</v>
      </c>
      <c r="H5872" s="185">
        <v>0</v>
      </c>
      <c r="I5872" s="16">
        <v>470000000</v>
      </c>
      <c r="J5872" s="56" t="s">
        <v>229</v>
      </c>
      <c r="K5872" s="57" t="s">
        <v>641</v>
      </c>
      <c r="L5872" s="57" t="s">
        <v>364</v>
      </c>
      <c r="M5872" s="3" t="s">
        <v>230</v>
      </c>
      <c r="N5872" s="8" t="s">
        <v>9479</v>
      </c>
      <c r="O5872" s="6" t="s">
        <v>365</v>
      </c>
      <c r="P5872" s="58">
        <v>796</v>
      </c>
      <c r="Q5872" s="31" t="s">
        <v>234</v>
      </c>
      <c r="R5872" s="37">
        <v>2</v>
      </c>
      <c r="S5872" s="59">
        <v>16696.43</v>
      </c>
      <c r="T5872" s="4">
        <f t="shared" si="276"/>
        <v>33392.86</v>
      </c>
      <c r="U5872" s="4">
        <f t="shared" si="281"/>
        <v>37400.003200000006</v>
      </c>
      <c r="V5872" s="3"/>
      <c r="W5872" s="3">
        <v>2014</v>
      </c>
      <c r="X5872" s="3"/>
    </row>
    <row r="5873" spans="1:24" ht="114.75">
      <c r="A5873" s="3" t="s">
        <v>2442</v>
      </c>
      <c r="B5873" s="6" t="s">
        <v>361</v>
      </c>
      <c r="C5873" s="6" t="s">
        <v>6458</v>
      </c>
      <c r="D5873" s="6" t="s">
        <v>6253</v>
      </c>
      <c r="E5873" s="6" t="s">
        <v>6459</v>
      </c>
      <c r="F5873" s="129" t="s">
        <v>8299</v>
      </c>
      <c r="G5873" s="3" t="s">
        <v>11449</v>
      </c>
      <c r="H5873" s="185">
        <v>0</v>
      </c>
      <c r="I5873" s="16">
        <v>470000000</v>
      </c>
      <c r="J5873" s="56" t="s">
        <v>229</v>
      </c>
      <c r="K5873" s="57" t="s">
        <v>641</v>
      </c>
      <c r="L5873" s="57" t="s">
        <v>364</v>
      </c>
      <c r="M5873" s="3" t="s">
        <v>230</v>
      </c>
      <c r="N5873" s="8" t="s">
        <v>9479</v>
      </c>
      <c r="O5873" s="6" t="s">
        <v>365</v>
      </c>
      <c r="P5873" s="58">
        <v>796</v>
      </c>
      <c r="Q5873" s="31" t="s">
        <v>234</v>
      </c>
      <c r="R5873" s="37">
        <v>2</v>
      </c>
      <c r="S5873" s="59">
        <v>16696.43</v>
      </c>
      <c r="T5873" s="4">
        <f t="shared" si="276"/>
        <v>33392.86</v>
      </c>
      <c r="U5873" s="4">
        <f t="shared" si="281"/>
        <v>37400.003200000006</v>
      </c>
      <c r="V5873" s="3"/>
      <c r="W5873" s="3">
        <v>2014</v>
      </c>
      <c r="X5873" s="3"/>
    </row>
    <row r="5874" spans="1:24" ht="114.75">
      <c r="A5874" s="3" t="s">
        <v>2443</v>
      </c>
      <c r="B5874" s="6" t="s">
        <v>361</v>
      </c>
      <c r="C5874" s="6" t="s">
        <v>6460</v>
      </c>
      <c r="D5874" s="6" t="s">
        <v>450</v>
      </c>
      <c r="E5874" s="6" t="s">
        <v>6274</v>
      </c>
      <c r="F5874" s="8" t="s">
        <v>8300</v>
      </c>
      <c r="G5874" s="3" t="s">
        <v>11449</v>
      </c>
      <c r="H5874" s="185">
        <v>0</v>
      </c>
      <c r="I5874" s="16">
        <v>470000000</v>
      </c>
      <c r="J5874" s="56" t="s">
        <v>229</v>
      </c>
      <c r="K5874" s="57" t="s">
        <v>641</v>
      </c>
      <c r="L5874" s="57" t="s">
        <v>364</v>
      </c>
      <c r="M5874" s="3" t="s">
        <v>230</v>
      </c>
      <c r="N5874" s="8" t="s">
        <v>9479</v>
      </c>
      <c r="O5874" s="6" t="s">
        <v>365</v>
      </c>
      <c r="P5874" s="58">
        <v>796</v>
      </c>
      <c r="Q5874" s="31" t="s">
        <v>234</v>
      </c>
      <c r="R5874" s="26">
        <v>2</v>
      </c>
      <c r="S5874" s="59">
        <v>49107.14</v>
      </c>
      <c r="T5874" s="4">
        <f t="shared" si="276"/>
        <v>98214.28</v>
      </c>
      <c r="U5874" s="4">
        <f t="shared" si="281"/>
        <v>109999.99360000002</v>
      </c>
      <c r="V5874" s="3"/>
      <c r="W5874" s="3">
        <v>2014</v>
      </c>
      <c r="X5874" s="3"/>
    </row>
    <row r="5875" spans="1:24" ht="114.75">
      <c r="A5875" s="3" t="s">
        <v>2444</v>
      </c>
      <c r="B5875" s="6" t="s">
        <v>361</v>
      </c>
      <c r="C5875" s="6" t="s">
        <v>6461</v>
      </c>
      <c r="D5875" s="6" t="s">
        <v>407</v>
      </c>
      <c r="E5875" s="6" t="s">
        <v>6462</v>
      </c>
      <c r="F5875" s="9" t="s">
        <v>8301</v>
      </c>
      <c r="G5875" s="3" t="s">
        <v>11449</v>
      </c>
      <c r="H5875" s="185">
        <v>0</v>
      </c>
      <c r="I5875" s="16">
        <v>470000000</v>
      </c>
      <c r="J5875" s="56" t="s">
        <v>229</v>
      </c>
      <c r="K5875" s="57" t="s">
        <v>641</v>
      </c>
      <c r="L5875" s="57" t="s">
        <v>364</v>
      </c>
      <c r="M5875" s="3" t="s">
        <v>230</v>
      </c>
      <c r="N5875" s="8" t="s">
        <v>9479</v>
      </c>
      <c r="O5875" s="6" t="s">
        <v>365</v>
      </c>
      <c r="P5875" s="58">
        <v>796</v>
      </c>
      <c r="Q5875" s="31" t="s">
        <v>234</v>
      </c>
      <c r="R5875" s="26">
        <v>2</v>
      </c>
      <c r="S5875" s="59">
        <v>142857.14000000001</v>
      </c>
      <c r="T5875" s="4">
        <f t="shared" si="276"/>
        <v>285714.28000000003</v>
      </c>
      <c r="U5875" s="4">
        <f t="shared" si="281"/>
        <v>319999.99360000005</v>
      </c>
      <c r="V5875" s="3"/>
      <c r="W5875" s="3">
        <v>2014</v>
      </c>
      <c r="X5875" s="3"/>
    </row>
    <row r="5876" spans="1:24" ht="114.75">
      <c r="A5876" s="3" t="s">
        <v>2445</v>
      </c>
      <c r="B5876" s="6" t="s">
        <v>361</v>
      </c>
      <c r="C5876" s="6" t="s">
        <v>5379</v>
      </c>
      <c r="D5876" s="6" t="s">
        <v>5380</v>
      </c>
      <c r="E5876" s="6" t="s">
        <v>5183</v>
      </c>
      <c r="F5876" s="9" t="s">
        <v>8302</v>
      </c>
      <c r="G5876" s="3" t="s">
        <v>11449</v>
      </c>
      <c r="H5876" s="185">
        <v>0</v>
      </c>
      <c r="I5876" s="16">
        <v>470000000</v>
      </c>
      <c r="J5876" s="56" t="s">
        <v>229</v>
      </c>
      <c r="K5876" s="57" t="s">
        <v>641</v>
      </c>
      <c r="L5876" s="57" t="s">
        <v>364</v>
      </c>
      <c r="M5876" s="3" t="s">
        <v>230</v>
      </c>
      <c r="N5876" s="8" t="s">
        <v>9479</v>
      </c>
      <c r="O5876" s="6" t="s">
        <v>365</v>
      </c>
      <c r="P5876" s="58">
        <v>796</v>
      </c>
      <c r="Q5876" s="31" t="s">
        <v>234</v>
      </c>
      <c r="R5876" s="26">
        <v>2</v>
      </c>
      <c r="S5876" s="59">
        <v>52678.57</v>
      </c>
      <c r="T5876" s="4">
        <f t="shared" si="276"/>
        <v>105357.14</v>
      </c>
      <c r="U5876" s="4">
        <f t="shared" si="281"/>
        <v>117999.99680000001</v>
      </c>
      <c r="V5876" s="3"/>
      <c r="W5876" s="3">
        <v>2014</v>
      </c>
      <c r="X5876" s="3"/>
    </row>
    <row r="5877" spans="1:24" ht="114.75">
      <c r="A5877" s="3" t="s">
        <v>2446</v>
      </c>
      <c r="B5877" s="6" t="s">
        <v>361</v>
      </c>
      <c r="C5877" s="6" t="s">
        <v>11574</v>
      </c>
      <c r="D5877" s="6" t="s">
        <v>5896</v>
      </c>
      <c r="E5877" s="6" t="s">
        <v>11575</v>
      </c>
      <c r="F5877" s="9" t="s">
        <v>8303</v>
      </c>
      <c r="G5877" s="3" t="s">
        <v>11449</v>
      </c>
      <c r="H5877" s="185">
        <v>0</v>
      </c>
      <c r="I5877" s="16">
        <v>470000000</v>
      </c>
      <c r="J5877" s="56" t="s">
        <v>229</v>
      </c>
      <c r="K5877" s="57" t="s">
        <v>641</v>
      </c>
      <c r="L5877" s="57" t="s">
        <v>364</v>
      </c>
      <c r="M5877" s="3" t="s">
        <v>230</v>
      </c>
      <c r="N5877" s="8" t="s">
        <v>9479</v>
      </c>
      <c r="O5877" s="6" t="s">
        <v>365</v>
      </c>
      <c r="P5877" s="58">
        <v>796</v>
      </c>
      <c r="Q5877" s="31" t="s">
        <v>234</v>
      </c>
      <c r="R5877" s="26">
        <v>2</v>
      </c>
      <c r="S5877" s="59">
        <v>7053.57</v>
      </c>
      <c r="T5877" s="4">
        <f t="shared" si="276"/>
        <v>14107.14</v>
      </c>
      <c r="U5877" s="4">
        <f t="shared" si="281"/>
        <v>15799.996800000001</v>
      </c>
      <c r="V5877" s="3"/>
      <c r="W5877" s="3">
        <v>2014</v>
      </c>
      <c r="X5877" s="3"/>
    </row>
    <row r="5878" spans="1:24" ht="114.75">
      <c r="A5878" s="3" t="s">
        <v>2447</v>
      </c>
      <c r="B5878" s="6" t="s">
        <v>361</v>
      </c>
      <c r="C5878" s="6" t="s">
        <v>11574</v>
      </c>
      <c r="D5878" s="6" t="s">
        <v>5896</v>
      </c>
      <c r="E5878" s="6" t="s">
        <v>11575</v>
      </c>
      <c r="F5878" s="9" t="s">
        <v>8304</v>
      </c>
      <c r="G5878" s="3" t="s">
        <v>11449</v>
      </c>
      <c r="H5878" s="185">
        <v>0</v>
      </c>
      <c r="I5878" s="16">
        <v>470000000</v>
      </c>
      <c r="J5878" s="56" t="s">
        <v>229</v>
      </c>
      <c r="K5878" s="57" t="s">
        <v>641</v>
      </c>
      <c r="L5878" s="57" t="s">
        <v>364</v>
      </c>
      <c r="M5878" s="3" t="s">
        <v>230</v>
      </c>
      <c r="N5878" s="8" t="s">
        <v>9479</v>
      </c>
      <c r="O5878" s="6" t="s">
        <v>365</v>
      </c>
      <c r="P5878" s="58">
        <v>796</v>
      </c>
      <c r="Q5878" s="31" t="s">
        <v>234</v>
      </c>
      <c r="R5878" s="26">
        <v>2</v>
      </c>
      <c r="S5878" s="59">
        <v>13035.71</v>
      </c>
      <c r="T5878" s="4">
        <f t="shared" si="276"/>
        <v>26071.42</v>
      </c>
      <c r="U5878" s="4">
        <f t="shared" si="281"/>
        <v>29199.990400000002</v>
      </c>
      <c r="V5878" s="3"/>
      <c r="W5878" s="3">
        <v>2014</v>
      </c>
      <c r="X5878" s="3"/>
    </row>
    <row r="5879" spans="1:24" ht="114.75">
      <c r="A5879" s="3" t="s">
        <v>2448</v>
      </c>
      <c r="B5879" s="6" t="s">
        <v>361</v>
      </c>
      <c r="C5879" s="6" t="s">
        <v>6273</v>
      </c>
      <c r="D5879" s="6" t="s">
        <v>5963</v>
      </c>
      <c r="E5879" s="6" t="s">
        <v>6274</v>
      </c>
      <c r="F5879" s="229" t="s">
        <v>8305</v>
      </c>
      <c r="G5879" s="3" t="s">
        <v>11449</v>
      </c>
      <c r="H5879" s="185">
        <v>0</v>
      </c>
      <c r="I5879" s="16">
        <v>470000000</v>
      </c>
      <c r="J5879" s="56" t="s">
        <v>229</v>
      </c>
      <c r="K5879" s="57" t="s">
        <v>641</v>
      </c>
      <c r="L5879" s="57" t="s">
        <v>364</v>
      </c>
      <c r="M5879" s="3" t="s">
        <v>230</v>
      </c>
      <c r="N5879" s="8" t="s">
        <v>9479</v>
      </c>
      <c r="O5879" s="6" t="s">
        <v>365</v>
      </c>
      <c r="P5879" s="58">
        <v>796</v>
      </c>
      <c r="Q5879" s="31" t="s">
        <v>234</v>
      </c>
      <c r="R5879" s="26">
        <v>4</v>
      </c>
      <c r="S5879" s="59">
        <f>32700*1.07</f>
        <v>34989</v>
      </c>
      <c r="T5879" s="4">
        <f t="shared" si="276"/>
        <v>139956</v>
      </c>
      <c r="U5879" s="4">
        <f t="shared" si="281"/>
        <v>156750.72</v>
      </c>
      <c r="V5879" s="3"/>
      <c r="W5879" s="3">
        <v>2014</v>
      </c>
      <c r="X5879" s="3"/>
    </row>
    <row r="5880" spans="1:24" ht="114.75">
      <c r="A5880" s="3" t="s">
        <v>2449</v>
      </c>
      <c r="B5880" s="6" t="s">
        <v>361</v>
      </c>
      <c r="C5880" s="6" t="s">
        <v>6463</v>
      </c>
      <c r="D5880" s="6" t="s">
        <v>465</v>
      </c>
      <c r="E5880" s="6" t="s">
        <v>6464</v>
      </c>
      <c r="F5880" s="30" t="s">
        <v>6465</v>
      </c>
      <c r="G5880" s="3" t="s">
        <v>11449</v>
      </c>
      <c r="H5880" s="185">
        <v>0</v>
      </c>
      <c r="I5880" s="16">
        <v>470000000</v>
      </c>
      <c r="J5880" s="56" t="s">
        <v>229</v>
      </c>
      <c r="K5880" s="57" t="s">
        <v>641</v>
      </c>
      <c r="L5880" s="57" t="s">
        <v>364</v>
      </c>
      <c r="M5880" s="3" t="s">
        <v>230</v>
      </c>
      <c r="N5880" s="8" t="s">
        <v>9479</v>
      </c>
      <c r="O5880" s="6" t="s">
        <v>365</v>
      </c>
      <c r="P5880" s="58">
        <v>796</v>
      </c>
      <c r="Q5880" s="31" t="s">
        <v>234</v>
      </c>
      <c r="R5880" s="33">
        <v>1</v>
      </c>
      <c r="S5880" s="59">
        <v>1714312.5</v>
      </c>
      <c r="T5880" s="4">
        <f t="shared" si="276"/>
        <v>1714312.5</v>
      </c>
      <c r="U5880" s="4">
        <f t="shared" si="281"/>
        <v>1920030.0000000002</v>
      </c>
      <c r="V5880" s="3"/>
      <c r="W5880" s="3">
        <v>2014</v>
      </c>
      <c r="X5880" s="3"/>
    </row>
    <row r="5881" spans="1:24" ht="114.75">
      <c r="A5881" s="3" t="s">
        <v>2450</v>
      </c>
      <c r="B5881" s="6" t="s">
        <v>361</v>
      </c>
      <c r="C5881" s="6" t="s">
        <v>6460</v>
      </c>
      <c r="D5881" s="6" t="s">
        <v>450</v>
      </c>
      <c r="E5881" s="6" t="s">
        <v>6274</v>
      </c>
      <c r="F5881" s="8" t="s">
        <v>6466</v>
      </c>
      <c r="G5881" s="3" t="s">
        <v>11449</v>
      </c>
      <c r="H5881" s="185">
        <v>0</v>
      </c>
      <c r="I5881" s="16">
        <v>470000000</v>
      </c>
      <c r="J5881" s="56" t="s">
        <v>229</v>
      </c>
      <c r="K5881" s="57" t="s">
        <v>641</v>
      </c>
      <c r="L5881" s="57" t="s">
        <v>364</v>
      </c>
      <c r="M5881" s="3" t="s">
        <v>230</v>
      </c>
      <c r="N5881" s="8" t="s">
        <v>9479</v>
      </c>
      <c r="O5881" s="6" t="s">
        <v>365</v>
      </c>
      <c r="P5881" s="58">
        <v>796</v>
      </c>
      <c r="Q5881" s="31" t="s">
        <v>234</v>
      </c>
      <c r="R5881" s="38">
        <v>1</v>
      </c>
      <c r="S5881" s="59">
        <f>122100*1.07</f>
        <v>130647.00000000001</v>
      </c>
      <c r="T5881" s="4">
        <f t="shared" si="276"/>
        <v>130647.00000000001</v>
      </c>
      <c r="U5881" s="4">
        <f t="shared" si="281"/>
        <v>146324.64000000004</v>
      </c>
      <c r="V5881" s="3"/>
      <c r="W5881" s="3">
        <v>2014</v>
      </c>
      <c r="X5881" s="3"/>
    </row>
    <row r="5882" spans="1:24" ht="114.75">
      <c r="A5882" s="3" t="s">
        <v>2451</v>
      </c>
      <c r="B5882" s="6" t="s">
        <v>361</v>
      </c>
      <c r="C5882" s="6" t="s">
        <v>6467</v>
      </c>
      <c r="D5882" s="6" t="s">
        <v>5434</v>
      </c>
      <c r="E5882" s="6" t="s">
        <v>6274</v>
      </c>
      <c r="F5882" s="229" t="s">
        <v>6468</v>
      </c>
      <c r="G5882" s="3" t="s">
        <v>11449</v>
      </c>
      <c r="H5882" s="185">
        <v>0</v>
      </c>
      <c r="I5882" s="16">
        <v>470000000</v>
      </c>
      <c r="J5882" s="56" t="s">
        <v>229</v>
      </c>
      <c r="K5882" s="57" t="s">
        <v>641</v>
      </c>
      <c r="L5882" s="57" t="s">
        <v>364</v>
      </c>
      <c r="M5882" s="3" t="s">
        <v>230</v>
      </c>
      <c r="N5882" s="8" t="s">
        <v>9479</v>
      </c>
      <c r="O5882" s="6" t="s">
        <v>365</v>
      </c>
      <c r="P5882" s="58">
        <v>796</v>
      </c>
      <c r="Q5882" s="31" t="s">
        <v>234</v>
      </c>
      <c r="R5882" s="34">
        <v>2</v>
      </c>
      <c r="S5882" s="59">
        <f>25265*1.07</f>
        <v>27033.550000000003</v>
      </c>
      <c r="T5882" s="4">
        <f t="shared" si="276"/>
        <v>54067.100000000006</v>
      </c>
      <c r="U5882" s="4">
        <f t="shared" si="281"/>
        <v>60555.152000000009</v>
      </c>
      <c r="V5882" s="3"/>
      <c r="W5882" s="3">
        <v>2014</v>
      </c>
      <c r="X5882" s="3"/>
    </row>
    <row r="5883" spans="1:24" ht="114.75">
      <c r="A5883" s="3" t="s">
        <v>2452</v>
      </c>
      <c r="B5883" s="6" t="s">
        <v>361</v>
      </c>
      <c r="C5883" s="6" t="s">
        <v>5770</v>
      </c>
      <c r="D5883" s="6" t="s">
        <v>5771</v>
      </c>
      <c r="E5883" s="6" t="s">
        <v>5772</v>
      </c>
      <c r="F5883" s="229" t="s">
        <v>6469</v>
      </c>
      <c r="G5883" s="3" t="s">
        <v>11449</v>
      </c>
      <c r="H5883" s="185">
        <v>0</v>
      </c>
      <c r="I5883" s="16">
        <v>470000000</v>
      </c>
      <c r="J5883" s="56" t="s">
        <v>229</v>
      </c>
      <c r="K5883" s="57" t="s">
        <v>641</v>
      </c>
      <c r="L5883" s="57" t="s">
        <v>364</v>
      </c>
      <c r="M5883" s="3" t="s">
        <v>230</v>
      </c>
      <c r="N5883" s="8" t="s">
        <v>9479</v>
      </c>
      <c r="O5883" s="6" t="s">
        <v>365</v>
      </c>
      <c r="P5883" s="58">
        <v>796</v>
      </c>
      <c r="Q5883" s="31" t="s">
        <v>234</v>
      </c>
      <c r="R5883" s="34">
        <v>1</v>
      </c>
      <c r="S5883" s="59">
        <f>1922000*1.07</f>
        <v>2056540.0000000002</v>
      </c>
      <c r="T5883" s="4">
        <f t="shared" si="276"/>
        <v>2056540.0000000002</v>
      </c>
      <c r="U5883" s="4">
        <f t="shared" si="281"/>
        <v>2303324.8000000003</v>
      </c>
      <c r="V5883" s="3"/>
      <c r="W5883" s="3">
        <v>2014</v>
      </c>
      <c r="X5883" s="3"/>
    </row>
    <row r="5884" spans="1:24" ht="114.75">
      <c r="A5884" s="3" t="s">
        <v>2453</v>
      </c>
      <c r="B5884" s="6" t="s">
        <v>361</v>
      </c>
      <c r="C5884" s="6" t="s">
        <v>6470</v>
      </c>
      <c r="D5884" s="6" t="s">
        <v>6471</v>
      </c>
      <c r="E5884" s="6" t="s">
        <v>6472</v>
      </c>
      <c r="F5884" s="129" t="s">
        <v>6473</v>
      </c>
      <c r="G5884" s="3" t="s">
        <v>11449</v>
      </c>
      <c r="H5884" s="185">
        <v>0</v>
      </c>
      <c r="I5884" s="16">
        <v>470000000</v>
      </c>
      <c r="J5884" s="56" t="s">
        <v>229</v>
      </c>
      <c r="K5884" s="57" t="s">
        <v>641</v>
      </c>
      <c r="L5884" s="57" t="s">
        <v>364</v>
      </c>
      <c r="M5884" s="3" t="s">
        <v>230</v>
      </c>
      <c r="N5884" s="8" t="s">
        <v>9479</v>
      </c>
      <c r="O5884" s="6" t="s">
        <v>365</v>
      </c>
      <c r="P5884" s="58">
        <v>796</v>
      </c>
      <c r="Q5884" s="31" t="s">
        <v>234</v>
      </c>
      <c r="R5884" s="34">
        <v>2</v>
      </c>
      <c r="S5884" s="59">
        <f>12300*1.07</f>
        <v>13161</v>
      </c>
      <c r="T5884" s="4">
        <f t="shared" si="276"/>
        <v>26322</v>
      </c>
      <c r="U5884" s="4">
        <f t="shared" si="281"/>
        <v>29480.640000000003</v>
      </c>
      <c r="V5884" s="3"/>
      <c r="W5884" s="3">
        <v>2014</v>
      </c>
      <c r="X5884" s="3"/>
    </row>
    <row r="5885" spans="1:24" ht="114.75">
      <c r="A5885" s="3" t="s">
        <v>2454</v>
      </c>
      <c r="B5885" s="6" t="s">
        <v>361</v>
      </c>
      <c r="C5885" s="6" t="s">
        <v>5692</v>
      </c>
      <c r="D5885" s="6" t="s">
        <v>5693</v>
      </c>
      <c r="E5885" s="6" t="s">
        <v>5694</v>
      </c>
      <c r="F5885" s="129" t="s">
        <v>6474</v>
      </c>
      <c r="G5885" s="3" t="s">
        <v>11449</v>
      </c>
      <c r="H5885" s="185">
        <v>0</v>
      </c>
      <c r="I5885" s="16">
        <v>470000000</v>
      </c>
      <c r="J5885" s="56" t="s">
        <v>229</v>
      </c>
      <c r="K5885" s="57" t="s">
        <v>641</v>
      </c>
      <c r="L5885" s="57" t="s">
        <v>364</v>
      </c>
      <c r="M5885" s="3" t="s">
        <v>230</v>
      </c>
      <c r="N5885" s="8" t="s">
        <v>9479</v>
      </c>
      <c r="O5885" s="6" t="s">
        <v>365</v>
      </c>
      <c r="P5885" s="58">
        <v>796</v>
      </c>
      <c r="Q5885" s="31" t="s">
        <v>234</v>
      </c>
      <c r="R5885" s="38">
        <v>20</v>
      </c>
      <c r="S5885" s="59">
        <f>5300*1.07</f>
        <v>5671</v>
      </c>
      <c r="T5885" s="4">
        <f t="shared" si="276"/>
        <v>113420</v>
      </c>
      <c r="U5885" s="4">
        <f t="shared" si="281"/>
        <v>127030.40000000001</v>
      </c>
      <c r="V5885" s="3"/>
      <c r="W5885" s="3">
        <v>2014</v>
      </c>
      <c r="X5885" s="3"/>
    </row>
    <row r="5886" spans="1:24" ht="114.75">
      <c r="A5886" s="3" t="s">
        <v>2455</v>
      </c>
      <c r="B5886" s="6" t="s">
        <v>361</v>
      </c>
      <c r="C5886" s="6" t="s">
        <v>11576</v>
      </c>
      <c r="D5886" s="6" t="s">
        <v>11577</v>
      </c>
      <c r="E5886" s="6" t="s">
        <v>5183</v>
      </c>
      <c r="F5886" s="129" t="s">
        <v>466</v>
      </c>
      <c r="G5886" s="3" t="s">
        <v>11449</v>
      </c>
      <c r="H5886" s="185">
        <v>0</v>
      </c>
      <c r="I5886" s="16">
        <v>470000000</v>
      </c>
      <c r="J5886" s="56" t="s">
        <v>229</v>
      </c>
      <c r="K5886" s="57" t="s">
        <v>641</v>
      </c>
      <c r="L5886" s="57" t="s">
        <v>364</v>
      </c>
      <c r="M5886" s="3" t="s">
        <v>230</v>
      </c>
      <c r="N5886" s="8" t="s">
        <v>9479</v>
      </c>
      <c r="O5886" s="6" t="s">
        <v>365</v>
      </c>
      <c r="P5886" s="58">
        <v>796</v>
      </c>
      <c r="Q5886" s="31" t="s">
        <v>234</v>
      </c>
      <c r="R5886" s="38">
        <v>20</v>
      </c>
      <c r="S5886" s="59">
        <f>6500</f>
        <v>6500</v>
      </c>
      <c r="T5886" s="4">
        <f t="shared" si="276"/>
        <v>130000</v>
      </c>
      <c r="U5886" s="4">
        <f t="shared" si="281"/>
        <v>145600</v>
      </c>
      <c r="V5886" s="3"/>
      <c r="W5886" s="3">
        <v>2014</v>
      </c>
      <c r="X5886" s="3"/>
    </row>
    <row r="5887" spans="1:24" ht="114.75">
      <c r="A5887" s="3" t="s">
        <v>2456</v>
      </c>
      <c r="B5887" s="6" t="s">
        <v>361</v>
      </c>
      <c r="C5887" s="6" t="s">
        <v>6475</v>
      </c>
      <c r="D5887" s="6" t="s">
        <v>6476</v>
      </c>
      <c r="E5887" s="6" t="s">
        <v>6295</v>
      </c>
      <c r="F5887" s="129" t="s">
        <v>6477</v>
      </c>
      <c r="G5887" s="3" t="s">
        <v>11449</v>
      </c>
      <c r="H5887" s="185">
        <v>0</v>
      </c>
      <c r="I5887" s="16">
        <v>470000000</v>
      </c>
      <c r="J5887" s="56" t="s">
        <v>229</v>
      </c>
      <c r="K5887" s="57" t="s">
        <v>641</v>
      </c>
      <c r="L5887" s="57" t="s">
        <v>364</v>
      </c>
      <c r="M5887" s="3" t="s">
        <v>230</v>
      </c>
      <c r="N5887" s="8" t="s">
        <v>9479</v>
      </c>
      <c r="O5887" s="6" t="s">
        <v>365</v>
      </c>
      <c r="P5887" s="58">
        <v>796</v>
      </c>
      <c r="Q5887" s="31" t="s">
        <v>234</v>
      </c>
      <c r="R5887" s="38">
        <v>60</v>
      </c>
      <c r="S5887" s="59">
        <f>145500*1.07</f>
        <v>155685</v>
      </c>
      <c r="T5887" s="4">
        <f t="shared" ref="T5887:T5891" si="282">R5887*S5887</f>
        <v>9341100</v>
      </c>
      <c r="U5887" s="4">
        <f t="shared" si="281"/>
        <v>10462032.000000002</v>
      </c>
      <c r="V5887" s="3"/>
      <c r="W5887" s="3">
        <v>2014</v>
      </c>
      <c r="X5887" s="3"/>
    </row>
    <row r="5888" spans="1:24" ht="114.75">
      <c r="A5888" s="3" t="s">
        <v>2457</v>
      </c>
      <c r="B5888" s="6" t="s">
        <v>361</v>
      </c>
      <c r="C5888" s="6" t="s">
        <v>6300</v>
      </c>
      <c r="D5888" s="6" t="s">
        <v>433</v>
      </c>
      <c r="E5888" s="6" t="s">
        <v>6291</v>
      </c>
      <c r="F5888" s="129" t="s">
        <v>6478</v>
      </c>
      <c r="G5888" s="3" t="s">
        <v>11449</v>
      </c>
      <c r="H5888" s="185">
        <v>0</v>
      </c>
      <c r="I5888" s="16">
        <v>470000000</v>
      </c>
      <c r="J5888" s="56" t="s">
        <v>229</v>
      </c>
      <c r="K5888" s="57" t="s">
        <v>641</v>
      </c>
      <c r="L5888" s="57" t="s">
        <v>364</v>
      </c>
      <c r="M5888" s="3" t="s">
        <v>230</v>
      </c>
      <c r="N5888" s="8" t="s">
        <v>9479</v>
      </c>
      <c r="O5888" s="6" t="s">
        <v>365</v>
      </c>
      <c r="P5888" s="58">
        <v>796</v>
      </c>
      <c r="Q5888" s="31" t="s">
        <v>234</v>
      </c>
      <c r="R5888" s="38">
        <v>4</v>
      </c>
      <c r="S5888" s="59">
        <v>186112.68</v>
      </c>
      <c r="T5888" s="4">
        <f t="shared" si="282"/>
        <v>744450.72</v>
      </c>
      <c r="U5888" s="4">
        <f t="shared" si="281"/>
        <v>833784.8064</v>
      </c>
      <c r="V5888" s="3"/>
      <c r="W5888" s="3">
        <v>2014</v>
      </c>
      <c r="X5888" s="3"/>
    </row>
    <row r="5889" spans="1:24" ht="114.75">
      <c r="A5889" s="3" t="s">
        <v>2458</v>
      </c>
      <c r="B5889" s="6" t="s">
        <v>361</v>
      </c>
      <c r="C5889" s="6" t="s">
        <v>6447</v>
      </c>
      <c r="D5889" s="6" t="s">
        <v>5399</v>
      </c>
      <c r="E5889" s="6" t="s">
        <v>6448</v>
      </c>
      <c r="F5889" s="129" t="s">
        <v>6479</v>
      </c>
      <c r="G5889" s="3" t="s">
        <v>11449</v>
      </c>
      <c r="H5889" s="185">
        <v>0</v>
      </c>
      <c r="I5889" s="16">
        <v>470000000</v>
      </c>
      <c r="J5889" s="56" t="s">
        <v>229</v>
      </c>
      <c r="K5889" s="57" t="s">
        <v>641</v>
      </c>
      <c r="L5889" s="57" t="s">
        <v>364</v>
      </c>
      <c r="M5889" s="3" t="s">
        <v>230</v>
      </c>
      <c r="N5889" s="8" t="s">
        <v>9479</v>
      </c>
      <c r="O5889" s="6" t="s">
        <v>365</v>
      </c>
      <c r="P5889" s="58">
        <v>796</v>
      </c>
      <c r="Q5889" s="31" t="s">
        <v>234</v>
      </c>
      <c r="R5889" s="38">
        <v>2</v>
      </c>
      <c r="S5889" s="59">
        <v>1294642.8600000001</v>
      </c>
      <c r="T5889" s="4">
        <f t="shared" si="282"/>
        <v>2589285.7200000002</v>
      </c>
      <c r="U5889" s="4">
        <f t="shared" si="281"/>
        <v>2900000.0064000003</v>
      </c>
      <c r="V5889" s="3"/>
      <c r="W5889" s="3">
        <v>2014</v>
      </c>
      <c r="X5889" s="3"/>
    </row>
    <row r="5890" spans="1:24" ht="114.75">
      <c r="A5890" s="3" t="s">
        <v>2459</v>
      </c>
      <c r="B5890" s="6" t="s">
        <v>361</v>
      </c>
      <c r="C5890" s="6" t="s">
        <v>6460</v>
      </c>
      <c r="D5890" s="6" t="s">
        <v>450</v>
      </c>
      <c r="E5890" s="6" t="s">
        <v>6274</v>
      </c>
      <c r="F5890" s="129" t="s">
        <v>6480</v>
      </c>
      <c r="G5890" s="3" t="s">
        <v>11449</v>
      </c>
      <c r="H5890" s="185">
        <v>0</v>
      </c>
      <c r="I5890" s="16">
        <v>470000000</v>
      </c>
      <c r="J5890" s="56" t="s">
        <v>229</v>
      </c>
      <c r="K5890" s="57" t="s">
        <v>641</v>
      </c>
      <c r="L5890" s="57" t="s">
        <v>364</v>
      </c>
      <c r="M5890" s="3" t="s">
        <v>230</v>
      </c>
      <c r="N5890" s="8" t="s">
        <v>9479</v>
      </c>
      <c r="O5890" s="6" t="s">
        <v>365</v>
      </c>
      <c r="P5890" s="58">
        <v>796</v>
      </c>
      <c r="Q5890" s="31" t="s">
        <v>234</v>
      </c>
      <c r="R5890" s="37">
        <v>1</v>
      </c>
      <c r="S5890" s="59">
        <f>325000*1.07</f>
        <v>347750</v>
      </c>
      <c r="T5890" s="4">
        <f t="shared" si="282"/>
        <v>347750</v>
      </c>
      <c r="U5890" s="4">
        <f>T5890*1.12</f>
        <v>389480.00000000006</v>
      </c>
      <c r="V5890" s="3"/>
      <c r="W5890" s="3">
        <v>2014</v>
      </c>
      <c r="X5890" s="3"/>
    </row>
    <row r="5891" spans="1:24" ht="114.75">
      <c r="A5891" s="3" t="s">
        <v>2460</v>
      </c>
      <c r="B5891" s="6" t="s">
        <v>361</v>
      </c>
      <c r="C5891" s="6" t="s">
        <v>6349</v>
      </c>
      <c r="D5891" s="6" t="s">
        <v>494</v>
      </c>
      <c r="E5891" s="6" t="s">
        <v>5332</v>
      </c>
      <c r="F5891" s="129" t="s">
        <v>6481</v>
      </c>
      <c r="G5891" s="3" t="s">
        <v>11449</v>
      </c>
      <c r="H5891" s="185">
        <v>0</v>
      </c>
      <c r="I5891" s="16">
        <v>470000000</v>
      </c>
      <c r="J5891" s="56" t="s">
        <v>229</v>
      </c>
      <c r="K5891" s="57" t="s">
        <v>641</v>
      </c>
      <c r="L5891" s="57" t="s">
        <v>364</v>
      </c>
      <c r="M5891" s="3" t="s">
        <v>230</v>
      </c>
      <c r="N5891" s="8" t="s">
        <v>9479</v>
      </c>
      <c r="O5891" s="6" t="s">
        <v>365</v>
      </c>
      <c r="P5891" s="58">
        <v>796</v>
      </c>
      <c r="Q5891" s="31" t="s">
        <v>234</v>
      </c>
      <c r="R5891" s="37">
        <v>20</v>
      </c>
      <c r="S5891" s="59">
        <v>1430</v>
      </c>
      <c r="T5891" s="4">
        <f t="shared" si="282"/>
        <v>28600</v>
      </c>
      <c r="U5891" s="4">
        <f>T5891*1.12</f>
        <v>32032.000000000004</v>
      </c>
      <c r="V5891" s="3"/>
      <c r="W5891" s="3">
        <v>2014</v>
      </c>
      <c r="X5891" s="3"/>
    </row>
    <row r="5892" spans="1:24" ht="114.75">
      <c r="A5892" s="3" t="s">
        <v>2461</v>
      </c>
      <c r="B5892" s="6" t="s">
        <v>361</v>
      </c>
      <c r="C5892" s="6" t="s">
        <v>6349</v>
      </c>
      <c r="D5892" s="6" t="s">
        <v>494</v>
      </c>
      <c r="E5892" s="6" t="s">
        <v>5332</v>
      </c>
      <c r="F5892" s="129" t="s">
        <v>6482</v>
      </c>
      <c r="G5892" s="3" t="s">
        <v>11449</v>
      </c>
      <c r="H5892" s="185">
        <v>0</v>
      </c>
      <c r="I5892" s="16">
        <v>470000000</v>
      </c>
      <c r="J5892" s="56" t="s">
        <v>229</v>
      </c>
      <c r="K5892" s="57" t="s">
        <v>641</v>
      </c>
      <c r="L5892" s="57" t="s">
        <v>364</v>
      </c>
      <c r="M5892" s="3" t="s">
        <v>230</v>
      </c>
      <c r="N5892" s="8" t="s">
        <v>8898</v>
      </c>
      <c r="O5892" s="6" t="s">
        <v>365</v>
      </c>
      <c r="P5892" s="58">
        <v>796</v>
      </c>
      <c r="Q5892" s="31" t="s">
        <v>234</v>
      </c>
      <c r="R5892" s="31">
        <v>20</v>
      </c>
      <c r="S5892" s="59">
        <f>6000*1.07</f>
        <v>6420</v>
      </c>
      <c r="T5892" s="4">
        <v>0</v>
      </c>
      <c r="U5892" s="4">
        <f t="shared" ref="U5892:U5955" si="283">T5892*1.12</f>
        <v>0</v>
      </c>
      <c r="V5892" s="3"/>
      <c r="W5892" s="3">
        <v>2014</v>
      </c>
      <c r="X5892" s="3">
        <v>11.12</v>
      </c>
    </row>
    <row r="5893" spans="1:24" ht="114.75">
      <c r="A5893" s="3" t="s">
        <v>13533</v>
      </c>
      <c r="B5893" s="6" t="s">
        <v>361</v>
      </c>
      <c r="C5893" s="6" t="s">
        <v>6349</v>
      </c>
      <c r="D5893" s="6" t="s">
        <v>494</v>
      </c>
      <c r="E5893" s="6" t="s">
        <v>5332</v>
      </c>
      <c r="F5893" s="129" t="s">
        <v>6482</v>
      </c>
      <c r="G5893" s="3" t="s">
        <v>11449</v>
      </c>
      <c r="H5893" s="185">
        <v>0</v>
      </c>
      <c r="I5893" s="16">
        <v>470000000</v>
      </c>
      <c r="J5893" s="56" t="s">
        <v>229</v>
      </c>
      <c r="K5893" s="57" t="s">
        <v>642</v>
      </c>
      <c r="L5893" s="12" t="s">
        <v>404</v>
      </c>
      <c r="M5893" s="3" t="s">
        <v>230</v>
      </c>
      <c r="N5893" s="8" t="s">
        <v>8898</v>
      </c>
      <c r="O5893" s="6" t="s">
        <v>365</v>
      </c>
      <c r="P5893" s="58">
        <v>796</v>
      </c>
      <c r="Q5893" s="31" t="s">
        <v>234</v>
      </c>
      <c r="R5893" s="31">
        <v>20</v>
      </c>
      <c r="S5893" s="59">
        <f>6000*1.07</f>
        <v>6420</v>
      </c>
      <c r="T5893" s="4">
        <v>0</v>
      </c>
      <c r="U5893" s="4">
        <f>T5893*1.12</f>
        <v>0</v>
      </c>
      <c r="V5893" s="3"/>
      <c r="W5893" s="3">
        <v>2014</v>
      </c>
      <c r="X5893" s="3" t="s">
        <v>16431</v>
      </c>
    </row>
    <row r="5894" spans="1:24" ht="114.75">
      <c r="A5894" s="3" t="s">
        <v>16980</v>
      </c>
      <c r="B5894" s="6" t="s">
        <v>361</v>
      </c>
      <c r="C5894" s="6" t="s">
        <v>6349</v>
      </c>
      <c r="D5894" s="6" t="s">
        <v>494</v>
      </c>
      <c r="E5894" s="6" t="s">
        <v>5332</v>
      </c>
      <c r="F5894" s="129" t="s">
        <v>6482</v>
      </c>
      <c r="G5894" s="3" t="s">
        <v>11450</v>
      </c>
      <c r="H5894" s="185">
        <v>0</v>
      </c>
      <c r="I5894" s="16">
        <v>470000000</v>
      </c>
      <c r="J5894" s="56" t="s">
        <v>229</v>
      </c>
      <c r="K5894" s="57" t="s">
        <v>8950</v>
      </c>
      <c r="L5894" s="12" t="s">
        <v>404</v>
      </c>
      <c r="M5894" s="3" t="s">
        <v>230</v>
      </c>
      <c r="N5894" s="8" t="s">
        <v>8898</v>
      </c>
      <c r="O5894" s="6" t="s">
        <v>365</v>
      </c>
      <c r="P5894" s="58">
        <v>796</v>
      </c>
      <c r="Q5894" s="31" t="s">
        <v>234</v>
      </c>
      <c r="R5894" s="31">
        <v>20</v>
      </c>
      <c r="S5894" s="59">
        <v>7704</v>
      </c>
      <c r="T5894" s="4">
        <v>0</v>
      </c>
      <c r="U5894" s="4">
        <f>T5894*1.12</f>
        <v>0</v>
      </c>
      <c r="V5894" s="3"/>
      <c r="W5894" s="3">
        <v>2014</v>
      </c>
      <c r="X5894" s="3">
        <v>11</v>
      </c>
    </row>
    <row r="5895" spans="1:24" ht="114.75">
      <c r="A5895" s="3" t="s">
        <v>18952</v>
      </c>
      <c r="B5895" s="6" t="s">
        <v>361</v>
      </c>
      <c r="C5895" s="6" t="s">
        <v>6349</v>
      </c>
      <c r="D5895" s="6" t="s">
        <v>494</v>
      </c>
      <c r="E5895" s="6" t="s">
        <v>5332</v>
      </c>
      <c r="F5895" s="129" t="s">
        <v>6482</v>
      </c>
      <c r="G5895" s="3" t="s">
        <v>11450</v>
      </c>
      <c r="H5895" s="185">
        <v>0</v>
      </c>
      <c r="I5895" s="16">
        <v>470000000</v>
      </c>
      <c r="J5895" s="56" t="s">
        <v>229</v>
      </c>
      <c r="K5895" s="57" t="s">
        <v>18437</v>
      </c>
      <c r="L5895" s="12" t="s">
        <v>404</v>
      </c>
      <c r="M5895" s="3" t="s">
        <v>230</v>
      </c>
      <c r="N5895" s="8" t="s">
        <v>8898</v>
      </c>
      <c r="O5895" s="6" t="s">
        <v>365</v>
      </c>
      <c r="P5895" s="58">
        <v>796</v>
      </c>
      <c r="Q5895" s="31" t="s">
        <v>234</v>
      </c>
      <c r="R5895" s="31">
        <v>20</v>
      </c>
      <c r="S5895" s="59">
        <v>7704</v>
      </c>
      <c r="T5895" s="4">
        <v>0</v>
      </c>
      <c r="U5895" s="4">
        <f>T5895*1.12</f>
        <v>0</v>
      </c>
      <c r="V5895" s="3"/>
      <c r="W5895" s="3">
        <v>2014</v>
      </c>
      <c r="X5895" s="3" t="s">
        <v>12076</v>
      </c>
    </row>
    <row r="5896" spans="1:24" ht="114.75">
      <c r="A5896" s="3" t="s">
        <v>2462</v>
      </c>
      <c r="B5896" s="6" t="s">
        <v>361</v>
      </c>
      <c r="C5896" s="6" t="s">
        <v>6483</v>
      </c>
      <c r="D5896" s="6" t="s">
        <v>421</v>
      </c>
      <c r="E5896" s="6" t="s">
        <v>6484</v>
      </c>
      <c r="F5896" s="129" t="s">
        <v>6485</v>
      </c>
      <c r="G5896" s="3" t="s">
        <v>11449</v>
      </c>
      <c r="H5896" s="185">
        <v>0</v>
      </c>
      <c r="I5896" s="16">
        <v>470000000</v>
      </c>
      <c r="J5896" s="56" t="s">
        <v>229</v>
      </c>
      <c r="K5896" s="57" t="s">
        <v>641</v>
      </c>
      <c r="L5896" s="57" t="s">
        <v>364</v>
      </c>
      <c r="M5896" s="3" t="s">
        <v>230</v>
      </c>
      <c r="N5896" s="8" t="s">
        <v>8898</v>
      </c>
      <c r="O5896" s="6" t="s">
        <v>365</v>
      </c>
      <c r="P5896" s="58">
        <v>796</v>
      </c>
      <c r="Q5896" s="31" t="s">
        <v>234</v>
      </c>
      <c r="R5896" s="31">
        <v>6</v>
      </c>
      <c r="S5896" s="59">
        <f>47250*1.07</f>
        <v>50557.5</v>
      </c>
      <c r="T5896" s="4">
        <v>0</v>
      </c>
      <c r="U5896" s="4">
        <f t="shared" si="283"/>
        <v>0</v>
      </c>
      <c r="V5896" s="3"/>
      <c r="W5896" s="3">
        <v>2014</v>
      </c>
      <c r="X5896" s="3">
        <v>11.12</v>
      </c>
    </row>
    <row r="5897" spans="1:24" ht="114.75">
      <c r="A5897" s="3" t="s">
        <v>13534</v>
      </c>
      <c r="B5897" s="6" t="s">
        <v>361</v>
      </c>
      <c r="C5897" s="6" t="s">
        <v>6483</v>
      </c>
      <c r="D5897" s="6" t="s">
        <v>421</v>
      </c>
      <c r="E5897" s="6" t="s">
        <v>6484</v>
      </c>
      <c r="F5897" s="129" t="s">
        <v>6485</v>
      </c>
      <c r="G5897" s="3" t="s">
        <v>11449</v>
      </c>
      <c r="H5897" s="185">
        <v>0</v>
      </c>
      <c r="I5897" s="16">
        <v>470000000</v>
      </c>
      <c r="J5897" s="56" t="s">
        <v>229</v>
      </c>
      <c r="K5897" s="57" t="s">
        <v>642</v>
      </c>
      <c r="L5897" s="12" t="s">
        <v>404</v>
      </c>
      <c r="M5897" s="3" t="s">
        <v>230</v>
      </c>
      <c r="N5897" s="8" t="s">
        <v>8898</v>
      </c>
      <c r="O5897" s="6" t="s">
        <v>365</v>
      </c>
      <c r="P5897" s="58">
        <v>796</v>
      </c>
      <c r="Q5897" s="31" t="s">
        <v>234</v>
      </c>
      <c r="R5897" s="31">
        <v>6</v>
      </c>
      <c r="S5897" s="59">
        <f>47250*1.07</f>
        <v>50557.5</v>
      </c>
      <c r="T5897" s="4">
        <v>0</v>
      </c>
      <c r="U5897" s="4">
        <f>T5897*1.12</f>
        <v>0</v>
      </c>
      <c r="V5897" s="3"/>
      <c r="W5897" s="3">
        <v>2014</v>
      </c>
      <c r="X5897" s="3" t="s">
        <v>12076</v>
      </c>
    </row>
    <row r="5898" spans="1:24" ht="114.75">
      <c r="A5898" s="3" t="s">
        <v>2463</v>
      </c>
      <c r="B5898" s="6" t="s">
        <v>361</v>
      </c>
      <c r="C5898" s="6" t="s">
        <v>7374</v>
      </c>
      <c r="D5898" s="6" t="s">
        <v>7375</v>
      </c>
      <c r="E5898" s="6" t="s">
        <v>11578</v>
      </c>
      <c r="F5898" s="107" t="s">
        <v>6486</v>
      </c>
      <c r="G5898" s="3" t="s">
        <v>11449</v>
      </c>
      <c r="H5898" s="185">
        <v>0</v>
      </c>
      <c r="I5898" s="16">
        <v>470000000</v>
      </c>
      <c r="J5898" s="56" t="s">
        <v>229</v>
      </c>
      <c r="K5898" s="57" t="s">
        <v>641</v>
      </c>
      <c r="L5898" s="57" t="s">
        <v>364</v>
      </c>
      <c r="M5898" s="3" t="s">
        <v>230</v>
      </c>
      <c r="N5898" s="8" t="s">
        <v>8898</v>
      </c>
      <c r="O5898" s="6" t="s">
        <v>365</v>
      </c>
      <c r="P5898" s="58">
        <v>796</v>
      </c>
      <c r="Q5898" s="31" t="s">
        <v>234</v>
      </c>
      <c r="R5898" s="26">
        <v>6</v>
      </c>
      <c r="S5898" s="59">
        <f>49140*1.07</f>
        <v>52579.8</v>
      </c>
      <c r="T5898" s="4">
        <v>0</v>
      </c>
      <c r="U5898" s="4">
        <f t="shared" si="283"/>
        <v>0</v>
      </c>
      <c r="V5898" s="3"/>
      <c r="W5898" s="3">
        <v>2014</v>
      </c>
      <c r="X5898" s="3">
        <v>11.12</v>
      </c>
    </row>
    <row r="5899" spans="1:24" ht="114.75">
      <c r="A5899" s="3" t="s">
        <v>13535</v>
      </c>
      <c r="B5899" s="6" t="s">
        <v>361</v>
      </c>
      <c r="C5899" s="6" t="s">
        <v>7374</v>
      </c>
      <c r="D5899" s="6" t="s">
        <v>7375</v>
      </c>
      <c r="E5899" s="6" t="s">
        <v>11578</v>
      </c>
      <c r="F5899" s="107" t="s">
        <v>6486</v>
      </c>
      <c r="G5899" s="3" t="s">
        <v>11449</v>
      </c>
      <c r="H5899" s="185">
        <v>0</v>
      </c>
      <c r="I5899" s="16">
        <v>470000000</v>
      </c>
      <c r="J5899" s="56" t="s">
        <v>229</v>
      </c>
      <c r="K5899" s="57" t="s">
        <v>642</v>
      </c>
      <c r="L5899" s="12" t="s">
        <v>404</v>
      </c>
      <c r="M5899" s="3" t="s">
        <v>230</v>
      </c>
      <c r="N5899" s="8" t="s">
        <v>8898</v>
      </c>
      <c r="O5899" s="6" t="s">
        <v>365</v>
      </c>
      <c r="P5899" s="58">
        <v>796</v>
      </c>
      <c r="Q5899" s="31" t="s">
        <v>234</v>
      </c>
      <c r="R5899" s="26">
        <v>6</v>
      </c>
      <c r="S5899" s="59">
        <f>49140*1.07</f>
        <v>52579.8</v>
      </c>
      <c r="T5899" s="4">
        <v>0</v>
      </c>
      <c r="U5899" s="4">
        <f>T5899*1.12</f>
        <v>0</v>
      </c>
      <c r="V5899" s="3"/>
      <c r="W5899" s="3">
        <v>2014</v>
      </c>
      <c r="X5899" s="3" t="s">
        <v>16431</v>
      </c>
    </row>
    <row r="5900" spans="1:24" ht="114.75">
      <c r="A5900" s="3" t="s">
        <v>16981</v>
      </c>
      <c r="B5900" s="6" t="s">
        <v>361</v>
      </c>
      <c r="C5900" s="6" t="s">
        <v>7374</v>
      </c>
      <c r="D5900" s="6" t="s">
        <v>7375</v>
      </c>
      <c r="E5900" s="6" t="s">
        <v>11578</v>
      </c>
      <c r="F5900" s="107" t="s">
        <v>6486</v>
      </c>
      <c r="G5900" s="3" t="s">
        <v>11450</v>
      </c>
      <c r="H5900" s="185">
        <v>0</v>
      </c>
      <c r="I5900" s="16">
        <v>470000000</v>
      </c>
      <c r="J5900" s="56" t="s">
        <v>229</v>
      </c>
      <c r="K5900" s="57" t="s">
        <v>8950</v>
      </c>
      <c r="L5900" s="12" t="s">
        <v>404</v>
      </c>
      <c r="M5900" s="3" t="s">
        <v>230</v>
      </c>
      <c r="N5900" s="8" t="s">
        <v>8898</v>
      </c>
      <c r="O5900" s="6" t="s">
        <v>365</v>
      </c>
      <c r="P5900" s="58">
        <v>796</v>
      </c>
      <c r="Q5900" s="31" t="s">
        <v>234</v>
      </c>
      <c r="R5900" s="26">
        <v>6</v>
      </c>
      <c r="S5900" s="59">
        <v>63095.76</v>
      </c>
      <c r="T5900" s="4">
        <v>0</v>
      </c>
      <c r="U5900" s="4">
        <f>T5900*1.12</f>
        <v>0</v>
      </c>
      <c r="V5900" s="3"/>
      <c r="W5900" s="3">
        <v>2014</v>
      </c>
      <c r="X5900" s="3">
        <v>11</v>
      </c>
    </row>
    <row r="5901" spans="1:24" ht="114.75">
      <c r="A5901" s="3" t="s">
        <v>18953</v>
      </c>
      <c r="B5901" s="6" t="s">
        <v>361</v>
      </c>
      <c r="C5901" s="6" t="s">
        <v>7374</v>
      </c>
      <c r="D5901" s="6" t="s">
        <v>7375</v>
      </c>
      <c r="E5901" s="6" t="s">
        <v>11578</v>
      </c>
      <c r="F5901" s="107" t="s">
        <v>6486</v>
      </c>
      <c r="G5901" s="3" t="s">
        <v>11450</v>
      </c>
      <c r="H5901" s="185">
        <v>0</v>
      </c>
      <c r="I5901" s="16">
        <v>470000000</v>
      </c>
      <c r="J5901" s="56" t="s">
        <v>229</v>
      </c>
      <c r="K5901" s="57" t="s">
        <v>18437</v>
      </c>
      <c r="L5901" s="12" t="s">
        <v>404</v>
      </c>
      <c r="M5901" s="3" t="s">
        <v>230</v>
      </c>
      <c r="N5901" s="8" t="s">
        <v>8898</v>
      </c>
      <c r="O5901" s="6" t="s">
        <v>365</v>
      </c>
      <c r="P5901" s="58">
        <v>796</v>
      </c>
      <c r="Q5901" s="31" t="s">
        <v>234</v>
      </c>
      <c r="R5901" s="26">
        <v>6</v>
      </c>
      <c r="S5901" s="59">
        <v>63095.76</v>
      </c>
      <c r="T5901" s="4">
        <v>0</v>
      </c>
      <c r="U5901" s="4">
        <f>T5901*1.12</f>
        <v>0</v>
      </c>
      <c r="V5901" s="3"/>
      <c r="W5901" s="3">
        <v>2014</v>
      </c>
      <c r="X5901" s="3" t="s">
        <v>12076</v>
      </c>
    </row>
    <row r="5902" spans="1:24" ht="114.75">
      <c r="A5902" s="3" t="s">
        <v>2464</v>
      </c>
      <c r="B5902" s="6" t="s">
        <v>361</v>
      </c>
      <c r="C5902" s="6" t="s">
        <v>7376</v>
      </c>
      <c r="D5902" s="6" t="s">
        <v>7377</v>
      </c>
      <c r="E5902" s="6" t="s">
        <v>11579</v>
      </c>
      <c r="F5902" s="107" t="s">
        <v>6487</v>
      </c>
      <c r="G5902" s="3" t="s">
        <v>11449</v>
      </c>
      <c r="H5902" s="185">
        <v>0</v>
      </c>
      <c r="I5902" s="16">
        <v>470000000</v>
      </c>
      <c r="J5902" s="56" t="s">
        <v>229</v>
      </c>
      <c r="K5902" s="57" t="s">
        <v>641</v>
      </c>
      <c r="L5902" s="57" t="s">
        <v>364</v>
      </c>
      <c r="M5902" s="3" t="s">
        <v>230</v>
      </c>
      <c r="N5902" s="8" t="s">
        <v>8898</v>
      </c>
      <c r="O5902" s="6" t="s">
        <v>365</v>
      </c>
      <c r="P5902" s="58">
        <v>796</v>
      </c>
      <c r="Q5902" s="31" t="s">
        <v>234</v>
      </c>
      <c r="R5902" s="26">
        <v>2</v>
      </c>
      <c r="S5902" s="59">
        <f>81585*1.07</f>
        <v>87295.950000000012</v>
      </c>
      <c r="T5902" s="4">
        <v>0</v>
      </c>
      <c r="U5902" s="4">
        <f t="shared" si="283"/>
        <v>0</v>
      </c>
      <c r="V5902" s="3"/>
      <c r="W5902" s="3">
        <v>2014</v>
      </c>
      <c r="X5902" s="3">
        <v>11.12</v>
      </c>
    </row>
    <row r="5903" spans="1:24" ht="114.75">
      <c r="A5903" s="3" t="s">
        <v>13536</v>
      </c>
      <c r="B5903" s="6" t="s">
        <v>361</v>
      </c>
      <c r="C5903" s="6" t="s">
        <v>7376</v>
      </c>
      <c r="D5903" s="6" t="s">
        <v>7377</v>
      </c>
      <c r="E5903" s="6" t="s">
        <v>11579</v>
      </c>
      <c r="F5903" s="107" t="s">
        <v>6487</v>
      </c>
      <c r="G5903" s="3" t="s">
        <v>11449</v>
      </c>
      <c r="H5903" s="185">
        <v>0</v>
      </c>
      <c r="I5903" s="16">
        <v>470000000</v>
      </c>
      <c r="J5903" s="56" t="s">
        <v>229</v>
      </c>
      <c r="K5903" s="57" t="s">
        <v>642</v>
      </c>
      <c r="L5903" s="12" t="s">
        <v>404</v>
      </c>
      <c r="M5903" s="3" t="s">
        <v>230</v>
      </c>
      <c r="N5903" s="8" t="s">
        <v>8898</v>
      </c>
      <c r="O5903" s="6" t="s">
        <v>365</v>
      </c>
      <c r="P5903" s="58">
        <v>796</v>
      </c>
      <c r="Q5903" s="31" t="s">
        <v>234</v>
      </c>
      <c r="R5903" s="26">
        <v>2</v>
      </c>
      <c r="S5903" s="59">
        <f>81585*1.07</f>
        <v>87295.950000000012</v>
      </c>
      <c r="T5903" s="4">
        <v>0</v>
      </c>
      <c r="U5903" s="4">
        <f>T5903*1.12</f>
        <v>0</v>
      </c>
      <c r="V5903" s="3"/>
      <c r="W5903" s="3">
        <v>2014</v>
      </c>
      <c r="X5903" s="3" t="s">
        <v>12076</v>
      </c>
    </row>
    <row r="5904" spans="1:24" ht="114.75">
      <c r="A5904" s="3" t="s">
        <v>2465</v>
      </c>
      <c r="B5904" s="6" t="s">
        <v>361</v>
      </c>
      <c r="C5904" s="6" t="s">
        <v>6299</v>
      </c>
      <c r="D5904" s="6" t="s">
        <v>452</v>
      </c>
      <c r="E5904" s="6" t="s">
        <v>6274</v>
      </c>
      <c r="F5904" s="107" t="s">
        <v>6488</v>
      </c>
      <c r="G5904" s="3" t="s">
        <v>11449</v>
      </c>
      <c r="H5904" s="185">
        <v>0</v>
      </c>
      <c r="I5904" s="16">
        <v>470000000</v>
      </c>
      <c r="J5904" s="56" t="s">
        <v>229</v>
      </c>
      <c r="K5904" s="57" t="s">
        <v>641</v>
      </c>
      <c r="L5904" s="57" t="s">
        <v>364</v>
      </c>
      <c r="M5904" s="3" t="s">
        <v>230</v>
      </c>
      <c r="N5904" s="8" t="s">
        <v>8898</v>
      </c>
      <c r="O5904" s="6" t="s">
        <v>365</v>
      </c>
      <c r="P5904" s="58">
        <v>796</v>
      </c>
      <c r="Q5904" s="31" t="s">
        <v>234</v>
      </c>
      <c r="R5904" s="26">
        <v>1</v>
      </c>
      <c r="S5904" s="59">
        <f>146160*1.07</f>
        <v>156391.20000000001</v>
      </c>
      <c r="T5904" s="4">
        <v>0</v>
      </c>
      <c r="U5904" s="4">
        <f t="shared" si="283"/>
        <v>0</v>
      </c>
      <c r="V5904" s="3"/>
      <c r="W5904" s="3">
        <v>2014</v>
      </c>
      <c r="X5904" s="3">
        <v>11.12</v>
      </c>
    </row>
    <row r="5905" spans="1:24" ht="114.75">
      <c r="A5905" s="3" t="s">
        <v>13537</v>
      </c>
      <c r="B5905" s="6" t="s">
        <v>361</v>
      </c>
      <c r="C5905" s="6" t="s">
        <v>6299</v>
      </c>
      <c r="D5905" s="6" t="s">
        <v>452</v>
      </c>
      <c r="E5905" s="6" t="s">
        <v>6274</v>
      </c>
      <c r="F5905" s="107" t="s">
        <v>6488</v>
      </c>
      <c r="G5905" s="3" t="s">
        <v>11449</v>
      </c>
      <c r="H5905" s="185">
        <v>0</v>
      </c>
      <c r="I5905" s="16">
        <v>470000000</v>
      </c>
      <c r="J5905" s="56" t="s">
        <v>229</v>
      </c>
      <c r="K5905" s="57" t="s">
        <v>642</v>
      </c>
      <c r="L5905" s="12" t="s">
        <v>404</v>
      </c>
      <c r="M5905" s="3" t="s">
        <v>230</v>
      </c>
      <c r="N5905" s="8" t="s">
        <v>8898</v>
      </c>
      <c r="O5905" s="6" t="s">
        <v>365</v>
      </c>
      <c r="P5905" s="58">
        <v>796</v>
      </c>
      <c r="Q5905" s="31" t="s">
        <v>234</v>
      </c>
      <c r="R5905" s="26">
        <v>1</v>
      </c>
      <c r="S5905" s="59">
        <f>146160*1.07</f>
        <v>156391.20000000001</v>
      </c>
      <c r="T5905" s="4">
        <v>0</v>
      </c>
      <c r="U5905" s="4">
        <f>T5905*1.12</f>
        <v>0</v>
      </c>
      <c r="V5905" s="3"/>
      <c r="W5905" s="3">
        <v>2014</v>
      </c>
      <c r="X5905" s="3" t="s">
        <v>12076</v>
      </c>
    </row>
    <row r="5906" spans="1:24" ht="114.75">
      <c r="A5906" s="3" t="s">
        <v>2466</v>
      </c>
      <c r="B5906" s="6" t="s">
        <v>361</v>
      </c>
      <c r="C5906" s="6" t="s">
        <v>6489</v>
      </c>
      <c r="D5906" s="6" t="s">
        <v>457</v>
      </c>
      <c r="E5906" s="6" t="s">
        <v>6365</v>
      </c>
      <c r="F5906" s="129" t="s">
        <v>6490</v>
      </c>
      <c r="G5906" s="3" t="s">
        <v>11449</v>
      </c>
      <c r="H5906" s="185">
        <v>0</v>
      </c>
      <c r="I5906" s="16">
        <v>470000000</v>
      </c>
      <c r="J5906" s="56" t="s">
        <v>229</v>
      </c>
      <c r="K5906" s="57" t="s">
        <v>641</v>
      </c>
      <c r="L5906" s="57" t="s">
        <v>364</v>
      </c>
      <c r="M5906" s="3" t="s">
        <v>230</v>
      </c>
      <c r="N5906" s="8" t="s">
        <v>8898</v>
      </c>
      <c r="O5906" s="6" t="s">
        <v>365</v>
      </c>
      <c r="P5906" s="58">
        <v>796</v>
      </c>
      <c r="Q5906" s="31" t="s">
        <v>234</v>
      </c>
      <c r="R5906" s="26">
        <v>4</v>
      </c>
      <c r="S5906" s="59">
        <v>27991.073000000004</v>
      </c>
      <c r="T5906" s="4">
        <v>0</v>
      </c>
      <c r="U5906" s="4">
        <f t="shared" si="283"/>
        <v>0</v>
      </c>
      <c r="V5906" s="3"/>
      <c r="W5906" s="3">
        <v>2014</v>
      </c>
      <c r="X5906" s="3">
        <v>11.12</v>
      </c>
    </row>
    <row r="5907" spans="1:24" ht="114.75">
      <c r="A5907" s="3" t="s">
        <v>13538</v>
      </c>
      <c r="B5907" s="6" t="s">
        <v>361</v>
      </c>
      <c r="C5907" s="6" t="s">
        <v>6489</v>
      </c>
      <c r="D5907" s="6" t="s">
        <v>457</v>
      </c>
      <c r="E5907" s="6" t="s">
        <v>6365</v>
      </c>
      <c r="F5907" s="129" t="s">
        <v>6490</v>
      </c>
      <c r="G5907" s="3" t="s">
        <v>11449</v>
      </c>
      <c r="H5907" s="185">
        <v>0</v>
      </c>
      <c r="I5907" s="16">
        <v>470000000</v>
      </c>
      <c r="J5907" s="56" t="s">
        <v>229</v>
      </c>
      <c r="K5907" s="57" t="s">
        <v>642</v>
      </c>
      <c r="L5907" s="12" t="s">
        <v>404</v>
      </c>
      <c r="M5907" s="3" t="s">
        <v>230</v>
      </c>
      <c r="N5907" s="8" t="s">
        <v>8898</v>
      </c>
      <c r="O5907" s="6" t="s">
        <v>365</v>
      </c>
      <c r="P5907" s="58">
        <v>796</v>
      </c>
      <c r="Q5907" s="31" t="s">
        <v>234</v>
      </c>
      <c r="R5907" s="26">
        <v>4</v>
      </c>
      <c r="S5907" s="59">
        <v>27991.073000000004</v>
      </c>
      <c r="T5907" s="4">
        <v>0</v>
      </c>
      <c r="U5907" s="4">
        <f>T5907*1.12</f>
        <v>0</v>
      </c>
      <c r="V5907" s="3"/>
      <c r="W5907" s="3">
        <v>2014</v>
      </c>
      <c r="X5907" s="3" t="s">
        <v>12076</v>
      </c>
    </row>
    <row r="5908" spans="1:24" ht="114.75">
      <c r="A5908" s="3" t="s">
        <v>2467</v>
      </c>
      <c r="B5908" s="6" t="s">
        <v>361</v>
      </c>
      <c r="C5908" s="6" t="s">
        <v>6489</v>
      </c>
      <c r="D5908" s="6" t="s">
        <v>457</v>
      </c>
      <c r="E5908" s="6" t="s">
        <v>6365</v>
      </c>
      <c r="F5908" s="129" t="s">
        <v>6491</v>
      </c>
      <c r="G5908" s="3" t="s">
        <v>11449</v>
      </c>
      <c r="H5908" s="185">
        <v>0</v>
      </c>
      <c r="I5908" s="16">
        <v>470000000</v>
      </c>
      <c r="J5908" s="56" t="s">
        <v>229</v>
      </c>
      <c r="K5908" s="57" t="s">
        <v>641</v>
      </c>
      <c r="L5908" s="57" t="s">
        <v>364</v>
      </c>
      <c r="M5908" s="3" t="s">
        <v>230</v>
      </c>
      <c r="N5908" s="8" t="s">
        <v>8898</v>
      </c>
      <c r="O5908" s="6" t="s">
        <v>365</v>
      </c>
      <c r="P5908" s="58">
        <v>796</v>
      </c>
      <c r="Q5908" s="31" t="s">
        <v>234</v>
      </c>
      <c r="R5908" s="26">
        <v>4</v>
      </c>
      <c r="S5908" s="59">
        <v>26517.854000000003</v>
      </c>
      <c r="T5908" s="4">
        <v>0</v>
      </c>
      <c r="U5908" s="4">
        <f t="shared" si="283"/>
        <v>0</v>
      </c>
      <c r="V5908" s="3"/>
      <c r="W5908" s="3">
        <v>2014</v>
      </c>
      <c r="X5908" s="3">
        <v>11.12</v>
      </c>
    </row>
    <row r="5909" spans="1:24" ht="114.75">
      <c r="A5909" s="3" t="s">
        <v>13539</v>
      </c>
      <c r="B5909" s="6" t="s">
        <v>361</v>
      </c>
      <c r="C5909" s="6" t="s">
        <v>6489</v>
      </c>
      <c r="D5909" s="6" t="s">
        <v>457</v>
      </c>
      <c r="E5909" s="6" t="s">
        <v>6365</v>
      </c>
      <c r="F5909" s="129" t="s">
        <v>6491</v>
      </c>
      <c r="G5909" s="3" t="s">
        <v>11449</v>
      </c>
      <c r="H5909" s="185">
        <v>0</v>
      </c>
      <c r="I5909" s="16">
        <v>470000000</v>
      </c>
      <c r="J5909" s="56" t="s">
        <v>229</v>
      </c>
      <c r="K5909" s="57" t="s">
        <v>642</v>
      </c>
      <c r="L5909" s="12" t="s">
        <v>404</v>
      </c>
      <c r="M5909" s="3" t="s">
        <v>230</v>
      </c>
      <c r="N5909" s="8" t="s">
        <v>8898</v>
      </c>
      <c r="O5909" s="6" t="s">
        <v>365</v>
      </c>
      <c r="P5909" s="58">
        <v>796</v>
      </c>
      <c r="Q5909" s="31" t="s">
        <v>234</v>
      </c>
      <c r="R5909" s="26">
        <v>4</v>
      </c>
      <c r="S5909" s="59">
        <v>26517.854000000003</v>
      </c>
      <c r="T5909" s="4">
        <v>0</v>
      </c>
      <c r="U5909" s="4">
        <f>T5909*1.12</f>
        <v>0</v>
      </c>
      <c r="V5909" s="3"/>
      <c r="W5909" s="3">
        <v>2014</v>
      </c>
      <c r="X5909" s="3" t="s">
        <v>12076</v>
      </c>
    </row>
    <row r="5910" spans="1:24" ht="114.75">
      <c r="A5910" s="3" t="s">
        <v>2468</v>
      </c>
      <c r="B5910" s="6" t="s">
        <v>361</v>
      </c>
      <c r="C5910" s="6" t="s">
        <v>6489</v>
      </c>
      <c r="D5910" s="6" t="s">
        <v>457</v>
      </c>
      <c r="E5910" s="6" t="s">
        <v>6365</v>
      </c>
      <c r="F5910" s="129" t="s">
        <v>6492</v>
      </c>
      <c r="G5910" s="3" t="s">
        <v>11449</v>
      </c>
      <c r="H5910" s="185">
        <v>0</v>
      </c>
      <c r="I5910" s="16">
        <v>470000000</v>
      </c>
      <c r="J5910" s="56" t="s">
        <v>229</v>
      </c>
      <c r="K5910" s="57" t="s">
        <v>641</v>
      </c>
      <c r="L5910" s="57" t="s">
        <v>364</v>
      </c>
      <c r="M5910" s="3" t="s">
        <v>230</v>
      </c>
      <c r="N5910" s="8" t="s">
        <v>8898</v>
      </c>
      <c r="O5910" s="6" t="s">
        <v>365</v>
      </c>
      <c r="P5910" s="58">
        <v>796</v>
      </c>
      <c r="Q5910" s="31" t="s">
        <v>234</v>
      </c>
      <c r="R5910" s="26">
        <v>4</v>
      </c>
      <c r="S5910" s="59">
        <v>18660.719000000001</v>
      </c>
      <c r="T5910" s="4">
        <v>0</v>
      </c>
      <c r="U5910" s="4">
        <f t="shared" si="283"/>
        <v>0</v>
      </c>
      <c r="V5910" s="3"/>
      <c r="W5910" s="3">
        <v>2014</v>
      </c>
      <c r="X5910" s="3">
        <v>11.12</v>
      </c>
    </row>
    <row r="5911" spans="1:24" ht="114.75">
      <c r="A5911" s="3" t="s">
        <v>13540</v>
      </c>
      <c r="B5911" s="6" t="s">
        <v>361</v>
      </c>
      <c r="C5911" s="6" t="s">
        <v>6489</v>
      </c>
      <c r="D5911" s="6" t="s">
        <v>457</v>
      </c>
      <c r="E5911" s="6" t="s">
        <v>6365</v>
      </c>
      <c r="F5911" s="129" t="s">
        <v>6492</v>
      </c>
      <c r="G5911" s="3" t="s">
        <v>11449</v>
      </c>
      <c r="H5911" s="185">
        <v>0</v>
      </c>
      <c r="I5911" s="16">
        <v>470000000</v>
      </c>
      <c r="J5911" s="56" t="s">
        <v>229</v>
      </c>
      <c r="K5911" s="57" t="s">
        <v>642</v>
      </c>
      <c r="L5911" s="12" t="s">
        <v>404</v>
      </c>
      <c r="M5911" s="3" t="s">
        <v>230</v>
      </c>
      <c r="N5911" s="8" t="s">
        <v>8898</v>
      </c>
      <c r="O5911" s="6" t="s">
        <v>365</v>
      </c>
      <c r="P5911" s="58">
        <v>796</v>
      </c>
      <c r="Q5911" s="31" t="s">
        <v>234</v>
      </c>
      <c r="R5911" s="26">
        <v>4</v>
      </c>
      <c r="S5911" s="59">
        <v>18660.719000000001</v>
      </c>
      <c r="T5911" s="4">
        <v>0</v>
      </c>
      <c r="U5911" s="4">
        <f>T5911*1.12</f>
        <v>0</v>
      </c>
      <c r="V5911" s="3"/>
      <c r="W5911" s="3">
        <v>2014</v>
      </c>
      <c r="X5911" s="3" t="s">
        <v>12076</v>
      </c>
    </row>
    <row r="5912" spans="1:24" ht="114.75">
      <c r="A5912" s="3" t="s">
        <v>2469</v>
      </c>
      <c r="B5912" s="6" t="s">
        <v>361</v>
      </c>
      <c r="C5912" s="6" t="s">
        <v>6493</v>
      </c>
      <c r="D5912" s="6" t="s">
        <v>6494</v>
      </c>
      <c r="E5912" s="6" t="s">
        <v>6291</v>
      </c>
      <c r="F5912" s="129" t="s">
        <v>6495</v>
      </c>
      <c r="G5912" s="3" t="s">
        <v>11449</v>
      </c>
      <c r="H5912" s="185">
        <v>0</v>
      </c>
      <c r="I5912" s="16">
        <v>470000000</v>
      </c>
      <c r="J5912" s="56" t="s">
        <v>229</v>
      </c>
      <c r="K5912" s="57" t="s">
        <v>641</v>
      </c>
      <c r="L5912" s="57" t="s">
        <v>364</v>
      </c>
      <c r="M5912" s="3" t="s">
        <v>230</v>
      </c>
      <c r="N5912" s="8" t="s">
        <v>8898</v>
      </c>
      <c r="O5912" s="6" t="s">
        <v>365</v>
      </c>
      <c r="P5912" s="58">
        <v>796</v>
      </c>
      <c r="Q5912" s="31" t="s">
        <v>234</v>
      </c>
      <c r="R5912" s="26">
        <v>4</v>
      </c>
      <c r="S5912" s="59">
        <v>25535.719000000005</v>
      </c>
      <c r="T5912" s="4">
        <v>0</v>
      </c>
      <c r="U5912" s="4">
        <f t="shared" si="283"/>
        <v>0</v>
      </c>
      <c r="V5912" s="3"/>
      <c r="W5912" s="3">
        <v>2014</v>
      </c>
      <c r="X5912" s="3">
        <v>11.12</v>
      </c>
    </row>
    <row r="5913" spans="1:24" ht="114.75">
      <c r="A5913" s="3" t="s">
        <v>13541</v>
      </c>
      <c r="B5913" s="6" t="s">
        <v>361</v>
      </c>
      <c r="C5913" s="6" t="s">
        <v>6493</v>
      </c>
      <c r="D5913" s="6" t="s">
        <v>6494</v>
      </c>
      <c r="E5913" s="6" t="s">
        <v>6291</v>
      </c>
      <c r="F5913" s="129" t="s">
        <v>6495</v>
      </c>
      <c r="G5913" s="3" t="s">
        <v>11449</v>
      </c>
      <c r="H5913" s="185">
        <v>0</v>
      </c>
      <c r="I5913" s="16">
        <v>470000000</v>
      </c>
      <c r="J5913" s="56" t="s">
        <v>229</v>
      </c>
      <c r="K5913" s="57" t="s">
        <v>642</v>
      </c>
      <c r="L5913" s="12" t="s">
        <v>404</v>
      </c>
      <c r="M5913" s="3" t="s">
        <v>230</v>
      </c>
      <c r="N5913" s="8" t="s">
        <v>8898</v>
      </c>
      <c r="O5913" s="6" t="s">
        <v>365</v>
      </c>
      <c r="P5913" s="58">
        <v>796</v>
      </c>
      <c r="Q5913" s="31" t="s">
        <v>234</v>
      </c>
      <c r="R5913" s="26">
        <v>4</v>
      </c>
      <c r="S5913" s="59">
        <v>25535.719000000005</v>
      </c>
      <c r="T5913" s="4">
        <v>0</v>
      </c>
      <c r="U5913" s="4">
        <f>T5913*1.12</f>
        <v>0</v>
      </c>
      <c r="V5913" s="3"/>
      <c r="W5913" s="3">
        <v>2014</v>
      </c>
      <c r="X5913" s="3" t="s">
        <v>12076</v>
      </c>
    </row>
    <row r="5914" spans="1:24" ht="114.75">
      <c r="A5914" s="3" t="s">
        <v>2470</v>
      </c>
      <c r="B5914" s="6" t="s">
        <v>361</v>
      </c>
      <c r="C5914" s="6" t="s">
        <v>6496</v>
      </c>
      <c r="D5914" s="6" t="s">
        <v>6497</v>
      </c>
      <c r="E5914" s="6" t="s">
        <v>5332</v>
      </c>
      <c r="F5914" s="129" t="s">
        <v>6498</v>
      </c>
      <c r="G5914" s="3" t="s">
        <v>11449</v>
      </c>
      <c r="H5914" s="185">
        <v>0</v>
      </c>
      <c r="I5914" s="16">
        <v>470000000</v>
      </c>
      <c r="J5914" s="56" t="s">
        <v>229</v>
      </c>
      <c r="K5914" s="57" t="s">
        <v>641</v>
      </c>
      <c r="L5914" s="57" t="s">
        <v>364</v>
      </c>
      <c r="M5914" s="3" t="s">
        <v>230</v>
      </c>
      <c r="N5914" s="8" t="s">
        <v>8898</v>
      </c>
      <c r="O5914" s="6" t="s">
        <v>365</v>
      </c>
      <c r="P5914" s="58">
        <v>796</v>
      </c>
      <c r="Q5914" s="31" t="s">
        <v>234</v>
      </c>
      <c r="R5914" s="26">
        <v>10</v>
      </c>
      <c r="S5914" s="59">
        <v>1944.646</v>
      </c>
      <c r="T5914" s="4">
        <v>0</v>
      </c>
      <c r="U5914" s="4">
        <f t="shared" si="283"/>
        <v>0</v>
      </c>
      <c r="V5914" s="3"/>
      <c r="W5914" s="3">
        <v>2014</v>
      </c>
      <c r="X5914" s="3">
        <v>11.12</v>
      </c>
    </row>
    <row r="5915" spans="1:24" ht="114.75">
      <c r="A5915" s="3" t="s">
        <v>13542</v>
      </c>
      <c r="B5915" s="6" t="s">
        <v>361</v>
      </c>
      <c r="C5915" s="6" t="s">
        <v>6496</v>
      </c>
      <c r="D5915" s="6" t="s">
        <v>6497</v>
      </c>
      <c r="E5915" s="6" t="s">
        <v>5332</v>
      </c>
      <c r="F5915" s="129" t="s">
        <v>6498</v>
      </c>
      <c r="G5915" s="3" t="s">
        <v>11449</v>
      </c>
      <c r="H5915" s="185">
        <v>0</v>
      </c>
      <c r="I5915" s="16">
        <v>470000000</v>
      </c>
      <c r="J5915" s="56" t="s">
        <v>229</v>
      </c>
      <c r="K5915" s="57" t="s">
        <v>642</v>
      </c>
      <c r="L5915" s="12" t="s">
        <v>404</v>
      </c>
      <c r="M5915" s="3" t="s">
        <v>230</v>
      </c>
      <c r="N5915" s="8" t="s">
        <v>8898</v>
      </c>
      <c r="O5915" s="6" t="s">
        <v>365</v>
      </c>
      <c r="P5915" s="58">
        <v>796</v>
      </c>
      <c r="Q5915" s="31" t="s">
        <v>234</v>
      </c>
      <c r="R5915" s="26">
        <v>10</v>
      </c>
      <c r="S5915" s="59">
        <v>1944.646</v>
      </c>
      <c r="T5915" s="4">
        <v>0</v>
      </c>
      <c r="U5915" s="4">
        <f>T5915*1.12</f>
        <v>0</v>
      </c>
      <c r="V5915" s="3"/>
      <c r="W5915" s="3">
        <v>2014</v>
      </c>
      <c r="X5915" s="3" t="s">
        <v>12076</v>
      </c>
    </row>
    <row r="5916" spans="1:24" ht="114.75">
      <c r="A5916" s="3" t="s">
        <v>2471</v>
      </c>
      <c r="B5916" s="6" t="s">
        <v>361</v>
      </c>
      <c r="C5916" s="6" t="s">
        <v>5578</v>
      </c>
      <c r="D5916" s="6" t="s">
        <v>458</v>
      </c>
      <c r="E5916" s="6" t="s">
        <v>5332</v>
      </c>
      <c r="F5916" s="129" t="s">
        <v>6499</v>
      </c>
      <c r="G5916" s="3" t="s">
        <v>11449</v>
      </c>
      <c r="H5916" s="185">
        <v>0</v>
      </c>
      <c r="I5916" s="16">
        <v>470000000</v>
      </c>
      <c r="J5916" s="56" t="s">
        <v>229</v>
      </c>
      <c r="K5916" s="57" t="s">
        <v>641</v>
      </c>
      <c r="L5916" s="57" t="s">
        <v>364</v>
      </c>
      <c r="M5916" s="3" t="s">
        <v>230</v>
      </c>
      <c r="N5916" s="8" t="s">
        <v>8898</v>
      </c>
      <c r="O5916" s="6" t="s">
        <v>365</v>
      </c>
      <c r="P5916" s="58">
        <v>796</v>
      </c>
      <c r="Q5916" s="31" t="s">
        <v>234</v>
      </c>
      <c r="R5916" s="26">
        <v>10</v>
      </c>
      <c r="S5916" s="59">
        <v>8495.5310000000009</v>
      </c>
      <c r="T5916" s="4">
        <v>0</v>
      </c>
      <c r="U5916" s="4">
        <f t="shared" si="283"/>
        <v>0</v>
      </c>
      <c r="V5916" s="3"/>
      <c r="W5916" s="3">
        <v>2014</v>
      </c>
      <c r="X5916" s="3">
        <v>11.12</v>
      </c>
    </row>
    <row r="5917" spans="1:24" ht="114.75">
      <c r="A5917" s="3" t="s">
        <v>13543</v>
      </c>
      <c r="B5917" s="6" t="s">
        <v>361</v>
      </c>
      <c r="C5917" s="6" t="s">
        <v>5578</v>
      </c>
      <c r="D5917" s="6" t="s">
        <v>458</v>
      </c>
      <c r="E5917" s="6" t="s">
        <v>5332</v>
      </c>
      <c r="F5917" s="129" t="s">
        <v>6499</v>
      </c>
      <c r="G5917" s="3" t="s">
        <v>11449</v>
      </c>
      <c r="H5917" s="185">
        <v>0</v>
      </c>
      <c r="I5917" s="16">
        <v>470000000</v>
      </c>
      <c r="J5917" s="56" t="s">
        <v>229</v>
      </c>
      <c r="K5917" s="57" t="s">
        <v>642</v>
      </c>
      <c r="L5917" s="12" t="s">
        <v>404</v>
      </c>
      <c r="M5917" s="3" t="s">
        <v>230</v>
      </c>
      <c r="N5917" s="8" t="s">
        <v>8898</v>
      </c>
      <c r="O5917" s="6" t="s">
        <v>365</v>
      </c>
      <c r="P5917" s="58">
        <v>796</v>
      </c>
      <c r="Q5917" s="31" t="s">
        <v>234</v>
      </c>
      <c r="R5917" s="26">
        <v>10</v>
      </c>
      <c r="S5917" s="59">
        <v>8495.5310000000009</v>
      </c>
      <c r="T5917" s="4">
        <v>0</v>
      </c>
      <c r="U5917" s="4">
        <f>T5917*1.12</f>
        <v>0</v>
      </c>
      <c r="V5917" s="3"/>
      <c r="W5917" s="3">
        <v>2014</v>
      </c>
      <c r="X5917" s="3" t="s">
        <v>12076</v>
      </c>
    </row>
    <row r="5918" spans="1:24" ht="114.75">
      <c r="A5918" s="3" t="s">
        <v>2472</v>
      </c>
      <c r="B5918" s="6" t="s">
        <v>361</v>
      </c>
      <c r="C5918" s="6" t="s">
        <v>6500</v>
      </c>
      <c r="D5918" s="6" t="s">
        <v>468</v>
      </c>
      <c r="E5918" s="6" t="s">
        <v>6501</v>
      </c>
      <c r="F5918" s="129" t="s">
        <v>6502</v>
      </c>
      <c r="G5918" s="3" t="s">
        <v>11449</v>
      </c>
      <c r="H5918" s="185">
        <v>0</v>
      </c>
      <c r="I5918" s="16">
        <v>470000000</v>
      </c>
      <c r="J5918" s="56" t="s">
        <v>229</v>
      </c>
      <c r="K5918" s="57" t="s">
        <v>641</v>
      </c>
      <c r="L5918" s="57" t="s">
        <v>364</v>
      </c>
      <c r="M5918" s="3" t="s">
        <v>230</v>
      </c>
      <c r="N5918" s="8" t="s">
        <v>8898</v>
      </c>
      <c r="O5918" s="6" t="s">
        <v>365</v>
      </c>
      <c r="P5918" s="58">
        <v>796</v>
      </c>
      <c r="Q5918" s="31" t="s">
        <v>234</v>
      </c>
      <c r="R5918" s="26">
        <v>30</v>
      </c>
      <c r="S5918" s="59">
        <v>5401.7810000000009</v>
      </c>
      <c r="T5918" s="4">
        <v>0</v>
      </c>
      <c r="U5918" s="4">
        <f t="shared" si="283"/>
        <v>0</v>
      </c>
      <c r="V5918" s="3"/>
      <c r="W5918" s="3">
        <v>2014</v>
      </c>
      <c r="X5918" s="3">
        <v>11.12</v>
      </c>
    </row>
    <row r="5919" spans="1:24" ht="114.75">
      <c r="A5919" s="3" t="s">
        <v>13544</v>
      </c>
      <c r="B5919" s="6" t="s">
        <v>361</v>
      </c>
      <c r="C5919" s="6" t="s">
        <v>6500</v>
      </c>
      <c r="D5919" s="6" t="s">
        <v>468</v>
      </c>
      <c r="E5919" s="6" t="s">
        <v>6501</v>
      </c>
      <c r="F5919" s="129" t="s">
        <v>6502</v>
      </c>
      <c r="G5919" s="3" t="s">
        <v>11449</v>
      </c>
      <c r="H5919" s="185">
        <v>0</v>
      </c>
      <c r="I5919" s="16">
        <v>470000000</v>
      </c>
      <c r="J5919" s="56" t="s">
        <v>229</v>
      </c>
      <c r="K5919" s="57" t="s">
        <v>642</v>
      </c>
      <c r="L5919" s="12" t="s">
        <v>404</v>
      </c>
      <c r="M5919" s="3" t="s">
        <v>230</v>
      </c>
      <c r="N5919" s="8" t="s">
        <v>8898</v>
      </c>
      <c r="O5919" s="6" t="s">
        <v>365</v>
      </c>
      <c r="P5919" s="58">
        <v>796</v>
      </c>
      <c r="Q5919" s="31" t="s">
        <v>234</v>
      </c>
      <c r="R5919" s="26">
        <v>30</v>
      </c>
      <c r="S5919" s="59">
        <v>5401.7810000000009</v>
      </c>
      <c r="T5919" s="4">
        <v>0</v>
      </c>
      <c r="U5919" s="4">
        <f>T5919*1.12</f>
        <v>0</v>
      </c>
      <c r="V5919" s="3"/>
      <c r="W5919" s="3">
        <v>2014</v>
      </c>
      <c r="X5919" s="3" t="s">
        <v>12076</v>
      </c>
    </row>
    <row r="5920" spans="1:24" ht="114.75">
      <c r="A5920" s="3" t="s">
        <v>2473</v>
      </c>
      <c r="B5920" s="6" t="s">
        <v>361</v>
      </c>
      <c r="C5920" s="6" t="s">
        <v>7385</v>
      </c>
      <c r="D5920" s="6" t="s">
        <v>7386</v>
      </c>
      <c r="E5920" s="6" t="s">
        <v>7386</v>
      </c>
      <c r="F5920" s="129" t="s">
        <v>6503</v>
      </c>
      <c r="G5920" s="3" t="s">
        <v>11449</v>
      </c>
      <c r="H5920" s="185">
        <v>0</v>
      </c>
      <c r="I5920" s="16">
        <v>470000000</v>
      </c>
      <c r="J5920" s="56" t="s">
        <v>229</v>
      </c>
      <c r="K5920" s="57" t="s">
        <v>641</v>
      </c>
      <c r="L5920" s="57" t="s">
        <v>364</v>
      </c>
      <c r="M5920" s="3" t="s">
        <v>230</v>
      </c>
      <c r="N5920" s="8" t="s">
        <v>8898</v>
      </c>
      <c r="O5920" s="6" t="s">
        <v>365</v>
      </c>
      <c r="P5920" s="58">
        <v>796</v>
      </c>
      <c r="Q5920" s="31" t="s">
        <v>234</v>
      </c>
      <c r="R5920" s="26">
        <v>10</v>
      </c>
      <c r="S5920" s="59">
        <v>24258.927000000003</v>
      </c>
      <c r="T5920" s="4">
        <v>0</v>
      </c>
      <c r="U5920" s="4">
        <f t="shared" si="283"/>
        <v>0</v>
      </c>
      <c r="V5920" s="3"/>
      <c r="W5920" s="3">
        <v>2014</v>
      </c>
      <c r="X5920" s="3">
        <v>11.12</v>
      </c>
    </row>
    <row r="5921" spans="1:24" ht="114.75">
      <c r="A5921" s="3" t="s">
        <v>13545</v>
      </c>
      <c r="B5921" s="6" t="s">
        <v>361</v>
      </c>
      <c r="C5921" s="6" t="s">
        <v>7385</v>
      </c>
      <c r="D5921" s="6" t="s">
        <v>7386</v>
      </c>
      <c r="E5921" s="6" t="s">
        <v>7386</v>
      </c>
      <c r="F5921" s="129" t="s">
        <v>6503</v>
      </c>
      <c r="G5921" s="3" t="s">
        <v>11449</v>
      </c>
      <c r="H5921" s="185">
        <v>0</v>
      </c>
      <c r="I5921" s="16">
        <v>470000000</v>
      </c>
      <c r="J5921" s="56" t="s">
        <v>229</v>
      </c>
      <c r="K5921" s="57" t="s">
        <v>642</v>
      </c>
      <c r="L5921" s="12" t="s">
        <v>404</v>
      </c>
      <c r="M5921" s="3" t="s">
        <v>230</v>
      </c>
      <c r="N5921" s="8" t="s">
        <v>8898</v>
      </c>
      <c r="O5921" s="6" t="s">
        <v>365</v>
      </c>
      <c r="P5921" s="58">
        <v>796</v>
      </c>
      <c r="Q5921" s="31" t="s">
        <v>234</v>
      </c>
      <c r="R5921" s="26">
        <v>10</v>
      </c>
      <c r="S5921" s="59">
        <v>24258.927000000003</v>
      </c>
      <c r="T5921" s="4">
        <v>0</v>
      </c>
      <c r="U5921" s="4">
        <f>T5921*1.12</f>
        <v>0</v>
      </c>
      <c r="V5921" s="3"/>
      <c r="W5921" s="3">
        <v>2014</v>
      </c>
      <c r="X5921" s="3" t="s">
        <v>12076</v>
      </c>
    </row>
    <row r="5922" spans="1:24" ht="114.75">
      <c r="A5922" s="3" t="s">
        <v>2474</v>
      </c>
      <c r="B5922" s="6" t="s">
        <v>361</v>
      </c>
      <c r="C5922" s="6" t="s">
        <v>7383</v>
      </c>
      <c r="D5922" s="6" t="s">
        <v>462</v>
      </c>
      <c r="E5922" s="6" t="s">
        <v>7384</v>
      </c>
      <c r="F5922" s="129" t="s">
        <v>6504</v>
      </c>
      <c r="G5922" s="3" t="s">
        <v>11449</v>
      </c>
      <c r="H5922" s="185">
        <v>0</v>
      </c>
      <c r="I5922" s="16">
        <v>470000000</v>
      </c>
      <c r="J5922" s="56" t="s">
        <v>229</v>
      </c>
      <c r="K5922" s="57" t="s">
        <v>641</v>
      </c>
      <c r="L5922" s="57" t="s">
        <v>364</v>
      </c>
      <c r="M5922" s="3" t="s">
        <v>230</v>
      </c>
      <c r="N5922" s="8" t="s">
        <v>8898</v>
      </c>
      <c r="O5922" s="6" t="s">
        <v>365</v>
      </c>
      <c r="P5922" s="58">
        <v>796</v>
      </c>
      <c r="Q5922" s="31" t="s">
        <v>234</v>
      </c>
      <c r="R5922" s="26">
        <v>10</v>
      </c>
      <c r="S5922" s="59">
        <v>19642.853999999999</v>
      </c>
      <c r="T5922" s="4">
        <v>0</v>
      </c>
      <c r="U5922" s="4">
        <f t="shared" si="283"/>
        <v>0</v>
      </c>
      <c r="V5922" s="3"/>
      <c r="W5922" s="3">
        <v>2014</v>
      </c>
      <c r="X5922" s="3">
        <v>11.12</v>
      </c>
    </row>
    <row r="5923" spans="1:24" ht="114.75">
      <c r="A5923" s="3" t="s">
        <v>13546</v>
      </c>
      <c r="B5923" s="6" t="s">
        <v>361</v>
      </c>
      <c r="C5923" s="6" t="s">
        <v>7383</v>
      </c>
      <c r="D5923" s="6" t="s">
        <v>462</v>
      </c>
      <c r="E5923" s="6" t="s">
        <v>7384</v>
      </c>
      <c r="F5923" s="129" t="s">
        <v>6504</v>
      </c>
      <c r="G5923" s="3" t="s">
        <v>11449</v>
      </c>
      <c r="H5923" s="185">
        <v>0</v>
      </c>
      <c r="I5923" s="16">
        <v>470000000</v>
      </c>
      <c r="J5923" s="56" t="s">
        <v>229</v>
      </c>
      <c r="K5923" s="57" t="s">
        <v>642</v>
      </c>
      <c r="L5923" s="12" t="s">
        <v>404</v>
      </c>
      <c r="M5923" s="3" t="s">
        <v>230</v>
      </c>
      <c r="N5923" s="8" t="s">
        <v>8898</v>
      </c>
      <c r="O5923" s="6" t="s">
        <v>365</v>
      </c>
      <c r="P5923" s="58">
        <v>796</v>
      </c>
      <c r="Q5923" s="31" t="s">
        <v>234</v>
      </c>
      <c r="R5923" s="26">
        <v>10</v>
      </c>
      <c r="S5923" s="59">
        <v>19642.853999999999</v>
      </c>
      <c r="T5923" s="4">
        <v>0</v>
      </c>
      <c r="U5923" s="4">
        <f>T5923*1.12</f>
        <v>0</v>
      </c>
      <c r="V5923" s="3"/>
      <c r="W5923" s="3">
        <v>2014</v>
      </c>
      <c r="X5923" s="3" t="s">
        <v>12076</v>
      </c>
    </row>
    <row r="5924" spans="1:24" ht="114.75">
      <c r="A5924" s="3" t="s">
        <v>2475</v>
      </c>
      <c r="B5924" s="6" t="s">
        <v>361</v>
      </c>
      <c r="C5924" s="6" t="s">
        <v>7383</v>
      </c>
      <c r="D5924" s="6" t="s">
        <v>462</v>
      </c>
      <c r="E5924" s="6" t="s">
        <v>7384</v>
      </c>
      <c r="F5924" s="129" t="s">
        <v>6505</v>
      </c>
      <c r="G5924" s="3" t="s">
        <v>11449</v>
      </c>
      <c r="H5924" s="185">
        <v>0</v>
      </c>
      <c r="I5924" s="16">
        <v>470000000</v>
      </c>
      <c r="J5924" s="56" t="s">
        <v>229</v>
      </c>
      <c r="K5924" s="57" t="s">
        <v>641</v>
      </c>
      <c r="L5924" s="57" t="s">
        <v>364</v>
      </c>
      <c r="M5924" s="3" t="s">
        <v>230</v>
      </c>
      <c r="N5924" s="8" t="s">
        <v>8898</v>
      </c>
      <c r="O5924" s="6" t="s">
        <v>365</v>
      </c>
      <c r="P5924" s="58">
        <v>796</v>
      </c>
      <c r="Q5924" s="31" t="s">
        <v>234</v>
      </c>
      <c r="R5924" s="26">
        <v>10</v>
      </c>
      <c r="S5924" s="59">
        <v>19642.853999999999</v>
      </c>
      <c r="T5924" s="4">
        <v>0</v>
      </c>
      <c r="U5924" s="4">
        <f t="shared" si="283"/>
        <v>0</v>
      </c>
      <c r="V5924" s="3"/>
      <c r="W5924" s="3">
        <v>2014</v>
      </c>
      <c r="X5924" s="3">
        <v>11.12</v>
      </c>
    </row>
    <row r="5925" spans="1:24" ht="114.75">
      <c r="A5925" s="3" t="s">
        <v>13547</v>
      </c>
      <c r="B5925" s="6" t="s">
        <v>361</v>
      </c>
      <c r="C5925" s="6" t="s">
        <v>7383</v>
      </c>
      <c r="D5925" s="6" t="s">
        <v>462</v>
      </c>
      <c r="E5925" s="6" t="s">
        <v>7384</v>
      </c>
      <c r="F5925" s="129" t="s">
        <v>6505</v>
      </c>
      <c r="G5925" s="3" t="s">
        <v>11449</v>
      </c>
      <c r="H5925" s="185">
        <v>0</v>
      </c>
      <c r="I5925" s="16">
        <v>470000000</v>
      </c>
      <c r="J5925" s="56" t="s">
        <v>229</v>
      </c>
      <c r="K5925" s="57" t="s">
        <v>642</v>
      </c>
      <c r="L5925" s="12" t="s">
        <v>404</v>
      </c>
      <c r="M5925" s="3" t="s">
        <v>230</v>
      </c>
      <c r="N5925" s="8" t="s">
        <v>8898</v>
      </c>
      <c r="O5925" s="6" t="s">
        <v>365</v>
      </c>
      <c r="P5925" s="58">
        <v>796</v>
      </c>
      <c r="Q5925" s="31" t="s">
        <v>234</v>
      </c>
      <c r="R5925" s="26">
        <v>10</v>
      </c>
      <c r="S5925" s="59">
        <v>19642.853999999999</v>
      </c>
      <c r="T5925" s="4">
        <v>0</v>
      </c>
      <c r="U5925" s="4">
        <f>T5925*1.12</f>
        <v>0</v>
      </c>
      <c r="V5925" s="3"/>
      <c r="W5925" s="3">
        <v>2014</v>
      </c>
      <c r="X5925" s="3" t="s">
        <v>12076</v>
      </c>
    </row>
    <row r="5926" spans="1:24" ht="114.75">
      <c r="A5926" s="3" t="s">
        <v>2476</v>
      </c>
      <c r="B5926" s="6" t="s">
        <v>361</v>
      </c>
      <c r="C5926" s="6" t="s">
        <v>6500</v>
      </c>
      <c r="D5926" s="6" t="s">
        <v>468</v>
      </c>
      <c r="E5926" s="6" t="s">
        <v>6501</v>
      </c>
      <c r="F5926" s="129" t="s">
        <v>6506</v>
      </c>
      <c r="G5926" s="3" t="s">
        <v>11449</v>
      </c>
      <c r="H5926" s="185">
        <v>0</v>
      </c>
      <c r="I5926" s="16">
        <v>470000000</v>
      </c>
      <c r="J5926" s="56" t="s">
        <v>229</v>
      </c>
      <c r="K5926" s="57" t="s">
        <v>641</v>
      </c>
      <c r="L5926" s="57" t="s">
        <v>364</v>
      </c>
      <c r="M5926" s="3" t="s">
        <v>230</v>
      </c>
      <c r="N5926" s="8" t="s">
        <v>8898</v>
      </c>
      <c r="O5926" s="6" t="s">
        <v>365</v>
      </c>
      <c r="P5926" s="58">
        <v>796</v>
      </c>
      <c r="Q5926" s="31" t="s">
        <v>234</v>
      </c>
      <c r="R5926" s="26">
        <v>30</v>
      </c>
      <c r="S5926" s="59">
        <v>3633.9270000000006</v>
      </c>
      <c r="T5926" s="4">
        <v>0</v>
      </c>
      <c r="U5926" s="4">
        <f t="shared" si="283"/>
        <v>0</v>
      </c>
      <c r="V5926" s="3"/>
      <c r="W5926" s="3">
        <v>2014</v>
      </c>
      <c r="X5926" s="3">
        <v>11.12</v>
      </c>
    </row>
    <row r="5927" spans="1:24" ht="114.75">
      <c r="A5927" s="3" t="s">
        <v>13548</v>
      </c>
      <c r="B5927" s="6" t="s">
        <v>361</v>
      </c>
      <c r="C5927" s="6" t="s">
        <v>6500</v>
      </c>
      <c r="D5927" s="6" t="s">
        <v>468</v>
      </c>
      <c r="E5927" s="6" t="s">
        <v>6501</v>
      </c>
      <c r="F5927" s="129" t="s">
        <v>6506</v>
      </c>
      <c r="G5927" s="3" t="s">
        <v>11449</v>
      </c>
      <c r="H5927" s="185">
        <v>0</v>
      </c>
      <c r="I5927" s="16">
        <v>470000000</v>
      </c>
      <c r="J5927" s="56" t="s">
        <v>229</v>
      </c>
      <c r="K5927" s="57" t="s">
        <v>642</v>
      </c>
      <c r="L5927" s="12" t="s">
        <v>404</v>
      </c>
      <c r="M5927" s="3" t="s">
        <v>230</v>
      </c>
      <c r="N5927" s="8" t="s">
        <v>8898</v>
      </c>
      <c r="O5927" s="6" t="s">
        <v>365</v>
      </c>
      <c r="P5927" s="58">
        <v>796</v>
      </c>
      <c r="Q5927" s="31" t="s">
        <v>234</v>
      </c>
      <c r="R5927" s="26">
        <v>30</v>
      </c>
      <c r="S5927" s="59">
        <v>3633.9270000000006</v>
      </c>
      <c r="T5927" s="4">
        <v>0</v>
      </c>
      <c r="U5927" s="4">
        <f>T5927*1.12</f>
        <v>0</v>
      </c>
      <c r="V5927" s="3"/>
      <c r="W5927" s="3">
        <v>2014</v>
      </c>
      <c r="X5927" s="3" t="s">
        <v>12076</v>
      </c>
    </row>
    <row r="5928" spans="1:24" ht="114.75">
      <c r="A5928" s="3" t="s">
        <v>2477</v>
      </c>
      <c r="B5928" s="6" t="s">
        <v>361</v>
      </c>
      <c r="C5928" s="6" t="s">
        <v>6507</v>
      </c>
      <c r="D5928" s="6" t="s">
        <v>415</v>
      </c>
      <c r="E5928" s="6" t="s">
        <v>5332</v>
      </c>
      <c r="F5928" s="129" t="s">
        <v>6508</v>
      </c>
      <c r="G5928" s="3" t="s">
        <v>11449</v>
      </c>
      <c r="H5928" s="185">
        <v>0</v>
      </c>
      <c r="I5928" s="16">
        <v>470000000</v>
      </c>
      <c r="J5928" s="56" t="s">
        <v>229</v>
      </c>
      <c r="K5928" s="57" t="s">
        <v>641</v>
      </c>
      <c r="L5928" s="57" t="s">
        <v>364</v>
      </c>
      <c r="M5928" s="3" t="s">
        <v>230</v>
      </c>
      <c r="N5928" s="8" t="s">
        <v>8898</v>
      </c>
      <c r="O5928" s="6" t="s">
        <v>365</v>
      </c>
      <c r="P5928" s="58">
        <v>796</v>
      </c>
      <c r="Q5928" s="31" t="s">
        <v>234</v>
      </c>
      <c r="R5928" s="26">
        <v>4</v>
      </c>
      <c r="S5928" s="59">
        <v>19151.780999999999</v>
      </c>
      <c r="T5928" s="4">
        <v>0</v>
      </c>
      <c r="U5928" s="4">
        <f t="shared" si="283"/>
        <v>0</v>
      </c>
      <c r="V5928" s="3"/>
      <c r="W5928" s="3">
        <v>2014</v>
      </c>
      <c r="X5928" s="3">
        <v>11.12</v>
      </c>
    </row>
    <row r="5929" spans="1:24" ht="114.75">
      <c r="A5929" s="3" t="s">
        <v>13549</v>
      </c>
      <c r="B5929" s="6" t="s">
        <v>361</v>
      </c>
      <c r="C5929" s="6" t="s">
        <v>6507</v>
      </c>
      <c r="D5929" s="6" t="s">
        <v>415</v>
      </c>
      <c r="E5929" s="6" t="s">
        <v>5332</v>
      </c>
      <c r="F5929" s="129" t="s">
        <v>6508</v>
      </c>
      <c r="G5929" s="3" t="s">
        <v>11449</v>
      </c>
      <c r="H5929" s="185">
        <v>0</v>
      </c>
      <c r="I5929" s="16">
        <v>470000000</v>
      </c>
      <c r="J5929" s="56" t="s">
        <v>229</v>
      </c>
      <c r="K5929" s="57" t="s">
        <v>642</v>
      </c>
      <c r="L5929" s="12" t="s">
        <v>404</v>
      </c>
      <c r="M5929" s="3" t="s">
        <v>230</v>
      </c>
      <c r="N5929" s="8" t="s">
        <v>8898</v>
      </c>
      <c r="O5929" s="6" t="s">
        <v>365</v>
      </c>
      <c r="P5929" s="58">
        <v>796</v>
      </c>
      <c r="Q5929" s="31" t="s">
        <v>234</v>
      </c>
      <c r="R5929" s="26">
        <v>4</v>
      </c>
      <c r="S5929" s="59">
        <v>19151.780999999999</v>
      </c>
      <c r="T5929" s="4">
        <v>0</v>
      </c>
      <c r="U5929" s="4">
        <f>T5929*1.12</f>
        <v>0</v>
      </c>
      <c r="V5929" s="3"/>
      <c r="W5929" s="3">
        <v>2014</v>
      </c>
      <c r="X5929" s="3" t="s">
        <v>12076</v>
      </c>
    </row>
    <row r="5930" spans="1:24" ht="114.75">
      <c r="A5930" s="3" t="s">
        <v>2478</v>
      </c>
      <c r="B5930" s="6" t="s">
        <v>361</v>
      </c>
      <c r="C5930" s="6" t="s">
        <v>6509</v>
      </c>
      <c r="D5930" s="6" t="s">
        <v>429</v>
      </c>
      <c r="E5930" s="6" t="s">
        <v>6365</v>
      </c>
      <c r="F5930" s="129" t="s">
        <v>6510</v>
      </c>
      <c r="G5930" s="3" t="s">
        <v>11449</v>
      </c>
      <c r="H5930" s="185">
        <v>0</v>
      </c>
      <c r="I5930" s="16">
        <v>470000000</v>
      </c>
      <c r="J5930" s="56" t="s">
        <v>229</v>
      </c>
      <c r="K5930" s="57" t="s">
        <v>641</v>
      </c>
      <c r="L5930" s="57" t="s">
        <v>364</v>
      </c>
      <c r="M5930" s="3" t="s">
        <v>230</v>
      </c>
      <c r="N5930" s="8" t="s">
        <v>8898</v>
      </c>
      <c r="O5930" s="6" t="s">
        <v>365</v>
      </c>
      <c r="P5930" s="58">
        <v>796</v>
      </c>
      <c r="Q5930" s="31" t="s">
        <v>234</v>
      </c>
      <c r="R5930" s="26">
        <v>1</v>
      </c>
      <c r="S5930" s="59">
        <v>139928.57</v>
      </c>
      <c r="T5930" s="4">
        <v>0</v>
      </c>
      <c r="U5930" s="4">
        <f t="shared" si="283"/>
        <v>0</v>
      </c>
      <c r="V5930" s="3"/>
      <c r="W5930" s="3">
        <v>2014</v>
      </c>
      <c r="X5930" s="3">
        <v>11.12</v>
      </c>
    </row>
    <row r="5931" spans="1:24" ht="114.75">
      <c r="A5931" s="3" t="s">
        <v>13550</v>
      </c>
      <c r="B5931" s="6" t="s">
        <v>361</v>
      </c>
      <c r="C5931" s="6" t="s">
        <v>6509</v>
      </c>
      <c r="D5931" s="6" t="s">
        <v>429</v>
      </c>
      <c r="E5931" s="6" t="s">
        <v>6365</v>
      </c>
      <c r="F5931" s="129" t="s">
        <v>6510</v>
      </c>
      <c r="G5931" s="3" t="s">
        <v>11449</v>
      </c>
      <c r="H5931" s="185">
        <v>0</v>
      </c>
      <c r="I5931" s="16">
        <v>470000000</v>
      </c>
      <c r="J5931" s="56" t="s">
        <v>229</v>
      </c>
      <c r="K5931" s="57" t="s">
        <v>642</v>
      </c>
      <c r="L5931" s="12" t="s">
        <v>404</v>
      </c>
      <c r="M5931" s="3" t="s">
        <v>230</v>
      </c>
      <c r="N5931" s="8" t="s">
        <v>8898</v>
      </c>
      <c r="O5931" s="6" t="s">
        <v>365</v>
      </c>
      <c r="P5931" s="58">
        <v>796</v>
      </c>
      <c r="Q5931" s="31" t="s">
        <v>234</v>
      </c>
      <c r="R5931" s="26">
        <v>1</v>
      </c>
      <c r="S5931" s="59">
        <v>139928.57</v>
      </c>
      <c r="T5931" s="4">
        <v>0</v>
      </c>
      <c r="U5931" s="4">
        <f>T5931*1.12</f>
        <v>0</v>
      </c>
      <c r="V5931" s="3"/>
      <c r="W5931" s="3">
        <v>2014</v>
      </c>
      <c r="X5931" s="3" t="s">
        <v>16431</v>
      </c>
    </row>
    <row r="5932" spans="1:24" ht="114.75">
      <c r="A5932" s="3" t="s">
        <v>16982</v>
      </c>
      <c r="B5932" s="6" t="s">
        <v>361</v>
      </c>
      <c r="C5932" s="6" t="s">
        <v>6509</v>
      </c>
      <c r="D5932" s="6" t="s">
        <v>429</v>
      </c>
      <c r="E5932" s="6" t="s">
        <v>6365</v>
      </c>
      <c r="F5932" s="129" t="s">
        <v>6510</v>
      </c>
      <c r="G5932" s="3" t="s">
        <v>11450</v>
      </c>
      <c r="H5932" s="185">
        <v>0</v>
      </c>
      <c r="I5932" s="16">
        <v>470000000</v>
      </c>
      <c r="J5932" s="56" t="s">
        <v>229</v>
      </c>
      <c r="K5932" s="57" t="s">
        <v>8950</v>
      </c>
      <c r="L5932" s="12" t="s">
        <v>404</v>
      </c>
      <c r="M5932" s="3" t="s">
        <v>230</v>
      </c>
      <c r="N5932" s="8" t="s">
        <v>8898</v>
      </c>
      <c r="O5932" s="6" t="s">
        <v>365</v>
      </c>
      <c r="P5932" s="58">
        <v>796</v>
      </c>
      <c r="Q5932" s="31" t="s">
        <v>234</v>
      </c>
      <c r="R5932" s="26">
        <v>1</v>
      </c>
      <c r="S5932" s="59">
        <v>167914.28400000001</v>
      </c>
      <c r="T5932" s="4">
        <v>0</v>
      </c>
      <c r="U5932" s="4">
        <f>T5932*1.12</f>
        <v>0</v>
      </c>
      <c r="V5932" s="3"/>
      <c r="W5932" s="3">
        <v>2014</v>
      </c>
      <c r="X5932" s="3">
        <v>11</v>
      </c>
    </row>
    <row r="5933" spans="1:24" ht="114.75">
      <c r="A5933" s="3" t="s">
        <v>18954</v>
      </c>
      <c r="B5933" s="6" t="s">
        <v>361</v>
      </c>
      <c r="C5933" s="6" t="s">
        <v>6509</v>
      </c>
      <c r="D5933" s="6" t="s">
        <v>429</v>
      </c>
      <c r="E5933" s="6" t="s">
        <v>6365</v>
      </c>
      <c r="F5933" s="129" t="s">
        <v>6510</v>
      </c>
      <c r="G5933" s="3" t="s">
        <v>11450</v>
      </c>
      <c r="H5933" s="185">
        <v>0</v>
      </c>
      <c r="I5933" s="16">
        <v>470000000</v>
      </c>
      <c r="J5933" s="56" t="s">
        <v>229</v>
      </c>
      <c r="K5933" s="57" t="s">
        <v>18437</v>
      </c>
      <c r="L5933" s="12" t="s">
        <v>404</v>
      </c>
      <c r="M5933" s="3" t="s">
        <v>230</v>
      </c>
      <c r="N5933" s="8" t="s">
        <v>8898</v>
      </c>
      <c r="O5933" s="6" t="s">
        <v>365</v>
      </c>
      <c r="P5933" s="58">
        <v>796</v>
      </c>
      <c r="Q5933" s="31" t="s">
        <v>234</v>
      </c>
      <c r="R5933" s="26">
        <v>1</v>
      </c>
      <c r="S5933" s="59">
        <v>167914.28400000001</v>
      </c>
      <c r="T5933" s="4">
        <v>0</v>
      </c>
      <c r="U5933" s="4">
        <f>T5933*1.12</f>
        <v>0</v>
      </c>
      <c r="V5933" s="3"/>
      <c r="W5933" s="3">
        <v>2014</v>
      </c>
      <c r="X5933" s="3" t="s">
        <v>12076</v>
      </c>
    </row>
    <row r="5934" spans="1:24" ht="114.75">
      <c r="A5934" s="3" t="s">
        <v>2479</v>
      </c>
      <c r="B5934" s="6" t="s">
        <v>361</v>
      </c>
      <c r="C5934" s="6" t="s">
        <v>6509</v>
      </c>
      <c r="D5934" s="6" t="s">
        <v>429</v>
      </c>
      <c r="E5934" s="6" t="s">
        <v>6365</v>
      </c>
      <c r="F5934" s="129" t="s">
        <v>6511</v>
      </c>
      <c r="G5934" s="3" t="s">
        <v>11449</v>
      </c>
      <c r="H5934" s="185">
        <v>0</v>
      </c>
      <c r="I5934" s="16">
        <v>470000000</v>
      </c>
      <c r="J5934" s="56" t="s">
        <v>229</v>
      </c>
      <c r="K5934" s="57" t="s">
        <v>641</v>
      </c>
      <c r="L5934" s="57" t="s">
        <v>364</v>
      </c>
      <c r="M5934" s="3" t="s">
        <v>230</v>
      </c>
      <c r="N5934" s="8" t="s">
        <v>8898</v>
      </c>
      <c r="O5934" s="6" t="s">
        <v>365</v>
      </c>
      <c r="P5934" s="58">
        <v>796</v>
      </c>
      <c r="Q5934" s="31" t="s">
        <v>234</v>
      </c>
      <c r="R5934" s="26">
        <v>1</v>
      </c>
      <c r="S5934" s="59">
        <v>139928.57</v>
      </c>
      <c r="T5934" s="4">
        <v>0</v>
      </c>
      <c r="U5934" s="4">
        <f t="shared" si="283"/>
        <v>0</v>
      </c>
      <c r="V5934" s="3"/>
      <c r="W5934" s="3">
        <v>2014</v>
      </c>
      <c r="X5934" s="3">
        <v>11.12</v>
      </c>
    </row>
    <row r="5935" spans="1:24" ht="114.75">
      <c r="A5935" s="3" t="s">
        <v>13551</v>
      </c>
      <c r="B5935" s="6" t="s">
        <v>361</v>
      </c>
      <c r="C5935" s="6" t="s">
        <v>6509</v>
      </c>
      <c r="D5935" s="6" t="s">
        <v>429</v>
      </c>
      <c r="E5935" s="6" t="s">
        <v>6365</v>
      </c>
      <c r="F5935" s="129" t="s">
        <v>6511</v>
      </c>
      <c r="G5935" s="3" t="s">
        <v>11449</v>
      </c>
      <c r="H5935" s="185">
        <v>0</v>
      </c>
      <c r="I5935" s="16">
        <v>470000000</v>
      </c>
      <c r="J5935" s="56" t="s">
        <v>229</v>
      </c>
      <c r="K5935" s="57" t="s">
        <v>642</v>
      </c>
      <c r="L5935" s="12" t="s">
        <v>404</v>
      </c>
      <c r="M5935" s="3" t="s">
        <v>230</v>
      </c>
      <c r="N5935" s="8" t="s">
        <v>8898</v>
      </c>
      <c r="O5935" s="6" t="s">
        <v>365</v>
      </c>
      <c r="P5935" s="58">
        <v>796</v>
      </c>
      <c r="Q5935" s="31" t="s">
        <v>234</v>
      </c>
      <c r="R5935" s="26">
        <v>1</v>
      </c>
      <c r="S5935" s="59">
        <v>139928.57</v>
      </c>
      <c r="T5935" s="4">
        <v>0</v>
      </c>
      <c r="U5935" s="4">
        <f t="shared" si="283"/>
        <v>0</v>
      </c>
      <c r="V5935" s="3"/>
      <c r="W5935" s="3">
        <v>2014</v>
      </c>
      <c r="X5935" s="3" t="s">
        <v>16431</v>
      </c>
    </row>
    <row r="5936" spans="1:24" ht="114.75">
      <c r="A5936" s="3" t="s">
        <v>16983</v>
      </c>
      <c r="B5936" s="6" t="s">
        <v>361</v>
      </c>
      <c r="C5936" s="6" t="s">
        <v>6509</v>
      </c>
      <c r="D5936" s="6" t="s">
        <v>429</v>
      </c>
      <c r="E5936" s="6" t="s">
        <v>6365</v>
      </c>
      <c r="F5936" s="129" t="s">
        <v>6511</v>
      </c>
      <c r="G5936" s="3" t="s">
        <v>11450</v>
      </c>
      <c r="H5936" s="185">
        <v>0</v>
      </c>
      <c r="I5936" s="16">
        <v>470000000</v>
      </c>
      <c r="J5936" s="56" t="s">
        <v>229</v>
      </c>
      <c r="K5936" s="57" t="s">
        <v>8950</v>
      </c>
      <c r="L5936" s="12" t="s">
        <v>404</v>
      </c>
      <c r="M5936" s="3" t="s">
        <v>230</v>
      </c>
      <c r="N5936" s="8" t="s">
        <v>8898</v>
      </c>
      <c r="O5936" s="6" t="s">
        <v>365</v>
      </c>
      <c r="P5936" s="58">
        <v>796</v>
      </c>
      <c r="Q5936" s="31" t="s">
        <v>234</v>
      </c>
      <c r="R5936" s="26">
        <v>1</v>
      </c>
      <c r="S5936" s="59">
        <v>167914.28400000001</v>
      </c>
      <c r="T5936" s="4">
        <v>0</v>
      </c>
      <c r="U5936" s="4">
        <f t="shared" si="283"/>
        <v>0</v>
      </c>
      <c r="V5936" s="3"/>
      <c r="W5936" s="3">
        <v>2014</v>
      </c>
      <c r="X5936" s="3">
        <v>11</v>
      </c>
    </row>
    <row r="5937" spans="1:24" ht="114.75">
      <c r="A5937" s="3" t="s">
        <v>18955</v>
      </c>
      <c r="B5937" s="6" t="s">
        <v>361</v>
      </c>
      <c r="C5937" s="6" t="s">
        <v>6509</v>
      </c>
      <c r="D5937" s="6" t="s">
        <v>429</v>
      </c>
      <c r="E5937" s="6" t="s">
        <v>6365</v>
      </c>
      <c r="F5937" s="129" t="s">
        <v>6511</v>
      </c>
      <c r="G5937" s="3" t="s">
        <v>11450</v>
      </c>
      <c r="H5937" s="185">
        <v>0</v>
      </c>
      <c r="I5937" s="16">
        <v>470000000</v>
      </c>
      <c r="J5937" s="56" t="s">
        <v>229</v>
      </c>
      <c r="K5937" s="57" t="s">
        <v>18437</v>
      </c>
      <c r="L5937" s="12" t="s">
        <v>404</v>
      </c>
      <c r="M5937" s="3" t="s">
        <v>230</v>
      </c>
      <c r="N5937" s="8" t="s">
        <v>8898</v>
      </c>
      <c r="O5937" s="6" t="s">
        <v>365</v>
      </c>
      <c r="P5937" s="58">
        <v>796</v>
      </c>
      <c r="Q5937" s="31" t="s">
        <v>234</v>
      </c>
      <c r="R5937" s="26">
        <v>1</v>
      </c>
      <c r="S5937" s="59">
        <v>167914.28400000001</v>
      </c>
      <c r="T5937" s="4">
        <v>0</v>
      </c>
      <c r="U5937" s="4">
        <f t="shared" si="283"/>
        <v>0</v>
      </c>
      <c r="V5937" s="3"/>
      <c r="W5937" s="3">
        <v>2014</v>
      </c>
      <c r="X5937" s="3" t="s">
        <v>12076</v>
      </c>
    </row>
    <row r="5938" spans="1:24" ht="114.75">
      <c r="A5938" s="3" t="s">
        <v>2480</v>
      </c>
      <c r="B5938" s="6" t="s">
        <v>361</v>
      </c>
      <c r="C5938" s="6" t="s">
        <v>6512</v>
      </c>
      <c r="D5938" s="6" t="s">
        <v>5394</v>
      </c>
      <c r="E5938" s="6" t="s">
        <v>6513</v>
      </c>
      <c r="F5938" s="129" t="s">
        <v>8306</v>
      </c>
      <c r="G5938" s="3" t="s">
        <v>11449</v>
      </c>
      <c r="H5938" s="185">
        <v>0</v>
      </c>
      <c r="I5938" s="16">
        <v>470000000</v>
      </c>
      <c r="J5938" s="56" t="s">
        <v>229</v>
      </c>
      <c r="K5938" s="57" t="s">
        <v>641</v>
      </c>
      <c r="L5938" s="57" t="s">
        <v>364</v>
      </c>
      <c r="M5938" s="3" t="s">
        <v>230</v>
      </c>
      <c r="N5938" s="8" t="s">
        <v>8898</v>
      </c>
      <c r="O5938" s="6" t="s">
        <v>365</v>
      </c>
      <c r="P5938" s="58">
        <v>796</v>
      </c>
      <c r="Q5938" s="31" t="s">
        <v>234</v>
      </c>
      <c r="R5938" s="26">
        <v>1</v>
      </c>
      <c r="S5938" s="59">
        <f>37990*1.07</f>
        <v>40649.300000000003</v>
      </c>
      <c r="T5938" s="4">
        <v>0</v>
      </c>
      <c r="U5938" s="4">
        <f t="shared" si="283"/>
        <v>0</v>
      </c>
      <c r="V5938" s="3"/>
      <c r="W5938" s="3">
        <v>2014</v>
      </c>
      <c r="X5938" s="3" t="s">
        <v>11817</v>
      </c>
    </row>
    <row r="5939" spans="1:24" ht="114.75">
      <c r="A5939" s="3" t="s">
        <v>13556</v>
      </c>
      <c r="B5939" s="6" t="s">
        <v>361</v>
      </c>
      <c r="C5939" s="6" t="s">
        <v>6512</v>
      </c>
      <c r="D5939" s="6" t="s">
        <v>5394</v>
      </c>
      <c r="E5939" s="6" t="s">
        <v>6513</v>
      </c>
      <c r="F5939" s="129" t="s">
        <v>8306</v>
      </c>
      <c r="G5939" s="3" t="s">
        <v>11450</v>
      </c>
      <c r="H5939" s="185">
        <v>0</v>
      </c>
      <c r="I5939" s="16">
        <v>470000000</v>
      </c>
      <c r="J5939" s="56" t="s">
        <v>229</v>
      </c>
      <c r="K5939" s="57" t="s">
        <v>642</v>
      </c>
      <c r="L5939" s="12" t="s">
        <v>404</v>
      </c>
      <c r="M5939" s="3" t="s">
        <v>230</v>
      </c>
      <c r="N5939" s="8" t="s">
        <v>8898</v>
      </c>
      <c r="O5939" s="6" t="s">
        <v>365</v>
      </c>
      <c r="P5939" s="58">
        <v>796</v>
      </c>
      <c r="Q5939" s="31" t="s">
        <v>234</v>
      </c>
      <c r="R5939" s="26">
        <v>1</v>
      </c>
      <c r="S5939" s="59">
        <f>37990*1.07</f>
        <v>40649.300000000003</v>
      </c>
      <c r="T5939" s="4">
        <v>0</v>
      </c>
      <c r="U5939" s="4">
        <f t="shared" si="283"/>
        <v>0</v>
      </c>
      <c r="V5939" s="3"/>
      <c r="W5939" s="3">
        <v>2014</v>
      </c>
      <c r="X5939" s="3">
        <v>7.11</v>
      </c>
    </row>
    <row r="5940" spans="1:24" ht="114.75">
      <c r="A5940" s="3" t="s">
        <v>16352</v>
      </c>
      <c r="B5940" s="6" t="s">
        <v>361</v>
      </c>
      <c r="C5940" s="6" t="s">
        <v>6512</v>
      </c>
      <c r="D5940" s="6" t="s">
        <v>5394</v>
      </c>
      <c r="E5940" s="6" t="s">
        <v>6513</v>
      </c>
      <c r="F5940" s="129" t="s">
        <v>8306</v>
      </c>
      <c r="G5940" s="3" t="s">
        <v>605</v>
      </c>
      <c r="H5940" s="185">
        <v>0</v>
      </c>
      <c r="I5940" s="16">
        <v>470000000</v>
      </c>
      <c r="J5940" s="56" t="s">
        <v>229</v>
      </c>
      <c r="K5940" s="57" t="s">
        <v>9453</v>
      </c>
      <c r="L5940" s="12" t="s">
        <v>404</v>
      </c>
      <c r="M5940" s="3" t="s">
        <v>230</v>
      </c>
      <c r="N5940" s="8" t="s">
        <v>8898</v>
      </c>
      <c r="O5940" s="6" t="s">
        <v>365</v>
      </c>
      <c r="P5940" s="58">
        <v>796</v>
      </c>
      <c r="Q5940" s="31" t="s">
        <v>234</v>
      </c>
      <c r="R5940" s="26">
        <v>1</v>
      </c>
      <c r="S5940" s="59">
        <f>37990*1.07</f>
        <v>40649.300000000003</v>
      </c>
      <c r="T5940" s="4">
        <v>0</v>
      </c>
      <c r="U5940" s="4">
        <f t="shared" si="283"/>
        <v>0</v>
      </c>
      <c r="V5940" s="3"/>
      <c r="W5940" s="3">
        <v>2014</v>
      </c>
      <c r="X5940" s="3" t="s">
        <v>16431</v>
      </c>
    </row>
    <row r="5941" spans="1:24" ht="114.75">
      <c r="A5941" s="3" t="s">
        <v>17102</v>
      </c>
      <c r="B5941" s="6" t="s">
        <v>361</v>
      </c>
      <c r="C5941" s="6" t="s">
        <v>6512</v>
      </c>
      <c r="D5941" s="6" t="s">
        <v>5394</v>
      </c>
      <c r="E5941" s="6" t="s">
        <v>6513</v>
      </c>
      <c r="F5941" s="129" t="s">
        <v>8306</v>
      </c>
      <c r="G5941" s="3" t="s">
        <v>11450</v>
      </c>
      <c r="H5941" s="185">
        <v>0</v>
      </c>
      <c r="I5941" s="16">
        <v>470000000</v>
      </c>
      <c r="J5941" s="56" t="s">
        <v>229</v>
      </c>
      <c r="K5941" s="57" t="s">
        <v>8950</v>
      </c>
      <c r="L5941" s="12" t="s">
        <v>404</v>
      </c>
      <c r="M5941" s="3" t="s">
        <v>230</v>
      </c>
      <c r="N5941" s="8" t="s">
        <v>8898</v>
      </c>
      <c r="O5941" s="6" t="s">
        <v>365</v>
      </c>
      <c r="P5941" s="58">
        <v>796</v>
      </c>
      <c r="Q5941" s="31" t="s">
        <v>234</v>
      </c>
      <c r="R5941" s="26">
        <v>1</v>
      </c>
      <c r="S5941" s="59">
        <v>48779.16</v>
      </c>
      <c r="T5941" s="4">
        <v>0</v>
      </c>
      <c r="U5941" s="4">
        <f t="shared" si="283"/>
        <v>0</v>
      </c>
      <c r="V5941" s="3"/>
      <c r="W5941" s="3">
        <v>2014</v>
      </c>
      <c r="X5941" s="3">
        <v>11</v>
      </c>
    </row>
    <row r="5942" spans="1:24" ht="114.75">
      <c r="A5942" s="3" t="s">
        <v>18956</v>
      </c>
      <c r="B5942" s="6" t="s">
        <v>361</v>
      </c>
      <c r="C5942" s="6" t="s">
        <v>6512</v>
      </c>
      <c r="D5942" s="6" t="s">
        <v>5394</v>
      </c>
      <c r="E5942" s="6" t="s">
        <v>6513</v>
      </c>
      <c r="F5942" s="129" t="s">
        <v>8306</v>
      </c>
      <c r="G5942" s="3" t="s">
        <v>11450</v>
      </c>
      <c r="H5942" s="185">
        <v>0</v>
      </c>
      <c r="I5942" s="16">
        <v>470000000</v>
      </c>
      <c r="J5942" s="56" t="s">
        <v>229</v>
      </c>
      <c r="K5942" s="57" t="s">
        <v>18437</v>
      </c>
      <c r="L5942" s="12" t="s">
        <v>404</v>
      </c>
      <c r="M5942" s="3" t="s">
        <v>230</v>
      </c>
      <c r="N5942" s="8" t="s">
        <v>8898</v>
      </c>
      <c r="O5942" s="6" t="s">
        <v>365</v>
      </c>
      <c r="P5942" s="58">
        <v>796</v>
      </c>
      <c r="Q5942" s="31" t="s">
        <v>234</v>
      </c>
      <c r="R5942" s="26">
        <v>1</v>
      </c>
      <c r="S5942" s="59">
        <v>48779.16</v>
      </c>
      <c r="T5942" s="4">
        <v>0</v>
      </c>
      <c r="U5942" s="4">
        <f t="shared" si="283"/>
        <v>0</v>
      </c>
      <c r="V5942" s="3"/>
      <c r="W5942" s="3">
        <v>2014</v>
      </c>
      <c r="X5942" s="3" t="s">
        <v>12076</v>
      </c>
    </row>
    <row r="5943" spans="1:24" ht="114.75">
      <c r="A5943" s="3" t="s">
        <v>2481</v>
      </c>
      <c r="B5943" s="6" t="s">
        <v>361</v>
      </c>
      <c r="C5943" s="6" t="s">
        <v>6514</v>
      </c>
      <c r="D5943" s="6" t="s">
        <v>6515</v>
      </c>
      <c r="E5943" s="6" t="s">
        <v>6516</v>
      </c>
      <c r="F5943" s="129" t="s">
        <v>8307</v>
      </c>
      <c r="G5943" s="3" t="s">
        <v>11449</v>
      </c>
      <c r="H5943" s="185">
        <v>0</v>
      </c>
      <c r="I5943" s="16">
        <v>470000000</v>
      </c>
      <c r="J5943" s="56" t="s">
        <v>229</v>
      </c>
      <c r="K5943" s="57" t="s">
        <v>641</v>
      </c>
      <c r="L5943" s="57" t="s">
        <v>364</v>
      </c>
      <c r="M5943" s="3" t="s">
        <v>230</v>
      </c>
      <c r="N5943" s="8" t="s">
        <v>8898</v>
      </c>
      <c r="O5943" s="6" t="s">
        <v>365</v>
      </c>
      <c r="P5943" s="58">
        <v>796</v>
      </c>
      <c r="Q5943" s="31" t="s">
        <v>234</v>
      </c>
      <c r="R5943" s="26">
        <v>1</v>
      </c>
      <c r="S5943" s="59">
        <f>1182500*1.07</f>
        <v>1265275</v>
      </c>
      <c r="T5943" s="4">
        <v>0</v>
      </c>
      <c r="U5943" s="4">
        <f t="shared" si="283"/>
        <v>0</v>
      </c>
      <c r="V5943" s="3"/>
      <c r="W5943" s="3">
        <v>2014</v>
      </c>
      <c r="X5943" s="3" t="s">
        <v>11817</v>
      </c>
    </row>
    <row r="5944" spans="1:24" ht="114.75">
      <c r="A5944" s="3" t="s">
        <v>13557</v>
      </c>
      <c r="B5944" s="6" t="s">
        <v>361</v>
      </c>
      <c r="C5944" s="6" t="s">
        <v>6514</v>
      </c>
      <c r="D5944" s="6" t="s">
        <v>6515</v>
      </c>
      <c r="E5944" s="6" t="s">
        <v>6516</v>
      </c>
      <c r="F5944" s="129" t="s">
        <v>8307</v>
      </c>
      <c r="G5944" s="3" t="s">
        <v>11450</v>
      </c>
      <c r="H5944" s="185">
        <v>0</v>
      </c>
      <c r="I5944" s="16">
        <v>470000000</v>
      </c>
      <c r="J5944" s="56" t="s">
        <v>229</v>
      </c>
      <c r="K5944" s="57" t="s">
        <v>642</v>
      </c>
      <c r="L5944" s="12" t="s">
        <v>404</v>
      </c>
      <c r="M5944" s="3" t="s">
        <v>230</v>
      </c>
      <c r="N5944" s="8" t="s">
        <v>8898</v>
      </c>
      <c r="O5944" s="6" t="s">
        <v>365</v>
      </c>
      <c r="P5944" s="58">
        <v>796</v>
      </c>
      <c r="Q5944" s="31" t="s">
        <v>234</v>
      </c>
      <c r="R5944" s="26">
        <v>1</v>
      </c>
      <c r="S5944" s="59">
        <f>1182500*1.07</f>
        <v>1265275</v>
      </c>
      <c r="T5944" s="4">
        <v>0</v>
      </c>
      <c r="U5944" s="4">
        <f t="shared" si="283"/>
        <v>0</v>
      </c>
      <c r="V5944" s="3"/>
      <c r="W5944" s="3">
        <v>2014</v>
      </c>
      <c r="X5944" s="3">
        <v>7.11</v>
      </c>
    </row>
    <row r="5945" spans="1:24" ht="114.75">
      <c r="A5945" s="3" t="s">
        <v>16353</v>
      </c>
      <c r="B5945" s="6" t="s">
        <v>361</v>
      </c>
      <c r="C5945" s="6" t="s">
        <v>6514</v>
      </c>
      <c r="D5945" s="6" t="s">
        <v>6515</v>
      </c>
      <c r="E5945" s="6" t="s">
        <v>6516</v>
      </c>
      <c r="F5945" s="129" t="s">
        <v>8307</v>
      </c>
      <c r="G5945" s="3" t="s">
        <v>605</v>
      </c>
      <c r="H5945" s="185">
        <v>0</v>
      </c>
      <c r="I5945" s="16">
        <v>470000000</v>
      </c>
      <c r="J5945" s="56" t="s">
        <v>229</v>
      </c>
      <c r="K5945" s="57" t="s">
        <v>9453</v>
      </c>
      <c r="L5945" s="12" t="s">
        <v>404</v>
      </c>
      <c r="M5945" s="3" t="s">
        <v>230</v>
      </c>
      <c r="N5945" s="8" t="s">
        <v>8898</v>
      </c>
      <c r="O5945" s="6" t="s">
        <v>365</v>
      </c>
      <c r="P5945" s="58">
        <v>796</v>
      </c>
      <c r="Q5945" s="31" t="s">
        <v>234</v>
      </c>
      <c r="R5945" s="26">
        <v>1</v>
      </c>
      <c r="S5945" s="59">
        <f>1182500*1.07</f>
        <v>1265275</v>
      </c>
      <c r="T5945" s="4">
        <v>0</v>
      </c>
      <c r="U5945" s="4">
        <f t="shared" si="283"/>
        <v>0</v>
      </c>
      <c r="V5945" s="3"/>
      <c r="W5945" s="3">
        <v>2014</v>
      </c>
      <c r="X5945" s="3" t="s">
        <v>16431</v>
      </c>
    </row>
    <row r="5946" spans="1:24" ht="114.75">
      <c r="A5946" s="3" t="s">
        <v>17103</v>
      </c>
      <c r="B5946" s="6" t="s">
        <v>361</v>
      </c>
      <c r="C5946" s="6" t="s">
        <v>6514</v>
      </c>
      <c r="D5946" s="6" t="s">
        <v>6515</v>
      </c>
      <c r="E5946" s="6" t="s">
        <v>6516</v>
      </c>
      <c r="F5946" s="129" t="s">
        <v>8307</v>
      </c>
      <c r="G5946" s="3" t="s">
        <v>11450</v>
      </c>
      <c r="H5946" s="185">
        <v>0</v>
      </c>
      <c r="I5946" s="16">
        <v>470000000</v>
      </c>
      <c r="J5946" s="56" t="s">
        <v>229</v>
      </c>
      <c r="K5946" s="57" t="s">
        <v>8950</v>
      </c>
      <c r="L5946" s="12" t="s">
        <v>404</v>
      </c>
      <c r="M5946" s="3" t="s">
        <v>230</v>
      </c>
      <c r="N5946" s="8" t="s">
        <v>8898</v>
      </c>
      <c r="O5946" s="6" t="s">
        <v>365</v>
      </c>
      <c r="P5946" s="58">
        <v>796</v>
      </c>
      <c r="Q5946" s="31" t="s">
        <v>234</v>
      </c>
      <c r="R5946" s="26">
        <v>1</v>
      </c>
      <c r="S5946" s="59">
        <v>1518330</v>
      </c>
      <c r="T5946" s="4">
        <f>R5946*S5946</f>
        <v>1518330</v>
      </c>
      <c r="U5946" s="4">
        <f t="shared" si="283"/>
        <v>1700529.6</v>
      </c>
      <c r="V5946" s="3"/>
      <c r="W5946" s="3">
        <v>2014</v>
      </c>
      <c r="X5946" s="3"/>
    </row>
    <row r="5947" spans="1:24" ht="114.75">
      <c r="A5947" s="3" t="s">
        <v>2482</v>
      </c>
      <c r="B5947" s="6" t="s">
        <v>361</v>
      </c>
      <c r="C5947" s="6" t="s">
        <v>6517</v>
      </c>
      <c r="D5947" s="6" t="s">
        <v>446</v>
      </c>
      <c r="E5947" s="6" t="s">
        <v>6518</v>
      </c>
      <c r="F5947" s="129" t="s">
        <v>469</v>
      </c>
      <c r="G5947" s="3" t="s">
        <v>11449</v>
      </c>
      <c r="H5947" s="185">
        <v>0</v>
      </c>
      <c r="I5947" s="16">
        <v>470000000</v>
      </c>
      <c r="J5947" s="56" t="s">
        <v>229</v>
      </c>
      <c r="K5947" s="57" t="s">
        <v>641</v>
      </c>
      <c r="L5947" s="57" t="s">
        <v>364</v>
      </c>
      <c r="M5947" s="3" t="s">
        <v>230</v>
      </c>
      <c r="N5947" s="8" t="s">
        <v>8898</v>
      </c>
      <c r="O5947" s="6" t="s">
        <v>365</v>
      </c>
      <c r="P5947" s="58">
        <v>796</v>
      </c>
      <c r="Q5947" s="31" t="s">
        <v>234</v>
      </c>
      <c r="R5947" s="26">
        <v>3</v>
      </c>
      <c r="S5947" s="59">
        <v>15120.18</v>
      </c>
      <c r="T5947" s="4">
        <v>0</v>
      </c>
      <c r="U5947" s="4">
        <f t="shared" si="283"/>
        <v>0</v>
      </c>
      <c r="V5947" s="3"/>
      <c r="W5947" s="3">
        <v>2014</v>
      </c>
      <c r="X5947" s="3" t="s">
        <v>11817</v>
      </c>
    </row>
    <row r="5948" spans="1:24" ht="114.75">
      <c r="A5948" s="3" t="s">
        <v>13558</v>
      </c>
      <c r="B5948" s="6" t="s">
        <v>361</v>
      </c>
      <c r="C5948" s="6" t="s">
        <v>6517</v>
      </c>
      <c r="D5948" s="6" t="s">
        <v>446</v>
      </c>
      <c r="E5948" s="6" t="s">
        <v>6518</v>
      </c>
      <c r="F5948" s="129" t="s">
        <v>469</v>
      </c>
      <c r="G5948" s="3" t="s">
        <v>11450</v>
      </c>
      <c r="H5948" s="185">
        <v>0</v>
      </c>
      <c r="I5948" s="16">
        <v>470000000</v>
      </c>
      <c r="J5948" s="56" t="s">
        <v>229</v>
      </c>
      <c r="K5948" s="57" t="s">
        <v>642</v>
      </c>
      <c r="L5948" s="12" t="s">
        <v>404</v>
      </c>
      <c r="M5948" s="3" t="s">
        <v>230</v>
      </c>
      <c r="N5948" s="8" t="s">
        <v>8898</v>
      </c>
      <c r="O5948" s="6" t="s">
        <v>365</v>
      </c>
      <c r="P5948" s="58">
        <v>796</v>
      </c>
      <c r="Q5948" s="31" t="s">
        <v>234</v>
      </c>
      <c r="R5948" s="26">
        <v>3</v>
      </c>
      <c r="S5948" s="59">
        <v>15120.18</v>
      </c>
      <c r="T5948" s="4">
        <v>0</v>
      </c>
      <c r="U5948" s="4">
        <f t="shared" si="283"/>
        <v>0</v>
      </c>
      <c r="V5948" s="3"/>
      <c r="W5948" s="3">
        <v>2014</v>
      </c>
      <c r="X5948" s="3">
        <v>7.11</v>
      </c>
    </row>
    <row r="5949" spans="1:24" ht="114.75">
      <c r="A5949" s="3" t="s">
        <v>16354</v>
      </c>
      <c r="B5949" s="6" t="s">
        <v>361</v>
      </c>
      <c r="C5949" s="6" t="s">
        <v>6517</v>
      </c>
      <c r="D5949" s="6" t="s">
        <v>446</v>
      </c>
      <c r="E5949" s="6" t="s">
        <v>6518</v>
      </c>
      <c r="F5949" s="129" t="s">
        <v>469</v>
      </c>
      <c r="G5949" s="3" t="s">
        <v>605</v>
      </c>
      <c r="H5949" s="185">
        <v>0</v>
      </c>
      <c r="I5949" s="16">
        <v>470000000</v>
      </c>
      <c r="J5949" s="56" t="s">
        <v>229</v>
      </c>
      <c r="K5949" s="57" t="s">
        <v>9453</v>
      </c>
      <c r="L5949" s="12" t="s">
        <v>404</v>
      </c>
      <c r="M5949" s="3" t="s">
        <v>230</v>
      </c>
      <c r="N5949" s="8" t="s">
        <v>8898</v>
      </c>
      <c r="O5949" s="6" t="s">
        <v>365</v>
      </c>
      <c r="P5949" s="58">
        <v>796</v>
      </c>
      <c r="Q5949" s="31" t="s">
        <v>234</v>
      </c>
      <c r="R5949" s="26">
        <v>3</v>
      </c>
      <c r="S5949" s="59">
        <v>15120.18</v>
      </c>
      <c r="T5949" s="4">
        <v>0</v>
      </c>
      <c r="U5949" s="4">
        <f t="shared" si="283"/>
        <v>0</v>
      </c>
      <c r="V5949" s="3"/>
      <c r="W5949" s="3">
        <v>2014</v>
      </c>
      <c r="X5949" s="3" t="s">
        <v>16431</v>
      </c>
    </row>
    <row r="5950" spans="1:24" ht="114.75">
      <c r="A5950" s="3" t="s">
        <v>17104</v>
      </c>
      <c r="B5950" s="6" t="s">
        <v>361</v>
      </c>
      <c r="C5950" s="6" t="s">
        <v>6517</v>
      </c>
      <c r="D5950" s="6" t="s">
        <v>446</v>
      </c>
      <c r="E5950" s="6" t="s">
        <v>6518</v>
      </c>
      <c r="F5950" s="129" t="s">
        <v>469</v>
      </c>
      <c r="G5950" s="3" t="s">
        <v>11450</v>
      </c>
      <c r="H5950" s="185">
        <v>0</v>
      </c>
      <c r="I5950" s="16">
        <v>470000000</v>
      </c>
      <c r="J5950" s="56" t="s">
        <v>229</v>
      </c>
      <c r="K5950" s="57" t="s">
        <v>8950</v>
      </c>
      <c r="L5950" s="12" t="s">
        <v>404</v>
      </c>
      <c r="M5950" s="3" t="s">
        <v>230</v>
      </c>
      <c r="N5950" s="8" t="s">
        <v>8898</v>
      </c>
      <c r="O5950" s="6" t="s">
        <v>365</v>
      </c>
      <c r="P5950" s="58">
        <v>796</v>
      </c>
      <c r="Q5950" s="31" t="s">
        <v>234</v>
      </c>
      <c r="R5950" s="26">
        <v>3</v>
      </c>
      <c r="S5950" s="59">
        <v>15120.18</v>
      </c>
      <c r="T5950" s="4">
        <v>0</v>
      </c>
      <c r="U5950" s="4">
        <f t="shared" si="283"/>
        <v>0</v>
      </c>
      <c r="V5950" s="3"/>
      <c r="W5950" s="3">
        <v>2014</v>
      </c>
      <c r="X5950" s="3">
        <v>11</v>
      </c>
    </row>
    <row r="5951" spans="1:24" ht="114.75">
      <c r="A5951" s="3" t="s">
        <v>18957</v>
      </c>
      <c r="B5951" s="6" t="s">
        <v>361</v>
      </c>
      <c r="C5951" s="6" t="s">
        <v>6517</v>
      </c>
      <c r="D5951" s="6" t="s">
        <v>446</v>
      </c>
      <c r="E5951" s="6" t="s">
        <v>6518</v>
      </c>
      <c r="F5951" s="129" t="s">
        <v>469</v>
      </c>
      <c r="G5951" s="3" t="s">
        <v>11450</v>
      </c>
      <c r="H5951" s="185">
        <v>0</v>
      </c>
      <c r="I5951" s="16">
        <v>470000000</v>
      </c>
      <c r="J5951" s="56" t="s">
        <v>229</v>
      </c>
      <c r="K5951" s="57" t="s">
        <v>18437</v>
      </c>
      <c r="L5951" s="12" t="s">
        <v>404</v>
      </c>
      <c r="M5951" s="3" t="s">
        <v>230</v>
      </c>
      <c r="N5951" s="8" t="s">
        <v>8898</v>
      </c>
      <c r="O5951" s="6" t="s">
        <v>365</v>
      </c>
      <c r="P5951" s="58">
        <v>796</v>
      </c>
      <c r="Q5951" s="31" t="s">
        <v>234</v>
      </c>
      <c r="R5951" s="26">
        <v>3</v>
      </c>
      <c r="S5951" s="59">
        <v>15120.18</v>
      </c>
      <c r="T5951" s="4">
        <v>0</v>
      </c>
      <c r="U5951" s="4">
        <f t="shared" si="283"/>
        <v>0</v>
      </c>
      <c r="V5951" s="3"/>
      <c r="W5951" s="3">
        <v>2014</v>
      </c>
      <c r="X5951" s="3" t="s">
        <v>12076</v>
      </c>
    </row>
    <row r="5952" spans="1:24" ht="114.75">
      <c r="A5952" s="3" t="s">
        <v>2483</v>
      </c>
      <c r="B5952" s="6" t="s">
        <v>361</v>
      </c>
      <c r="C5952" s="6" t="s">
        <v>6517</v>
      </c>
      <c r="D5952" s="6" t="s">
        <v>446</v>
      </c>
      <c r="E5952" s="6" t="s">
        <v>6518</v>
      </c>
      <c r="F5952" s="129" t="s">
        <v>470</v>
      </c>
      <c r="G5952" s="3" t="s">
        <v>11449</v>
      </c>
      <c r="H5952" s="185">
        <v>0</v>
      </c>
      <c r="I5952" s="16">
        <v>470000000</v>
      </c>
      <c r="J5952" s="56" t="s">
        <v>229</v>
      </c>
      <c r="K5952" s="57" t="s">
        <v>641</v>
      </c>
      <c r="L5952" s="57" t="s">
        <v>364</v>
      </c>
      <c r="M5952" s="3" t="s">
        <v>230</v>
      </c>
      <c r="N5952" s="8" t="s">
        <v>8898</v>
      </c>
      <c r="O5952" s="6" t="s">
        <v>365</v>
      </c>
      <c r="P5952" s="58">
        <v>796</v>
      </c>
      <c r="Q5952" s="31" t="s">
        <v>234</v>
      </c>
      <c r="R5952" s="26">
        <v>3</v>
      </c>
      <c r="S5952" s="59">
        <v>15120.18</v>
      </c>
      <c r="T5952" s="4">
        <v>0</v>
      </c>
      <c r="U5952" s="4">
        <f t="shared" si="283"/>
        <v>0</v>
      </c>
      <c r="V5952" s="3"/>
      <c r="W5952" s="3">
        <v>2014</v>
      </c>
      <c r="X5952" s="3" t="s">
        <v>11817</v>
      </c>
    </row>
    <row r="5953" spans="1:24" ht="114.75">
      <c r="A5953" s="3" t="s">
        <v>13559</v>
      </c>
      <c r="B5953" s="6" t="s">
        <v>361</v>
      </c>
      <c r="C5953" s="6" t="s">
        <v>6517</v>
      </c>
      <c r="D5953" s="6" t="s">
        <v>446</v>
      </c>
      <c r="E5953" s="6" t="s">
        <v>6518</v>
      </c>
      <c r="F5953" s="129" t="s">
        <v>470</v>
      </c>
      <c r="G5953" s="3" t="s">
        <v>11450</v>
      </c>
      <c r="H5953" s="185">
        <v>0</v>
      </c>
      <c r="I5953" s="16">
        <v>470000000</v>
      </c>
      <c r="J5953" s="56" t="s">
        <v>229</v>
      </c>
      <c r="K5953" s="57" t="s">
        <v>642</v>
      </c>
      <c r="L5953" s="12" t="s">
        <v>404</v>
      </c>
      <c r="M5953" s="3" t="s">
        <v>230</v>
      </c>
      <c r="N5953" s="8" t="s">
        <v>8898</v>
      </c>
      <c r="O5953" s="6" t="s">
        <v>365</v>
      </c>
      <c r="P5953" s="58">
        <v>796</v>
      </c>
      <c r="Q5953" s="31" t="s">
        <v>234</v>
      </c>
      <c r="R5953" s="26">
        <v>3</v>
      </c>
      <c r="S5953" s="59">
        <v>15120.18</v>
      </c>
      <c r="T5953" s="4">
        <v>0</v>
      </c>
      <c r="U5953" s="4">
        <f t="shared" si="283"/>
        <v>0</v>
      </c>
      <c r="V5953" s="3"/>
      <c r="W5953" s="3">
        <v>2014</v>
      </c>
      <c r="X5953" s="3">
        <v>7.11</v>
      </c>
    </row>
    <row r="5954" spans="1:24" ht="114.75">
      <c r="A5954" s="3" t="s">
        <v>16355</v>
      </c>
      <c r="B5954" s="6" t="s">
        <v>361</v>
      </c>
      <c r="C5954" s="6" t="s">
        <v>6517</v>
      </c>
      <c r="D5954" s="6" t="s">
        <v>446</v>
      </c>
      <c r="E5954" s="6" t="s">
        <v>6518</v>
      </c>
      <c r="F5954" s="129" t="s">
        <v>470</v>
      </c>
      <c r="G5954" s="3" t="s">
        <v>605</v>
      </c>
      <c r="H5954" s="185">
        <v>0</v>
      </c>
      <c r="I5954" s="16">
        <v>470000000</v>
      </c>
      <c r="J5954" s="56" t="s">
        <v>229</v>
      </c>
      <c r="K5954" s="57" t="s">
        <v>9453</v>
      </c>
      <c r="L5954" s="12" t="s">
        <v>404</v>
      </c>
      <c r="M5954" s="3" t="s">
        <v>230</v>
      </c>
      <c r="N5954" s="8" t="s">
        <v>8898</v>
      </c>
      <c r="O5954" s="6" t="s">
        <v>365</v>
      </c>
      <c r="P5954" s="58">
        <v>796</v>
      </c>
      <c r="Q5954" s="31" t="s">
        <v>234</v>
      </c>
      <c r="R5954" s="26">
        <v>3</v>
      </c>
      <c r="S5954" s="59">
        <v>15120.18</v>
      </c>
      <c r="T5954" s="4">
        <v>0</v>
      </c>
      <c r="U5954" s="4">
        <f t="shared" si="283"/>
        <v>0</v>
      </c>
      <c r="V5954" s="3"/>
      <c r="W5954" s="3">
        <v>2014</v>
      </c>
      <c r="X5954" s="3" t="s">
        <v>16431</v>
      </c>
    </row>
    <row r="5955" spans="1:24" ht="114.75">
      <c r="A5955" s="3" t="s">
        <v>17105</v>
      </c>
      <c r="B5955" s="6" t="s">
        <v>361</v>
      </c>
      <c r="C5955" s="6" t="s">
        <v>6517</v>
      </c>
      <c r="D5955" s="6" t="s">
        <v>446</v>
      </c>
      <c r="E5955" s="6" t="s">
        <v>6518</v>
      </c>
      <c r="F5955" s="129" t="s">
        <v>470</v>
      </c>
      <c r="G5955" s="3" t="s">
        <v>11450</v>
      </c>
      <c r="H5955" s="185">
        <v>0</v>
      </c>
      <c r="I5955" s="16">
        <v>470000000</v>
      </c>
      <c r="J5955" s="56" t="s">
        <v>229</v>
      </c>
      <c r="K5955" s="57" t="s">
        <v>8950</v>
      </c>
      <c r="L5955" s="12" t="s">
        <v>404</v>
      </c>
      <c r="M5955" s="3" t="s">
        <v>230</v>
      </c>
      <c r="N5955" s="8" t="s">
        <v>8898</v>
      </c>
      <c r="O5955" s="6" t="s">
        <v>365</v>
      </c>
      <c r="P5955" s="58">
        <v>796</v>
      </c>
      <c r="Q5955" s="31" t="s">
        <v>234</v>
      </c>
      <c r="R5955" s="26">
        <v>3</v>
      </c>
      <c r="S5955" s="59">
        <v>15120.18</v>
      </c>
      <c r="T5955" s="4">
        <v>0</v>
      </c>
      <c r="U5955" s="4">
        <f t="shared" si="283"/>
        <v>0</v>
      </c>
      <c r="V5955" s="3"/>
      <c r="W5955" s="3">
        <v>2014</v>
      </c>
      <c r="X5955" s="3">
        <v>11</v>
      </c>
    </row>
    <row r="5956" spans="1:24" ht="114.75">
      <c r="A5956" s="3" t="s">
        <v>18958</v>
      </c>
      <c r="B5956" s="6" t="s">
        <v>361</v>
      </c>
      <c r="C5956" s="6" t="s">
        <v>6517</v>
      </c>
      <c r="D5956" s="6" t="s">
        <v>446</v>
      </c>
      <c r="E5956" s="6" t="s">
        <v>6518</v>
      </c>
      <c r="F5956" s="129" t="s">
        <v>470</v>
      </c>
      <c r="G5956" s="3" t="s">
        <v>11450</v>
      </c>
      <c r="H5956" s="185">
        <v>0</v>
      </c>
      <c r="I5956" s="16">
        <v>470000000</v>
      </c>
      <c r="J5956" s="56" t="s">
        <v>229</v>
      </c>
      <c r="K5956" s="57" t="s">
        <v>18437</v>
      </c>
      <c r="L5956" s="12" t="s">
        <v>404</v>
      </c>
      <c r="M5956" s="3" t="s">
        <v>230</v>
      </c>
      <c r="N5956" s="8" t="s">
        <v>8898</v>
      </c>
      <c r="O5956" s="6" t="s">
        <v>365</v>
      </c>
      <c r="P5956" s="58">
        <v>796</v>
      </c>
      <c r="Q5956" s="31" t="s">
        <v>234</v>
      </c>
      <c r="R5956" s="26">
        <v>3</v>
      </c>
      <c r="S5956" s="59">
        <v>15120.18</v>
      </c>
      <c r="T5956" s="4">
        <v>0</v>
      </c>
      <c r="U5956" s="4">
        <f t="shared" ref="U5956:U5972" si="284">T5956*1.12</f>
        <v>0</v>
      </c>
      <c r="V5956" s="3"/>
      <c r="W5956" s="3">
        <v>2014</v>
      </c>
      <c r="X5956" s="3" t="s">
        <v>12076</v>
      </c>
    </row>
    <row r="5957" spans="1:24" ht="114.75">
      <c r="A5957" s="3" t="s">
        <v>2484</v>
      </c>
      <c r="B5957" s="6" t="s">
        <v>361</v>
      </c>
      <c r="C5957" s="6" t="s">
        <v>6519</v>
      </c>
      <c r="D5957" s="6" t="s">
        <v>6520</v>
      </c>
      <c r="E5957" s="6" t="s">
        <v>6521</v>
      </c>
      <c r="F5957" s="30" t="s">
        <v>6522</v>
      </c>
      <c r="G5957" s="3" t="s">
        <v>11449</v>
      </c>
      <c r="H5957" s="185">
        <v>0</v>
      </c>
      <c r="I5957" s="16">
        <v>470000000</v>
      </c>
      <c r="J5957" s="56" t="s">
        <v>229</v>
      </c>
      <c r="K5957" s="57" t="s">
        <v>641</v>
      </c>
      <c r="L5957" s="57" t="s">
        <v>364</v>
      </c>
      <c r="M5957" s="3" t="s">
        <v>230</v>
      </c>
      <c r="N5957" s="8" t="s">
        <v>8898</v>
      </c>
      <c r="O5957" s="6" t="s">
        <v>365</v>
      </c>
      <c r="P5957" s="58">
        <v>796</v>
      </c>
      <c r="Q5957" s="31" t="s">
        <v>234</v>
      </c>
      <c r="R5957" s="34">
        <v>1</v>
      </c>
      <c r="S5957" s="59">
        <f>159196*1.07</f>
        <v>170339.72</v>
      </c>
      <c r="T5957" s="4">
        <v>0</v>
      </c>
      <c r="U5957" s="4">
        <f t="shared" si="284"/>
        <v>0</v>
      </c>
      <c r="V5957" s="3"/>
      <c r="W5957" s="3">
        <v>2014</v>
      </c>
      <c r="X5957" s="3" t="s">
        <v>11817</v>
      </c>
    </row>
    <row r="5958" spans="1:24" ht="114.75">
      <c r="A5958" s="3" t="s">
        <v>13560</v>
      </c>
      <c r="B5958" s="6" t="s">
        <v>361</v>
      </c>
      <c r="C5958" s="6" t="s">
        <v>6519</v>
      </c>
      <c r="D5958" s="6" t="s">
        <v>6520</v>
      </c>
      <c r="E5958" s="6" t="s">
        <v>6521</v>
      </c>
      <c r="F5958" s="30" t="s">
        <v>6522</v>
      </c>
      <c r="G5958" s="3" t="s">
        <v>11450</v>
      </c>
      <c r="H5958" s="185">
        <v>0</v>
      </c>
      <c r="I5958" s="16">
        <v>470000000</v>
      </c>
      <c r="J5958" s="56" t="s">
        <v>229</v>
      </c>
      <c r="K5958" s="57" t="s">
        <v>9453</v>
      </c>
      <c r="L5958" s="12" t="s">
        <v>404</v>
      </c>
      <c r="M5958" s="3" t="s">
        <v>230</v>
      </c>
      <c r="N5958" s="8" t="s">
        <v>8898</v>
      </c>
      <c r="O5958" s="6" t="s">
        <v>365</v>
      </c>
      <c r="P5958" s="58">
        <v>796</v>
      </c>
      <c r="Q5958" s="31" t="s">
        <v>234</v>
      </c>
      <c r="R5958" s="34">
        <v>1</v>
      </c>
      <c r="S5958" s="59">
        <f>159196*1.07</f>
        <v>170339.72</v>
      </c>
      <c r="T5958" s="4">
        <v>0</v>
      </c>
      <c r="U5958" s="4">
        <f>T5958*1.12</f>
        <v>0</v>
      </c>
      <c r="V5958" s="3"/>
      <c r="W5958" s="3">
        <v>2014</v>
      </c>
      <c r="X5958" s="3" t="s">
        <v>14785</v>
      </c>
    </row>
    <row r="5959" spans="1:24" ht="114.75">
      <c r="A5959" s="3" t="s">
        <v>16984</v>
      </c>
      <c r="B5959" s="6" t="s">
        <v>361</v>
      </c>
      <c r="C5959" s="6" t="s">
        <v>6519</v>
      </c>
      <c r="D5959" s="6" t="s">
        <v>6520</v>
      </c>
      <c r="E5959" s="6" t="s">
        <v>6521</v>
      </c>
      <c r="F5959" s="30" t="s">
        <v>6522</v>
      </c>
      <c r="G5959" s="3" t="s">
        <v>11450</v>
      </c>
      <c r="H5959" s="185">
        <v>0</v>
      </c>
      <c r="I5959" s="16">
        <v>470000000</v>
      </c>
      <c r="J5959" s="56" t="s">
        <v>229</v>
      </c>
      <c r="K5959" s="57" t="s">
        <v>8950</v>
      </c>
      <c r="L5959" s="12" t="s">
        <v>404</v>
      </c>
      <c r="M5959" s="3" t="s">
        <v>230</v>
      </c>
      <c r="N5959" s="8" t="s">
        <v>8898</v>
      </c>
      <c r="O5959" s="6" t="s">
        <v>365</v>
      </c>
      <c r="P5959" s="58">
        <v>796</v>
      </c>
      <c r="Q5959" s="31" t="s">
        <v>234</v>
      </c>
      <c r="R5959" s="34">
        <v>1</v>
      </c>
      <c r="S5959" s="59">
        <v>204407.66399999999</v>
      </c>
      <c r="T5959" s="4">
        <v>0</v>
      </c>
      <c r="U5959" s="4">
        <f>T5959*1.12</f>
        <v>0</v>
      </c>
      <c r="V5959" s="3"/>
      <c r="W5959" s="3">
        <v>2014</v>
      </c>
      <c r="X5959" s="3">
        <v>11</v>
      </c>
    </row>
    <row r="5960" spans="1:24" ht="114.75">
      <c r="A5960" s="3" t="s">
        <v>18960</v>
      </c>
      <c r="B5960" s="6" t="s">
        <v>361</v>
      </c>
      <c r="C5960" s="6" t="s">
        <v>6519</v>
      </c>
      <c r="D5960" s="6" t="s">
        <v>6520</v>
      </c>
      <c r="E5960" s="6" t="s">
        <v>6521</v>
      </c>
      <c r="F5960" s="30" t="s">
        <v>6522</v>
      </c>
      <c r="G5960" s="3" t="s">
        <v>11450</v>
      </c>
      <c r="H5960" s="185">
        <v>0</v>
      </c>
      <c r="I5960" s="16">
        <v>470000000</v>
      </c>
      <c r="J5960" s="56" t="s">
        <v>229</v>
      </c>
      <c r="K5960" s="57" t="s">
        <v>18437</v>
      </c>
      <c r="L5960" s="12" t="s">
        <v>404</v>
      </c>
      <c r="M5960" s="3" t="s">
        <v>230</v>
      </c>
      <c r="N5960" s="8" t="s">
        <v>8898</v>
      </c>
      <c r="O5960" s="6" t="s">
        <v>365</v>
      </c>
      <c r="P5960" s="58">
        <v>796</v>
      </c>
      <c r="Q5960" s="31" t="s">
        <v>234</v>
      </c>
      <c r="R5960" s="34">
        <v>1</v>
      </c>
      <c r="S5960" s="59">
        <v>204407.66399999999</v>
      </c>
      <c r="T5960" s="4">
        <f>R5960*S5960</f>
        <v>204407.66399999999</v>
      </c>
      <c r="U5960" s="4">
        <f>T5960*1.12</f>
        <v>228936.58368000001</v>
      </c>
      <c r="V5960" s="3"/>
      <c r="W5960" s="3">
        <v>2014</v>
      </c>
      <c r="X5960" s="3"/>
    </row>
    <row r="5961" spans="1:24" ht="114.75">
      <c r="A5961" s="3" t="s">
        <v>2485</v>
      </c>
      <c r="B5961" s="6" t="s">
        <v>361</v>
      </c>
      <c r="C5961" s="6" t="s">
        <v>6219</v>
      </c>
      <c r="D5961" s="6" t="s">
        <v>6220</v>
      </c>
      <c r="E5961" s="6" t="s">
        <v>5332</v>
      </c>
      <c r="F5961" s="107" t="s">
        <v>6523</v>
      </c>
      <c r="G5961" s="3" t="s">
        <v>11449</v>
      </c>
      <c r="H5961" s="185">
        <v>0</v>
      </c>
      <c r="I5961" s="16">
        <v>470000000</v>
      </c>
      <c r="J5961" s="56" t="s">
        <v>229</v>
      </c>
      <c r="K5961" s="57" t="s">
        <v>641</v>
      </c>
      <c r="L5961" s="57" t="s">
        <v>364</v>
      </c>
      <c r="M5961" s="3" t="s">
        <v>230</v>
      </c>
      <c r="N5961" s="8" t="s">
        <v>8898</v>
      </c>
      <c r="O5961" s="6" t="s">
        <v>365</v>
      </c>
      <c r="P5961" s="58">
        <v>796</v>
      </c>
      <c r="Q5961" s="31" t="s">
        <v>234</v>
      </c>
      <c r="R5961" s="34">
        <v>1</v>
      </c>
      <c r="S5961" s="59">
        <f>243212*1.07</f>
        <v>260236.84000000003</v>
      </c>
      <c r="T5961" s="4">
        <v>0</v>
      </c>
      <c r="U5961" s="4">
        <f t="shared" si="284"/>
        <v>0</v>
      </c>
      <c r="V5961" s="3"/>
      <c r="W5961" s="3">
        <v>2014</v>
      </c>
      <c r="X5961" s="3" t="s">
        <v>11817</v>
      </c>
    </row>
    <row r="5962" spans="1:24" ht="114.75">
      <c r="A5962" s="3" t="s">
        <v>13561</v>
      </c>
      <c r="B5962" s="6" t="s">
        <v>361</v>
      </c>
      <c r="C5962" s="6" t="s">
        <v>6219</v>
      </c>
      <c r="D5962" s="6" t="s">
        <v>6220</v>
      </c>
      <c r="E5962" s="6" t="s">
        <v>5332</v>
      </c>
      <c r="F5962" s="107" t="s">
        <v>6523</v>
      </c>
      <c r="G5962" s="3" t="s">
        <v>11450</v>
      </c>
      <c r="H5962" s="185">
        <v>0</v>
      </c>
      <c r="I5962" s="16">
        <v>470000000</v>
      </c>
      <c r="J5962" s="56" t="s">
        <v>229</v>
      </c>
      <c r="K5962" s="57" t="s">
        <v>9453</v>
      </c>
      <c r="L5962" s="12" t="s">
        <v>404</v>
      </c>
      <c r="M5962" s="3" t="s">
        <v>230</v>
      </c>
      <c r="N5962" s="8" t="s">
        <v>8898</v>
      </c>
      <c r="O5962" s="6" t="s">
        <v>365</v>
      </c>
      <c r="P5962" s="58">
        <v>796</v>
      </c>
      <c r="Q5962" s="31" t="s">
        <v>234</v>
      </c>
      <c r="R5962" s="34">
        <v>1</v>
      </c>
      <c r="S5962" s="59">
        <f>243212*1.07</f>
        <v>260236.84000000003</v>
      </c>
      <c r="T5962" s="4">
        <f>R5962*S5962</f>
        <v>260236.84000000003</v>
      </c>
      <c r="U5962" s="4">
        <f>T5962*1.12</f>
        <v>291465.26080000005</v>
      </c>
      <c r="V5962" s="3"/>
      <c r="W5962" s="3">
        <v>2014</v>
      </c>
      <c r="X5962" s="3"/>
    </row>
    <row r="5963" spans="1:24" ht="114.75">
      <c r="A5963" s="3" t="s">
        <v>2486</v>
      </c>
      <c r="B5963" s="6" t="s">
        <v>361</v>
      </c>
      <c r="C5963" s="6" t="s">
        <v>6252</v>
      </c>
      <c r="D5963" s="6" t="s">
        <v>6253</v>
      </c>
      <c r="E5963" s="6" t="s">
        <v>6254</v>
      </c>
      <c r="F5963" s="107" t="s">
        <v>6524</v>
      </c>
      <c r="G5963" s="3" t="s">
        <v>11449</v>
      </c>
      <c r="H5963" s="185">
        <v>0</v>
      </c>
      <c r="I5963" s="16">
        <v>470000000</v>
      </c>
      <c r="J5963" s="56" t="s">
        <v>229</v>
      </c>
      <c r="K5963" s="57" t="s">
        <v>641</v>
      </c>
      <c r="L5963" s="57" t="s">
        <v>364</v>
      </c>
      <c r="M5963" s="3" t="s">
        <v>230</v>
      </c>
      <c r="N5963" s="8" t="s">
        <v>8898</v>
      </c>
      <c r="O5963" s="6" t="s">
        <v>365</v>
      </c>
      <c r="P5963" s="58">
        <v>796</v>
      </c>
      <c r="Q5963" s="31" t="s">
        <v>234</v>
      </c>
      <c r="R5963" s="34">
        <v>2</v>
      </c>
      <c r="S5963" s="59">
        <f>5531*1.07</f>
        <v>5918.17</v>
      </c>
      <c r="T5963" s="4">
        <v>0</v>
      </c>
      <c r="U5963" s="4">
        <f t="shared" si="284"/>
        <v>0</v>
      </c>
      <c r="V5963" s="3"/>
      <c r="W5963" s="3">
        <v>2014</v>
      </c>
      <c r="X5963" s="3" t="s">
        <v>11817</v>
      </c>
    </row>
    <row r="5964" spans="1:24" ht="114.75">
      <c r="A5964" s="3" t="s">
        <v>13562</v>
      </c>
      <c r="B5964" s="6" t="s">
        <v>361</v>
      </c>
      <c r="C5964" s="6" t="s">
        <v>6252</v>
      </c>
      <c r="D5964" s="6" t="s">
        <v>6253</v>
      </c>
      <c r="E5964" s="6" t="s">
        <v>6254</v>
      </c>
      <c r="F5964" s="107" t="s">
        <v>6524</v>
      </c>
      <c r="G5964" s="3" t="s">
        <v>11450</v>
      </c>
      <c r="H5964" s="185">
        <v>0</v>
      </c>
      <c r="I5964" s="16">
        <v>470000000</v>
      </c>
      <c r="J5964" s="56" t="s">
        <v>229</v>
      </c>
      <c r="K5964" s="57" t="s">
        <v>9453</v>
      </c>
      <c r="L5964" s="12" t="s">
        <v>404</v>
      </c>
      <c r="M5964" s="3" t="s">
        <v>230</v>
      </c>
      <c r="N5964" s="8" t="s">
        <v>8898</v>
      </c>
      <c r="O5964" s="6" t="s">
        <v>365</v>
      </c>
      <c r="P5964" s="58">
        <v>796</v>
      </c>
      <c r="Q5964" s="31" t="s">
        <v>234</v>
      </c>
      <c r="R5964" s="34">
        <v>2</v>
      </c>
      <c r="S5964" s="59">
        <f>5531*1.07</f>
        <v>5918.17</v>
      </c>
      <c r="T5964" s="4">
        <f>R5964*S5964</f>
        <v>11836.34</v>
      </c>
      <c r="U5964" s="4">
        <f>T5964*1.12</f>
        <v>13256.700800000001</v>
      </c>
      <c r="V5964" s="3"/>
      <c r="W5964" s="3">
        <v>2014</v>
      </c>
      <c r="X5964" s="3"/>
    </row>
    <row r="5965" spans="1:24" ht="114.75">
      <c r="A5965" s="3" t="s">
        <v>2487</v>
      </c>
      <c r="B5965" s="6" t="s">
        <v>361</v>
      </c>
      <c r="C5965" s="6" t="s">
        <v>6249</v>
      </c>
      <c r="D5965" s="6" t="s">
        <v>6227</v>
      </c>
      <c r="E5965" s="6" t="s">
        <v>6250</v>
      </c>
      <c r="F5965" s="107" t="s">
        <v>6525</v>
      </c>
      <c r="G5965" s="3" t="s">
        <v>11449</v>
      </c>
      <c r="H5965" s="185">
        <v>0</v>
      </c>
      <c r="I5965" s="16">
        <v>470000000</v>
      </c>
      <c r="J5965" s="56" t="s">
        <v>229</v>
      </c>
      <c r="K5965" s="57" t="s">
        <v>641</v>
      </c>
      <c r="L5965" s="57" t="s">
        <v>364</v>
      </c>
      <c r="M5965" s="3" t="s">
        <v>230</v>
      </c>
      <c r="N5965" s="8" t="s">
        <v>8898</v>
      </c>
      <c r="O5965" s="6" t="s">
        <v>365</v>
      </c>
      <c r="P5965" s="58">
        <v>796</v>
      </c>
      <c r="Q5965" s="31" t="s">
        <v>234</v>
      </c>
      <c r="R5965" s="34">
        <v>1</v>
      </c>
      <c r="S5965" s="59">
        <f>145919*1.07</f>
        <v>156133.33000000002</v>
      </c>
      <c r="T5965" s="4">
        <v>0</v>
      </c>
      <c r="U5965" s="4">
        <f t="shared" si="284"/>
        <v>0</v>
      </c>
      <c r="V5965" s="3"/>
      <c r="W5965" s="3">
        <v>2014</v>
      </c>
      <c r="X5965" s="3" t="s">
        <v>11817</v>
      </c>
    </row>
    <row r="5966" spans="1:24" ht="114.75">
      <c r="A5966" s="3" t="s">
        <v>13563</v>
      </c>
      <c r="B5966" s="6" t="s">
        <v>361</v>
      </c>
      <c r="C5966" s="6" t="s">
        <v>6249</v>
      </c>
      <c r="D5966" s="6" t="s">
        <v>6227</v>
      </c>
      <c r="E5966" s="6" t="s">
        <v>6250</v>
      </c>
      <c r="F5966" s="107" t="s">
        <v>6525</v>
      </c>
      <c r="G5966" s="3" t="s">
        <v>11450</v>
      </c>
      <c r="H5966" s="185">
        <v>0</v>
      </c>
      <c r="I5966" s="16">
        <v>470000000</v>
      </c>
      <c r="J5966" s="56" t="s">
        <v>229</v>
      </c>
      <c r="K5966" s="57" t="s">
        <v>9453</v>
      </c>
      <c r="L5966" s="12" t="s">
        <v>404</v>
      </c>
      <c r="M5966" s="3" t="s">
        <v>230</v>
      </c>
      <c r="N5966" s="8" t="s">
        <v>8898</v>
      </c>
      <c r="O5966" s="6" t="s">
        <v>365</v>
      </c>
      <c r="P5966" s="58">
        <v>796</v>
      </c>
      <c r="Q5966" s="31" t="s">
        <v>234</v>
      </c>
      <c r="R5966" s="34">
        <v>1</v>
      </c>
      <c r="S5966" s="59">
        <f>145919*1.07</f>
        <v>156133.33000000002</v>
      </c>
      <c r="T5966" s="4">
        <v>0</v>
      </c>
      <c r="U5966" s="4">
        <f>T5966*1.12</f>
        <v>0</v>
      </c>
      <c r="V5966" s="3"/>
      <c r="W5966" s="3">
        <v>2014</v>
      </c>
      <c r="X5966" s="3" t="s">
        <v>14785</v>
      </c>
    </row>
    <row r="5967" spans="1:24" ht="114.75">
      <c r="A5967" s="3" t="s">
        <v>16985</v>
      </c>
      <c r="B5967" s="6" t="s">
        <v>361</v>
      </c>
      <c r="C5967" s="6" t="s">
        <v>6249</v>
      </c>
      <c r="D5967" s="6" t="s">
        <v>6227</v>
      </c>
      <c r="E5967" s="6" t="s">
        <v>6250</v>
      </c>
      <c r="F5967" s="107" t="s">
        <v>6525</v>
      </c>
      <c r="G5967" s="3" t="s">
        <v>11450</v>
      </c>
      <c r="H5967" s="185">
        <v>0</v>
      </c>
      <c r="I5967" s="16">
        <v>470000000</v>
      </c>
      <c r="J5967" s="56" t="s">
        <v>229</v>
      </c>
      <c r="K5967" s="57" t="s">
        <v>8950</v>
      </c>
      <c r="L5967" s="12" t="s">
        <v>404</v>
      </c>
      <c r="M5967" s="3" t="s">
        <v>230</v>
      </c>
      <c r="N5967" s="8" t="s">
        <v>8898</v>
      </c>
      <c r="O5967" s="6" t="s">
        <v>365</v>
      </c>
      <c r="P5967" s="58">
        <v>796</v>
      </c>
      <c r="Q5967" s="31" t="s">
        <v>234</v>
      </c>
      <c r="R5967" s="34">
        <v>1</v>
      </c>
      <c r="S5967" s="59">
        <v>187359.99600000001</v>
      </c>
      <c r="T5967" s="4">
        <f>R5967*S5967</f>
        <v>187359.99600000001</v>
      </c>
      <c r="U5967" s="4">
        <f>T5967*1.12</f>
        <v>209843.19552000004</v>
      </c>
      <c r="V5967" s="3"/>
      <c r="W5967" s="3">
        <v>2014</v>
      </c>
      <c r="X5967" s="3"/>
    </row>
    <row r="5968" spans="1:24" ht="114.75">
      <c r="A5968" s="3" t="s">
        <v>2488</v>
      </c>
      <c r="B5968" s="6" t="s">
        <v>361</v>
      </c>
      <c r="C5968" s="6" t="s">
        <v>6249</v>
      </c>
      <c r="D5968" s="6" t="s">
        <v>6227</v>
      </c>
      <c r="E5968" s="6" t="s">
        <v>6250</v>
      </c>
      <c r="F5968" s="107" t="s">
        <v>6526</v>
      </c>
      <c r="G5968" s="3" t="s">
        <v>11449</v>
      </c>
      <c r="H5968" s="185">
        <v>0</v>
      </c>
      <c r="I5968" s="16">
        <v>470000000</v>
      </c>
      <c r="J5968" s="56" t="s">
        <v>229</v>
      </c>
      <c r="K5968" s="57" t="s">
        <v>641</v>
      </c>
      <c r="L5968" s="57" t="s">
        <v>364</v>
      </c>
      <c r="M5968" s="3" t="s">
        <v>230</v>
      </c>
      <c r="N5968" s="8" t="s">
        <v>8898</v>
      </c>
      <c r="O5968" s="6" t="s">
        <v>365</v>
      </c>
      <c r="P5968" s="58">
        <v>796</v>
      </c>
      <c r="Q5968" s="31" t="s">
        <v>234</v>
      </c>
      <c r="R5968" s="34">
        <v>2</v>
      </c>
      <c r="S5968" s="59">
        <f>120488*1.07</f>
        <v>128922.16</v>
      </c>
      <c r="T5968" s="4">
        <v>0</v>
      </c>
      <c r="U5968" s="4">
        <f t="shared" si="284"/>
        <v>0</v>
      </c>
      <c r="V5968" s="3"/>
      <c r="W5968" s="3">
        <v>2014</v>
      </c>
      <c r="X5968" s="3" t="s">
        <v>11817</v>
      </c>
    </row>
    <row r="5969" spans="1:24" ht="114.75">
      <c r="A5969" s="3" t="s">
        <v>13564</v>
      </c>
      <c r="B5969" s="6" t="s">
        <v>361</v>
      </c>
      <c r="C5969" s="6" t="s">
        <v>6249</v>
      </c>
      <c r="D5969" s="6" t="s">
        <v>6227</v>
      </c>
      <c r="E5969" s="6" t="s">
        <v>6250</v>
      </c>
      <c r="F5969" s="107" t="s">
        <v>6526</v>
      </c>
      <c r="G5969" s="3" t="s">
        <v>11450</v>
      </c>
      <c r="H5969" s="185">
        <v>0</v>
      </c>
      <c r="I5969" s="16">
        <v>470000000</v>
      </c>
      <c r="J5969" s="56" t="s">
        <v>229</v>
      </c>
      <c r="K5969" s="57" t="s">
        <v>9453</v>
      </c>
      <c r="L5969" s="12" t="s">
        <v>404</v>
      </c>
      <c r="M5969" s="3" t="s">
        <v>230</v>
      </c>
      <c r="N5969" s="8" t="s">
        <v>8898</v>
      </c>
      <c r="O5969" s="6" t="s">
        <v>365</v>
      </c>
      <c r="P5969" s="58">
        <v>796</v>
      </c>
      <c r="Q5969" s="31" t="s">
        <v>234</v>
      </c>
      <c r="R5969" s="34">
        <v>2</v>
      </c>
      <c r="S5969" s="59">
        <f>120488*1.07</f>
        <v>128922.16</v>
      </c>
      <c r="T5969" s="4">
        <f>R5969*S5969</f>
        <v>257844.32</v>
      </c>
      <c r="U5969" s="4">
        <f>T5969*1.12</f>
        <v>288785.63840000005</v>
      </c>
      <c r="V5969" s="3"/>
      <c r="W5969" s="3">
        <v>2014</v>
      </c>
      <c r="X5969" s="3"/>
    </row>
    <row r="5970" spans="1:24" ht="114.75">
      <c r="A5970" s="3" t="s">
        <v>2489</v>
      </c>
      <c r="B5970" s="6" t="s">
        <v>361</v>
      </c>
      <c r="C5970" s="6" t="s">
        <v>7381</v>
      </c>
      <c r="D5970" s="6" t="s">
        <v>7382</v>
      </c>
      <c r="E5970" s="6" t="s">
        <v>11580</v>
      </c>
      <c r="F5970" s="30" t="s">
        <v>6527</v>
      </c>
      <c r="G5970" s="3" t="s">
        <v>11449</v>
      </c>
      <c r="H5970" s="185">
        <v>0</v>
      </c>
      <c r="I5970" s="16">
        <v>470000000</v>
      </c>
      <c r="J5970" s="56" t="s">
        <v>229</v>
      </c>
      <c r="K5970" s="57" t="s">
        <v>641</v>
      </c>
      <c r="L5970" s="57" t="s">
        <v>364</v>
      </c>
      <c r="M5970" s="3" t="s">
        <v>230</v>
      </c>
      <c r="N5970" s="8" t="s">
        <v>8898</v>
      </c>
      <c r="O5970" s="6" t="s">
        <v>365</v>
      </c>
      <c r="P5970" s="58">
        <v>796</v>
      </c>
      <c r="Q5970" s="31" t="s">
        <v>234</v>
      </c>
      <c r="R5970" s="34">
        <v>2</v>
      </c>
      <c r="S5970" s="59">
        <v>610520.16</v>
      </c>
      <c r="T5970" s="4">
        <v>0</v>
      </c>
      <c r="U5970" s="4">
        <f t="shared" si="284"/>
        <v>0</v>
      </c>
      <c r="V5970" s="3"/>
      <c r="W5970" s="3">
        <v>2014</v>
      </c>
      <c r="X5970" s="3" t="s">
        <v>11817</v>
      </c>
    </row>
    <row r="5971" spans="1:24" ht="114.75">
      <c r="A5971" s="3" t="s">
        <v>13565</v>
      </c>
      <c r="B5971" s="6" t="s">
        <v>361</v>
      </c>
      <c r="C5971" s="6" t="s">
        <v>7381</v>
      </c>
      <c r="D5971" s="6" t="s">
        <v>7382</v>
      </c>
      <c r="E5971" s="6" t="s">
        <v>11580</v>
      </c>
      <c r="F5971" s="30" t="s">
        <v>6527</v>
      </c>
      <c r="G5971" s="3" t="s">
        <v>11450</v>
      </c>
      <c r="H5971" s="185">
        <v>0</v>
      </c>
      <c r="I5971" s="16">
        <v>470000000</v>
      </c>
      <c r="J5971" s="56" t="s">
        <v>229</v>
      </c>
      <c r="K5971" s="57" t="s">
        <v>9453</v>
      </c>
      <c r="L5971" s="12" t="s">
        <v>404</v>
      </c>
      <c r="M5971" s="3" t="s">
        <v>230</v>
      </c>
      <c r="N5971" s="8" t="s">
        <v>8898</v>
      </c>
      <c r="O5971" s="6" t="s">
        <v>365</v>
      </c>
      <c r="P5971" s="58">
        <v>796</v>
      </c>
      <c r="Q5971" s="31" t="s">
        <v>234</v>
      </c>
      <c r="R5971" s="34">
        <v>2</v>
      </c>
      <c r="S5971" s="59">
        <v>610520.16</v>
      </c>
      <c r="T5971" s="4">
        <f>R5971*S5971</f>
        <v>1221040.32</v>
      </c>
      <c r="U5971" s="4">
        <f>T5971*1.12</f>
        <v>1367565.1584000003</v>
      </c>
      <c r="V5971" s="3"/>
      <c r="W5971" s="3">
        <v>2014</v>
      </c>
      <c r="X5971" s="3"/>
    </row>
    <row r="5972" spans="1:24" ht="114.75">
      <c r="A5972" s="3" t="s">
        <v>2490</v>
      </c>
      <c r="B5972" s="6" t="s">
        <v>361</v>
      </c>
      <c r="C5972" s="6" t="s">
        <v>5547</v>
      </c>
      <c r="D5972" s="6" t="s">
        <v>415</v>
      </c>
      <c r="E5972" s="6" t="s">
        <v>5332</v>
      </c>
      <c r="F5972" s="107" t="s">
        <v>6528</v>
      </c>
      <c r="G5972" s="3" t="s">
        <v>11449</v>
      </c>
      <c r="H5972" s="185">
        <v>0</v>
      </c>
      <c r="I5972" s="16">
        <v>470000000</v>
      </c>
      <c r="J5972" s="56" t="s">
        <v>229</v>
      </c>
      <c r="K5972" s="57" t="s">
        <v>641</v>
      </c>
      <c r="L5972" s="57" t="s">
        <v>364</v>
      </c>
      <c r="M5972" s="3" t="s">
        <v>230</v>
      </c>
      <c r="N5972" s="8" t="s">
        <v>8898</v>
      </c>
      <c r="O5972" s="6" t="s">
        <v>365</v>
      </c>
      <c r="P5972" s="58">
        <v>796</v>
      </c>
      <c r="Q5972" s="31" t="s">
        <v>234</v>
      </c>
      <c r="R5972" s="34">
        <v>3</v>
      </c>
      <c r="S5972" s="59">
        <v>96312.18</v>
      </c>
      <c r="T5972" s="4">
        <v>0</v>
      </c>
      <c r="U5972" s="4">
        <f t="shared" si="284"/>
        <v>0</v>
      </c>
      <c r="V5972" s="3"/>
      <c r="W5972" s="3">
        <v>2014</v>
      </c>
      <c r="X5972" s="3" t="s">
        <v>11817</v>
      </c>
    </row>
    <row r="5973" spans="1:24" ht="114.75">
      <c r="A5973" s="3" t="s">
        <v>13566</v>
      </c>
      <c r="B5973" s="6" t="s">
        <v>361</v>
      </c>
      <c r="C5973" s="6" t="s">
        <v>5547</v>
      </c>
      <c r="D5973" s="6" t="s">
        <v>415</v>
      </c>
      <c r="E5973" s="6" t="s">
        <v>5332</v>
      </c>
      <c r="F5973" s="107" t="s">
        <v>6528</v>
      </c>
      <c r="G5973" s="3" t="s">
        <v>11450</v>
      </c>
      <c r="H5973" s="185">
        <v>0</v>
      </c>
      <c r="I5973" s="16">
        <v>470000000</v>
      </c>
      <c r="J5973" s="56" t="s">
        <v>229</v>
      </c>
      <c r="K5973" s="57" t="s">
        <v>9453</v>
      </c>
      <c r="L5973" s="12" t="s">
        <v>404</v>
      </c>
      <c r="M5973" s="3" t="s">
        <v>230</v>
      </c>
      <c r="N5973" s="8" t="s">
        <v>8898</v>
      </c>
      <c r="O5973" s="6" t="s">
        <v>365</v>
      </c>
      <c r="P5973" s="58">
        <v>796</v>
      </c>
      <c r="Q5973" s="31" t="s">
        <v>234</v>
      </c>
      <c r="R5973" s="34">
        <v>3</v>
      </c>
      <c r="S5973" s="59">
        <v>96312.18</v>
      </c>
      <c r="T5973" s="4">
        <f>R5973*S5973</f>
        <v>288936.53999999998</v>
      </c>
      <c r="U5973" s="4">
        <f>T5973*1.12</f>
        <v>323608.92479999998</v>
      </c>
      <c r="V5973" s="3"/>
      <c r="W5973" s="3">
        <v>2014</v>
      </c>
      <c r="X5973" s="3"/>
    </row>
    <row r="5974" spans="1:24" ht="127.5">
      <c r="A5974" s="3" t="s">
        <v>2491</v>
      </c>
      <c r="B5974" s="6" t="s">
        <v>361</v>
      </c>
      <c r="C5974" s="6" t="s">
        <v>6529</v>
      </c>
      <c r="D5974" s="6" t="s">
        <v>3119</v>
      </c>
      <c r="E5974" s="6" t="s">
        <v>6530</v>
      </c>
      <c r="F5974" s="8" t="s">
        <v>6531</v>
      </c>
      <c r="G5974" s="3" t="s">
        <v>11449</v>
      </c>
      <c r="H5974" s="185">
        <v>0</v>
      </c>
      <c r="I5974" s="16">
        <v>470000000</v>
      </c>
      <c r="J5974" s="56" t="s">
        <v>229</v>
      </c>
      <c r="K5974" s="57" t="s">
        <v>641</v>
      </c>
      <c r="L5974" s="57" t="s">
        <v>364</v>
      </c>
      <c r="M5974" s="3" t="s">
        <v>230</v>
      </c>
      <c r="N5974" s="8" t="s">
        <v>8899</v>
      </c>
      <c r="O5974" s="6" t="s">
        <v>365</v>
      </c>
      <c r="P5974" s="58">
        <v>796</v>
      </c>
      <c r="Q5974" s="31" t="s">
        <v>234</v>
      </c>
      <c r="R5974" s="39">
        <v>1</v>
      </c>
      <c r="S5974" s="59">
        <f>2696000*1.07</f>
        <v>2884720</v>
      </c>
      <c r="T5974" s="4">
        <v>0</v>
      </c>
      <c r="U5974" s="4">
        <f t="shared" ref="U5974:U6127" si="285">T5974*1.12</f>
        <v>0</v>
      </c>
      <c r="V5974" s="3"/>
      <c r="W5974" s="3">
        <v>2014</v>
      </c>
      <c r="X5974" s="3">
        <v>11.12</v>
      </c>
    </row>
    <row r="5975" spans="1:24" ht="127.5">
      <c r="A5975" s="3" t="s">
        <v>13567</v>
      </c>
      <c r="B5975" s="6" t="s">
        <v>361</v>
      </c>
      <c r="C5975" s="6" t="s">
        <v>6529</v>
      </c>
      <c r="D5975" s="6" t="s">
        <v>3119</v>
      </c>
      <c r="E5975" s="6" t="s">
        <v>6530</v>
      </c>
      <c r="F5975" s="8" t="s">
        <v>6531</v>
      </c>
      <c r="G5975" s="3" t="s">
        <v>11449</v>
      </c>
      <c r="H5975" s="185">
        <v>0</v>
      </c>
      <c r="I5975" s="16">
        <v>470000000</v>
      </c>
      <c r="J5975" s="56" t="s">
        <v>229</v>
      </c>
      <c r="K5975" s="57" t="s">
        <v>642</v>
      </c>
      <c r="L5975" s="12" t="s">
        <v>404</v>
      </c>
      <c r="M5975" s="3" t="s">
        <v>230</v>
      </c>
      <c r="N5975" s="8" t="s">
        <v>8899</v>
      </c>
      <c r="O5975" s="6" t="s">
        <v>365</v>
      </c>
      <c r="P5975" s="58">
        <v>796</v>
      </c>
      <c r="Q5975" s="327" t="s">
        <v>234</v>
      </c>
      <c r="R5975" s="341">
        <v>1</v>
      </c>
      <c r="S5975" s="59">
        <f>2696000*1.07</f>
        <v>2884720</v>
      </c>
      <c r="T5975" s="4">
        <v>0</v>
      </c>
      <c r="U5975" s="4">
        <f t="shared" si="285"/>
        <v>0</v>
      </c>
      <c r="V5975" s="3"/>
      <c r="W5975" s="3">
        <v>2014</v>
      </c>
      <c r="X5975" s="3" t="s">
        <v>19394</v>
      </c>
    </row>
    <row r="5976" spans="1:24" ht="127.5">
      <c r="A5976" s="3" t="s">
        <v>19149</v>
      </c>
      <c r="B5976" s="6" t="s">
        <v>361</v>
      </c>
      <c r="C5976" s="6" t="s">
        <v>6529</v>
      </c>
      <c r="D5976" s="6" t="s">
        <v>3119</v>
      </c>
      <c r="E5976" s="6" t="s">
        <v>6530</v>
      </c>
      <c r="F5976" s="8" t="s">
        <v>6531</v>
      </c>
      <c r="G5976" s="3" t="s">
        <v>11449</v>
      </c>
      <c r="H5976" s="185">
        <v>0</v>
      </c>
      <c r="I5976" s="16">
        <v>470000000</v>
      </c>
      <c r="J5976" s="56" t="s">
        <v>229</v>
      </c>
      <c r="K5976" s="57" t="s">
        <v>18437</v>
      </c>
      <c r="L5976" s="12" t="s">
        <v>404</v>
      </c>
      <c r="M5976" s="3" t="s">
        <v>230</v>
      </c>
      <c r="N5976" s="8" t="s">
        <v>19369</v>
      </c>
      <c r="O5976" s="6" t="s">
        <v>19407</v>
      </c>
      <c r="P5976" s="58">
        <v>796</v>
      </c>
      <c r="Q5976" s="327" t="s">
        <v>234</v>
      </c>
      <c r="R5976" s="341">
        <v>2</v>
      </c>
      <c r="S5976" s="59">
        <v>3461664</v>
      </c>
      <c r="T5976" s="4">
        <f>R5976*S5976</f>
        <v>6923328</v>
      </c>
      <c r="U5976" s="4">
        <f t="shared" si="285"/>
        <v>7754127.3600000003</v>
      </c>
      <c r="V5976" s="3"/>
      <c r="W5976" s="3">
        <v>2014</v>
      </c>
      <c r="X5976" s="3"/>
    </row>
    <row r="5977" spans="1:24" ht="114.75">
      <c r="A5977" s="3" t="s">
        <v>2492</v>
      </c>
      <c r="B5977" s="6" t="s">
        <v>361</v>
      </c>
      <c r="C5977" s="6" t="s">
        <v>3116</v>
      </c>
      <c r="D5977" s="6" t="s">
        <v>3117</v>
      </c>
      <c r="E5977" s="6" t="s">
        <v>3115</v>
      </c>
      <c r="F5977" s="8" t="s">
        <v>6532</v>
      </c>
      <c r="G5977" s="3" t="s">
        <v>11449</v>
      </c>
      <c r="H5977" s="185">
        <v>0</v>
      </c>
      <c r="I5977" s="16">
        <v>470000000</v>
      </c>
      <c r="J5977" s="56" t="s">
        <v>229</v>
      </c>
      <c r="K5977" s="57" t="s">
        <v>641</v>
      </c>
      <c r="L5977" s="57" t="s">
        <v>364</v>
      </c>
      <c r="M5977" s="3" t="s">
        <v>230</v>
      </c>
      <c r="N5977" s="8" t="s">
        <v>8899</v>
      </c>
      <c r="O5977" s="6" t="s">
        <v>365</v>
      </c>
      <c r="P5977" s="58">
        <v>796</v>
      </c>
      <c r="Q5977" s="31" t="s">
        <v>234</v>
      </c>
      <c r="R5977" s="39">
        <v>2</v>
      </c>
      <c r="S5977" s="59">
        <f>335500*1.07</f>
        <v>358985</v>
      </c>
      <c r="T5977" s="4">
        <v>0</v>
      </c>
      <c r="U5977" s="4">
        <f t="shared" si="285"/>
        <v>0</v>
      </c>
      <c r="V5977" s="3"/>
      <c r="W5977" s="3">
        <v>2014</v>
      </c>
      <c r="X5977" s="3">
        <v>11.12</v>
      </c>
    </row>
    <row r="5978" spans="1:24" ht="114.75">
      <c r="A5978" s="3" t="s">
        <v>13568</v>
      </c>
      <c r="B5978" s="6" t="s">
        <v>361</v>
      </c>
      <c r="C5978" s="6" t="s">
        <v>3116</v>
      </c>
      <c r="D5978" s="6" t="s">
        <v>3117</v>
      </c>
      <c r="E5978" s="6" t="s">
        <v>3115</v>
      </c>
      <c r="F5978" s="8" t="s">
        <v>6532</v>
      </c>
      <c r="G5978" s="3" t="s">
        <v>11449</v>
      </c>
      <c r="H5978" s="185">
        <v>0</v>
      </c>
      <c r="I5978" s="16">
        <v>470000000</v>
      </c>
      <c r="J5978" s="56" t="s">
        <v>229</v>
      </c>
      <c r="K5978" s="57" t="s">
        <v>642</v>
      </c>
      <c r="L5978" s="12" t="s">
        <v>404</v>
      </c>
      <c r="M5978" s="3" t="s">
        <v>230</v>
      </c>
      <c r="N5978" s="8" t="s">
        <v>8899</v>
      </c>
      <c r="O5978" s="6" t="s">
        <v>365</v>
      </c>
      <c r="P5978" s="58">
        <v>796</v>
      </c>
      <c r="Q5978" s="31" t="s">
        <v>234</v>
      </c>
      <c r="R5978" s="39">
        <v>2</v>
      </c>
      <c r="S5978" s="59">
        <f>335500*1.07</f>
        <v>358985</v>
      </c>
      <c r="T5978" s="4">
        <f>R5978*S5978</f>
        <v>717970</v>
      </c>
      <c r="U5978" s="4">
        <f>T5978*1.12</f>
        <v>804126.4</v>
      </c>
      <c r="V5978" s="3"/>
      <c r="W5978" s="3">
        <v>2014</v>
      </c>
      <c r="X5978" s="3"/>
    </row>
    <row r="5979" spans="1:24" ht="114.75">
      <c r="A5979" s="3" t="s">
        <v>2493</v>
      </c>
      <c r="B5979" s="6" t="s">
        <v>361</v>
      </c>
      <c r="C5979" s="6" t="s">
        <v>6429</v>
      </c>
      <c r="D5979" s="6" t="s">
        <v>471</v>
      </c>
      <c r="E5979" s="6" t="s">
        <v>3115</v>
      </c>
      <c r="F5979" s="230" t="s">
        <v>6533</v>
      </c>
      <c r="G5979" s="3" t="s">
        <v>11449</v>
      </c>
      <c r="H5979" s="185">
        <v>0</v>
      </c>
      <c r="I5979" s="16">
        <v>470000000</v>
      </c>
      <c r="J5979" s="56" t="s">
        <v>229</v>
      </c>
      <c r="K5979" s="57" t="s">
        <v>641</v>
      </c>
      <c r="L5979" s="57" t="s">
        <v>364</v>
      </c>
      <c r="M5979" s="3" t="s">
        <v>230</v>
      </c>
      <c r="N5979" s="8" t="s">
        <v>8899</v>
      </c>
      <c r="O5979" s="6" t="s">
        <v>365</v>
      </c>
      <c r="P5979" s="58">
        <v>796</v>
      </c>
      <c r="Q5979" s="31" t="s">
        <v>234</v>
      </c>
      <c r="R5979" s="39">
        <v>2</v>
      </c>
      <c r="S5979" s="59">
        <f>26500*1.07</f>
        <v>28355</v>
      </c>
      <c r="T5979" s="4">
        <v>0</v>
      </c>
      <c r="U5979" s="4">
        <f t="shared" si="285"/>
        <v>0</v>
      </c>
      <c r="V5979" s="3"/>
      <c r="W5979" s="3">
        <v>2014</v>
      </c>
      <c r="X5979" s="3">
        <v>11.12</v>
      </c>
    </row>
    <row r="5980" spans="1:24" ht="114.75">
      <c r="A5980" s="3" t="s">
        <v>13569</v>
      </c>
      <c r="B5980" s="6" t="s">
        <v>361</v>
      </c>
      <c r="C5980" s="6" t="s">
        <v>6429</v>
      </c>
      <c r="D5980" s="6" t="s">
        <v>471</v>
      </c>
      <c r="E5980" s="6" t="s">
        <v>3115</v>
      </c>
      <c r="F5980" s="230" t="s">
        <v>6533</v>
      </c>
      <c r="G5980" s="3" t="s">
        <v>11449</v>
      </c>
      <c r="H5980" s="185">
        <v>0</v>
      </c>
      <c r="I5980" s="16">
        <v>470000000</v>
      </c>
      <c r="J5980" s="56" t="s">
        <v>229</v>
      </c>
      <c r="K5980" s="57" t="s">
        <v>642</v>
      </c>
      <c r="L5980" s="12" t="s">
        <v>404</v>
      </c>
      <c r="M5980" s="3" t="s">
        <v>230</v>
      </c>
      <c r="N5980" s="8" t="s">
        <v>8899</v>
      </c>
      <c r="O5980" s="6" t="s">
        <v>365</v>
      </c>
      <c r="P5980" s="58">
        <v>796</v>
      </c>
      <c r="Q5980" s="31" t="s">
        <v>234</v>
      </c>
      <c r="R5980" s="39">
        <v>2</v>
      </c>
      <c r="S5980" s="59">
        <f>26500*1.07</f>
        <v>28355</v>
      </c>
      <c r="T5980" s="4">
        <f>R5980*S5980</f>
        <v>56710</v>
      </c>
      <c r="U5980" s="4">
        <f>T5980*1.12</f>
        <v>63515.200000000004</v>
      </c>
      <c r="V5980" s="3"/>
      <c r="W5980" s="3">
        <v>2014</v>
      </c>
      <c r="X5980" s="3"/>
    </row>
    <row r="5981" spans="1:24" ht="114.75">
      <c r="A5981" s="3" t="s">
        <v>2494</v>
      </c>
      <c r="B5981" s="6" t="s">
        <v>361</v>
      </c>
      <c r="C5981" s="6" t="s">
        <v>6534</v>
      </c>
      <c r="D5981" s="6" t="s">
        <v>6535</v>
      </c>
      <c r="E5981" s="6" t="s">
        <v>6536</v>
      </c>
      <c r="F5981" s="9" t="s">
        <v>6537</v>
      </c>
      <c r="G5981" s="3" t="s">
        <v>11449</v>
      </c>
      <c r="H5981" s="185">
        <v>0</v>
      </c>
      <c r="I5981" s="16">
        <v>470000000</v>
      </c>
      <c r="J5981" s="56" t="s">
        <v>229</v>
      </c>
      <c r="K5981" s="57" t="s">
        <v>641</v>
      </c>
      <c r="L5981" s="57" t="s">
        <v>364</v>
      </c>
      <c r="M5981" s="3" t="s">
        <v>230</v>
      </c>
      <c r="N5981" s="8" t="s">
        <v>8899</v>
      </c>
      <c r="O5981" s="6" t="s">
        <v>365</v>
      </c>
      <c r="P5981" s="58">
        <v>839</v>
      </c>
      <c r="Q5981" s="27" t="s">
        <v>239</v>
      </c>
      <c r="R5981" s="39">
        <v>8</v>
      </c>
      <c r="S5981" s="59">
        <f>8600*1.07</f>
        <v>9202</v>
      </c>
      <c r="T5981" s="4">
        <v>0</v>
      </c>
      <c r="U5981" s="4">
        <f t="shared" si="285"/>
        <v>0</v>
      </c>
      <c r="V5981" s="3"/>
      <c r="W5981" s="3">
        <v>2014</v>
      </c>
      <c r="X5981" s="3">
        <v>11.12</v>
      </c>
    </row>
    <row r="5982" spans="1:24" ht="114.75">
      <c r="A5982" s="3" t="s">
        <v>13570</v>
      </c>
      <c r="B5982" s="6" t="s">
        <v>361</v>
      </c>
      <c r="C5982" s="6" t="s">
        <v>6534</v>
      </c>
      <c r="D5982" s="6" t="s">
        <v>6535</v>
      </c>
      <c r="E5982" s="6" t="s">
        <v>6536</v>
      </c>
      <c r="F5982" s="9" t="s">
        <v>6537</v>
      </c>
      <c r="G5982" s="3" t="s">
        <v>11449</v>
      </c>
      <c r="H5982" s="185">
        <v>0</v>
      </c>
      <c r="I5982" s="16">
        <v>470000000</v>
      </c>
      <c r="J5982" s="56" t="s">
        <v>229</v>
      </c>
      <c r="K5982" s="57" t="s">
        <v>642</v>
      </c>
      <c r="L5982" s="12" t="s">
        <v>404</v>
      </c>
      <c r="M5982" s="3" t="s">
        <v>230</v>
      </c>
      <c r="N5982" s="8" t="s">
        <v>8899</v>
      </c>
      <c r="O5982" s="6" t="s">
        <v>365</v>
      </c>
      <c r="P5982" s="58">
        <v>839</v>
      </c>
      <c r="Q5982" s="27" t="s">
        <v>239</v>
      </c>
      <c r="R5982" s="39">
        <v>8</v>
      </c>
      <c r="S5982" s="59">
        <f>8600*1.07</f>
        <v>9202</v>
      </c>
      <c r="T5982" s="4">
        <f>R5982*S5982</f>
        <v>73616</v>
      </c>
      <c r="U5982" s="4">
        <f>T5982*1.12</f>
        <v>82449.920000000013</v>
      </c>
      <c r="V5982" s="3"/>
      <c r="W5982" s="3">
        <v>2014</v>
      </c>
      <c r="X5982" s="3"/>
    </row>
    <row r="5983" spans="1:24" ht="114.75">
      <c r="A5983" s="3" t="s">
        <v>2495</v>
      </c>
      <c r="B5983" s="6" t="s">
        <v>361</v>
      </c>
      <c r="C5983" s="6" t="s">
        <v>3124</v>
      </c>
      <c r="D5983" s="6" t="s">
        <v>3125</v>
      </c>
      <c r="E5983" s="6" t="s">
        <v>3115</v>
      </c>
      <c r="F5983" s="9" t="s">
        <v>6538</v>
      </c>
      <c r="G5983" s="3" t="s">
        <v>11449</v>
      </c>
      <c r="H5983" s="185">
        <v>0</v>
      </c>
      <c r="I5983" s="16">
        <v>470000000</v>
      </c>
      <c r="J5983" s="56" t="s">
        <v>229</v>
      </c>
      <c r="K5983" s="57" t="s">
        <v>641</v>
      </c>
      <c r="L5983" s="57" t="s">
        <v>364</v>
      </c>
      <c r="M5983" s="3" t="s">
        <v>230</v>
      </c>
      <c r="N5983" s="8" t="s">
        <v>8899</v>
      </c>
      <c r="O5983" s="6" t="s">
        <v>365</v>
      </c>
      <c r="P5983" s="58">
        <v>839</v>
      </c>
      <c r="Q5983" s="27" t="s">
        <v>239</v>
      </c>
      <c r="R5983" s="39">
        <v>8</v>
      </c>
      <c r="S5983" s="59">
        <f>4500*1.07</f>
        <v>4815</v>
      </c>
      <c r="T5983" s="4">
        <v>0</v>
      </c>
      <c r="U5983" s="4">
        <f t="shared" si="285"/>
        <v>0</v>
      </c>
      <c r="V5983" s="3"/>
      <c r="W5983" s="3">
        <v>2014</v>
      </c>
      <c r="X5983" s="3">
        <v>11.12</v>
      </c>
    </row>
    <row r="5984" spans="1:24" ht="114.75">
      <c r="A5984" s="3" t="s">
        <v>13571</v>
      </c>
      <c r="B5984" s="6" t="s">
        <v>361</v>
      </c>
      <c r="C5984" s="6" t="s">
        <v>3124</v>
      </c>
      <c r="D5984" s="6" t="s">
        <v>3125</v>
      </c>
      <c r="E5984" s="6" t="s">
        <v>3115</v>
      </c>
      <c r="F5984" s="9" t="s">
        <v>6538</v>
      </c>
      <c r="G5984" s="3" t="s">
        <v>11449</v>
      </c>
      <c r="H5984" s="185">
        <v>0</v>
      </c>
      <c r="I5984" s="16">
        <v>470000000</v>
      </c>
      <c r="J5984" s="56" t="s">
        <v>229</v>
      </c>
      <c r="K5984" s="57" t="s">
        <v>642</v>
      </c>
      <c r="L5984" s="12" t="s">
        <v>404</v>
      </c>
      <c r="M5984" s="3" t="s">
        <v>230</v>
      </c>
      <c r="N5984" s="8" t="s">
        <v>8899</v>
      </c>
      <c r="O5984" s="6" t="s">
        <v>365</v>
      </c>
      <c r="P5984" s="58">
        <v>839</v>
      </c>
      <c r="Q5984" s="27" t="s">
        <v>239</v>
      </c>
      <c r="R5984" s="39">
        <v>8</v>
      </c>
      <c r="S5984" s="59">
        <f>4500*1.07</f>
        <v>4815</v>
      </c>
      <c r="T5984" s="4">
        <f>R5984*S5984</f>
        <v>38520</v>
      </c>
      <c r="U5984" s="4">
        <f>T5984*1.12</f>
        <v>43142.400000000001</v>
      </c>
      <c r="V5984" s="3"/>
      <c r="W5984" s="3">
        <v>2014</v>
      </c>
      <c r="X5984" s="3"/>
    </row>
    <row r="5985" spans="1:24" ht="114.75">
      <c r="A5985" s="3" t="s">
        <v>2496</v>
      </c>
      <c r="B5985" s="6" t="s">
        <v>361</v>
      </c>
      <c r="C5985" s="6" t="s">
        <v>6539</v>
      </c>
      <c r="D5985" s="6" t="s">
        <v>440</v>
      </c>
      <c r="E5985" s="6" t="s">
        <v>6540</v>
      </c>
      <c r="F5985" s="9" t="s">
        <v>6541</v>
      </c>
      <c r="G5985" s="3" t="s">
        <v>11449</v>
      </c>
      <c r="H5985" s="185">
        <v>0</v>
      </c>
      <c r="I5985" s="16">
        <v>470000000</v>
      </c>
      <c r="J5985" s="56" t="s">
        <v>229</v>
      </c>
      <c r="K5985" s="57" t="s">
        <v>641</v>
      </c>
      <c r="L5985" s="57" t="s">
        <v>364</v>
      </c>
      <c r="M5985" s="3" t="s">
        <v>230</v>
      </c>
      <c r="N5985" s="8" t="s">
        <v>8899</v>
      </c>
      <c r="O5985" s="6" t="s">
        <v>365</v>
      </c>
      <c r="P5985" s="58">
        <v>839</v>
      </c>
      <c r="Q5985" s="27" t="s">
        <v>239</v>
      </c>
      <c r="R5985" s="39">
        <v>24</v>
      </c>
      <c r="S5985" s="59">
        <f>76400*1.07</f>
        <v>81748</v>
      </c>
      <c r="T5985" s="4">
        <v>0</v>
      </c>
      <c r="U5985" s="4">
        <f t="shared" si="285"/>
        <v>0</v>
      </c>
      <c r="V5985" s="3"/>
      <c r="W5985" s="3">
        <v>2014</v>
      </c>
      <c r="X5985" s="3">
        <v>11.12</v>
      </c>
    </row>
    <row r="5986" spans="1:24" ht="114.75">
      <c r="A5986" s="3" t="s">
        <v>13572</v>
      </c>
      <c r="B5986" s="6" t="s">
        <v>361</v>
      </c>
      <c r="C5986" s="6" t="s">
        <v>6539</v>
      </c>
      <c r="D5986" s="6" t="s">
        <v>440</v>
      </c>
      <c r="E5986" s="6" t="s">
        <v>6540</v>
      </c>
      <c r="F5986" s="9" t="s">
        <v>6541</v>
      </c>
      <c r="G5986" s="3" t="s">
        <v>11449</v>
      </c>
      <c r="H5986" s="185">
        <v>0</v>
      </c>
      <c r="I5986" s="16">
        <v>470000000</v>
      </c>
      <c r="J5986" s="56" t="s">
        <v>229</v>
      </c>
      <c r="K5986" s="57" t="s">
        <v>642</v>
      </c>
      <c r="L5986" s="12" t="s">
        <v>404</v>
      </c>
      <c r="M5986" s="3" t="s">
        <v>230</v>
      </c>
      <c r="N5986" s="8" t="s">
        <v>8899</v>
      </c>
      <c r="O5986" s="6" t="s">
        <v>365</v>
      </c>
      <c r="P5986" s="58">
        <v>839</v>
      </c>
      <c r="Q5986" s="27" t="s">
        <v>239</v>
      </c>
      <c r="R5986" s="39">
        <v>24</v>
      </c>
      <c r="S5986" s="59">
        <f>76400*1.07</f>
        <v>81748</v>
      </c>
      <c r="T5986" s="4">
        <v>0</v>
      </c>
      <c r="U5986" s="4">
        <f>T5986*1.12</f>
        <v>0</v>
      </c>
      <c r="V5986" s="3"/>
      <c r="W5986" s="3">
        <v>2014</v>
      </c>
      <c r="X5986" s="3" t="s">
        <v>14785</v>
      </c>
    </row>
    <row r="5987" spans="1:24" ht="114.75">
      <c r="A5987" s="3" t="s">
        <v>16986</v>
      </c>
      <c r="B5987" s="6" t="s">
        <v>361</v>
      </c>
      <c r="C5987" s="6" t="s">
        <v>6539</v>
      </c>
      <c r="D5987" s="6" t="s">
        <v>440</v>
      </c>
      <c r="E5987" s="6" t="s">
        <v>6540</v>
      </c>
      <c r="F5987" s="9" t="s">
        <v>6541</v>
      </c>
      <c r="G5987" s="3" t="s">
        <v>11449</v>
      </c>
      <c r="H5987" s="185">
        <v>0</v>
      </c>
      <c r="I5987" s="16">
        <v>470000000</v>
      </c>
      <c r="J5987" s="56" t="s">
        <v>229</v>
      </c>
      <c r="K5987" s="57" t="s">
        <v>8950</v>
      </c>
      <c r="L5987" s="12" t="s">
        <v>404</v>
      </c>
      <c r="M5987" s="3" t="s">
        <v>230</v>
      </c>
      <c r="N5987" s="8" t="s">
        <v>8899</v>
      </c>
      <c r="O5987" s="6" t="s">
        <v>365</v>
      </c>
      <c r="P5987" s="58">
        <v>839</v>
      </c>
      <c r="Q5987" s="27" t="s">
        <v>239</v>
      </c>
      <c r="R5987" s="39">
        <v>24</v>
      </c>
      <c r="S5987" s="59">
        <v>98097.599999999991</v>
      </c>
      <c r="T5987" s="4">
        <f>R5987*S5987</f>
        <v>2354342.4</v>
      </c>
      <c r="U5987" s="4">
        <f>T5987*1.12</f>
        <v>2636863.4880000004</v>
      </c>
      <c r="V5987" s="3"/>
      <c r="W5987" s="3">
        <v>2014</v>
      </c>
      <c r="X5987" s="3"/>
    </row>
    <row r="5988" spans="1:24" ht="114.75">
      <c r="A5988" s="3" t="s">
        <v>2497</v>
      </c>
      <c r="B5988" s="6" t="s">
        <v>361</v>
      </c>
      <c r="C5988" s="6" t="s">
        <v>6394</v>
      </c>
      <c r="D5988" s="6" t="s">
        <v>6395</v>
      </c>
      <c r="E5988" s="6" t="s">
        <v>6396</v>
      </c>
      <c r="F5988" s="8" t="s">
        <v>6542</v>
      </c>
      <c r="G5988" s="3" t="s">
        <v>11449</v>
      </c>
      <c r="H5988" s="185">
        <v>0</v>
      </c>
      <c r="I5988" s="16">
        <v>470000000</v>
      </c>
      <c r="J5988" s="56" t="s">
        <v>229</v>
      </c>
      <c r="K5988" s="57" t="s">
        <v>641</v>
      </c>
      <c r="L5988" s="57" t="s">
        <v>364</v>
      </c>
      <c r="M5988" s="3" t="s">
        <v>230</v>
      </c>
      <c r="N5988" s="8" t="s">
        <v>8899</v>
      </c>
      <c r="O5988" s="6" t="s">
        <v>365</v>
      </c>
      <c r="P5988" s="58">
        <v>839</v>
      </c>
      <c r="Q5988" s="27" t="s">
        <v>239</v>
      </c>
      <c r="R5988" s="39">
        <v>40</v>
      </c>
      <c r="S5988" s="59">
        <f>11400*1.07</f>
        <v>12198</v>
      </c>
      <c r="T5988" s="4">
        <v>0</v>
      </c>
      <c r="U5988" s="4">
        <f t="shared" si="285"/>
        <v>0</v>
      </c>
      <c r="V5988" s="3"/>
      <c r="W5988" s="3">
        <v>2014</v>
      </c>
      <c r="X5988" s="3">
        <v>11.12</v>
      </c>
    </row>
    <row r="5989" spans="1:24" ht="114.75">
      <c r="A5989" s="3" t="s">
        <v>13573</v>
      </c>
      <c r="B5989" s="6" t="s">
        <v>361</v>
      </c>
      <c r="C5989" s="6" t="s">
        <v>6394</v>
      </c>
      <c r="D5989" s="6" t="s">
        <v>6395</v>
      </c>
      <c r="E5989" s="6" t="s">
        <v>6396</v>
      </c>
      <c r="F5989" s="8" t="s">
        <v>6542</v>
      </c>
      <c r="G5989" s="3" t="s">
        <v>11449</v>
      </c>
      <c r="H5989" s="185">
        <v>0</v>
      </c>
      <c r="I5989" s="16">
        <v>470000000</v>
      </c>
      <c r="J5989" s="56" t="s">
        <v>229</v>
      </c>
      <c r="K5989" s="57" t="s">
        <v>642</v>
      </c>
      <c r="L5989" s="12" t="s">
        <v>404</v>
      </c>
      <c r="M5989" s="3" t="s">
        <v>230</v>
      </c>
      <c r="N5989" s="8" t="s">
        <v>8899</v>
      </c>
      <c r="O5989" s="6" t="s">
        <v>365</v>
      </c>
      <c r="P5989" s="58">
        <v>839</v>
      </c>
      <c r="Q5989" s="27" t="s">
        <v>239</v>
      </c>
      <c r="R5989" s="39">
        <v>40</v>
      </c>
      <c r="S5989" s="59">
        <f>11400*1.07</f>
        <v>12198</v>
      </c>
      <c r="T5989" s="4">
        <f>R5989*S5989</f>
        <v>487920</v>
      </c>
      <c r="U5989" s="4">
        <f>T5989*1.12</f>
        <v>546470.40000000002</v>
      </c>
      <c r="V5989" s="3"/>
      <c r="W5989" s="3">
        <v>2014</v>
      </c>
      <c r="X5989" s="3"/>
    </row>
    <row r="5990" spans="1:24" ht="114.75">
      <c r="A5990" s="3" t="s">
        <v>2498</v>
      </c>
      <c r="B5990" s="6" t="s">
        <v>361</v>
      </c>
      <c r="C5990" s="6" t="s">
        <v>5604</v>
      </c>
      <c r="D5990" s="6" t="s">
        <v>512</v>
      </c>
      <c r="E5990" s="6" t="s">
        <v>3115</v>
      </c>
      <c r="F5990" s="8" t="s">
        <v>6543</v>
      </c>
      <c r="G5990" s="3" t="s">
        <v>11449</v>
      </c>
      <c r="H5990" s="185">
        <v>0</v>
      </c>
      <c r="I5990" s="16">
        <v>470000000</v>
      </c>
      <c r="J5990" s="56" t="s">
        <v>229</v>
      </c>
      <c r="K5990" s="57" t="s">
        <v>641</v>
      </c>
      <c r="L5990" s="57" t="s">
        <v>364</v>
      </c>
      <c r="M5990" s="3" t="s">
        <v>230</v>
      </c>
      <c r="N5990" s="8" t="s">
        <v>8899</v>
      </c>
      <c r="O5990" s="6" t="s">
        <v>365</v>
      </c>
      <c r="P5990" s="58">
        <v>796</v>
      </c>
      <c r="Q5990" s="27" t="s">
        <v>234</v>
      </c>
      <c r="R5990" s="39">
        <v>24</v>
      </c>
      <c r="S5990" s="59">
        <f>32500*1.07</f>
        <v>34775</v>
      </c>
      <c r="T5990" s="4">
        <v>0</v>
      </c>
      <c r="U5990" s="4">
        <f t="shared" si="285"/>
        <v>0</v>
      </c>
      <c r="V5990" s="3"/>
      <c r="W5990" s="3">
        <v>2014</v>
      </c>
      <c r="X5990" s="3">
        <v>11.12</v>
      </c>
    </row>
    <row r="5991" spans="1:24" ht="114.75">
      <c r="A5991" s="3" t="s">
        <v>13574</v>
      </c>
      <c r="B5991" s="6" t="s">
        <v>361</v>
      </c>
      <c r="C5991" s="6" t="s">
        <v>5604</v>
      </c>
      <c r="D5991" s="6" t="s">
        <v>512</v>
      </c>
      <c r="E5991" s="6" t="s">
        <v>3115</v>
      </c>
      <c r="F5991" s="8" t="s">
        <v>6543</v>
      </c>
      <c r="G5991" s="3" t="s">
        <v>11449</v>
      </c>
      <c r="H5991" s="185">
        <v>0</v>
      </c>
      <c r="I5991" s="16">
        <v>470000000</v>
      </c>
      <c r="J5991" s="56" t="s">
        <v>229</v>
      </c>
      <c r="K5991" s="57" t="s">
        <v>642</v>
      </c>
      <c r="L5991" s="12" t="s">
        <v>404</v>
      </c>
      <c r="M5991" s="3" t="s">
        <v>230</v>
      </c>
      <c r="N5991" s="8" t="s">
        <v>8899</v>
      </c>
      <c r="O5991" s="6" t="s">
        <v>365</v>
      </c>
      <c r="P5991" s="58">
        <v>796</v>
      </c>
      <c r="Q5991" s="27" t="s">
        <v>234</v>
      </c>
      <c r="R5991" s="39">
        <v>24</v>
      </c>
      <c r="S5991" s="59">
        <f>32500*1.07</f>
        <v>34775</v>
      </c>
      <c r="T5991" s="4">
        <f>R5991*S5991</f>
        <v>834600</v>
      </c>
      <c r="U5991" s="4">
        <f>T5991*1.12</f>
        <v>934752.00000000012</v>
      </c>
      <c r="V5991" s="3"/>
      <c r="W5991" s="3">
        <v>2014</v>
      </c>
      <c r="X5991" s="3"/>
    </row>
    <row r="5992" spans="1:24" ht="114.75">
      <c r="A5992" s="3" t="s">
        <v>2499</v>
      </c>
      <c r="B5992" s="6" t="s">
        <v>361</v>
      </c>
      <c r="C5992" s="6" t="s">
        <v>5605</v>
      </c>
      <c r="D5992" s="6" t="s">
        <v>507</v>
      </c>
      <c r="E5992" s="6" t="s">
        <v>3115</v>
      </c>
      <c r="F5992" s="8" t="s">
        <v>6544</v>
      </c>
      <c r="G5992" s="3" t="s">
        <v>11449</v>
      </c>
      <c r="H5992" s="185">
        <v>0</v>
      </c>
      <c r="I5992" s="16">
        <v>470000000</v>
      </c>
      <c r="J5992" s="56" t="s">
        <v>229</v>
      </c>
      <c r="K5992" s="57" t="s">
        <v>641</v>
      </c>
      <c r="L5992" s="57" t="s">
        <v>364</v>
      </c>
      <c r="M5992" s="3" t="s">
        <v>230</v>
      </c>
      <c r="N5992" s="8" t="s">
        <v>8899</v>
      </c>
      <c r="O5992" s="6" t="s">
        <v>365</v>
      </c>
      <c r="P5992" s="58">
        <v>796</v>
      </c>
      <c r="Q5992" s="27" t="s">
        <v>234</v>
      </c>
      <c r="R5992" s="39">
        <v>10</v>
      </c>
      <c r="S5992" s="59">
        <f>145000*1.07</f>
        <v>155150</v>
      </c>
      <c r="T5992" s="4">
        <v>0</v>
      </c>
      <c r="U5992" s="4">
        <f t="shared" si="285"/>
        <v>0</v>
      </c>
      <c r="V5992" s="3"/>
      <c r="W5992" s="3">
        <v>2014</v>
      </c>
      <c r="X5992" s="3">
        <v>11.12</v>
      </c>
    </row>
    <row r="5993" spans="1:24" ht="114.75">
      <c r="A5993" s="3" t="s">
        <v>13575</v>
      </c>
      <c r="B5993" s="6" t="s">
        <v>361</v>
      </c>
      <c r="C5993" s="6" t="s">
        <v>5605</v>
      </c>
      <c r="D5993" s="6" t="s">
        <v>507</v>
      </c>
      <c r="E5993" s="6" t="s">
        <v>3115</v>
      </c>
      <c r="F5993" s="8" t="s">
        <v>6544</v>
      </c>
      <c r="G5993" s="3" t="s">
        <v>11449</v>
      </c>
      <c r="H5993" s="185">
        <v>0</v>
      </c>
      <c r="I5993" s="16">
        <v>470000000</v>
      </c>
      <c r="J5993" s="56" t="s">
        <v>229</v>
      </c>
      <c r="K5993" s="57" t="s">
        <v>642</v>
      </c>
      <c r="L5993" s="12" t="s">
        <v>404</v>
      </c>
      <c r="M5993" s="3" t="s">
        <v>230</v>
      </c>
      <c r="N5993" s="8" t="s">
        <v>8899</v>
      </c>
      <c r="O5993" s="6" t="s">
        <v>365</v>
      </c>
      <c r="P5993" s="58">
        <v>796</v>
      </c>
      <c r="Q5993" s="27" t="s">
        <v>234</v>
      </c>
      <c r="R5993" s="39">
        <v>10</v>
      </c>
      <c r="S5993" s="59">
        <f>145000*1.07</f>
        <v>155150</v>
      </c>
      <c r="T5993" s="4">
        <f>R5993*S5993</f>
        <v>1551500</v>
      </c>
      <c r="U5993" s="4">
        <f>T5993*1.12</f>
        <v>1737680.0000000002</v>
      </c>
      <c r="V5993" s="3"/>
      <c r="W5993" s="3">
        <v>2014</v>
      </c>
      <c r="X5993" s="3"/>
    </row>
    <row r="5994" spans="1:24" ht="114.75">
      <c r="A5994" s="3" t="s">
        <v>2500</v>
      </c>
      <c r="B5994" s="6" t="s">
        <v>361</v>
      </c>
      <c r="C5994" s="6" t="s">
        <v>5721</v>
      </c>
      <c r="D5994" s="6" t="s">
        <v>472</v>
      </c>
      <c r="E5994" s="6" t="s">
        <v>3115</v>
      </c>
      <c r="F5994" s="9" t="s">
        <v>6545</v>
      </c>
      <c r="G5994" s="3" t="s">
        <v>11449</v>
      </c>
      <c r="H5994" s="185">
        <v>0</v>
      </c>
      <c r="I5994" s="16">
        <v>470000000</v>
      </c>
      <c r="J5994" s="56" t="s">
        <v>229</v>
      </c>
      <c r="K5994" s="57" t="s">
        <v>641</v>
      </c>
      <c r="L5994" s="57" t="s">
        <v>364</v>
      </c>
      <c r="M5994" s="3" t="s">
        <v>230</v>
      </c>
      <c r="N5994" s="8" t="s">
        <v>8899</v>
      </c>
      <c r="O5994" s="6" t="s">
        <v>365</v>
      </c>
      <c r="P5994" s="58">
        <v>796</v>
      </c>
      <c r="Q5994" s="27" t="s">
        <v>234</v>
      </c>
      <c r="R5994" s="39">
        <v>60</v>
      </c>
      <c r="S5994" s="59">
        <f>2000*1.07</f>
        <v>2140</v>
      </c>
      <c r="T5994" s="4">
        <v>0</v>
      </c>
      <c r="U5994" s="4">
        <f t="shared" si="285"/>
        <v>0</v>
      </c>
      <c r="V5994" s="3"/>
      <c r="W5994" s="3">
        <v>2014</v>
      </c>
      <c r="X5994" s="3">
        <v>11.12</v>
      </c>
    </row>
    <row r="5995" spans="1:24" ht="114.75">
      <c r="A5995" s="3" t="s">
        <v>13576</v>
      </c>
      <c r="B5995" s="6" t="s">
        <v>361</v>
      </c>
      <c r="C5995" s="6" t="s">
        <v>5721</v>
      </c>
      <c r="D5995" s="6" t="s">
        <v>472</v>
      </c>
      <c r="E5995" s="6" t="s">
        <v>3115</v>
      </c>
      <c r="F5995" s="9" t="s">
        <v>6545</v>
      </c>
      <c r="G5995" s="3" t="s">
        <v>11449</v>
      </c>
      <c r="H5995" s="185">
        <v>0</v>
      </c>
      <c r="I5995" s="16">
        <v>470000000</v>
      </c>
      <c r="J5995" s="56" t="s">
        <v>229</v>
      </c>
      <c r="K5995" s="57" t="s">
        <v>642</v>
      </c>
      <c r="L5995" s="12" t="s">
        <v>404</v>
      </c>
      <c r="M5995" s="3" t="s">
        <v>230</v>
      </c>
      <c r="N5995" s="8" t="s">
        <v>8899</v>
      </c>
      <c r="O5995" s="6" t="s">
        <v>365</v>
      </c>
      <c r="P5995" s="58">
        <v>796</v>
      </c>
      <c r="Q5995" s="27" t="s">
        <v>234</v>
      </c>
      <c r="R5995" s="39">
        <v>60</v>
      </c>
      <c r="S5995" s="59">
        <f>2000*1.07</f>
        <v>2140</v>
      </c>
      <c r="T5995" s="4">
        <v>0</v>
      </c>
      <c r="U5995" s="4">
        <f>T5995*1.12</f>
        <v>0</v>
      </c>
      <c r="V5995" s="3"/>
      <c r="W5995" s="3">
        <v>2014</v>
      </c>
      <c r="X5995" s="3" t="s">
        <v>14785</v>
      </c>
    </row>
    <row r="5996" spans="1:24" ht="114.75">
      <c r="A5996" s="3" t="s">
        <v>16987</v>
      </c>
      <c r="B5996" s="6" t="s">
        <v>361</v>
      </c>
      <c r="C5996" s="6" t="s">
        <v>5721</v>
      </c>
      <c r="D5996" s="6" t="s">
        <v>472</v>
      </c>
      <c r="E5996" s="6" t="s">
        <v>3115</v>
      </c>
      <c r="F5996" s="9" t="s">
        <v>6545</v>
      </c>
      <c r="G5996" s="3" t="s">
        <v>11449</v>
      </c>
      <c r="H5996" s="185">
        <v>0</v>
      </c>
      <c r="I5996" s="16">
        <v>470000000</v>
      </c>
      <c r="J5996" s="56" t="s">
        <v>229</v>
      </c>
      <c r="K5996" s="57" t="s">
        <v>8950</v>
      </c>
      <c r="L5996" s="12" t="s">
        <v>404</v>
      </c>
      <c r="M5996" s="3" t="s">
        <v>230</v>
      </c>
      <c r="N5996" s="8" t="s">
        <v>8899</v>
      </c>
      <c r="O5996" s="6" t="s">
        <v>365</v>
      </c>
      <c r="P5996" s="58">
        <v>796</v>
      </c>
      <c r="Q5996" s="27" t="s">
        <v>234</v>
      </c>
      <c r="R5996" s="39">
        <v>60</v>
      </c>
      <c r="S5996" s="59">
        <v>2568</v>
      </c>
      <c r="T5996" s="4">
        <f>R5996*S5996</f>
        <v>154080</v>
      </c>
      <c r="U5996" s="4">
        <f>T5996*1.12</f>
        <v>172569.60000000001</v>
      </c>
      <c r="V5996" s="3"/>
      <c r="W5996" s="3">
        <v>2014</v>
      </c>
      <c r="X5996" s="3"/>
    </row>
    <row r="5997" spans="1:24" ht="114.75">
      <c r="A5997" s="3" t="s">
        <v>2501</v>
      </c>
      <c r="B5997" s="6" t="s">
        <v>361</v>
      </c>
      <c r="C5997" s="6" t="s">
        <v>6546</v>
      </c>
      <c r="D5997" s="6" t="s">
        <v>6471</v>
      </c>
      <c r="E5997" s="6" t="s">
        <v>6547</v>
      </c>
      <c r="F5997" s="8" t="s">
        <v>6548</v>
      </c>
      <c r="G5997" s="3" t="s">
        <v>11449</v>
      </c>
      <c r="H5997" s="185">
        <v>0</v>
      </c>
      <c r="I5997" s="16">
        <v>470000000</v>
      </c>
      <c r="J5997" s="56" t="s">
        <v>229</v>
      </c>
      <c r="K5997" s="57" t="s">
        <v>641</v>
      </c>
      <c r="L5997" s="57" t="s">
        <v>364</v>
      </c>
      <c r="M5997" s="3" t="s">
        <v>230</v>
      </c>
      <c r="N5997" s="8" t="s">
        <v>8899</v>
      </c>
      <c r="O5997" s="6" t="s">
        <v>365</v>
      </c>
      <c r="P5997" s="58">
        <v>796</v>
      </c>
      <c r="Q5997" s="27" t="s">
        <v>234</v>
      </c>
      <c r="R5997" s="39">
        <v>6</v>
      </c>
      <c r="S5997" s="59">
        <f>23700*1.07</f>
        <v>25359</v>
      </c>
      <c r="T5997" s="4">
        <v>0</v>
      </c>
      <c r="U5997" s="4">
        <f t="shared" si="285"/>
        <v>0</v>
      </c>
      <c r="V5997" s="3"/>
      <c r="W5997" s="3">
        <v>2014</v>
      </c>
      <c r="X5997" s="3">
        <v>11.12</v>
      </c>
    </row>
    <row r="5998" spans="1:24" ht="114.75">
      <c r="A5998" s="3" t="s">
        <v>13577</v>
      </c>
      <c r="B5998" s="6" t="s">
        <v>361</v>
      </c>
      <c r="C5998" s="6" t="s">
        <v>6546</v>
      </c>
      <c r="D5998" s="6" t="s">
        <v>6471</v>
      </c>
      <c r="E5998" s="6" t="s">
        <v>6547</v>
      </c>
      <c r="F5998" s="8" t="s">
        <v>6548</v>
      </c>
      <c r="G5998" s="3" t="s">
        <v>11449</v>
      </c>
      <c r="H5998" s="185">
        <v>0</v>
      </c>
      <c r="I5998" s="16">
        <v>470000000</v>
      </c>
      <c r="J5998" s="56" t="s">
        <v>229</v>
      </c>
      <c r="K5998" s="57" t="s">
        <v>642</v>
      </c>
      <c r="L5998" s="12" t="s">
        <v>404</v>
      </c>
      <c r="M5998" s="3" t="s">
        <v>230</v>
      </c>
      <c r="N5998" s="8" t="s">
        <v>8899</v>
      </c>
      <c r="O5998" s="6" t="s">
        <v>365</v>
      </c>
      <c r="P5998" s="58">
        <v>796</v>
      </c>
      <c r="Q5998" s="27" t="s">
        <v>234</v>
      </c>
      <c r="R5998" s="39">
        <v>6</v>
      </c>
      <c r="S5998" s="59">
        <f>23700*1.07</f>
        <v>25359</v>
      </c>
      <c r="T5998" s="4">
        <v>0</v>
      </c>
      <c r="U5998" s="4">
        <f>T5998*1.12</f>
        <v>0</v>
      </c>
      <c r="V5998" s="3"/>
      <c r="W5998" s="3">
        <v>2014</v>
      </c>
      <c r="X5998" s="3" t="s">
        <v>14785</v>
      </c>
    </row>
    <row r="5999" spans="1:24" ht="114.75">
      <c r="A5999" s="3" t="s">
        <v>16988</v>
      </c>
      <c r="B5999" s="6" t="s">
        <v>361</v>
      </c>
      <c r="C5999" s="6" t="s">
        <v>6546</v>
      </c>
      <c r="D5999" s="6" t="s">
        <v>6471</v>
      </c>
      <c r="E5999" s="6" t="s">
        <v>6547</v>
      </c>
      <c r="F5999" s="8" t="s">
        <v>6548</v>
      </c>
      <c r="G5999" s="3" t="s">
        <v>11449</v>
      </c>
      <c r="H5999" s="185">
        <v>0</v>
      </c>
      <c r="I5999" s="16">
        <v>470000000</v>
      </c>
      <c r="J5999" s="56" t="s">
        <v>229</v>
      </c>
      <c r="K5999" s="57" t="s">
        <v>8950</v>
      </c>
      <c r="L5999" s="12" t="s">
        <v>404</v>
      </c>
      <c r="M5999" s="3" t="s">
        <v>230</v>
      </c>
      <c r="N5999" s="8" t="s">
        <v>8899</v>
      </c>
      <c r="O5999" s="6" t="s">
        <v>365</v>
      </c>
      <c r="P5999" s="58">
        <v>796</v>
      </c>
      <c r="Q5999" s="27" t="s">
        <v>234</v>
      </c>
      <c r="R5999" s="39">
        <v>6</v>
      </c>
      <c r="S5999" s="59">
        <v>30430.799999999999</v>
      </c>
      <c r="T5999" s="4">
        <f>R5999*S5999</f>
        <v>182584.8</v>
      </c>
      <c r="U5999" s="4">
        <f>T5999*1.12</f>
        <v>204494.976</v>
      </c>
      <c r="V5999" s="3"/>
      <c r="W5999" s="3">
        <v>2014</v>
      </c>
      <c r="X5999" s="3"/>
    </row>
    <row r="6000" spans="1:24" ht="114.75">
      <c r="A6000" s="3" t="s">
        <v>2502</v>
      </c>
      <c r="B6000" s="6" t="s">
        <v>361</v>
      </c>
      <c r="C6000" s="6" t="s">
        <v>5344</v>
      </c>
      <c r="D6000" s="6" t="s">
        <v>460</v>
      </c>
      <c r="E6000" s="6" t="s">
        <v>5345</v>
      </c>
      <c r="F6000" s="8" t="s">
        <v>6549</v>
      </c>
      <c r="G6000" s="3" t="s">
        <v>11449</v>
      </c>
      <c r="H6000" s="185">
        <v>0</v>
      </c>
      <c r="I6000" s="16">
        <v>470000000</v>
      </c>
      <c r="J6000" s="56" t="s">
        <v>229</v>
      </c>
      <c r="K6000" s="57" t="s">
        <v>641</v>
      </c>
      <c r="L6000" s="57" t="s">
        <v>364</v>
      </c>
      <c r="M6000" s="3" t="s">
        <v>230</v>
      </c>
      <c r="N6000" s="8" t="s">
        <v>8899</v>
      </c>
      <c r="O6000" s="6" t="s">
        <v>365</v>
      </c>
      <c r="P6000" s="58">
        <v>796</v>
      </c>
      <c r="Q6000" s="27" t="s">
        <v>234</v>
      </c>
      <c r="R6000" s="40">
        <v>150</v>
      </c>
      <c r="S6000" s="59">
        <f>250*1.07</f>
        <v>267.5</v>
      </c>
      <c r="T6000" s="4">
        <v>0</v>
      </c>
      <c r="U6000" s="4">
        <f t="shared" si="285"/>
        <v>0</v>
      </c>
      <c r="V6000" s="3"/>
      <c r="W6000" s="3">
        <v>2014</v>
      </c>
      <c r="X6000" s="3">
        <v>11.12</v>
      </c>
    </row>
    <row r="6001" spans="1:24" ht="114.75">
      <c r="A6001" s="3" t="s">
        <v>13578</v>
      </c>
      <c r="B6001" s="6" t="s">
        <v>361</v>
      </c>
      <c r="C6001" s="6" t="s">
        <v>5344</v>
      </c>
      <c r="D6001" s="6" t="s">
        <v>460</v>
      </c>
      <c r="E6001" s="6" t="s">
        <v>5345</v>
      </c>
      <c r="F6001" s="8" t="s">
        <v>6549</v>
      </c>
      <c r="G6001" s="3" t="s">
        <v>11449</v>
      </c>
      <c r="H6001" s="185">
        <v>0</v>
      </c>
      <c r="I6001" s="16">
        <v>470000000</v>
      </c>
      <c r="J6001" s="56" t="s">
        <v>229</v>
      </c>
      <c r="K6001" s="57" t="s">
        <v>642</v>
      </c>
      <c r="L6001" s="12" t="s">
        <v>404</v>
      </c>
      <c r="M6001" s="3" t="s">
        <v>230</v>
      </c>
      <c r="N6001" s="8" t="s">
        <v>8899</v>
      </c>
      <c r="O6001" s="6" t="s">
        <v>365</v>
      </c>
      <c r="P6001" s="58">
        <v>796</v>
      </c>
      <c r="Q6001" s="27" t="s">
        <v>234</v>
      </c>
      <c r="R6001" s="40">
        <v>150</v>
      </c>
      <c r="S6001" s="59">
        <f>250*1.07</f>
        <v>267.5</v>
      </c>
      <c r="T6001" s="4">
        <v>0</v>
      </c>
      <c r="U6001" s="4">
        <f>T6001*1.12</f>
        <v>0</v>
      </c>
      <c r="V6001" s="3"/>
      <c r="W6001" s="3">
        <v>2014</v>
      </c>
      <c r="X6001" s="3" t="s">
        <v>14785</v>
      </c>
    </row>
    <row r="6002" spans="1:24" ht="114.75">
      <c r="A6002" s="3" t="s">
        <v>16989</v>
      </c>
      <c r="B6002" s="6" t="s">
        <v>361</v>
      </c>
      <c r="C6002" s="6" t="s">
        <v>5344</v>
      </c>
      <c r="D6002" s="6" t="s">
        <v>460</v>
      </c>
      <c r="E6002" s="6" t="s">
        <v>5345</v>
      </c>
      <c r="F6002" s="8" t="s">
        <v>6549</v>
      </c>
      <c r="G6002" s="3" t="s">
        <v>11449</v>
      </c>
      <c r="H6002" s="185">
        <v>0</v>
      </c>
      <c r="I6002" s="16">
        <v>470000000</v>
      </c>
      <c r="J6002" s="56" t="s">
        <v>229</v>
      </c>
      <c r="K6002" s="57" t="s">
        <v>8950</v>
      </c>
      <c r="L6002" s="12" t="s">
        <v>404</v>
      </c>
      <c r="M6002" s="3" t="s">
        <v>230</v>
      </c>
      <c r="N6002" s="8" t="s">
        <v>8899</v>
      </c>
      <c r="O6002" s="6" t="s">
        <v>365</v>
      </c>
      <c r="P6002" s="58">
        <v>796</v>
      </c>
      <c r="Q6002" s="27" t="s">
        <v>234</v>
      </c>
      <c r="R6002" s="40">
        <v>150</v>
      </c>
      <c r="S6002" s="59">
        <v>321</v>
      </c>
      <c r="T6002" s="4">
        <f>R6002*S6002</f>
        <v>48150</v>
      </c>
      <c r="U6002" s="4">
        <f>T6002*1.12</f>
        <v>53928.000000000007</v>
      </c>
      <c r="V6002" s="3"/>
      <c r="W6002" s="3">
        <v>2014</v>
      </c>
      <c r="X6002" s="3"/>
    </row>
    <row r="6003" spans="1:24" ht="114.75">
      <c r="A6003" s="3" t="s">
        <v>2503</v>
      </c>
      <c r="B6003" s="6" t="s">
        <v>361</v>
      </c>
      <c r="C6003" s="6" t="s">
        <v>6284</v>
      </c>
      <c r="D6003" s="6" t="s">
        <v>460</v>
      </c>
      <c r="E6003" s="6" t="s">
        <v>6285</v>
      </c>
      <c r="F6003" s="9" t="s">
        <v>6550</v>
      </c>
      <c r="G6003" s="3" t="s">
        <v>11449</v>
      </c>
      <c r="H6003" s="185">
        <v>0</v>
      </c>
      <c r="I6003" s="16">
        <v>470000000</v>
      </c>
      <c r="J6003" s="56" t="s">
        <v>229</v>
      </c>
      <c r="K6003" s="57" t="s">
        <v>641</v>
      </c>
      <c r="L6003" s="57" t="s">
        <v>364</v>
      </c>
      <c r="M6003" s="3" t="s">
        <v>230</v>
      </c>
      <c r="N6003" s="8" t="s">
        <v>8899</v>
      </c>
      <c r="O6003" s="6" t="s">
        <v>365</v>
      </c>
      <c r="P6003" s="58">
        <v>796</v>
      </c>
      <c r="Q6003" s="27" t="s">
        <v>234</v>
      </c>
      <c r="R6003" s="39">
        <v>150</v>
      </c>
      <c r="S6003" s="59">
        <f>150*1.07</f>
        <v>160.5</v>
      </c>
      <c r="T6003" s="4">
        <v>0</v>
      </c>
      <c r="U6003" s="4">
        <f t="shared" si="285"/>
        <v>0</v>
      </c>
      <c r="V6003" s="3"/>
      <c r="W6003" s="3">
        <v>2014</v>
      </c>
      <c r="X6003" s="3">
        <v>11.12</v>
      </c>
    </row>
    <row r="6004" spans="1:24" ht="114.75">
      <c r="A6004" s="3" t="s">
        <v>13579</v>
      </c>
      <c r="B6004" s="6" t="s">
        <v>361</v>
      </c>
      <c r="C6004" s="6" t="s">
        <v>6284</v>
      </c>
      <c r="D6004" s="6" t="s">
        <v>460</v>
      </c>
      <c r="E6004" s="6" t="s">
        <v>6285</v>
      </c>
      <c r="F6004" s="9" t="s">
        <v>6550</v>
      </c>
      <c r="G6004" s="3" t="s">
        <v>11449</v>
      </c>
      <c r="H6004" s="185">
        <v>0</v>
      </c>
      <c r="I6004" s="16">
        <v>470000000</v>
      </c>
      <c r="J6004" s="56" t="s">
        <v>229</v>
      </c>
      <c r="K6004" s="57" t="s">
        <v>642</v>
      </c>
      <c r="L6004" s="12" t="s">
        <v>404</v>
      </c>
      <c r="M6004" s="3" t="s">
        <v>230</v>
      </c>
      <c r="N6004" s="8" t="s">
        <v>8899</v>
      </c>
      <c r="O6004" s="6" t="s">
        <v>365</v>
      </c>
      <c r="P6004" s="58">
        <v>796</v>
      </c>
      <c r="Q6004" s="27" t="s">
        <v>234</v>
      </c>
      <c r="R6004" s="39">
        <v>150</v>
      </c>
      <c r="S6004" s="59">
        <f>150*1.07</f>
        <v>160.5</v>
      </c>
      <c r="T6004" s="4">
        <f>R6004*S6004</f>
        <v>24075</v>
      </c>
      <c r="U6004" s="4">
        <f>T6004*1.12</f>
        <v>26964.000000000004</v>
      </c>
      <c r="V6004" s="3"/>
      <c r="W6004" s="3">
        <v>2014</v>
      </c>
      <c r="X6004" s="3"/>
    </row>
    <row r="6005" spans="1:24" ht="114.75">
      <c r="A6005" s="3" t="s">
        <v>2504</v>
      </c>
      <c r="B6005" s="6" t="s">
        <v>361</v>
      </c>
      <c r="C6005" s="6" t="s">
        <v>5608</v>
      </c>
      <c r="D6005" s="6" t="s">
        <v>5609</v>
      </c>
      <c r="E6005" s="6" t="s">
        <v>3115</v>
      </c>
      <c r="F6005" s="8" t="s">
        <v>6551</v>
      </c>
      <c r="G6005" s="3" t="s">
        <v>11449</v>
      </c>
      <c r="H6005" s="185">
        <v>0</v>
      </c>
      <c r="I6005" s="16">
        <v>470000000</v>
      </c>
      <c r="J6005" s="56" t="s">
        <v>229</v>
      </c>
      <c r="K6005" s="57" t="s">
        <v>641</v>
      </c>
      <c r="L6005" s="57" t="s">
        <v>364</v>
      </c>
      <c r="M6005" s="3" t="s">
        <v>230</v>
      </c>
      <c r="N6005" s="8" t="s">
        <v>8899</v>
      </c>
      <c r="O6005" s="6" t="s">
        <v>365</v>
      </c>
      <c r="P6005" s="58">
        <v>796</v>
      </c>
      <c r="Q6005" s="27" t="s">
        <v>234</v>
      </c>
      <c r="R6005" s="40">
        <v>3</v>
      </c>
      <c r="S6005" s="59">
        <f>81500*1.07</f>
        <v>87205</v>
      </c>
      <c r="T6005" s="4">
        <v>0</v>
      </c>
      <c r="U6005" s="4">
        <f t="shared" si="285"/>
        <v>0</v>
      </c>
      <c r="V6005" s="3"/>
      <c r="W6005" s="3">
        <v>2014</v>
      </c>
      <c r="X6005" s="3">
        <v>11.12</v>
      </c>
    </row>
    <row r="6006" spans="1:24" ht="114.75">
      <c r="A6006" s="3" t="s">
        <v>13580</v>
      </c>
      <c r="B6006" s="6" t="s">
        <v>361</v>
      </c>
      <c r="C6006" s="6" t="s">
        <v>5608</v>
      </c>
      <c r="D6006" s="6" t="s">
        <v>5609</v>
      </c>
      <c r="E6006" s="6" t="s">
        <v>3115</v>
      </c>
      <c r="F6006" s="8" t="s">
        <v>6551</v>
      </c>
      <c r="G6006" s="3" t="s">
        <v>11449</v>
      </c>
      <c r="H6006" s="185">
        <v>0</v>
      </c>
      <c r="I6006" s="16">
        <v>470000000</v>
      </c>
      <c r="J6006" s="56" t="s">
        <v>229</v>
      </c>
      <c r="K6006" s="57" t="s">
        <v>642</v>
      </c>
      <c r="L6006" s="12" t="s">
        <v>404</v>
      </c>
      <c r="M6006" s="3" t="s">
        <v>230</v>
      </c>
      <c r="N6006" s="8" t="s">
        <v>8899</v>
      </c>
      <c r="O6006" s="6" t="s">
        <v>365</v>
      </c>
      <c r="P6006" s="58">
        <v>796</v>
      </c>
      <c r="Q6006" s="27" t="s">
        <v>234</v>
      </c>
      <c r="R6006" s="40">
        <v>3</v>
      </c>
      <c r="S6006" s="59">
        <f>81500*1.07</f>
        <v>87205</v>
      </c>
      <c r="T6006" s="4">
        <f>R6006*S6006</f>
        <v>261615</v>
      </c>
      <c r="U6006" s="4">
        <f>T6006*1.12</f>
        <v>293008.80000000005</v>
      </c>
      <c r="V6006" s="3"/>
      <c r="W6006" s="3">
        <v>2014</v>
      </c>
      <c r="X6006" s="3"/>
    </row>
    <row r="6007" spans="1:24" ht="114.75">
      <c r="A6007" s="3" t="s">
        <v>2505</v>
      </c>
      <c r="B6007" s="6" t="s">
        <v>361</v>
      </c>
      <c r="C6007" s="6" t="s">
        <v>5608</v>
      </c>
      <c r="D6007" s="6" t="s">
        <v>5609</v>
      </c>
      <c r="E6007" s="6" t="s">
        <v>3115</v>
      </c>
      <c r="F6007" s="8" t="s">
        <v>6552</v>
      </c>
      <c r="G6007" s="3" t="s">
        <v>11449</v>
      </c>
      <c r="H6007" s="185">
        <v>0</v>
      </c>
      <c r="I6007" s="16">
        <v>470000000</v>
      </c>
      <c r="J6007" s="56" t="s">
        <v>229</v>
      </c>
      <c r="K6007" s="57" t="s">
        <v>641</v>
      </c>
      <c r="L6007" s="57" t="s">
        <v>364</v>
      </c>
      <c r="M6007" s="3" t="s">
        <v>230</v>
      </c>
      <c r="N6007" s="8" t="s">
        <v>8899</v>
      </c>
      <c r="O6007" s="6" t="s">
        <v>365</v>
      </c>
      <c r="P6007" s="58">
        <v>796</v>
      </c>
      <c r="Q6007" s="27" t="s">
        <v>234</v>
      </c>
      <c r="R6007" s="35">
        <v>2</v>
      </c>
      <c r="S6007" s="59">
        <f>200700*1.07</f>
        <v>214749</v>
      </c>
      <c r="T6007" s="4">
        <v>0</v>
      </c>
      <c r="U6007" s="4">
        <f t="shared" si="285"/>
        <v>0</v>
      </c>
      <c r="V6007" s="3"/>
      <c r="W6007" s="3">
        <v>2014</v>
      </c>
      <c r="X6007" s="3">
        <v>11.12</v>
      </c>
    </row>
    <row r="6008" spans="1:24" ht="114.75">
      <c r="A6008" s="3" t="s">
        <v>13581</v>
      </c>
      <c r="B6008" s="6" t="s">
        <v>361</v>
      </c>
      <c r="C6008" s="6" t="s">
        <v>5608</v>
      </c>
      <c r="D6008" s="6" t="s">
        <v>5609</v>
      </c>
      <c r="E6008" s="6" t="s">
        <v>3115</v>
      </c>
      <c r="F6008" s="8" t="s">
        <v>6552</v>
      </c>
      <c r="G6008" s="3" t="s">
        <v>11449</v>
      </c>
      <c r="H6008" s="185">
        <v>0</v>
      </c>
      <c r="I6008" s="16">
        <v>470000000</v>
      </c>
      <c r="J6008" s="56" t="s">
        <v>229</v>
      </c>
      <c r="K6008" s="57" t="s">
        <v>642</v>
      </c>
      <c r="L6008" s="12" t="s">
        <v>404</v>
      </c>
      <c r="M6008" s="3" t="s">
        <v>230</v>
      </c>
      <c r="N6008" s="8" t="s">
        <v>8899</v>
      </c>
      <c r="O6008" s="6" t="s">
        <v>365</v>
      </c>
      <c r="P6008" s="58">
        <v>796</v>
      </c>
      <c r="Q6008" s="27" t="s">
        <v>234</v>
      </c>
      <c r="R6008" s="35">
        <v>2</v>
      </c>
      <c r="S6008" s="59">
        <f>200700*1.07</f>
        <v>214749</v>
      </c>
      <c r="T6008" s="4">
        <f>R6008*S6008</f>
        <v>429498</v>
      </c>
      <c r="U6008" s="4">
        <f>T6008*1.12</f>
        <v>481037.76000000007</v>
      </c>
      <c r="V6008" s="3"/>
      <c r="W6008" s="3">
        <v>2014</v>
      </c>
      <c r="X6008" s="3"/>
    </row>
    <row r="6009" spans="1:24" ht="114.75">
      <c r="A6009" s="3" t="s">
        <v>2506</v>
      </c>
      <c r="B6009" s="6" t="s">
        <v>361</v>
      </c>
      <c r="C6009" s="6" t="s">
        <v>6553</v>
      </c>
      <c r="D6009" s="6" t="s">
        <v>6554</v>
      </c>
      <c r="E6009" s="6" t="s">
        <v>5332</v>
      </c>
      <c r="F6009" s="9" t="s">
        <v>6555</v>
      </c>
      <c r="G6009" s="3" t="s">
        <v>11449</v>
      </c>
      <c r="H6009" s="185">
        <v>0</v>
      </c>
      <c r="I6009" s="16">
        <v>470000000</v>
      </c>
      <c r="J6009" s="56" t="s">
        <v>229</v>
      </c>
      <c r="K6009" s="57" t="s">
        <v>641</v>
      </c>
      <c r="L6009" s="57" t="s">
        <v>364</v>
      </c>
      <c r="M6009" s="3" t="s">
        <v>230</v>
      </c>
      <c r="N6009" s="8" t="s">
        <v>8899</v>
      </c>
      <c r="O6009" s="6" t="s">
        <v>365</v>
      </c>
      <c r="P6009" s="58">
        <v>796</v>
      </c>
      <c r="Q6009" s="27" t="s">
        <v>234</v>
      </c>
      <c r="R6009" s="39">
        <v>30</v>
      </c>
      <c r="S6009" s="59">
        <f>8200*1.07</f>
        <v>8774</v>
      </c>
      <c r="T6009" s="4">
        <v>0</v>
      </c>
      <c r="U6009" s="4">
        <f t="shared" si="285"/>
        <v>0</v>
      </c>
      <c r="V6009" s="3"/>
      <c r="W6009" s="3">
        <v>2014</v>
      </c>
      <c r="X6009" s="3">
        <v>11.12</v>
      </c>
    </row>
    <row r="6010" spans="1:24" ht="114.75">
      <c r="A6010" s="3" t="s">
        <v>13582</v>
      </c>
      <c r="B6010" s="6" t="s">
        <v>361</v>
      </c>
      <c r="C6010" s="6" t="s">
        <v>6553</v>
      </c>
      <c r="D6010" s="6" t="s">
        <v>6554</v>
      </c>
      <c r="E6010" s="6" t="s">
        <v>5332</v>
      </c>
      <c r="F6010" s="9" t="s">
        <v>6555</v>
      </c>
      <c r="G6010" s="3" t="s">
        <v>11449</v>
      </c>
      <c r="H6010" s="185">
        <v>0</v>
      </c>
      <c r="I6010" s="16">
        <v>470000000</v>
      </c>
      <c r="J6010" s="56" t="s">
        <v>229</v>
      </c>
      <c r="K6010" s="57" t="s">
        <v>642</v>
      </c>
      <c r="L6010" s="12" t="s">
        <v>404</v>
      </c>
      <c r="M6010" s="3" t="s">
        <v>230</v>
      </c>
      <c r="N6010" s="8" t="s">
        <v>8899</v>
      </c>
      <c r="O6010" s="6" t="s">
        <v>365</v>
      </c>
      <c r="P6010" s="58">
        <v>796</v>
      </c>
      <c r="Q6010" s="27" t="s">
        <v>234</v>
      </c>
      <c r="R6010" s="39">
        <v>30</v>
      </c>
      <c r="S6010" s="59">
        <f>8200*1.07</f>
        <v>8774</v>
      </c>
      <c r="T6010" s="4">
        <f>R6010*S6010</f>
        <v>263220</v>
      </c>
      <c r="U6010" s="4">
        <f>T6010*1.12</f>
        <v>294806.40000000002</v>
      </c>
      <c r="V6010" s="3"/>
      <c r="W6010" s="3">
        <v>2014</v>
      </c>
      <c r="X6010" s="3"/>
    </row>
    <row r="6011" spans="1:24" ht="114.75">
      <c r="A6011" s="3" t="s">
        <v>2507</v>
      </c>
      <c r="B6011" s="6" t="s">
        <v>361</v>
      </c>
      <c r="C6011" s="6" t="s">
        <v>5360</v>
      </c>
      <c r="D6011" s="6" t="s">
        <v>463</v>
      </c>
      <c r="E6011" s="6" t="s">
        <v>3115</v>
      </c>
      <c r="F6011" s="8" t="s">
        <v>6556</v>
      </c>
      <c r="G6011" s="3" t="s">
        <v>11449</v>
      </c>
      <c r="H6011" s="185">
        <v>0</v>
      </c>
      <c r="I6011" s="16">
        <v>470000000</v>
      </c>
      <c r="J6011" s="56" t="s">
        <v>229</v>
      </c>
      <c r="K6011" s="57" t="s">
        <v>641</v>
      </c>
      <c r="L6011" s="57" t="s">
        <v>364</v>
      </c>
      <c r="M6011" s="3" t="s">
        <v>230</v>
      </c>
      <c r="N6011" s="8" t="s">
        <v>8899</v>
      </c>
      <c r="O6011" s="6" t="s">
        <v>365</v>
      </c>
      <c r="P6011" s="58">
        <v>796</v>
      </c>
      <c r="Q6011" s="27" t="s">
        <v>234</v>
      </c>
      <c r="R6011" s="39">
        <v>40</v>
      </c>
      <c r="S6011" s="59">
        <f>6400*1.07</f>
        <v>6848</v>
      </c>
      <c r="T6011" s="4">
        <v>0</v>
      </c>
      <c r="U6011" s="4">
        <f t="shared" si="285"/>
        <v>0</v>
      </c>
      <c r="V6011" s="3"/>
      <c r="W6011" s="3">
        <v>2014</v>
      </c>
      <c r="X6011" s="3">
        <v>11.12</v>
      </c>
    </row>
    <row r="6012" spans="1:24" ht="114.75">
      <c r="A6012" s="3" t="s">
        <v>13583</v>
      </c>
      <c r="B6012" s="6" t="s">
        <v>361</v>
      </c>
      <c r="C6012" s="6" t="s">
        <v>5360</v>
      </c>
      <c r="D6012" s="6" t="s">
        <v>463</v>
      </c>
      <c r="E6012" s="6" t="s">
        <v>3115</v>
      </c>
      <c r="F6012" s="8" t="s">
        <v>6556</v>
      </c>
      <c r="G6012" s="3" t="s">
        <v>11449</v>
      </c>
      <c r="H6012" s="185">
        <v>0</v>
      </c>
      <c r="I6012" s="16">
        <v>470000000</v>
      </c>
      <c r="J6012" s="56" t="s">
        <v>229</v>
      </c>
      <c r="K6012" s="57" t="s">
        <v>642</v>
      </c>
      <c r="L6012" s="12" t="s">
        <v>404</v>
      </c>
      <c r="M6012" s="3" t="s">
        <v>230</v>
      </c>
      <c r="N6012" s="8" t="s">
        <v>8899</v>
      </c>
      <c r="O6012" s="6" t="s">
        <v>365</v>
      </c>
      <c r="P6012" s="58">
        <v>796</v>
      </c>
      <c r="Q6012" s="27" t="s">
        <v>234</v>
      </c>
      <c r="R6012" s="39">
        <v>40</v>
      </c>
      <c r="S6012" s="59">
        <f>6400*1.07</f>
        <v>6848</v>
      </c>
      <c r="T6012" s="4">
        <v>0</v>
      </c>
      <c r="U6012" s="4">
        <f>T6012*1.12</f>
        <v>0</v>
      </c>
      <c r="V6012" s="3"/>
      <c r="W6012" s="3">
        <v>2014</v>
      </c>
      <c r="X6012" s="3" t="s">
        <v>14785</v>
      </c>
    </row>
    <row r="6013" spans="1:24" ht="114.75">
      <c r="A6013" s="3" t="s">
        <v>16990</v>
      </c>
      <c r="B6013" s="6" t="s">
        <v>361</v>
      </c>
      <c r="C6013" s="6" t="s">
        <v>5360</v>
      </c>
      <c r="D6013" s="6" t="s">
        <v>463</v>
      </c>
      <c r="E6013" s="6" t="s">
        <v>3115</v>
      </c>
      <c r="F6013" s="8" t="s">
        <v>6556</v>
      </c>
      <c r="G6013" s="3" t="s">
        <v>11449</v>
      </c>
      <c r="H6013" s="185">
        <v>0</v>
      </c>
      <c r="I6013" s="16">
        <v>470000000</v>
      </c>
      <c r="J6013" s="56" t="s">
        <v>229</v>
      </c>
      <c r="K6013" s="57" t="s">
        <v>8950</v>
      </c>
      <c r="L6013" s="12" t="s">
        <v>404</v>
      </c>
      <c r="M6013" s="3" t="s">
        <v>230</v>
      </c>
      <c r="N6013" s="8" t="s">
        <v>8899</v>
      </c>
      <c r="O6013" s="6" t="s">
        <v>365</v>
      </c>
      <c r="P6013" s="58">
        <v>796</v>
      </c>
      <c r="Q6013" s="27" t="s">
        <v>234</v>
      </c>
      <c r="R6013" s="39">
        <v>40</v>
      </c>
      <c r="S6013" s="59">
        <v>8217.6</v>
      </c>
      <c r="T6013" s="4">
        <f>R6013*S6013</f>
        <v>328704</v>
      </c>
      <c r="U6013" s="4">
        <f>T6013*1.12</f>
        <v>368148.48000000004</v>
      </c>
      <c r="V6013" s="3"/>
      <c r="W6013" s="3">
        <v>2014</v>
      </c>
      <c r="X6013" s="3"/>
    </row>
    <row r="6014" spans="1:24" ht="114.75">
      <c r="A6014" s="3" t="s">
        <v>2508</v>
      </c>
      <c r="B6014" s="6" t="s">
        <v>361</v>
      </c>
      <c r="C6014" s="6" t="s">
        <v>6553</v>
      </c>
      <c r="D6014" s="6" t="s">
        <v>6554</v>
      </c>
      <c r="E6014" s="6" t="s">
        <v>5332</v>
      </c>
      <c r="F6014" s="8" t="s">
        <v>6557</v>
      </c>
      <c r="G6014" s="3" t="s">
        <v>11449</v>
      </c>
      <c r="H6014" s="185">
        <v>0</v>
      </c>
      <c r="I6014" s="16">
        <v>470000000</v>
      </c>
      <c r="J6014" s="56" t="s">
        <v>229</v>
      </c>
      <c r="K6014" s="57" t="s">
        <v>641</v>
      </c>
      <c r="L6014" s="57" t="s">
        <v>364</v>
      </c>
      <c r="M6014" s="3" t="s">
        <v>230</v>
      </c>
      <c r="N6014" s="8" t="s">
        <v>8899</v>
      </c>
      <c r="O6014" s="6" t="s">
        <v>365</v>
      </c>
      <c r="P6014" s="58">
        <v>796</v>
      </c>
      <c r="Q6014" s="27" t="s">
        <v>234</v>
      </c>
      <c r="R6014" s="39">
        <v>40</v>
      </c>
      <c r="S6014" s="59">
        <f>1300*1.07</f>
        <v>1391</v>
      </c>
      <c r="T6014" s="4">
        <v>0</v>
      </c>
      <c r="U6014" s="4">
        <f t="shared" si="285"/>
        <v>0</v>
      </c>
      <c r="V6014" s="3"/>
      <c r="W6014" s="3">
        <v>2014</v>
      </c>
      <c r="X6014" s="3">
        <v>11.12</v>
      </c>
    </row>
    <row r="6015" spans="1:24" ht="114.75">
      <c r="A6015" s="3" t="s">
        <v>13584</v>
      </c>
      <c r="B6015" s="6" t="s">
        <v>361</v>
      </c>
      <c r="C6015" s="6" t="s">
        <v>6553</v>
      </c>
      <c r="D6015" s="6" t="s">
        <v>6554</v>
      </c>
      <c r="E6015" s="6" t="s">
        <v>5332</v>
      </c>
      <c r="F6015" s="8" t="s">
        <v>6557</v>
      </c>
      <c r="G6015" s="3" t="s">
        <v>11449</v>
      </c>
      <c r="H6015" s="185">
        <v>0</v>
      </c>
      <c r="I6015" s="16">
        <v>470000000</v>
      </c>
      <c r="J6015" s="56" t="s">
        <v>229</v>
      </c>
      <c r="K6015" s="57" t="s">
        <v>642</v>
      </c>
      <c r="L6015" s="12" t="s">
        <v>404</v>
      </c>
      <c r="M6015" s="3" t="s">
        <v>230</v>
      </c>
      <c r="N6015" s="8" t="s">
        <v>8899</v>
      </c>
      <c r="O6015" s="6" t="s">
        <v>365</v>
      </c>
      <c r="P6015" s="58">
        <v>796</v>
      </c>
      <c r="Q6015" s="27" t="s">
        <v>234</v>
      </c>
      <c r="R6015" s="39">
        <v>40</v>
      </c>
      <c r="S6015" s="59">
        <f>1300*1.07</f>
        <v>1391</v>
      </c>
      <c r="T6015" s="4">
        <f>R6015*S6015</f>
        <v>55640</v>
      </c>
      <c r="U6015" s="4">
        <f>T6015*1.12</f>
        <v>62316.800000000003</v>
      </c>
      <c r="V6015" s="3"/>
      <c r="W6015" s="3">
        <v>2014</v>
      </c>
      <c r="X6015" s="3"/>
    </row>
    <row r="6016" spans="1:24" ht="114.75">
      <c r="A6016" s="3" t="s">
        <v>2509</v>
      </c>
      <c r="B6016" s="6" t="s">
        <v>361</v>
      </c>
      <c r="C6016" s="6" t="s">
        <v>6553</v>
      </c>
      <c r="D6016" s="6" t="s">
        <v>6554</v>
      </c>
      <c r="E6016" s="6" t="s">
        <v>5332</v>
      </c>
      <c r="F6016" s="8" t="s">
        <v>6558</v>
      </c>
      <c r="G6016" s="3" t="s">
        <v>11449</v>
      </c>
      <c r="H6016" s="185">
        <v>0</v>
      </c>
      <c r="I6016" s="16">
        <v>470000000</v>
      </c>
      <c r="J6016" s="56" t="s">
        <v>229</v>
      </c>
      <c r="K6016" s="57" t="s">
        <v>641</v>
      </c>
      <c r="L6016" s="57" t="s">
        <v>364</v>
      </c>
      <c r="M6016" s="3" t="s">
        <v>230</v>
      </c>
      <c r="N6016" s="8" t="s">
        <v>8899</v>
      </c>
      <c r="O6016" s="6" t="s">
        <v>365</v>
      </c>
      <c r="P6016" s="58">
        <v>796</v>
      </c>
      <c r="Q6016" s="27" t="s">
        <v>234</v>
      </c>
      <c r="R6016" s="33">
        <v>40</v>
      </c>
      <c r="S6016" s="59">
        <f>1300*1.07</f>
        <v>1391</v>
      </c>
      <c r="T6016" s="4">
        <v>0</v>
      </c>
      <c r="U6016" s="4">
        <f t="shared" si="285"/>
        <v>0</v>
      </c>
      <c r="V6016" s="3"/>
      <c r="W6016" s="3">
        <v>2014</v>
      </c>
      <c r="X6016" s="3">
        <v>11.12</v>
      </c>
    </row>
    <row r="6017" spans="1:24" ht="114.75">
      <c r="A6017" s="3" t="s">
        <v>13585</v>
      </c>
      <c r="B6017" s="6" t="s">
        <v>361</v>
      </c>
      <c r="C6017" s="6" t="s">
        <v>6553</v>
      </c>
      <c r="D6017" s="6" t="s">
        <v>6554</v>
      </c>
      <c r="E6017" s="6" t="s">
        <v>5332</v>
      </c>
      <c r="F6017" s="8" t="s">
        <v>6558</v>
      </c>
      <c r="G6017" s="3" t="s">
        <v>11449</v>
      </c>
      <c r="H6017" s="185">
        <v>0</v>
      </c>
      <c r="I6017" s="16">
        <v>470000000</v>
      </c>
      <c r="J6017" s="56" t="s">
        <v>229</v>
      </c>
      <c r="K6017" s="57" t="s">
        <v>642</v>
      </c>
      <c r="L6017" s="12" t="s">
        <v>404</v>
      </c>
      <c r="M6017" s="3" t="s">
        <v>230</v>
      </c>
      <c r="N6017" s="8" t="s">
        <v>8899</v>
      </c>
      <c r="O6017" s="6" t="s">
        <v>365</v>
      </c>
      <c r="P6017" s="58">
        <v>796</v>
      </c>
      <c r="Q6017" s="27" t="s">
        <v>234</v>
      </c>
      <c r="R6017" s="33">
        <v>40</v>
      </c>
      <c r="S6017" s="59">
        <f>1300*1.07</f>
        <v>1391</v>
      </c>
      <c r="T6017" s="4">
        <f>R6017*S6017</f>
        <v>55640</v>
      </c>
      <c r="U6017" s="4">
        <f>T6017*1.12</f>
        <v>62316.800000000003</v>
      </c>
      <c r="V6017" s="3"/>
      <c r="W6017" s="3">
        <v>2014</v>
      </c>
      <c r="X6017" s="3"/>
    </row>
    <row r="6018" spans="1:24" ht="114.75">
      <c r="A6018" s="3" t="s">
        <v>2510</v>
      </c>
      <c r="B6018" s="6" t="s">
        <v>361</v>
      </c>
      <c r="C6018" s="6" t="s">
        <v>6553</v>
      </c>
      <c r="D6018" s="6" t="s">
        <v>6554</v>
      </c>
      <c r="E6018" s="6" t="s">
        <v>5332</v>
      </c>
      <c r="F6018" s="30" t="s">
        <v>6559</v>
      </c>
      <c r="G6018" s="3" t="s">
        <v>11449</v>
      </c>
      <c r="H6018" s="185">
        <v>0</v>
      </c>
      <c r="I6018" s="16">
        <v>470000000</v>
      </c>
      <c r="J6018" s="56" t="s">
        <v>229</v>
      </c>
      <c r="K6018" s="57" t="s">
        <v>641</v>
      </c>
      <c r="L6018" s="57" t="s">
        <v>364</v>
      </c>
      <c r="M6018" s="3" t="s">
        <v>230</v>
      </c>
      <c r="N6018" s="8" t="s">
        <v>8899</v>
      </c>
      <c r="O6018" s="6" t="s">
        <v>365</v>
      </c>
      <c r="P6018" s="58">
        <v>796</v>
      </c>
      <c r="Q6018" s="27" t="s">
        <v>234</v>
      </c>
      <c r="R6018" s="33">
        <v>40</v>
      </c>
      <c r="S6018" s="59">
        <f>3800*1.07</f>
        <v>4066.0000000000005</v>
      </c>
      <c r="T6018" s="4">
        <v>0</v>
      </c>
      <c r="U6018" s="4">
        <f t="shared" si="285"/>
        <v>0</v>
      </c>
      <c r="V6018" s="3"/>
      <c r="W6018" s="3">
        <v>2014</v>
      </c>
      <c r="X6018" s="3">
        <v>11.12</v>
      </c>
    </row>
    <row r="6019" spans="1:24" ht="114.75">
      <c r="A6019" s="3" t="s">
        <v>13586</v>
      </c>
      <c r="B6019" s="6" t="s">
        <v>361</v>
      </c>
      <c r="C6019" s="6" t="s">
        <v>6553</v>
      </c>
      <c r="D6019" s="6" t="s">
        <v>6554</v>
      </c>
      <c r="E6019" s="6" t="s">
        <v>5332</v>
      </c>
      <c r="F6019" s="30" t="s">
        <v>6559</v>
      </c>
      <c r="G6019" s="3" t="s">
        <v>11449</v>
      </c>
      <c r="H6019" s="185">
        <v>0</v>
      </c>
      <c r="I6019" s="16">
        <v>470000000</v>
      </c>
      <c r="J6019" s="56" t="s">
        <v>229</v>
      </c>
      <c r="K6019" s="57" t="s">
        <v>642</v>
      </c>
      <c r="L6019" s="12" t="s">
        <v>404</v>
      </c>
      <c r="M6019" s="3" t="s">
        <v>230</v>
      </c>
      <c r="N6019" s="8" t="s">
        <v>8899</v>
      </c>
      <c r="O6019" s="6" t="s">
        <v>365</v>
      </c>
      <c r="P6019" s="58">
        <v>796</v>
      </c>
      <c r="Q6019" s="27" t="s">
        <v>234</v>
      </c>
      <c r="R6019" s="33">
        <v>40</v>
      </c>
      <c r="S6019" s="59">
        <f>3800*1.07</f>
        <v>4066.0000000000005</v>
      </c>
      <c r="T6019" s="4">
        <f>R6019*S6019</f>
        <v>162640.00000000003</v>
      </c>
      <c r="U6019" s="4">
        <f>T6019*1.12</f>
        <v>182156.80000000005</v>
      </c>
      <c r="V6019" s="3"/>
      <c r="W6019" s="3">
        <v>2014</v>
      </c>
      <c r="X6019" s="3"/>
    </row>
    <row r="6020" spans="1:24" ht="114.75">
      <c r="A6020" s="3" t="s">
        <v>2511</v>
      </c>
      <c r="B6020" s="6" t="s">
        <v>361</v>
      </c>
      <c r="C6020" s="6" t="s">
        <v>6553</v>
      </c>
      <c r="D6020" s="6" t="s">
        <v>6554</v>
      </c>
      <c r="E6020" s="6" t="s">
        <v>5332</v>
      </c>
      <c r="F6020" s="30" t="s">
        <v>6560</v>
      </c>
      <c r="G6020" s="3" t="s">
        <v>11449</v>
      </c>
      <c r="H6020" s="185">
        <v>0</v>
      </c>
      <c r="I6020" s="16">
        <v>470000000</v>
      </c>
      <c r="J6020" s="56" t="s">
        <v>229</v>
      </c>
      <c r="K6020" s="57" t="s">
        <v>641</v>
      </c>
      <c r="L6020" s="57" t="s">
        <v>364</v>
      </c>
      <c r="M6020" s="3" t="s">
        <v>230</v>
      </c>
      <c r="N6020" s="8" t="s">
        <v>8899</v>
      </c>
      <c r="O6020" s="6" t="s">
        <v>365</v>
      </c>
      <c r="P6020" s="58">
        <v>796</v>
      </c>
      <c r="Q6020" s="27" t="s">
        <v>234</v>
      </c>
      <c r="R6020" s="39">
        <v>40</v>
      </c>
      <c r="S6020" s="59">
        <f>1600*1.07</f>
        <v>1712</v>
      </c>
      <c r="T6020" s="4">
        <v>0</v>
      </c>
      <c r="U6020" s="4">
        <f t="shared" si="285"/>
        <v>0</v>
      </c>
      <c r="V6020" s="3"/>
      <c r="W6020" s="3">
        <v>2014</v>
      </c>
      <c r="X6020" s="3">
        <v>11.12</v>
      </c>
    </row>
    <row r="6021" spans="1:24" ht="114.75">
      <c r="A6021" s="3" t="s">
        <v>13587</v>
      </c>
      <c r="B6021" s="6" t="s">
        <v>361</v>
      </c>
      <c r="C6021" s="6" t="s">
        <v>6553</v>
      </c>
      <c r="D6021" s="6" t="s">
        <v>6554</v>
      </c>
      <c r="E6021" s="6" t="s">
        <v>5332</v>
      </c>
      <c r="F6021" s="30" t="s">
        <v>6560</v>
      </c>
      <c r="G6021" s="3" t="s">
        <v>11449</v>
      </c>
      <c r="H6021" s="185">
        <v>0</v>
      </c>
      <c r="I6021" s="16">
        <v>470000000</v>
      </c>
      <c r="J6021" s="56" t="s">
        <v>229</v>
      </c>
      <c r="K6021" s="57" t="s">
        <v>642</v>
      </c>
      <c r="L6021" s="12" t="s">
        <v>404</v>
      </c>
      <c r="M6021" s="3" t="s">
        <v>230</v>
      </c>
      <c r="N6021" s="8" t="s">
        <v>8899</v>
      </c>
      <c r="O6021" s="6" t="s">
        <v>365</v>
      </c>
      <c r="P6021" s="58">
        <v>796</v>
      </c>
      <c r="Q6021" s="27" t="s">
        <v>234</v>
      </c>
      <c r="R6021" s="39">
        <v>40</v>
      </c>
      <c r="S6021" s="59">
        <f>1600*1.07</f>
        <v>1712</v>
      </c>
      <c r="T6021" s="4">
        <f>R6021*S6021</f>
        <v>68480</v>
      </c>
      <c r="U6021" s="4">
        <f>T6021*1.12</f>
        <v>76697.600000000006</v>
      </c>
      <c r="V6021" s="3"/>
      <c r="W6021" s="3">
        <v>2014</v>
      </c>
      <c r="X6021" s="3"/>
    </row>
    <row r="6022" spans="1:24" ht="114.75">
      <c r="A6022" s="3" t="s">
        <v>2512</v>
      </c>
      <c r="B6022" s="6" t="s">
        <v>361</v>
      </c>
      <c r="C6022" s="6" t="s">
        <v>6561</v>
      </c>
      <c r="D6022" s="6" t="s">
        <v>406</v>
      </c>
      <c r="E6022" s="6" t="s">
        <v>6291</v>
      </c>
      <c r="F6022" s="8" t="s">
        <v>6562</v>
      </c>
      <c r="G6022" s="3" t="s">
        <v>11449</v>
      </c>
      <c r="H6022" s="185">
        <v>0</v>
      </c>
      <c r="I6022" s="16">
        <v>470000000</v>
      </c>
      <c r="J6022" s="56" t="s">
        <v>229</v>
      </c>
      <c r="K6022" s="57" t="s">
        <v>641</v>
      </c>
      <c r="L6022" s="57" t="s">
        <v>364</v>
      </c>
      <c r="M6022" s="3" t="s">
        <v>230</v>
      </c>
      <c r="N6022" s="8" t="s">
        <v>8899</v>
      </c>
      <c r="O6022" s="6" t="s">
        <v>365</v>
      </c>
      <c r="P6022" s="58">
        <v>796</v>
      </c>
      <c r="Q6022" s="27" t="s">
        <v>234</v>
      </c>
      <c r="R6022" s="39">
        <v>120</v>
      </c>
      <c r="S6022" s="59">
        <f>1100*1.07</f>
        <v>1177</v>
      </c>
      <c r="T6022" s="4">
        <v>0</v>
      </c>
      <c r="U6022" s="4">
        <f t="shared" si="285"/>
        <v>0</v>
      </c>
      <c r="V6022" s="3"/>
      <c r="W6022" s="3">
        <v>2014</v>
      </c>
      <c r="X6022" s="3">
        <v>11.12</v>
      </c>
    </row>
    <row r="6023" spans="1:24" ht="114.75">
      <c r="A6023" s="3" t="s">
        <v>13588</v>
      </c>
      <c r="B6023" s="6" t="s">
        <v>361</v>
      </c>
      <c r="C6023" s="6" t="s">
        <v>6561</v>
      </c>
      <c r="D6023" s="6" t="s">
        <v>406</v>
      </c>
      <c r="E6023" s="6" t="s">
        <v>6291</v>
      </c>
      <c r="F6023" s="8" t="s">
        <v>6562</v>
      </c>
      <c r="G6023" s="3" t="s">
        <v>11449</v>
      </c>
      <c r="H6023" s="185">
        <v>0</v>
      </c>
      <c r="I6023" s="16">
        <v>470000000</v>
      </c>
      <c r="J6023" s="56" t="s">
        <v>229</v>
      </c>
      <c r="K6023" s="57" t="s">
        <v>642</v>
      </c>
      <c r="L6023" s="12" t="s">
        <v>404</v>
      </c>
      <c r="M6023" s="3" t="s">
        <v>230</v>
      </c>
      <c r="N6023" s="8" t="s">
        <v>8899</v>
      </c>
      <c r="O6023" s="6" t="s">
        <v>365</v>
      </c>
      <c r="P6023" s="58">
        <v>796</v>
      </c>
      <c r="Q6023" s="27" t="s">
        <v>234</v>
      </c>
      <c r="R6023" s="39">
        <v>120</v>
      </c>
      <c r="S6023" s="59">
        <f>1100*1.07</f>
        <v>1177</v>
      </c>
      <c r="T6023" s="4">
        <f>R6023*S6023</f>
        <v>141240</v>
      </c>
      <c r="U6023" s="4">
        <f>T6023*1.12</f>
        <v>158188.80000000002</v>
      </c>
      <c r="V6023" s="3"/>
      <c r="W6023" s="3">
        <v>2014</v>
      </c>
      <c r="X6023" s="3"/>
    </row>
    <row r="6024" spans="1:24" ht="114.75">
      <c r="A6024" s="3" t="s">
        <v>2513</v>
      </c>
      <c r="B6024" s="6" t="s">
        <v>361</v>
      </c>
      <c r="C6024" s="6" t="s">
        <v>6563</v>
      </c>
      <c r="D6024" s="6" t="s">
        <v>6564</v>
      </c>
      <c r="E6024" s="6" t="s">
        <v>6565</v>
      </c>
      <c r="F6024" s="8" t="s">
        <v>6566</v>
      </c>
      <c r="G6024" s="3" t="s">
        <v>11449</v>
      </c>
      <c r="H6024" s="185">
        <v>0</v>
      </c>
      <c r="I6024" s="16">
        <v>470000000</v>
      </c>
      <c r="J6024" s="56" t="s">
        <v>229</v>
      </c>
      <c r="K6024" s="57" t="s">
        <v>641</v>
      </c>
      <c r="L6024" s="57" t="s">
        <v>364</v>
      </c>
      <c r="M6024" s="3" t="s">
        <v>230</v>
      </c>
      <c r="N6024" s="8" t="s">
        <v>8899</v>
      </c>
      <c r="O6024" s="6" t="s">
        <v>365</v>
      </c>
      <c r="P6024" s="58">
        <v>796</v>
      </c>
      <c r="Q6024" s="27" t="s">
        <v>234</v>
      </c>
      <c r="R6024" s="39">
        <v>10</v>
      </c>
      <c r="S6024" s="59">
        <f>2200*1.07</f>
        <v>2354</v>
      </c>
      <c r="T6024" s="4">
        <v>0</v>
      </c>
      <c r="U6024" s="4">
        <f t="shared" si="285"/>
        <v>0</v>
      </c>
      <c r="V6024" s="3"/>
      <c r="W6024" s="3">
        <v>2014</v>
      </c>
      <c r="X6024" s="3">
        <v>11.12</v>
      </c>
    </row>
    <row r="6025" spans="1:24" ht="114.75">
      <c r="A6025" s="3" t="s">
        <v>13589</v>
      </c>
      <c r="B6025" s="6" t="s">
        <v>361</v>
      </c>
      <c r="C6025" s="6" t="s">
        <v>6563</v>
      </c>
      <c r="D6025" s="6" t="s">
        <v>6564</v>
      </c>
      <c r="E6025" s="6" t="s">
        <v>6565</v>
      </c>
      <c r="F6025" s="8" t="s">
        <v>6566</v>
      </c>
      <c r="G6025" s="3" t="s">
        <v>11449</v>
      </c>
      <c r="H6025" s="185">
        <v>0</v>
      </c>
      <c r="I6025" s="16">
        <v>470000000</v>
      </c>
      <c r="J6025" s="56" t="s">
        <v>229</v>
      </c>
      <c r="K6025" s="57" t="s">
        <v>642</v>
      </c>
      <c r="L6025" s="12" t="s">
        <v>404</v>
      </c>
      <c r="M6025" s="3" t="s">
        <v>230</v>
      </c>
      <c r="N6025" s="8" t="s">
        <v>8899</v>
      </c>
      <c r="O6025" s="6" t="s">
        <v>365</v>
      </c>
      <c r="P6025" s="58">
        <v>796</v>
      </c>
      <c r="Q6025" s="27" t="s">
        <v>234</v>
      </c>
      <c r="R6025" s="39">
        <v>10</v>
      </c>
      <c r="S6025" s="59">
        <f>2200*1.07</f>
        <v>2354</v>
      </c>
      <c r="T6025" s="4">
        <f>R6025*S6025</f>
        <v>23540</v>
      </c>
      <c r="U6025" s="4">
        <f>T6025*1.12</f>
        <v>26364.800000000003</v>
      </c>
      <c r="V6025" s="3"/>
      <c r="W6025" s="3">
        <v>2014</v>
      </c>
      <c r="X6025" s="3"/>
    </row>
    <row r="6026" spans="1:24" ht="114.75">
      <c r="A6026" s="3" t="s">
        <v>2514</v>
      </c>
      <c r="B6026" s="6" t="s">
        <v>361</v>
      </c>
      <c r="C6026" s="6" t="s">
        <v>6414</v>
      </c>
      <c r="D6026" s="6" t="s">
        <v>407</v>
      </c>
      <c r="E6026" s="6" t="s">
        <v>3115</v>
      </c>
      <c r="F6026" s="129" t="s">
        <v>6567</v>
      </c>
      <c r="G6026" s="3" t="s">
        <v>11449</v>
      </c>
      <c r="H6026" s="185">
        <v>0</v>
      </c>
      <c r="I6026" s="16">
        <v>470000000</v>
      </c>
      <c r="J6026" s="56" t="s">
        <v>229</v>
      </c>
      <c r="K6026" s="57" t="s">
        <v>641</v>
      </c>
      <c r="L6026" s="57" t="s">
        <v>364</v>
      </c>
      <c r="M6026" s="3" t="s">
        <v>230</v>
      </c>
      <c r="N6026" s="8" t="s">
        <v>8899</v>
      </c>
      <c r="O6026" s="6" t="s">
        <v>365</v>
      </c>
      <c r="P6026" s="58">
        <v>796</v>
      </c>
      <c r="Q6026" s="27" t="s">
        <v>234</v>
      </c>
      <c r="R6026" s="39">
        <v>6</v>
      </c>
      <c r="S6026" s="59">
        <f>46400*1.07</f>
        <v>49648</v>
      </c>
      <c r="T6026" s="4">
        <v>0</v>
      </c>
      <c r="U6026" s="4">
        <f t="shared" si="285"/>
        <v>0</v>
      </c>
      <c r="V6026" s="3"/>
      <c r="W6026" s="3">
        <v>2014</v>
      </c>
      <c r="X6026" s="3">
        <v>11.12</v>
      </c>
    </row>
    <row r="6027" spans="1:24" ht="114.75">
      <c r="A6027" s="3" t="s">
        <v>13590</v>
      </c>
      <c r="B6027" s="6" t="s">
        <v>361</v>
      </c>
      <c r="C6027" s="6" t="s">
        <v>6414</v>
      </c>
      <c r="D6027" s="6" t="s">
        <v>407</v>
      </c>
      <c r="E6027" s="6" t="s">
        <v>3115</v>
      </c>
      <c r="F6027" s="129" t="s">
        <v>6567</v>
      </c>
      <c r="G6027" s="3" t="s">
        <v>11449</v>
      </c>
      <c r="H6027" s="185">
        <v>0</v>
      </c>
      <c r="I6027" s="16">
        <v>470000000</v>
      </c>
      <c r="J6027" s="56" t="s">
        <v>229</v>
      </c>
      <c r="K6027" s="57" t="s">
        <v>642</v>
      </c>
      <c r="L6027" s="12" t="s">
        <v>404</v>
      </c>
      <c r="M6027" s="3" t="s">
        <v>230</v>
      </c>
      <c r="N6027" s="8" t="s">
        <v>8899</v>
      </c>
      <c r="O6027" s="6" t="s">
        <v>365</v>
      </c>
      <c r="P6027" s="58">
        <v>796</v>
      </c>
      <c r="Q6027" s="27" t="s">
        <v>234</v>
      </c>
      <c r="R6027" s="39">
        <v>6</v>
      </c>
      <c r="S6027" s="59">
        <f>46400*1.07</f>
        <v>49648</v>
      </c>
      <c r="T6027" s="4">
        <v>0</v>
      </c>
      <c r="U6027" s="4">
        <f>T6027*1.12</f>
        <v>0</v>
      </c>
      <c r="V6027" s="3"/>
      <c r="W6027" s="3">
        <v>2014</v>
      </c>
      <c r="X6027" s="3" t="s">
        <v>14785</v>
      </c>
    </row>
    <row r="6028" spans="1:24" ht="114.75">
      <c r="A6028" s="3" t="s">
        <v>16991</v>
      </c>
      <c r="B6028" s="6" t="s">
        <v>361</v>
      </c>
      <c r="C6028" s="6" t="s">
        <v>6414</v>
      </c>
      <c r="D6028" s="6" t="s">
        <v>407</v>
      </c>
      <c r="E6028" s="6" t="s">
        <v>3115</v>
      </c>
      <c r="F6028" s="129" t="s">
        <v>6567</v>
      </c>
      <c r="G6028" s="3" t="s">
        <v>11449</v>
      </c>
      <c r="H6028" s="185">
        <v>0</v>
      </c>
      <c r="I6028" s="16">
        <v>470000000</v>
      </c>
      <c r="J6028" s="56" t="s">
        <v>229</v>
      </c>
      <c r="K6028" s="57" t="s">
        <v>8950</v>
      </c>
      <c r="L6028" s="12" t="s">
        <v>404</v>
      </c>
      <c r="M6028" s="3" t="s">
        <v>230</v>
      </c>
      <c r="N6028" s="8" t="s">
        <v>8899</v>
      </c>
      <c r="O6028" s="6" t="s">
        <v>365</v>
      </c>
      <c r="P6028" s="58">
        <v>796</v>
      </c>
      <c r="Q6028" s="27" t="s">
        <v>234</v>
      </c>
      <c r="R6028" s="39">
        <v>6</v>
      </c>
      <c r="S6028" s="59">
        <v>59577.599999999999</v>
      </c>
      <c r="T6028" s="4">
        <f>R6028*S6028</f>
        <v>357465.59999999998</v>
      </c>
      <c r="U6028" s="4">
        <f>T6028*1.12</f>
        <v>400361.47200000001</v>
      </c>
      <c r="V6028" s="3"/>
      <c r="W6028" s="3">
        <v>2014</v>
      </c>
      <c r="X6028" s="3"/>
    </row>
    <row r="6029" spans="1:24" ht="114.75">
      <c r="A6029" s="3" t="s">
        <v>2515</v>
      </c>
      <c r="B6029" s="6" t="s">
        <v>361</v>
      </c>
      <c r="C6029" s="6" t="s">
        <v>6414</v>
      </c>
      <c r="D6029" s="6" t="s">
        <v>407</v>
      </c>
      <c r="E6029" s="6" t="s">
        <v>3115</v>
      </c>
      <c r="F6029" s="8" t="s">
        <v>6568</v>
      </c>
      <c r="G6029" s="3" t="s">
        <v>11449</v>
      </c>
      <c r="H6029" s="185">
        <v>0</v>
      </c>
      <c r="I6029" s="16">
        <v>470000000</v>
      </c>
      <c r="J6029" s="56" t="s">
        <v>229</v>
      </c>
      <c r="K6029" s="57" t="s">
        <v>641</v>
      </c>
      <c r="L6029" s="57" t="s">
        <v>364</v>
      </c>
      <c r="M6029" s="3" t="s">
        <v>230</v>
      </c>
      <c r="N6029" s="8" t="s">
        <v>8899</v>
      </c>
      <c r="O6029" s="6" t="s">
        <v>365</v>
      </c>
      <c r="P6029" s="58">
        <v>796</v>
      </c>
      <c r="Q6029" s="27" t="s">
        <v>234</v>
      </c>
      <c r="R6029" s="39">
        <v>6</v>
      </c>
      <c r="S6029" s="59">
        <f>46400*1.07</f>
        <v>49648</v>
      </c>
      <c r="T6029" s="4">
        <v>0</v>
      </c>
      <c r="U6029" s="4">
        <f t="shared" si="285"/>
        <v>0</v>
      </c>
      <c r="V6029" s="3"/>
      <c r="W6029" s="3">
        <v>2014</v>
      </c>
      <c r="X6029" s="3">
        <v>11.12</v>
      </c>
    </row>
    <row r="6030" spans="1:24" ht="114.75">
      <c r="A6030" s="3" t="s">
        <v>13591</v>
      </c>
      <c r="B6030" s="6" t="s">
        <v>361</v>
      </c>
      <c r="C6030" s="6" t="s">
        <v>6414</v>
      </c>
      <c r="D6030" s="6" t="s">
        <v>407</v>
      </c>
      <c r="E6030" s="6" t="s">
        <v>3115</v>
      </c>
      <c r="F6030" s="8" t="s">
        <v>6568</v>
      </c>
      <c r="G6030" s="3" t="s">
        <v>11449</v>
      </c>
      <c r="H6030" s="185">
        <v>0</v>
      </c>
      <c r="I6030" s="16">
        <v>470000000</v>
      </c>
      <c r="J6030" s="56" t="s">
        <v>229</v>
      </c>
      <c r="K6030" s="57" t="s">
        <v>642</v>
      </c>
      <c r="L6030" s="12" t="s">
        <v>404</v>
      </c>
      <c r="M6030" s="3" t="s">
        <v>230</v>
      </c>
      <c r="N6030" s="8" t="s">
        <v>8899</v>
      </c>
      <c r="O6030" s="6" t="s">
        <v>365</v>
      </c>
      <c r="P6030" s="58">
        <v>796</v>
      </c>
      <c r="Q6030" s="27" t="s">
        <v>234</v>
      </c>
      <c r="R6030" s="39">
        <v>6</v>
      </c>
      <c r="S6030" s="59">
        <f>46400*1.07</f>
        <v>49648</v>
      </c>
      <c r="T6030" s="4">
        <v>0</v>
      </c>
      <c r="U6030" s="4">
        <f>T6030*1.12</f>
        <v>0</v>
      </c>
      <c r="V6030" s="3"/>
      <c r="W6030" s="3">
        <v>2014</v>
      </c>
      <c r="X6030" s="3" t="s">
        <v>14785</v>
      </c>
    </row>
    <row r="6031" spans="1:24" ht="114.75">
      <c r="A6031" s="3" t="s">
        <v>16992</v>
      </c>
      <c r="B6031" s="6" t="s">
        <v>361</v>
      </c>
      <c r="C6031" s="6" t="s">
        <v>6414</v>
      </c>
      <c r="D6031" s="6" t="s">
        <v>407</v>
      </c>
      <c r="E6031" s="6" t="s">
        <v>3115</v>
      </c>
      <c r="F6031" s="8" t="s">
        <v>6568</v>
      </c>
      <c r="G6031" s="3" t="s">
        <v>11449</v>
      </c>
      <c r="H6031" s="185">
        <v>0</v>
      </c>
      <c r="I6031" s="16">
        <v>470000000</v>
      </c>
      <c r="J6031" s="56" t="s">
        <v>229</v>
      </c>
      <c r="K6031" s="57" t="s">
        <v>8950</v>
      </c>
      <c r="L6031" s="12" t="s">
        <v>404</v>
      </c>
      <c r="M6031" s="3" t="s">
        <v>230</v>
      </c>
      <c r="N6031" s="8" t="s">
        <v>8899</v>
      </c>
      <c r="O6031" s="6" t="s">
        <v>365</v>
      </c>
      <c r="P6031" s="58">
        <v>796</v>
      </c>
      <c r="Q6031" s="27" t="s">
        <v>234</v>
      </c>
      <c r="R6031" s="39">
        <v>6</v>
      </c>
      <c r="S6031" s="59">
        <v>59577.599999999999</v>
      </c>
      <c r="T6031" s="4">
        <f>R6031*S6031</f>
        <v>357465.59999999998</v>
      </c>
      <c r="U6031" s="4">
        <f>T6031*1.12</f>
        <v>400361.47200000001</v>
      </c>
      <c r="V6031" s="3"/>
      <c r="W6031" s="3">
        <v>2014</v>
      </c>
      <c r="X6031" s="3"/>
    </row>
    <row r="6032" spans="1:24" ht="114.75">
      <c r="A6032" s="3" t="s">
        <v>2516</v>
      </c>
      <c r="B6032" s="6" t="s">
        <v>361</v>
      </c>
      <c r="C6032" s="6" t="s">
        <v>6300</v>
      </c>
      <c r="D6032" s="6" t="s">
        <v>433</v>
      </c>
      <c r="E6032" s="6" t="s">
        <v>6291</v>
      </c>
      <c r="F6032" s="8" t="s">
        <v>6569</v>
      </c>
      <c r="G6032" s="3" t="s">
        <v>11449</v>
      </c>
      <c r="H6032" s="185">
        <v>0</v>
      </c>
      <c r="I6032" s="16">
        <v>470000000</v>
      </c>
      <c r="J6032" s="56" t="s">
        <v>229</v>
      </c>
      <c r="K6032" s="57" t="s">
        <v>641</v>
      </c>
      <c r="L6032" s="57" t="s">
        <v>364</v>
      </c>
      <c r="M6032" s="3" t="s">
        <v>230</v>
      </c>
      <c r="N6032" s="8" t="s">
        <v>8899</v>
      </c>
      <c r="O6032" s="6" t="s">
        <v>365</v>
      </c>
      <c r="P6032" s="58">
        <v>796</v>
      </c>
      <c r="Q6032" s="27" t="s">
        <v>234</v>
      </c>
      <c r="R6032" s="39">
        <v>10</v>
      </c>
      <c r="S6032" s="59">
        <f>127100*1.07</f>
        <v>135997</v>
      </c>
      <c r="T6032" s="4">
        <v>0</v>
      </c>
      <c r="U6032" s="4">
        <f t="shared" si="285"/>
        <v>0</v>
      </c>
      <c r="V6032" s="3"/>
      <c r="W6032" s="3">
        <v>2014</v>
      </c>
      <c r="X6032" s="3">
        <v>11.12</v>
      </c>
    </row>
    <row r="6033" spans="1:24" ht="114.75">
      <c r="A6033" s="3" t="s">
        <v>13592</v>
      </c>
      <c r="B6033" s="6" t="s">
        <v>361</v>
      </c>
      <c r="C6033" s="6" t="s">
        <v>6300</v>
      </c>
      <c r="D6033" s="6" t="s">
        <v>433</v>
      </c>
      <c r="E6033" s="6" t="s">
        <v>6291</v>
      </c>
      <c r="F6033" s="8" t="s">
        <v>6569</v>
      </c>
      <c r="G6033" s="3" t="s">
        <v>11449</v>
      </c>
      <c r="H6033" s="185">
        <v>0</v>
      </c>
      <c r="I6033" s="16">
        <v>470000000</v>
      </c>
      <c r="J6033" s="56" t="s">
        <v>229</v>
      </c>
      <c r="K6033" s="57" t="s">
        <v>642</v>
      </c>
      <c r="L6033" s="12" t="s">
        <v>404</v>
      </c>
      <c r="M6033" s="3" t="s">
        <v>230</v>
      </c>
      <c r="N6033" s="8" t="s">
        <v>8899</v>
      </c>
      <c r="O6033" s="6" t="s">
        <v>365</v>
      </c>
      <c r="P6033" s="58">
        <v>796</v>
      </c>
      <c r="Q6033" s="27" t="s">
        <v>234</v>
      </c>
      <c r="R6033" s="39">
        <v>10</v>
      </c>
      <c r="S6033" s="59">
        <f>127100*1.07</f>
        <v>135997</v>
      </c>
      <c r="T6033" s="4">
        <v>0</v>
      </c>
      <c r="U6033" s="4">
        <f>T6033*1.12</f>
        <v>0</v>
      </c>
      <c r="V6033" s="3"/>
      <c r="W6033" s="3">
        <v>2014</v>
      </c>
      <c r="X6033" s="3" t="s">
        <v>14785</v>
      </c>
    </row>
    <row r="6034" spans="1:24" ht="114.75">
      <c r="A6034" s="3" t="s">
        <v>16993</v>
      </c>
      <c r="B6034" s="6" t="s">
        <v>361</v>
      </c>
      <c r="C6034" s="6" t="s">
        <v>6300</v>
      </c>
      <c r="D6034" s="6" t="s">
        <v>433</v>
      </c>
      <c r="E6034" s="6" t="s">
        <v>6291</v>
      </c>
      <c r="F6034" s="8" t="s">
        <v>6569</v>
      </c>
      <c r="G6034" s="3" t="s">
        <v>11449</v>
      </c>
      <c r="H6034" s="185">
        <v>0</v>
      </c>
      <c r="I6034" s="16">
        <v>470000000</v>
      </c>
      <c r="J6034" s="56" t="s">
        <v>229</v>
      </c>
      <c r="K6034" s="57" t="s">
        <v>8950</v>
      </c>
      <c r="L6034" s="12" t="s">
        <v>404</v>
      </c>
      <c r="M6034" s="3" t="s">
        <v>230</v>
      </c>
      <c r="N6034" s="8" t="s">
        <v>8899</v>
      </c>
      <c r="O6034" s="6" t="s">
        <v>365</v>
      </c>
      <c r="P6034" s="58">
        <v>796</v>
      </c>
      <c r="Q6034" s="27" t="s">
        <v>234</v>
      </c>
      <c r="R6034" s="39">
        <v>10</v>
      </c>
      <c r="S6034" s="59">
        <v>163196.4</v>
      </c>
      <c r="T6034" s="4">
        <f>R6034*S6034</f>
        <v>1631964</v>
      </c>
      <c r="U6034" s="4">
        <f>T6034*1.12</f>
        <v>1827799.6800000002</v>
      </c>
      <c r="V6034" s="3"/>
      <c r="W6034" s="3">
        <v>2014</v>
      </c>
      <c r="X6034" s="3"/>
    </row>
    <row r="6035" spans="1:24" ht="114.75">
      <c r="A6035" s="3" t="s">
        <v>2517</v>
      </c>
      <c r="B6035" s="6" t="s">
        <v>361</v>
      </c>
      <c r="C6035" s="6" t="s">
        <v>5616</v>
      </c>
      <c r="D6035" s="6" t="s">
        <v>5376</v>
      </c>
      <c r="E6035" s="6" t="s">
        <v>3115</v>
      </c>
      <c r="F6035" s="8" t="s">
        <v>6570</v>
      </c>
      <c r="G6035" s="3" t="s">
        <v>11449</v>
      </c>
      <c r="H6035" s="185">
        <v>0</v>
      </c>
      <c r="I6035" s="16">
        <v>470000000</v>
      </c>
      <c r="J6035" s="56" t="s">
        <v>229</v>
      </c>
      <c r="K6035" s="57" t="s">
        <v>641</v>
      </c>
      <c r="L6035" s="57" t="s">
        <v>364</v>
      </c>
      <c r="M6035" s="3" t="s">
        <v>230</v>
      </c>
      <c r="N6035" s="8" t="s">
        <v>8899</v>
      </c>
      <c r="O6035" s="6" t="s">
        <v>365</v>
      </c>
      <c r="P6035" s="58">
        <v>796</v>
      </c>
      <c r="Q6035" s="27" t="s">
        <v>234</v>
      </c>
      <c r="R6035" s="39">
        <v>10</v>
      </c>
      <c r="S6035" s="59">
        <f>21000*1.07</f>
        <v>22470</v>
      </c>
      <c r="T6035" s="4">
        <v>0</v>
      </c>
      <c r="U6035" s="4">
        <f t="shared" si="285"/>
        <v>0</v>
      </c>
      <c r="V6035" s="3"/>
      <c r="W6035" s="3">
        <v>2014</v>
      </c>
      <c r="X6035" s="3">
        <v>11.12</v>
      </c>
    </row>
    <row r="6036" spans="1:24" ht="114.75">
      <c r="A6036" s="3" t="s">
        <v>13593</v>
      </c>
      <c r="B6036" s="6" t="s">
        <v>361</v>
      </c>
      <c r="C6036" s="6" t="s">
        <v>5616</v>
      </c>
      <c r="D6036" s="6" t="s">
        <v>5376</v>
      </c>
      <c r="E6036" s="6" t="s">
        <v>3115</v>
      </c>
      <c r="F6036" s="8" t="s">
        <v>6570</v>
      </c>
      <c r="G6036" s="3" t="s">
        <v>11449</v>
      </c>
      <c r="H6036" s="185">
        <v>0</v>
      </c>
      <c r="I6036" s="16">
        <v>470000000</v>
      </c>
      <c r="J6036" s="56" t="s">
        <v>229</v>
      </c>
      <c r="K6036" s="57" t="s">
        <v>642</v>
      </c>
      <c r="L6036" s="12" t="s">
        <v>404</v>
      </c>
      <c r="M6036" s="3" t="s">
        <v>230</v>
      </c>
      <c r="N6036" s="8" t="s">
        <v>8899</v>
      </c>
      <c r="O6036" s="6" t="s">
        <v>365</v>
      </c>
      <c r="P6036" s="58">
        <v>796</v>
      </c>
      <c r="Q6036" s="27" t="s">
        <v>234</v>
      </c>
      <c r="R6036" s="39">
        <v>10</v>
      </c>
      <c r="S6036" s="59">
        <f>21000*1.07</f>
        <v>22470</v>
      </c>
      <c r="T6036" s="4">
        <f>R6036*S6036</f>
        <v>224700</v>
      </c>
      <c r="U6036" s="4">
        <f>T6036*1.12</f>
        <v>251664.00000000003</v>
      </c>
      <c r="V6036" s="3"/>
      <c r="W6036" s="3">
        <v>2014</v>
      </c>
      <c r="X6036" s="3"/>
    </row>
    <row r="6037" spans="1:24" ht="114.75">
      <c r="A6037" s="3" t="s">
        <v>2518</v>
      </c>
      <c r="B6037" s="6" t="s">
        <v>361</v>
      </c>
      <c r="C6037" s="6" t="s">
        <v>6282</v>
      </c>
      <c r="D6037" s="6" t="s">
        <v>5357</v>
      </c>
      <c r="E6037" s="6" t="s">
        <v>6283</v>
      </c>
      <c r="F6037" s="9" t="s">
        <v>6571</v>
      </c>
      <c r="G6037" s="3" t="s">
        <v>11449</v>
      </c>
      <c r="H6037" s="185">
        <v>0</v>
      </c>
      <c r="I6037" s="16">
        <v>470000000</v>
      </c>
      <c r="J6037" s="56" t="s">
        <v>229</v>
      </c>
      <c r="K6037" s="57" t="s">
        <v>641</v>
      </c>
      <c r="L6037" s="57" t="s">
        <v>364</v>
      </c>
      <c r="M6037" s="3" t="s">
        <v>230</v>
      </c>
      <c r="N6037" s="8" t="s">
        <v>8899</v>
      </c>
      <c r="O6037" s="6" t="s">
        <v>365</v>
      </c>
      <c r="P6037" s="58">
        <v>796</v>
      </c>
      <c r="Q6037" s="27" t="s">
        <v>234</v>
      </c>
      <c r="R6037" s="39">
        <v>30</v>
      </c>
      <c r="S6037" s="59">
        <f>2000*1.07</f>
        <v>2140</v>
      </c>
      <c r="T6037" s="4">
        <v>0</v>
      </c>
      <c r="U6037" s="4">
        <f t="shared" si="285"/>
        <v>0</v>
      </c>
      <c r="V6037" s="3"/>
      <c r="W6037" s="3">
        <v>2014</v>
      </c>
      <c r="X6037" s="3">
        <v>11.12</v>
      </c>
    </row>
    <row r="6038" spans="1:24" ht="114.75">
      <c r="A6038" s="3" t="s">
        <v>13594</v>
      </c>
      <c r="B6038" s="6" t="s">
        <v>361</v>
      </c>
      <c r="C6038" s="6" t="s">
        <v>6282</v>
      </c>
      <c r="D6038" s="6" t="s">
        <v>5357</v>
      </c>
      <c r="E6038" s="6" t="s">
        <v>6283</v>
      </c>
      <c r="F6038" s="9" t="s">
        <v>6571</v>
      </c>
      <c r="G6038" s="3" t="s">
        <v>11449</v>
      </c>
      <c r="H6038" s="185">
        <v>0</v>
      </c>
      <c r="I6038" s="16">
        <v>470000000</v>
      </c>
      <c r="J6038" s="56" t="s">
        <v>229</v>
      </c>
      <c r="K6038" s="57" t="s">
        <v>642</v>
      </c>
      <c r="L6038" s="12" t="s">
        <v>404</v>
      </c>
      <c r="M6038" s="3" t="s">
        <v>230</v>
      </c>
      <c r="N6038" s="8" t="s">
        <v>8899</v>
      </c>
      <c r="O6038" s="6" t="s">
        <v>365</v>
      </c>
      <c r="P6038" s="58">
        <v>796</v>
      </c>
      <c r="Q6038" s="27" t="s">
        <v>234</v>
      </c>
      <c r="R6038" s="39">
        <v>30</v>
      </c>
      <c r="S6038" s="59">
        <f>2000*1.07</f>
        <v>2140</v>
      </c>
      <c r="T6038" s="4">
        <f>R6038*S6038</f>
        <v>64200</v>
      </c>
      <c r="U6038" s="4">
        <f>T6038*1.12</f>
        <v>71904</v>
      </c>
      <c r="V6038" s="3"/>
      <c r="W6038" s="3">
        <v>2014</v>
      </c>
      <c r="X6038" s="3"/>
    </row>
    <row r="6039" spans="1:24" ht="114.75">
      <c r="A6039" s="3" t="s">
        <v>2519</v>
      </c>
      <c r="B6039" s="6" t="s">
        <v>361</v>
      </c>
      <c r="C6039" s="6" t="s">
        <v>5958</v>
      </c>
      <c r="D6039" s="6" t="s">
        <v>460</v>
      </c>
      <c r="E6039" s="6" t="s">
        <v>5959</v>
      </c>
      <c r="F6039" s="9" t="s">
        <v>6572</v>
      </c>
      <c r="G6039" s="3" t="s">
        <v>11449</v>
      </c>
      <c r="H6039" s="185">
        <v>0</v>
      </c>
      <c r="I6039" s="16">
        <v>470000000</v>
      </c>
      <c r="J6039" s="56" t="s">
        <v>229</v>
      </c>
      <c r="K6039" s="57" t="s">
        <v>641</v>
      </c>
      <c r="L6039" s="57" t="s">
        <v>364</v>
      </c>
      <c r="M6039" s="3" t="s">
        <v>230</v>
      </c>
      <c r="N6039" s="8" t="s">
        <v>8899</v>
      </c>
      <c r="O6039" s="6" t="s">
        <v>365</v>
      </c>
      <c r="P6039" s="58">
        <v>796</v>
      </c>
      <c r="Q6039" s="27" t="s">
        <v>234</v>
      </c>
      <c r="R6039" s="39">
        <v>200</v>
      </c>
      <c r="S6039" s="59">
        <f>2000*1.07</f>
        <v>2140</v>
      </c>
      <c r="T6039" s="4">
        <v>0</v>
      </c>
      <c r="U6039" s="4">
        <f t="shared" si="285"/>
        <v>0</v>
      </c>
      <c r="V6039" s="3"/>
      <c r="W6039" s="3">
        <v>2014</v>
      </c>
      <c r="X6039" s="3">
        <v>11.12</v>
      </c>
    </row>
    <row r="6040" spans="1:24" ht="114.75">
      <c r="A6040" s="3" t="s">
        <v>13595</v>
      </c>
      <c r="B6040" s="6" t="s">
        <v>361</v>
      </c>
      <c r="C6040" s="6" t="s">
        <v>5958</v>
      </c>
      <c r="D6040" s="6" t="s">
        <v>460</v>
      </c>
      <c r="E6040" s="6" t="s">
        <v>5959</v>
      </c>
      <c r="F6040" s="9" t="s">
        <v>6572</v>
      </c>
      <c r="G6040" s="3" t="s">
        <v>11449</v>
      </c>
      <c r="H6040" s="185">
        <v>0</v>
      </c>
      <c r="I6040" s="16">
        <v>470000000</v>
      </c>
      <c r="J6040" s="56" t="s">
        <v>229</v>
      </c>
      <c r="K6040" s="57" t="s">
        <v>642</v>
      </c>
      <c r="L6040" s="12" t="s">
        <v>404</v>
      </c>
      <c r="M6040" s="3" t="s">
        <v>230</v>
      </c>
      <c r="N6040" s="8" t="s">
        <v>8899</v>
      </c>
      <c r="O6040" s="6" t="s">
        <v>365</v>
      </c>
      <c r="P6040" s="58">
        <v>796</v>
      </c>
      <c r="Q6040" s="27" t="s">
        <v>234</v>
      </c>
      <c r="R6040" s="39">
        <v>200</v>
      </c>
      <c r="S6040" s="59">
        <f>2000*1.07</f>
        <v>2140</v>
      </c>
      <c r="T6040" s="4">
        <v>0</v>
      </c>
      <c r="U6040" s="4">
        <f>T6040*1.12</f>
        <v>0</v>
      </c>
      <c r="V6040" s="3"/>
      <c r="W6040" s="3">
        <v>2014</v>
      </c>
      <c r="X6040" s="3" t="s">
        <v>14785</v>
      </c>
    </row>
    <row r="6041" spans="1:24" ht="114.75">
      <c r="A6041" s="3" t="s">
        <v>16994</v>
      </c>
      <c r="B6041" s="6" t="s">
        <v>361</v>
      </c>
      <c r="C6041" s="6" t="s">
        <v>5958</v>
      </c>
      <c r="D6041" s="6" t="s">
        <v>460</v>
      </c>
      <c r="E6041" s="6" t="s">
        <v>5959</v>
      </c>
      <c r="F6041" s="9" t="s">
        <v>6572</v>
      </c>
      <c r="G6041" s="3" t="s">
        <v>11449</v>
      </c>
      <c r="H6041" s="185">
        <v>0</v>
      </c>
      <c r="I6041" s="16">
        <v>470000000</v>
      </c>
      <c r="J6041" s="56" t="s">
        <v>229</v>
      </c>
      <c r="K6041" s="57" t="s">
        <v>8950</v>
      </c>
      <c r="L6041" s="12" t="s">
        <v>404</v>
      </c>
      <c r="M6041" s="3" t="s">
        <v>230</v>
      </c>
      <c r="N6041" s="8" t="s">
        <v>8899</v>
      </c>
      <c r="O6041" s="6" t="s">
        <v>365</v>
      </c>
      <c r="P6041" s="58">
        <v>796</v>
      </c>
      <c r="Q6041" s="27" t="s">
        <v>234</v>
      </c>
      <c r="R6041" s="39">
        <v>200</v>
      </c>
      <c r="S6041" s="59">
        <v>2568</v>
      </c>
      <c r="T6041" s="4">
        <f>R6041*S6041</f>
        <v>513600</v>
      </c>
      <c r="U6041" s="4">
        <f>T6041*1.12</f>
        <v>575232</v>
      </c>
      <c r="V6041" s="3"/>
      <c r="W6041" s="3">
        <v>2014</v>
      </c>
      <c r="X6041" s="3"/>
    </row>
    <row r="6042" spans="1:24" ht="114.75">
      <c r="A6042" s="3" t="s">
        <v>2520</v>
      </c>
      <c r="B6042" s="6" t="s">
        <v>361</v>
      </c>
      <c r="C6042" s="6" t="s">
        <v>6573</v>
      </c>
      <c r="D6042" s="6" t="s">
        <v>6574</v>
      </c>
      <c r="E6042" s="6" t="s">
        <v>6575</v>
      </c>
      <c r="F6042" s="8" t="s">
        <v>6576</v>
      </c>
      <c r="G6042" s="3" t="s">
        <v>11449</v>
      </c>
      <c r="H6042" s="185">
        <v>0</v>
      </c>
      <c r="I6042" s="16">
        <v>470000000</v>
      </c>
      <c r="J6042" s="56" t="s">
        <v>229</v>
      </c>
      <c r="K6042" s="57" t="s">
        <v>641</v>
      </c>
      <c r="L6042" s="57" t="s">
        <v>364</v>
      </c>
      <c r="M6042" s="3" t="s">
        <v>230</v>
      </c>
      <c r="N6042" s="8" t="s">
        <v>8899</v>
      </c>
      <c r="O6042" s="6" t="s">
        <v>365</v>
      </c>
      <c r="P6042" s="58">
        <v>796</v>
      </c>
      <c r="Q6042" s="27" t="s">
        <v>234</v>
      </c>
      <c r="R6042" s="39">
        <v>6</v>
      </c>
      <c r="S6042" s="59">
        <f>349900*1.07</f>
        <v>374393</v>
      </c>
      <c r="T6042" s="4">
        <v>0</v>
      </c>
      <c r="U6042" s="4">
        <f t="shared" si="285"/>
        <v>0</v>
      </c>
      <c r="V6042" s="3"/>
      <c r="W6042" s="3">
        <v>2014</v>
      </c>
      <c r="X6042" s="3">
        <v>11.12</v>
      </c>
    </row>
    <row r="6043" spans="1:24" ht="114.75">
      <c r="A6043" s="3" t="s">
        <v>13596</v>
      </c>
      <c r="B6043" s="6" t="s">
        <v>361</v>
      </c>
      <c r="C6043" s="6" t="s">
        <v>6573</v>
      </c>
      <c r="D6043" s="6" t="s">
        <v>6574</v>
      </c>
      <c r="E6043" s="6" t="s">
        <v>6575</v>
      </c>
      <c r="F6043" s="8" t="s">
        <v>6576</v>
      </c>
      <c r="G6043" s="3" t="s">
        <v>11449</v>
      </c>
      <c r="H6043" s="185">
        <v>0</v>
      </c>
      <c r="I6043" s="16">
        <v>470000000</v>
      </c>
      <c r="J6043" s="56" t="s">
        <v>229</v>
      </c>
      <c r="K6043" s="57" t="s">
        <v>642</v>
      </c>
      <c r="L6043" s="12" t="s">
        <v>404</v>
      </c>
      <c r="M6043" s="3" t="s">
        <v>230</v>
      </c>
      <c r="N6043" s="8" t="s">
        <v>8899</v>
      </c>
      <c r="O6043" s="6" t="s">
        <v>365</v>
      </c>
      <c r="P6043" s="58">
        <v>796</v>
      </c>
      <c r="Q6043" s="27" t="s">
        <v>234</v>
      </c>
      <c r="R6043" s="39">
        <v>6</v>
      </c>
      <c r="S6043" s="59">
        <f>349900*1.07</f>
        <v>374393</v>
      </c>
      <c r="T6043" s="4">
        <f>R6043*S6043</f>
        <v>2246358</v>
      </c>
      <c r="U6043" s="4">
        <f>T6043*1.12</f>
        <v>2515920.9600000004</v>
      </c>
      <c r="V6043" s="3"/>
      <c r="W6043" s="3">
        <v>2014</v>
      </c>
      <c r="X6043" s="3"/>
    </row>
    <row r="6044" spans="1:24" ht="114.75">
      <c r="A6044" s="3" t="s">
        <v>2521</v>
      </c>
      <c r="B6044" s="6" t="s">
        <v>361</v>
      </c>
      <c r="C6044" s="6" t="s">
        <v>5745</v>
      </c>
      <c r="D6044" s="6" t="s">
        <v>3117</v>
      </c>
      <c r="E6044" s="6" t="s">
        <v>5746</v>
      </c>
      <c r="F6044" s="8" t="s">
        <v>6577</v>
      </c>
      <c r="G6044" s="3" t="s">
        <v>11449</v>
      </c>
      <c r="H6044" s="185">
        <v>0</v>
      </c>
      <c r="I6044" s="16">
        <v>470000000</v>
      </c>
      <c r="J6044" s="56" t="s">
        <v>229</v>
      </c>
      <c r="K6044" s="57" t="s">
        <v>641</v>
      </c>
      <c r="L6044" s="57" t="s">
        <v>364</v>
      </c>
      <c r="M6044" s="3" t="s">
        <v>230</v>
      </c>
      <c r="N6044" s="8" t="s">
        <v>8899</v>
      </c>
      <c r="O6044" s="6" t="s">
        <v>365</v>
      </c>
      <c r="P6044" s="58">
        <v>796</v>
      </c>
      <c r="Q6044" s="27" t="s">
        <v>234</v>
      </c>
      <c r="R6044" s="39">
        <v>6</v>
      </c>
      <c r="S6044" s="59">
        <f>30400*1.07</f>
        <v>32528.000000000004</v>
      </c>
      <c r="T6044" s="4">
        <v>0</v>
      </c>
      <c r="U6044" s="4">
        <f t="shared" si="285"/>
        <v>0</v>
      </c>
      <c r="V6044" s="3"/>
      <c r="W6044" s="3">
        <v>2014</v>
      </c>
      <c r="X6044" s="3">
        <v>11.12</v>
      </c>
    </row>
    <row r="6045" spans="1:24" ht="114.75">
      <c r="A6045" s="3" t="s">
        <v>13597</v>
      </c>
      <c r="B6045" s="6" t="s">
        <v>361</v>
      </c>
      <c r="C6045" s="6" t="s">
        <v>5745</v>
      </c>
      <c r="D6045" s="6" t="s">
        <v>3117</v>
      </c>
      <c r="E6045" s="6" t="s">
        <v>5746</v>
      </c>
      <c r="F6045" s="8" t="s">
        <v>6577</v>
      </c>
      <c r="G6045" s="3" t="s">
        <v>11449</v>
      </c>
      <c r="H6045" s="185">
        <v>0</v>
      </c>
      <c r="I6045" s="16">
        <v>470000000</v>
      </c>
      <c r="J6045" s="56" t="s">
        <v>229</v>
      </c>
      <c r="K6045" s="57" t="s">
        <v>642</v>
      </c>
      <c r="L6045" s="12" t="s">
        <v>404</v>
      </c>
      <c r="M6045" s="3" t="s">
        <v>230</v>
      </c>
      <c r="N6045" s="8" t="s">
        <v>8899</v>
      </c>
      <c r="O6045" s="6" t="s">
        <v>365</v>
      </c>
      <c r="P6045" s="58">
        <v>796</v>
      </c>
      <c r="Q6045" s="27" t="s">
        <v>234</v>
      </c>
      <c r="R6045" s="39">
        <v>6</v>
      </c>
      <c r="S6045" s="59">
        <f>30400*1.07</f>
        <v>32528.000000000004</v>
      </c>
      <c r="T6045" s="4">
        <f>R6045*S6045</f>
        <v>195168.00000000003</v>
      </c>
      <c r="U6045" s="4">
        <f>T6045*1.12</f>
        <v>218588.16000000006</v>
      </c>
      <c r="V6045" s="3"/>
      <c r="W6045" s="3">
        <v>2014</v>
      </c>
      <c r="X6045" s="3"/>
    </row>
    <row r="6046" spans="1:24" ht="114.75">
      <c r="A6046" s="3" t="s">
        <v>2522</v>
      </c>
      <c r="B6046" s="6" t="s">
        <v>361</v>
      </c>
      <c r="C6046" s="6" t="s">
        <v>5606</v>
      </c>
      <c r="D6046" s="6" t="s">
        <v>472</v>
      </c>
      <c r="E6046" s="6" t="s">
        <v>3115</v>
      </c>
      <c r="F6046" s="8" t="s">
        <v>6578</v>
      </c>
      <c r="G6046" s="3" t="s">
        <v>11449</v>
      </c>
      <c r="H6046" s="185">
        <v>0</v>
      </c>
      <c r="I6046" s="16">
        <v>470000000</v>
      </c>
      <c r="J6046" s="56" t="s">
        <v>229</v>
      </c>
      <c r="K6046" s="57" t="s">
        <v>641</v>
      </c>
      <c r="L6046" s="57" t="s">
        <v>364</v>
      </c>
      <c r="M6046" s="3" t="s">
        <v>230</v>
      </c>
      <c r="N6046" s="8" t="s">
        <v>8899</v>
      </c>
      <c r="O6046" s="6" t="s">
        <v>365</v>
      </c>
      <c r="P6046" s="58">
        <v>796</v>
      </c>
      <c r="Q6046" s="27" t="s">
        <v>234</v>
      </c>
      <c r="R6046" s="39">
        <v>60</v>
      </c>
      <c r="S6046" s="59">
        <f>850*1.07</f>
        <v>909.5</v>
      </c>
      <c r="T6046" s="4">
        <v>0</v>
      </c>
      <c r="U6046" s="4">
        <f t="shared" si="285"/>
        <v>0</v>
      </c>
      <c r="V6046" s="3"/>
      <c r="W6046" s="3">
        <v>2014</v>
      </c>
      <c r="X6046" s="3">
        <v>11.12</v>
      </c>
    </row>
    <row r="6047" spans="1:24" ht="114.75">
      <c r="A6047" s="3" t="s">
        <v>13598</v>
      </c>
      <c r="B6047" s="6" t="s">
        <v>361</v>
      </c>
      <c r="C6047" s="6" t="s">
        <v>5606</v>
      </c>
      <c r="D6047" s="6" t="s">
        <v>472</v>
      </c>
      <c r="E6047" s="6" t="s">
        <v>3115</v>
      </c>
      <c r="F6047" s="8" t="s">
        <v>6578</v>
      </c>
      <c r="G6047" s="3" t="s">
        <v>11449</v>
      </c>
      <c r="H6047" s="185">
        <v>0</v>
      </c>
      <c r="I6047" s="16">
        <v>470000000</v>
      </c>
      <c r="J6047" s="56" t="s">
        <v>229</v>
      </c>
      <c r="K6047" s="57" t="s">
        <v>642</v>
      </c>
      <c r="L6047" s="12" t="s">
        <v>404</v>
      </c>
      <c r="M6047" s="3" t="s">
        <v>230</v>
      </c>
      <c r="N6047" s="8" t="s">
        <v>8899</v>
      </c>
      <c r="O6047" s="6" t="s">
        <v>365</v>
      </c>
      <c r="P6047" s="58">
        <v>796</v>
      </c>
      <c r="Q6047" s="27" t="s">
        <v>234</v>
      </c>
      <c r="R6047" s="39">
        <v>60</v>
      </c>
      <c r="S6047" s="59">
        <f>850*1.07</f>
        <v>909.5</v>
      </c>
      <c r="T6047" s="4">
        <v>0</v>
      </c>
      <c r="U6047" s="4">
        <f>T6047*1.12</f>
        <v>0</v>
      </c>
      <c r="V6047" s="3"/>
      <c r="W6047" s="3">
        <v>2014</v>
      </c>
      <c r="X6047" s="3" t="s">
        <v>14785</v>
      </c>
    </row>
    <row r="6048" spans="1:24" ht="114.75">
      <c r="A6048" s="3" t="s">
        <v>16995</v>
      </c>
      <c r="B6048" s="6" t="s">
        <v>361</v>
      </c>
      <c r="C6048" s="6" t="s">
        <v>5606</v>
      </c>
      <c r="D6048" s="6" t="s">
        <v>472</v>
      </c>
      <c r="E6048" s="6" t="s">
        <v>3115</v>
      </c>
      <c r="F6048" s="8" t="s">
        <v>6578</v>
      </c>
      <c r="G6048" s="3" t="s">
        <v>11449</v>
      </c>
      <c r="H6048" s="185">
        <v>0</v>
      </c>
      <c r="I6048" s="16">
        <v>470000000</v>
      </c>
      <c r="J6048" s="56" t="s">
        <v>229</v>
      </c>
      <c r="K6048" s="57" t="s">
        <v>8950</v>
      </c>
      <c r="L6048" s="12" t="s">
        <v>404</v>
      </c>
      <c r="M6048" s="3" t="s">
        <v>230</v>
      </c>
      <c r="N6048" s="8" t="s">
        <v>8899</v>
      </c>
      <c r="O6048" s="6" t="s">
        <v>365</v>
      </c>
      <c r="P6048" s="58">
        <v>796</v>
      </c>
      <c r="Q6048" s="27" t="s">
        <v>234</v>
      </c>
      <c r="R6048" s="39">
        <v>60</v>
      </c>
      <c r="S6048" s="59">
        <v>1091.3999999999999</v>
      </c>
      <c r="T6048" s="4">
        <f>R6048*S6048</f>
        <v>65483.999999999993</v>
      </c>
      <c r="U6048" s="4">
        <f>T6048*1.12</f>
        <v>73342.080000000002</v>
      </c>
      <c r="V6048" s="3"/>
      <c r="W6048" s="3">
        <v>2014</v>
      </c>
      <c r="X6048" s="3"/>
    </row>
    <row r="6049" spans="1:24" ht="114.75">
      <c r="A6049" s="3" t="s">
        <v>2523</v>
      </c>
      <c r="B6049" s="6" t="s">
        <v>361</v>
      </c>
      <c r="C6049" s="6" t="s">
        <v>3124</v>
      </c>
      <c r="D6049" s="6" t="s">
        <v>3125</v>
      </c>
      <c r="E6049" s="6" t="s">
        <v>3115</v>
      </c>
      <c r="F6049" s="9" t="s">
        <v>6579</v>
      </c>
      <c r="G6049" s="3" t="s">
        <v>11449</v>
      </c>
      <c r="H6049" s="185">
        <v>0</v>
      </c>
      <c r="I6049" s="16">
        <v>470000000</v>
      </c>
      <c r="J6049" s="56" t="s">
        <v>229</v>
      </c>
      <c r="K6049" s="57" t="s">
        <v>641</v>
      </c>
      <c r="L6049" s="57" t="s">
        <v>364</v>
      </c>
      <c r="M6049" s="3" t="s">
        <v>230</v>
      </c>
      <c r="N6049" s="8" t="s">
        <v>8899</v>
      </c>
      <c r="O6049" s="6" t="s">
        <v>365</v>
      </c>
      <c r="P6049" s="58">
        <v>796</v>
      </c>
      <c r="Q6049" s="27" t="s">
        <v>234</v>
      </c>
      <c r="R6049" s="39">
        <v>20</v>
      </c>
      <c r="S6049" s="59">
        <f>900*1.07</f>
        <v>963</v>
      </c>
      <c r="T6049" s="4">
        <v>0</v>
      </c>
      <c r="U6049" s="4">
        <f t="shared" si="285"/>
        <v>0</v>
      </c>
      <c r="V6049" s="3"/>
      <c r="W6049" s="3">
        <v>2014</v>
      </c>
      <c r="X6049" s="3">
        <v>11.12</v>
      </c>
    </row>
    <row r="6050" spans="1:24" ht="114.75">
      <c r="A6050" s="3" t="s">
        <v>13599</v>
      </c>
      <c r="B6050" s="6" t="s">
        <v>361</v>
      </c>
      <c r="C6050" s="6" t="s">
        <v>3124</v>
      </c>
      <c r="D6050" s="6" t="s">
        <v>3125</v>
      </c>
      <c r="E6050" s="6" t="s">
        <v>3115</v>
      </c>
      <c r="F6050" s="9" t="s">
        <v>6579</v>
      </c>
      <c r="G6050" s="3" t="s">
        <v>11449</v>
      </c>
      <c r="H6050" s="185">
        <v>0</v>
      </c>
      <c r="I6050" s="16">
        <v>470000000</v>
      </c>
      <c r="J6050" s="56" t="s">
        <v>229</v>
      </c>
      <c r="K6050" s="57" t="s">
        <v>642</v>
      </c>
      <c r="L6050" s="12" t="s">
        <v>404</v>
      </c>
      <c r="M6050" s="3" t="s">
        <v>230</v>
      </c>
      <c r="N6050" s="8" t="s">
        <v>8899</v>
      </c>
      <c r="O6050" s="6" t="s">
        <v>365</v>
      </c>
      <c r="P6050" s="58">
        <v>796</v>
      </c>
      <c r="Q6050" s="27" t="s">
        <v>234</v>
      </c>
      <c r="R6050" s="39">
        <v>20</v>
      </c>
      <c r="S6050" s="59">
        <f>900*1.07</f>
        <v>963</v>
      </c>
      <c r="T6050" s="4">
        <v>0</v>
      </c>
      <c r="U6050" s="4">
        <f>T6050*1.12</f>
        <v>0</v>
      </c>
      <c r="V6050" s="3"/>
      <c r="W6050" s="3">
        <v>2014</v>
      </c>
      <c r="X6050" s="3" t="s">
        <v>14785</v>
      </c>
    </row>
    <row r="6051" spans="1:24" ht="114.75">
      <c r="A6051" s="3" t="s">
        <v>16996</v>
      </c>
      <c r="B6051" s="6" t="s">
        <v>361</v>
      </c>
      <c r="C6051" s="6" t="s">
        <v>3124</v>
      </c>
      <c r="D6051" s="6" t="s">
        <v>3125</v>
      </c>
      <c r="E6051" s="6" t="s">
        <v>3115</v>
      </c>
      <c r="F6051" s="9" t="s">
        <v>6579</v>
      </c>
      <c r="G6051" s="3" t="s">
        <v>11449</v>
      </c>
      <c r="H6051" s="185">
        <v>0</v>
      </c>
      <c r="I6051" s="16">
        <v>470000000</v>
      </c>
      <c r="J6051" s="56" t="s">
        <v>229</v>
      </c>
      <c r="K6051" s="57" t="s">
        <v>8950</v>
      </c>
      <c r="L6051" s="12" t="s">
        <v>404</v>
      </c>
      <c r="M6051" s="3" t="s">
        <v>230</v>
      </c>
      <c r="N6051" s="8" t="s">
        <v>8899</v>
      </c>
      <c r="O6051" s="6" t="s">
        <v>365</v>
      </c>
      <c r="P6051" s="58">
        <v>796</v>
      </c>
      <c r="Q6051" s="27" t="s">
        <v>234</v>
      </c>
      <c r="R6051" s="39">
        <v>20</v>
      </c>
      <c r="S6051" s="59">
        <v>1155.5999999999999</v>
      </c>
      <c r="T6051" s="4">
        <f>R6051*S6051</f>
        <v>23112</v>
      </c>
      <c r="U6051" s="4">
        <f>T6051*1.12</f>
        <v>25885.440000000002</v>
      </c>
      <c r="V6051" s="3"/>
      <c r="W6051" s="3">
        <v>2014</v>
      </c>
      <c r="X6051" s="3"/>
    </row>
    <row r="6052" spans="1:24" ht="114.75">
      <c r="A6052" s="3" t="s">
        <v>2524</v>
      </c>
      <c r="B6052" s="6" t="s">
        <v>361</v>
      </c>
      <c r="C6052" s="6" t="s">
        <v>6394</v>
      </c>
      <c r="D6052" s="6" t="s">
        <v>6395</v>
      </c>
      <c r="E6052" s="6" t="s">
        <v>6396</v>
      </c>
      <c r="F6052" s="8" t="s">
        <v>6580</v>
      </c>
      <c r="G6052" s="3" t="s">
        <v>11449</v>
      </c>
      <c r="H6052" s="185">
        <v>0</v>
      </c>
      <c r="I6052" s="16">
        <v>470000000</v>
      </c>
      <c r="J6052" s="56" t="s">
        <v>229</v>
      </c>
      <c r="K6052" s="57" t="s">
        <v>641</v>
      </c>
      <c r="L6052" s="57" t="s">
        <v>364</v>
      </c>
      <c r="M6052" s="3" t="s">
        <v>230</v>
      </c>
      <c r="N6052" s="8" t="s">
        <v>8899</v>
      </c>
      <c r="O6052" s="6" t="s">
        <v>365</v>
      </c>
      <c r="P6052" s="58">
        <v>796</v>
      </c>
      <c r="Q6052" s="27" t="s">
        <v>234</v>
      </c>
      <c r="R6052" s="39">
        <v>20</v>
      </c>
      <c r="S6052" s="59">
        <f>1400*1.07</f>
        <v>1498</v>
      </c>
      <c r="T6052" s="4">
        <v>0</v>
      </c>
      <c r="U6052" s="4">
        <f t="shared" si="285"/>
        <v>0</v>
      </c>
      <c r="V6052" s="3"/>
      <c r="W6052" s="3">
        <v>2014</v>
      </c>
      <c r="X6052" s="3">
        <v>11.12</v>
      </c>
    </row>
    <row r="6053" spans="1:24" ht="114.75">
      <c r="A6053" s="3" t="s">
        <v>13600</v>
      </c>
      <c r="B6053" s="6" t="s">
        <v>361</v>
      </c>
      <c r="C6053" s="6" t="s">
        <v>6394</v>
      </c>
      <c r="D6053" s="6" t="s">
        <v>6395</v>
      </c>
      <c r="E6053" s="6" t="s">
        <v>6396</v>
      </c>
      <c r="F6053" s="8" t="s">
        <v>6580</v>
      </c>
      <c r="G6053" s="3" t="s">
        <v>11449</v>
      </c>
      <c r="H6053" s="185">
        <v>0</v>
      </c>
      <c r="I6053" s="16">
        <v>470000000</v>
      </c>
      <c r="J6053" s="56" t="s">
        <v>229</v>
      </c>
      <c r="K6053" s="57" t="s">
        <v>642</v>
      </c>
      <c r="L6053" s="12" t="s">
        <v>404</v>
      </c>
      <c r="M6053" s="3" t="s">
        <v>230</v>
      </c>
      <c r="N6053" s="8" t="s">
        <v>8899</v>
      </c>
      <c r="O6053" s="6" t="s">
        <v>365</v>
      </c>
      <c r="P6053" s="58">
        <v>796</v>
      </c>
      <c r="Q6053" s="27" t="s">
        <v>234</v>
      </c>
      <c r="R6053" s="39">
        <v>20</v>
      </c>
      <c r="S6053" s="59">
        <f>1400*1.07</f>
        <v>1498</v>
      </c>
      <c r="T6053" s="4">
        <v>0</v>
      </c>
      <c r="U6053" s="4">
        <f>T6053*1.12</f>
        <v>0</v>
      </c>
      <c r="V6053" s="3"/>
      <c r="W6053" s="3">
        <v>2014</v>
      </c>
      <c r="X6053" s="3" t="s">
        <v>14785</v>
      </c>
    </row>
    <row r="6054" spans="1:24" ht="114.75">
      <c r="A6054" s="3" t="s">
        <v>16997</v>
      </c>
      <c r="B6054" s="6" t="s">
        <v>361</v>
      </c>
      <c r="C6054" s="6" t="s">
        <v>6394</v>
      </c>
      <c r="D6054" s="6" t="s">
        <v>6395</v>
      </c>
      <c r="E6054" s="6" t="s">
        <v>6396</v>
      </c>
      <c r="F6054" s="8" t="s">
        <v>6580</v>
      </c>
      <c r="G6054" s="3" t="s">
        <v>11449</v>
      </c>
      <c r="H6054" s="185">
        <v>0</v>
      </c>
      <c r="I6054" s="16">
        <v>470000000</v>
      </c>
      <c r="J6054" s="56" t="s">
        <v>229</v>
      </c>
      <c r="K6054" s="57" t="s">
        <v>8950</v>
      </c>
      <c r="L6054" s="12" t="s">
        <v>404</v>
      </c>
      <c r="M6054" s="3" t="s">
        <v>230</v>
      </c>
      <c r="N6054" s="8" t="s">
        <v>8899</v>
      </c>
      <c r="O6054" s="6" t="s">
        <v>365</v>
      </c>
      <c r="P6054" s="58">
        <v>796</v>
      </c>
      <c r="Q6054" s="27" t="s">
        <v>234</v>
      </c>
      <c r="R6054" s="39">
        <v>20</v>
      </c>
      <c r="S6054" s="59">
        <v>1797.6</v>
      </c>
      <c r="T6054" s="4">
        <f>R6054*S6054</f>
        <v>35952</v>
      </c>
      <c r="U6054" s="4">
        <f>T6054*1.12</f>
        <v>40266.240000000005</v>
      </c>
      <c r="V6054" s="3"/>
      <c r="W6054" s="3">
        <v>2014</v>
      </c>
      <c r="X6054" s="3"/>
    </row>
    <row r="6055" spans="1:24" ht="114.75">
      <c r="A6055" s="3" t="s">
        <v>2525</v>
      </c>
      <c r="B6055" s="6" t="s">
        <v>361</v>
      </c>
      <c r="C6055" s="6" t="s">
        <v>6581</v>
      </c>
      <c r="D6055" s="6" t="s">
        <v>5603</v>
      </c>
      <c r="E6055" s="6" t="s">
        <v>5746</v>
      </c>
      <c r="F6055" s="8" t="s">
        <v>6582</v>
      </c>
      <c r="G6055" s="3" t="s">
        <v>11449</v>
      </c>
      <c r="H6055" s="185">
        <v>0</v>
      </c>
      <c r="I6055" s="16">
        <v>470000000</v>
      </c>
      <c r="J6055" s="56" t="s">
        <v>229</v>
      </c>
      <c r="K6055" s="57" t="s">
        <v>641</v>
      </c>
      <c r="L6055" s="57" t="s">
        <v>364</v>
      </c>
      <c r="M6055" s="3" t="s">
        <v>230</v>
      </c>
      <c r="N6055" s="8" t="s">
        <v>8899</v>
      </c>
      <c r="O6055" s="6" t="s">
        <v>365</v>
      </c>
      <c r="P6055" s="58">
        <v>796</v>
      </c>
      <c r="Q6055" s="27" t="s">
        <v>234</v>
      </c>
      <c r="R6055" s="39">
        <v>20</v>
      </c>
      <c r="S6055" s="59">
        <f>3500*1.07</f>
        <v>3745</v>
      </c>
      <c r="T6055" s="4">
        <v>0</v>
      </c>
      <c r="U6055" s="4">
        <f t="shared" si="285"/>
        <v>0</v>
      </c>
      <c r="V6055" s="3"/>
      <c r="W6055" s="3">
        <v>2014</v>
      </c>
      <c r="X6055" s="3">
        <v>11.12</v>
      </c>
    </row>
    <row r="6056" spans="1:24" ht="114.75">
      <c r="A6056" s="3" t="s">
        <v>13601</v>
      </c>
      <c r="B6056" s="6" t="s">
        <v>361</v>
      </c>
      <c r="C6056" s="6" t="s">
        <v>6581</v>
      </c>
      <c r="D6056" s="6" t="s">
        <v>5603</v>
      </c>
      <c r="E6056" s="6" t="s">
        <v>5746</v>
      </c>
      <c r="F6056" s="8" t="s">
        <v>6582</v>
      </c>
      <c r="G6056" s="3" t="s">
        <v>11449</v>
      </c>
      <c r="H6056" s="185">
        <v>0</v>
      </c>
      <c r="I6056" s="16">
        <v>470000000</v>
      </c>
      <c r="J6056" s="56" t="s">
        <v>229</v>
      </c>
      <c r="K6056" s="57" t="s">
        <v>642</v>
      </c>
      <c r="L6056" s="12" t="s">
        <v>404</v>
      </c>
      <c r="M6056" s="3" t="s">
        <v>230</v>
      </c>
      <c r="N6056" s="8" t="s">
        <v>8899</v>
      </c>
      <c r="O6056" s="6" t="s">
        <v>365</v>
      </c>
      <c r="P6056" s="58">
        <v>796</v>
      </c>
      <c r="Q6056" s="27" t="s">
        <v>234</v>
      </c>
      <c r="R6056" s="39">
        <v>20</v>
      </c>
      <c r="S6056" s="59">
        <f>3500*1.07</f>
        <v>3745</v>
      </c>
      <c r="T6056" s="4">
        <f>R6056*S6056</f>
        <v>74900</v>
      </c>
      <c r="U6056" s="4">
        <f>T6056*1.12</f>
        <v>83888.000000000015</v>
      </c>
      <c r="V6056" s="3"/>
      <c r="W6056" s="3">
        <v>2014</v>
      </c>
      <c r="X6056" s="3"/>
    </row>
    <row r="6057" spans="1:24" ht="114.75">
      <c r="A6057" s="3" t="s">
        <v>2526</v>
      </c>
      <c r="B6057" s="6" t="s">
        <v>361</v>
      </c>
      <c r="C6057" s="6" t="s">
        <v>6489</v>
      </c>
      <c r="D6057" s="6" t="s">
        <v>457</v>
      </c>
      <c r="E6057" s="6" t="s">
        <v>6365</v>
      </c>
      <c r="F6057" s="9" t="s">
        <v>6583</v>
      </c>
      <c r="G6057" s="3" t="s">
        <v>11449</v>
      </c>
      <c r="H6057" s="185">
        <v>0</v>
      </c>
      <c r="I6057" s="16">
        <v>470000000</v>
      </c>
      <c r="J6057" s="56" t="s">
        <v>229</v>
      </c>
      <c r="K6057" s="57" t="s">
        <v>641</v>
      </c>
      <c r="L6057" s="57" t="s">
        <v>364</v>
      </c>
      <c r="M6057" s="3" t="s">
        <v>230</v>
      </c>
      <c r="N6057" s="8" t="s">
        <v>8899</v>
      </c>
      <c r="O6057" s="6" t="s">
        <v>365</v>
      </c>
      <c r="P6057" s="58">
        <v>796</v>
      </c>
      <c r="Q6057" s="27" t="s">
        <v>234</v>
      </c>
      <c r="R6057" s="39">
        <v>10</v>
      </c>
      <c r="S6057" s="59">
        <f>45800*1.07</f>
        <v>49006</v>
      </c>
      <c r="T6057" s="4">
        <v>0</v>
      </c>
      <c r="U6057" s="4">
        <f t="shared" si="285"/>
        <v>0</v>
      </c>
      <c r="V6057" s="3"/>
      <c r="W6057" s="3">
        <v>2014</v>
      </c>
      <c r="X6057" s="3">
        <v>11.12</v>
      </c>
    </row>
    <row r="6058" spans="1:24" ht="114.75">
      <c r="A6058" s="3" t="s">
        <v>13602</v>
      </c>
      <c r="B6058" s="6" t="s">
        <v>361</v>
      </c>
      <c r="C6058" s="6" t="s">
        <v>6489</v>
      </c>
      <c r="D6058" s="6" t="s">
        <v>457</v>
      </c>
      <c r="E6058" s="6" t="s">
        <v>6365</v>
      </c>
      <c r="F6058" s="9" t="s">
        <v>6583</v>
      </c>
      <c r="G6058" s="3" t="s">
        <v>11449</v>
      </c>
      <c r="H6058" s="185">
        <v>0</v>
      </c>
      <c r="I6058" s="16">
        <v>470000000</v>
      </c>
      <c r="J6058" s="56" t="s">
        <v>229</v>
      </c>
      <c r="K6058" s="57" t="s">
        <v>642</v>
      </c>
      <c r="L6058" s="12" t="s">
        <v>404</v>
      </c>
      <c r="M6058" s="3" t="s">
        <v>230</v>
      </c>
      <c r="N6058" s="8" t="s">
        <v>8899</v>
      </c>
      <c r="O6058" s="6" t="s">
        <v>365</v>
      </c>
      <c r="P6058" s="58">
        <v>796</v>
      </c>
      <c r="Q6058" s="27" t="s">
        <v>234</v>
      </c>
      <c r="R6058" s="39">
        <v>10</v>
      </c>
      <c r="S6058" s="59">
        <f>45800*1.07</f>
        <v>49006</v>
      </c>
      <c r="T6058" s="4">
        <f>R6058*S6058</f>
        <v>490060</v>
      </c>
      <c r="U6058" s="4">
        <f>T6058*1.12</f>
        <v>548867.20000000007</v>
      </c>
      <c r="V6058" s="3"/>
      <c r="W6058" s="3">
        <v>2014</v>
      </c>
      <c r="X6058" s="3"/>
    </row>
    <row r="6059" spans="1:24" ht="114.75">
      <c r="A6059" s="3" t="s">
        <v>2527</v>
      </c>
      <c r="B6059" s="6" t="s">
        <v>361</v>
      </c>
      <c r="C6059" s="6" t="s">
        <v>6489</v>
      </c>
      <c r="D6059" s="6" t="s">
        <v>457</v>
      </c>
      <c r="E6059" s="6" t="s">
        <v>6365</v>
      </c>
      <c r="F6059" s="129" t="s">
        <v>6584</v>
      </c>
      <c r="G6059" s="3" t="s">
        <v>11449</v>
      </c>
      <c r="H6059" s="185">
        <v>0</v>
      </c>
      <c r="I6059" s="16">
        <v>470000000</v>
      </c>
      <c r="J6059" s="56" t="s">
        <v>229</v>
      </c>
      <c r="K6059" s="57" t="s">
        <v>641</v>
      </c>
      <c r="L6059" s="57" t="s">
        <v>364</v>
      </c>
      <c r="M6059" s="3" t="s">
        <v>230</v>
      </c>
      <c r="N6059" s="8" t="s">
        <v>8899</v>
      </c>
      <c r="O6059" s="6" t="s">
        <v>365</v>
      </c>
      <c r="P6059" s="58">
        <v>796</v>
      </c>
      <c r="Q6059" s="27" t="s">
        <v>234</v>
      </c>
      <c r="R6059" s="39">
        <v>10</v>
      </c>
      <c r="S6059" s="59">
        <f>2500*1.07</f>
        <v>2675</v>
      </c>
      <c r="T6059" s="4">
        <v>0</v>
      </c>
      <c r="U6059" s="4">
        <f t="shared" si="285"/>
        <v>0</v>
      </c>
      <c r="V6059" s="3"/>
      <c r="W6059" s="3">
        <v>2014</v>
      </c>
      <c r="X6059" s="3">
        <v>11.12</v>
      </c>
    </row>
    <row r="6060" spans="1:24" ht="114.75">
      <c r="A6060" s="3" t="s">
        <v>13603</v>
      </c>
      <c r="B6060" s="6" t="s">
        <v>361</v>
      </c>
      <c r="C6060" s="6" t="s">
        <v>6489</v>
      </c>
      <c r="D6060" s="6" t="s">
        <v>457</v>
      </c>
      <c r="E6060" s="6" t="s">
        <v>6365</v>
      </c>
      <c r="F6060" s="129" t="s">
        <v>6584</v>
      </c>
      <c r="G6060" s="3" t="s">
        <v>11449</v>
      </c>
      <c r="H6060" s="185">
        <v>0</v>
      </c>
      <c r="I6060" s="16">
        <v>470000000</v>
      </c>
      <c r="J6060" s="56" t="s">
        <v>229</v>
      </c>
      <c r="K6060" s="57" t="s">
        <v>642</v>
      </c>
      <c r="L6060" s="12" t="s">
        <v>404</v>
      </c>
      <c r="M6060" s="3" t="s">
        <v>230</v>
      </c>
      <c r="N6060" s="8" t="s">
        <v>8899</v>
      </c>
      <c r="O6060" s="6" t="s">
        <v>365</v>
      </c>
      <c r="P6060" s="58">
        <v>796</v>
      </c>
      <c r="Q6060" s="27" t="s">
        <v>234</v>
      </c>
      <c r="R6060" s="39">
        <v>10</v>
      </c>
      <c r="S6060" s="59">
        <f>2500*1.07</f>
        <v>2675</v>
      </c>
      <c r="T6060" s="4">
        <f>R6060*S6060</f>
        <v>26750</v>
      </c>
      <c r="U6060" s="4">
        <f>T6060*1.12</f>
        <v>29960.000000000004</v>
      </c>
      <c r="V6060" s="3"/>
      <c r="W6060" s="3">
        <v>2014</v>
      </c>
      <c r="X6060" s="3"/>
    </row>
    <row r="6061" spans="1:24" ht="114.75">
      <c r="A6061" s="3" t="s">
        <v>2528</v>
      </c>
      <c r="B6061" s="6" t="s">
        <v>361</v>
      </c>
      <c r="C6061" s="6" t="s">
        <v>6585</v>
      </c>
      <c r="D6061" s="6" t="s">
        <v>438</v>
      </c>
      <c r="E6061" s="6" t="s">
        <v>6586</v>
      </c>
      <c r="F6061" s="8" t="s">
        <v>6587</v>
      </c>
      <c r="G6061" s="3" t="s">
        <v>11449</v>
      </c>
      <c r="H6061" s="185">
        <v>0</v>
      </c>
      <c r="I6061" s="16">
        <v>470000000</v>
      </c>
      <c r="J6061" s="56" t="s">
        <v>229</v>
      </c>
      <c r="K6061" s="57" t="s">
        <v>641</v>
      </c>
      <c r="L6061" s="57" t="s">
        <v>364</v>
      </c>
      <c r="M6061" s="3" t="s">
        <v>230</v>
      </c>
      <c r="N6061" s="8" t="s">
        <v>8899</v>
      </c>
      <c r="O6061" s="6" t="s">
        <v>365</v>
      </c>
      <c r="P6061" s="58">
        <v>796</v>
      </c>
      <c r="Q6061" s="27" t="s">
        <v>234</v>
      </c>
      <c r="R6061" s="39">
        <v>20</v>
      </c>
      <c r="S6061" s="59">
        <f>9700*1.07</f>
        <v>10379</v>
      </c>
      <c r="T6061" s="4">
        <v>0</v>
      </c>
      <c r="U6061" s="4">
        <f t="shared" si="285"/>
        <v>0</v>
      </c>
      <c r="V6061" s="3"/>
      <c r="W6061" s="3">
        <v>2014</v>
      </c>
      <c r="X6061" s="3">
        <v>11.12</v>
      </c>
    </row>
    <row r="6062" spans="1:24" ht="114.75">
      <c r="A6062" s="3" t="s">
        <v>13604</v>
      </c>
      <c r="B6062" s="6" t="s">
        <v>361</v>
      </c>
      <c r="C6062" s="6" t="s">
        <v>6585</v>
      </c>
      <c r="D6062" s="6" t="s">
        <v>438</v>
      </c>
      <c r="E6062" s="6" t="s">
        <v>6586</v>
      </c>
      <c r="F6062" s="8" t="s">
        <v>6587</v>
      </c>
      <c r="G6062" s="3" t="s">
        <v>11449</v>
      </c>
      <c r="H6062" s="185">
        <v>0</v>
      </c>
      <c r="I6062" s="16">
        <v>470000000</v>
      </c>
      <c r="J6062" s="56" t="s">
        <v>229</v>
      </c>
      <c r="K6062" s="57" t="s">
        <v>642</v>
      </c>
      <c r="L6062" s="12" t="s">
        <v>404</v>
      </c>
      <c r="M6062" s="3" t="s">
        <v>230</v>
      </c>
      <c r="N6062" s="8" t="s">
        <v>8899</v>
      </c>
      <c r="O6062" s="6" t="s">
        <v>365</v>
      </c>
      <c r="P6062" s="58">
        <v>796</v>
      </c>
      <c r="Q6062" s="27" t="s">
        <v>234</v>
      </c>
      <c r="R6062" s="39">
        <v>20</v>
      </c>
      <c r="S6062" s="59">
        <f>9700*1.07</f>
        <v>10379</v>
      </c>
      <c r="T6062" s="4">
        <f>R6062*S6062</f>
        <v>207580</v>
      </c>
      <c r="U6062" s="4">
        <f>T6062*1.12</f>
        <v>232489.60000000003</v>
      </c>
      <c r="V6062" s="3"/>
      <c r="W6062" s="3">
        <v>2014</v>
      </c>
      <c r="X6062" s="3"/>
    </row>
    <row r="6063" spans="1:24" ht="114.75">
      <c r="A6063" s="3" t="s">
        <v>2529</v>
      </c>
      <c r="B6063" s="6" t="s">
        <v>361</v>
      </c>
      <c r="C6063" s="6" t="s">
        <v>6588</v>
      </c>
      <c r="D6063" s="6" t="s">
        <v>6589</v>
      </c>
      <c r="E6063" s="6" t="s">
        <v>6590</v>
      </c>
      <c r="F6063" s="9" t="s">
        <v>6591</v>
      </c>
      <c r="G6063" s="3" t="s">
        <v>11449</v>
      </c>
      <c r="H6063" s="185">
        <v>0</v>
      </c>
      <c r="I6063" s="16">
        <v>470000000</v>
      </c>
      <c r="J6063" s="56" t="s">
        <v>229</v>
      </c>
      <c r="K6063" s="57" t="s">
        <v>641</v>
      </c>
      <c r="L6063" s="57" t="s">
        <v>364</v>
      </c>
      <c r="M6063" s="3" t="s">
        <v>230</v>
      </c>
      <c r="N6063" s="8" t="s">
        <v>8899</v>
      </c>
      <c r="O6063" s="6" t="s">
        <v>365</v>
      </c>
      <c r="P6063" s="58">
        <v>796</v>
      </c>
      <c r="Q6063" s="27" t="s">
        <v>234</v>
      </c>
      <c r="R6063" s="39">
        <v>20</v>
      </c>
      <c r="S6063" s="59">
        <f>26700*1.07</f>
        <v>28569</v>
      </c>
      <c r="T6063" s="4">
        <v>0</v>
      </c>
      <c r="U6063" s="4">
        <f t="shared" si="285"/>
        <v>0</v>
      </c>
      <c r="V6063" s="3"/>
      <c r="W6063" s="3">
        <v>2014</v>
      </c>
      <c r="X6063" s="3">
        <v>11.12</v>
      </c>
    </row>
    <row r="6064" spans="1:24" ht="114.75">
      <c r="A6064" s="3" t="s">
        <v>13605</v>
      </c>
      <c r="B6064" s="6" t="s">
        <v>361</v>
      </c>
      <c r="C6064" s="6" t="s">
        <v>6588</v>
      </c>
      <c r="D6064" s="6" t="s">
        <v>6589</v>
      </c>
      <c r="E6064" s="6" t="s">
        <v>6590</v>
      </c>
      <c r="F6064" s="9" t="s">
        <v>6591</v>
      </c>
      <c r="G6064" s="3" t="s">
        <v>11449</v>
      </c>
      <c r="H6064" s="185">
        <v>0</v>
      </c>
      <c r="I6064" s="16">
        <v>470000000</v>
      </c>
      <c r="J6064" s="56" t="s">
        <v>229</v>
      </c>
      <c r="K6064" s="57" t="s">
        <v>642</v>
      </c>
      <c r="L6064" s="12" t="s">
        <v>404</v>
      </c>
      <c r="M6064" s="3" t="s">
        <v>230</v>
      </c>
      <c r="N6064" s="8" t="s">
        <v>8899</v>
      </c>
      <c r="O6064" s="6" t="s">
        <v>365</v>
      </c>
      <c r="P6064" s="58">
        <v>796</v>
      </c>
      <c r="Q6064" s="27" t="s">
        <v>234</v>
      </c>
      <c r="R6064" s="39">
        <v>20</v>
      </c>
      <c r="S6064" s="59">
        <f>26700*1.07</f>
        <v>28569</v>
      </c>
      <c r="T6064" s="4">
        <v>0</v>
      </c>
      <c r="U6064" s="4">
        <f>T6064*1.12</f>
        <v>0</v>
      </c>
      <c r="V6064" s="3"/>
      <c r="W6064" s="3">
        <v>2014</v>
      </c>
      <c r="X6064" s="3" t="s">
        <v>14785</v>
      </c>
    </row>
    <row r="6065" spans="1:24" ht="114.75">
      <c r="A6065" s="3" t="s">
        <v>16998</v>
      </c>
      <c r="B6065" s="6" t="s">
        <v>361</v>
      </c>
      <c r="C6065" s="6" t="s">
        <v>6588</v>
      </c>
      <c r="D6065" s="6" t="s">
        <v>6589</v>
      </c>
      <c r="E6065" s="6" t="s">
        <v>6590</v>
      </c>
      <c r="F6065" s="9" t="s">
        <v>6591</v>
      </c>
      <c r="G6065" s="3" t="s">
        <v>11449</v>
      </c>
      <c r="H6065" s="185">
        <v>0</v>
      </c>
      <c r="I6065" s="16">
        <v>470000000</v>
      </c>
      <c r="J6065" s="56" t="s">
        <v>229</v>
      </c>
      <c r="K6065" s="57" t="s">
        <v>8950</v>
      </c>
      <c r="L6065" s="12" t="s">
        <v>404</v>
      </c>
      <c r="M6065" s="3" t="s">
        <v>230</v>
      </c>
      <c r="N6065" s="8" t="s">
        <v>8899</v>
      </c>
      <c r="O6065" s="6" t="s">
        <v>365</v>
      </c>
      <c r="P6065" s="58">
        <v>796</v>
      </c>
      <c r="Q6065" s="27" t="s">
        <v>234</v>
      </c>
      <c r="R6065" s="39">
        <v>20</v>
      </c>
      <c r="S6065" s="59">
        <v>34282.799999999996</v>
      </c>
      <c r="T6065" s="4">
        <f>R6065*S6065</f>
        <v>685655.99999999988</v>
      </c>
      <c r="U6065" s="4">
        <f>T6065*1.12</f>
        <v>767934.72</v>
      </c>
      <c r="V6065" s="3"/>
      <c r="W6065" s="3">
        <v>2014</v>
      </c>
      <c r="X6065" s="3"/>
    </row>
    <row r="6066" spans="1:24" ht="114.75">
      <c r="A6066" s="3" t="s">
        <v>2530</v>
      </c>
      <c r="B6066" s="6" t="s">
        <v>361</v>
      </c>
      <c r="C6066" s="6" t="s">
        <v>6592</v>
      </c>
      <c r="D6066" s="6" t="s">
        <v>388</v>
      </c>
      <c r="E6066" s="6" t="s">
        <v>6593</v>
      </c>
      <c r="F6066" s="8" t="s">
        <v>6594</v>
      </c>
      <c r="G6066" s="3" t="s">
        <v>11449</v>
      </c>
      <c r="H6066" s="185">
        <v>0</v>
      </c>
      <c r="I6066" s="16">
        <v>470000000</v>
      </c>
      <c r="J6066" s="56" t="s">
        <v>229</v>
      </c>
      <c r="K6066" s="57" t="s">
        <v>641</v>
      </c>
      <c r="L6066" s="57" t="s">
        <v>364</v>
      </c>
      <c r="M6066" s="3" t="s">
        <v>230</v>
      </c>
      <c r="N6066" s="8" t="s">
        <v>8899</v>
      </c>
      <c r="O6066" s="6" t="s">
        <v>365</v>
      </c>
      <c r="P6066" s="58">
        <v>796</v>
      </c>
      <c r="Q6066" s="27" t="s">
        <v>234</v>
      </c>
      <c r="R6066" s="39">
        <v>12</v>
      </c>
      <c r="S6066" s="59">
        <f>15200*1.07</f>
        <v>16264.000000000002</v>
      </c>
      <c r="T6066" s="4">
        <v>0</v>
      </c>
      <c r="U6066" s="4">
        <f t="shared" si="285"/>
        <v>0</v>
      </c>
      <c r="V6066" s="3"/>
      <c r="W6066" s="3">
        <v>2014</v>
      </c>
      <c r="X6066" s="3">
        <v>11.12</v>
      </c>
    </row>
    <row r="6067" spans="1:24" ht="114.75">
      <c r="A6067" s="3" t="s">
        <v>13606</v>
      </c>
      <c r="B6067" s="6" t="s">
        <v>361</v>
      </c>
      <c r="C6067" s="6" t="s">
        <v>6592</v>
      </c>
      <c r="D6067" s="6" t="s">
        <v>388</v>
      </c>
      <c r="E6067" s="6" t="s">
        <v>6593</v>
      </c>
      <c r="F6067" s="8" t="s">
        <v>6594</v>
      </c>
      <c r="G6067" s="3" t="s">
        <v>11449</v>
      </c>
      <c r="H6067" s="185">
        <v>0</v>
      </c>
      <c r="I6067" s="16">
        <v>470000000</v>
      </c>
      <c r="J6067" s="56" t="s">
        <v>229</v>
      </c>
      <c r="K6067" s="57" t="s">
        <v>642</v>
      </c>
      <c r="L6067" s="12" t="s">
        <v>404</v>
      </c>
      <c r="M6067" s="3" t="s">
        <v>230</v>
      </c>
      <c r="N6067" s="8" t="s">
        <v>8899</v>
      </c>
      <c r="O6067" s="6" t="s">
        <v>365</v>
      </c>
      <c r="P6067" s="58">
        <v>796</v>
      </c>
      <c r="Q6067" s="27" t="s">
        <v>234</v>
      </c>
      <c r="R6067" s="39">
        <v>12</v>
      </c>
      <c r="S6067" s="59">
        <f>15200*1.07</f>
        <v>16264.000000000002</v>
      </c>
      <c r="T6067" s="4">
        <v>0</v>
      </c>
      <c r="U6067" s="4">
        <f>T6067*1.12</f>
        <v>0</v>
      </c>
      <c r="V6067" s="3"/>
      <c r="W6067" s="3">
        <v>2014</v>
      </c>
      <c r="X6067" s="3" t="s">
        <v>14785</v>
      </c>
    </row>
    <row r="6068" spans="1:24" ht="114.75">
      <c r="A6068" s="3" t="s">
        <v>16999</v>
      </c>
      <c r="B6068" s="6" t="s">
        <v>361</v>
      </c>
      <c r="C6068" s="6" t="s">
        <v>6592</v>
      </c>
      <c r="D6068" s="6" t="s">
        <v>388</v>
      </c>
      <c r="E6068" s="6" t="s">
        <v>6593</v>
      </c>
      <c r="F6068" s="8" t="s">
        <v>6594</v>
      </c>
      <c r="G6068" s="3" t="s">
        <v>11449</v>
      </c>
      <c r="H6068" s="185">
        <v>0</v>
      </c>
      <c r="I6068" s="16">
        <v>470000000</v>
      </c>
      <c r="J6068" s="56" t="s">
        <v>229</v>
      </c>
      <c r="K6068" s="57" t="s">
        <v>8950</v>
      </c>
      <c r="L6068" s="12" t="s">
        <v>404</v>
      </c>
      <c r="M6068" s="3" t="s">
        <v>230</v>
      </c>
      <c r="N6068" s="8" t="s">
        <v>8899</v>
      </c>
      <c r="O6068" s="6" t="s">
        <v>365</v>
      </c>
      <c r="P6068" s="58">
        <v>796</v>
      </c>
      <c r="Q6068" s="27" t="s">
        <v>234</v>
      </c>
      <c r="R6068" s="39">
        <v>12</v>
      </c>
      <c r="S6068" s="59">
        <v>19516.800000000003</v>
      </c>
      <c r="T6068" s="4">
        <f>R6068*S6068</f>
        <v>234201.60000000003</v>
      </c>
      <c r="U6068" s="4">
        <f>T6068*1.12</f>
        <v>262305.79200000007</v>
      </c>
      <c r="V6068" s="3"/>
      <c r="W6068" s="3">
        <v>2014</v>
      </c>
      <c r="X6068" s="3"/>
    </row>
    <row r="6069" spans="1:24" ht="114.75">
      <c r="A6069" s="3" t="s">
        <v>2531</v>
      </c>
      <c r="B6069" s="6" t="s">
        <v>361</v>
      </c>
      <c r="C6069" s="6" t="s">
        <v>6489</v>
      </c>
      <c r="D6069" s="6" t="s">
        <v>457</v>
      </c>
      <c r="E6069" s="6" t="s">
        <v>6365</v>
      </c>
      <c r="F6069" s="9" t="s">
        <v>6595</v>
      </c>
      <c r="G6069" s="3" t="s">
        <v>11449</v>
      </c>
      <c r="H6069" s="185">
        <v>0</v>
      </c>
      <c r="I6069" s="16">
        <v>470000000</v>
      </c>
      <c r="J6069" s="56" t="s">
        <v>229</v>
      </c>
      <c r="K6069" s="57" t="s">
        <v>641</v>
      </c>
      <c r="L6069" s="57" t="s">
        <v>364</v>
      </c>
      <c r="M6069" s="3" t="s">
        <v>230</v>
      </c>
      <c r="N6069" s="8" t="s">
        <v>8899</v>
      </c>
      <c r="O6069" s="6" t="s">
        <v>365</v>
      </c>
      <c r="P6069" s="58">
        <v>796</v>
      </c>
      <c r="Q6069" s="27" t="s">
        <v>234</v>
      </c>
      <c r="R6069" s="40">
        <v>15</v>
      </c>
      <c r="S6069" s="59">
        <f>144500*1.07</f>
        <v>154615</v>
      </c>
      <c r="T6069" s="4">
        <v>0</v>
      </c>
      <c r="U6069" s="4">
        <f t="shared" si="285"/>
        <v>0</v>
      </c>
      <c r="V6069" s="3"/>
      <c r="W6069" s="3">
        <v>2014</v>
      </c>
      <c r="X6069" s="3">
        <v>11.12</v>
      </c>
    </row>
    <row r="6070" spans="1:24" ht="114.75">
      <c r="A6070" s="3" t="s">
        <v>13607</v>
      </c>
      <c r="B6070" s="6" t="s">
        <v>361</v>
      </c>
      <c r="C6070" s="6" t="s">
        <v>6489</v>
      </c>
      <c r="D6070" s="6" t="s">
        <v>457</v>
      </c>
      <c r="E6070" s="6" t="s">
        <v>6365</v>
      </c>
      <c r="F6070" s="9" t="s">
        <v>6595</v>
      </c>
      <c r="G6070" s="3" t="s">
        <v>11449</v>
      </c>
      <c r="H6070" s="185">
        <v>0</v>
      </c>
      <c r="I6070" s="16">
        <v>470000000</v>
      </c>
      <c r="J6070" s="56" t="s">
        <v>229</v>
      </c>
      <c r="K6070" s="57" t="s">
        <v>642</v>
      </c>
      <c r="L6070" s="12" t="s">
        <v>404</v>
      </c>
      <c r="M6070" s="3" t="s">
        <v>230</v>
      </c>
      <c r="N6070" s="8" t="s">
        <v>8899</v>
      </c>
      <c r="O6070" s="6" t="s">
        <v>365</v>
      </c>
      <c r="P6070" s="58">
        <v>796</v>
      </c>
      <c r="Q6070" s="27" t="s">
        <v>234</v>
      </c>
      <c r="R6070" s="40">
        <v>15</v>
      </c>
      <c r="S6070" s="59">
        <f>144500*1.07</f>
        <v>154615</v>
      </c>
      <c r="T6070" s="4">
        <f>R6070*S6070</f>
        <v>2319225</v>
      </c>
      <c r="U6070" s="4">
        <f>T6070*1.12</f>
        <v>2597532.0000000005</v>
      </c>
      <c r="V6070" s="3"/>
      <c r="W6070" s="3">
        <v>2014</v>
      </c>
      <c r="X6070" s="3"/>
    </row>
    <row r="6071" spans="1:24" ht="114.75">
      <c r="A6071" s="3" t="s">
        <v>2532</v>
      </c>
      <c r="B6071" s="6" t="s">
        <v>361</v>
      </c>
      <c r="C6071" s="6" t="s">
        <v>5389</v>
      </c>
      <c r="D6071" s="6" t="s">
        <v>5390</v>
      </c>
      <c r="E6071" s="6" t="s">
        <v>5391</v>
      </c>
      <c r="F6071" s="9" t="s">
        <v>6596</v>
      </c>
      <c r="G6071" s="3" t="s">
        <v>11449</v>
      </c>
      <c r="H6071" s="185">
        <v>0</v>
      </c>
      <c r="I6071" s="16">
        <v>470000000</v>
      </c>
      <c r="J6071" s="56" t="s">
        <v>229</v>
      </c>
      <c r="K6071" s="57" t="s">
        <v>641</v>
      </c>
      <c r="L6071" s="57" t="s">
        <v>364</v>
      </c>
      <c r="M6071" s="3" t="s">
        <v>230</v>
      </c>
      <c r="N6071" s="8" t="s">
        <v>8899</v>
      </c>
      <c r="O6071" s="6" t="s">
        <v>365</v>
      </c>
      <c r="P6071" s="58">
        <v>796</v>
      </c>
      <c r="Q6071" s="27" t="s">
        <v>234</v>
      </c>
      <c r="R6071" s="39">
        <v>10</v>
      </c>
      <c r="S6071" s="59">
        <f>41300*1.07</f>
        <v>44191</v>
      </c>
      <c r="T6071" s="4">
        <v>0</v>
      </c>
      <c r="U6071" s="4">
        <f t="shared" si="285"/>
        <v>0</v>
      </c>
      <c r="V6071" s="3"/>
      <c r="W6071" s="3">
        <v>2014</v>
      </c>
      <c r="X6071" s="3">
        <v>11.12</v>
      </c>
    </row>
    <row r="6072" spans="1:24" ht="114.75">
      <c r="A6072" s="3" t="s">
        <v>13608</v>
      </c>
      <c r="B6072" s="6" t="s">
        <v>361</v>
      </c>
      <c r="C6072" s="6" t="s">
        <v>5389</v>
      </c>
      <c r="D6072" s="6" t="s">
        <v>5390</v>
      </c>
      <c r="E6072" s="6" t="s">
        <v>5391</v>
      </c>
      <c r="F6072" s="9" t="s">
        <v>6596</v>
      </c>
      <c r="G6072" s="3" t="s">
        <v>11449</v>
      </c>
      <c r="H6072" s="185">
        <v>0</v>
      </c>
      <c r="I6072" s="16">
        <v>470000000</v>
      </c>
      <c r="J6072" s="56" t="s">
        <v>229</v>
      </c>
      <c r="K6072" s="57" t="s">
        <v>642</v>
      </c>
      <c r="L6072" s="12" t="s">
        <v>404</v>
      </c>
      <c r="M6072" s="3" t="s">
        <v>230</v>
      </c>
      <c r="N6072" s="8" t="s">
        <v>8899</v>
      </c>
      <c r="O6072" s="6" t="s">
        <v>365</v>
      </c>
      <c r="P6072" s="58">
        <v>796</v>
      </c>
      <c r="Q6072" s="27" t="s">
        <v>234</v>
      </c>
      <c r="R6072" s="39">
        <v>10</v>
      </c>
      <c r="S6072" s="59">
        <f>41300*1.07</f>
        <v>44191</v>
      </c>
      <c r="T6072" s="4">
        <f>R6072*S6072</f>
        <v>441910</v>
      </c>
      <c r="U6072" s="4">
        <f>T6072*1.12</f>
        <v>494939.20000000007</v>
      </c>
      <c r="V6072" s="3"/>
      <c r="W6072" s="3">
        <v>2014</v>
      </c>
      <c r="X6072" s="3"/>
    </row>
    <row r="6073" spans="1:24" ht="114.75">
      <c r="A6073" s="3" t="s">
        <v>10700</v>
      </c>
      <c r="B6073" s="6" t="s">
        <v>361</v>
      </c>
      <c r="C6073" s="6" t="s">
        <v>6597</v>
      </c>
      <c r="D6073" s="6" t="s">
        <v>6598</v>
      </c>
      <c r="E6073" s="6" t="s">
        <v>6599</v>
      </c>
      <c r="F6073" s="8" t="s">
        <v>6600</v>
      </c>
      <c r="G6073" s="3" t="s">
        <v>11449</v>
      </c>
      <c r="H6073" s="185">
        <v>0</v>
      </c>
      <c r="I6073" s="16">
        <v>470000000</v>
      </c>
      <c r="J6073" s="56" t="s">
        <v>229</v>
      </c>
      <c r="K6073" s="57" t="s">
        <v>641</v>
      </c>
      <c r="L6073" s="57" t="s">
        <v>364</v>
      </c>
      <c r="M6073" s="3" t="s">
        <v>230</v>
      </c>
      <c r="N6073" s="8" t="s">
        <v>8899</v>
      </c>
      <c r="O6073" s="6" t="s">
        <v>365</v>
      </c>
      <c r="P6073" s="58">
        <v>796</v>
      </c>
      <c r="Q6073" s="27" t="s">
        <v>234</v>
      </c>
      <c r="R6073" s="35">
        <v>10</v>
      </c>
      <c r="S6073" s="59">
        <f>51600*1.07</f>
        <v>55212</v>
      </c>
      <c r="T6073" s="4">
        <v>0</v>
      </c>
      <c r="U6073" s="4">
        <f t="shared" si="285"/>
        <v>0</v>
      </c>
      <c r="V6073" s="3"/>
      <c r="W6073" s="3">
        <v>2014</v>
      </c>
      <c r="X6073" s="3">
        <v>11.12</v>
      </c>
    </row>
    <row r="6074" spans="1:24" ht="114.75">
      <c r="A6074" s="3" t="s">
        <v>13609</v>
      </c>
      <c r="B6074" s="6" t="s">
        <v>361</v>
      </c>
      <c r="C6074" s="6" t="s">
        <v>6597</v>
      </c>
      <c r="D6074" s="6" t="s">
        <v>6598</v>
      </c>
      <c r="E6074" s="6" t="s">
        <v>6599</v>
      </c>
      <c r="F6074" s="8" t="s">
        <v>6600</v>
      </c>
      <c r="G6074" s="3" t="s">
        <v>11449</v>
      </c>
      <c r="H6074" s="185">
        <v>0</v>
      </c>
      <c r="I6074" s="16">
        <v>470000000</v>
      </c>
      <c r="J6074" s="56" t="s">
        <v>229</v>
      </c>
      <c r="K6074" s="57" t="s">
        <v>642</v>
      </c>
      <c r="L6074" s="12" t="s">
        <v>404</v>
      </c>
      <c r="M6074" s="3" t="s">
        <v>230</v>
      </c>
      <c r="N6074" s="8" t="s">
        <v>8899</v>
      </c>
      <c r="O6074" s="6" t="s">
        <v>365</v>
      </c>
      <c r="P6074" s="58">
        <v>796</v>
      </c>
      <c r="Q6074" s="27" t="s">
        <v>234</v>
      </c>
      <c r="R6074" s="35">
        <v>10</v>
      </c>
      <c r="S6074" s="59">
        <f>51600*1.07</f>
        <v>55212</v>
      </c>
      <c r="T6074" s="4">
        <v>0</v>
      </c>
      <c r="U6074" s="4">
        <f>T6074*1.12</f>
        <v>0</v>
      </c>
      <c r="V6074" s="3"/>
      <c r="W6074" s="3">
        <v>2014</v>
      </c>
      <c r="X6074" s="3" t="s">
        <v>14785</v>
      </c>
    </row>
    <row r="6075" spans="1:24" ht="114.75">
      <c r="A6075" s="3" t="s">
        <v>17000</v>
      </c>
      <c r="B6075" s="6" t="s">
        <v>361</v>
      </c>
      <c r="C6075" s="6" t="s">
        <v>6597</v>
      </c>
      <c r="D6075" s="6" t="s">
        <v>6598</v>
      </c>
      <c r="E6075" s="6" t="s">
        <v>6599</v>
      </c>
      <c r="F6075" s="8" t="s">
        <v>6600</v>
      </c>
      <c r="G6075" s="3" t="s">
        <v>11449</v>
      </c>
      <c r="H6075" s="185">
        <v>0</v>
      </c>
      <c r="I6075" s="16">
        <v>470000000</v>
      </c>
      <c r="J6075" s="56" t="s">
        <v>229</v>
      </c>
      <c r="K6075" s="57" t="s">
        <v>8950</v>
      </c>
      <c r="L6075" s="12" t="s">
        <v>404</v>
      </c>
      <c r="M6075" s="3" t="s">
        <v>230</v>
      </c>
      <c r="N6075" s="8" t="s">
        <v>8899</v>
      </c>
      <c r="O6075" s="6" t="s">
        <v>365</v>
      </c>
      <c r="P6075" s="58">
        <v>796</v>
      </c>
      <c r="Q6075" s="27" t="s">
        <v>234</v>
      </c>
      <c r="R6075" s="35">
        <v>10</v>
      </c>
      <c r="S6075" s="59">
        <v>66254.399999999994</v>
      </c>
      <c r="T6075" s="4">
        <f>R6075*S6075</f>
        <v>662544</v>
      </c>
      <c r="U6075" s="4">
        <f>T6075*1.12</f>
        <v>742049.28000000003</v>
      </c>
      <c r="V6075" s="3"/>
      <c r="W6075" s="3">
        <v>2014</v>
      </c>
      <c r="X6075" s="3"/>
    </row>
    <row r="6076" spans="1:24" ht="114.75">
      <c r="A6076" s="3" t="s">
        <v>10701</v>
      </c>
      <c r="B6076" s="6" t="s">
        <v>361</v>
      </c>
      <c r="C6076" s="6" t="s">
        <v>6601</v>
      </c>
      <c r="D6076" s="6" t="s">
        <v>6515</v>
      </c>
      <c r="E6076" s="6" t="s">
        <v>6295</v>
      </c>
      <c r="F6076" s="8" t="s">
        <v>6602</v>
      </c>
      <c r="G6076" s="3" t="s">
        <v>11449</v>
      </c>
      <c r="H6076" s="185">
        <v>0</v>
      </c>
      <c r="I6076" s="16">
        <v>470000000</v>
      </c>
      <c r="J6076" s="56" t="s">
        <v>229</v>
      </c>
      <c r="K6076" s="57" t="s">
        <v>641</v>
      </c>
      <c r="L6076" s="57" t="s">
        <v>364</v>
      </c>
      <c r="M6076" s="3" t="s">
        <v>230</v>
      </c>
      <c r="N6076" s="8" t="s">
        <v>8899</v>
      </c>
      <c r="O6076" s="6" t="s">
        <v>365</v>
      </c>
      <c r="P6076" s="58">
        <v>796</v>
      </c>
      <c r="Q6076" s="27" t="s">
        <v>234</v>
      </c>
      <c r="R6076" s="39">
        <v>2</v>
      </c>
      <c r="S6076" s="59">
        <f>822000*1.07</f>
        <v>879540</v>
      </c>
      <c r="T6076" s="4">
        <v>0</v>
      </c>
      <c r="U6076" s="4">
        <f t="shared" si="285"/>
        <v>0</v>
      </c>
      <c r="V6076" s="3"/>
      <c r="W6076" s="3">
        <v>2014</v>
      </c>
      <c r="X6076" s="3">
        <v>11.12</v>
      </c>
    </row>
    <row r="6077" spans="1:24" ht="114.75">
      <c r="A6077" s="3" t="s">
        <v>13610</v>
      </c>
      <c r="B6077" s="6" t="s">
        <v>361</v>
      </c>
      <c r="C6077" s="6" t="s">
        <v>6601</v>
      </c>
      <c r="D6077" s="6" t="s">
        <v>6515</v>
      </c>
      <c r="E6077" s="6" t="s">
        <v>6295</v>
      </c>
      <c r="F6077" s="8" t="s">
        <v>6602</v>
      </c>
      <c r="G6077" s="3" t="s">
        <v>11449</v>
      </c>
      <c r="H6077" s="185">
        <v>0</v>
      </c>
      <c r="I6077" s="16">
        <v>470000000</v>
      </c>
      <c r="J6077" s="56" t="s">
        <v>229</v>
      </c>
      <c r="K6077" s="57" t="s">
        <v>642</v>
      </c>
      <c r="L6077" s="12" t="s">
        <v>404</v>
      </c>
      <c r="M6077" s="3" t="s">
        <v>230</v>
      </c>
      <c r="N6077" s="8" t="s">
        <v>8899</v>
      </c>
      <c r="O6077" s="6" t="s">
        <v>365</v>
      </c>
      <c r="P6077" s="58">
        <v>796</v>
      </c>
      <c r="Q6077" s="27" t="s">
        <v>234</v>
      </c>
      <c r="R6077" s="39">
        <v>2</v>
      </c>
      <c r="S6077" s="59">
        <f>822000*1.07</f>
        <v>879540</v>
      </c>
      <c r="T6077" s="4">
        <f>R6077*S6077</f>
        <v>1759080</v>
      </c>
      <c r="U6077" s="4">
        <f>T6077*1.12</f>
        <v>1970169.6</v>
      </c>
      <c r="V6077" s="3"/>
      <c r="W6077" s="3">
        <v>2014</v>
      </c>
      <c r="X6077" s="3"/>
    </row>
    <row r="6078" spans="1:24" ht="114.75">
      <c r="A6078" s="3" t="s">
        <v>10702</v>
      </c>
      <c r="B6078" s="6" t="s">
        <v>361</v>
      </c>
      <c r="C6078" s="6" t="s">
        <v>6603</v>
      </c>
      <c r="D6078" s="6" t="s">
        <v>474</v>
      </c>
      <c r="E6078" s="6" t="s">
        <v>6295</v>
      </c>
      <c r="F6078" s="8" t="s">
        <v>6604</v>
      </c>
      <c r="G6078" s="3" t="s">
        <v>11449</v>
      </c>
      <c r="H6078" s="185">
        <v>0</v>
      </c>
      <c r="I6078" s="16">
        <v>470000000</v>
      </c>
      <c r="J6078" s="56" t="s">
        <v>229</v>
      </c>
      <c r="K6078" s="57" t="s">
        <v>641</v>
      </c>
      <c r="L6078" s="57" t="s">
        <v>364</v>
      </c>
      <c r="M6078" s="3" t="s">
        <v>230</v>
      </c>
      <c r="N6078" s="8" t="s">
        <v>8899</v>
      </c>
      <c r="O6078" s="6" t="s">
        <v>365</v>
      </c>
      <c r="P6078" s="58">
        <v>796</v>
      </c>
      <c r="Q6078" s="27" t="s">
        <v>234</v>
      </c>
      <c r="R6078" s="39">
        <v>20</v>
      </c>
      <c r="S6078" s="59">
        <f>5600*1.07</f>
        <v>5992</v>
      </c>
      <c r="T6078" s="4">
        <v>0</v>
      </c>
      <c r="U6078" s="4">
        <f t="shared" si="285"/>
        <v>0</v>
      </c>
      <c r="V6078" s="3"/>
      <c r="W6078" s="3">
        <v>2014</v>
      </c>
      <c r="X6078" s="3">
        <v>11.12</v>
      </c>
    </row>
    <row r="6079" spans="1:24" ht="114.75">
      <c r="A6079" s="3" t="s">
        <v>13611</v>
      </c>
      <c r="B6079" s="6" t="s">
        <v>361</v>
      </c>
      <c r="C6079" s="6" t="s">
        <v>6603</v>
      </c>
      <c r="D6079" s="6" t="s">
        <v>474</v>
      </c>
      <c r="E6079" s="6" t="s">
        <v>6295</v>
      </c>
      <c r="F6079" s="8" t="s">
        <v>6604</v>
      </c>
      <c r="G6079" s="3" t="s">
        <v>11449</v>
      </c>
      <c r="H6079" s="185">
        <v>0</v>
      </c>
      <c r="I6079" s="16">
        <v>470000000</v>
      </c>
      <c r="J6079" s="56" t="s">
        <v>229</v>
      </c>
      <c r="K6079" s="57" t="s">
        <v>642</v>
      </c>
      <c r="L6079" s="12" t="s">
        <v>404</v>
      </c>
      <c r="M6079" s="3" t="s">
        <v>230</v>
      </c>
      <c r="N6079" s="8" t="s">
        <v>8899</v>
      </c>
      <c r="O6079" s="6" t="s">
        <v>365</v>
      </c>
      <c r="P6079" s="58">
        <v>796</v>
      </c>
      <c r="Q6079" s="27" t="s">
        <v>234</v>
      </c>
      <c r="R6079" s="39">
        <v>20</v>
      </c>
      <c r="S6079" s="59">
        <f>5600*1.07</f>
        <v>5992</v>
      </c>
      <c r="T6079" s="4">
        <f>R6079*S6079</f>
        <v>119840</v>
      </c>
      <c r="U6079" s="4">
        <f>T6079*1.12</f>
        <v>134220.80000000002</v>
      </c>
      <c r="V6079" s="3"/>
      <c r="W6079" s="3">
        <v>2014</v>
      </c>
      <c r="X6079" s="3"/>
    </row>
    <row r="6080" spans="1:24" ht="114.75">
      <c r="A6080" s="3" t="s">
        <v>10703</v>
      </c>
      <c r="B6080" s="6" t="s">
        <v>361</v>
      </c>
      <c r="C6080" s="6" t="s">
        <v>6475</v>
      </c>
      <c r="D6080" s="6" t="s">
        <v>6476</v>
      </c>
      <c r="E6080" s="6" t="s">
        <v>6295</v>
      </c>
      <c r="F6080" s="8" t="s">
        <v>6605</v>
      </c>
      <c r="G6080" s="3" t="s">
        <v>11449</v>
      </c>
      <c r="H6080" s="185">
        <v>0</v>
      </c>
      <c r="I6080" s="16">
        <v>470000000</v>
      </c>
      <c r="J6080" s="56" t="s">
        <v>229</v>
      </c>
      <c r="K6080" s="57" t="s">
        <v>641</v>
      </c>
      <c r="L6080" s="57" t="s">
        <v>364</v>
      </c>
      <c r="M6080" s="3" t="s">
        <v>230</v>
      </c>
      <c r="N6080" s="8" t="s">
        <v>8899</v>
      </c>
      <c r="O6080" s="6" t="s">
        <v>365</v>
      </c>
      <c r="P6080" s="58">
        <v>796</v>
      </c>
      <c r="Q6080" s="27" t="s">
        <v>234</v>
      </c>
      <c r="R6080" s="39">
        <v>6</v>
      </c>
      <c r="S6080" s="59">
        <f>118700*1.07</f>
        <v>127009.00000000001</v>
      </c>
      <c r="T6080" s="4">
        <v>0</v>
      </c>
      <c r="U6080" s="4">
        <f t="shared" si="285"/>
        <v>0</v>
      </c>
      <c r="V6080" s="3"/>
      <c r="W6080" s="3">
        <v>2014</v>
      </c>
      <c r="X6080" s="3">
        <v>11.12</v>
      </c>
    </row>
    <row r="6081" spans="1:24" ht="114.75">
      <c r="A6081" s="3" t="s">
        <v>13612</v>
      </c>
      <c r="B6081" s="6" t="s">
        <v>361</v>
      </c>
      <c r="C6081" s="6" t="s">
        <v>6475</v>
      </c>
      <c r="D6081" s="6" t="s">
        <v>6476</v>
      </c>
      <c r="E6081" s="6" t="s">
        <v>6295</v>
      </c>
      <c r="F6081" s="8" t="s">
        <v>6605</v>
      </c>
      <c r="G6081" s="3" t="s">
        <v>11449</v>
      </c>
      <c r="H6081" s="185">
        <v>0</v>
      </c>
      <c r="I6081" s="16">
        <v>470000000</v>
      </c>
      <c r="J6081" s="56" t="s">
        <v>229</v>
      </c>
      <c r="K6081" s="57" t="s">
        <v>642</v>
      </c>
      <c r="L6081" s="12" t="s">
        <v>404</v>
      </c>
      <c r="M6081" s="3" t="s">
        <v>230</v>
      </c>
      <c r="N6081" s="8" t="s">
        <v>8899</v>
      </c>
      <c r="O6081" s="6" t="s">
        <v>365</v>
      </c>
      <c r="P6081" s="58">
        <v>796</v>
      </c>
      <c r="Q6081" s="27" t="s">
        <v>234</v>
      </c>
      <c r="R6081" s="39">
        <v>6</v>
      </c>
      <c r="S6081" s="59">
        <f>118700*1.07</f>
        <v>127009.00000000001</v>
      </c>
      <c r="T6081" s="4">
        <v>0</v>
      </c>
      <c r="U6081" s="4">
        <f>T6081*1.12</f>
        <v>0</v>
      </c>
      <c r="V6081" s="3"/>
      <c r="W6081" s="3">
        <v>2014</v>
      </c>
      <c r="X6081" s="3" t="s">
        <v>14785</v>
      </c>
    </row>
    <row r="6082" spans="1:24" ht="114.75">
      <c r="A6082" s="3" t="s">
        <v>17001</v>
      </c>
      <c r="B6082" s="6" t="s">
        <v>361</v>
      </c>
      <c r="C6082" s="6" t="s">
        <v>6475</v>
      </c>
      <c r="D6082" s="6" t="s">
        <v>6476</v>
      </c>
      <c r="E6082" s="6" t="s">
        <v>6295</v>
      </c>
      <c r="F6082" s="8" t="s">
        <v>6605</v>
      </c>
      <c r="G6082" s="3" t="s">
        <v>11449</v>
      </c>
      <c r="H6082" s="185">
        <v>0</v>
      </c>
      <c r="I6082" s="16">
        <v>470000000</v>
      </c>
      <c r="J6082" s="56" t="s">
        <v>229</v>
      </c>
      <c r="K6082" s="57" t="s">
        <v>8950</v>
      </c>
      <c r="L6082" s="12" t="s">
        <v>404</v>
      </c>
      <c r="M6082" s="3" t="s">
        <v>230</v>
      </c>
      <c r="N6082" s="8" t="s">
        <v>8899</v>
      </c>
      <c r="O6082" s="6" t="s">
        <v>365</v>
      </c>
      <c r="P6082" s="58">
        <v>796</v>
      </c>
      <c r="Q6082" s="27" t="s">
        <v>234</v>
      </c>
      <c r="R6082" s="39">
        <v>6</v>
      </c>
      <c r="S6082" s="59">
        <v>152410.80000000002</v>
      </c>
      <c r="T6082" s="4">
        <f>R6082*S6082</f>
        <v>914464.8</v>
      </c>
      <c r="U6082" s="4">
        <f>T6082*1.12</f>
        <v>1024200.5760000001</v>
      </c>
      <c r="V6082" s="3"/>
      <c r="W6082" s="3">
        <v>2014</v>
      </c>
      <c r="X6082" s="3"/>
    </row>
    <row r="6083" spans="1:24" ht="114.75">
      <c r="A6083" s="3" t="s">
        <v>10704</v>
      </c>
      <c r="B6083" s="6" t="s">
        <v>361</v>
      </c>
      <c r="C6083" s="6" t="s">
        <v>6475</v>
      </c>
      <c r="D6083" s="6" t="s">
        <v>6476</v>
      </c>
      <c r="E6083" s="6" t="s">
        <v>6295</v>
      </c>
      <c r="F6083" s="8" t="s">
        <v>6606</v>
      </c>
      <c r="G6083" s="3" t="s">
        <v>11449</v>
      </c>
      <c r="H6083" s="185">
        <v>0</v>
      </c>
      <c r="I6083" s="16">
        <v>470000000</v>
      </c>
      <c r="J6083" s="56" t="s">
        <v>229</v>
      </c>
      <c r="K6083" s="57" t="s">
        <v>641</v>
      </c>
      <c r="L6083" s="57" t="s">
        <v>364</v>
      </c>
      <c r="M6083" s="3" t="s">
        <v>230</v>
      </c>
      <c r="N6083" s="8" t="s">
        <v>8899</v>
      </c>
      <c r="O6083" s="6" t="s">
        <v>365</v>
      </c>
      <c r="P6083" s="58">
        <v>796</v>
      </c>
      <c r="Q6083" s="27" t="s">
        <v>234</v>
      </c>
      <c r="R6083" s="39">
        <v>6</v>
      </c>
      <c r="S6083" s="59">
        <f>118700*1.07</f>
        <v>127009.00000000001</v>
      </c>
      <c r="T6083" s="4">
        <v>0</v>
      </c>
      <c r="U6083" s="4">
        <f t="shared" si="285"/>
        <v>0</v>
      </c>
      <c r="V6083" s="3"/>
      <c r="W6083" s="3">
        <v>2014</v>
      </c>
      <c r="X6083" s="3">
        <v>11.12</v>
      </c>
    </row>
    <row r="6084" spans="1:24" ht="114.75">
      <c r="A6084" s="3" t="s">
        <v>13613</v>
      </c>
      <c r="B6084" s="6" t="s">
        <v>361</v>
      </c>
      <c r="C6084" s="6" t="s">
        <v>6475</v>
      </c>
      <c r="D6084" s="6" t="s">
        <v>6476</v>
      </c>
      <c r="E6084" s="6" t="s">
        <v>6295</v>
      </c>
      <c r="F6084" s="8" t="s">
        <v>6606</v>
      </c>
      <c r="G6084" s="3" t="s">
        <v>11449</v>
      </c>
      <c r="H6084" s="185">
        <v>0</v>
      </c>
      <c r="I6084" s="16">
        <v>470000000</v>
      </c>
      <c r="J6084" s="56" t="s">
        <v>229</v>
      </c>
      <c r="K6084" s="57" t="s">
        <v>642</v>
      </c>
      <c r="L6084" s="12" t="s">
        <v>404</v>
      </c>
      <c r="M6084" s="3" t="s">
        <v>230</v>
      </c>
      <c r="N6084" s="8" t="s">
        <v>8899</v>
      </c>
      <c r="O6084" s="6" t="s">
        <v>365</v>
      </c>
      <c r="P6084" s="58">
        <v>796</v>
      </c>
      <c r="Q6084" s="27" t="s">
        <v>234</v>
      </c>
      <c r="R6084" s="39">
        <v>6</v>
      </c>
      <c r="S6084" s="59">
        <f>118700*1.07</f>
        <v>127009.00000000001</v>
      </c>
      <c r="T6084" s="4">
        <v>0</v>
      </c>
      <c r="U6084" s="4">
        <f>T6084*1.12</f>
        <v>0</v>
      </c>
      <c r="V6084" s="3"/>
      <c r="W6084" s="3">
        <v>2014</v>
      </c>
      <c r="X6084" s="3" t="s">
        <v>14785</v>
      </c>
    </row>
    <row r="6085" spans="1:24" ht="114.75">
      <c r="A6085" s="3" t="s">
        <v>17002</v>
      </c>
      <c r="B6085" s="6" t="s">
        <v>361</v>
      </c>
      <c r="C6085" s="6" t="s">
        <v>6475</v>
      </c>
      <c r="D6085" s="6" t="s">
        <v>6476</v>
      </c>
      <c r="E6085" s="6" t="s">
        <v>6295</v>
      </c>
      <c r="F6085" s="8" t="s">
        <v>6606</v>
      </c>
      <c r="G6085" s="3" t="s">
        <v>11449</v>
      </c>
      <c r="H6085" s="185">
        <v>0</v>
      </c>
      <c r="I6085" s="16">
        <v>470000000</v>
      </c>
      <c r="J6085" s="56" t="s">
        <v>229</v>
      </c>
      <c r="K6085" s="57" t="s">
        <v>8950</v>
      </c>
      <c r="L6085" s="12" t="s">
        <v>404</v>
      </c>
      <c r="M6085" s="3" t="s">
        <v>230</v>
      </c>
      <c r="N6085" s="8" t="s">
        <v>8899</v>
      </c>
      <c r="O6085" s="6" t="s">
        <v>365</v>
      </c>
      <c r="P6085" s="58">
        <v>796</v>
      </c>
      <c r="Q6085" s="27" t="s">
        <v>234</v>
      </c>
      <c r="R6085" s="39">
        <v>6</v>
      </c>
      <c r="S6085" s="59">
        <v>152410.80000000002</v>
      </c>
      <c r="T6085" s="4">
        <f>R6085*S6085</f>
        <v>914464.8</v>
      </c>
      <c r="U6085" s="4">
        <f>T6085*1.12</f>
        <v>1024200.5760000001</v>
      </c>
      <c r="V6085" s="3"/>
      <c r="W6085" s="3">
        <v>2014</v>
      </c>
      <c r="X6085" s="3"/>
    </row>
    <row r="6086" spans="1:24" ht="114.75">
      <c r="A6086" s="3" t="s">
        <v>10705</v>
      </c>
      <c r="B6086" s="6" t="s">
        <v>361</v>
      </c>
      <c r="C6086" s="6" t="s">
        <v>5523</v>
      </c>
      <c r="D6086" s="6" t="s">
        <v>416</v>
      </c>
      <c r="E6086" s="6" t="s">
        <v>5332</v>
      </c>
      <c r="F6086" s="9" t="s">
        <v>6607</v>
      </c>
      <c r="G6086" s="3" t="s">
        <v>11449</v>
      </c>
      <c r="H6086" s="185">
        <v>0</v>
      </c>
      <c r="I6086" s="16">
        <v>470000000</v>
      </c>
      <c r="J6086" s="56" t="s">
        <v>229</v>
      </c>
      <c r="K6086" s="57" t="s">
        <v>641</v>
      </c>
      <c r="L6086" s="57" t="s">
        <v>364</v>
      </c>
      <c r="M6086" s="3" t="s">
        <v>230</v>
      </c>
      <c r="N6086" s="8" t="s">
        <v>8899</v>
      </c>
      <c r="O6086" s="6" t="s">
        <v>365</v>
      </c>
      <c r="P6086" s="58">
        <v>796</v>
      </c>
      <c r="Q6086" s="27" t="s">
        <v>234</v>
      </c>
      <c r="R6086" s="39">
        <v>30</v>
      </c>
      <c r="S6086" s="59">
        <f>400*1.07</f>
        <v>428</v>
      </c>
      <c r="T6086" s="4">
        <v>0</v>
      </c>
      <c r="U6086" s="4">
        <f t="shared" si="285"/>
        <v>0</v>
      </c>
      <c r="V6086" s="3"/>
      <c r="W6086" s="3">
        <v>2014</v>
      </c>
      <c r="X6086" s="3">
        <v>11.12</v>
      </c>
    </row>
    <row r="6087" spans="1:24" ht="114.75">
      <c r="A6087" s="3" t="s">
        <v>13614</v>
      </c>
      <c r="B6087" s="6" t="s">
        <v>361</v>
      </c>
      <c r="C6087" s="6" t="s">
        <v>5523</v>
      </c>
      <c r="D6087" s="6" t="s">
        <v>416</v>
      </c>
      <c r="E6087" s="6" t="s">
        <v>5332</v>
      </c>
      <c r="F6087" s="9" t="s">
        <v>6607</v>
      </c>
      <c r="G6087" s="3" t="s">
        <v>11449</v>
      </c>
      <c r="H6087" s="185">
        <v>0</v>
      </c>
      <c r="I6087" s="16">
        <v>470000000</v>
      </c>
      <c r="J6087" s="56" t="s">
        <v>229</v>
      </c>
      <c r="K6087" s="57" t="s">
        <v>642</v>
      </c>
      <c r="L6087" s="12" t="s">
        <v>404</v>
      </c>
      <c r="M6087" s="3" t="s">
        <v>230</v>
      </c>
      <c r="N6087" s="8" t="s">
        <v>8899</v>
      </c>
      <c r="O6087" s="6" t="s">
        <v>365</v>
      </c>
      <c r="P6087" s="58">
        <v>796</v>
      </c>
      <c r="Q6087" s="27" t="s">
        <v>234</v>
      </c>
      <c r="R6087" s="39">
        <v>30</v>
      </c>
      <c r="S6087" s="59">
        <f>400*1.07</f>
        <v>428</v>
      </c>
      <c r="T6087" s="4">
        <f>R6087*S6087</f>
        <v>12840</v>
      </c>
      <c r="U6087" s="4">
        <f>T6087*1.12</f>
        <v>14380.800000000001</v>
      </c>
      <c r="V6087" s="3"/>
      <c r="W6087" s="3">
        <v>2014</v>
      </c>
      <c r="X6087" s="3"/>
    </row>
    <row r="6088" spans="1:24" ht="114.75">
      <c r="A6088" s="3" t="s">
        <v>10706</v>
      </c>
      <c r="B6088" s="6" t="s">
        <v>361</v>
      </c>
      <c r="C6088" s="6" t="s">
        <v>5578</v>
      </c>
      <c r="D6088" s="6" t="s">
        <v>458</v>
      </c>
      <c r="E6088" s="6" t="s">
        <v>5332</v>
      </c>
      <c r="F6088" s="9" t="s">
        <v>6608</v>
      </c>
      <c r="G6088" s="3" t="s">
        <v>11449</v>
      </c>
      <c r="H6088" s="185">
        <v>0</v>
      </c>
      <c r="I6088" s="16">
        <v>470000000</v>
      </c>
      <c r="J6088" s="56" t="s">
        <v>229</v>
      </c>
      <c r="K6088" s="57" t="s">
        <v>641</v>
      </c>
      <c r="L6088" s="57" t="s">
        <v>364</v>
      </c>
      <c r="M6088" s="3" t="s">
        <v>230</v>
      </c>
      <c r="N6088" s="8" t="s">
        <v>8899</v>
      </c>
      <c r="O6088" s="6" t="s">
        <v>365</v>
      </c>
      <c r="P6088" s="58">
        <v>796</v>
      </c>
      <c r="Q6088" s="27" t="s">
        <v>234</v>
      </c>
      <c r="R6088" s="39">
        <v>30</v>
      </c>
      <c r="S6088" s="59">
        <f>100*1.07</f>
        <v>107</v>
      </c>
      <c r="T6088" s="4">
        <v>0</v>
      </c>
      <c r="U6088" s="4">
        <f t="shared" si="285"/>
        <v>0</v>
      </c>
      <c r="V6088" s="3"/>
      <c r="W6088" s="3">
        <v>2014</v>
      </c>
      <c r="X6088" s="3">
        <v>11.12</v>
      </c>
    </row>
    <row r="6089" spans="1:24" ht="114.75">
      <c r="A6089" s="3" t="s">
        <v>13615</v>
      </c>
      <c r="B6089" s="6" t="s">
        <v>361</v>
      </c>
      <c r="C6089" s="6" t="s">
        <v>5578</v>
      </c>
      <c r="D6089" s="6" t="s">
        <v>458</v>
      </c>
      <c r="E6089" s="6" t="s">
        <v>5332</v>
      </c>
      <c r="F6089" s="9" t="s">
        <v>6608</v>
      </c>
      <c r="G6089" s="3" t="s">
        <v>11449</v>
      </c>
      <c r="H6089" s="185">
        <v>0</v>
      </c>
      <c r="I6089" s="16">
        <v>470000000</v>
      </c>
      <c r="J6089" s="56" t="s">
        <v>229</v>
      </c>
      <c r="K6089" s="57" t="s">
        <v>642</v>
      </c>
      <c r="L6089" s="12" t="s">
        <v>404</v>
      </c>
      <c r="M6089" s="3" t="s">
        <v>230</v>
      </c>
      <c r="N6089" s="8" t="s">
        <v>8899</v>
      </c>
      <c r="O6089" s="6" t="s">
        <v>365</v>
      </c>
      <c r="P6089" s="58">
        <v>796</v>
      </c>
      <c r="Q6089" s="27" t="s">
        <v>234</v>
      </c>
      <c r="R6089" s="39">
        <v>30</v>
      </c>
      <c r="S6089" s="59">
        <f>100*1.07</f>
        <v>107</v>
      </c>
      <c r="T6089" s="4">
        <f>R6089*S6089</f>
        <v>3210</v>
      </c>
      <c r="U6089" s="4">
        <f>T6089*1.12</f>
        <v>3595.2000000000003</v>
      </c>
      <c r="V6089" s="3"/>
      <c r="W6089" s="3">
        <v>2014</v>
      </c>
      <c r="X6089" s="3"/>
    </row>
    <row r="6090" spans="1:24" ht="114.75">
      <c r="A6090" s="3" t="s">
        <v>10707</v>
      </c>
      <c r="B6090" s="6" t="s">
        <v>361</v>
      </c>
      <c r="C6090" s="6" t="s">
        <v>7350</v>
      </c>
      <c r="D6090" s="6" t="s">
        <v>7351</v>
      </c>
      <c r="E6090" s="6" t="s">
        <v>7352</v>
      </c>
      <c r="F6090" s="129" t="s">
        <v>6609</v>
      </c>
      <c r="G6090" s="3" t="s">
        <v>11449</v>
      </c>
      <c r="H6090" s="185">
        <v>0</v>
      </c>
      <c r="I6090" s="16">
        <v>470000000</v>
      </c>
      <c r="J6090" s="56" t="s">
        <v>229</v>
      </c>
      <c r="K6090" s="57" t="s">
        <v>641</v>
      </c>
      <c r="L6090" s="57" t="s">
        <v>364</v>
      </c>
      <c r="M6090" s="3" t="s">
        <v>230</v>
      </c>
      <c r="N6090" s="8" t="s">
        <v>8899</v>
      </c>
      <c r="O6090" s="6" t="s">
        <v>365</v>
      </c>
      <c r="P6090" s="58" t="s">
        <v>550</v>
      </c>
      <c r="Q6090" s="28" t="s">
        <v>551</v>
      </c>
      <c r="R6090" s="39">
        <v>20</v>
      </c>
      <c r="S6090" s="59">
        <f>4100*1.07</f>
        <v>4387</v>
      </c>
      <c r="T6090" s="4">
        <v>0</v>
      </c>
      <c r="U6090" s="4">
        <f t="shared" si="285"/>
        <v>0</v>
      </c>
      <c r="V6090" s="3"/>
      <c r="W6090" s="3">
        <v>2014</v>
      </c>
      <c r="X6090" s="3">
        <v>11.12</v>
      </c>
    </row>
    <row r="6091" spans="1:24" ht="114.75">
      <c r="A6091" s="3" t="s">
        <v>13616</v>
      </c>
      <c r="B6091" s="6" t="s">
        <v>361</v>
      </c>
      <c r="C6091" s="6" t="s">
        <v>7350</v>
      </c>
      <c r="D6091" s="6" t="s">
        <v>7351</v>
      </c>
      <c r="E6091" s="6" t="s">
        <v>7352</v>
      </c>
      <c r="F6091" s="129" t="s">
        <v>6609</v>
      </c>
      <c r="G6091" s="3" t="s">
        <v>11449</v>
      </c>
      <c r="H6091" s="185">
        <v>0</v>
      </c>
      <c r="I6091" s="16">
        <v>470000000</v>
      </c>
      <c r="J6091" s="56" t="s">
        <v>229</v>
      </c>
      <c r="K6091" s="57" t="s">
        <v>642</v>
      </c>
      <c r="L6091" s="12" t="s">
        <v>404</v>
      </c>
      <c r="M6091" s="3" t="s">
        <v>230</v>
      </c>
      <c r="N6091" s="8" t="s">
        <v>8899</v>
      </c>
      <c r="O6091" s="6" t="s">
        <v>365</v>
      </c>
      <c r="P6091" s="58" t="s">
        <v>550</v>
      </c>
      <c r="Q6091" s="28" t="s">
        <v>551</v>
      </c>
      <c r="R6091" s="39">
        <v>20</v>
      </c>
      <c r="S6091" s="59">
        <f>4100*1.07</f>
        <v>4387</v>
      </c>
      <c r="T6091" s="4">
        <f>R6091*S6091</f>
        <v>87740</v>
      </c>
      <c r="U6091" s="4">
        <f>T6091*1.12</f>
        <v>98268.800000000003</v>
      </c>
      <c r="V6091" s="3"/>
      <c r="W6091" s="3">
        <v>2014</v>
      </c>
      <c r="X6091" s="3"/>
    </row>
    <row r="6092" spans="1:24" ht="114.75">
      <c r="A6092" s="3" t="s">
        <v>10708</v>
      </c>
      <c r="B6092" s="6" t="s">
        <v>361</v>
      </c>
      <c r="C6092" s="6" t="s">
        <v>6332</v>
      </c>
      <c r="D6092" s="6" t="s">
        <v>6333</v>
      </c>
      <c r="E6092" s="6" t="s">
        <v>6295</v>
      </c>
      <c r="F6092" s="8" t="s">
        <v>6610</v>
      </c>
      <c r="G6092" s="3" t="s">
        <v>11449</v>
      </c>
      <c r="H6092" s="185">
        <v>0</v>
      </c>
      <c r="I6092" s="16">
        <v>470000000</v>
      </c>
      <c r="J6092" s="56" t="s">
        <v>229</v>
      </c>
      <c r="K6092" s="57" t="s">
        <v>641</v>
      </c>
      <c r="L6092" s="57" t="s">
        <v>364</v>
      </c>
      <c r="M6092" s="3" t="s">
        <v>230</v>
      </c>
      <c r="N6092" s="8" t="s">
        <v>8899</v>
      </c>
      <c r="O6092" s="6" t="s">
        <v>365</v>
      </c>
      <c r="P6092" s="58">
        <v>796</v>
      </c>
      <c r="Q6092" s="27" t="s">
        <v>234</v>
      </c>
      <c r="R6092" s="39">
        <v>6</v>
      </c>
      <c r="S6092" s="59">
        <f>105200*1.07</f>
        <v>112564</v>
      </c>
      <c r="T6092" s="4">
        <v>0</v>
      </c>
      <c r="U6092" s="4">
        <f t="shared" si="285"/>
        <v>0</v>
      </c>
      <c r="V6092" s="3"/>
      <c r="W6092" s="3">
        <v>2014</v>
      </c>
      <c r="X6092" s="3">
        <v>11.12</v>
      </c>
    </row>
    <row r="6093" spans="1:24" ht="114.75">
      <c r="A6093" s="3" t="s">
        <v>13617</v>
      </c>
      <c r="B6093" s="6" t="s">
        <v>361</v>
      </c>
      <c r="C6093" s="6" t="s">
        <v>6332</v>
      </c>
      <c r="D6093" s="6" t="s">
        <v>6333</v>
      </c>
      <c r="E6093" s="6" t="s">
        <v>6295</v>
      </c>
      <c r="F6093" s="8" t="s">
        <v>6610</v>
      </c>
      <c r="G6093" s="3" t="s">
        <v>11449</v>
      </c>
      <c r="H6093" s="185">
        <v>0</v>
      </c>
      <c r="I6093" s="16">
        <v>470000000</v>
      </c>
      <c r="J6093" s="56" t="s">
        <v>229</v>
      </c>
      <c r="K6093" s="57" t="s">
        <v>642</v>
      </c>
      <c r="L6093" s="12" t="s">
        <v>404</v>
      </c>
      <c r="M6093" s="3" t="s">
        <v>230</v>
      </c>
      <c r="N6093" s="8" t="s">
        <v>8899</v>
      </c>
      <c r="O6093" s="6" t="s">
        <v>365</v>
      </c>
      <c r="P6093" s="58">
        <v>796</v>
      </c>
      <c r="Q6093" s="27" t="s">
        <v>234</v>
      </c>
      <c r="R6093" s="39">
        <v>6</v>
      </c>
      <c r="S6093" s="59">
        <f>105200*1.07</f>
        <v>112564</v>
      </c>
      <c r="T6093" s="4">
        <v>0</v>
      </c>
      <c r="U6093" s="4">
        <f>T6093*1.12</f>
        <v>0</v>
      </c>
      <c r="V6093" s="3"/>
      <c r="W6093" s="3">
        <v>2014</v>
      </c>
      <c r="X6093" s="3" t="s">
        <v>14785</v>
      </c>
    </row>
    <row r="6094" spans="1:24" ht="114.75">
      <c r="A6094" s="3" t="s">
        <v>17003</v>
      </c>
      <c r="B6094" s="6" t="s">
        <v>361</v>
      </c>
      <c r="C6094" s="6" t="s">
        <v>6332</v>
      </c>
      <c r="D6094" s="6" t="s">
        <v>6333</v>
      </c>
      <c r="E6094" s="6" t="s">
        <v>6295</v>
      </c>
      <c r="F6094" s="8" t="s">
        <v>6610</v>
      </c>
      <c r="G6094" s="3" t="s">
        <v>11449</v>
      </c>
      <c r="H6094" s="185">
        <v>0</v>
      </c>
      <c r="I6094" s="16">
        <v>470000000</v>
      </c>
      <c r="J6094" s="56" t="s">
        <v>229</v>
      </c>
      <c r="K6094" s="57" t="s">
        <v>8950</v>
      </c>
      <c r="L6094" s="12" t="s">
        <v>404</v>
      </c>
      <c r="M6094" s="3" t="s">
        <v>230</v>
      </c>
      <c r="N6094" s="8" t="s">
        <v>8899</v>
      </c>
      <c r="O6094" s="6" t="s">
        <v>365</v>
      </c>
      <c r="P6094" s="58">
        <v>796</v>
      </c>
      <c r="Q6094" s="336" t="s">
        <v>234</v>
      </c>
      <c r="R6094" s="341">
        <v>6</v>
      </c>
      <c r="S6094" s="59">
        <v>135076.79999999999</v>
      </c>
      <c r="T6094" s="4">
        <v>0</v>
      </c>
      <c r="U6094" s="4">
        <f t="shared" ref="U6094:U6095" si="286">T6094*1.12</f>
        <v>0</v>
      </c>
      <c r="V6094" s="3"/>
      <c r="W6094" s="3">
        <v>2014</v>
      </c>
      <c r="X6094" s="3" t="s">
        <v>19387</v>
      </c>
    </row>
    <row r="6095" spans="1:24" ht="76.5">
      <c r="A6095" s="3" t="s">
        <v>19148</v>
      </c>
      <c r="B6095" s="6" t="s">
        <v>361</v>
      </c>
      <c r="C6095" s="6" t="s">
        <v>6332</v>
      </c>
      <c r="D6095" s="6" t="s">
        <v>6333</v>
      </c>
      <c r="E6095" s="6" t="s">
        <v>6295</v>
      </c>
      <c r="F6095" s="8" t="s">
        <v>6610</v>
      </c>
      <c r="G6095" s="3" t="s">
        <v>11449</v>
      </c>
      <c r="H6095" s="185">
        <v>0</v>
      </c>
      <c r="I6095" s="16">
        <v>470000000</v>
      </c>
      <c r="J6095" s="56" t="s">
        <v>229</v>
      </c>
      <c r="K6095" s="57" t="s">
        <v>18437</v>
      </c>
      <c r="L6095" s="12" t="s">
        <v>404</v>
      </c>
      <c r="M6095" s="3" t="s">
        <v>230</v>
      </c>
      <c r="N6095" s="8" t="s">
        <v>19369</v>
      </c>
      <c r="O6095" s="6" t="s">
        <v>19407</v>
      </c>
      <c r="P6095" s="58">
        <v>796</v>
      </c>
      <c r="Q6095" s="336" t="s">
        <v>234</v>
      </c>
      <c r="R6095" s="341">
        <v>20</v>
      </c>
      <c r="S6095" s="59">
        <v>135076.79999999999</v>
      </c>
      <c r="T6095" s="4">
        <f>R6095*S6095</f>
        <v>2701536</v>
      </c>
      <c r="U6095" s="4">
        <f t="shared" si="286"/>
        <v>3025720.3200000003</v>
      </c>
      <c r="V6095" s="3"/>
      <c r="W6095" s="3">
        <v>2014</v>
      </c>
      <c r="X6095" s="3"/>
    </row>
    <row r="6096" spans="1:24" ht="114.75">
      <c r="A6096" s="3" t="s">
        <v>10709</v>
      </c>
      <c r="B6096" s="6" t="s">
        <v>361</v>
      </c>
      <c r="C6096" s="6" t="s">
        <v>6332</v>
      </c>
      <c r="D6096" s="6" t="s">
        <v>6333</v>
      </c>
      <c r="E6096" s="6" t="s">
        <v>6295</v>
      </c>
      <c r="F6096" s="8" t="s">
        <v>6611</v>
      </c>
      <c r="G6096" s="3" t="s">
        <v>11449</v>
      </c>
      <c r="H6096" s="185">
        <v>0</v>
      </c>
      <c r="I6096" s="16">
        <v>470000000</v>
      </c>
      <c r="J6096" s="56" t="s">
        <v>229</v>
      </c>
      <c r="K6096" s="57" t="s">
        <v>641</v>
      </c>
      <c r="L6096" s="57" t="s">
        <v>364</v>
      </c>
      <c r="M6096" s="3" t="s">
        <v>230</v>
      </c>
      <c r="N6096" s="8" t="s">
        <v>8899</v>
      </c>
      <c r="O6096" s="6" t="s">
        <v>365</v>
      </c>
      <c r="P6096" s="58">
        <v>796</v>
      </c>
      <c r="Q6096" s="27" t="s">
        <v>234</v>
      </c>
      <c r="R6096" s="39">
        <v>6</v>
      </c>
      <c r="S6096" s="59">
        <f>105200*1.07</f>
        <v>112564</v>
      </c>
      <c r="T6096" s="4">
        <v>0</v>
      </c>
      <c r="U6096" s="4">
        <f t="shared" si="285"/>
        <v>0</v>
      </c>
      <c r="V6096" s="3"/>
      <c r="W6096" s="3">
        <v>2014</v>
      </c>
      <c r="X6096" s="3">
        <v>11.12</v>
      </c>
    </row>
    <row r="6097" spans="1:24" ht="114.75">
      <c r="A6097" s="3" t="s">
        <v>13618</v>
      </c>
      <c r="B6097" s="6" t="s">
        <v>361</v>
      </c>
      <c r="C6097" s="6" t="s">
        <v>6332</v>
      </c>
      <c r="D6097" s="6" t="s">
        <v>6333</v>
      </c>
      <c r="E6097" s="6" t="s">
        <v>6295</v>
      </c>
      <c r="F6097" s="8" t="s">
        <v>6611</v>
      </c>
      <c r="G6097" s="3" t="s">
        <v>11449</v>
      </c>
      <c r="H6097" s="185">
        <v>0</v>
      </c>
      <c r="I6097" s="16">
        <v>470000000</v>
      </c>
      <c r="J6097" s="56" t="s">
        <v>229</v>
      </c>
      <c r="K6097" s="57" t="s">
        <v>642</v>
      </c>
      <c r="L6097" s="12" t="s">
        <v>404</v>
      </c>
      <c r="M6097" s="3" t="s">
        <v>230</v>
      </c>
      <c r="N6097" s="8" t="s">
        <v>8899</v>
      </c>
      <c r="O6097" s="6" t="s">
        <v>365</v>
      </c>
      <c r="P6097" s="58">
        <v>796</v>
      </c>
      <c r="Q6097" s="27" t="s">
        <v>234</v>
      </c>
      <c r="R6097" s="39">
        <v>6</v>
      </c>
      <c r="S6097" s="59">
        <f>105200*1.07</f>
        <v>112564</v>
      </c>
      <c r="T6097" s="4">
        <v>0</v>
      </c>
      <c r="U6097" s="4">
        <f>T6097*1.12</f>
        <v>0</v>
      </c>
      <c r="V6097" s="3"/>
      <c r="W6097" s="3">
        <v>2014</v>
      </c>
      <c r="X6097" s="3" t="s">
        <v>14785</v>
      </c>
    </row>
    <row r="6098" spans="1:24" ht="114.75">
      <c r="A6098" s="3" t="s">
        <v>17004</v>
      </c>
      <c r="B6098" s="6" t="s">
        <v>361</v>
      </c>
      <c r="C6098" s="6" t="s">
        <v>6332</v>
      </c>
      <c r="D6098" s="6" t="s">
        <v>6333</v>
      </c>
      <c r="E6098" s="6" t="s">
        <v>6295</v>
      </c>
      <c r="F6098" s="8" t="s">
        <v>6611</v>
      </c>
      <c r="G6098" s="3" t="s">
        <v>11449</v>
      </c>
      <c r="H6098" s="185">
        <v>0</v>
      </c>
      <c r="I6098" s="16">
        <v>470000000</v>
      </c>
      <c r="J6098" s="56" t="s">
        <v>229</v>
      </c>
      <c r="K6098" s="57" t="s">
        <v>8950</v>
      </c>
      <c r="L6098" s="12" t="s">
        <v>404</v>
      </c>
      <c r="M6098" s="3" t="s">
        <v>230</v>
      </c>
      <c r="N6098" s="8" t="s">
        <v>8899</v>
      </c>
      <c r="O6098" s="6" t="s">
        <v>365</v>
      </c>
      <c r="P6098" s="58">
        <v>796</v>
      </c>
      <c r="Q6098" s="336" t="s">
        <v>234</v>
      </c>
      <c r="R6098" s="341">
        <v>6</v>
      </c>
      <c r="S6098" s="59">
        <v>135076.79999999999</v>
      </c>
      <c r="T6098" s="4">
        <v>0</v>
      </c>
      <c r="U6098" s="4">
        <f t="shared" ref="U6098:U6099" si="287">T6098*1.12</f>
        <v>0</v>
      </c>
      <c r="V6098" s="3"/>
      <c r="W6098" s="3">
        <v>2014</v>
      </c>
      <c r="X6098" s="3" t="s">
        <v>19387</v>
      </c>
    </row>
    <row r="6099" spans="1:24" ht="76.5">
      <c r="A6099" s="3" t="s">
        <v>19150</v>
      </c>
      <c r="B6099" s="6" t="s">
        <v>361</v>
      </c>
      <c r="C6099" s="6" t="s">
        <v>6332</v>
      </c>
      <c r="D6099" s="6" t="s">
        <v>6333</v>
      </c>
      <c r="E6099" s="6" t="s">
        <v>6295</v>
      </c>
      <c r="F6099" s="8" t="s">
        <v>6611</v>
      </c>
      <c r="G6099" s="3" t="s">
        <v>11449</v>
      </c>
      <c r="H6099" s="185">
        <v>0</v>
      </c>
      <c r="I6099" s="16">
        <v>470000000</v>
      </c>
      <c r="J6099" s="56" t="s">
        <v>229</v>
      </c>
      <c r="K6099" s="57" t="s">
        <v>18437</v>
      </c>
      <c r="L6099" s="12" t="s">
        <v>404</v>
      </c>
      <c r="M6099" s="3" t="s">
        <v>230</v>
      </c>
      <c r="N6099" s="8" t="s">
        <v>19369</v>
      </c>
      <c r="O6099" s="6" t="s">
        <v>19407</v>
      </c>
      <c r="P6099" s="58">
        <v>796</v>
      </c>
      <c r="Q6099" s="336" t="s">
        <v>234</v>
      </c>
      <c r="R6099" s="341">
        <v>20</v>
      </c>
      <c r="S6099" s="59">
        <v>135076.79999999999</v>
      </c>
      <c r="T6099" s="4">
        <f>R6099*S6099</f>
        <v>2701536</v>
      </c>
      <c r="U6099" s="4">
        <f t="shared" si="287"/>
        <v>3025720.3200000003</v>
      </c>
      <c r="V6099" s="3"/>
      <c r="W6099" s="3">
        <v>2014</v>
      </c>
      <c r="X6099" s="3"/>
    </row>
    <row r="6100" spans="1:24" ht="114.75">
      <c r="A6100" s="3" t="s">
        <v>2533</v>
      </c>
      <c r="B6100" s="6" t="s">
        <v>361</v>
      </c>
      <c r="C6100" s="6" t="s">
        <v>6612</v>
      </c>
      <c r="D6100" s="6" t="s">
        <v>5357</v>
      </c>
      <c r="E6100" s="6" t="s">
        <v>6613</v>
      </c>
      <c r="F6100" s="8" t="s">
        <v>6614</v>
      </c>
      <c r="G6100" s="3" t="s">
        <v>11449</v>
      </c>
      <c r="H6100" s="185">
        <v>0</v>
      </c>
      <c r="I6100" s="16">
        <v>470000000</v>
      </c>
      <c r="J6100" s="56" t="s">
        <v>229</v>
      </c>
      <c r="K6100" s="57" t="s">
        <v>641</v>
      </c>
      <c r="L6100" s="57" t="s">
        <v>364</v>
      </c>
      <c r="M6100" s="3" t="s">
        <v>230</v>
      </c>
      <c r="N6100" s="8" t="s">
        <v>8899</v>
      </c>
      <c r="O6100" s="6" t="s">
        <v>365</v>
      </c>
      <c r="P6100" s="58">
        <v>796</v>
      </c>
      <c r="Q6100" s="27" t="s">
        <v>234</v>
      </c>
      <c r="R6100" s="39">
        <v>12</v>
      </c>
      <c r="S6100" s="59">
        <f>12300*1.07</f>
        <v>13161</v>
      </c>
      <c r="T6100" s="4">
        <v>0</v>
      </c>
      <c r="U6100" s="4">
        <f t="shared" si="285"/>
        <v>0</v>
      </c>
      <c r="V6100" s="3"/>
      <c r="W6100" s="3">
        <v>2014</v>
      </c>
      <c r="X6100" s="3">
        <v>11.12</v>
      </c>
    </row>
    <row r="6101" spans="1:24" ht="114.75">
      <c r="A6101" s="3" t="s">
        <v>13619</v>
      </c>
      <c r="B6101" s="6" t="s">
        <v>361</v>
      </c>
      <c r="C6101" s="6" t="s">
        <v>6612</v>
      </c>
      <c r="D6101" s="6" t="s">
        <v>5357</v>
      </c>
      <c r="E6101" s="6" t="s">
        <v>6613</v>
      </c>
      <c r="F6101" s="8" t="s">
        <v>6614</v>
      </c>
      <c r="G6101" s="3" t="s">
        <v>11449</v>
      </c>
      <c r="H6101" s="185">
        <v>0</v>
      </c>
      <c r="I6101" s="16">
        <v>470000000</v>
      </c>
      <c r="J6101" s="56" t="s">
        <v>229</v>
      </c>
      <c r="K6101" s="57" t="s">
        <v>642</v>
      </c>
      <c r="L6101" s="12" t="s">
        <v>404</v>
      </c>
      <c r="M6101" s="3" t="s">
        <v>230</v>
      </c>
      <c r="N6101" s="8" t="s">
        <v>8899</v>
      </c>
      <c r="O6101" s="6" t="s">
        <v>365</v>
      </c>
      <c r="P6101" s="58">
        <v>796</v>
      </c>
      <c r="Q6101" s="27" t="s">
        <v>234</v>
      </c>
      <c r="R6101" s="39">
        <v>12</v>
      </c>
      <c r="S6101" s="59">
        <f>12300*1.07</f>
        <v>13161</v>
      </c>
      <c r="T6101" s="4">
        <v>0</v>
      </c>
      <c r="U6101" s="4">
        <f>T6101*1.12</f>
        <v>0</v>
      </c>
      <c r="V6101" s="3"/>
      <c r="W6101" s="3">
        <v>2014</v>
      </c>
      <c r="X6101" s="3" t="s">
        <v>14785</v>
      </c>
    </row>
    <row r="6102" spans="1:24" ht="114.75">
      <c r="A6102" s="3" t="s">
        <v>17005</v>
      </c>
      <c r="B6102" s="6" t="s">
        <v>361</v>
      </c>
      <c r="C6102" s="6" t="s">
        <v>6612</v>
      </c>
      <c r="D6102" s="6" t="s">
        <v>5357</v>
      </c>
      <c r="E6102" s="6" t="s">
        <v>6613</v>
      </c>
      <c r="F6102" s="8" t="s">
        <v>6614</v>
      </c>
      <c r="G6102" s="3" t="s">
        <v>11449</v>
      </c>
      <c r="H6102" s="185">
        <v>0</v>
      </c>
      <c r="I6102" s="16">
        <v>470000000</v>
      </c>
      <c r="J6102" s="56" t="s">
        <v>229</v>
      </c>
      <c r="K6102" s="57" t="s">
        <v>8950</v>
      </c>
      <c r="L6102" s="12" t="s">
        <v>404</v>
      </c>
      <c r="M6102" s="3" t="s">
        <v>230</v>
      </c>
      <c r="N6102" s="8" t="s">
        <v>8899</v>
      </c>
      <c r="O6102" s="6" t="s">
        <v>365</v>
      </c>
      <c r="P6102" s="58">
        <v>796</v>
      </c>
      <c r="Q6102" s="336" t="s">
        <v>234</v>
      </c>
      <c r="R6102" s="341">
        <v>12</v>
      </c>
      <c r="S6102" s="59">
        <v>15793.199999999999</v>
      </c>
      <c r="T6102" s="4">
        <v>0</v>
      </c>
      <c r="U6102" s="4">
        <f t="shared" ref="U6102:U6103" si="288">T6102*1.12</f>
        <v>0</v>
      </c>
      <c r="V6102" s="3"/>
      <c r="W6102" s="3">
        <v>2014</v>
      </c>
      <c r="X6102" s="3" t="s">
        <v>19394</v>
      </c>
    </row>
    <row r="6103" spans="1:24" ht="76.5">
      <c r="A6103" s="3" t="s">
        <v>19151</v>
      </c>
      <c r="B6103" s="6" t="s">
        <v>361</v>
      </c>
      <c r="C6103" s="6" t="s">
        <v>6612</v>
      </c>
      <c r="D6103" s="6" t="s">
        <v>5357</v>
      </c>
      <c r="E6103" s="6" t="s">
        <v>6613</v>
      </c>
      <c r="F6103" s="8" t="s">
        <v>6614</v>
      </c>
      <c r="G6103" s="3" t="s">
        <v>11449</v>
      </c>
      <c r="H6103" s="185">
        <v>0</v>
      </c>
      <c r="I6103" s="16">
        <v>470000000</v>
      </c>
      <c r="J6103" s="56" t="s">
        <v>229</v>
      </c>
      <c r="K6103" s="57" t="s">
        <v>18437</v>
      </c>
      <c r="L6103" s="12" t="s">
        <v>404</v>
      </c>
      <c r="M6103" s="3" t="s">
        <v>230</v>
      </c>
      <c r="N6103" s="8" t="s">
        <v>19369</v>
      </c>
      <c r="O6103" s="6" t="s">
        <v>19407</v>
      </c>
      <c r="P6103" s="58">
        <v>796</v>
      </c>
      <c r="Q6103" s="336" t="s">
        <v>234</v>
      </c>
      <c r="R6103" s="341">
        <v>26</v>
      </c>
      <c r="S6103" s="59">
        <v>16073.502692307693</v>
      </c>
      <c r="T6103" s="4">
        <f>R6103*S6103</f>
        <v>417911.07</v>
      </c>
      <c r="U6103" s="4">
        <f t="shared" si="288"/>
        <v>468060.39840000006</v>
      </c>
      <c r="V6103" s="3"/>
      <c r="W6103" s="3">
        <v>2014</v>
      </c>
      <c r="X6103" s="3"/>
    </row>
    <row r="6104" spans="1:24" ht="114.75">
      <c r="A6104" s="3" t="s">
        <v>2534</v>
      </c>
      <c r="B6104" s="6" t="s">
        <v>361</v>
      </c>
      <c r="C6104" s="6" t="s">
        <v>6293</v>
      </c>
      <c r="D6104" s="6" t="s">
        <v>6294</v>
      </c>
      <c r="E6104" s="6" t="s">
        <v>6295</v>
      </c>
      <c r="F6104" s="8" t="s">
        <v>6615</v>
      </c>
      <c r="G6104" s="3" t="s">
        <v>11449</v>
      </c>
      <c r="H6104" s="185">
        <v>0</v>
      </c>
      <c r="I6104" s="16">
        <v>470000000</v>
      </c>
      <c r="J6104" s="56" t="s">
        <v>229</v>
      </c>
      <c r="K6104" s="57" t="s">
        <v>641</v>
      </c>
      <c r="L6104" s="57" t="s">
        <v>364</v>
      </c>
      <c r="M6104" s="3" t="s">
        <v>230</v>
      </c>
      <c r="N6104" s="8" t="s">
        <v>8899</v>
      </c>
      <c r="O6104" s="6" t="s">
        <v>365</v>
      </c>
      <c r="P6104" s="58">
        <v>796</v>
      </c>
      <c r="Q6104" s="27" t="s">
        <v>234</v>
      </c>
      <c r="R6104" s="39">
        <v>60</v>
      </c>
      <c r="S6104" s="59">
        <f>38700*1.07</f>
        <v>41409</v>
      </c>
      <c r="T6104" s="4">
        <v>0</v>
      </c>
      <c r="U6104" s="4">
        <f t="shared" si="285"/>
        <v>0</v>
      </c>
      <c r="V6104" s="3"/>
      <c r="W6104" s="3">
        <v>2014</v>
      </c>
      <c r="X6104" s="3">
        <v>11.12</v>
      </c>
    </row>
    <row r="6105" spans="1:24" ht="114.75">
      <c r="A6105" s="3" t="s">
        <v>13620</v>
      </c>
      <c r="B6105" s="6" t="s">
        <v>361</v>
      </c>
      <c r="C6105" s="6" t="s">
        <v>6293</v>
      </c>
      <c r="D6105" s="6" t="s">
        <v>6294</v>
      </c>
      <c r="E6105" s="6" t="s">
        <v>6295</v>
      </c>
      <c r="F6105" s="8" t="s">
        <v>6615</v>
      </c>
      <c r="G6105" s="3" t="s">
        <v>11449</v>
      </c>
      <c r="H6105" s="185">
        <v>0</v>
      </c>
      <c r="I6105" s="16">
        <v>470000000</v>
      </c>
      <c r="J6105" s="56" t="s">
        <v>229</v>
      </c>
      <c r="K6105" s="57" t="s">
        <v>642</v>
      </c>
      <c r="L6105" s="12" t="s">
        <v>404</v>
      </c>
      <c r="M6105" s="3" t="s">
        <v>230</v>
      </c>
      <c r="N6105" s="8" t="s">
        <v>8899</v>
      </c>
      <c r="O6105" s="6" t="s">
        <v>365</v>
      </c>
      <c r="P6105" s="58">
        <v>796</v>
      </c>
      <c r="Q6105" s="336" t="s">
        <v>234</v>
      </c>
      <c r="R6105" s="341">
        <v>60</v>
      </c>
      <c r="S6105" s="59">
        <f>38700*1.07</f>
        <v>41409</v>
      </c>
      <c r="T6105" s="4">
        <v>0</v>
      </c>
      <c r="U6105" s="4">
        <f>T6105*1.12</f>
        <v>0</v>
      </c>
      <c r="V6105" s="3"/>
      <c r="W6105" s="3">
        <v>2014</v>
      </c>
      <c r="X6105" s="3" t="s">
        <v>19350</v>
      </c>
    </row>
    <row r="6106" spans="1:24" ht="76.5">
      <c r="A6106" s="3" t="s">
        <v>19176</v>
      </c>
      <c r="B6106" s="6" t="s">
        <v>361</v>
      </c>
      <c r="C6106" s="6" t="s">
        <v>6293</v>
      </c>
      <c r="D6106" s="6" t="s">
        <v>6294</v>
      </c>
      <c r="E6106" s="6" t="s">
        <v>6295</v>
      </c>
      <c r="F6106" s="8" t="s">
        <v>6615</v>
      </c>
      <c r="G6106" s="3" t="s">
        <v>11449</v>
      </c>
      <c r="H6106" s="185">
        <v>0</v>
      </c>
      <c r="I6106" s="16">
        <v>470000000</v>
      </c>
      <c r="J6106" s="56" t="s">
        <v>229</v>
      </c>
      <c r="K6106" s="57" t="s">
        <v>18437</v>
      </c>
      <c r="L6106" s="12" t="s">
        <v>404</v>
      </c>
      <c r="M6106" s="3" t="s">
        <v>230</v>
      </c>
      <c r="N6106" s="8" t="s">
        <v>19369</v>
      </c>
      <c r="O6106" s="6" t="s">
        <v>19407</v>
      </c>
      <c r="P6106" s="58">
        <v>796</v>
      </c>
      <c r="Q6106" s="336" t="s">
        <v>234</v>
      </c>
      <c r="R6106" s="341">
        <v>60</v>
      </c>
      <c r="S6106" s="59">
        <v>49690.799999999996</v>
      </c>
      <c r="T6106" s="4">
        <f>R6106*S6106</f>
        <v>2981447.9999999995</v>
      </c>
      <c r="U6106" s="4">
        <f>T6106*1.12</f>
        <v>3339221.76</v>
      </c>
      <c r="V6106" s="3"/>
      <c r="W6106" s="3">
        <v>2014</v>
      </c>
      <c r="X6106" s="3"/>
    </row>
    <row r="6107" spans="1:24" ht="114.75">
      <c r="A6107" s="3" t="s">
        <v>2535</v>
      </c>
      <c r="B6107" s="6" t="s">
        <v>361</v>
      </c>
      <c r="C6107" s="6" t="s">
        <v>6293</v>
      </c>
      <c r="D6107" s="6" t="s">
        <v>6294</v>
      </c>
      <c r="E6107" s="6" t="s">
        <v>6295</v>
      </c>
      <c r="F6107" s="8" t="s">
        <v>6616</v>
      </c>
      <c r="G6107" s="3" t="s">
        <v>11449</v>
      </c>
      <c r="H6107" s="185">
        <v>0</v>
      </c>
      <c r="I6107" s="16">
        <v>470000000</v>
      </c>
      <c r="J6107" s="56" t="s">
        <v>229</v>
      </c>
      <c r="K6107" s="57" t="s">
        <v>641</v>
      </c>
      <c r="L6107" s="57" t="s">
        <v>364</v>
      </c>
      <c r="M6107" s="3" t="s">
        <v>230</v>
      </c>
      <c r="N6107" s="8" t="s">
        <v>8899</v>
      </c>
      <c r="O6107" s="6" t="s">
        <v>365</v>
      </c>
      <c r="P6107" s="58">
        <v>796</v>
      </c>
      <c r="Q6107" s="27" t="s">
        <v>234</v>
      </c>
      <c r="R6107" s="39">
        <v>60</v>
      </c>
      <c r="S6107" s="59">
        <f>39600*1.07</f>
        <v>42372</v>
      </c>
      <c r="T6107" s="4">
        <v>0</v>
      </c>
      <c r="U6107" s="4">
        <f t="shared" si="285"/>
        <v>0</v>
      </c>
      <c r="V6107" s="3"/>
      <c r="W6107" s="3">
        <v>2014</v>
      </c>
      <c r="X6107" s="3">
        <v>11.12</v>
      </c>
    </row>
    <row r="6108" spans="1:24" ht="114.75">
      <c r="A6108" s="3" t="s">
        <v>13621</v>
      </c>
      <c r="B6108" s="6" t="s">
        <v>361</v>
      </c>
      <c r="C6108" s="6" t="s">
        <v>6293</v>
      </c>
      <c r="D6108" s="6" t="s">
        <v>6294</v>
      </c>
      <c r="E6108" s="6" t="s">
        <v>6295</v>
      </c>
      <c r="F6108" s="8" t="s">
        <v>6616</v>
      </c>
      <c r="G6108" s="3" t="s">
        <v>11449</v>
      </c>
      <c r="H6108" s="185">
        <v>0</v>
      </c>
      <c r="I6108" s="16">
        <v>470000000</v>
      </c>
      <c r="J6108" s="56" t="s">
        <v>229</v>
      </c>
      <c r="K6108" s="57" t="s">
        <v>642</v>
      </c>
      <c r="L6108" s="12" t="s">
        <v>404</v>
      </c>
      <c r="M6108" s="3" t="s">
        <v>230</v>
      </c>
      <c r="N6108" s="8" t="s">
        <v>8899</v>
      </c>
      <c r="O6108" s="6" t="s">
        <v>365</v>
      </c>
      <c r="P6108" s="58">
        <v>796</v>
      </c>
      <c r="Q6108" s="27" t="s">
        <v>234</v>
      </c>
      <c r="R6108" s="39">
        <v>60</v>
      </c>
      <c r="S6108" s="59">
        <f>39600*1.07</f>
        <v>42372</v>
      </c>
      <c r="T6108" s="4">
        <f>R6108*S6108</f>
        <v>2542320</v>
      </c>
      <c r="U6108" s="4">
        <f>T6108*1.12</f>
        <v>2847398.4000000004</v>
      </c>
      <c r="V6108" s="3"/>
      <c r="W6108" s="3">
        <v>2014</v>
      </c>
      <c r="X6108" s="3"/>
    </row>
    <row r="6109" spans="1:24" ht="114.75">
      <c r="A6109" s="3" t="s">
        <v>2536</v>
      </c>
      <c r="B6109" s="6" t="s">
        <v>361</v>
      </c>
      <c r="C6109" s="6" t="s">
        <v>6289</v>
      </c>
      <c r="D6109" s="6" t="s">
        <v>6290</v>
      </c>
      <c r="E6109" s="6" t="s">
        <v>6291</v>
      </c>
      <c r="F6109" s="8" t="s">
        <v>6617</v>
      </c>
      <c r="G6109" s="3" t="s">
        <v>11449</v>
      </c>
      <c r="H6109" s="185">
        <v>0</v>
      </c>
      <c r="I6109" s="16">
        <v>470000000</v>
      </c>
      <c r="J6109" s="56" t="s">
        <v>229</v>
      </c>
      <c r="K6109" s="57" t="s">
        <v>641</v>
      </c>
      <c r="L6109" s="57" t="s">
        <v>364</v>
      </c>
      <c r="M6109" s="3" t="s">
        <v>230</v>
      </c>
      <c r="N6109" s="8" t="s">
        <v>8899</v>
      </c>
      <c r="O6109" s="6" t="s">
        <v>365</v>
      </c>
      <c r="P6109" s="58">
        <v>796</v>
      </c>
      <c r="Q6109" s="27" t="s">
        <v>234</v>
      </c>
      <c r="R6109" s="39">
        <v>4</v>
      </c>
      <c r="S6109" s="59">
        <f>1012000*1.07</f>
        <v>1082840</v>
      </c>
      <c r="T6109" s="4">
        <v>0</v>
      </c>
      <c r="U6109" s="4">
        <f t="shared" si="285"/>
        <v>0</v>
      </c>
      <c r="V6109" s="3"/>
      <c r="W6109" s="3">
        <v>2014</v>
      </c>
      <c r="X6109" s="3">
        <v>11.12</v>
      </c>
    </row>
    <row r="6110" spans="1:24" ht="114.75">
      <c r="A6110" s="3" t="s">
        <v>13622</v>
      </c>
      <c r="B6110" s="6" t="s">
        <v>361</v>
      </c>
      <c r="C6110" s="6" t="s">
        <v>6289</v>
      </c>
      <c r="D6110" s="6" t="s">
        <v>6290</v>
      </c>
      <c r="E6110" s="6" t="s">
        <v>6291</v>
      </c>
      <c r="F6110" s="8" t="s">
        <v>6617</v>
      </c>
      <c r="G6110" s="3" t="s">
        <v>11449</v>
      </c>
      <c r="H6110" s="185">
        <v>0</v>
      </c>
      <c r="I6110" s="16">
        <v>470000000</v>
      </c>
      <c r="J6110" s="56" t="s">
        <v>229</v>
      </c>
      <c r="K6110" s="57" t="s">
        <v>642</v>
      </c>
      <c r="L6110" s="12" t="s">
        <v>404</v>
      </c>
      <c r="M6110" s="3" t="s">
        <v>230</v>
      </c>
      <c r="N6110" s="8" t="s">
        <v>8899</v>
      </c>
      <c r="O6110" s="6" t="s">
        <v>365</v>
      </c>
      <c r="P6110" s="58">
        <v>796</v>
      </c>
      <c r="Q6110" s="27" t="s">
        <v>234</v>
      </c>
      <c r="R6110" s="39">
        <v>4</v>
      </c>
      <c r="S6110" s="59">
        <f>1012000*1.07</f>
        <v>1082840</v>
      </c>
      <c r="T6110" s="4">
        <f>R6110*S6110</f>
        <v>4331360</v>
      </c>
      <c r="U6110" s="4">
        <f>T6110*1.12</f>
        <v>4851123.2</v>
      </c>
      <c r="V6110" s="3"/>
      <c r="W6110" s="3">
        <v>2014</v>
      </c>
      <c r="X6110" s="3"/>
    </row>
    <row r="6111" spans="1:24" ht="114.75">
      <c r="A6111" s="3" t="s">
        <v>2537</v>
      </c>
      <c r="B6111" s="6" t="s">
        <v>361</v>
      </c>
      <c r="C6111" s="6" t="s">
        <v>6618</v>
      </c>
      <c r="D6111" s="6" t="s">
        <v>6619</v>
      </c>
      <c r="E6111" s="6" t="s">
        <v>6620</v>
      </c>
      <c r="F6111" s="9" t="s">
        <v>6621</v>
      </c>
      <c r="G6111" s="3" t="s">
        <v>11449</v>
      </c>
      <c r="H6111" s="185">
        <v>0</v>
      </c>
      <c r="I6111" s="16">
        <v>470000000</v>
      </c>
      <c r="J6111" s="56" t="s">
        <v>229</v>
      </c>
      <c r="K6111" s="57" t="s">
        <v>641</v>
      </c>
      <c r="L6111" s="57" t="s">
        <v>364</v>
      </c>
      <c r="M6111" s="3" t="s">
        <v>230</v>
      </c>
      <c r="N6111" s="8" t="s">
        <v>8899</v>
      </c>
      <c r="O6111" s="6" t="s">
        <v>365</v>
      </c>
      <c r="P6111" s="58">
        <v>796</v>
      </c>
      <c r="Q6111" s="27" t="s">
        <v>234</v>
      </c>
      <c r="R6111" s="35">
        <v>8</v>
      </c>
      <c r="S6111" s="59">
        <f>37000*1.07</f>
        <v>39590</v>
      </c>
      <c r="T6111" s="4">
        <v>0</v>
      </c>
      <c r="U6111" s="4">
        <f t="shared" si="285"/>
        <v>0</v>
      </c>
      <c r="V6111" s="3"/>
      <c r="W6111" s="3">
        <v>2014</v>
      </c>
      <c r="X6111" s="3">
        <v>11.12</v>
      </c>
    </row>
    <row r="6112" spans="1:24" ht="114.75">
      <c r="A6112" s="3" t="s">
        <v>13623</v>
      </c>
      <c r="B6112" s="6" t="s">
        <v>361</v>
      </c>
      <c r="C6112" s="6" t="s">
        <v>6618</v>
      </c>
      <c r="D6112" s="6" t="s">
        <v>6619</v>
      </c>
      <c r="E6112" s="6" t="s">
        <v>6620</v>
      </c>
      <c r="F6112" s="9" t="s">
        <v>6621</v>
      </c>
      <c r="G6112" s="3" t="s">
        <v>11449</v>
      </c>
      <c r="H6112" s="185">
        <v>0</v>
      </c>
      <c r="I6112" s="16">
        <v>470000000</v>
      </c>
      <c r="J6112" s="56" t="s">
        <v>229</v>
      </c>
      <c r="K6112" s="57" t="s">
        <v>642</v>
      </c>
      <c r="L6112" s="12" t="s">
        <v>404</v>
      </c>
      <c r="M6112" s="3" t="s">
        <v>230</v>
      </c>
      <c r="N6112" s="8" t="s">
        <v>8899</v>
      </c>
      <c r="O6112" s="6" t="s">
        <v>365</v>
      </c>
      <c r="P6112" s="58">
        <v>796</v>
      </c>
      <c r="Q6112" s="27" t="s">
        <v>234</v>
      </c>
      <c r="R6112" s="35">
        <v>8</v>
      </c>
      <c r="S6112" s="59">
        <f>37000*1.07</f>
        <v>39590</v>
      </c>
      <c r="T6112" s="4">
        <f>R6112*S6112</f>
        <v>316720</v>
      </c>
      <c r="U6112" s="4">
        <f>T6112*1.12</f>
        <v>354726.40000000002</v>
      </c>
      <c r="V6112" s="3"/>
      <c r="W6112" s="3">
        <v>2014</v>
      </c>
      <c r="X6112" s="3"/>
    </row>
    <row r="6113" spans="1:24" ht="114.75">
      <c r="A6113" s="3" t="s">
        <v>2538</v>
      </c>
      <c r="B6113" s="6" t="s">
        <v>361</v>
      </c>
      <c r="C6113" s="6" t="s">
        <v>6209</v>
      </c>
      <c r="D6113" s="6" t="s">
        <v>450</v>
      </c>
      <c r="E6113" s="6" t="s">
        <v>5183</v>
      </c>
      <c r="F6113" s="30" t="s">
        <v>6622</v>
      </c>
      <c r="G6113" s="3" t="s">
        <v>11449</v>
      </c>
      <c r="H6113" s="185">
        <v>0</v>
      </c>
      <c r="I6113" s="16">
        <v>470000000</v>
      </c>
      <c r="J6113" s="56" t="s">
        <v>229</v>
      </c>
      <c r="K6113" s="57" t="s">
        <v>641</v>
      </c>
      <c r="L6113" s="57" t="s">
        <v>364</v>
      </c>
      <c r="M6113" s="3" t="s">
        <v>230</v>
      </c>
      <c r="N6113" s="8" t="s">
        <v>8899</v>
      </c>
      <c r="O6113" s="6" t="s">
        <v>365</v>
      </c>
      <c r="P6113" s="58">
        <v>796</v>
      </c>
      <c r="Q6113" s="27" t="s">
        <v>234</v>
      </c>
      <c r="R6113" s="35">
        <v>4</v>
      </c>
      <c r="S6113" s="59">
        <f>89800*1.07</f>
        <v>96086</v>
      </c>
      <c r="T6113" s="4">
        <v>0</v>
      </c>
      <c r="U6113" s="4">
        <f t="shared" si="285"/>
        <v>0</v>
      </c>
      <c r="V6113" s="3"/>
      <c r="W6113" s="3">
        <v>2014</v>
      </c>
      <c r="X6113" s="3">
        <v>11.12</v>
      </c>
    </row>
    <row r="6114" spans="1:24" ht="114.75">
      <c r="A6114" s="3" t="s">
        <v>13624</v>
      </c>
      <c r="B6114" s="6" t="s">
        <v>361</v>
      </c>
      <c r="C6114" s="6" t="s">
        <v>6209</v>
      </c>
      <c r="D6114" s="6" t="s">
        <v>450</v>
      </c>
      <c r="E6114" s="6" t="s">
        <v>5183</v>
      </c>
      <c r="F6114" s="30" t="s">
        <v>6622</v>
      </c>
      <c r="G6114" s="3" t="s">
        <v>11449</v>
      </c>
      <c r="H6114" s="185">
        <v>0</v>
      </c>
      <c r="I6114" s="16">
        <v>470000000</v>
      </c>
      <c r="J6114" s="56" t="s">
        <v>229</v>
      </c>
      <c r="K6114" s="57" t="s">
        <v>642</v>
      </c>
      <c r="L6114" s="12" t="s">
        <v>404</v>
      </c>
      <c r="M6114" s="3" t="s">
        <v>230</v>
      </c>
      <c r="N6114" s="8" t="s">
        <v>8899</v>
      </c>
      <c r="O6114" s="6" t="s">
        <v>365</v>
      </c>
      <c r="P6114" s="58">
        <v>796</v>
      </c>
      <c r="Q6114" s="27" t="s">
        <v>234</v>
      </c>
      <c r="R6114" s="35">
        <v>4</v>
      </c>
      <c r="S6114" s="59">
        <f>89800*1.07</f>
        <v>96086</v>
      </c>
      <c r="T6114" s="4">
        <f>R6114*S6114</f>
        <v>384344</v>
      </c>
      <c r="U6114" s="4">
        <f>T6114*1.12</f>
        <v>430465.28000000003</v>
      </c>
      <c r="V6114" s="3"/>
      <c r="W6114" s="3">
        <v>2014</v>
      </c>
      <c r="X6114" s="3"/>
    </row>
    <row r="6115" spans="1:24" ht="114.75">
      <c r="A6115" s="3" t="s">
        <v>2539</v>
      </c>
      <c r="B6115" s="6" t="s">
        <v>361</v>
      </c>
      <c r="C6115" s="6" t="s">
        <v>6623</v>
      </c>
      <c r="D6115" s="6" t="s">
        <v>6624</v>
      </c>
      <c r="E6115" s="6" t="s">
        <v>6240</v>
      </c>
      <c r="F6115" s="30" t="s">
        <v>6625</v>
      </c>
      <c r="G6115" s="3" t="s">
        <v>11449</v>
      </c>
      <c r="H6115" s="185">
        <v>0</v>
      </c>
      <c r="I6115" s="16">
        <v>470000000</v>
      </c>
      <c r="J6115" s="56" t="s">
        <v>229</v>
      </c>
      <c r="K6115" s="57" t="s">
        <v>641</v>
      </c>
      <c r="L6115" s="57" t="s">
        <v>364</v>
      </c>
      <c r="M6115" s="3" t="s">
        <v>230</v>
      </c>
      <c r="N6115" s="8" t="s">
        <v>8899</v>
      </c>
      <c r="O6115" s="6" t="s">
        <v>365</v>
      </c>
      <c r="P6115" s="58">
        <v>796</v>
      </c>
      <c r="Q6115" s="27" t="s">
        <v>234</v>
      </c>
      <c r="R6115" s="40">
        <v>6</v>
      </c>
      <c r="S6115" s="59">
        <f>8700*1.07</f>
        <v>9309</v>
      </c>
      <c r="T6115" s="4">
        <v>0</v>
      </c>
      <c r="U6115" s="4">
        <f t="shared" si="285"/>
        <v>0</v>
      </c>
      <c r="V6115" s="3"/>
      <c r="W6115" s="3">
        <v>2014</v>
      </c>
      <c r="X6115" s="3">
        <v>11.12</v>
      </c>
    </row>
    <row r="6116" spans="1:24" ht="114.75">
      <c r="A6116" s="3" t="s">
        <v>13625</v>
      </c>
      <c r="B6116" s="6" t="s">
        <v>361</v>
      </c>
      <c r="C6116" s="6" t="s">
        <v>6623</v>
      </c>
      <c r="D6116" s="6" t="s">
        <v>6624</v>
      </c>
      <c r="E6116" s="6" t="s">
        <v>6240</v>
      </c>
      <c r="F6116" s="30" t="s">
        <v>6625</v>
      </c>
      <c r="G6116" s="3" t="s">
        <v>11449</v>
      </c>
      <c r="H6116" s="185">
        <v>0</v>
      </c>
      <c r="I6116" s="16">
        <v>470000000</v>
      </c>
      <c r="J6116" s="56" t="s">
        <v>229</v>
      </c>
      <c r="K6116" s="57" t="s">
        <v>642</v>
      </c>
      <c r="L6116" s="12" t="s">
        <v>404</v>
      </c>
      <c r="M6116" s="3" t="s">
        <v>230</v>
      </c>
      <c r="N6116" s="8" t="s">
        <v>8899</v>
      </c>
      <c r="O6116" s="6" t="s">
        <v>365</v>
      </c>
      <c r="P6116" s="58">
        <v>796</v>
      </c>
      <c r="Q6116" s="27" t="s">
        <v>234</v>
      </c>
      <c r="R6116" s="40">
        <v>6</v>
      </c>
      <c r="S6116" s="59">
        <f>8700*1.07</f>
        <v>9309</v>
      </c>
      <c r="T6116" s="4">
        <f>R6116*S6116</f>
        <v>55854</v>
      </c>
      <c r="U6116" s="4">
        <f>T6116*1.12</f>
        <v>62556.480000000003</v>
      </c>
      <c r="V6116" s="3"/>
      <c r="W6116" s="3">
        <v>2014</v>
      </c>
      <c r="X6116" s="3"/>
    </row>
    <row r="6117" spans="1:24" ht="114.75">
      <c r="A6117" s="3" t="s">
        <v>2540</v>
      </c>
      <c r="B6117" s="6" t="s">
        <v>361</v>
      </c>
      <c r="C6117" s="6" t="s">
        <v>6626</v>
      </c>
      <c r="D6117" s="6" t="s">
        <v>6627</v>
      </c>
      <c r="E6117" s="6" t="s">
        <v>6628</v>
      </c>
      <c r="F6117" s="9" t="s">
        <v>6629</v>
      </c>
      <c r="G6117" s="3" t="s">
        <v>11449</v>
      </c>
      <c r="H6117" s="185">
        <v>0</v>
      </c>
      <c r="I6117" s="16">
        <v>470000000</v>
      </c>
      <c r="J6117" s="56" t="s">
        <v>229</v>
      </c>
      <c r="K6117" s="57" t="s">
        <v>641</v>
      </c>
      <c r="L6117" s="57" t="s">
        <v>364</v>
      </c>
      <c r="M6117" s="3" t="s">
        <v>230</v>
      </c>
      <c r="N6117" s="8" t="s">
        <v>8899</v>
      </c>
      <c r="O6117" s="6" t="s">
        <v>365</v>
      </c>
      <c r="P6117" s="58">
        <v>796</v>
      </c>
      <c r="Q6117" s="27" t="s">
        <v>234</v>
      </c>
      <c r="R6117" s="32">
        <v>10</v>
      </c>
      <c r="S6117" s="59">
        <f>79000*1.07</f>
        <v>84530</v>
      </c>
      <c r="T6117" s="4">
        <v>0</v>
      </c>
      <c r="U6117" s="4">
        <f t="shared" si="285"/>
        <v>0</v>
      </c>
      <c r="V6117" s="3"/>
      <c r="W6117" s="3">
        <v>2014</v>
      </c>
      <c r="X6117" s="3">
        <v>11.12</v>
      </c>
    </row>
    <row r="6118" spans="1:24" ht="114.75">
      <c r="A6118" s="3" t="s">
        <v>13626</v>
      </c>
      <c r="B6118" s="6" t="s">
        <v>361</v>
      </c>
      <c r="C6118" s="6" t="s">
        <v>6626</v>
      </c>
      <c r="D6118" s="6" t="s">
        <v>6627</v>
      </c>
      <c r="E6118" s="6" t="s">
        <v>6628</v>
      </c>
      <c r="F6118" s="9" t="s">
        <v>6629</v>
      </c>
      <c r="G6118" s="3" t="s">
        <v>11449</v>
      </c>
      <c r="H6118" s="185">
        <v>0</v>
      </c>
      <c r="I6118" s="16">
        <v>470000000</v>
      </c>
      <c r="J6118" s="56" t="s">
        <v>229</v>
      </c>
      <c r="K6118" s="57" t="s">
        <v>642</v>
      </c>
      <c r="L6118" s="12" t="s">
        <v>404</v>
      </c>
      <c r="M6118" s="3" t="s">
        <v>230</v>
      </c>
      <c r="N6118" s="8" t="s">
        <v>8899</v>
      </c>
      <c r="O6118" s="6" t="s">
        <v>365</v>
      </c>
      <c r="P6118" s="58">
        <v>796</v>
      </c>
      <c r="Q6118" s="27" t="s">
        <v>234</v>
      </c>
      <c r="R6118" s="32">
        <v>10</v>
      </c>
      <c r="S6118" s="59">
        <f>79000*1.07</f>
        <v>84530</v>
      </c>
      <c r="T6118" s="4">
        <v>0</v>
      </c>
      <c r="U6118" s="4">
        <f>T6118*1.12</f>
        <v>0</v>
      </c>
      <c r="V6118" s="3"/>
      <c r="W6118" s="3">
        <v>2014</v>
      </c>
      <c r="X6118" s="3" t="s">
        <v>14785</v>
      </c>
    </row>
    <row r="6119" spans="1:24" ht="114.75">
      <c r="A6119" s="3" t="s">
        <v>17006</v>
      </c>
      <c r="B6119" s="6" t="s">
        <v>361</v>
      </c>
      <c r="C6119" s="6" t="s">
        <v>6626</v>
      </c>
      <c r="D6119" s="6" t="s">
        <v>6627</v>
      </c>
      <c r="E6119" s="6" t="s">
        <v>6628</v>
      </c>
      <c r="F6119" s="9" t="s">
        <v>6629</v>
      </c>
      <c r="G6119" s="3" t="s">
        <v>11449</v>
      </c>
      <c r="H6119" s="185">
        <v>0</v>
      </c>
      <c r="I6119" s="16">
        <v>470000000</v>
      </c>
      <c r="J6119" s="56" t="s">
        <v>229</v>
      </c>
      <c r="K6119" s="57" t="s">
        <v>8950</v>
      </c>
      <c r="L6119" s="12" t="s">
        <v>404</v>
      </c>
      <c r="M6119" s="3" t="s">
        <v>230</v>
      </c>
      <c r="N6119" s="8" t="s">
        <v>8899</v>
      </c>
      <c r="O6119" s="6" t="s">
        <v>365</v>
      </c>
      <c r="P6119" s="58">
        <v>796</v>
      </c>
      <c r="Q6119" s="27" t="s">
        <v>234</v>
      </c>
      <c r="R6119" s="32">
        <v>10</v>
      </c>
      <c r="S6119" s="59">
        <v>101436</v>
      </c>
      <c r="T6119" s="4">
        <f>R6119*S6119</f>
        <v>1014360</v>
      </c>
      <c r="U6119" s="4">
        <f>T6119*1.12</f>
        <v>1136083.2000000002</v>
      </c>
      <c r="V6119" s="3"/>
      <c r="W6119" s="3">
        <v>2014</v>
      </c>
      <c r="X6119" s="3"/>
    </row>
    <row r="6120" spans="1:24" ht="114.75">
      <c r="A6120" s="3" t="s">
        <v>2541</v>
      </c>
      <c r="B6120" s="6" t="s">
        <v>361</v>
      </c>
      <c r="C6120" s="6" t="s">
        <v>6454</v>
      </c>
      <c r="D6120" s="6" t="s">
        <v>6253</v>
      </c>
      <c r="E6120" s="6" t="s">
        <v>6455</v>
      </c>
      <c r="F6120" s="129" t="s">
        <v>6457</v>
      </c>
      <c r="G6120" s="3" t="s">
        <v>11449</v>
      </c>
      <c r="H6120" s="185">
        <v>0</v>
      </c>
      <c r="I6120" s="16">
        <v>470000000</v>
      </c>
      <c r="J6120" s="56" t="s">
        <v>229</v>
      </c>
      <c r="K6120" s="57" t="s">
        <v>641</v>
      </c>
      <c r="L6120" s="57" t="s">
        <v>364</v>
      </c>
      <c r="M6120" s="3" t="s">
        <v>230</v>
      </c>
      <c r="N6120" s="8" t="s">
        <v>8899</v>
      </c>
      <c r="O6120" s="6" t="s">
        <v>365</v>
      </c>
      <c r="P6120" s="58">
        <v>796</v>
      </c>
      <c r="Q6120" s="27" t="s">
        <v>234</v>
      </c>
      <c r="R6120" s="32">
        <v>6</v>
      </c>
      <c r="S6120" s="59">
        <f>28000*1.07</f>
        <v>29960</v>
      </c>
      <c r="T6120" s="4">
        <v>0</v>
      </c>
      <c r="U6120" s="4">
        <f t="shared" si="285"/>
        <v>0</v>
      </c>
      <c r="V6120" s="3"/>
      <c r="W6120" s="3">
        <v>2014</v>
      </c>
      <c r="X6120" s="3">
        <v>11.12</v>
      </c>
    </row>
    <row r="6121" spans="1:24" ht="114.75">
      <c r="A6121" s="3" t="s">
        <v>13627</v>
      </c>
      <c r="B6121" s="6" t="s">
        <v>361</v>
      </c>
      <c r="C6121" s="6" t="s">
        <v>6454</v>
      </c>
      <c r="D6121" s="6" t="s">
        <v>6253</v>
      </c>
      <c r="E6121" s="6" t="s">
        <v>6455</v>
      </c>
      <c r="F6121" s="129" t="s">
        <v>6457</v>
      </c>
      <c r="G6121" s="3" t="s">
        <v>11449</v>
      </c>
      <c r="H6121" s="185">
        <v>0</v>
      </c>
      <c r="I6121" s="16">
        <v>470000000</v>
      </c>
      <c r="J6121" s="56" t="s">
        <v>229</v>
      </c>
      <c r="K6121" s="57" t="s">
        <v>642</v>
      </c>
      <c r="L6121" s="12" t="s">
        <v>404</v>
      </c>
      <c r="M6121" s="3" t="s">
        <v>230</v>
      </c>
      <c r="N6121" s="8" t="s">
        <v>8899</v>
      </c>
      <c r="O6121" s="6" t="s">
        <v>365</v>
      </c>
      <c r="P6121" s="58">
        <v>796</v>
      </c>
      <c r="Q6121" s="27" t="s">
        <v>234</v>
      </c>
      <c r="R6121" s="32">
        <v>6</v>
      </c>
      <c r="S6121" s="59">
        <f>28000*1.07</f>
        <v>29960</v>
      </c>
      <c r="T6121" s="4">
        <v>0</v>
      </c>
      <c r="U6121" s="4">
        <f>T6121*1.12</f>
        <v>0</v>
      </c>
      <c r="V6121" s="3"/>
      <c r="W6121" s="3">
        <v>2014</v>
      </c>
      <c r="X6121" s="3" t="s">
        <v>14785</v>
      </c>
    </row>
    <row r="6122" spans="1:24" ht="114.75">
      <c r="A6122" s="3" t="s">
        <v>17007</v>
      </c>
      <c r="B6122" s="6" t="s">
        <v>361</v>
      </c>
      <c r="C6122" s="6" t="s">
        <v>6454</v>
      </c>
      <c r="D6122" s="6" t="s">
        <v>6253</v>
      </c>
      <c r="E6122" s="6" t="s">
        <v>6455</v>
      </c>
      <c r="F6122" s="129" t="s">
        <v>6457</v>
      </c>
      <c r="G6122" s="3" t="s">
        <v>11449</v>
      </c>
      <c r="H6122" s="185">
        <v>0</v>
      </c>
      <c r="I6122" s="16">
        <v>470000000</v>
      </c>
      <c r="J6122" s="56" t="s">
        <v>229</v>
      </c>
      <c r="K6122" s="57" t="s">
        <v>8950</v>
      </c>
      <c r="L6122" s="12" t="s">
        <v>404</v>
      </c>
      <c r="M6122" s="3" t="s">
        <v>230</v>
      </c>
      <c r="N6122" s="8" t="s">
        <v>8899</v>
      </c>
      <c r="O6122" s="6" t="s">
        <v>365</v>
      </c>
      <c r="P6122" s="58">
        <v>796</v>
      </c>
      <c r="Q6122" s="27" t="s">
        <v>234</v>
      </c>
      <c r="R6122" s="32">
        <v>6</v>
      </c>
      <c r="S6122" s="59">
        <v>35952</v>
      </c>
      <c r="T6122" s="4">
        <f>R6122*S6122</f>
        <v>215712</v>
      </c>
      <c r="U6122" s="4">
        <f>T6122*1.12</f>
        <v>241597.44000000003</v>
      </c>
      <c r="V6122" s="3"/>
      <c r="W6122" s="3">
        <v>2014</v>
      </c>
      <c r="X6122" s="3"/>
    </row>
    <row r="6123" spans="1:24" ht="114.75">
      <c r="A6123" s="3" t="s">
        <v>2542</v>
      </c>
      <c r="B6123" s="6" t="s">
        <v>361</v>
      </c>
      <c r="C6123" s="6" t="s">
        <v>6454</v>
      </c>
      <c r="D6123" s="6" t="s">
        <v>6253</v>
      </c>
      <c r="E6123" s="6" t="s">
        <v>6455</v>
      </c>
      <c r="F6123" s="129" t="s">
        <v>6456</v>
      </c>
      <c r="G6123" s="3" t="s">
        <v>11449</v>
      </c>
      <c r="H6123" s="185">
        <v>0</v>
      </c>
      <c r="I6123" s="16">
        <v>470000000</v>
      </c>
      <c r="J6123" s="56" t="s">
        <v>229</v>
      </c>
      <c r="K6123" s="57" t="s">
        <v>641</v>
      </c>
      <c r="L6123" s="57" t="s">
        <v>364</v>
      </c>
      <c r="M6123" s="3" t="s">
        <v>230</v>
      </c>
      <c r="N6123" s="8" t="s">
        <v>8899</v>
      </c>
      <c r="O6123" s="6" t="s">
        <v>365</v>
      </c>
      <c r="P6123" s="58">
        <v>796</v>
      </c>
      <c r="Q6123" s="27" t="s">
        <v>234</v>
      </c>
      <c r="R6123" s="32">
        <v>3</v>
      </c>
      <c r="S6123" s="59">
        <f>27900*1.07</f>
        <v>29853</v>
      </c>
      <c r="T6123" s="4">
        <v>0</v>
      </c>
      <c r="U6123" s="4">
        <f t="shared" si="285"/>
        <v>0</v>
      </c>
      <c r="V6123" s="3"/>
      <c r="W6123" s="3">
        <v>2014</v>
      </c>
      <c r="X6123" s="3">
        <v>11.12</v>
      </c>
    </row>
    <row r="6124" spans="1:24" ht="114.75">
      <c r="A6124" s="3" t="s">
        <v>13628</v>
      </c>
      <c r="B6124" s="6" t="s">
        <v>361</v>
      </c>
      <c r="C6124" s="6" t="s">
        <v>6454</v>
      </c>
      <c r="D6124" s="6" t="s">
        <v>6253</v>
      </c>
      <c r="E6124" s="6" t="s">
        <v>6455</v>
      </c>
      <c r="F6124" s="129" t="s">
        <v>6456</v>
      </c>
      <c r="G6124" s="3" t="s">
        <v>11449</v>
      </c>
      <c r="H6124" s="185">
        <v>0</v>
      </c>
      <c r="I6124" s="16">
        <v>470000000</v>
      </c>
      <c r="J6124" s="56" t="s">
        <v>229</v>
      </c>
      <c r="K6124" s="57" t="s">
        <v>642</v>
      </c>
      <c r="L6124" s="12" t="s">
        <v>404</v>
      </c>
      <c r="M6124" s="3" t="s">
        <v>230</v>
      </c>
      <c r="N6124" s="8" t="s">
        <v>8899</v>
      </c>
      <c r="O6124" s="6" t="s">
        <v>365</v>
      </c>
      <c r="P6124" s="58">
        <v>796</v>
      </c>
      <c r="Q6124" s="27" t="s">
        <v>234</v>
      </c>
      <c r="R6124" s="32">
        <v>3</v>
      </c>
      <c r="S6124" s="59">
        <f>27900*1.07</f>
        <v>29853</v>
      </c>
      <c r="T6124" s="4">
        <f>R6124*S6124</f>
        <v>89559</v>
      </c>
      <c r="U6124" s="4">
        <f>T6124*1.12</f>
        <v>100306.08000000002</v>
      </c>
      <c r="V6124" s="3"/>
      <c r="W6124" s="3">
        <v>2014</v>
      </c>
      <c r="X6124" s="3"/>
    </row>
    <row r="6125" spans="1:24" ht="114.75">
      <c r="A6125" s="3" t="s">
        <v>2543</v>
      </c>
      <c r="B6125" s="6" t="s">
        <v>361</v>
      </c>
      <c r="C6125" s="6" t="s">
        <v>6597</v>
      </c>
      <c r="D6125" s="6" t="s">
        <v>6598</v>
      </c>
      <c r="E6125" s="6" t="s">
        <v>6599</v>
      </c>
      <c r="F6125" s="107" t="s">
        <v>6630</v>
      </c>
      <c r="G6125" s="3" t="s">
        <v>11449</v>
      </c>
      <c r="H6125" s="185">
        <v>0</v>
      </c>
      <c r="I6125" s="16">
        <v>470000000</v>
      </c>
      <c r="J6125" s="56" t="s">
        <v>229</v>
      </c>
      <c r="K6125" s="57" t="s">
        <v>641</v>
      </c>
      <c r="L6125" s="57" t="s">
        <v>364</v>
      </c>
      <c r="M6125" s="3" t="s">
        <v>230</v>
      </c>
      <c r="N6125" s="8" t="s">
        <v>8899</v>
      </c>
      <c r="O6125" s="6" t="s">
        <v>365</v>
      </c>
      <c r="P6125" s="58">
        <v>796</v>
      </c>
      <c r="Q6125" s="27" t="s">
        <v>234</v>
      </c>
      <c r="R6125" s="34">
        <v>6</v>
      </c>
      <c r="S6125" s="59">
        <f>51600*1.07</f>
        <v>55212</v>
      </c>
      <c r="T6125" s="4">
        <v>0</v>
      </c>
      <c r="U6125" s="4">
        <f t="shared" si="285"/>
        <v>0</v>
      </c>
      <c r="V6125" s="3"/>
      <c r="W6125" s="3">
        <v>2014</v>
      </c>
      <c r="X6125" s="3">
        <v>11.12</v>
      </c>
    </row>
    <row r="6126" spans="1:24" ht="114.75">
      <c r="A6126" s="3" t="s">
        <v>13629</v>
      </c>
      <c r="B6126" s="6" t="s">
        <v>361</v>
      </c>
      <c r="C6126" s="6" t="s">
        <v>6597</v>
      </c>
      <c r="D6126" s="6" t="s">
        <v>6598</v>
      </c>
      <c r="E6126" s="6" t="s">
        <v>6599</v>
      </c>
      <c r="F6126" s="107" t="s">
        <v>6630</v>
      </c>
      <c r="G6126" s="3" t="s">
        <v>11449</v>
      </c>
      <c r="H6126" s="185">
        <v>0</v>
      </c>
      <c r="I6126" s="16">
        <v>470000000</v>
      </c>
      <c r="J6126" s="56" t="s">
        <v>229</v>
      </c>
      <c r="K6126" s="57" t="s">
        <v>642</v>
      </c>
      <c r="L6126" s="12" t="s">
        <v>404</v>
      </c>
      <c r="M6126" s="3" t="s">
        <v>230</v>
      </c>
      <c r="N6126" s="8" t="s">
        <v>8899</v>
      </c>
      <c r="O6126" s="6" t="s">
        <v>365</v>
      </c>
      <c r="P6126" s="58">
        <v>796</v>
      </c>
      <c r="Q6126" s="27" t="s">
        <v>234</v>
      </c>
      <c r="R6126" s="34">
        <v>6</v>
      </c>
      <c r="S6126" s="59">
        <f>51600*1.07</f>
        <v>55212</v>
      </c>
      <c r="T6126" s="4">
        <f>R6126*S6126</f>
        <v>331272</v>
      </c>
      <c r="U6126" s="4">
        <f>T6126*1.12</f>
        <v>371024.64000000001</v>
      </c>
      <c r="V6126" s="3"/>
      <c r="W6126" s="3">
        <v>2014</v>
      </c>
      <c r="X6126" s="3"/>
    </row>
    <row r="6127" spans="1:24" ht="114.75">
      <c r="A6127" s="3" t="s">
        <v>2544</v>
      </c>
      <c r="B6127" s="6" t="s">
        <v>361</v>
      </c>
      <c r="C6127" s="6" t="s">
        <v>5461</v>
      </c>
      <c r="D6127" s="6" t="s">
        <v>5357</v>
      </c>
      <c r="E6127" s="6" t="s">
        <v>5462</v>
      </c>
      <c r="F6127" s="229" t="s">
        <v>6631</v>
      </c>
      <c r="G6127" s="3" t="s">
        <v>11449</v>
      </c>
      <c r="H6127" s="185">
        <v>0</v>
      </c>
      <c r="I6127" s="16">
        <v>470000000</v>
      </c>
      <c r="J6127" s="56" t="s">
        <v>229</v>
      </c>
      <c r="K6127" s="57" t="s">
        <v>641</v>
      </c>
      <c r="L6127" s="57" t="s">
        <v>364</v>
      </c>
      <c r="M6127" s="3" t="s">
        <v>230</v>
      </c>
      <c r="N6127" s="8" t="s">
        <v>8899</v>
      </c>
      <c r="O6127" s="6" t="s">
        <v>365</v>
      </c>
      <c r="P6127" s="58">
        <v>839</v>
      </c>
      <c r="Q6127" s="26" t="s">
        <v>239</v>
      </c>
      <c r="R6127" s="34">
        <v>20</v>
      </c>
      <c r="S6127" s="59">
        <f>300*1.07</f>
        <v>321</v>
      </c>
      <c r="T6127" s="4">
        <v>0</v>
      </c>
      <c r="U6127" s="4">
        <f t="shared" si="285"/>
        <v>0</v>
      </c>
      <c r="V6127" s="3"/>
      <c r="W6127" s="3">
        <v>2014</v>
      </c>
      <c r="X6127" s="3">
        <v>11.12</v>
      </c>
    </row>
    <row r="6128" spans="1:24" ht="114.75">
      <c r="A6128" s="3" t="s">
        <v>13630</v>
      </c>
      <c r="B6128" s="6" t="s">
        <v>361</v>
      </c>
      <c r="C6128" s="6" t="s">
        <v>5461</v>
      </c>
      <c r="D6128" s="6" t="s">
        <v>5357</v>
      </c>
      <c r="E6128" s="6" t="s">
        <v>5462</v>
      </c>
      <c r="F6128" s="229" t="s">
        <v>6631</v>
      </c>
      <c r="G6128" s="3" t="s">
        <v>11449</v>
      </c>
      <c r="H6128" s="185">
        <v>0</v>
      </c>
      <c r="I6128" s="16">
        <v>470000000</v>
      </c>
      <c r="J6128" s="56" t="s">
        <v>229</v>
      </c>
      <c r="K6128" s="57" t="s">
        <v>642</v>
      </c>
      <c r="L6128" s="12" t="s">
        <v>404</v>
      </c>
      <c r="M6128" s="3" t="s">
        <v>230</v>
      </c>
      <c r="N6128" s="8" t="s">
        <v>8899</v>
      </c>
      <c r="O6128" s="6" t="s">
        <v>365</v>
      </c>
      <c r="P6128" s="58">
        <v>839</v>
      </c>
      <c r="Q6128" s="26" t="s">
        <v>239</v>
      </c>
      <c r="R6128" s="34">
        <v>20</v>
      </c>
      <c r="S6128" s="59">
        <f>300*1.07</f>
        <v>321</v>
      </c>
      <c r="T6128" s="4">
        <f>R6128*S6128</f>
        <v>6420</v>
      </c>
      <c r="U6128" s="4">
        <f>T6128*1.12</f>
        <v>7190.4000000000005</v>
      </c>
      <c r="V6128" s="3"/>
      <c r="W6128" s="3">
        <v>2014</v>
      </c>
      <c r="X6128" s="3"/>
    </row>
    <row r="6129" spans="1:24" ht="114.75">
      <c r="A6129" s="3" t="s">
        <v>2545</v>
      </c>
      <c r="B6129" s="6" t="s">
        <v>361</v>
      </c>
      <c r="C6129" s="6" t="s">
        <v>6597</v>
      </c>
      <c r="D6129" s="6" t="s">
        <v>6598</v>
      </c>
      <c r="E6129" s="6" t="s">
        <v>6599</v>
      </c>
      <c r="F6129" s="229" t="s">
        <v>6632</v>
      </c>
      <c r="G6129" s="3" t="s">
        <v>11449</v>
      </c>
      <c r="H6129" s="185">
        <v>0</v>
      </c>
      <c r="I6129" s="16">
        <v>470000000</v>
      </c>
      <c r="J6129" s="56" t="s">
        <v>229</v>
      </c>
      <c r="K6129" s="57" t="s">
        <v>641</v>
      </c>
      <c r="L6129" s="57" t="s">
        <v>364</v>
      </c>
      <c r="M6129" s="3" t="s">
        <v>230</v>
      </c>
      <c r="N6129" s="8" t="s">
        <v>8899</v>
      </c>
      <c r="O6129" s="6" t="s">
        <v>365</v>
      </c>
      <c r="P6129" s="58">
        <v>839</v>
      </c>
      <c r="Q6129" s="26" t="s">
        <v>239</v>
      </c>
      <c r="R6129" s="34">
        <v>20</v>
      </c>
      <c r="S6129" s="59">
        <f>600*1.07</f>
        <v>642</v>
      </c>
      <c r="T6129" s="4">
        <v>0</v>
      </c>
      <c r="U6129" s="4">
        <f t="shared" ref="U6129:U6232" si="289">T6129*1.12</f>
        <v>0</v>
      </c>
      <c r="V6129" s="3"/>
      <c r="W6129" s="3">
        <v>2014</v>
      </c>
      <c r="X6129" s="3">
        <v>11.12</v>
      </c>
    </row>
    <row r="6130" spans="1:24" ht="114.75">
      <c r="A6130" s="3" t="s">
        <v>13631</v>
      </c>
      <c r="B6130" s="6" t="s">
        <v>361</v>
      </c>
      <c r="C6130" s="6" t="s">
        <v>6597</v>
      </c>
      <c r="D6130" s="6" t="s">
        <v>6598</v>
      </c>
      <c r="E6130" s="6" t="s">
        <v>6599</v>
      </c>
      <c r="F6130" s="229" t="s">
        <v>6632</v>
      </c>
      <c r="G6130" s="3" t="s">
        <v>11449</v>
      </c>
      <c r="H6130" s="185">
        <v>0</v>
      </c>
      <c r="I6130" s="16">
        <v>470000000</v>
      </c>
      <c r="J6130" s="56" t="s">
        <v>229</v>
      </c>
      <c r="K6130" s="57" t="s">
        <v>642</v>
      </c>
      <c r="L6130" s="12" t="s">
        <v>404</v>
      </c>
      <c r="M6130" s="3" t="s">
        <v>230</v>
      </c>
      <c r="N6130" s="8" t="s">
        <v>8899</v>
      </c>
      <c r="O6130" s="6" t="s">
        <v>365</v>
      </c>
      <c r="P6130" s="58">
        <v>839</v>
      </c>
      <c r="Q6130" s="26" t="s">
        <v>239</v>
      </c>
      <c r="R6130" s="34">
        <v>20</v>
      </c>
      <c r="S6130" s="59">
        <f>600*1.07</f>
        <v>642</v>
      </c>
      <c r="T6130" s="4">
        <f>R6130*S6130</f>
        <v>12840</v>
      </c>
      <c r="U6130" s="4">
        <f>T6130*1.12</f>
        <v>14380.800000000001</v>
      </c>
      <c r="V6130" s="3"/>
      <c r="W6130" s="3">
        <v>2014</v>
      </c>
      <c r="X6130" s="3"/>
    </row>
    <row r="6131" spans="1:24" ht="114.75">
      <c r="A6131" s="3" t="s">
        <v>2546</v>
      </c>
      <c r="B6131" s="6" t="s">
        <v>361</v>
      </c>
      <c r="C6131" s="6" t="s">
        <v>6633</v>
      </c>
      <c r="D6131" s="6" t="s">
        <v>398</v>
      </c>
      <c r="E6131" s="6" t="s">
        <v>5332</v>
      </c>
      <c r="F6131" s="229" t="s">
        <v>5734</v>
      </c>
      <c r="G6131" s="3" t="s">
        <v>11449</v>
      </c>
      <c r="H6131" s="185">
        <v>0</v>
      </c>
      <c r="I6131" s="16">
        <v>470000000</v>
      </c>
      <c r="J6131" s="56" t="s">
        <v>229</v>
      </c>
      <c r="K6131" s="57" t="s">
        <v>641</v>
      </c>
      <c r="L6131" s="57" t="s">
        <v>364</v>
      </c>
      <c r="M6131" s="3" t="s">
        <v>230</v>
      </c>
      <c r="N6131" s="8" t="s">
        <v>8899</v>
      </c>
      <c r="O6131" s="6" t="s">
        <v>365</v>
      </c>
      <c r="P6131" s="58">
        <v>796</v>
      </c>
      <c r="Q6131" s="27" t="s">
        <v>234</v>
      </c>
      <c r="R6131" s="34">
        <v>20</v>
      </c>
      <c r="S6131" s="59">
        <f>100*1.07</f>
        <v>107</v>
      </c>
      <c r="T6131" s="4">
        <v>0</v>
      </c>
      <c r="U6131" s="4">
        <f t="shared" si="289"/>
        <v>0</v>
      </c>
      <c r="V6131" s="3"/>
      <c r="W6131" s="3">
        <v>2014</v>
      </c>
      <c r="X6131" s="3">
        <v>11.12</v>
      </c>
    </row>
    <row r="6132" spans="1:24" ht="114.75">
      <c r="A6132" s="3" t="s">
        <v>13632</v>
      </c>
      <c r="B6132" s="6" t="s">
        <v>361</v>
      </c>
      <c r="C6132" s="6" t="s">
        <v>6633</v>
      </c>
      <c r="D6132" s="6" t="s">
        <v>398</v>
      </c>
      <c r="E6132" s="6" t="s">
        <v>5332</v>
      </c>
      <c r="F6132" s="229" t="s">
        <v>5734</v>
      </c>
      <c r="G6132" s="3" t="s">
        <v>11449</v>
      </c>
      <c r="H6132" s="185">
        <v>0</v>
      </c>
      <c r="I6132" s="16">
        <v>470000000</v>
      </c>
      <c r="J6132" s="56" t="s">
        <v>229</v>
      </c>
      <c r="K6132" s="57" t="s">
        <v>642</v>
      </c>
      <c r="L6132" s="12" t="s">
        <v>404</v>
      </c>
      <c r="M6132" s="3" t="s">
        <v>230</v>
      </c>
      <c r="N6132" s="8" t="s">
        <v>8899</v>
      </c>
      <c r="O6132" s="6" t="s">
        <v>365</v>
      </c>
      <c r="P6132" s="58">
        <v>796</v>
      </c>
      <c r="Q6132" s="27" t="s">
        <v>234</v>
      </c>
      <c r="R6132" s="34">
        <v>20</v>
      </c>
      <c r="S6132" s="59">
        <f>100*1.07</f>
        <v>107</v>
      </c>
      <c r="T6132" s="4">
        <f>R6132*S6132</f>
        <v>2140</v>
      </c>
      <c r="U6132" s="4">
        <f>T6132*1.12</f>
        <v>2396.8000000000002</v>
      </c>
      <c r="V6132" s="3"/>
      <c r="W6132" s="3">
        <v>2014</v>
      </c>
      <c r="X6132" s="3"/>
    </row>
    <row r="6133" spans="1:24" ht="114.75">
      <c r="A6133" s="3" t="s">
        <v>2547</v>
      </c>
      <c r="B6133" s="6" t="s">
        <v>361</v>
      </c>
      <c r="C6133" s="6" t="s">
        <v>6612</v>
      </c>
      <c r="D6133" s="6" t="s">
        <v>5357</v>
      </c>
      <c r="E6133" s="6" t="s">
        <v>6613</v>
      </c>
      <c r="F6133" s="229" t="s">
        <v>6634</v>
      </c>
      <c r="G6133" s="3" t="s">
        <v>11449</v>
      </c>
      <c r="H6133" s="185">
        <v>0</v>
      </c>
      <c r="I6133" s="16">
        <v>470000000</v>
      </c>
      <c r="J6133" s="56" t="s">
        <v>229</v>
      </c>
      <c r="K6133" s="57" t="s">
        <v>641</v>
      </c>
      <c r="L6133" s="57" t="s">
        <v>364</v>
      </c>
      <c r="M6133" s="3" t="s">
        <v>230</v>
      </c>
      <c r="N6133" s="8" t="s">
        <v>8899</v>
      </c>
      <c r="O6133" s="6" t="s">
        <v>365</v>
      </c>
      <c r="P6133" s="58">
        <v>839</v>
      </c>
      <c r="Q6133" s="26" t="s">
        <v>239</v>
      </c>
      <c r="R6133" s="34">
        <v>30</v>
      </c>
      <c r="S6133" s="59">
        <f>700*1.07</f>
        <v>749</v>
      </c>
      <c r="T6133" s="4">
        <v>0</v>
      </c>
      <c r="U6133" s="4">
        <f t="shared" si="289"/>
        <v>0</v>
      </c>
      <c r="V6133" s="3"/>
      <c r="W6133" s="3">
        <v>2014</v>
      </c>
      <c r="X6133" s="3">
        <v>11.12</v>
      </c>
    </row>
    <row r="6134" spans="1:24" ht="114.75">
      <c r="A6134" s="3" t="s">
        <v>13633</v>
      </c>
      <c r="B6134" s="6" t="s">
        <v>361</v>
      </c>
      <c r="C6134" s="6" t="s">
        <v>6612</v>
      </c>
      <c r="D6134" s="6" t="s">
        <v>5357</v>
      </c>
      <c r="E6134" s="6" t="s">
        <v>6613</v>
      </c>
      <c r="F6134" s="229" t="s">
        <v>6634</v>
      </c>
      <c r="G6134" s="3" t="s">
        <v>11449</v>
      </c>
      <c r="H6134" s="185">
        <v>0</v>
      </c>
      <c r="I6134" s="16">
        <v>470000000</v>
      </c>
      <c r="J6134" s="56" t="s">
        <v>229</v>
      </c>
      <c r="K6134" s="57" t="s">
        <v>642</v>
      </c>
      <c r="L6134" s="12" t="s">
        <v>404</v>
      </c>
      <c r="M6134" s="3" t="s">
        <v>230</v>
      </c>
      <c r="N6134" s="8" t="s">
        <v>8899</v>
      </c>
      <c r="O6134" s="6" t="s">
        <v>365</v>
      </c>
      <c r="P6134" s="58">
        <v>839</v>
      </c>
      <c r="Q6134" s="26" t="s">
        <v>239</v>
      </c>
      <c r="R6134" s="34">
        <v>30</v>
      </c>
      <c r="S6134" s="59">
        <f>700*1.07</f>
        <v>749</v>
      </c>
      <c r="T6134" s="4">
        <f>R6134*S6134</f>
        <v>22470</v>
      </c>
      <c r="U6134" s="4">
        <f>T6134*1.12</f>
        <v>25166.400000000001</v>
      </c>
      <c r="V6134" s="3"/>
      <c r="W6134" s="3">
        <v>2014</v>
      </c>
      <c r="X6134" s="3"/>
    </row>
    <row r="6135" spans="1:24" ht="114.75">
      <c r="A6135" s="3" t="s">
        <v>2548</v>
      </c>
      <c r="B6135" s="6" t="s">
        <v>361</v>
      </c>
      <c r="C6135" s="6" t="s">
        <v>7353</v>
      </c>
      <c r="D6135" s="6" t="s">
        <v>7354</v>
      </c>
      <c r="E6135" s="6" t="s">
        <v>7355</v>
      </c>
      <c r="F6135" s="229" t="s">
        <v>476</v>
      </c>
      <c r="G6135" s="3" t="s">
        <v>11449</v>
      </c>
      <c r="H6135" s="185">
        <v>0</v>
      </c>
      <c r="I6135" s="16">
        <v>470000000</v>
      </c>
      <c r="J6135" s="56" t="s">
        <v>229</v>
      </c>
      <c r="K6135" s="57" t="s">
        <v>641</v>
      </c>
      <c r="L6135" s="57" t="s">
        <v>364</v>
      </c>
      <c r="M6135" s="3" t="s">
        <v>230</v>
      </c>
      <c r="N6135" s="8" t="s">
        <v>8899</v>
      </c>
      <c r="O6135" s="6" t="s">
        <v>365</v>
      </c>
      <c r="P6135" s="58">
        <v>796</v>
      </c>
      <c r="Q6135" s="27" t="s">
        <v>234</v>
      </c>
      <c r="R6135" s="34">
        <v>300</v>
      </c>
      <c r="S6135" s="59">
        <f>500*1.07</f>
        <v>535</v>
      </c>
      <c r="T6135" s="4">
        <v>0</v>
      </c>
      <c r="U6135" s="4">
        <f t="shared" si="289"/>
        <v>0</v>
      </c>
      <c r="V6135" s="3"/>
      <c r="W6135" s="3">
        <v>2014</v>
      </c>
      <c r="X6135" s="3">
        <v>11.12</v>
      </c>
    </row>
    <row r="6136" spans="1:24" ht="114.75">
      <c r="A6136" s="3" t="s">
        <v>13634</v>
      </c>
      <c r="B6136" s="6" t="s">
        <v>361</v>
      </c>
      <c r="C6136" s="6" t="s">
        <v>7353</v>
      </c>
      <c r="D6136" s="6" t="s">
        <v>7354</v>
      </c>
      <c r="E6136" s="6" t="s">
        <v>7355</v>
      </c>
      <c r="F6136" s="229" t="s">
        <v>476</v>
      </c>
      <c r="G6136" s="3" t="s">
        <v>11449</v>
      </c>
      <c r="H6136" s="185">
        <v>0</v>
      </c>
      <c r="I6136" s="16">
        <v>470000000</v>
      </c>
      <c r="J6136" s="56" t="s">
        <v>229</v>
      </c>
      <c r="K6136" s="57" t="s">
        <v>642</v>
      </c>
      <c r="L6136" s="12" t="s">
        <v>404</v>
      </c>
      <c r="M6136" s="3" t="s">
        <v>230</v>
      </c>
      <c r="N6136" s="8" t="s">
        <v>8899</v>
      </c>
      <c r="O6136" s="6" t="s">
        <v>365</v>
      </c>
      <c r="P6136" s="58">
        <v>796</v>
      </c>
      <c r="Q6136" s="27" t="s">
        <v>234</v>
      </c>
      <c r="R6136" s="34">
        <v>300</v>
      </c>
      <c r="S6136" s="59">
        <f>500*1.07</f>
        <v>535</v>
      </c>
      <c r="T6136" s="4">
        <f>R6136*S6136</f>
        <v>160500</v>
      </c>
      <c r="U6136" s="4">
        <f>T6136*1.12</f>
        <v>179760.00000000003</v>
      </c>
      <c r="V6136" s="3"/>
      <c r="W6136" s="3">
        <v>2014</v>
      </c>
      <c r="X6136" s="3"/>
    </row>
    <row r="6137" spans="1:24" ht="114.75">
      <c r="A6137" s="3" t="s">
        <v>2549</v>
      </c>
      <c r="B6137" s="6" t="s">
        <v>361</v>
      </c>
      <c r="C6137" s="6" t="s">
        <v>6534</v>
      </c>
      <c r="D6137" s="6" t="s">
        <v>6535</v>
      </c>
      <c r="E6137" s="6" t="s">
        <v>6536</v>
      </c>
      <c r="F6137" s="229" t="s">
        <v>6635</v>
      </c>
      <c r="G6137" s="3" t="s">
        <v>11449</v>
      </c>
      <c r="H6137" s="185">
        <v>0</v>
      </c>
      <c r="I6137" s="16">
        <v>470000000</v>
      </c>
      <c r="J6137" s="56" t="s">
        <v>229</v>
      </c>
      <c r="K6137" s="57" t="s">
        <v>641</v>
      </c>
      <c r="L6137" s="57" t="s">
        <v>364</v>
      </c>
      <c r="M6137" s="3" t="s">
        <v>230</v>
      </c>
      <c r="N6137" s="8" t="s">
        <v>8899</v>
      </c>
      <c r="O6137" s="6" t="s">
        <v>365</v>
      </c>
      <c r="P6137" s="58">
        <v>796</v>
      </c>
      <c r="Q6137" s="27" t="s">
        <v>234</v>
      </c>
      <c r="R6137" s="32">
        <v>10</v>
      </c>
      <c r="S6137" s="59">
        <v>10317.92</v>
      </c>
      <c r="T6137" s="4">
        <v>0</v>
      </c>
      <c r="U6137" s="4">
        <f t="shared" si="289"/>
        <v>0</v>
      </c>
      <c r="V6137" s="3"/>
      <c r="W6137" s="3">
        <v>2014</v>
      </c>
      <c r="X6137" s="3">
        <v>11.12</v>
      </c>
    </row>
    <row r="6138" spans="1:24" ht="114.75">
      <c r="A6138" s="3" t="s">
        <v>13635</v>
      </c>
      <c r="B6138" s="6" t="s">
        <v>361</v>
      </c>
      <c r="C6138" s="6" t="s">
        <v>6534</v>
      </c>
      <c r="D6138" s="6" t="s">
        <v>6535</v>
      </c>
      <c r="E6138" s="6" t="s">
        <v>6536</v>
      </c>
      <c r="F6138" s="229" t="s">
        <v>6635</v>
      </c>
      <c r="G6138" s="3" t="s">
        <v>11449</v>
      </c>
      <c r="H6138" s="185">
        <v>0</v>
      </c>
      <c r="I6138" s="16">
        <v>470000000</v>
      </c>
      <c r="J6138" s="56" t="s">
        <v>229</v>
      </c>
      <c r="K6138" s="57" t="s">
        <v>642</v>
      </c>
      <c r="L6138" s="12" t="s">
        <v>404</v>
      </c>
      <c r="M6138" s="3" t="s">
        <v>230</v>
      </c>
      <c r="N6138" s="8" t="s">
        <v>8899</v>
      </c>
      <c r="O6138" s="6" t="s">
        <v>365</v>
      </c>
      <c r="P6138" s="58">
        <v>796</v>
      </c>
      <c r="Q6138" s="27" t="s">
        <v>234</v>
      </c>
      <c r="R6138" s="32">
        <v>10</v>
      </c>
      <c r="S6138" s="59">
        <v>10317.92</v>
      </c>
      <c r="T6138" s="4">
        <f>R6138*S6138</f>
        <v>103179.2</v>
      </c>
      <c r="U6138" s="4">
        <f>T6138*1.12</f>
        <v>115560.70400000001</v>
      </c>
      <c r="V6138" s="3"/>
      <c r="W6138" s="3">
        <v>2014</v>
      </c>
      <c r="X6138" s="3"/>
    </row>
    <row r="6139" spans="1:24" ht="114.75">
      <c r="A6139" s="3" t="s">
        <v>2550</v>
      </c>
      <c r="B6139" s="6" t="s">
        <v>361</v>
      </c>
      <c r="C6139" s="6" t="s">
        <v>3124</v>
      </c>
      <c r="D6139" s="6" t="s">
        <v>3125</v>
      </c>
      <c r="E6139" s="6" t="s">
        <v>3115</v>
      </c>
      <c r="F6139" s="229" t="s">
        <v>6636</v>
      </c>
      <c r="G6139" s="3" t="s">
        <v>11449</v>
      </c>
      <c r="H6139" s="185">
        <v>0</v>
      </c>
      <c r="I6139" s="16">
        <v>470000000</v>
      </c>
      <c r="J6139" s="56" t="s">
        <v>229</v>
      </c>
      <c r="K6139" s="57" t="s">
        <v>641</v>
      </c>
      <c r="L6139" s="57" t="s">
        <v>364</v>
      </c>
      <c r="M6139" s="3" t="s">
        <v>230</v>
      </c>
      <c r="N6139" s="8" t="s">
        <v>8899</v>
      </c>
      <c r="O6139" s="6" t="s">
        <v>365</v>
      </c>
      <c r="P6139" s="58">
        <v>796</v>
      </c>
      <c r="Q6139" s="27" t="s">
        <v>234</v>
      </c>
      <c r="R6139" s="32">
        <v>10</v>
      </c>
      <c r="S6139" s="59">
        <v>5601.16</v>
      </c>
      <c r="T6139" s="4">
        <v>0</v>
      </c>
      <c r="U6139" s="4">
        <f t="shared" si="289"/>
        <v>0</v>
      </c>
      <c r="V6139" s="3"/>
      <c r="W6139" s="3">
        <v>2014</v>
      </c>
      <c r="X6139" s="3">
        <v>11.12</v>
      </c>
    </row>
    <row r="6140" spans="1:24" ht="114.75">
      <c r="A6140" s="3" t="s">
        <v>13636</v>
      </c>
      <c r="B6140" s="6" t="s">
        <v>361</v>
      </c>
      <c r="C6140" s="6" t="s">
        <v>3124</v>
      </c>
      <c r="D6140" s="6" t="s">
        <v>3125</v>
      </c>
      <c r="E6140" s="6" t="s">
        <v>3115</v>
      </c>
      <c r="F6140" s="229" t="s">
        <v>6636</v>
      </c>
      <c r="G6140" s="3" t="s">
        <v>11449</v>
      </c>
      <c r="H6140" s="185">
        <v>0</v>
      </c>
      <c r="I6140" s="16">
        <v>470000000</v>
      </c>
      <c r="J6140" s="56" t="s">
        <v>229</v>
      </c>
      <c r="K6140" s="57" t="s">
        <v>642</v>
      </c>
      <c r="L6140" s="12" t="s">
        <v>404</v>
      </c>
      <c r="M6140" s="3" t="s">
        <v>230</v>
      </c>
      <c r="N6140" s="8" t="s">
        <v>8899</v>
      </c>
      <c r="O6140" s="6" t="s">
        <v>365</v>
      </c>
      <c r="P6140" s="58">
        <v>796</v>
      </c>
      <c r="Q6140" s="27" t="s">
        <v>234</v>
      </c>
      <c r="R6140" s="32">
        <v>10</v>
      </c>
      <c r="S6140" s="59">
        <v>5601.16</v>
      </c>
      <c r="T6140" s="4">
        <f>R6140*S6140</f>
        <v>56011.6</v>
      </c>
      <c r="U6140" s="4">
        <f>T6140*1.12</f>
        <v>62732.992000000006</v>
      </c>
      <c r="V6140" s="3"/>
      <c r="W6140" s="3">
        <v>2014</v>
      </c>
      <c r="X6140" s="3"/>
    </row>
    <row r="6141" spans="1:24" ht="114.75">
      <c r="A6141" s="3" t="s">
        <v>2551</v>
      </c>
      <c r="B6141" s="6" t="s">
        <v>361</v>
      </c>
      <c r="C6141" s="6" t="s">
        <v>6637</v>
      </c>
      <c r="D6141" s="6" t="s">
        <v>507</v>
      </c>
      <c r="E6141" s="6" t="s">
        <v>3115</v>
      </c>
      <c r="F6141" s="229" t="s">
        <v>6638</v>
      </c>
      <c r="G6141" s="3" t="s">
        <v>11449</v>
      </c>
      <c r="H6141" s="185">
        <v>0</v>
      </c>
      <c r="I6141" s="16">
        <v>470000000</v>
      </c>
      <c r="J6141" s="56" t="s">
        <v>229</v>
      </c>
      <c r="K6141" s="57" t="s">
        <v>641</v>
      </c>
      <c r="L6141" s="57" t="s">
        <v>364</v>
      </c>
      <c r="M6141" s="3" t="s">
        <v>230</v>
      </c>
      <c r="N6141" s="8" t="s">
        <v>8899</v>
      </c>
      <c r="O6141" s="6" t="s">
        <v>365</v>
      </c>
      <c r="P6141" s="58">
        <v>796</v>
      </c>
      <c r="Q6141" s="27" t="s">
        <v>234</v>
      </c>
      <c r="R6141" s="32">
        <v>10</v>
      </c>
      <c r="S6141" s="59">
        <v>10500</v>
      </c>
      <c r="T6141" s="4">
        <v>0</v>
      </c>
      <c r="U6141" s="4">
        <f t="shared" si="289"/>
        <v>0</v>
      </c>
      <c r="V6141" s="3"/>
      <c r="W6141" s="3">
        <v>2014</v>
      </c>
      <c r="X6141" s="3">
        <v>11.12</v>
      </c>
    </row>
    <row r="6142" spans="1:24" ht="114.75">
      <c r="A6142" s="3" t="s">
        <v>13637</v>
      </c>
      <c r="B6142" s="6" t="s">
        <v>361</v>
      </c>
      <c r="C6142" s="6" t="s">
        <v>6637</v>
      </c>
      <c r="D6142" s="6" t="s">
        <v>507</v>
      </c>
      <c r="E6142" s="6" t="s">
        <v>3115</v>
      </c>
      <c r="F6142" s="229" t="s">
        <v>6638</v>
      </c>
      <c r="G6142" s="3" t="s">
        <v>11449</v>
      </c>
      <c r="H6142" s="185">
        <v>0</v>
      </c>
      <c r="I6142" s="16">
        <v>470000000</v>
      </c>
      <c r="J6142" s="56" t="s">
        <v>229</v>
      </c>
      <c r="K6142" s="57" t="s">
        <v>642</v>
      </c>
      <c r="L6142" s="12" t="s">
        <v>404</v>
      </c>
      <c r="M6142" s="3" t="s">
        <v>230</v>
      </c>
      <c r="N6142" s="8" t="s">
        <v>8899</v>
      </c>
      <c r="O6142" s="6" t="s">
        <v>365</v>
      </c>
      <c r="P6142" s="58">
        <v>796</v>
      </c>
      <c r="Q6142" s="27" t="s">
        <v>234</v>
      </c>
      <c r="R6142" s="32">
        <v>10</v>
      </c>
      <c r="S6142" s="59">
        <v>10500</v>
      </c>
      <c r="T6142" s="4">
        <f>R6142*S6142</f>
        <v>105000</v>
      </c>
      <c r="U6142" s="4">
        <f>T6142*1.12</f>
        <v>117600.00000000001</v>
      </c>
      <c r="V6142" s="3"/>
      <c r="W6142" s="3">
        <v>2014</v>
      </c>
      <c r="X6142" s="3"/>
    </row>
    <row r="6143" spans="1:24" ht="114.75">
      <c r="A6143" s="3" t="s">
        <v>2552</v>
      </c>
      <c r="B6143" s="6" t="s">
        <v>361</v>
      </c>
      <c r="C6143" s="6" t="s">
        <v>6440</v>
      </c>
      <c r="D6143" s="6" t="s">
        <v>408</v>
      </c>
      <c r="E6143" s="6" t="s">
        <v>6274</v>
      </c>
      <c r="F6143" s="229" t="s">
        <v>6639</v>
      </c>
      <c r="G6143" s="3" t="s">
        <v>11449</v>
      </c>
      <c r="H6143" s="185">
        <v>0</v>
      </c>
      <c r="I6143" s="16">
        <v>470000000</v>
      </c>
      <c r="J6143" s="56" t="s">
        <v>229</v>
      </c>
      <c r="K6143" s="57" t="s">
        <v>641</v>
      </c>
      <c r="L6143" s="57" t="s">
        <v>364</v>
      </c>
      <c r="M6143" s="3" t="s">
        <v>230</v>
      </c>
      <c r="N6143" s="8" t="s">
        <v>8899</v>
      </c>
      <c r="O6143" s="6" t="s">
        <v>365</v>
      </c>
      <c r="P6143" s="58">
        <v>796</v>
      </c>
      <c r="Q6143" s="27" t="s">
        <v>234</v>
      </c>
      <c r="R6143" s="32">
        <v>20</v>
      </c>
      <c r="S6143" s="59">
        <v>745.80000000000007</v>
      </c>
      <c r="T6143" s="4">
        <v>0</v>
      </c>
      <c r="U6143" s="4">
        <f t="shared" si="289"/>
        <v>0</v>
      </c>
      <c r="V6143" s="3"/>
      <c r="W6143" s="3">
        <v>2014</v>
      </c>
      <c r="X6143" s="3">
        <v>11.12</v>
      </c>
    </row>
    <row r="6144" spans="1:24" ht="114.75">
      <c r="A6144" s="3" t="s">
        <v>13638</v>
      </c>
      <c r="B6144" s="6" t="s">
        <v>361</v>
      </c>
      <c r="C6144" s="6" t="s">
        <v>6440</v>
      </c>
      <c r="D6144" s="6" t="s">
        <v>408</v>
      </c>
      <c r="E6144" s="6" t="s">
        <v>6274</v>
      </c>
      <c r="F6144" s="229" t="s">
        <v>6639</v>
      </c>
      <c r="G6144" s="3" t="s">
        <v>11449</v>
      </c>
      <c r="H6144" s="185">
        <v>0</v>
      </c>
      <c r="I6144" s="16">
        <v>470000000</v>
      </c>
      <c r="J6144" s="56" t="s">
        <v>229</v>
      </c>
      <c r="K6144" s="57" t="s">
        <v>642</v>
      </c>
      <c r="L6144" s="12" t="s">
        <v>404</v>
      </c>
      <c r="M6144" s="3" t="s">
        <v>230</v>
      </c>
      <c r="N6144" s="8" t="s">
        <v>8899</v>
      </c>
      <c r="O6144" s="6" t="s">
        <v>365</v>
      </c>
      <c r="P6144" s="58">
        <v>796</v>
      </c>
      <c r="Q6144" s="27" t="s">
        <v>234</v>
      </c>
      <c r="R6144" s="32">
        <v>20</v>
      </c>
      <c r="S6144" s="59">
        <v>745.80000000000007</v>
      </c>
      <c r="T6144" s="4">
        <f>R6144*S6144</f>
        <v>14916.000000000002</v>
      </c>
      <c r="U6144" s="4">
        <f>T6144*1.12</f>
        <v>16705.920000000002</v>
      </c>
      <c r="V6144" s="3"/>
      <c r="W6144" s="3">
        <v>2014</v>
      </c>
      <c r="X6144" s="3"/>
    </row>
    <row r="6145" spans="1:24" ht="114.75">
      <c r="A6145" s="3" t="s">
        <v>2553</v>
      </c>
      <c r="B6145" s="6" t="s">
        <v>361</v>
      </c>
      <c r="C6145" s="6" t="s">
        <v>6440</v>
      </c>
      <c r="D6145" s="6" t="s">
        <v>408</v>
      </c>
      <c r="E6145" s="6" t="s">
        <v>6274</v>
      </c>
      <c r="F6145" s="229" t="s">
        <v>6640</v>
      </c>
      <c r="G6145" s="3" t="s">
        <v>11449</v>
      </c>
      <c r="H6145" s="185">
        <v>0</v>
      </c>
      <c r="I6145" s="16">
        <v>470000000</v>
      </c>
      <c r="J6145" s="56" t="s">
        <v>229</v>
      </c>
      <c r="K6145" s="57" t="s">
        <v>641</v>
      </c>
      <c r="L6145" s="57" t="s">
        <v>364</v>
      </c>
      <c r="M6145" s="3" t="s">
        <v>230</v>
      </c>
      <c r="N6145" s="8" t="s">
        <v>8899</v>
      </c>
      <c r="O6145" s="6" t="s">
        <v>365</v>
      </c>
      <c r="P6145" s="58">
        <v>796</v>
      </c>
      <c r="Q6145" s="27" t="s">
        <v>234</v>
      </c>
      <c r="R6145" s="32">
        <v>20</v>
      </c>
      <c r="S6145" s="59">
        <v>11196.900000000001</v>
      </c>
      <c r="T6145" s="4">
        <v>0</v>
      </c>
      <c r="U6145" s="4">
        <f t="shared" si="289"/>
        <v>0</v>
      </c>
      <c r="V6145" s="3"/>
      <c r="W6145" s="3">
        <v>2014</v>
      </c>
      <c r="X6145" s="3">
        <v>11.12</v>
      </c>
    </row>
    <row r="6146" spans="1:24" ht="114.75">
      <c r="A6146" s="3" t="s">
        <v>13639</v>
      </c>
      <c r="B6146" s="6" t="s">
        <v>361</v>
      </c>
      <c r="C6146" s="6" t="s">
        <v>6440</v>
      </c>
      <c r="D6146" s="6" t="s">
        <v>408</v>
      </c>
      <c r="E6146" s="6" t="s">
        <v>6274</v>
      </c>
      <c r="F6146" s="229" t="s">
        <v>6640</v>
      </c>
      <c r="G6146" s="3" t="s">
        <v>11449</v>
      </c>
      <c r="H6146" s="185">
        <v>0</v>
      </c>
      <c r="I6146" s="16">
        <v>470000000</v>
      </c>
      <c r="J6146" s="56" t="s">
        <v>229</v>
      </c>
      <c r="K6146" s="57" t="s">
        <v>642</v>
      </c>
      <c r="L6146" s="12" t="s">
        <v>404</v>
      </c>
      <c r="M6146" s="3" t="s">
        <v>230</v>
      </c>
      <c r="N6146" s="8" t="s">
        <v>8899</v>
      </c>
      <c r="O6146" s="6" t="s">
        <v>365</v>
      </c>
      <c r="P6146" s="58">
        <v>796</v>
      </c>
      <c r="Q6146" s="27" t="s">
        <v>234</v>
      </c>
      <c r="R6146" s="32">
        <v>20</v>
      </c>
      <c r="S6146" s="59">
        <v>11196.900000000001</v>
      </c>
      <c r="T6146" s="4">
        <f>R6146*S6146</f>
        <v>223938.00000000003</v>
      </c>
      <c r="U6146" s="4">
        <f>T6146*1.12</f>
        <v>250810.56000000006</v>
      </c>
      <c r="V6146" s="3"/>
      <c r="W6146" s="3">
        <v>2014</v>
      </c>
      <c r="X6146" s="3"/>
    </row>
    <row r="6147" spans="1:24" ht="114.75">
      <c r="A6147" s="3" t="s">
        <v>2554</v>
      </c>
      <c r="B6147" s="6" t="s">
        <v>361</v>
      </c>
      <c r="C6147" s="6" t="s">
        <v>6641</v>
      </c>
      <c r="D6147" s="6" t="s">
        <v>6642</v>
      </c>
      <c r="E6147" s="6" t="s">
        <v>3115</v>
      </c>
      <c r="F6147" s="229" t="s">
        <v>6643</v>
      </c>
      <c r="G6147" s="3" t="s">
        <v>11449</v>
      </c>
      <c r="H6147" s="185">
        <v>0</v>
      </c>
      <c r="I6147" s="16">
        <v>470000000</v>
      </c>
      <c r="J6147" s="56" t="s">
        <v>229</v>
      </c>
      <c r="K6147" s="57" t="s">
        <v>641</v>
      </c>
      <c r="L6147" s="57" t="s">
        <v>364</v>
      </c>
      <c r="M6147" s="3" t="s">
        <v>230</v>
      </c>
      <c r="N6147" s="8" t="s">
        <v>8899</v>
      </c>
      <c r="O6147" s="6" t="s">
        <v>365</v>
      </c>
      <c r="P6147" s="58">
        <v>796</v>
      </c>
      <c r="Q6147" s="27" t="s">
        <v>234</v>
      </c>
      <c r="R6147" s="32">
        <v>2</v>
      </c>
      <c r="S6147" s="59">
        <v>104504.40000000001</v>
      </c>
      <c r="T6147" s="4">
        <v>0</v>
      </c>
      <c r="U6147" s="4">
        <f t="shared" si="289"/>
        <v>0</v>
      </c>
      <c r="V6147" s="3"/>
      <c r="W6147" s="3">
        <v>2014</v>
      </c>
      <c r="X6147" s="3">
        <v>11.12</v>
      </c>
    </row>
    <row r="6148" spans="1:24" ht="114.75">
      <c r="A6148" s="3" t="s">
        <v>13640</v>
      </c>
      <c r="B6148" s="6" t="s">
        <v>361</v>
      </c>
      <c r="C6148" s="6" t="s">
        <v>6641</v>
      </c>
      <c r="D6148" s="6" t="s">
        <v>6642</v>
      </c>
      <c r="E6148" s="6" t="s">
        <v>3115</v>
      </c>
      <c r="F6148" s="229" t="s">
        <v>6643</v>
      </c>
      <c r="G6148" s="3" t="s">
        <v>11449</v>
      </c>
      <c r="H6148" s="185">
        <v>0</v>
      </c>
      <c r="I6148" s="16">
        <v>470000000</v>
      </c>
      <c r="J6148" s="56" t="s">
        <v>229</v>
      </c>
      <c r="K6148" s="57" t="s">
        <v>642</v>
      </c>
      <c r="L6148" s="12" t="s">
        <v>404</v>
      </c>
      <c r="M6148" s="3" t="s">
        <v>230</v>
      </c>
      <c r="N6148" s="8" t="s">
        <v>8899</v>
      </c>
      <c r="O6148" s="6" t="s">
        <v>365</v>
      </c>
      <c r="P6148" s="58">
        <v>796</v>
      </c>
      <c r="Q6148" s="27" t="s">
        <v>234</v>
      </c>
      <c r="R6148" s="32">
        <v>2</v>
      </c>
      <c r="S6148" s="59">
        <v>104504.40000000001</v>
      </c>
      <c r="T6148" s="4">
        <f>R6148*S6148</f>
        <v>209008.80000000002</v>
      </c>
      <c r="U6148" s="4">
        <f>T6148*1.12</f>
        <v>234089.85600000003</v>
      </c>
      <c r="V6148" s="3"/>
      <c r="W6148" s="3">
        <v>2014</v>
      </c>
      <c r="X6148" s="3"/>
    </row>
    <row r="6149" spans="1:24" ht="114.75">
      <c r="A6149" s="3" t="s">
        <v>2555</v>
      </c>
      <c r="B6149" s="6" t="s">
        <v>361</v>
      </c>
      <c r="C6149" s="6" t="s">
        <v>6500</v>
      </c>
      <c r="D6149" s="6" t="s">
        <v>468</v>
      </c>
      <c r="E6149" s="6" t="s">
        <v>6501</v>
      </c>
      <c r="F6149" s="229" t="s">
        <v>6644</v>
      </c>
      <c r="G6149" s="3" t="s">
        <v>11449</v>
      </c>
      <c r="H6149" s="185">
        <v>0</v>
      </c>
      <c r="I6149" s="16">
        <v>470000000</v>
      </c>
      <c r="J6149" s="56" t="s">
        <v>229</v>
      </c>
      <c r="K6149" s="57" t="s">
        <v>641</v>
      </c>
      <c r="L6149" s="57" t="s">
        <v>364</v>
      </c>
      <c r="M6149" s="3" t="s">
        <v>230</v>
      </c>
      <c r="N6149" s="8" t="s">
        <v>8899</v>
      </c>
      <c r="O6149" s="6" t="s">
        <v>365</v>
      </c>
      <c r="P6149" s="58">
        <v>796</v>
      </c>
      <c r="Q6149" s="27" t="s">
        <v>234</v>
      </c>
      <c r="R6149" s="32">
        <v>8</v>
      </c>
      <c r="S6149" s="59">
        <v>11196.900000000001</v>
      </c>
      <c r="T6149" s="4">
        <v>0</v>
      </c>
      <c r="U6149" s="4">
        <f t="shared" si="289"/>
        <v>0</v>
      </c>
      <c r="V6149" s="3"/>
      <c r="W6149" s="3">
        <v>2014</v>
      </c>
      <c r="X6149" s="3">
        <v>11.12</v>
      </c>
    </row>
    <row r="6150" spans="1:24" ht="114.75">
      <c r="A6150" s="3" t="s">
        <v>13641</v>
      </c>
      <c r="B6150" s="6" t="s">
        <v>361</v>
      </c>
      <c r="C6150" s="6" t="s">
        <v>6500</v>
      </c>
      <c r="D6150" s="6" t="s">
        <v>468</v>
      </c>
      <c r="E6150" s="6" t="s">
        <v>6501</v>
      </c>
      <c r="F6150" s="229" t="s">
        <v>6644</v>
      </c>
      <c r="G6150" s="3" t="s">
        <v>11449</v>
      </c>
      <c r="H6150" s="185">
        <v>0</v>
      </c>
      <c r="I6150" s="16">
        <v>470000000</v>
      </c>
      <c r="J6150" s="56" t="s">
        <v>229</v>
      </c>
      <c r="K6150" s="57" t="s">
        <v>642</v>
      </c>
      <c r="L6150" s="12" t="s">
        <v>404</v>
      </c>
      <c r="M6150" s="3" t="s">
        <v>230</v>
      </c>
      <c r="N6150" s="8" t="s">
        <v>8899</v>
      </c>
      <c r="O6150" s="6" t="s">
        <v>365</v>
      </c>
      <c r="P6150" s="58">
        <v>796</v>
      </c>
      <c r="Q6150" s="27" t="s">
        <v>234</v>
      </c>
      <c r="R6150" s="32">
        <v>8</v>
      </c>
      <c r="S6150" s="59">
        <v>11196.900000000001</v>
      </c>
      <c r="T6150" s="4">
        <f>R6150*S6150</f>
        <v>89575.200000000012</v>
      </c>
      <c r="U6150" s="4">
        <f>T6150*1.12</f>
        <v>100324.22400000002</v>
      </c>
      <c r="V6150" s="3"/>
      <c r="W6150" s="3">
        <v>2014</v>
      </c>
      <c r="X6150" s="3"/>
    </row>
    <row r="6151" spans="1:24" ht="114.75">
      <c r="A6151" s="3" t="s">
        <v>2556</v>
      </c>
      <c r="B6151" s="6" t="s">
        <v>361</v>
      </c>
      <c r="C6151" s="6" t="s">
        <v>6500</v>
      </c>
      <c r="D6151" s="6" t="s">
        <v>468</v>
      </c>
      <c r="E6151" s="6" t="s">
        <v>6501</v>
      </c>
      <c r="F6151" s="229" t="s">
        <v>6645</v>
      </c>
      <c r="G6151" s="3" t="s">
        <v>11449</v>
      </c>
      <c r="H6151" s="185">
        <v>0</v>
      </c>
      <c r="I6151" s="16">
        <v>470000000</v>
      </c>
      <c r="J6151" s="56" t="s">
        <v>229</v>
      </c>
      <c r="K6151" s="57" t="s">
        <v>641</v>
      </c>
      <c r="L6151" s="57" t="s">
        <v>364</v>
      </c>
      <c r="M6151" s="3" t="s">
        <v>230</v>
      </c>
      <c r="N6151" s="8" t="s">
        <v>8899</v>
      </c>
      <c r="O6151" s="6" t="s">
        <v>365</v>
      </c>
      <c r="P6151" s="58">
        <v>796</v>
      </c>
      <c r="Q6151" s="27" t="s">
        <v>234</v>
      </c>
      <c r="R6151" s="32">
        <v>8</v>
      </c>
      <c r="S6151" s="59">
        <v>11196.900000000001</v>
      </c>
      <c r="T6151" s="4">
        <v>0</v>
      </c>
      <c r="U6151" s="4">
        <f t="shared" si="289"/>
        <v>0</v>
      </c>
      <c r="V6151" s="3"/>
      <c r="W6151" s="3">
        <v>2014</v>
      </c>
      <c r="X6151" s="3">
        <v>11.12</v>
      </c>
    </row>
    <row r="6152" spans="1:24" ht="114.75">
      <c r="A6152" s="3" t="s">
        <v>13642</v>
      </c>
      <c r="B6152" s="6" t="s">
        <v>361</v>
      </c>
      <c r="C6152" s="6" t="s">
        <v>6500</v>
      </c>
      <c r="D6152" s="6" t="s">
        <v>468</v>
      </c>
      <c r="E6152" s="6" t="s">
        <v>6501</v>
      </c>
      <c r="F6152" s="229" t="s">
        <v>6645</v>
      </c>
      <c r="G6152" s="3" t="s">
        <v>11449</v>
      </c>
      <c r="H6152" s="185">
        <v>0</v>
      </c>
      <c r="I6152" s="16">
        <v>470000000</v>
      </c>
      <c r="J6152" s="56" t="s">
        <v>229</v>
      </c>
      <c r="K6152" s="57" t="s">
        <v>642</v>
      </c>
      <c r="L6152" s="12" t="s">
        <v>404</v>
      </c>
      <c r="M6152" s="3" t="s">
        <v>230</v>
      </c>
      <c r="N6152" s="8" t="s">
        <v>8899</v>
      </c>
      <c r="O6152" s="6" t="s">
        <v>365</v>
      </c>
      <c r="P6152" s="58">
        <v>796</v>
      </c>
      <c r="Q6152" s="27" t="s">
        <v>234</v>
      </c>
      <c r="R6152" s="32">
        <v>8</v>
      </c>
      <c r="S6152" s="59">
        <v>11196.900000000001</v>
      </c>
      <c r="T6152" s="4">
        <f>R6152*S6152</f>
        <v>89575.200000000012</v>
      </c>
      <c r="U6152" s="4">
        <f>T6152*1.12</f>
        <v>100324.22400000002</v>
      </c>
      <c r="V6152" s="3"/>
      <c r="W6152" s="3">
        <v>2014</v>
      </c>
      <c r="X6152" s="3"/>
    </row>
    <row r="6153" spans="1:24" ht="114.75">
      <c r="A6153" s="3" t="s">
        <v>2557</v>
      </c>
      <c r="B6153" s="6" t="s">
        <v>361</v>
      </c>
      <c r="C6153" s="6" t="s">
        <v>6509</v>
      </c>
      <c r="D6153" s="6" t="s">
        <v>429</v>
      </c>
      <c r="E6153" s="6" t="s">
        <v>6365</v>
      </c>
      <c r="F6153" s="229" t="s">
        <v>6646</v>
      </c>
      <c r="G6153" s="3" t="s">
        <v>11449</v>
      </c>
      <c r="H6153" s="185">
        <v>0</v>
      </c>
      <c r="I6153" s="16">
        <v>470000000</v>
      </c>
      <c r="J6153" s="56" t="s">
        <v>229</v>
      </c>
      <c r="K6153" s="57" t="s">
        <v>641</v>
      </c>
      <c r="L6153" s="57" t="s">
        <v>364</v>
      </c>
      <c r="M6153" s="3" t="s">
        <v>230</v>
      </c>
      <c r="N6153" s="8" t="s">
        <v>8899</v>
      </c>
      <c r="O6153" s="6" t="s">
        <v>365</v>
      </c>
      <c r="P6153" s="58">
        <v>796</v>
      </c>
      <c r="Q6153" s="27" t="s">
        <v>234</v>
      </c>
      <c r="R6153" s="32">
        <v>8</v>
      </c>
      <c r="S6153" s="59">
        <v>12315.6</v>
      </c>
      <c r="T6153" s="4">
        <v>0</v>
      </c>
      <c r="U6153" s="4">
        <f t="shared" si="289"/>
        <v>0</v>
      </c>
      <c r="V6153" s="3"/>
      <c r="W6153" s="3">
        <v>2014</v>
      </c>
      <c r="X6153" s="3">
        <v>11.12</v>
      </c>
    </row>
    <row r="6154" spans="1:24" ht="114.75">
      <c r="A6154" s="3" t="s">
        <v>13643</v>
      </c>
      <c r="B6154" s="6" t="s">
        <v>361</v>
      </c>
      <c r="C6154" s="6" t="s">
        <v>6509</v>
      </c>
      <c r="D6154" s="6" t="s">
        <v>429</v>
      </c>
      <c r="E6154" s="6" t="s">
        <v>6365</v>
      </c>
      <c r="F6154" s="229" t="s">
        <v>6646</v>
      </c>
      <c r="G6154" s="3" t="s">
        <v>11449</v>
      </c>
      <c r="H6154" s="185">
        <v>0</v>
      </c>
      <c r="I6154" s="16">
        <v>470000000</v>
      </c>
      <c r="J6154" s="56" t="s">
        <v>229</v>
      </c>
      <c r="K6154" s="57" t="s">
        <v>642</v>
      </c>
      <c r="L6154" s="12" t="s">
        <v>404</v>
      </c>
      <c r="M6154" s="3" t="s">
        <v>230</v>
      </c>
      <c r="N6154" s="8" t="s">
        <v>8899</v>
      </c>
      <c r="O6154" s="6" t="s">
        <v>365</v>
      </c>
      <c r="P6154" s="58">
        <v>796</v>
      </c>
      <c r="Q6154" s="27" t="s">
        <v>234</v>
      </c>
      <c r="R6154" s="32">
        <v>8</v>
      </c>
      <c r="S6154" s="59">
        <v>12315.6</v>
      </c>
      <c r="T6154" s="4">
        <f>R6154*S6154</f>
        <v>98524.800000000003</v>
      </c>
      <c r="U6154" s="4">
        <f>T6154*1.12</f>
        <v>110347.77600000001</v>
      </c>
      <c r="V6154" s="3"/>
      <c r="W6154" s="3">
        <v>2014</v>
      </c>
      <c r="X6154" s="3"/>
    </row>
    <row r="6155" spans="1:24" ht="114.75">
      <c r="A6155" s="3" t="s">
        <v>2558</v>
      </c>
      <c r="B6155" s="6" t="s">
        <v>361</v>
      </c>
      <c r="C6155" s="6" t="s">
        <v>6509</v>
      </c>
      <c r="D6155" s="6" t="s">
        <v>429</v>
      </c>
      <c r="E6155" s="6" t="s">
        <v>6365</v>
      </c>
      <c r="F6155" s="229" t="s">
        <v>6647</v>
      </c>
      <c r="G6155" s="3" t="s">
        <v>11449</v>
      </c>
      <c r="H6155" s="185">
        <v>0</v>
      </c>
      <c r="I6155" s="16">
        <v>470000000</v>
      </c>
      <c r="J6155" s="56" t="s">
        <v>229</v>
      </c>
      <c r="K6155" s="57" t="s">
        <v>641</v>
      </c>
      <c r="L6155" s="57" t="s">
        <v>364</v>
      </c>
      <c r="M6155" s="3" t="s">
        <v>230</v>
      </c>
      <c r="N6155" s="8" t="s">
        <v>8899</v>
      </c>
      <c r="O6155" s="6" t="s">
        <v>365</v>
      </c>
      <c r="P6155" s="58">
        <v>796</v>
      </c>
      <c r="Q6155" s="27" t="s">
        <v>234</v>
      </c>
      <c r="R6155" s="32">
        <v>8</v>
      </c>
      <c r="S6155" s="59">
        <v>10450</v>
      </c>
      <c r="T6155" s="4">
        <v>0</v>
      </c>
      <c r="U6155" s="4">
        <f t="shared" si="289"/>
        <v>0</v>
      </c>
      <c r="V6155" s="3"/>
      <c r="W6155" s="3">
        <v>2014</v>
      </c>
      <c r="X6155" s="3">
        <v>11.12</v>
      </c>
    </row>
    <row r="6156" spans="1:24" ht="114.75">
      <c r="A6156" s="3" t="s">
        <v>13644</v>
      </c>
      <c r="B6156" s="6" t="s">
        <v>361</v>
      </c>
      <c r="C6156" s="6" t="s">
        <v>6509</v>
      </c>
      <c r="D6156" s="6" t="s">
        <v>429</v>
      </c>
      <c r="E6156" s="6" t="s">
        <v>6365</v>
      </c>
      <c r="F6156" s="229" t="s">
        <v>6647</v>
      </c>
      <c r="G6156" s="3" t="s">
        <v>11449</v>
      </c>
      <c r="H6156" s="185">
        <v>0</v>
      </c>
      <c r="I6156" s="16">
        <v>470000000</v>
      </c>
      <c r="J6156" s="56" t="s">
        <v>229</v>
      </c>
      <c r="K6156" s="57" t="s">
        <v>642</v>
      </c>
      <c r="L6156" s="12" t="s">
        <v>404</v>
      </c>
      <c r="M6156" s="3" t="s">
        <v>230</v>
      </c>
      <c r="N6156" s="8" t="s">
        <v>8899</v>
      </c>
      <c r="O6156" s="6" t="s">
        <v>365</v>
      </c>
      <c r="P6156" s="58">
        <v>796</v>
      </c>
      <c r="Q6156" s="27" t="s">
        <v>234</v>
      </c>
      <c r="R6156" s="32">
        <v>8</v>
      </c>
      <c r="S6156" s="59">
        <v>10450</v>
      </c>
      <c r="T6156" s="4">
        <f>R6156*S6156</f>
        <v>83600</v>
      </c>
      <c r="U6156" s="4">
        <f>T6156*1.12</f>
        <v>93632.000000000015</v>
      </c>
      <c r="V6156" s="3"/>
      <c r="W6156" s="3">
        <v>2014</v>
      </c>
      <c r="X6156" s="3"/>
    </row>
    <row r="6157" spans="1:24" ht="114.75">
      <c r="A6157" s="3" t="s">
        <v>2559</v>
      </c>
      <c r="B6157" s="6" t="s">
        <v>361</v>
      </c>
      <c r="C6157" s="6" t="s">
        <v>6648</v>
      </c>
      <c r="D6157" s="6" t="s">
        <v>6649</v>
      </c>
      <c r="E6157" s="6" t="s">
        <v>6650</v>
      </c>
      <c r="F6157" s="229" t="s">
        <v>6651</v>
      </c>
      <c r="G6157" s="3" t="s">
        <v>11449</v>
      </c>
      <c r="H6157" s="185">
        <v>0</v>
      </c>
      <c r="I6157" s="16">
        <v>470000000</v>
      </c>
      <c r="J6157" s="56" t="s">
        <v>229</v>
      </c>
      <c r="K6157" s="57" t="s">
        <v>641</v>
      </c>
      <c r="L6157" s="57" t="s">
        <v>364</v>
      </c>
      <c r="M6157" s="3" t="s">
        <v>230</v>
      </c>
      <c r="N6157" s="8" t="s">
        <v>8899</v>
      </c>
      <c r="O6157" s="6" t="s">
        <v>365</v>
      </c>
      <c r="P6157" s="58">
        <v>796</v>
      </c>
      <c r="Q6157" s="27" t="s">
        <v>234</v>
      </c>
      <c r="R6157" s="32">
        <v>8</v>
      </c>
      <c r="S6157" s="59">
        <v>32470.9</v>
      </c>
      <c r="T6157" s="4">
        <v>0</v>
      </c>
      <c r="U6157" s="4">
        <f t="shared" si="289"/>
        <v>0</v>
      </c>
      <c r="V6157" s="3"/>
      <c r="W6157" s="3">
        <v>2014</v>
      </c>
      <c r="X6157" s="3">
        <v>11.12</v>
      </c>
    </row>
    <row r="6158" spans="1:24" ht="114.75">
      <c r="A6158" s="3" t="s">
        <v>13645</v>
      </c>
      <c r="B6158" s="6" t="s">
        <v>361</v>
      </c>
      <c r="C6158" s="6" t="s">
        <v>6648</v>
      </c>
      <c r="D6158" s="6" t="s">
        <v>6649</v>
      </c>
      <c r="E6158" s="6" t="s">
        <v>6650</v>
      </c>
      <c r="F6158" s="229" t="s">
        <v>6651</v>
      </c>
      <c r="G6158" s="3" t="s">
        <v>11449</v>
      </c>
      <c r="H6158" s="185">
        <v>0</v>
      </c>
      <c r="I6158" s="16">
        <v>470000000</v>
      </c>
      <c r="J6158" s="56" t="s">
        <v>229</v>
      </c>
      <c r="K6158" s="57" t="s">
        <v>642</v>
      </c>
      <c r="L6158" s="12" t="s">
        <v>404</v>
      </c>
      <c r="M6158" s="3" t="s">
        <v>230</v>
      </c>
      <c r="N6158" s="8" t="s">
        <v>8899</v>
      </c>
      <c r="O6158" s="6" t="s">
        <v>365</v>
      </c>
      <c r="P6158" s="58">
        <v>796</v>
      </c>
      <c r="Q6158" s="27" t="s">
        <v>234</v>
      </c>
      <c r="R6158" s="32">
        <v>8</v>
      </c>
      <c r="S6158" s="59">
        <v>32470.9</v>
      </c>
      <c r="T6158" s="4">
        <f>R6158*S6158</f>
        <v>259767.2</v>
      </c>
      <c r="U6158" s="4">
        <f>T6158*1.12</f>
        <v>290939.26400000002</v>
      </c>
      <c r="V6158" s="3"/>
      <c r="W6158" s="3">
        <v>2014</v>
      </c>
      <c r="X6158" s="3"/>
    </row>
    <row r="6159" spans="1:24" ht="114.75">
      <c r="A6159" s="3" t="s">
        <v>2560</v>
      </c>
      <c r="B6159" s="6" t="s">
        <v>361</v>
      </c>
      <c r="C6159" s="6" t="s">
        <v>5560</v>
      </c>
      <c r="D6159" s="6" t="s">
        <v>415</v>
      </c>
      <c r="E6159" s="6" t="s">
        <v>5561</v>
      </c>
      <c r="F6159" s="229" t="s">
        <v>6652</v>
      </c>
      <c r="G6159" s="3" t="s">
        <v>11449</v>
      </c>
      <c r="H6159" s="185">
        <v>0</v>
      </c>
      <c r="I6159" s="16">
        <v>470000000</v>
      </c>
      <c r="J6159" s="56" t="s">
        <v>229</v>
      </c>
      <c r="K6159" s="57" t="s">
        <v>641</v>
      </c>
      <c r="L6159" s="57" t="s">
        <v>364</v>
      </c>
      <c r="M6159" s="3" t="s">
        <v>230</v>
      </c>
      <c r="N6159" s="8" t="s">
        <v>8899</v>
      </c>
      <c r="O6159" s="6" t="s">
        <v>365</v>
      </c>
      <c r="P6159" s="58">
        <v>796</v>
      </c>
      <c r="Q6159" s="27" t="s">
        <v>234</v>
      </c>
      <c r="R6159" s="32">
        <v>8</v>
      </c>
      <c r="S6159" s="59">
        <v>34336.5</v>
      </c>
      <c r="T6159" s="4">
        <v>0</v>
      </c>
      <c r="U6159" s="4">
        <f t="shared" si="289"/>
        <v>0</v>
      </c>
      <c r="V6159" s="3"/>
      <c r="W6159" s="3">
        <v>2014</v>
      </c>
      <c r="X6159" s="3">
        <v>11.12</v>
      </c>
    </row>
    <row r="6160" spans="1:24" ht="114.75">
      <c r="A6160" s="3" t="s">
        <v>13646</v>
      </c>
      <c r="B6160" s="6" t="s">
        <v>361</v>
      </c>
      <c r="C6160" s="6" t="s">
        <v>5560</v>
      </c>
      <c r="D6160" s="6" t="s">
        <v>415</v>
      </c>
      <c r="E6160" s="6" t="s">
        <v>5561</v>
      </c>
      <c r="F6160" s="229" t="s">
        <v>6652</v>
      </c>
      <c r="G6160" s="3" t="s">
        <v>11449</v>
      </c>
      <c r="H6160" s="185">
        <v>0</v>
      </c>
      <c r="I6160" s="16">
        <v>470000000</v>
      </c>
      <c r="J6160" s="56" t="s">
        <v>229</v>
      </c>
      <c r="K6160" s="57" t="s">
        <v>642</v>
      </c>
      <c r="L6160" s="12" t="s">
        <v>404</v>
      </c>
      <c r="M6160" s="3" t="s">
        <v>230</v>
      </c>
      <c r="N6160" s="8" t="s">
        <v>8899</v>
      </c>
      <c r="O6160" s="6" t="s">
        <v>365</v>
      </c>
      <c r="P6160" s="58">
        <v>796</v>
      </c>
      <c r="Q6160" s="27" t="s">
        <v>234</v>
      </c>
      <c r="R6160" s="32">
        <v>8</v>
      </c>
      <c r="S6160" s="59">
        <v>34336.5</v>
      </c>
      <c r="T6160" s="4">
        <f>R6160*S6160</f>
        <v>274692</v>
      </c>
      <c r="U6160" s="4">
        <f>T6160*1.12</f>
        <v>307655.04000000004</v>
      </c>
      <c r="V6160" s="3"/>
      <c r="W6160" s="3">
        <v>2014</v>
      </c>
      <c r="X6160" s="3"/>
    </row>
    <row r="6161" spans="1:24" ht="114.75">
      <c r="A6161" s="3" t="s">
        <v>2561</v>
      </c>
      <c r="B6161" s="6" t="s">
        <v>361</v>
      </c>
      <c r="C6161" s="6" t="s">
        <v>5560</v>
      </c>
      <c r="D6161" s="6" t="s">
        <v>415</v>
      </c>
      <c r="E6161" s="6" t="s">
        <v>5561</v>
      </c>
      <c r="F6161" s="229" t="s">
        <v>6653</v>
      </c>
      <c r="G6161" s="3" t="s">
        <v>11449</v>
      </c>
      <c r="H6161" s="185">
        <v>0</v>
      </c>
      <c r="I6161" s="16">
        <v>470000000</v>
      </c>
      <c r="J6161" s="56" t="s">
        <v>229</v>
      </c>
      <c r="K6161" s="57" t="s">
        <v>641</v>
      </c>
      <c r="L6161" s="57" t="s">
        <v>364</v>
      </c>
      <c r="M6161" s="3" t="s">
        <v>230</v>
      </c>
      <c r="N6161" s="8" t="s">
        <v>8899</v>
      </c>
      <c r="O6161" s="6" t="s">
        <v>365</v>
      </c>
      <c r="P6161" s="58">
        <v>796</v>
      </c>
      <c r="Q6161" s="27" t="s">
        <v>234</v>
      </c>
      <c r="R6161" s="32">
        <v>8</v>
      </c>
      <c r="S6161" s="59">
        <v>31351.100000000002</v>
      </c>
      <c r="T6161" s="4">
        <v>0</v>
      </c>
      <c r="U6161" s="4">
        <f t="shared" si="289"/>
        <v>0</v>
      </c>
      <c r="V6161" s="3"/>
      <c r="W6161" s="3">
        <v>2014</v>
      </c>
      <c r="X6161" s="3">
        <v>11.12</v>
      </c>
    </row>
    <row r="6162" spans="1:24" ht="114.75">
      <c r="A6162" s="3" t="s">
        <v>13647</v>
      </c>
      <c r="B6162" s="6" t="s">
        <v>361</v>
      </c>
      <c r="C6162" s="6" t="s">
        <v>5560</v>
      </c>
      <c r="D6162" s="6" t="s">
        <v>415</v>
      </c>
      <c r="E6162" s="6" t="s">
        <v>5561</v>
      </c>
      <c r="F6162" s="229" t="s">
        <v>6653</v>
      </c>
      <c r="G6162" s="3" t="s">
        <v>11449</v>
      </c>
      <c r="H6162" s="185">
        <v>0</v>
      </c>
      <c r="I6162" s="16">
        <v>470000000</v>
      </c>
      <c r="J6162" s="56" t="s">
        <v>229</v>
      </c>
      <c r="K6162" s="57" t="s">
        <v>642</v>
      </c>
      <c r="L6162" s="12" t="s">
        <v>404</v>
      </c>
      <c r="M6162" s="3" t="s">
        <v>230</v>
      </c>
      <c r="N6162" s="8" t="s">
        <v>8899</v>
      </c>
      <c r="O6162" s="6" t="s">
        <v>365</v>
      </c>
      <c r="P6162" s="58">
        <v>796</v>
      </c>
      <c r="Q6162" s="27" t="s">
        <v>234</v>
      </c>
      <c r="R6162" s="32">
        <v>8</v>
      </c>
      <c r="S6162" s="59">
        <v>31351.100000000002</v>
      </c>
      <c r="T6162" s="4">
        <f>R6162*S6162</f>
        <v>250808.80000000002</v>
      </c>
      <c r="U6162" s="4">
        <f>T6162*1.12</f>
        <v>280905.85600000003</v>
      </c>
      <c r="V6162" s="3"/>
      <c r="W6162" s="3">
        <v>2014</v>
      </c>
      <c r="X6162" s="3"/>
    </row>
    <row r="6163" spans="1:24" ht="114.75">
      <c r="A6163" s="3" t="s">
        <v>2562</v>
      </c>
      <c r="B6163" s="6" t="s">
        <v>361</v>
      </c>
      <c r="C6163" s="6" t="s">
        <v>5560</v>
      </c>
      <c r="D6163" s="6" t="s">
        <v>415</v>
      </c>
      <c r="E6163" s="6" t="s">
        <v>5561</v>
      </c>
      <c r="F6163" s="229" t="s">
        <v>6654</v>
      </c>
      <c r="G6163" s="3" t="s">
        <v>11449</v>
      </c>
      <c r="H6163" s="185">
        <v>0</v>
      </c>
      <c r="I6163" s="16">
        <v>470000000</v>
      </c>
      <c r="J6163" s="56" t="s">
        <v>229</v>
      </c>
      <c r="K6163" s="57" t="s">
        <v>641</v>
      </c>
      <c r="L6163" s="57" t="s">
        <v>364</v>
      </c>
      <c r="M6163" s="3" t="s">
        <v>230</v>
      </c>
      <c r="N6163" s="8" t="s">
        <v>8899</v>
      </c>
      <c r="O6163" s="6" t="s">
        <v>365</v>
      </c>
      <c r="P6163" s="58">
        <v>796</v>
      </c>
      <c r="Q6163" s="27" t="s">
        <v>234</v>
      </c>
      <c r="R6163" s="32">
        <v>10</v>
      </c>
      <c r="S6163" s="59">
        <v>17167.7</v>
      </c>
      <c r="T6163" s="4">
        <v>0</v>
      </c>
      <c r="U6163" s="4">
        <f t="shared" si="289"/>
        <v>0</v>
      </c>
      <c r="V6163" s="3"/>
      <c r="W6163" s="3">
        <v>2014</v>
      </c>
      <c r="X6163" s="3">
        <v>11.12</v>
      </c>
    </row>
    <row r="6164" spans="1:24" ht="114.75">
      <c r="A6164" s="3" t="s">
        <v>13648</v>
      </c>
      <c r="B6164" s="6" t="s">
        <v>361</v>
      </c>
      <c r="C6164" s="6" t="s">
        <v>5560</v>
      </c>
      <c r="D6164" s="6" t="s">
        <v>415</v>
      </c>
      <c r="E6164" s="6" t="s">
        <v>5561</v>
      </c>
      <c r="F6164" s="229" t="s">
        <v>6654</v>
      </c>
      <c r="G6164" s="3" t="s">
        <v>11449</v>
      </c>
      <c r="H6164" s="185">
        <v>0</v>
      </c>
      <c r="I6164" s="16">
        <v>470000000</v>
      </c>
      <c r="J6164" s="56" t="s">
        <v>229</v>
      </c>
      <c r="K6164" s="57" t="s">
        <v>642</v>
      </c>
      <c r="L6164" s="12" t="s">
        <v>404</v>
      </c>
      <c r="M6164" s="3" t="s">
        <v>230</v>
      </c>
      <c r="N6164" s="8" t="s">
        <v>8899</v>
      </c>
      <c r="O6164" s="6" t="s">
        <v>365</v>
      </c>
      <c r="P6164" s="58">
        <v>796</v>
      </c>
      <c r="Q6164" s="27" t="s">
        <v>234</v>
      </c>
      <c r="R6164" s="32">
        <v>10</v>
      </c>
      <c r="S6164" s="59">
        <v>17167.7</v>
      </c>
      <c r="T6164" s="4">
        <f>R6164*S6164</f>
        <v>171677</v>
      </c>
      <c r="U6164" s="4">
        <f>T6164*1.12</f>
        <v>192278.24000000002</v>
      </c>
      <c r="V6164" s="3"/>
      <c r="W6164" s="3">
        <v>2014</v>
      </c>
      <c r="X6164" s="3"/>
    </row>
    <row r="6165" spans="1:24" ht="114.75">
      <c r="A6165" s="3" t="s">
        <v>2563</v>
      </c>
      <c r="B6165" s="6" t="s">
        <v>361</v>
      </c>
      <c r="C6165" s="6" t="s">
        <v>5560</v>
      </c>
      <c r="D6165" s="6" t="s">
        <v>415</v>
      </c>
      <c r="E6165" s="6" t="s">
        <v>5561</v>
      </c>
      <c r="F6165" s="229" t="s">
        <v>6655</v>
      </c>
      <c r="G6165" s="3" t="s">
        <v>11449</v>
      </c>
      <c r="H6165" s="185">
        <v>0</v>
      </c>
      <c r="I6165" s="16">
        <v>470000000</v>
      </c>
      <c r="J6165" s="56" t="s">
        <v>229</v>
      </c>
      <c r="K6165" s="57" t="s">
        <v>641</v>
      </c>
      <c r="L6165" s="57" t="s">
        <v>364</v>
      </c>
      <c r="M6165" s="3" t="s">
        <v>230</v>
      </c>
      <c r="N6165" s="8" t="s">
        <v>8899</v>
      </c>
      <c r="O6165" s="6" t="s">
        <v>365</v>
      </c>
      <c r="P6165" s="58">
        <v>796</v>
      </c>
      <c r="Q6165" s="27" t="s">
        <v>234</v>
      </c>
      <c r="R6165" s="32">
        <v>8</v>
      </c>
      <c r="S6165" s="59">
        <v>80243.900000000009</v>
      </c>
      <c r="T6165" s="4">
        <v>0</v>
      </c>
      <c r="U6165" s="4">
        <f t="shared" si="289"/>
        <v>0</v>
      </c>
      <c r="V6165" s="3"/>
      <c r="W6165" s="3">
        <v>2014</v>
      </c>
      <c r="X6165" s="3">
        <v>11.12</v>
      </c>
    </row>
    <row r="6166" spans="1:24" ht="114.75">
      <c r="A6166" s="3" t="s">
        <v>13649</v>
      </c>
      <c r="B6166" s="6" t="s">
        <v>361</v>
      </c>
      <c r="C6166" s="6" t="s">
        <v>5560</v>
      </c>
      <c r="D6166" s="6" t="s">
        <v>415</v>
      </c>
      <c r="E6166" s="6" t="s">
        <v>5561</v>
      </c>
      <c r="F6166" s="229" t="s">
        <v>6655</v>
      </c>
      <c r="G6166" s="3" t="s">
        <v>11449</v>
      </c>
      <c r="H6166" s="185">
        <v>0</v>
      </c>
      <c r="I6166" s="16">
        <v>470000000</v>
      </c>
      <c r="J6166" s="56" t="s">
        <v>229</v>
      </c>
      <c r="K6166" s="57" t="s">
        <v>642</v>
      </c>
      <c r="L6166" s="12" t="s">
        <v>404</v>
      </c>
      <c r="M6166" s="3" t="s">
        <v>230</v>
      </c>
      <c r="N6166" s="8" t="s">
        <v>8899</v>
      </c>
      <c r="O6166" s="6" t="s">
        <v>365</v>
      </c>
      <c r="P6166" s="58">
        <v>796</v>
      </c>
      <c r="Q6166" s="27" t="s">
        <v>234</v>
      </c>
      <c r="R6166" s="32">
        <v>8</v>
      </c>
      <c r="S6166" s="59">
        <v>80243.900000000009</v>
      </c>
      <c r="T6166" s="4">
        <f>R6166*S6166</f>
        <v>641951.20000000007</v>
      </c>
      <c r="U6166" s="4">
        <f>T6166*1.12</f>
        <v>718985.34400000016</v>
      </c>
      <c r="V6166" s="3"/>
      <c r="W6166" s="3">
        <v>2014</v>
      </c>
      <c r="X6166" s="3"/>
    </row>
    <row r="6167" spans="1:24" ht="114.75">
      <c r="A6167" s="3" t="s">
        <v>2564</v>
      </c>
      <c r="B6167" s="6" t="s">
        <v>361</v>
      </c>
      <c r="C6167" s="6" t="s">
        <v>5578</v>
      </c>
      <c r="D6167" s="6" t="s">
        <v>458</v>
      </c>
      <c r="E6167" s="6" t="s">
        <v>5332</v>
      </c>
      <c r="F6167" s="229" t="s">
        <v>6656</v>
      </c>
      <c r="G6167" s="3" t="s">
        <v>11449</v>
      </c>
      <c r="H6167" s="185">
        <v>0</v>
      </c>
      <c r="I6167" s="16">
        <v>470000000</v>
      </c>
      <c r="J6167" s="56" t="s">
        <v>229</v>
      </c>
      <c r="K6167" s="57" t="s">
        <v>641</v>
      </c>
      <c r="L6167" s="57" t="s">
        <v>364</v>
      </c>
      <c r="M6167" s="3" t="s">
        <v>230</v>
      </c>
      <c r="N6167" s="8" t="s">
        <v>8899</v>
      </c>
      <c r="O6167" s="6" t="s">
        <v>365</v>
      </c>
      <c r="P6167" s="58">
        <v>796</v>
      </c>
      <c r="Q6167" s="27" t="s">
        <v>234</v>
      </c>
      <c r="R6167" s="32">
        <v>8</v>
      </c>
      <c r="S6167" s="59">
        <v>100</v>
      </c>
      <c r="T6167" s="4">
        <v>0</v>
      </c>
      <c r="U6167" s="4">
        <f t="shared" si="289"/>
        <v>0</v>
      </c>
      <c r="V6167" s="3"/>
      <c r="W6167" s="3">
        <v>2014</v>
      </c>
      <c r="X6167" s="3">
        <v>11.12</v>
      </c>
    </row>
    <row r="6168" spans="1:24" ht="114.75">
      <c r="A6168" s="3" t="s">
        <v>13650</v>
      </c>
      <c r="B6168" s="6" t="s">
        <v>361</v>
      </c>
      <c r="C6168" s="6" t="s">
        <v>5578</v>
      </c>
      <c r="D6168" s="6" t="s">
        <v>458</v>
      </c>
      <c r="E6168" s="6" t="s">
        <v>5332</v>
      </c>
      <c r="F6168" s="229" t="s">
        <v>6656</v>
      </c>
      <c r="G6168" s="3" t="s">
        <v>11449</v>
      </c>
      <c r="H6168" s="185">
        <v>0</v>
      </c>
      <c r="I6168" s="16">
        <v>470000000</v>
      </c>
      <c r="J6168" s="56" t="s">
        <v>229</v>
      </c>
      <c r="K6168" s="57" t="s">
        <v>642</v>
      </c>
      <c r="L6168" s="12" t="s">
        <v>404</v>
      </c>
      <c r="M6168" s="3" t="s">
        <v>230</v>
      </c>
      <c r="N6168" s="8" t="s">
        <v>8899</v>
      </c>
      <c r="O6168" s="6" t="s">
        <v>365</v>
      </c>
      <c r="P6168" s="58">
        <v>796</v>
      </c>
      <c r="Q6168" s="27" t="s">
        <v>234</v>
      </c>
      <c r="R6168" s="32">
        <v>8</v>
      </c>
      <c r="S6168" s="59">
        <v>100</v>
      </c>
      <c r="T6168" s="4">
        <f>R6168*S6168</f>
        <v>800</v>
      </c>
      <c r="U6168" s="4">
        <f>T6168*1.12</f>
        <v>896.00000000000011</v>
      </c>
      <c r="V6168" s="3"/>
      <c r="W6168" s="3">
        <v>2014</v>
      </c>
      <c r="X6168" s="3"/>
    </row>
    <row r="6169" spans="1:24" ht="114.75">
      <c r="A6169" s="3" t="s">
        <v>2565</v>
      </c>
      <c r="B6169" s="6" t="s">
        <v>361</v>
      </c>
      <c r="C6169" s="6" t="s">
        <v>5578</v>
      </c>
      <c r="D6169" s="6" t="s">
        <v>458</v>
      </c>
      <c r="E6169" s="6" t="s">
        <v>5332</v>
      </c>
      <c r="F6169" s="229" t="s">
        <v>6657</v>
      </c>
      <c r="G6169" s="3" t="s">
        <v>11449</v>
      </c>
      <c r="H6169" s="185">
        <v>0</v>
      </c>
      <c r="I6169" s="16">
        <v>470000000</v>
      </c>
      <c r="J6169" s="56" t="s">
        <v>229</v>
      </c>
      <c r="K6169" s="57" t="s">
        <v>641</v>
      </c>
      <c r="L6169" s="57" t="s">
        <v>364</v>
      </c>
      <c r="M6169" s="3" t="s">
        <v>230</v>
      </c>
      <c r="N6169" s="8" t="s">
        <v>8899</v>
      </c>
      <c r="O6169" s="6" t="s">
        <v>365</v>
      </c>
      <c r="P6169" s="58">
        <v>796</v>
      </c>
      <c r="Q6169" s="27" t="s">
        <v>234</v>
      </c>
      <c r="R6169" s="32">
        <v>8</v>
      </c>
      <c r="S6169" s="59">
        <v>4030.895</v>
      </c>
      <c r="T6169" s="4">
        <v>0</v>
      </c>
      <c r="U6169" s="4">
        <f t="shared" si="289"/>
        <v>0</v>
      </c>
      <c r="V6169" s="3"/>
      <c r="W6169" s="3">
        <v>2014</v>
      </c>
      <c r="X6169" s="3">
        <v>11.12</v>
      </c>
    </row>
    <row r="6170" spans="1:24" ht="114.75">
      <c r="A6170" s="3" t="s">
        <v>13651</v>
      </c>
      <c r="B6170" s="6" t="s">
        <v>361</v>
      </c>
      <c r="C6170" s="6" t="s">
        <v>5578</v>
      </c>
      <c r="D6170" s="6" t="s">
        <v>458</v>
      </c>
      <c r="E6170" s="6" t="s">
        <v>5332</v>
      </c>
      <c r="F6170" s="229" t="s">
        <v>6657</v>
      </c>
      <c r="G6170" s="3" t="s">
        <v>11449</v>
      </c>
      <c r="H6170" s="185">
        <v>0</v>
      </c>
      <c r="I6170" s="16">
        <v>470000000</v>
      </c>
      <c r="J6170" s="56" t="s">
        <v>229</v>
      </c>
      <c r="K6170" s="57" t="s">
        <v>642</v>
      </c>
      <c r="L6170" s="12" t="s">
        <v>404</v>
      </c>
      <c r="M6170" s="3" t="s">
        <v>230</v>
      </c>
      <c r="N6170" s="8" t="s">
        <v>8899</v>
      </c>
      <c r="O6170" s="6" t="s">
        <v>365</v>
      </c>
      <c r="P6170" s="58">
        <v>796</v>
      </c>
      <c r="Q6170" s="27" t="s">
        <v>234</v>
      </c>
      <c r="R6170" s="32">
        <v>8</v>
      </c>
      <c r="S6170" s="59">
        <v>4030.895</v>
      </c>
      <c r="T6170" s="4">
        <f>R6170*S6170</f>
        <v>32247.16</v>
      </c>
      <c r="U6170" s="4">
        <f>T6170*1.12</f>
        <v>36116.819200000005</v>
      </c>
      <c r="V6170" s="3"/>
      <c r="W6170" s="3">
        <v>2014</v>
      </c>
      <c r="X6170" s="3"/>
    </row>
    <row r="6171" spans="1:24" ht="114.75">
      <c r="A6171" s="3" t="s">
        <v>2566</v>
      </c>
      <c r="B6171" s="6" t="s">
        <v>361</v>
      </c>
      <c r="C6171" s="6" t="s">
        <v>5523</v>
      </c>
      <c r="D6171" s="6" t="s">
        <v>416</v>
      </c>
      <c r="E6171" s="6" t="s">
        <v>5332</v>
      </c>
      <c r="F6171" s="229" t="s">
        <v>6658</v>
      </c>
      <c r="G6171" s="3" t="s">
        <v>11449</v>
      </c>
      <c r="H6171" s="185">
        <v>0</v>
      </c>
      <c r="I6171" s="16">
        <v>470000000</v>
      </c>
      <c r="J6171" s="56" t="s">
        <v>229</v>
      </c>
      <c r="K6171" s="57" t="s">
        <v>641</v>
      </c>
      <c r="L6171" s="57" t="s">
        <v>364</v>
      </c>
      <c r="M6171" s="3" t="s">
        <v>230</v>
      </c>
      <c r="N6171" s="8" t="s">
        <v>8899</v>
      </c>
      <c r="O6171" s="6" t="s">
        <v>365</v>
      </c>
      <c r="P6171" s="58">
        <v>796</v>
      </c>
      <c r="Q6171" s="27" t="s">
        <v>234</v>
      </c>
      <c r="R6171" s="32">
        <v>20</v>
      </c>
      <c r="S6171" s="59">
        <v>186.61500000000001</v>
      </c>
      <c r="T6171" s="4">
        <v>0</v>
      </c>
      <c r="U6171" s="4">
        <f t="shared" si="289"/>
        <v>0</v>
      </c>
      <c r="V6171" s="3"/>
      <c r="W6171" s="3">
        <v>2014</v>
      </c>
      <c r="X6171" s="3">
        <v>11.12</v>
      </c>
    </row>
    <row r="6172" spans="1:24" ht="114.75">
      <c r="A6172" s="3" t="s">
        <v>13652</v>
      </c>
      <c r="B6172" s="6" t="s">
        <v>361</v>
      </c>
      <c r="C6172" s="6" t="s">
        <v>5523</v>
      </c>
      <c r="D6172" s="6" t="s">
        <v>416</v>
      </c>
      <c r="E6172" s="6" t="s">
        <v>5332</v>
      </c>
      <c r="F6172" s="229" t="s">
        <v>6658</v>
      </c>
      <c r="G6172" s="3" t="s">
        <v>11449</v>
      </c>
      <c r="H6172" s="185">
        <v>0</v>
      </c>
      <c r="I6172" s="16">
        <v>470000000</v>
      </c>
      <c r="J6172" s="56" t="s">
        <v>229</v>
      </c>
      <c r="K6172" s="57" t="s">
        <v>642</v>
      </c>
      <c r="L6172" s="12" t="s">
        <v>404</v>
      </c>
      <c r="M6172" s="3" t="s">
        <v>230</v>
      </c>
      <c r="N6172" s="8" t="s">
        <v>8899</v>
      </c>
      <c r="O6172" s="6" t="s">
        <v>365</v>
      </c>
      <c r="P6172" s="58">
        <v>796</v>
      </c>
      <c r="Q6172" s="27" t="s">
        <v>234</v>
      </c>
      <c r="R6172" s="32">
        <v>20</v>
      </c>
      <c r="S6172" s="59">
        <v>186.61500000000001</v>
      </c>
      <c r="T6172" s="4">
        <f>R6172*S6172</f>
        <v>3732.3</v>
      </c>
      <c r="U6172" s="4">
        <f>T6172*1.12</f>
        <v>4180.1760000000004</v>
      </c>
      <c r="V6172" s="3"/>
      <c r="W6172" s="3">
        <v>2014</v>
      </c>
      <c r="X6172" s="3"/>
    </row>
    <row r="6173" spans="1:24" ht="114.75">
      <c r="A6173" s="3" t="s">
        <v>2567</v>
      </c>
      <c r="B6173" s="6" t="s">
        <v>361</v>
      </c>
      <c r="C6173" s="6" t="s">
        <v>5523</v>
      </c>
      <c r="D6173" s="6" t="s">
        <v>416</v>
      </c>
      <c r="E6173" s="6" t="s">
        <v>5332</v>
      </c>
      <c r="F6173" s="229" t="s">
        <v>6659</v>
      </c>
      <c r="G6173" s="3" t="s">
        <v>11449</v>
      </c>
      <c r="H6173" s="185">
        <v>0</v>
      </c>
      <c r="I6173" s="16">
        <v>470000000</v>
      </c>
      <c r="J6173" s="56" t="s">
        <v>229</v>
      </c>
      <c r="K6173" s="57" t="s">
        <v>641</v>
      </c>
      <c r="L6173" s="57" t="s">
        <v>364</v>
      </c>
      <c r="M6173" s="3" t="s">
        <v>230</v>
      </c>
      <c r="N6173" s="8" t="s">
        <v>8899</v>
      </c>
      <c r="O6173" s="6" t="s">
        <v>365</v>
      </c>
      <c r="P6173" s="58">
        <v>796</v>
      </c>
      <c r="Q6173" s="27" t="s">
        <v>234</v>
      </c>
      <c r="R6173" s="32">
        <v>20</v>
      </c>
      <c r="S6173" s="59">
        <v>186.61500000000001</v>
      </c>
      <c r="T6173" s="4">
        <v>0</v>
      </c>
      <c r="U6173" s="4">
        <f t="shared" si="289"/>
        <v>0</v>
      </c>
      <c r="V6173" s="3"/>
      <c r="W6173" s="3">
        <v>2014</v>
      </c>
      <c r="X6173" s="3">
        <v>11.12</v>
      </c>
    </row>
    <row r="6174" spans="1:24" ht="114.75">
      <c r="A6174" s="3" t="s">
        <v>13653</v>
      </c>
      <c r="B6174" s="6" t="s">
        <v>361</v>
      </c>
      <c r="C6174" s="6" t="s">
        <v>5523</v>
      </c>
      <c r="D6174" s="6" t="s">
        <v>416</v>
      </c>
      <c r="E6174" s="6" t="s">
        <v>5332</v>
      </c>
      <c r="F6174" s="229" t="s">
        <v>6659</v>
      </c>
      <c r="G6174" s="3" t="s">
        <v>11449</v>
      </c>
      <c r="H6174" s="185">
        <v>0</v>
      </c>
      <c r="I6174" s="16">
        <v>470000000</v>
      </c>
      <c r="J6174" s="56" t="s">
        <v>229</v>
      </c>
      <c r="K6174" s="57" t="s">
        <v>642</v>
      </c>
      <c r="L6174" s="12" t="s">
        <v>404</v>
      </c>
      <c r="M6174" s="3" t="s">
        <v>230</v>
      </c>
      <c r="N6174" s="8" t="s">
        <v>8899</v>
      </c>
      <c r="O6174" s="6" t="s">
        <v>365</v>
      </c>
      <c r="P6174" s="58">
        <v>796</v>
      </c>
      <c r="Q6174" s="27" t="s">
        <v>234</v>
      </c>
      <c r="R6174" s="32">
        <v>20</v>
      </c>
      <c r="S6174" s="59">
        <v>186.61500000000001</v>
      </c>
      <c r="T6174" s="4">
        <f>R6174*S6174</f>
        <v>3732.3</v>
      </c>
      <c r="U6174" s="4">
        <f>T6174*1.12</f>
        <v>4180.1760000000004</v>
      </c>
      <c r="V6174" s="3"/>
      <c r="W6174" s="3">
        <v>2014</v>
      </c>
      <c r="X6174" s="3"/>
    </row>
    <row r="6175" spans="1:24" ht="114.75">
      <c r="A6175" s="3" t="s">
        <v>2568</v>
      </c>
      <c r="B6175" s="6" t="s">
        <v>361</v>
      </c>
      <c r="C6175" s="6" t="s">
        <v>6458</v>
      </c>
      <c r="D6175" s="6" t="s">
        <v>6253</v>
      </c>
      <c r="E6175" s="6" t="s">
        <v>6459</v>
      </c>
      <c r="F6175" s="229" t="s">
        <v>6660</v>
      </c>
      <c r="G6175" s="3" t="s">
        <v>11449</v>
      </c>
      <c r="H6175" s="185">
        <v>0</v>
      </c>
      <c r="I6175" s="16">
        <v>470000000</v>
      </c>
      <c r="J6175" s="56" t="s">
        <v>229</v>
      </c>
      <c r="K6175" s="57" t="s">
        <v>641</v>
      </c>
      <c r="L6175" s="57" t="s">
        <v>364</v>
      </c>
      <c r="M6175" s="3" t="s">
        <v>230</v>
      </c>
      <c r="N6175" s="8" t="s">
        <v>8899</v>
      </c>
      <c r="O6175" s="6" t="s">
        <v>365</v>
      </c>
      <c r="P6175" s="58">
        <v>796</v>
      </c>
      <c r="Q6175" s="27" t="s">
        <v>234</v>
      </c>
      <c r="R6175" s="32">
        <v>6</v>
      </c>
      <c r="S6175" s="59">
        <v>32379</v>
      </c>
      <c r="T6175" s="4">
        <v>0</v>
      </c>
      <c r="U6175" s="4">
        <f t="shared" si="289"/>
        <v>0</v>
      </c>
      <c r="V6175" s="3"/>
      <c r="W6175" s="3">
        <v>2014</v>
      </c>
      <c r="X6175" s="3">
        <v>11.12</v>
      </c>
    </row>
    <row r="6176" spans="1:24" ht="114.75">
      <c r="A6176" s="3" t="s">
        <v>13654</v>
      </c>
      <c r="B6176" s="6" t="s">
        <v>361</v>
      </c>
      <c r="C6176" s="6" t="s">
        <v>6458</v>
      </c>
      <c r="D6176" s="6" t="s">
        <v>6253</v>
      </c>
      <c r="E6176" s="6" t="s">
        <v>6459</v>
      </c>
      <c r="F6176" s="229" t="s">
        <v>6660</v>
      </c>
      <c r="G6176" s="3" t="s">
        <v>11449</v>
      </c>
      <c r="H6176" s="185">
        <v>0</v>
      </c>
      <c r="I6176" s="16">
        <v>470000000</v>
      </c>
      <c r="J6176" s="56" t="s">
        <v>229</v>
      </c>
      <c r="K6176" s="57" t="s">
        <v>642</v>
      </c>
      <c r="L6176" s="12" t="s">
        <v>404</v>
      </c>
      <c r="M6176" s="3" t="s">
        <v>230</v>
      </c>
      <c r="N6176" s="8" t="s">
        <v>8899</v>
      </c>
      <c r="O6176" s="6" t="s">
        <v>365</v>
      </c>
      <c r="P6176" s="58">
        <v>796</v>
      </c>
      <c r="Q6176" s="27" t="s">
        <v>234</v>
      </c>
      <c r="R6176" s="32">
        <v>6</v>
      </c>
      <c r="S6176" s="59">
        <v>32379</v>
      </c>
      <c r="T6176" s="4">
        <v>0</v>
      </c>
      <c r="U6176" s="4">
        <f>T6176*1.12</f>
        <v>0</v>
      </c>
      <c r="V6176" s="3"/>
      <c r="W6176" s="3">
        <v>2014</v>
      </c>
      <c r="X6176" s="3" t="s">
        <v>14785</v>
      </c>
    </row>
    <row r="6177" spans="1:24" ht="114.75">
      <c r="A6177" s="3" t="s">
        <v>17008</v>
      </c>
      <c r="B6177" s="6" t="s">
        <v>361</v>
      </c>
      <c r="C6177" s="6" t="s">
        <v>6458</v>
      </c>
      <c r="D6177" s="6" t="s">
        <v>6253</v>
      </c>
      <c r="E6177" s="6" t="s">
        <v>6459</v>
      </c>
      <c r="F6177" s="229" t="s">
        <v>6660</v>
      </c>
      <c r="G6177" s="3" t="s">
        <v>11449</v>
      </c>
      <c r="H6177" s="185">
        <v>0</v>
      </c>
      <c r="I6177" s="16">
        <v>470000000</v>
      </c>
      <c r="J6177" s="56" t="s">
        <v>229</v>
      </c>
      <c r="K6177" s="57" t="s">
        <v>8950</v>
      </c>
      <c r="L6177" s="12" t="s">
        <v>404</v>
      </c>
      <c r="M6177" s="3" t="s">
        <v>230</v>
      </c>
      <c r="N6177" s="8" t="s">
        <v>8899</v>
      </c>
      <c r="O6177" s="6" t="s">
        <v>365</v>
      </c>
      <c r="P6177" s="58">
        <v>796</v>
      </c>
      <c r="Q6177" s="27" t="s">
        <v>234</v>
      </c>
      <c r="R6177" s="32">
        <v>6</v>
      </c>
      <c r="S6177" s="59">
        <v>38854.799999999996</v>
      </c>
      <c r="T6177" s="4">
        <f>R6177*S6177</f>
        <v>233128.8</v>
      </c>
      <c r="U6177" s="4">
        <f>T6177*1.12</f>
        <v>261104.25600000002</v>
      </c>
      <c r="V6177" s="3"/>
      <c r="W6177" s="3">
        <v>2014</v>
      </c>
      <c r="X6177" s="3"/>
    </row>
    <row r="6178" spans="1:24" ht="114.75">
      <c r="A6178" s="3" t="s">
        <v>2569</v>
      </c>
      <c r="B6178" s="6" t="s">
        <v>361</v>
      </c>
      <c r="C6178" s="6" t="s">
        <v>6661</v>
      </c>
      <c r="D6178" s="6" t="s">
        <v>6662</v>
      </c>
      <c r="E6178" s="6" t="s">
        <v>5332</v>
      </c>
      <c r="F6178" s="229" t="s">
        <v>6663</v>
      </c>
      <c r="G6178" s="3" t="s">
        <v>11449</v>
      </c>
      <c r="H6178" s="185">
        <v>0</v>
      </c>
      <c r="I6178" s="16">
        <v>470000000</v>
      </c>
      <c r="J6178" s="56" t="s">
        <v>229</v>
      </c>
      <c r="K6178" s="57" t="s">
        <v>641</v>
      </c>
      <c r="L6178" s="57" t="s">
        <v>364</v>
      </c>
      <c r="M6178" s="3" t="s">
        <v>230</v>
      </c>
      <c r="N6178" s="8" t="s">
        <v>8899</v>
      </c>
      <c r="O6178" s="6" t="s">
        <v>365</v>
      </c>
      <c r="P6178" s="58">
        <v>796</v>
      </c>
      <c r="Q6178" s="27" t="s">
        <v>234</v>
      </c>
      <c r="R6178" s="32">
        <v>20</v>
      </c>
      <c r="S6178" s="59">
        <v>1786</v>
      </c>
      <c r="T6178" s="4">
        <v>0</v>
      </c>
      <c r="U6178" s="4">
        <f t="shared" si="289"/>
        <v>0</v>
      </c>
      <c r="V6178" s="3"/>
      <c r="W6178" s="3">
        <v>2014</v>
      </c>
      <c r="X6178" s="3">
        <v>11.12</v>
      </c>
    </row>
    <row r="6179" spans="1:24" ht="114.75">
      <c r="A6179" s="3" t="s">
        <v>13655</v>
      </c>
      <c r="B6179" s="6" t="s">
        <v>361</v>
      </c>
      <c r="C6179" s="6" t="s">
        <v>6661</v>
      </c>
      <c r="D6179" s="6" t="s">
        <v>6662</v>
      </c>
      <c r="E6179" s="6" t="s">
        <v>5332</v>
      </c>
      <c r="F6179" s="229" t="s">
        <v>6663</v>
      </c>
      <c r="G6179" s="3" t="s">
        <v>11449</v>
      </c>
      <c r="H6179" s="185">
        <v>0</v>
      </c>
      <c r="I6179" s="16">
        <v>470000000</v>
      </c>
      <c r="J6179" s="56" t="s">
        <v>229</v>
      </c>
      <c r="K6179" s="57" t="s">
        <v>642</v>
      </c>
      <c r="L6179" s="12" t="s">
        <v>404</v>
      </c>
      <c r="M6179" s="3" t="s">
        <v>230</v>
      </c>
      <c r="N6179" s="8" t="s">
        <v>8899</v>
      </c>
      <c r="O6179" s="6" t="s">
        <v>365</v>
      </c>
      <c r="P6179" s="58">
        <v>796</v>
      </c>
      <c r="Q6179" s="27" t="s">
        <v>234</v>
      </c>
      <c r="R6179" s="32">
        <v>20</v>
      </c>
      <c r="S6179" s="59">
        <v>1786</v>
      </c>
      <c r="T6179" s="4">
        <f>R6179*S6179</f>
        <v>35720</v>
      </c>
      <c r="U6179" s="4">
        <f>T6179*1.12</f>
        <v>40006.400000000001</v>
      </c>
      <c r="V6179" s="3"/>
      <c r="W6179" s="3">
        <v>2014</v>
      </c>
      <c r="X6179" s="3"/>
    </row>
    <row r="6180" spans="1:24" ht="114.75">
      <c r="A6180" s="3" t="s">
        <v>2570</v>
      </c>
      <c r="B6180" s="6" t="s">
        <v>361</v>
      </c>
      <c r="C6180" s="6" t="s">
        <v>6661</v>
      </c>
      <c r="D6180" s="6" t="s">
        <v>6662</v>
      </c>
      <c r="E6180" s="6" t="s">
        <v>5332</v>
      </c>
      <c r="F6180" s="229" t="s">
        <v>6664</v>
      </c>
      <c r="G6180" s="3" t="s">
        <v>11449</v>
      </c>
      <c r="H6180" s="185">
        <v>0</v>
      </c>
      <c r="I6180" s="16">
        <v>470000000</v>
      </c>
      <c r="J6180" s="56" t="s">
        <v>229</v>
      </c>
      <c r="K6180" s="57" t="s">
        <v>641</v>
      </c>
      <c r="L6180" s="57" t="s">
        <v>364</v>
      </c>
      <c r="M6180" s="3" t="s">
        <v>230</v>
      </c>
      <c r="N6180" s="8" t="s">
        <v>8899</v>
      </c>
      <c r="O6180" s="6" t="s">
        <v>365</v>
      </c>
      <c r="P6180" s="58">
        <v>796</v>
      </c>
      <c r="Q6180" s="27" t="s">
        <v>234</v>
      </c>
      <c r="R6180" s="32">
        <v>20</v>
      </c>
      <c r="S6180" s="59">
        <v>1786</v>
      </c>
      <c r="T6180" s="4">
        <v>0</v>
      </c>
      <c r="U6180" s="4">
        <f t="shared" si="289"/>
        <v>0</v>
      </c>
      <c r="V6180" s="3"/>
      <c r="W6180" s="3">
        <v>2014</v>
      </c>
      <c r="X6180" s="3">
        <v>11.12</v>
      </c>
    </row>
    <row r="6181" spans="1:24" ht="114.75">
      <c r="A6181" s="3" t="s">
        <v>13656</v>
      </c>
      <c r="B6181" s="6" t="s">
        <v>361</v>
      </c>
      <c r="C6181" s="6" t="s">
        <v>6661</v>
      </c>
      <c r="D6181" s="6" t="s">
        <v>6662</v>
      </c>
      <c r="E6181" s="6" t="s">
        <v>5332</v>
      </c>
      <c r="F6181" s="229" t="s">
        <v>6664</v>
      </c>
      <c r="G6181" s="3" t="s">
        <v>11449</v>
      </c>
      <c r="H6181" s="185">
        <v>0</v>
      </c>
      <c r="I6181" s="16">
        <v>470000000</v>
      </c>
      <c r="J6181" s="56" t="s">
        <v>229</v>
      </c>
      <c r="K6181" s="57" t="s">
        <v>642</v>
      </c>
      <c r="L6181" s="12" t="s">
        <v>404</v>
      </c>
      <c r="M6181" s="3" t="s">
        <v>230</v>
      </c>
      <c r="N6181" s="8" t="s">
        <v>8899</v>
      </c>
      <c r="O6181" s="6" t="s">
        <v>365</v>
      </c>
      <c r="P6181" s="58">
        <v>796</v>
      </c>
      <c r="Q6181" s="27" t="s">
        <v>234</v>
      </c>
      <c r="R6181" s="32">
        <v>20</v>
      </c>
      <c r="S6181" s="59">
        <v>1786</v>
      </c>
      <c r="T6181" s="4">
        <f>R6181*S6181</f>
        <v>35720</v>
      </c>
      <c r="U6181" s="4">
        <f>T6181*1.12</f>
        <v>40006.400000000001</v>
      </c>
      <c r="V6181" s="3"/>
      <c r="W6181" s="3">
        <v>2014</v>
      </c>
      <c r="X6181" s="3"/>
    </row>
    <row r="6182" spans="1:24" ht="114.75">
      <c r="A6182" s="3" t="s">
        <v>2571</v>
      </c>
      <c r="B6182" s="6" t="s">
        <v>361</v>
      </c>
      <c r="C6182" s="6" t="s">
        <v>6665</v>
      </c>
      <c r="D6182" s="6" t="s">
        <v>475</v>
      </c>
      <c r="E6182" s="6" t="s">
        <v>3115</v>
      </c>
      <c r="F6182" s="229" t="s">
        <v>6666</v>
      </c>
      <c r="G6182" s="3" t="s">
        <v>11449</v>
      </c>
      <c r="H6182" s="185">
        <v>0</v>
      </c>
      <c r="I6182" s="16">
        <v>470000000</v>
      </c>
      <c r="J6182" s="56" t="s">
        <v>229</v>
      </c>
      <c r="K6182" s="57" t="s">
        <v>641</v>
      </c>
      <c r="L6182" s="57" t="s">
        <v>364</v>
      </c>
      <c r="M6182" s="3" t="s">
        <v>230</v>
      </c>
      <c r="N6182" s="8" t="s">
        <v>8899</v>
      </c>
      <c r="O6182" s="6" t="s">
        <v>365</v>
      </c>
      <c r="P6182" s="58">
        <v>796</v>
      </c>
      <c r="Q6182" s="27" t="s">
        <v>234</v>
      </c>
      <c r="R6182" s="32">
        <v>30</v>
      </c>
      <c r="S6182" s="59">
        <v>814</v>
      </c>
      <c r="T6182" s="4">
        <v>0</v>
      </c>
      <c r="U6182" s="4">
        <f t="shared" si="289"/>
        <v>0</v>
      </c>
      <c r="V6182" s="3"/>
      <c r="W6182" s="3">
        <v>2014</v>
      </c>
      <c r="X6182" s="3">
        <v>11.12</v>
      </c>
    </row>
    <row r="6183" spans="1:24" ht="114.75">
      <c r="A6183" s="3" t="s">
        <v>13657</v>
      </c>
      <c r="B6183" s="6" t="s">
        <v>361</v>
      </c>
      <c r="C6183" s="6" t="s">
        <v>6665</v>
      </c>
      <c r="D6183" s="6" t="s">
        <v>475</v>
      </c>
      <c r="E6183" s="6" t="s">
        <v>3115</v>
      </c>
      <c r="F6183" s="229" t="s">
        <v>6666</v>
      </c>
      <c r="G6183" s="3" t="s">
        <v>11449</v>
      </c>
      <c r="H6183" s="185">
        <v>0</v>
      </c>
      <c r="I6183" s="16">
        <v>470000000</v>
      </c>
      <c r="J6183" s="56" t="s">
        <v>229</v>
      </c>
      <c r="K6183" s="57" t="s">
        <v>642</v>
      </c>
      <c r="L6183" s="12" t="s">
        <v>404</v>
      </c>
      <c r="M6183" s="3" t="s">
        <v>230</v>
      </c>
      <c r="N6183" s="8" t="s">
        <v>8899</v>
      </c>
      <c r="O6183" s="6" t="s">
        <v>365</v>
      </c>
      <c r="P6183" s="58">
        <v>796</v>
      </c>
      <c r="Q6183" s="27" t="s">
        <v>234</v>
      </c>
      <c r="R6183" s="32">
        <v>30</v>
      </c>
      <c r="S6183" s="59">
        <v>814</v>
      </c>
      <c r="T6183" s="4">
        <f>R6183*S6183</f>
        <v>24420</v>
      </c>
      <c r="U6183" s="4">
        <f>T6183*1.12</f>
        <v>27350.400000000001</v>
      </c>
      <c r="V6183" s="3"/>
      <c r="W6183" s="3">
        <v>2014</v>
      </c>
      <c r="X6183" s="3"/>
    </row>
    <row r="6184" spans="1:24" ht="114.75">
      <c r="A6184" s="3" t="s">
        <v>2572</v>
      </c>
      <c r="B6184" s="6" t="s">
        <v>361</v>
      </c>
      <c r="C6184" s="6" t="s">
        <v>6612</v>
      </c>
      <c r="D6184" s="6" t="s">
        <v>5357</v>
      </c>
      <c r="E6184" s="6" t="s">
        <v>6613</v>
      </c>
      <c r="F6184" s="229" t="s">
        <v>477</v>
      </c>
      <c r="G6184" s="3" t="s">
        <v>11449</v>
      </c>
      <c r="H6184" s="185">
        <v>0</v>
      </c>
      <c r="I6184" s="16">
        <v>470000000</v>
      </c>
      <c r="J6184" s="56" t="s">
        <v>229</v>
      </c>
      <c r="K6184" s="57" t="s">
        <v>641</v>
      </c>
      <c r="L6184" s="57" t="s">
        <v>364</v>
      </c>
      <c r="M6184" s="3" t="s">
        <v>230</v>
      </c>
      <c r="N6184" s="8" t="s">
        <v>8899</v>
      </c>
      <c r="O6184" s="6" t="s">
        <v>365</v>
      </c>
      <c r="P6184" s="58">
        <v>796</v>
      </c>
      <c r="Q6184" s="27" t="s">
        <v>234</v>
      </c>
      <c r="R6184" s="32">
        <v>30</v>
      </c>
      <c r="S6184" s="59">
        <v>1785.71</v>
      </c>
      <c r="T6184" s="4">
        <v>0</v>
      </c>
      <c r="U6184" s="4">
        <f t="shared" si="289"/>
        <v>0</v>
      </c>
      <c r="V6184" s="3"/>
      <c r="W6184" s="3">
        <v>2014</v>
      </c>
      <c r="X6184" s="3">
        <v>11.12</v>
      </c>
    </row>
    <row r="6185" spans="1:24" ht="114.75">
      <c r="A6185" s="3" t="s">
        <v>13658</v>
      </c>
      <c r="B6185" s="6" t="s">
        <v>361</v>
      </c>
      <c r="C6185" s="6" t="s">
        <v>6612</v>
      </c>
      <c r="D6185" s="6" t="s">
        <v>5357</v>
      </c>
      <c r="E6185" s="6" t="s">
        <v>6613</v>
      </c>
      <c r="F6185" s="229" t="s">
        <v>477</v>
      </c>
      <c r="G6185" s="3" t="s">
        <v>11449</v>
      </c>
      <c r="H6185" s="185">
        <v>0</v>
      </c>
      <c r="I6185" s="16">
        <v>470000000</v>
      </c>
      <c r="J6185" s="56" t="s">
        <v>229</v>
      </c>
      <c r="K6185" s="57" t="s">
        <v>642</v>
      </c>
      <c r="L6185" s="12" t="s">
        <v>404</v>
      </c>
      <c r="M6185" s="3" t="s">
        <v>230</v>
      </c>
      <c r="N6185" s="8" t="s">
        <v>8899</v>
      </c>
      <c r="O6185" s="6" t="s">
        <v>365</v>
      </c>
      <c r="P6185" s="58">
        <v>796</v>
      </c>
      <c r="Q6185" s="27" t="s">
        <v>234</v>
      </c>
      <c r="R6185" s="32">
        <v>30</v>
      </c>
      <c r="S6185" s="59">
        <v>1785.71</v>
      </c>
      <c r="T6185" s="4">
        <f>R6185*S6185</f>
        <v>53571.3</v>
      </c>
      <c r="U6185" s="4">
        <f>T6185*1.12</f>
        <v>59999.856000000007</v>
      </c>
      <c r="V6185" s="3"/>
      <c r="W6185" s="3">
        <v>2014</v>
      </c>
      <c r="X6185" s="3"/>
    </row>
    <row r="6186" spans="1:24" ht="114.75">
      <c r="A6186" s="3" t="s">
        <v>2573</v>
      </c>
      <c r="B6186" s="6" t="s">
        <v>361</v>
      </c>
      <c r="C6186" s="6" t="s">
        <v>6191</v>
      </c>
      <c r="D6186" s="6" t="s">
        <v>4433</v>
      </c>
      <c r="E6186" s="6" t="s">
        <v>5332</v>
      </c>
      <c r="F6186" s="229" t="s">
        <v>420</v>
      </c>
      <c r="G6186" s="3" t="s">
        <v>11449</v>
      </c>
      <c r="H6186" s="185">
        <v>0</v>
      </c>
      <c r="I6186" s="16">
        <v>470000000</v>
      </c>
      <c r="J6186" s="56" t="s">
        <v>229</v>
      </c>
      <c r="K6186" s="57" t="s">
        <v>641</v>
      </c>
      <c r="L6186" s="57" t="s">
        <v>364</v>
      </c>
      <c r="M6186" s="3" t="s">
        <v>230</v>
      </c>
      <c r="N6186" s="8" t="s">
        <v>8899</v>
      </c>
      <c r="O6186" s="6" t="s">
        <v>365</v>
      </c>
      <c r="P6186" s="58">
        <v>796</v>
      </c>
      <c r="Q6186" s="27" t="s">
        <v>234</v>
      </c>
      <c r="R6186" s="32">
        <v>10</v>
      </c>
      <c r="S6186" s="59">
        <v>1696.43</v>
      </c>
      <c r="T6186" s="4">
        <v>0</v>
      </c>
      <c r="U6186" s="4">
        <f t="shared" si="289"/>
        <v>0</v>
      </c>
      <c r="V6186" s="3"/>
      <c r="W6186" s="3">
        <v>2014</v>
      </c>
      <c r="X6186" s="3">
        <v>11.12</v>
      </c>
    </row>
    <row r="6187" spans="1:24" ht="114.75">
      <c r="A6187" s="3" t="s">
        <v>13659</v>
      </c>
      <c r="B6187" s="6" t="s">
        <v>361</v>
      </c>
      <c r="C6187" s="6" t="s">
        <v>6191</v>
      </c>
      <c r="D6187" s="6" t="s">
        <v>4433</v>
      </c>
      <c r="E6187" s="6" t="s">
        <v>5332</v>
      </c>
      <c r="F6187" s="229" t="s">
        <v>420</v>
      </c>
      <c r="G6187" s="3" t="s">
        <v>11449</v>
      </c>
      <c r="H6187" s="185">
        <v>0</v>
      </c>
      <c r="I6187" s="16">
        <v>470000000</v>
      </c>
      <c r="J6187" s="56" t="s">
        <v>229</v>
      </c>
      <c r="K6187" s="57" t="s">
        <v>642</v>
      </c>
      <c r="L6187" s="12" t="s">
        <v>404</v>
      </c>
      <c r="M6187" s="3" t="s">
        <v>230</v>
      </c>
      <c r="N6187" s="8" t="s">
        <v>8899</v>
      </c>
      <c r="O6187" s="6" t="s">
        <v>365</v>
      </c>
      <c r="P6187" s="58">
        <v>796</v>
      </c>
      <c r="Q6187" s="27" t="s">
        <v>234</v>
      </c>
      <c r="R6187" s="32">
        <v>10</v>
      </c>
      <c r="S6187" s="59">
        <v>1696.43</v>
      </c>
      <c r="T6187" s="4">
        <f>R6187*S6187</f>
        <v>16964.3</v>
      </c>
      <c r="U6187" s="4">
        <f>T6187*1.12</f>
        <v>19000.016</v>
      </c>
      <c r="V6187" s="3"/>
      <c r="W6187" s="3">
        <v>2014</v>
      </c>
      <c r="X6187" s="3"/>
    </row>
    <row r="6188" spans="1:24" ht="114.75">
      <c r="A6188" s="3" t="s">
        <v>2574</v>
      </c>
      <c r="B6188" s="6" t="s">
        <v>361</v>
      </c>
      <c r="C6188" s="6" t="s">
        <v>6191</v>
      </c>
      <c r="D6188" s="6" t="s">
        <v>4433</v>
      </c>
      <c r="E6188" s="6" t="s">
        <v>5332</v>
      </c>
      <c r="F6188" s="229" t="s">
        <v>6667</v>
      </c>
      <c r="G6188" s="3" t="s">
        <v>11449</v>
      </c>
      <c r="H6188" s="185">
        <v>0</v>
      </c>
      <c r="I6188" s="16">
        <v>470000000</v>
      </c>
      <c r="J6188" s="56" t="s">
        <v>229</v>
      </c>
      <c r="K6188" s="57" t="s">
        <v>641</v>
      </c>
      <c r="L6188" s="57" t="s">
        <v>364</v>
      </c>
      <c r="M6188" s="3" t="s">
        <v>230</v>
      </c>
      <c r="N6188" s="8" t="s">
        <v>8899</v>
      </c>
      <c r="O6188" s="6" t="s">
        <v>365</v>
      </c>
      <c r="P6188" s="58">
        <v>796</v>
      </c>
      <c r="Q6188" s="27" t="s">
        <v>234</v>
      </c>
      <c r="R6188" s="32">
        <v>10</v>
      </c>
      <c r="S6188" s="59">
        <v>1696.43</v>
      </c>
      <c r="T6188" s="4">
        <v>0</v>
      </c>
      <c r="U6188" s="4">
        <f t="shared" si="289"/>
        <v>0</v>
      </c>
      <c r="V6188" s="3"/>
      <c r="W6188" s="3">
        <v>2014</v>
      </c>
      <c r="X6188" s="3">
        <v>11.12</v>
      </c>
    </row>
    <row r="6189" spans="1:24" ht="114.75">
      <c r="A6189" s="3" t="s">
        <v>13660</v>
      </c>
      <c r="B6189" s="6" t="s">
        <v>361</v>
      </c>
      <c r="C6189" s="6" t="s">
        <v>6191</v>
      </c>
      <c r="D6189" s="6" t="s">
        <v>4433</v>
      </c>
      <c r="E6189" s="6" t="s">
        <v>5332</v>
      </c>
      <c r="F6189" s="229" t="s">
        <v>6667</v>
      </c>
      <c r="G6189" s="3" t="s">
        <v>11449</v>
      </c>
      <c r="H6189" s="185">
        <v>0</v>
      </c>
      <c r="I6189" s="16">
        <v>470000000</v>
      </c>
      <c r="J6189" s="56" t="s">
        <v>229</v>
      </c>
      <c r="K6189" s="57" t="s">
        <v>642</v>
      </c>
      <c r="L6189" s="12" t="s">
        <v>404</v>
      </c>
      <c r="M6189" s="3" t="s">
        <v>230</v>
      </c>
      <c r="N6189" s="8" t="s">
        <v>8899</v>
      </c>
      <c r="O6189" s="6" t="s">
        <v>365</v>
      </c>
      <c r="P6189" s="58">
        <v>796</v>
      </c>
      <c r="Q6189" s="27" t="s">
        <v>234</v>
      </c>
      <c r="R6189" s="32">
        <v>10</v>
      </c>
      <c r="S6189" s="59">
        <v>1696.43</v>
      </c>
      <c r="T6189" s="4">
        <f>R6189*S6189</f>
        <v>16964.3</v>
      </c>
      <c r="U6189" s="4">
        <f>T6189*1.12</f>
        <v>19000.016</v>
      </c>
      <c r="V6189" s="3"/>
      <c r="W6189" s="3">
        <v>2014</v>
      </c>
      <c r="X6189" s="3"/>
    </row>
    <row r="6190" spans="1:24" ht="114.75">
      <c r="A6190" s="3" t="s">
        <v>2575</v>
      </c>
      <c r="B6190" s="6" t="s">
        <v>361</v>
      </c>
      <c r="C6190" s="6" t="s">
        <v>6191</v>
      </c>
      <c r="D6190" s="6" t="s">
        <v>4433</v>
      </c>
      <c r="E6190" s="6" t="s">
        <v>5332</v>
      </c>
      <c r="F6190" s="229" t="s">
        <v>6668</v>
      </c>
      <c r="G6190" s="3" t="s">
        <v>11449</v>
      </c>
      <c r="H6190" s="185">
        <v>0</v>
      </c>
      <c r="I6190" s="16">
        <v>470000000</v>
      </c>
      <c r="J6190" s="56" t="s">
        <v>229</v>
      </c>
      <c r="K6190" s="57" t="s">
        <v>641</v>
      </c>
      <c r="L6190" s="57" t="s">
        <v>364</v>
      </c>
      <c r="M6190" s="3" t="s">
        <v>230</v>
      </c>
      <c r="N6190" s="8" t="s">
        <v>8899</v>
      </c>
      <c r="O6190" s="6" t="s">
        <v>365</v>
      </c>
      <c r="P6190" s="58">
        <v>796</v>
      </c>
      <c r="Q6190" s="27" t="s">
        <v>234</v>
      </c>
      <c r="R6190" s="32">
        <v>5</v>
      </c>
      <c r="S6190" s="59">
        <v>1696.43</v>
      </c>
      <c r="T6190" s="4">
        <v>0</v>
      </c>
      <c r="U6190" s="4">
        <f t="shared" si="289"/>
        <v>0</v>
      </c>
      <c r="V6190" s="3"/>
      <c r="W6190" s="3">
        <v>2014</v>
      </c>
      <c r="X6190" s="3">
        <v>11.12</v>
      </c>
    </row>
    <row r="6191" spans="1:24" ht="114.75">
      <c r="A6191" s="3" t="s">
        <v>13661</v>
      </c>
      <c r="B6191" s="6" t="s">
        <v>361</v>
      </c>
      <c r="C6191" s="6" t="s">
        <v>6191</v>
      </c>
      <c r="D6191" s="6" t="s">
        <v>4433</v>
      </c>
      <c r="E6191" s="6" t="s">
        <v>5332</v>
      </c>
      <c r="F6191" s="229" t="s">
        <v>6668</v>
      </c>
      <c r="G6191" s="3" t="s">
        <v>11449</v>
      </c>
      <c r="H6191" s="185">
        <v>0</v>
      </c>
      <c r="I6191" s="16">
        <v>470000000</v>
      </c>
      <c r="J6191" s="56" t="s">
        <v>229</v>
      </c>
      <c r="K6191" s="57" t="s">
        <v>642</v>
      </c>
      <c r="L6191" s="12" t="s">
        <v>404</v>
      </c>
      <c r="M6191" s="3" t="s">
        <v>230</v>
      </c>
      <c r="N6191" s="8" t="s">
        <v>8899</v>
      </c>
      <c r="O6191" s="6" t="s">
        <v>365</v>
      </c>
      <c r="P6191" s="58">
        <v>796</v>
      </c>
      <c r="Q6191" s="27" t="s">
        <v>234</v>
      </c>
      <c r="R6191" s="32">
        <v>5</v>
      </c>
      <c r="S6191" s="59">
        <v>1696.43</v>
      </c>
      <c r="T6191" s="4">
        <f>R6191*S6191</f>
        <v>8482.15</v>
      </c>
      <c r="U6191" s="4">
        <f>T6191*1.12</f>
        <v>9500.0079999999998</v>
      </c>
      <c r="V6191" s="3"/>
      <c r="W6191" s="3">
        <v>2014</v>
      </c>
      <c r="X6191" s="3"/>
    </row>
    <row r="6192" spans="1:24" ht="114.75">
      <c r="A6192" s="3" t="s">
        <v>2576</v>
      </c>
      <c r="B6192" s="6" t="s">
        <v>361</v>
      </c>
      <c r="C6192" s="6" t="s">
        <v>6191</v>
      </c>
      <c r="D6192" s="6" t="s">
        <v>4433</v>
      </c>
      <c r="E6192" s="6" t="s">
        <v>5332</v>
      </c>
      <c r="F6192" s="229" t="s">
        <v>6669</v>
      </c>
      <c r="G6192" s="3" t="s">
        <v>11449</v>
      </c>
      <c r="H6192" s="185">
        <v>0</v>
      </c>
      <c r="I6192" s="16">
        <v>470000000</v>
      </c>
      <c r="J6192" s="56" t="s">
        <v>229</v>
      </c>
      <c r="K6192" s="57" t="s">
        <v>641</v>
      </c>
      <c r="L6192" s="57" t="s">
        <v>364</v>
      </c>
      <c r="M6192" s="3" t="s">
        <v>230</v>
      </c>
      <c r="N6192" s="8" t="s">
        <v>8899</v>
      </c>
      <c r="O6192" s="6" t="s">
        <v>365</v>
      </c>
      <c r="P6192" s="58">
        <v>796</v>
      </c>
      <c r="Q6192" s="27" t="s">
        <v>234</v>
      </c>
      <c r="R6192" s="32">
        <v>5</v>
      </c>
      <c r="S6192" s="59">
        <v>1696.43</v>
      </c>
      <c r="T6192" s="4">
        <v>0</v>
      </c>
      <c r="U6192" s="4">
        <f t="shared" si="289"/>
        <v>0</v>
      </c>
      <c r="V6192" s="3"/>
      <c r="W6192" s="3">
        <v>2014</v>
      </c>
      <c r="X6192" s="3">
        <v>11.12</v>
      </c>
    </row>
    <row r="6193" spans="1:24" ht="114.75">
      <c r="A6193" s="3" t="s">
        <v>13662</v>
      </c>
      <c r="B6193" s="6" t="s">
        <v>361</v>
      </c>
      <c r="C6193" s="6" t="s">
        <v>6191</v>
      </c>
      <c r="D6193" s="6" t="s">
        <v>4433</v>
      </c>
      <c r="E6193" s="6" t="s">
        <v>5332</v>
      </c>
      <c r="F6193" s="229" t="s">
        <v>6669</v>
      </c>
      <c r="G6193" s="3" t="s">
        <v>11449</v>
      </c>
      <c r="H6193" s="185">
        <v>0</v>
      </c>
      <c r="I6193" s="16">
        <v>470000000</v>
      </c>
      <c r="J6193" s="56" t="s">
        <v>229</v>
      </c>
      <c r="K6193" s="57" t="s">
        <v>642</v>
      </c>
      <c r="L6193" s="12" t="s">
        <v>404</v>
      </c>
      <c r="M6193" s="3" t="s">
        <v>230</v>
      </c>
      <c r="N6193" s="8" t="s">
        <v>8899</v>
      </c>
      <c r="O6193" s="6" t="s">
        <v>365</v>
      </c>
      <c r="P6193" s="58">
        <v>796</v>
      </c>
      <c r="Q6193" s="27" t="s">
        <v>234</v>
      </c>
      <c r="R6193" s="32">
        <v>5</v>
      </c>
      <c r="S6193" s="59">
        <v>1696.43</v>
      </c>
      <c r="T6193" s="4">
        <f>R6193*S6193</f>
        <v>8482.15</v>
      </c>
      <c r="U6193" s="4">
        <f>T6193*1.12</f>
        <v>9500.0079999999998</v>
      </c>
      <c r="V6193" s="3"/>
      <c r="W6193" s="3">
        <v>2014</v>
      </c>
      <c r="X6193" s="3"/>
    </row>
    <row r="6194" spans="1:24" ht="114.75">
      <c r="A6194" s="3" t="s">
        <v>2577</v>
      </c>
      <c r="B6194" s="6" t="s">
        <v>361</v>
      </c>
      <c r="C6194" s="6" t="s">
        <v>6670</v>
      </c>
      <c r="D6194" s="6" t="s">
        <v>479</v>
      </c>
      <c r="E6194" s="6" t="s">
        <v>6671</v>
      </c>
      <c r="F6194" s="229" t="s">
        <v>478</v>
      </c>
      <c r="G6194" s="3" t="s">
        <v>11449</v>
      </c>
      <c r="H6194" s="185">
        <v>0</v>
      </c>
      <c r="I6194" s="16">
        <v>470000000</v>
      </c>
      <c r="J6194" s="56" t="s">
        <v>229</v>
      </c>
      <c r="K6194" s="57" t="s">
        <v>641</v>
      </c>
      <c r="L6194" s="57" t="s">
        <v>364</v>
      </c>
      <c r="M6194" s="3" t="s">
        <v>230</v>
      </c>
      <c r="N6194" s="8" t="s">
        <v>8899</v>
      </c>
      <c r="O6194" s="6" t="s">
        <v>365</v>
      </c>
      <c r="P6194" s="58">
        <v>796</v>
      </c>
      <c r="Q6194" s="27" t="s">
        <v>234</v>
      </c>
      <c r="R6194" s="39">
        <v>6</v>
      </c>
      <c r="S6194" s="59">
        <v>2957.14</v>
      </c>
      <c r="T6194" s="4">
        <v>0</v>
      </c>
      <c r="U6194" s="4">
        <f t="shared" si="289"/>
        <v>0</v>
      </c>
      <c r="V6194" s="3"/>
      <c r="W6194" s="3">
        <v>2014</v>
      </c>
      <c r="X6194" s="3">
        <v>11.12</v>
      </c>
    </row>
    <row r="6195" spans="1:24" ht="114.75">
      <c r="A6195" s="3" t="s">
        <v>13663</v>
      </c>
      <c r="B6195" s="6" t="s">
        <v>361</v>
      </c>
      <c r="C6195" s="6" t="s">
        <v>6670</v>
      </c>
      <c r="D6195" s="6" t="s">
        <v>479</v>
      </c>
      <c r="E6195" s="6" t="s">
        <v>6671</v>
      </c>
      <c r="F6195" s="229" t="s">
        <v>478</v>
      </c>
      <c r="G6195" s="3" t="s">
        <v>11449</v>
      </c>
      <c r="H6195" s="185">
        <v>0</v>
      </c>
      <c r="I6195" s="16">
        <v>470000000</v>
      </c>
      <c r="J6195" s="56" t="s">
        <v>229</v>
      </c>
      <c r="K6195" s="57" t="s">
        <v>642</v>
      </c>
      <c r="L6195" s="12" t="s">
        <v>404</v>
      </c>
      <c r="M6195" s="3" t="s">
        <v>230</v>
      </c>
      <c r="N6195" s="8" t="s">
        <v>8899</v>
      </c>
      <c r="O6195" s="6" t="s">
        <v>365</v>
      </c>
      <c r="P6195" s="58">
        <v>796</v>
      </c>
      <c r="Q6195" s="27" t="s">
        <v>234</v>
      </c>
      <c r="R6195" s="39">
        <v>6</v>
      </c>
      <c r="S6195" s="59">
        <v>2957.14</v>
      </c>
      <c r="T6195" s="4">
        <f>R6195*S6195</f>
        <v>17742.84</v>
      </c>
      <c r="U6195" s="4">
        <f>T6195*1.12</f>
        <v>19871.980800000001</v>
      </c>
      <c r="V6195" s="3"/>
      <c r="W6195" s="3">
        <v>2014</v>
      </c>
      <c r="X6195" s="3"/>
    </row>
    <row r="6196" spans="1:24" ht="114.75">
      <c r="A6196" s="3" t="s">
        <v>2578</v>
      </c>
      <c r="B6196" s="6" t="s">
        <v>361</v>
      </c>
      <c r="C6196" s="6" t="s">
        <v>6670</v>
      </c>
      <c r="D6196" s="6" t="s">
        <v>479</v>
      </c>
      <c r="E6196" s="6" t="s">
        <v>6671</v>
      </c>
      <c r="F6196" s="229" t="s">
        <v>478</v>
      </c>
      <c r="G6196" s="3" t="s">
        <v>11449</v>
      </c>
      <c r="H6196" s="185">
        <v>0</v>
      </c>
      <c r="I6196" s="16">
        <v>470000000</v>
      </c>
      <c r="J6196" s="56" t="s">
        <v>229</v>
      </c>
      <c r="K6196" s="57" t="s">
        <v>641</v>
      </c>
      <c r="L6196" s="57" t="s">
        <v>364</v>
      </c>
      <c r="M6196" s="3" t="s">
        <v>230</v>
      </c>
      <c r="N6196" s="8" t="s">
        <v>8899</v>
      </c>
      <c r="O6196" s="6" t="s">
        <v>365</v>
      </c>
      <c r="P6196" s="58">
        <v>796</v>
      </c>
      <c r="Q6196" s="27" t="s">
        <v>234</v>
      </c>
      <c r="R6196" s="34">
        <v>6</v>
      </c>
      <c r="S6196" s="59">
        <v>2957.14</v>
      </c>
      <c r="T6196" s="4">
        <v>0</v>
      </c>
      <c r="U6196" s="4">
        <f t="shared" si="289"/>
        <v>0</v>
      </c>
      <c r="V6196" s="3"/>
      <c r="W6196" s="3">
        <v>2014</v>
      </c>
      <c r="X6196" s="3">
        <v>11.12</v>
      </c>
    </row>
    <row r="6197" spans="1:24" ht="114.75">
      <c r="A6197" s="3" t="s">
        <v>13664</v>
      </c>
      <c r="B6197" s="6" t="s">
        <v>361</v>
      </c>
      <c r="C6197" s="6" t="s">
        <v>6670</v>
      </c>
      <c r="D6197" s="6" t="s">
        <v>479</v>
      </c>
      <c r="E6197" s="6" t="s">
        <v>6671</v>
      </c>
      <c r="F6197" s="229" t="s">
        <v>478</v>
      </c>
      <c r="G6197" s="3" t="s">
        <v>11449</v>
      </c>
      <c r="H6197" s="185">
        <v>0</v>
      </c>
      <c r="I6197" s="16">
        <v>470000000</v>
      </c>
      <c r="J6197" s="56" t="s">
        <v>229</v>
      </c>
      <c r="K6197" s="57" t="s">
        <v>642</v>
      </c>
      <c r="L6197" s="12" t="s">
        <v>404</v>
      </c>
      <c r="M6197" s="3" t="s">
        <v>230</v>
      </c>
      <c r="N6197" s="8" t="s">
        <v>8899</v>
      </c>
      <c r="O6197" s="6" t="s">
        <v>365</v>
      </c>
      <c r="P6197" s="58">
        <v>796</v>
      </c>
      <c r="Q6197" s="27" t="s">
        <v>234</v>
      </c>
      <c r="R6197" s="34">
        <v>6</v>
      </c>
      <c r="S6197" s="59">
        <v>2957.14</v>
      </c>
      <c r="T6197" s="4">
        <f>R6197*S6197</f>
        <v>17742.84</v>
      </c>
      <c r="U6197" s="4">
        <f>T6197*1.12</f>
        <v>19871.980800000001</v>
      </c>
      <c r="V6197" s="3"/>
      <c r="W6197" s="3">
        <v>2014</v>
      </c>
      <c r="X6197" s="3"/>
    </row>
    <row r="6198" spans="1:24" ht="114.75">
      <c r="A6198" s="3" t="s">
        <v>2579</v>
      </c>
      <c r="B6198" s="6" t="s">
        <v>361</v>
      </c>
      <c r="C6198" s="6" t="s">
        <v>6670</v>
      </c>
      <c r="D6198" s="6" t="s">
        <v>479</v>
      </c>
      <c r="E6198" s="6" t="s">
        <v>6671</v>
      </c>
      <c r="F6198" s="229" t="s">
        <v>6672</v>
      </c>
      <c r="G6198" s="3" t="s">
        <v>11449</v>
      </c>
      <c r="H6198" s="185">
        <v>0</v>
      </c>
      <c r="I6198" s="16">
        <v>470000000</v>
      </c>
      <c r="J6198" s="56" t="s">
        <v>229</v>
      </c>
      <c r="K6198" s="57" t="s">
        <v>641</v>
      </c>
      <c r="L6198" s="57" t="s">
        <v>364</v>
      </c>
      <c r="M6198" s="3" t="s">
        <v>230</v>
      </c>
      <c r="N6198" s="8" t="s">
        <v>8899</v>
      </c>
      <c r="O6198" s="6" t="s">
        <v>365</v>
      </c>
      <c r="P6198" s="58">
        <v>796</v>
      </c>
      <c r="Q6198" s="27" t="s">
        <v>234</v>
      </c>
      <c r="R6198" s="34">
        <v>6</v>
      </c>
      <c r="S6198" s="59">
        <v>1180.1199999999999</v>
      </c>
      <c r="T6198" s="4">
        <v>0</v>
      </c>
      <c r="U6198" s="4">
        <f t="shared" si="289"/>
        <v>0</v>
      </c>
      <c r="V6198" s="3"/>
      <c r="W6198" s="3">
        <v>2014</v>
      </c>
      <c r="X6198" s="3">
        <v>11.12</v>
      </c>
    </row>
    <row r="6199" spans="1:24" ht="114.75">
      <c r="A6199" s="3" t="s">
        <v>13665</v>
      </c>
      <c r="B6199" s="6" t="s">
        <v>361</v>
      </c>
      <c r="C6199" s="6" t="s">
        <v>6670</v>
      </c>
      <c r="D6199" s="6" t="s">
        <v>479</v>
      </c>
      <c r="E6199" s="6" t="s">
        <v>6671</v>
      </c>
      <c r="F6199" s="229" t="s">
        <v>6672</v>
      </c>
      <c r="G6199" s="3" t="s">
        <v>11449</v>
      </c>
      <c r="H6199" s="185">
        <v>0</v>
      </c>
      <c r="I6199" s="16">
        <v>470000000</v>
      </c>
      <c r="J6199" s="56" t="s">
        <v>229</v>
      </c>
      <c r="K6199" s="57" t="s">
        <v>642</v>
      </c>
      <c r="L6199" s="12" t="s">
        <v>404</v>
      </c>
      <c r="M6199" s="3" t="s">
        <v>230</v>
      </c>
      <c r="N6199" s="8" t="s">
        <v>8899</v>
      </c>
      <c r="O6199" s="6" t="s">
        <v>365</v>
      </c>
      <c r="P6199" s="58">
        <v>796</v>
      </c>
      <c r="Q6199" s="27" t="s">
        <v>234</v>
      </c>
      <c r="R6199" s="34">
        <v>6</v>
      </c>
      <c r="S6199" s="59">
        <v>1180.1199999999999</v>
      </c>
      <c r="T6199" s="4">
        <f>R6199*S6199</f>
        <v>7080.7199999999993</v>
      </c>
      <c r="U6199" s="4">
        <f>T6199*1.12</f>
        <v>7930.4063999999998</v>
      </c>
      <c r="V6199" s="3"/>
      <c r="W6199" s="3">
        <v>2014</v>
      </c>
      <c r="X6199" s="3"/>
    </row>
    <row r="6200" spans="1:24" ht="114.75">
      <c r="A6200" s="3" t="s">
        <v>2580</v>
      </c>
      <c r="B6200" s="6" t="s">
        <v>361</v>
      </c>
      <c r="C6200" s="6" t="s">
        <v>6670</v>
      </c>
      <c r="D6200" s="6" t="s">
        <v>479</v>
      </c>
      <c r="E6200" s="6" t="s">
        <v>6671</v>
      </c>
      <c r="F6200" s="229" t="s">
        <v>6673</v>
      </c>
      <c r="G6200" s="3" t="s">
        <v>11449</v>
      </c>
      <c r="H6200" s="185">
        <v>0</v>
      </c>
      <c r="I6200" s="16">
        <v>470000000</v>
      </c>
      <c r="J6200" s="56" t="s">
        <v>229</v>
      </c>
      <c r="K6200" s="57" t="s">
        <v>641</v>
      </c>
      <c r="L6200" s="57" t="s">
        <v>364</v>
      </c>
      <c r="M6200" s="3" t="s">
        <v>230</v>
      </c>
      <c r="N6200" s="8" t="s">
        <v>8899</v>
      </c>
      <c r="O6200" s="6" t="s">
        <v>365</v>
      </c>
      <c r="P6200" s="58">
        <v>796</v>
      </c>
      <c r="Q6200" s="27" t="s">
        <v>234</v>
      </c>
      <c r="R6200" s="34">
        <v>6</v>
      </c>
      <c r="S6200" s="59">
        <v>1180.1199999999999</v>
      </c>
      <c r="T6200" s="4">
        <v>0</v>
      </c>
      <c r="U6200" s="4">
        <f t="shared" si="289"/>
        <v>0</v>
      </c>
      <c r="V6200" s="3"/>
      <c r="W6200" s="3">
        <v>2014</v>
      </c>
      <c r="X6200" s="3">
        <v>11.12</v>
      </c>
    </row>
    <row r="6201" spans="1:24" ht="114.75">
      <c r="A6201" s="3" t="s">
        <v>13666</v>
      </c>
      <c r="B6201" s="6" t="s">
        <v>361</v>
      </c>
      <c r="C6201" s="6" t="s">
        <v>6670</v>
      </c>
      <c r="D6201" s="6" t="s">
        <v>479</v>
      </c>
      <c r="E6201" s="6" t="s">
        <v>6671</v>
      </c>
      <c r="F6201" s="229" t="s">
        <v>6673</v>
      </c>
      <c r="G6201" s="3" t="s">
        <v>11449</v>
      </c>
      <c r="H6201" s="185">
        <v>0</v>
      </c>
      <c r="I6201" s="16">
        <v>470000000</v>
      </c>
      <c r="J6201" s="56" t="s">
        <v>229</v>
      </c>
      <c r="K6201" s="57" t="s">
        <v>642</v>
      </c>
      <c r="L6201" s="12" t="s">
        <v>404</v>
      </c>
      <c r="M6201" s="3" t="s">
        <v>230</v>
      </c>
      <c r="N6201" s="8" t="s">
        <v>8899</v>
      </c>
      <c r="O6201" s="6" t="s">
        <v>365</v>
      </c>
      <c r="P6201" s="58">
        <v>796</v>
      </c>
      <c r="Q6201" s="27" t="s">
        <v>234</v>
      </c>
      <c r="R6201" s="34">
        <v>6</v>
      </c>
      <c r="S6201" s="59">
        <v>1180.1199999999999</v>
      </c>
      <c r="T6201" s="4">
        <f>R6201*S6201</f>
        <v>7080.7199999999993</v>
      </c>
      <c r="U6201" s="4">
        <f>T6201*1.12</f>
        <v>7930.4063999999998</v>
      </c>
      <c r="V6201" s="3"/>
      <c r="W6201" s="3">
        <v>2014</v>
      </c>
      <c r="X6201" s="3"/>
    </row>
    <row r="6202" spans="1:24" ht="114.75">
      <c r="A6202" s="3" t="s">
        <v>2581</v>
      </c>
      <c r="B6202" s="6" t="s">
        <v>361</v>
      </c>
      <c r="C6202" s="6" t="s">
        <v>6670</v>
      </c>
      <c r="D6202" s="6" t="s">
        <v>479</v>
      </c>
      <c r="E6202" s="6" t="s">
        <v>6671</v>
      </c>
      <c r="F6202" s="229" t="s">
        <v>6674</v>
      </c>
      <c r="G6202" s="3" t="s">
        <v>11449</v>
      </c>
      <c r="H6202" s="185">
        <v>0</v>
      </c>
      <c r="I6202" s="16">
        <v>470000000</v>
      </c>
      <c r="J6202" s="56" t="s">
        <v>229</v>
      </c>
      <c r="K6202" s="57" t="s">
        <v>641</v>
      </c>
      <c r="L6202" s="57" t="s">
        <v>364</v>
      </c>
      <c r="M6202" s="3" t="s">
        <v>230</v>
      </c>
      <c r="N6202" s="8" t="s">
        <v>8899</v>
      </c>
      <c r="O6202" s="6" t="s">
        <v>365</v>
      </c>
      <c r="P6202" s="58">
        <v>796</v>
      </c>
      <c r="Q6202" s="27" t="s">
        <v>234</v>
      </c>
      <c r="R6202" s="34">
        <v>6</v>
      </c>
      <c r="S6202" s="59">
        <v>1180.1199999999999</v>
      </c>
      <c r="T6202" s="4">
        <v>0</v>
      </c>
      <c r="U6202" s="4">
        <f t="shared" si="289"/>
        <v>0</v>
      </c>
      <c r="V6202" s="3"/>
      <c r="W6202" s="3">
        <v>2014</v>
      </c>
      <c r="X6202" s="3">
        <v>11.12</v>
      </c>
    </row>
    <row r="6203" spans="1:24" ht="114.75">
      <c r="A6203" s="3" t="s">
        <v>13667</v>
      </c>
      <c r="B6203" s="6" t="s">
        <v>361</v>
      </c>
      <c r="C6203" s="6" t="s">
        <v>6670</v>
      </c>
      <c r="D6203" s="6" t="s">
        <v>479</v>
      </c>
      <c r="E6203" s="6" t="s">
        <v>6671</v>
      </c>
      <c r="F6203" s="229" t="s">
        <v>6674</v>
      </c>
      <c r="G6203" s="3" t="s">
        <v>11449</v>
      </c>
      <c r="H6203" s="185">
        <v>0</v>
      </c>
      <c r="I6203" s="16">
        <v>470000000</v>
      </c>
      <c r="J6203" s="56" t="s">
        <v>229</v>
      </c>
      <c r="K6203" s="57" t="s">
        <v>642</v>
      </c>
      <c r="L6203" s="12" t="s">
        <v>404</v>
      </c>
      <c r="M6203" s="3" t="s">
        <v>230</v>
      </c>
      <c r="N6203" s="8" t="s">
        <v>8899</v>
      </c>
      <c r="O6203" s="6" t="s">
        <v>365</v>
      </c>
      <c r="P6203" s="58">
        <v>796</v>
      </c>
      <c r="Q6203" s="27" t="s">
        <v>234</v>
      </c>
      <c r="R6203" s="34">
        <v>6</v>
      </c>
      <c r="S6203" s="59">
        <v>1180.1199999999999</v>
      </c>
      <c r="T6203" s="4">
        <f>R6203*S6203</f>
        <v>7080.7199999999993</v>
      </c>
      <c r="U6203" s="4">
        <f>T6203*1.12</f>
        <v>7930.4063999999998</v>
      </c>
      <c r="V6203" s="3"/>
      <c r="W6203" s="3">
        <v>2014</v>
      </c>
      <c r="X6203" s="3"/>
    </row>
    <row r="6204" spans="1:24" ht="114.75">
      <c r="A6204" s="3" t="s">
        <v>2582</v>
      </c>
      <c r="B6204" s="6" t="s">
        <v>361</v>
      </c>
      <c r="C6204" s="6" t="s">
        <v>6670</v>
      </c>
      <c r="D6204" s="6" t="s">
        <v>479</v>
      </c>
      <c r="E6204" s="6" t="s">
        <v>6671</v>
      </c>
      <c r="F6204" s="229" t="s">
        <v>6675</v>
      </c>
      <c r="G6204" s="3" t="s">
        <v>11449</v>
      </c>
      <c r="H6204" s="185">
        <v>0</v>
      </c>
      <c r="I6204" s="16">
        <v>470000000</v>
      </c>
      <c r="J6204" s="56" t="s">
        <v>229</v>
      </c>
      <c r="K6204" s="57" t="s">
        <v>641</v>
      </c>
      <c r="L6204" s="57" t="s">
        <v>364</v>
      </c>
      <c r="M6204" s="3" t="s">
        <v>230</v>
      </c>
      <c r="N6204" s="8" t="s">
        <v>8899</v>
      </c>
      <c r="O6204" s="6" t="s">
        <v>365</v>
      </c>
      <c r="P6204" s="58">
        <v>796</v>
      </c>
      <c r="Q6204" s="27" t="s">
        <v>234</v>
      </c>
      <c r="R6204" s="34">
        <v>6</v>
      </c>
      <c r="S6204" s="59">
        <v>1180.1199999999999</v>
      </c>
      <c r="T6204" s="4">
        <v>0</v>
      </c>
      <c r="U6204" s="4">
        <f t="shared" si="289"/>
        <v>0</v>
      </c>
      <c r="V6204" s="3"/>
      <c r="W6204" s="3">
        <v>2014</v>
      </c>
      <c r="X6204" s="3">
        <v>11.12</v>
      </c>
    </row>
    <row r="6205" spans="1:24" ht="114.75">
      <c r="A6205" s="3" t="s">
        <v>13668</v>
      </c>
      <c r="B6205" s="6" t="s">
        <v>361</v>
      </c>
      <c r="C6205" s="6" t="s">
        <v>6670</v>
      </c>
      <c r="D6205" s="6" t="s">
        <v>479</v>
      </c>
      <c r="E6205" s="6" t="s">
        <v>6671</v>
      </c>
      <c r="F6205" s="229" t="s">
        <v>6675</v>
      </c>
      <c r="G6205" s="3" t="s">
        <v>11449</v>
      </c>
      <c r="H6205" s="185">
        <v>0</v>
      </c>
      <c r="I6205" s="16">
        <v>470000000</v>
      </c>
      <c r="J6205" s="56" t="s">
        <v>229</v>
      </c>
      <c r="K6205" s="57" t="s">
        <v>642</v>
      </c>
      <c r="L6205" s="12" t="s">
        <v>404</v>
      </c>
      <c r="M6205" s="3" t="s">
        <v>230</v>
      </c>
      <c r="N6205" s="8" t="s">
        <v>8899</v>
      </c>
      <c r="O6205" s="6" t="s">
        <v>365</v>
      </c>
      <c r="P6205" s="58">
        <v>796</v>
      </c>
      <c r="Q6205" s="27" t="s">
        <v>234</v>
      </c>
      <c r="R6205" s="34">
        <v>6</v>
      </c>
      <c r="S6205" s="59">
        <v>1180.1199999999999</v>
      </c>
      <c r="T6205" s="4">
        <f>R6205*S6205</f>
        <v>7080.7199999999993</v>
      </c>
      <c r="U6205" s="4">
        <f>T6205*1.12</f>
        <v>7930.4063999999998</v>
      </c>
      <c r="V6205" s="3"/>
      <c r="W6205" s="3">
        <v>2014</v>
      </c>
      <c r="X6205" s="3"/>
    </row>
    <row r="6206" spans="1:24" ht="114.75">
      <c r="A6206" s="3" t="s">
        <v>2583</v>
      </c>
      <c r="B6206" s="6" t="s">
        <v>361</v>
      </c>
      <c r="C6206" s="6" t="s">
        <v>5547</v>
      </c>
      <c r="D6206" s="6" t="s">
        <v>415</v>
      </c>
      <c r="E6206" s="6" t="s">
        <v>5332</v>
      </c>
      <c r="F6206" s="229" t="s">
        <v>6676</v>
      </c>
      <c r="G6206" s="3" t="s">
        <v>11449</v>
      </c>
      <c r="H6206" s="185">
        <v>0</v>
      </c>
      <c r="I6206" s="16">
        <v>470000000</v>
      </c>
      <c r="J6206" s="56" t="s">
        <v>229</v>
      </c>
      <c r="K6206" s="57" t="s">
        <v>641</v>
      </c>
      <c r="L6206" s="57" t="s">
        <v>364</v>
      </c>
      <c r="M6206" s="3" t="s">
        <v>230</v>
      </c>
      <c r="N6206" s="8" t="s">
        <v>8899</v>
      </c>
      <c r="O6206" s="6" t="s">
        <v>365</v>
      </c>
      <c r="P6206" s="58">
        <v>796</v>
      </c>
      <c r="Q6206" s="27" t="s">
        <v>234</v>
      </c>
      <c r="R6206" s="34">
        <v>8</v>
      </c>
      <c r="S6206" s="59">
        <v>12413.86</v>
      </c>
      <c r="T6206" s="4">
        <v>0</v>
      </c>
      <c r="U6206" s="4">
        <f t="shared" si="289"/>
        <v>0</v>
      </c>
      <c r="V6206" s="3"/>
      <c r="W6206" s="3">
        <v>2014</v>
      </c>
      <c r="X6206" s="3">
        <v>11.12</v>
      </c>
    </row>
    <row r="6207" spans="1:24" ht="114.75">
      <c r="A6207" s="3" t="s">
        <v>13669</v>
      </c>
      <c r="B6207" s="6" t="s">
        <v>361</v>
      </c>
      <c r="C6207" s="6" t="s">
        <v>5547</v>
      </c>
      <c r="D6207" s="6" t="s">
        <v>415</v>
      </c>
      <c r="E6207" s="6" t="s">
        <v>5332</v>
      </c>
      <c r="F6207" s="229" t="s">
        <v>6676</v>
      </c>
      <c r="G6207" s="3" t="s">
        <v>11449</v>
      </c>
      <c r="H6207" s="185">
        <v>0</v>
      </c>
      <c r="I6207" s="16">
        <v>470000000</v>
      </c>
      <c r="J6207" s="56" t="s">
        <v>229</v>
      </c>
      <c r="K6207" s="57" t="s">
        <v>642</v>
      </c>
      <c r="L6207" s="12" t="s">
        <v>404</v>
      </c>
      <c r="M6207" s="3" t="s">
        <v>230</v>
      </c>
      <c r="N6207" s="8" t="s">
        <v>8899</v>
      </c>
      <c r="O6207" s="6" t="s">
        <v>365</v>
      </c>
      <c r="P6207" s="58">
        <v>796</v>
      </c>
      <c r="Q6207" s="27" t="s">
        <v>234</v>
      </c>
      <c r="R6207" s="34">
        <v>8</v>
      </c>
      <c r="S6207" s="59">
        <v>12413.86</v>
      </c>
      <c r="T6207" s="4">
        <f>R6207*S6207</f>
        <v>99310.88</v>
      </c>
      <c r="U6207" s="4">
        <f>T6207*1.12</f>
        <v>111228.18560000001</v>
      </c>
      <c r="V6207" s="3"/>
      <c r="W6207" s="3">
        <v>2014</v>
      </c>
      <c r="X6207" s="3"/>
    </row>
    <row r="6208" spans="1:24" ht="114.75">
      <c r="A6208" s="3" t="s">
        <v>2584</v>
      </c>
      <c r="B6208" s="6" t="s">
        <v>361</v>
      </c>
      <c r="C6208" s="6" t="s">
        <v>5547</v>
      </c>
      <c r="D6208" s="6" t="s">
        <v>415</v>
      </c>
      <c r="E6208" s="6" t="s">
        <v>5332</v>
      </c>
      <c r="F6208" s="229" t="s">
        <v>6677</v>
      </c>
      <c r="G6208" s="3" t="s">
        <v>11449</v>
      </c>
      <c r="H6208" s="185">
        <v>0</v>
      </c>
      <c r="I6208" s="16">
        <v>470000000</v>
      </c>
      <c r="J6208" s="56" t="s">
        <v>229</v>
      </c>
      <c r="K6208" s="57" t="s">
        <v>641</v>
      </c>
      <c r="L6208" s="57" t="s">
        <v>364</v>
      </c>
      <c r="M6208" s="3" t="s">
        <v>230</v>
      </c>
      <c r="N6208" s="8" t="s">
        <v>8899</v>
      </c>
      <c r="O6208" s="6" t="s">
        <v>365</v>
      </c>
      <c r="P6208" s="58">
        <v>796</v>
      </c>
      <c r="Q6208" s="27" t="s">
        <v>234</v>
      </c>
      <c r="R6208" s="34">
        <v>8</v>
      </c>
      <c r="S6208" s="59">
        <v>13122.44</v>
      </c>
      <c r="T6208" s="4">
        <v>0</v>
      </c>
      <c r="U6208" s="4">
        <f t="shared" si="289"/>
        <v>0</v>
      </c>
      <c r="V6208" s="3"/>
      <c r="W6208" s="3">
        <v>2014</v>
      </c>
      <c r="X6208" s="3">
        <v>11.12</v>
      </c>
    </row>
    <row r="6209" spans="1:24" ht="114.75">
      <c r="A6209" s="3" t="s">
        <v>13670</v>
      </c>
      <c r="B6209" s="6" t="s">
        <v>361</v>
      </c>
      <c r="C6209" s="6" t="s">
        <v>5547</v>
      </c>
      <c r="D6209" s="6" t="s">
        <v>415</v>
      </c>
      <c r="E6209" s="6" t="s">
        <v>5332</v>
      </c>
      <c r="F6209" s="229" t="s">
        <v>6677</v>
      </c>
      <c r="G6209" s="3" t="s">
        <v>11449</v>
      </c>
      <c r="H6209" s="185">
        <v>0</v>
      </c>
      <c r="I6209" s="16">
        <v>470000000</v>
      </c>
      <c r="J6209" s="56" t="s">
        <v>229</v>
      </c>
      <c r="K6209" s="57" t="s">
        <v>642</v>
      </c>
      <c r="L6209" s="12" t="s">
        <v>404</v>
      </c>
      <c r="M6209" s="3" t="s">
        <v>230</v>
      </c>
      <c r="N6209" s="8" t="s">
        <v>8899</v>
      </c>
      <c r="O6209" s="6" t="s">
        <v>365</v>
      </c>
      <c r="P6209" s="58">
        <v>796</v>
      </c>
      <c r="Q6209" s="27" t="s">
        <v>234</v>
      </c>
      <c r="R6209" s="34">
        <v>8</v>
      </c>
      <c r="S6209" s="59">
        <v>13122.44</v>
      </c>
      <c r="T6209" s="4">
        <f>R6209*S6209</f>
        <v>104979.52</v>
      </c>
      <c r="U6209" s="4">
        <f>T6209*1.12</f>
        <v>117577.06240000001</v>
      </c>
      <c r="V6209" s="3"/>
      <c r="W6209" s="3">
        <v>2014</v>
      </c>
      <c r="X6209" s="3"/>
    </row>
    <row r="6210" spans="1:24" ht="114.75">
      <c r="A6210" s="3" t="s">
        <v>2585</v>
      </c>
      <c r="B6210" s="6" t="s">
        <v>361</v>
      </c>
      <c r="C6210" s="6" t="s">
        <v>5547</v>
      </c>
      <c r="D6210" s="6" t="s">
        <v>415</v>
      </c>
      <c r="E6210" s="6" t="s">
        <v>5332</v>
      </c>
      <c r="F6210" s="229" t="s">
        <v>6678</v>
      </c>
      <c r="G6210" s="3" t="s">
        <v>11449</v>
      </c>
      <c r="H6210" s="185">
        <v>0</v>
      </c>
      <c r="I6210" s="16">
        <v>470000000</v>
      </c>
      <c r="J6210" s="56" t="s">
        <v>229</v>
      </c>
      <c r="K6210" s="57" t="s">
        <v>641</v>
      </c>
      <c r="L6210" s="57" t="s">
        <v>364</v>
      </c>
      <c r="M6210" s="3" t="s">
        <v>230</v>
      </c>
      <c r="N6210" s="8" t="s">
        <v>8899</v>
      </c>
      <c r="O6210" s="6" t="s">
        <v>365</v>
      </c>
      <c r="P6210" s="58">
        <v>796</v>
      </c>
      <c r="Q6210" s="27" t="s">
        <v>234</v>
      </c>
      <c r="R6210" s="34">
        <v>8</v>
      </c>
      <c r="S6210" s="59">
        <v>11425.94</v>
      </c>
      <c r="T6210" s="4">
        <v>0</v>
      </c>
      <c r="U6210" s="4">
        <f t="shared" si="289"/>
        <v>0</v>
      </c>
      <c r="V6210" s="3"/>
      <c r="W6210" s="3">
        <v>2014</v>
      </c>
      <c r="X6210" s="3">
        <v>11.12</v>
      </c>
    </row>
    <row r="6211" spans="1:24" ht="114.75">
      <c r="A6211" s="3" t="s">
        <v>13671</v>
      </c>
      <c r="B6211" s="6" t="s">
        <v>361</v>
      </c>
      <c r="C6211" s="6" t="s">
        <v>5547</v>
      </c>
      <c r="D6211" s="6" t="s">
        <v>415</v>
      </c>
      <c r="E6211" s="6" t="s">
        <v>5332</v>
      </c>
      <c r="F6211" s="229" t="s">
        <v>6678</v>
      </c>
      <c r="G6211" s="3" t="s">
        <v>11449</v>
      </c>
      <c r="H6211" s="185">
        <v>0</v>
      </c>
      <c r="I6211" s="16">
        <v>470000000</v>
      </c>
      <c r="J6211" s="56" t="s">
        <v>229</v>
      </c>
      <c r="K6211" s="57" t="s">
        <v>642</v>
      </c>
      <c r="L6211" s="12" t="s">
        <v>404</v>
      </c>
      <c r="M6211" s="3" t="s">
        <v>230</v>
      </c>
      <c r="N6211" s="8" t="s">
        <v>8899</v>
      </c>
      <c r="O6211" s="6" t="s">
        <v>365</v>
      </c>
      <c r="P6211" s="58">
        <v>796</v>
      </c>
      <c r="Q6211" s="27" t="s">
        <v>234</v>
      </c>
      <c r="R6211" s="34">
        <v>8</v>
      </c>
      <c r="S6211" s="59">
        <v>11425.94</v>
      </c>
      <c r="T6211" s="4">
        <f>R6211*S6211</f>
        <v>91407.52</v>
      </c>
      <c r="U6211" s="4">
        <f>T6211*1.12</f>
        <v>102376.42240000001</v>
      </c>
      <c r="V6211" s="3"/>
      <c r="W6211" s="3">
        <v>2014</v>
      </c>
      <c r="X6211" s="3"/>
    </row>
    <row r="6212" spans="1:24" ht="114.75">
      <c r="A6212" s="3" t="s">
        <v>2586</v>
      </c>
      <c r="B6212" s="6" t="s">
        <v>361</v>
      </c>
      <c r="C6212" s="6" t="s">
        <v>5547</v>
      </c>
      <c r="D6212" s="6" t="s">
        <v>415</v>
      </c>
      <c r="E6212" s="6" t="s">
        <v>5332</v>
      </c>
      <c r="F6212" s="229" t="s">
        <v>6679</v>
      </c>
      <c r="G6212" s="3" t="s">
        <v>11449</v>
      </c>
      <c r="H6212" s="185">
        <v>0</v>
      </c>
      <c r="I6212" s="16">
        <v>470000000</v>
      </c>
      <c r="J6212" s="56" t="s">
        <v>229</v>
      </c>
      <c r="K6212" s="57" t="s">
        <v>641</v>
      </c>
      <c r="L6212" s="57" t="s">
        <v>364</v>
      </c>
      <c r="M6212" s="3" t="s">
        <v>230</v>
      </c>
      <c r="N6212" s="8" t="s">
        <v>8899</v>
      </c>
      <c r="O6212" s="6" t="s">
        <v>365</v>
      </c>
      <c r="P6212" s="58">
        <v>796</v>
      </c>
      <c r="Q6212" s="27" t="s">
        <v>234</v>
      </c>
      <c r="R6212" s="34">
        <v>8</v>
      </c>
      <c r="S6212" s="59">
        <v>10997.56</v>
      </c>
      <c r="T6212" s="4">
        <v>0</v>
      </c>
      <c r="U6212" s="4">
        <f t="shared" si="289"/>
        <v>0</v>
      </c>
      <c r="V6212" s="3"/>
      <c r="W6212" s="3">
        <v>2014</v>
      </c>
      <c r="X6212" s="3">
        <v>11.12</v>
      </c>
    </row>
    <row r="6213" spans="1:24" ht="114.75">
      <c r="A6213" s="3" t="s">
        <v>13672</v>
      </c>
      <c r="B6213" s="6" t="s">
        <v>361</v>
      </c>
      <c r="C6213" s="6" t="s">
        <v>5547</v>
      </c>
      <c r="D6213" s="6" t="s">
        <v>415</v>
      </c>
      <c r="E6213" s="6" t="s">
        <v>5332</v>
      </c>
      <c r="F6213" s="229" t="s">
        <v>6679</v>
      </c>
      <c r="G6213" s="3" t="s">
        <v>11449</v>
      </c>
      <c r="H6213" s="185">
        <v>0</v>
      </c>
      <c r="I6213" s="16">
        <v>470000000</v>
      </c>
      <c r="J6213" s="56" t="s">
        <v>229</v>
      </c>
      <c r="K6213" s="57" t="s">
        <v>642</v>
      </c>
      <c r="L6213" s="12" t="s">
        <v>404</v>
      </c>
      <c r="M6213" s="3" t="s">
        <v>230</v>
      </c>
      <c r="N6213" s="8" t="s">
        <v>8899</v>
      </c>
      <c r="O6213" s="6" t="s">
        <v>365</v>
      </c>
      <c r="P6213" s="58">
        <v>796</v>
      </c>
      <c r="Q6213" s="27" t="s">
        <v>234</v>
      </c>
      <c r="R6213" s="34">
        <v>8</v>
      </c>
      <c r="S6213" s="59">
        <v>10997.56</v>
      </c>
      <c r="T6213" s="4">
        <f>R6213*S6213</f>
        <v>87980.479999999996</v>
      </c>
      <c r="U6213" s="4">
        <f>T6213*1.12</f>
        <v>98538.137600000002</v>
      </c>
      <c r="V6213" s="3"/>
      <c r="W6213" s="3">
        <v>2014</v>
      </c>
      <c r="X6213" s="3"/>
    </row>
    <row r="6214" spans="1:24" ht="114.75">
      <c r="A6214" s="3" t="s">
        <v>2587</v>
      </c>
      <c r="B6214" s="6" t="s">
        <v>361</v>
      </c>
      <c r="C6214" s="6" t="s">
        <v>5547</v>
      </c>
      <c r="D6214" s="6" t="s">
        <v>415</v>
      </c>
      <c r="E6214" s="6" t="s">
        <v>5332</v>
      </c>
      <c r="F6214" s="229" t="s">
        <v>6680</v>
      </c>
      <c r="G6214" s="3" t="s">
        <v>11449</v>
      </c>
      <c r="H6214" s="185">
        <v>0</v>
      </c>
      <c r="I6214" s="16">
        <v>470000000</v>
      </c>
      <c r="J6214" s="56" t="s">
        <v>229</v>
      </c>
      <c r="K6214" s="57" t="s">
        <v>641</v>
      </c>
      <c r="L6214" s="57" t="s">
        <v>364</v>
      </c>
      <c r="M6214" s="3" t="s">
        <v>230</v>
      </c>
      <c r="N6214" s="8" t="s">
        <v>8899</v>
      </c>
      <c r="O6214" s="6" t="s">
        <v>365</v>
      </c>
      <c r="P6214" s="58">
        <v>796</v>
      </c>
      <c r="Q6214" s="27" t="s">
        <v>234</v>
      </c>
      <c r="R6214" s="34">
        <v>8</v>
      </c>
      <c r="S6214" s="59">
        <v>12315.91</v>
      </c>
      <c r="T6214" s="4">
        <v>0</v>
      </c>
      <c r="U6214" s="4">
        <f t="shared" si="289"/>
        <v>0</v>
      </c>
      <c r="V6214" s="3"/>
      <c r="W6214" s="3">
        <v>2014</v>
      </c>
      <c r="X6214" s="3">
        <v>11.12</v>
      </c>
    </row>
    <row r="6215" spans="1:24" ht="114.75">
      <c r="A6215" s="3" t="s">
        <v>13673</v>
      </c>
      <c r="B6215" s="6" t="s">
        <v>361</v>
      </c>
      <c r="C6215" s="6" t="s">
        <v>5547</v>
      </c>
      <c r="D6215" s="6" t="s">
        <v>415</v>
      </c>
      <c r="E6215" s="6" t="s">
        <v>5332</v>
      </c>
      <c r="F6215" s="229" t="s">
        <v>6680</v>
      </c>
      <c r="G6215" s="3" t="s">
        <v>11449</v>
      </c>
      <c r="H6215" s="185">
        <v>0</v>
      </c>
      <c r="I6215" s="16">
        <v>470000000</v>
      </c>
      <c r="J6215" s="56" t="s">
        <v>229</v>
      </c>
      <c r="K6215" s="57" t="s">
        <v>642</v>
      </c>
      <c r="L6215" s="12" t="s">
        <v>404</v>
      </c>
      <c r="M6215" s="3" t="s">
        <v>230</v>
      </c>
      <c r="N6215" s="8" t="s">
        <v>8899</v>
      </c>
      <c r="O6215" s="6" t="s">
        <v>365</v>
      </c>
      <c r="P6215" s="58">
        <v>796</v>
      </c>
      <c r="Q6215" s="27" t="s">
        <v>234</v>
      </c>
      <c r="R6215" s="34">
        <v>8</v>
      </c>
      <c r="S6215" s="59">
        <v>12315.91</v>
      </c>
      <c r="T6215" s="4">
        <f>R6215*S6215</f>
        <v>98527.28</v>
      </c>
      <c r="U6215" s="4">
        <f>T6215*1.12</f>
        <v>110350.55360000001</v>
      </c>
      <c r="V6215" s="3"/>
      <c r="W6215" s="3">
        <v>2014</v>
      </c>
      <c r="X6215" s="3"/>
    </row>
    <row r="6216" spans="1:24" ht="114.75">
      <c r="A6216" s="3" t="s">
        <v>2588</v>
      </c>
      <c r="B6216" s="6" t="s">
        <v>361</v>
      </c>
      <c r="C6216" s="6" t="s">
        <v>5547</v>
      </c>
      <c r="D6216" s="6" t="s">
        <v>415</v>
      </c>
      <c r="E6216" s="6" t="s">
        <v>5332</v>
      </c>
      <c r="F6216" s="229" t="s">
        <v>6681</v>
      </c>
      <c r="G6216" s="3" t="s">
        <v>11449</v>
      </c>
      <c r="H6216" s="185">
        <v>0</v>
      </c>
      <c r="I6216" s="16">
        <v>470000000</v>
      </c>
      <c r="J6216" s="56" t="s">
        <v>229</v>
      </c>
      <c r="K6216" s="57" t="s">
        <v>641</v>
      </c>
      <c r="L6216" s="57" t="s">
        <v>364</v>
      </c>
      <c r="M6216" s="3" t="s">
        <v>230</v>
      </c>
      <c r="N6216" s="8" t="s">
        <v>8899</v>
      </c>
      <c r="O6216" s="6" t="s">
        <v>365</v>
      </c>
      <c r="P6216" s="58">
        <v>796</v>
      </c>
      <c r="Q6216" s="27" t="s">
        <v>234</v>
      </c>
      <c r="R6216" s="34">
        <v>8</v>
      </c>
      <c r="S6216" s="59">
        <v>13910.47</v>
      </c>
      <c r="T6216" s="4">
        <v>0</v>
      </c>
      <c r="U6216" s="4">
        <f t="shared" si="289"/>
        <v>0</v>
      </c>
      <c r="V6216" s="3"/>
      <c r="W6216" s="3">
        <v>2014</v>
      </c>
      <c r="X6216" s="3">
        <v>11.12</v>
      </c>
    </row>
    <row r="6217" spans="1:24" ht="114.75">
      <c r="A6217" s="3" t="s">
        <v>13674</v>
      </c>
      <c r="B6217" s="6" t="s">
        <v>361</v>
      </c>
      <c r="C6217" s="6" t="s">
        <v>5547</v>
      </c>
      <c r="D6217" s="6" t="s">
        <v>415</v>
      </c>
      <c r="E6217" s="6" t="s">
        <v>5332</v>
      </c>
      <c r="F6217" s="229" t="s">
        <v>6681</v>
      </c>
      <c r="G6217" s="3" t="s">
        <v>11449</v>
      </c>
      <c r="H6217" s="185">
        <v>0</v>
      </c>
      <c r="I6217" s="16">
        <v>470000000</v>
      </c>
      <c r="J6217" s="56" t="s">
        <v>229</v>
      </c>
      <c r="K6217" s="57" t="s">
        <v>642</v>
      </c>
      <c r="L6217" s="12" t="s">
        <v>404</v>
      </c>
      <c r="M6217" s="3" t="s">
        <v>230</v>
      </c>
      <c r="N6217" s="8" t="s">
        <v>8899</v>
      </c>
      <c r="O6217" s="6" t="s">
        <v>365</v>
      </c>
      <c r="P6217" s="58">
        <v>796</v>
      </c>
      <c r="Q6217" s="27" t="s">
        <v>234</v>
      </c>
      <c r="R6217" s="34">
        <v>8</v>
      </c>
      <c r="S6217" s="59">
        <v>13910.47</v>
      </c>
      <c r="T6217" s="4">
        <f>R6217*S6217</f>
        <v>111283.76</v>
      </c>
      <c r="U6217" s="4">
        <f>T6217*1.12</f>
        <v>124637.81120000001</v>
      </c>
      <c r="V6217" s="3"/>
      <c r="W6217" s="3">
        <v>2014</v>
      </c>
      <c r="X6217" s="3"/>
    </row>
    <row r="6218" spans="1:24" ht="114.75">
      <c r="A6218" s="3" t="s">
        <v>2589</v>
      </c>
      <c r="B6218" s="6" t="s">
        <v>361</v>
      </c>
      <c r="C6218" s="6" t="s">
        <v>5547</v>
      </c>
      <c r="D6218" s="6" t="s">
        <v>415</v>
      </c>
      <c r="E6218" s="6" t="s">
        <v>5332</v>
      </c>
      <c r="F6218" s="229" t="s">
        <v>6682</v>
      </c>
      <c r="G6218" s="3" t="s">
        <v>11449</v>
      </c>
      <c r="H6218" s="185">
        <v>0</v>
      </c>
      <c r="I6218" s="16">
        <v>470000000</v>
      </c>
      <c r="J6218" s="56" t="s">
        <v>229</v>
      </c>
      <c r="K6218" s="57" t="s">
        <v>641</v>
      </c>
      <c r="L6218" s="57" t="s">
        <v>364</v>
      </c>
      <c r="M6218" s="3" t="s">
        <v>230</v>
      </c>
      <c r="N6218" s="8" t="s">
        <v>8899</v>
      </c>
      <c r="O6218" s="6" t="s">
        <v>365</v>
      </c>
      <c r="P6218" s="58">
        <v>796</v>
      </c>
      <c r="Q6218" s="27" t="s">
        <v>234</v>
      </c>
      <c r="R6218" s="34">
        <v>8</v>
      </c>
      <c r="S6218" s="59">
        <v>15608.5</v>
      </c>
      <c r="T6218" s="4">
        <v>0</v>
      </c>
      <c r="U6218" s="4">
        <f t="shared" si="289"/>
        <v>0</v>
      </c>
      <c r="V6218" s="3"/>
      <c r="W6218" s="3">
        <v>2014</v>
      </c>
      <c r="X6218" s="3">
        <v>11.12</v>
      </c>
    </row>
    <row r="6219" spans="1:24" ht="114.75">
      <c r="A6219" s="3" t="s">
        <v>13675</v>
      </c>
      <c r="B6219" s="6" t="s">
        <v>361</v>
      </c>
      <c r="C6219" s="6" t="s">
        <v>5547</v>
      </c>
      <c r="D6219" s="6" t="s">
        <v>415</v>
      </c>
      <c r="E6219" s="6" t="s">
        <v>5332</v>
      </c>
      <c r="F6219" s="229" t="s">
        <v>6682</v>
      </c>
      <c r="G6219" s="3" t="s">
        <v>11449</v>
      </c>
      <c r="H6219" s="185">
        <v>0</v>
      </c>
      <c r="I6219" s="16">
        <v>470000000</v>
      </c>
      <c r="J6219" s="56" t="s">
        <v>229</v>
      </c>
      <c r="K6219" s="57" t="s">
        <v>642</v>
      </c>
      <c r="L6219" s="12" t="s">
        <v>404</v>
      </c>
      <c r="M6219" s="3" t="s">
        <v>230</v>
      </c>
      <c r="N6219" s="8" t="s">
        <v>8899</v>
      </c>
      <c r="O6219" s="6" t="s">
        <v>365</v>
      </c>
      <c r="P6219" s="58">
        <v>796</v>
      </c>
      <c r="Q6219" s="27" t="s">
        <v>234</v>
      </c>
      <c r="R6219" s="34">
        <v>8</v>
      </c>
      <c r="S6219" s="59">
        <v>15608.5</v>
      </c>
      <c r="T6219" s="4">
        <f>R6219*S6219</f>
        <v>124868</v>
      </c>
      <c r="U6219" s="4">
        <f>T6219*1.12</f>
        <v>139852.16</v>
      </c>
      <c r="V6219" s="3"/>
      <c r="W6219" s="3">
        <v>2014</v>
      </c>
      <c r="X6219" s="3"/>
    </row>
    <row r="6220" spans="1:24" ht="114.75">
      <c r="A6220" s="3" t="s">
        <v>2590</v>
      </c>
      <c r="B6220" s="6" t="s">
        <v>361</v>
      </c>
      <c r="C6220" s="6" t="s">
        <v>5547</v>
      </c>
      <c r="D6220" s="6" t="s">
        <v>415</v>
      </c>
      <c r="E6220" s="6" t="s">
        <v>5332</v>
      </c>
      <c r="F6220" s="229" t="s">
        <v>480</v>
      </c>
      <c r="G6220" s="3" t="s">
        <v>11449</v>
      </c>
      <c r="H6220" s="185">
        <v>0</v>
      </c>
      <c r="I6220" s="16">
        <v>470000000</v>
      </c>
      <c r="J6220" s="56" t="s">
        <v>229</v>
      </c>
      <c r="K6220" s="57" t="s">
        <v>641</v>
      </c>
      <c r="L6220" s="57" t="s">
        <v>364</v>
      </c>
      <c r="M6220" s="3" t="s">
        <v>230</v>
      </c>
      <c r="N6220" s="8" t="s">
        <v>8899</v>
      </c>
      <c r="O6220" s="6" t="s">
        <v>365</v>
      </c>
      <c r="P6220" s="58">
        <v>796</v>
      </c>
      <c r="Q6220" s="27" t="s">
        <v>234</v>
      </c>
      <c r="R6220" s="34">
        <v>8</v>
      </c>
      <c r="S6220" s="59">
        <v>15413</v>
      </c>
      <c r="T6220" s="4">
        <v>0</v>
      </c>
      <c r="U6220" s="4">
        <f t="shared" si="289"/>
        <v>0</v>
      </c>
      <c r="V6220" s="3"/>
      <c r="W6220" s="3">
        <v>2014</v>
      </c>
      <c r="X6220" s="3">
        <v>11.12</v>
      </c>
    </row>
    <row r="6221" spans="1:24" ht="114.75">
      <c r="A6221" s="3" t="s">
        <v>13676</v>
      </c>
      <c r="B6221" s="6" t="s">
        <v>361</v>
      </c>
      <c r="C6221" s="6" t="s">
        <v>5547</v>
      </c>
      <c r="D6221" s="6" t="s">
        <v>415</v>
      </c>
      <c r="E6221" s="6" t="s">
        <v>5332</v>
      </c>
      <c r="F6221" s="229" t="s">
        <v>480</v>
      </c>
      <c r="G6221" s="3" t="s">
        <v>11449</v>
      </c>
      <c r="H6221" s="185">
        <v>0</v>
      </c>
      <c r="I6221" s="16">
        <v>470000000</v>
      </c>
      <c r="J6221" s="56" t="s">
        <v>229</v>
      </c>
      <c r="K6221" s="57" t="s">
        <v>642</v>
      </c>
      <c r="L6221" s="12" t="s">
        <v>404</v>
      </c>
      <c r="M6221" s="3" t="s">
        <v>230</v>
      </c>
      <c r="N6221" s="8" t="s">
        <v>8899</v>
      </c>
      <c r="O6221" s="6" t="s">
        <v>365</v>
      </c>
      <c r="P6221" s="58">
        <v>796</v>
      </c>
      <c r="Q6221" s="27" t="s">
        <v>234</v>
      </c>
      <c r="R6221" s="34">
        <v>8</v>
      </c>
      <c r="S6221" s="59">
        <v>15413</v>
      </c>
      <c r="T6221" s="4">
        <f>R6221*S6221</f>
        <v>123304</v>
      </c>
      <c r="U6221" s="4">
        <f>T6221*1.12</f>
        <v>138100.48000000001</v>
      </c>
      <c r="V6221" s="3"/>
      <c r="W6221" s="3">
        <v>2014</v>
      </c>
      <c r="X6221" s="3"/>
    </row>
    <row r="6222" spans="1:24" ht="114.75">
      <c r="A6222" s="3" t="s">
        <v>2591</v>
      </c>
      <c r="B6222" s="6" t="s">
        <v>361</v>
      </c>
      <c r="C6222" s="6" t="s">
        <v>5547</v>
      </c>
      <c r="D6222" s="6" t="s">
        <v>415</v>
      </c>
      <c r="E6222" s="6" t="s">
        <v>5332</v>
      </c>
      <c r="F6222" s="229" t="s">
        <v>480</v>
      </c>
      <c r="G6222" s="3" t="s">
        <v>11449</v>
      </c>
      <c r="H6222" s="185">
        <v>0</v>
      </c>
      <c r="I6222" s="16">
        <v>470000000</v>
      </c>
      <c r="J6222" s="56" t="s">
        <v>229</v>
      </c>
      <c r="K6222" s="57" t="s">
        <v>641</v>
      </c>
      <c r="L6222" s="57" t="s">
        <v>364</v>
      </c>
      <c r="M6222" s="3" t="s">
        <v>230</v>
      </c>
      <c r="N6222" s="8" t="s">
        <v>8899</v>
      </c>
      <c r="O6222" s="6" t="s">
        <v>365</v>
      </c>
      <c r="P6222" s="58">
        <v>796</v>
      </c>
      <c r="Q6222" s="27" t="s">
        <v>234</v>
      </c>
      <c r="R6222" s="34">
        <v>8</v>
      </c>
      <c r="S6222" s="59">
        <v>14341</v>
      </c>
      <c r="T6222" s="4">
        <v>0</v>
      </c>
      <c r="U6222" s="4">
        <f t="shared" si="289"/>
        <v>0</v>
      </c>
      <c r="V6222" s="3"/>
      <c r="W6222" s="3">
        <v>2014</v>
      </c>
      <c r="X6222" s="3">
        <v>11.12</v>
      </c>
    </row>
    <row r="6223" spans="1:24" ht="114.75">
      <c r="A6223" s="3" t="s">
        <v>13677</v>
      </c>
      <c r="B6223" s="6" t="s">
        <v>361</v>
      </c>
      <c r="C6223" s="6" t="s">
        <v>5547</v>
      </c>
      <c r="D6223" s="6" t="s">
        <v>415</v>
      </c>
      <c r="E6223" s="6" t="s">
        <v>5332</v>
      </c>
      <c r="F6223" s="229" t="s">
        <v>480</v>
      </c>
      <c r="G6223" s="3" t="s">
        <v>11449</v>
      </c>
      <c r="H6223" s="185">
        <v>0</v>
      </c>
      <c r="I6223" s="16">
        <v>470000000</v>
      </c>
      <c r="J6223" s="56" t="s">
        <v>229</v>
      </c>
      <c r="K6223" s="57" t="s">
        <v>642</v>
      </c>
      <c r="L6223" s="12" t="s">
        <v>404</v>
      </c>
      <c r="M6223" s="3" t="s">
        <v>230</v>
      </c>
      <c r="N6223" s="8" t="s">
        <v>8899</v>
      </c>
      <c r="O6223" s="6" t="s">
        <v>365</v>
      </c>
      <c r="P6223" s="58">
        <v>796</v>
      </c>
      <c r="Q6223" s="27" t="s">
        <v>234</v>
      </c>
      <c r="R6223" s="34">
        <v>8</v>
      </c>
      <c r="S6223" s="59">
        <v>14341</v>
      </c>
      <c r="T6223" s="4">
        <f>R6223*S6223</f>
        <v>114728</v>
      </c>
      <c r="U6223" s="4">
        <f>T6223*1.12</f>
        <v>128495.36000000002</v>
      </c>
      <c r="V6223" s="3"/>
      <c r="W6223" s="3">
        <v>2014</v>
      </c>
      <c r="X6223" s="3"/>
    </row>
    <row r="6224" spans="1:24" ht="114.75">
      <c r="A6224" s="3" t="s">
        <v>2592</v>
      </c>
      <c r="B6224" s="6" t="s">
        <v>361</v>
      </c>
      <c r="C6224" s="6" t="s">
        <v>5547</v>
      </c>
      <c r="D6224" s="6" t="s">
        <v>415</v>
      </c>
      <c r="E6224" s="6" t="s">
        <v>5332</v>
      </c>
      <c r="F6224" s="229" t="s">
        <v>480</v>
      </c>
      <c r="G6224" s="3" t="s">
        <v>11449</v>
      </c>
      <c r="H6224" s="185">
        <v>0</v>
      </c>
      <c r="I6224" s="16">
        <v>470000000</v>
      </c>
      <c r="J6224" s="56" t="s">
        <v>229</v>
      </c>
      <c r="K6224" s="57" t="s">
        <v>641</v>
      </c>
      <c r="L6224" s="57" t="s">
        <v>364</v>
      </c>
      <c r="M6224" s="3" t="s">
        <v>230</v>
      </c>
      <c r="N6224" s="8" t="s">
        <v>8899</v>
      </c>
      <c r="O6224" s="6" t="s">
        <v>365</v>
      </c>
      <c r="P6224" s="58">
        <v>796</v>
      </c>
      <c r="Q6224" s="27" t="s">
        <v>234</v>
      </c>
      <c r="R6224" s="34">
        <v>8</v>
      </c>
      <c r="S6224" s="59">
        <v>15314</v>
      </c>
      <c r="T6224" s="4">
        <v>0</v>
      </c>
      <c r="U6224" s="4">
        <f t="shared" si="289"/>
        <v>0</v>
      </c>
      <c r="V6224" s="3"/>
      <c r="W6224" s="3">
        <v>2014</v>
      </c>
      <c r="X6224" s="3">
        <v>11.12</v>
      </c>
    </row>
    <row r="6225" spans="1:24" ht="114.75">
      <c r="A6225" s="3" t="s">
        <v>13678</v>
      </c>
      <c r="B6225" s="6" t="s">
        <v>361</v>
      </c>
      <c r="C6225" s="6" t="s">
        <v>5547</v>
      </c>
      <c r="D6225" s="6" t="s">
        <v>415</v>
      </c>
      <c r="E6225" s="6" t="s">
        <v>5332</v>
      </c>
      <c r="F6225" s="229" t="s">
        <v>480</v>
      </c>
      <c r="G6225" s="3" t="s">
        <v>11449</v>
      </c>
      <c r="H6225" s="185">
        <v>0</v>
      </c>
      <c r="I6225" s="16">
        <v>470000000</v>
      </c>
      <c r="J6225" s="56" t="s">
        <v>229</v>
      </c>
      <c r="K6225" s="57" t="s">
        <v>642</v>
      </c>
      <c r="L6225" s="12" t="s">
        <v>404</v>
      </c>
      <c r="M6225" s="3" t="s">
        <v>230</v>
      </c>
      <c r="N6225" s="8" t="s">
        <v>8899</v>
      </c>
      <c r="O6225" s="6" t="s">
        <v>365</v>
      </c>
      <c r="P6225" s="58">
        <v>796</v>
      </c>
      <c r="Q6225" s="27" t="s">
        <v>234</v>
      </c>
      <c r="R6225" s="34">
        <v>8</v>
      </c>
      <c r="S6225" s="59">
        <v>15314</v>
      </c>
      <c r="T6225" s="4">
        <f>R6225*S6225</f>
        <v>122512</v>
      </c>
      <c r="U6225" s="4">
        <f>T6225*1.12</f>
        <v>137213.44</v>
      </c>
      <c r="V6225" s="3"/>
      <c r="W6225" s="3">
        <v>2014</v>
      </c>
      <c r="X6225" s="3"/>
    </row>
    <row r="6226" spans="1:24" ht="114.75">
      <c r="A6226" s="3" t="s">
        <v>2593</v>
      </c>
      <c r="B6226" s="6" t="s">
        <v>361</v>
      </c>
      <c r="C6226" s="6" t="s">
        <v>6683</v>
      </c>
      <c r="D6226" s="6" t="s">
        <v>6684</v>
      </c>
      <c r="E6226" s="6" t="s">
        <v>5332</v>
      </c>
      <c r="F6226" s="229" t="s">
        <v>481</v>
      </c>
      <c r="G6226" s="3" t="s">
        <v>11449</v>
      </c>
      <c r="H6226" s="185">
        <v>0</v>
      </c>
      <c r="I6226" s="16">
        <v>470000000</v>
      </c>
      <c r="J6226" s="56" t="s">
        <v>229</v>
      </c>
      <c r="K6226" s="57" t="s">
        <v>641</v>
      </c>
      <c r="L6226" s="57" t="s">
        <v>364</v>
      </c>
      <c r="M6226" s="3" t="s">
        <v>230</v>
      </c>
      <c r="N6226" s="8" t="s">
        <v>8899</v>
      </c>
      <c r="O6226" s="6" t="s">
        <v>365</v>
      </c>
      <c r="P6226" s="58">
        <v>796</v>
      </c>
      <c r="Q6226" s="27" t="s">
        <v>234</v>
      </c>
      <c r="R6226" s="34">
        <v>8</v>
      </c>
      <c r="S6226" s="59">
        <v>16944.708000000002</v>
      </c>
      <c r="T6226" s="4">
        <v>0</v>
      </c>
      <c r="U6226" s="4">
        <f t="shared" si="289"/>
        <v>0</v>
      </c>
      <c r="V6226" s="3"/>
      <c r="W6226" s="3">
        <v>2014</v>
      </c>
      <c r="X6226" s="3">
        <v>11.12</v>
      </c>
    </row>
    <row r="6227" spans="1:24" ht="114.75">
      <c r="A6227" s="3" t="s">
        <v>13679</v>
      </c>
      <c r="B6227" s="6" t="s">
        <v>361</v>
      </c>
      <c r="C6227" s="6" t="s">
        <v>6683</v>
      </c>
      <c r="D6227" s="6" t="s">
        <v>6684</v>
      </c>
      <c r="E6227" s="6" t="s">
        <v>5332</v>
      </c>
      <c r="F6227" s="229" t="s">
        <v>481</v>
      </c>
      <c r="G6227" s="3" t="s">
        <v>11449</v>
      </c>
      <c r="H6227" s="185">
        <v>0</v>
      </c>
      <c r="I6227" s="16">
        <v>470000000</v>
      </c>
      <c r="J6227" s="56" t="s">
        <v>229</v>
      </c>
      <c r="K6227" s="57" t="s">
        <v>642</v>
      </c>
      <c r="L6227" s="12" t="s">
        <v>404</v>
      </c>
      <c r="M6227" s="3" t="s">
        <v>230</v>
      </c>
      <c r="N6227" s="8" t="s">
        <v>8899</v>
      </c>
      <c r="O6227" s="6" t="s">
        <v>365</v>
      </c>
      <c r="P6227" s="58">
        <v>796</v>
      </c>
      <c r="Q6227" s="27" t="s">
        <v>234</v>
      </c>
      <c r="R6227" s="34">
        <v>8</v>
      </c>
      <c r="S6227" s="59">
        <v>16944.708000000002</v>
      </c>
      <c r="T6227" s="4">
        <f>R6227*S6227</f>
        <v>135557.66400000002</v>
      </c>
      <c r="U6227" s="4">
        <f>T6227*1.12</f>
        <v>151824.58368000004</v>
      </c>
      <c r="V6227" s="3"/>
      <c r="W6227" s="3">
        <v>2014</v>
      </c>
      <c r="X6227" s="3"/>
    </row>
    <row r="6228" spans="1:24" ht="114.75">
      <c r="A6228" s="3" t="s">
        <v>2594</v>
      </c>
      <c r="B6228" s="6" t="s">
        <v>361</v>
      </c>
      <c r="C6228" s="6" t="s">
        <v>5547</v>
      </c>
      <c r="D6228" s="6" t="s">
        <v>415</v>
      </c>
      <c r="E6228" s="6" t="s">
        <v>5332</v>
      </c>
      <c r="F6228" s="229" t="s">
        <v>6685</v>
      </c>
      <c r="G6228" s="3" t="s">
        <v>11449</v>
      </c>
      <c r="H6228" s="185">
        <v>0</v>
      </c>
      <c r="I6228" s="16">
        <v>470000000</v>
      </c>
      <c r="J6228" s="56" t="s">
        <v>229</v>
      </c>
      <c r="K6228" s="57" t="s">
        <v>641</v>
      </c>
      <c r="L6228" s="57" t="s">
        <v>364</v>
      </c>
      <c r="M6228" s="3" t="s">
        <v>230</v>
      </c>
      <c r="N6228" s="8" t="s">
        <v>8899</v>
      </c>
      <c r="O6228" s="6" t="s">
        <v>365</v>
      </c>
      <c r="P6228" s="58">
        <v>839</v>
      </c>
      <c r="Q6228" s="26" t="s">
        <v>239</v>
      </c>
      <c r="R6228" s="34">
        <v>8</v>
      </c>
      <c r="S6228" s="59">
        <v>12957.57</v>
      </c>
      <c r="T6228" s="4">
        <v>0</v>
      </c>
      <c r="U6228" s="4">
        <f t="shared" si="289"/>
        <v>0</v>
      </c>
      <c r="V6228" s="3"/>
      <c r="W6228" s="3">
        <v>2014</v>
      </c>
      <c r="X6228" s="3">
        <v>11.12</v>
      </c>
    </row>
    <row r="6229" spans="1:24" ht="114.75">
      <c r="A6229" s="3" t="s">
        <v>13680</v>
      </c>
      <c r="B6229" s="6" t="s">
        <v>361</v>
      </c>
      <c r="C6229" s="6" t="s">
        <v>5547</v>
      </c>
      <c r="D6229" s="6" t="s">
        <v>415</v>
      </c>
      <c r="E6229" s="6" t="s">
        <v>5332</v>
      </c>
      <c r="F6229" s="229" t="s">
        <v>6685</v>
      </c>
      <c r="G6229" s="3" t="s">
        <v>11449</v>
      </c>
      <c r="H6229" s="185">
        <v>0</v>
      </c>
      <c r="I6229" s="16">
        <v>470000000</v>
      </c>
      <c r="J6229" s="56" t="s">
        <v>229</v>
      </c>
      <c r="K6229" s="57" t="s">
        <v>642</v>
      </c>
      <c r="L6229" s="12" t="s">
        <v>404</v>
      </c>
      <c r="M6229" s="3" t="s">
        <v>230</v>
      </c>
      <c r="N6229" s="8" t="s">
        <v>8899</v>
      </c>
      <c r="O6229" s="6" t="s">
        <v>365</v>
      </c>
      <c r="P6229" s="58">
        <v>839</v>
      </c>
      <c r="Q6229" s="26" t="s">
        <v>239</v>
      </c>
      <c r="R6229" s="34">
        <v>8</v>
      </c>
      <c r="S6229" s="59">
        <v>12957.57</v>
      </c>
      <c r="T6229" s="4">
        <f>R6229*S6229</f>
        <v>103660.56</v>
      </c>
      <c r="U6229" s="4">
        <f>T6229*1.12</f>
        <v>116099.82720000001</v>
      </c>
      <c r="V6229" s="3"/>
      <c r="W6229" s="3">
        <v>2014</v>
      </c>
      <c r="X6229" s="3"/>
    </row>
    <row r="6230" spans="1:24" ht="114.75">
      <c r="A6230" s="3" t="s">
        <v>2595</v>
      </c>
      <c r="B6230" s="6" t="s">
        <v>361</v>
      </c>
      <c r="C6230" s="6" t="s">
        <v>5547</v>
      </c>
      <c r="D6230" s="6" t="s">
        <v>415</v>
      </c>
      <c r="E6230" s="6" t="s">
        <v>5332</v>
      </c>
      <c r="F6230" s="229" t="s">
        <v>483</v>
      </c>
      <c r="G6230" s="3" t="s">
        <v>11449</v>
      </c>
      <c r="H6230" s="185">
        <v>0</v>
      </c>
      <c r="I6230" s="16">
        <v>470000000</v>
      </c>
      <c r="J6230" s="56" t="s">
        <v>229</v>
      </c>
      <c r="K6230" s="57" t="s">
        <v>641</v>
      </c>
      <c r="L6230" s="57" t="s">
        <v>364</v>
      </c>
      <c r="M6230" s="3" t="s">
        <v>230</v>
      </c>
      <c r="N6230" s="8" t="s">
        <v>8899</v>
      </c>
      <c r="O6230" s="6" t="s">
        <v>365</v>
      </c>
      <c r="P6230" s="58">
        <v>839</v>
      </c>
      <c r="Q6230" s="26" t="s">
        <v>239</v>
      </c>
      <c r="R6230" s="34">
        <v>8</v>
      </c>
      <c r="S6230" s="59">
        <v>8211.1040000000012</v>
      </c>
      <c r="T6230" s="4">
        <v>0</v>
      </c>
      <c r="U6230" s="4">
        <f t="shared" si="289"/>
        <v>0</v>
      </c>
      <c r="V6230" s="3"/>
      <c r="W6230" s="3">
        <v>2014</v>
      </c>
      <c r="X6230" s="3">
        <v>11.12</v>
      </c>
    </row>
    <row r="6231" spans="1:24" ht="114.75">
      <c r="A6231" s="3" t="s">
        <v>13681</v>
      </c>
      <c r="B6231" s="6" t="s">
        <v>361</v>
      </c>
      <c r="C6231" s="6" t="s">
        <v>5547</v>
      </c>
      <c r="D6231" s="6" t="s">
        <v>415</v>
      </c>
      <c r="E6231" s="6" t="s">
        <v>5332</v>
      </c>
      <c r="F6231" s="229" t="s">
        <v>483</v>
      </c>
      <c r="G6231" s="3" t="s">
        <v>11449</v>
      </c>
      <c r="H6231" s="185">
        <v>0</v>
      </c>
      <c r="I6231" s="16">
        <v>470000000</v>
      </c>
      <c r="J6231" s="56" t="s">
        <v>229</v>
      </c>
      <c r="K6231" s="57" t="s">
        <v>642</v>
      </c>
      <c r="L6231" s="12" t="s">
        <v>404</v>
      </c>
      <c r="M6231" s="3" t="s">
        <v>230</v>
      </c>
      <c r="N6231" s="8" t="s">
        <v>8899</v>
      </c>
      <c r="O6231" s="6" t="s">
        <v>365</v>
      </c>
      <c r="P6231" s="58">
        <v>839</v>
      </c>
      <c r="Q6231" s="26" t="s">
        <v>239</v>
      </c>
      <c r="R6231" s="34">
        <v>8</v>
      </c>
      <c r="S6231" s="59">
        <v>8211.1040000000012</v>
      </c>
      <c r="T6231" s="4">
        <f>R6231*S6231</f>
        <v>65688.832000000009</v>
      </c>
      <c r="U6231" s="4">
        <f>T6231*1.12</f>
        <v>73571.491840000017</v>
      </c>
      <c r="V6231" s="3"/>
      <c r="W6231" s="3">
        <v>2014</v>
      </c>
      <c r="X6231" s="3"/>
    </row>
    <row r="6232" spans="1:24" ht="114.75">
      <c r="A6232" s="3" t="s">
        <v>2596</v>
      </c>
      <c r="B6232" s="6" t="s">
        <v>361</v>
      </c>
      <c r="C6232" s="6" t="s">
        <v>6394</v>
      </c>
      <c r="D6232" s="6" t="s">
        <v>6395</v>
      </c>
      <c r="E6232" s="6" t="s">
        <v>6396</v>
      </c>
      <c r="F6232" s="229" t="s">
        <v>6686</v>
      </c>
      <c r="G6232" s="3" t="s">
        <v>11449</v>
      </c>
      <c r="H6232" s="185">
        <v>0</v>
      </c>
      <c r="I6232" s="16">
        <v>470000000</v>
      </c>
      <c r="J6232" s="56" t="s">
        <v>229</v>
      </c>
      <c r="K6232" s="57" t="s">
        <v>641</v>
      </c>
      <c r="L6232" s="57" t="s">
        <v>364</v>
      </c>
      <c r="M6232" s="3" t="s">
        <v>230</v>
      </c>
      <c r="N6232" s="8" t="s">
        <v>8899</v>
      </c>
      <c r="O6232" s="6" t="s">
        <v>365</v>
      </c>
      <c r="P6232" s="58">
        <v>839</v>
      </c>
      <c r="Q6232" s="26" t="s">
        <v>239</v>
      </c>
      <c r="R6232" s="34">
        <v>60</v>
      </c>
      <c r="S6232" s="59">
        <v>1875</v>
      </c>
      <c r="T6232" s="4">
        <v>0</v>
      </c>
      <c r="U6232" s="4">
        <f t="shared" si="289"/>
        <v>0</v>
      </c>
      <c r="V6232" s="3"/>
      <c r="W6232" s="3">
        <v>2014</v>
      </c>
      <c r="X6232" s="3">
        <v>11.12</v>
      </c>
    </row>
    <row r="6233" spans="1:24" ht="114.75">
      <c r="A6233" s="3" t="s">
        <v>13682</v>
      </c>
      <c r="B6233" s="6" t="s">
        <v>361</v>
      </c>
      <c r="C6233" s="6" t="s">
        <v>6394</v>
      </c>
      <c r="D6233" s="6" t="s">
        <v>6395</v>
      </c>
      <c r="E6233" s="6" t="s">
        <v>6396</v>
      </c>
      <c r="F6233" s="229" t="s">
        <v>6686</v>
      </c>
      <c r="G6233" s="3" t="s">
        <v>11449</v>
      </c>
      <c r="H6233" s="185">
        <v>0</v>
      </c>
      <c r="I6233" s="16">
        <v>470000000</v>
      </c>
      <c r="J6233" s="56" t="s">
        <v>229</v>
      </c>
      <c r="K6233" s="57" t="s">
        <v>642</v>
      </c>
      <c r="L6233" s="12" t="s">
        <v>404</v>
      </c>
      <c r="M6233" s="3" t="s">
        <v>230</v>
      </c>
      <c r="N6233" s="8" t="s">
        <v>8899</v>
      </c>
      <c r="O6233" s="6" t="s">
        <v>365</v>
      </c>
      <c r="P6233" s="58">
        <v>839</v>
      </c>
      <c r="Q6233" s="26" t="s">
        <v>239</v>
      </c>
      <c r="R6233" s="34">
        <v>60</v>
      </c>
      <c r="S6233" s="59">
        <v>1875</v>
      </c>
      <c r="T6233" s="4">
        <f>R6233*S6233</f>
        <v>112500</v>
      </c>
      <c r="U6233" s="4">
        <f>T6233*1.12</f>
        <v>126000.00000000001</v>
      </c>
      <c r="V6233" s="3"/>
      <c r="W6233" s="3">
        <v>2014</v>
      </c>
      <c r="X6233" s="3"/>
    </row>
    <row r="6234" spans="1:24" ht="114.75">
      <c r="A6234" s="3" t="s">
        <v>2597</v>
      </c>
      <c r="B6234" s="6" t="s">
        <v>361</v>
      </c>
      <c r="C6234" s="6" t="s">
        <v>6687</v>
      </c>
      <c r="D6234" s="6" t="s">
        <v>6253</v>
      </c>
      <c r="E6234" s="6" t="s">
        <v>6688</v>
      </c>
      <c r="F6234" s="229" t="s">
        <v>484</v>
      </c>
      <c r="G6234" s="3" t="s">
        <v>11449</v>
      </c>
      <c r="H6234" s="185">
        <v>0</v>
      </c>
      <c r="I6234" s="16">
        <v>470000000</v>
      </c>
      <c r="J6234" s="56" t="s">
        <v>229</v>
      </c>
      <c r="K6234" s="57" t="s">
        <v>641</v>
      </c>
      <c r="L6234" s="57" t="s">
        <v>364</v>
      </c>
      <c r="M6234" s="3" t="s">
        <v>230</v>
      </c>
      <c r="N6234" s="8" t="s">
        <v>8899</v>
      </c>
      <c r="O6234" s="6" t="s">
        <v>365</v>
      </c>
      <c r="P6234" s="58" t="s">
        <v>241</v>
      </c>
      <c r="Q6234" s="26" t="s">
        <v>234</v>
      </c>
      <c r="R6234" s="34">
        <v>20</v>
      </c>
      <c r="S6234" s="59">
        <v>14349.5</v>
      </c>
      <c r="T6234" s="4">
        <v>0</v>
      </c>
      <c r="U6234" s="4">
        <f t="shared" ref="U6234:U6264" si="290">T6234*1.12</f>
        <v>0</v>
      </c>
      <c r="V6234" s="3"/>
      <c r="W6234" s="3">
        <v>2014</v>
      </c>
      <c r="X6234" s="3">
        <v>11.12</v>
      </c>
    </row>
    <row r="6235" spans="1:24" ht="114.75">
      <c r="A6235" s="3" t="s">
        <v>13683</v>
      </c>
      <c r="B6235" s="6" t="s">
        <v>361</v>
      </c>
      <c r="C6235" s="6" t="s">
        <v>6687</v>
      </c>
      <c r="D6235" s="6" t="s">
        <v>6253</v>
      </c>
      <c r="E6235" s="6" t="s">
        <v>6688</v>
      </c>
      <c r="F6235" s="229" t="s">
        <v>484</v>
      </c>
      <c r="G6235" s="3" t="s">
        <v>11449</v>
      </c>
      <c r="H6235" s="185">
        <v>0</v>
      </c>
      <c r="I6235" s="16">
        <v>470000000</v>
      </c>
      <c r="J6235" s="56" t="s">
        <v>229</v>
      </c>
      <c r="K6235" s="57" t="s">
        <v>642</v>
      </c>
      <c r="L6235" s="12" t="s">
        <v>404</v>
      </c>
      <c r="M6235" s="3" t="s">
        <v>230</v>
      </c>
      <c r="N6235" s="8" t="s">
        <v>8899</v>
      </c>
      <c r="O6235" s="6" t="s">
        <v>365</v>
      </c>
      <c r="P6235" s="58" t="s">
        <v>241</v>
      </c>
      <c r="Q6235" s="26" t="s">
        <v>234</v>
      </c>
      <c r="R6235" s="34">
        <v>20</v>
      </c>
      <c r="S6235" s="59">
        <v>14349.5</v>
      </c>
      <c r="T6235" s="4">
        <v>0</v>
      </c>
      <c r="U6235" s="4">
        <f>T6235*1.12</f>
        <v>0</v>
      </c>
      <c r="V6235" s="3"/>
      <c r="W6235" s="3">
        <v>2014</v>
      </c>
      <c r="X6235" s="3" t="s">
        <v>14785</v>
      </c>
    </row>
    <row r="6236" spans="1:24" ht="114.75">
      <c r="A6236" s="3" t="s">
        <v>17009</v>
      </c>
      <c r="B6236" s="6" t="s">
        <v>361</v>
      </c>
      <c r="C6236" s="6" t="s">
        <v>6687</v>
      </c>
      <c r="D6236" s="6" t="s">
        <v>6253</v>
      </c>
      <c r="E6236" s="6" t="s">
        <v>6688</v>
      </c>
      <c r="F6236" s="229" t="s">
        <v>484</v>
      </c>
      <c r="G6236" s="3" t="s">
        <v>11449</v>
      </c>
      <c r="H6236" s="185">
        <v>0</v>
      </c>
      <c r="I6236" s="16">
        <v>470000000</v>
      </c>
      <c r="J6236" s="56" t="s">
        <v>229</v>
      </c>
      <c r="K6236" s="57" t="s">
        <v>8950</v>
      </c>
      <c r="L6236" s="12" t="s">
        <v>404</v>
      </c>
      <c r="M6236" s="3" t="s">
        <v>230</v>
      </c>
      <c r="N6236" s="8" t="s">
        <v>8899</v>
      </c>
      <c r="O6236" s="6" t="s">
        <v>365</v>
      </c>
      <c r="P6236" s="58" t="s">
        <v>241</v>
      </c>
      <c r="Q6236" s="26" t="s">
        <v>234</v>
      </c>
      <c r="R6236" s="34">
        <v>20</v>
      </c>
      <c r="S6236" s="59">
        <v>17219.399999999998</v>
      </c>
      <c r="T6236" s="4">
        <f>R6236*S6236</f>
        <v>344387.99999999994</v>
      </c>
      <c r="U6236" s="4">
        <f>T6236*1.12</f>
        <v>385714.56</v>
      </c>
      <c r="V6236" s="3"/>
      <c r="W6236" s="3">
        <v>2014</v>
      </c>
      <c r="X6236" s="3"/>
    </row>
    <row r="6237" spans="1:24" ht="114.75">
      <c r="A6237" s="3" t="s">
        <v>2598</v>
      </c>
      <c r="B6237" s="6" t="s">
        <v>361</v>
      </c>
      <c r="C6237" s="6" t="s">
        <v>6687</v>
      </c>
      <c r="D6237" s="6" t="s">
        <v>6253</v>
      </c>
      <c r="E6237" s="6" t="s">
        <v>6688</v>
      </c>
      <c r="F6237" s="229" t="s">
        <v>485</v>
      </c>
      <c r="G6237" s="3" t="s">
        <v>11449</v>
      </c>
      <c r="H6237" s="185">
        <v>0</v>
      </c>
      <c r="I6237" s="16">
        <v>470000000</v>
      </c>
      <c r="J6237" s="56" t="s">
        <v>229</v>
      </c>
      <c r="K6237" s="57" t="s">
        <v>641</v>
      </c>
      <c r="L6237" s="57" t="s">
        <v>364</v>
      </c>
      <c r="M6237" s="3" t="s">
        <v>230</v>
      </c>
      <c r="N6237" s="8" t="s">
        <v>8899</v>
      </c>
      <c r="O6237" s="6" t="s">
        <v>365</v>
      </c>
      <c r="P6237" s="58" t="s">
        <v>241</v>
      </c>
      <c r="Q6237" s="26" t="s">
        <v>234</v>
      </c>
      <c r="R6237" s="34">
        <v>6</v>
      </c>
      <c r="S6237" s="59">
        <v>11160.71</v>
      </c>
      <c r="T6237" s="4">
        <v>0</v>
      </c>
      <c r="U6237" s="4">
        <f t="shared" si="290"/>
        <v>0</v>
      </c>
      <c r="V6237" s="3"/>
      <c r="W6237" s="3">
        <v>2014</v>
      </c>
      <c r="X6237" s="3">
        <v>11.12</v>
      </c>
    </row>
    <row r="6238" spans="1:24" ht="114.75">
      <c r="A6238" s="3" t="s">
        <v>13684</v>
      </c>
      <c r="B6238" s="6" t="s">
        <v>361</v>
      </c>
      <c r="C6238" s="6" t="s">
        <v>6687</v>
      </c>
      <c r="D6238" s="6" t="s">
        <v>6253</v>
      </c>
      <c r="E6238" s="6" t="s">
        <v>6688</v>
      </c>
      <c r="F6238" s="229" t="s">
        <v>485</v>
      </c>
      <c r="G6238" s="3" t="s">
        <v>11449</v>
      </c>
      <c r="H6238" s="185">
        <v>0</v>
      </c>
      <c r="I6238" s="16">
        <v>470000000</v>
      </c>
      <c r="J6238" s="56" t="s">
        <v>229</v>
      </c>
      <c r="K6238" s="57" t="s">
        <v>642</v>
      </c>
      <c r="L6238" s="12" t="s">
        <v>404</v>
      </c>
      <c r="M6238" s="3" t="s">
        <v>230</v>
      </c>
      <c r="N6238" s="8" t="s">
        <v>8899</v>
      </c>
      <c r="O6238" s="6" t="s">
        <v>365</v>
      </c>
      <c r="P6238" s="58" t="s">
        <v>241</v>
      </c>
      <c r="Q6238" s="26" t="s">
        <v>234</v>
      </c>
      <c r="R6238" s="34">
        <v>6</v>
      </c>
      <c r="S6238" s="59">
        <v>11160.71</v>
      </c>
      <c r="T6238" s="4">
        <f>R6238*S6238</f>
        <v>66964.259999999995</v>
      </c>
      <c r="U6238" s="4">
        <f>T6238*1.12</f>
        <v>74999.9712</v>
      </c>
      <c r="V6238" s="3"/>
      <c r="W6238" s="3">
        <v>2014</v>
      </c>
      <c r="X6238" s="3"/>
    </row>
    <row r="6239" spans="1:24" ht="114.75">
      <c r="A6239" s="3" t="s">
        <v>2599</v>
      </c>
      <c r="B6239" s="6" t="s">
        <v>361</v>
      </c>
      <c r="C6239" s="6" t="s">
        <v>6282</v>
      </c>
      <c r="D6239" s="6" t="s">
        <v>5357</v>
      </c>
      <c r="E6239" s="6" t="s">
        <v>6283</v>
      </c>
      <c r="F6239" s="229" t="s">
        <v>486</v>
      </c>
      <c r="G6239" s="3" t="s">
        <v>11449</v>
      </c>
      <c r="H6239" s="185">
        <v>0</v>
      </c>
      <c r="I6239" s="16">
        <v>470000000</v>
      </c>
      <c r="J6239" s="56" t="s">
        <v>229</v>
      </c>
      <c r="K6239" s="57" t="s">
        <v>641</v>
      </c>
      <c r="L6239" s="57" t="s">
        <v>364</v>
      </c>
      <c r="M6239" s="3" t="s">
        <v>230</v>
      </c>
      <c r="N6239" s="8" t="s">
        <v>8899</v>
      </c>
      <c r="O6239" s="6" t="s">
        <v>365</v>
      </c>
      <c r="P6239" s="58">
        <v>839</v>
      </c>
      <c r="Q6239" s="26" t="s">
        <v>239</v>
      </c>
      <c r="R6239" s="34">
        <v>20</v>
      </c>
      <c r="S6239" s="59">
        <v>1339.29</v>
      </c>
      <c r="T6239" s="4">
        <v>0</v>
      </c>
      <c r="U6239" s="4">
        <f t="shared" si="290"/>
        <v>0</v>
      </c>
      <c r="V6239" s="3"/>
      <c r="W6239" s="3">
        <v>2014</v>
      </c>
      <c r="X6239" s="3">
        <v>11.12</v>
      </c>
    </row>
    <row r="6240" spans="1:24" ht="114.75">
      <c r="A6240" s="3" t="s">
        <v>13685</v>
      </c>
      <c r="B6240" s="6" t="s">
        <v>361</v>
      </c>
      <c r="C6240" s="6" t="s">
        <v>6282</v>
      </c>
      <c r="D6240" s="6" t="s">
        <v>5357</v>
      </c>
      <c r="E6240" s="6" t="s">
        <v>6283</v>
      </c>
      <c r="F6240" s="229" t="s">
        <v>486</v>
      </c>
      <c r="G6240" s="3" t="s">
        <v>11449</v>
      </c>
      <c r="H6240" s="185">
        <v>0</v>
      </c>
      <c r="I6240" s="16">
        <v>470000000</v>
      </c>
      <c r="J6240" s="56" t="s">
        <v>229</v>
      </c>
      <c r="K6240" s="57" t="s">
        <v>642</v>
      </c>
      <c r="L6240" s="12" t="s">
        <v>404</v>
      </c>
      <c r="M6240" s="3" t="s">
        <v>230</v>
      </c>
      <c r="N6240" s="8" t="s">
        <v>8899</v>
      </c>
      <c r="O6240" s="6" t="s">
        <v>365</v>
      </c>
      <c r="P6240" s="58">
        <v>839</v>
      </c>
      <c r="Q6240" s="26" t="s">
        <v>239</v>
      </c>
      <c r="R6240" s="34">
        <v>20</v>
      </c>
      <c r="S6240" s="59">
        <v>1339.29</v>
      </c>
      <c r="T6240" s="4">
        <f>R6240*S6240</f>
        <v>26785.8</v>
      </c>
      <c r="U6240" s="4">
        <f>T6240*1.12</f>
        <v>30000.096000000001</v>
      </c>
      <c r="V6240" s="3"/>
      <c r="W6240" s="3">
        <v>2014</v>
      </c>
      <c r="X6240" s="3"/>
    </row>
    <row r="6241" spans="1:24" ht="114.75">
      <c r="A6241" s="3" t="s">
        <v>2600</v>
      </c>
      <c r="B6241" s="6" t="s">
        <v>361</v>
      </c>
      <c r="C6241" s="6" t="s">
        <v>6282</v>
      </c>
      <c r="D6241" s="6" t="s">
        <v>5357</v>
      </c>
      <c r="E6241" s="6" t="s">
        <v>6283</v>
      </c>
      <c r="F6241" s="229" t="s">
        <v>487</v>
      </c>
      <c r="G6241" s="3" t="s">
        <v>11449</v>
      </c>
      <c r="H6241" s="185">
        <v>0</v>
      </c>
      <c r="I6241" s="16">
        <v>470000000</v>
      </c>
      <c r="J6241" s="56" t="s">
        <v>229</v>
      </c>
      <c r="K6241" s="57" t="s">
        <v>641</v>
      </c>
      <c r="L6241" s="57" t="s">
        <v>364</v>
      </c>
      <c r="M6241" s="3" t="s">
        <v>230</v>
      </c>
      <c r="N6241" s="8" t="s">
        <v>8899</v>
      </c>
      <c r="O6241" s="6" t="s">
        <v>365</v>
      </c>
      <c r="P6241" s="58">
        <v>839</v>
      </c>
      <c r="Q6241" s="26" t="s">
        <v>239</v>
      </c>
      <c r="R6241" s="34">
        <v>20</v>
      </c>
      <c r="S6241" s="59">
        <v>1339.29</v>
      </c>
      <c r="T6241" s="4">
        <v>0</v>
      </c>
      <c r="U6241" s="4">
        <f t="shared" si="290"/>
        <v>0</v>
      </c>
      <c r="V6241" s="3"/>
      <c r="W6241" s="3">
        <v>2014</v>
      </c>
      <c r="X6241" s="3">
        <v>11.12</v>
      </c>
    </row>
    <row r="6242" spans="1:24" ht="114.75">
      <c r="A6242" s="3" t="s">
        <v>13686</v>
      </c>
      <c r="B6242" s="6" t="s">
        <v>361</v>
      </c>
      <c r="C6242" s="6" t="s">
        <v>6282</v>
      </c>
      <c r="D6242" s="6" t="s">
        <v>5357</v>
      </c>
      <c r="E6242" s="6" t="s">
        <v>6283</v>
      </c>
      <c r="F6242" s="229" t="s">
        <v>487</v>
      </c>
      <c r="G6242" s="3" t="s">
        <v>11449</v>
      </c>
      <c r="H6242" s="185">
        <v>0</v>
      </c>
      <c r="I6242" s="16">
        <v>470000000</v>
      </c>
      <c r="J6242" s="56" t="s">
        <v>229</v>
      </c>
      <c r="K6242" s="57" t="s">
        <v>642</v>
      </c>
      <c r="L6242" s="12" t="s">
        <v>404</v>
      </c>
      <c r="M6242" s="3" t="s">
        <v>230</v>
      </c>
      <c r="N6242" s="8" t="s">
        <v>8899</v>
      </c>
      <c r="O6242" s="6" t="s">
        <v>365</v>
      </c>
      <c r="P6242" s="58">
        <v>839</v>
      </c>
      <c r="Q6242" s="26" t="s">
        <v>239</v>
      </c>
      <c r="R6242" s="34">
        <v>20</v>
      </c>
      <c r="S6242" s="59">
        <v>1339.29</v>
      </c>
      <c r="T6242" s="4">
        <f>R6242*S6242</f>
        <v>26785.8</v>
      </c>
      <c r="U6242" s="4">
        <f>T6242*1.12</f>
        <v>30000.096000000001</v>
      </c>
      <c r="V6242" s="3"/>
      <c r="W6242" s="3">
        <v>2014</v>
      </c>
      <c r="X6242" s="3"/>
    </row>
    <row r="6243" spans="1:24" ht="114.75">
      <c r="A6243" s="3" t="s">
        <v>2601</v>
      </c>
      <c r="B6243" s="6" t="s">
        <v>361</v>
      </c>
      <c r="C6243" s="6" t="s">
        <v>6282</v>
      </c>
      <c r="D6243" s="6" t="s">
        <v>5357</v>
      </c>
      <c r="E6243" s="6" t="s">
        <v>6283</v>
      </c>
      <c r="F6243" s="229" t="s">
        <v>488</v>
      </c>
      <c r="G6243" s="3" t="s">
        <v>11449</v>
      </c>
      <c r="H6243" s="185">
        <v>0</v>
      </c>
      <c r="I6243" s="16">
        <v>470000000</v>
      </c>
      <c r="J6243" s="56" t="s">
        <v>229</v>
      </c>
      <c r="K6243" s="57" t="s">
        <v>641</v>
      </c>
      <c r="L6243" s="57" t="s">
        <v>364</v>
      </c>
      <c r="M6243" s="3" t="s">
        <v>230</v>
      </c>
      <c r="N6243" s="8" t="s">
        <v>8899</v>
      </c>
      <c r="O6243" s="6" t="s">
        <v>365</v>
      </c>
      <c r="P6243" s="58">
        <v>839</v>
      </c>
      <c r="Q6243" s="26" t="s">
        <v>239</v>
      </c>
      <c r="R6243" s="34">
        <v>10</v>
      </c>
      <c r="S6243" s="59">
        <v>2678.58</v>
      </c>
      <c r="T6243" s="4">
        <v>0</v>
      </c>
      <c r="U6243" s="4">
        <f t="shared" si="290"/>
        <v>0</v>
      </c>
      <c r="V6243" s="3"/>
      <c r="W6243" s="3">
        <v>2014</v>
      </c>
      <c r="X6243" s="3">
        <v>11.12</v>
      </c>
    </row>
    <row r="6244" spans="1:24" ht="114.75">
      <c r="A6244" s="3" t="s">
        <v>13687</v>
      </c>
      <c r="B6244" s="6" t="s">
        <v>361</v>
      </c>
      <c r="C6244" s="6" t="s">
        <v>6282</v>
      </c>
      <c r="D6244" s="6" t="s">
        <v>5357</v>
      </c>
      <c r="E6244" s="6" t="s">
        <v>6283</v>
      </c>
      <c r="F6244" s="229" t="s">
        <v>488</v>
      </c>
      <c r="G6244" s="3" t="s">
        <v>11449</v>
      </c>
      <c r="H6244" s="185">
        <v>0</v>
      </c>
      <c r="I6244" s="16">
        <v>470000000</v>
      </c>
      <c r="J6244" s="56" t="s">
        <v>229</v>
      </c>
      <c r="K6244" s="57" t="s">
        <v>642</v>
      </c>
      <c r="L6244" s="12" t="s">
        <v>404</v>
      </c>
      <c r="M6244" s="3" t="s">
        <v>230</v>
      </c>
      <c r="N6244" s="8" t="s">
        <v>8899</v>
      </c>
      <c r="O6244" s="6" t="s">
        <v>365</v>
      </c>
      <c r="P6244" s="58">
        <v>839</v>
      </c>
      <c r="Q6244" s="26" t="s">
        <v>239</v>
      </c>
      <c r="R6244" s="34">
        <v>10</v>
      </c>
      <c r="S6244" s="59">
        <v>2678.58</v>
      </c>
      <c r="T6244" s="4">
        <f>R6244*S6244</f>
        <v>26785.8</v>
      </c>
      <c r="U6244" s="4">
        <f>T6244*1.12</f>
        <v>30000.096000000001</v>
      </c>
      <c r="V6244" s="3"/>
      <c r="W6244" s="3">
        <v>2014</v>
      </c>
      <c r="X6244" s="3"/>
    </row>
    <row r="6245" spans="1:24" ht="114.75">
      <c r="A6245" s="3" t="s">
        <v>2602</v>
      </c>
      <c r="B6245" s="6" t="s">
        <v>361</v>
      </c>
      <c r="C6245" s="6" t="s">
        <v>6282</v>
      </c>
      <c r="D6245" s="6" t="s">
        <v>5357</v>
      </c>
      <c r="E6245" s="6" t="s">
        <v>6283</v>
      </c>
      <c r="F6245" s="229" t="s">
        <v>489</v>
      </c>
      <c r="G6245" s="3" t="s">
        <v>11449</v>
      </c>
      <c r="H6245" s="185">
        <v>0</v>
      </c>
      <c r="I6245" s="16">
        <v>470000000</v>
      </c>
      <c r="J6245" s="56" t="s">
        <v>229</v>
      </c>
      <c r="K6245" s="57" t="s">
        <v>641</v>
      </c>
      <c r="L6245" s="57" t="s">
        <v>364</v>
      </c>
      <c r="M6245" s="3" t="s">
        <v>230</v>
      </c>
      <c r="N6245" s="8" t="s">
        <v>8899</v>
      </c>
      <c r="O6245" s="6" t="s">
        <v>365</v>
      </c>
      <c r="P6245" s="58">
        <v>839</v>
      </c>
      <c r="Q6245" s="26" t="s">
        <v>239</v>
      </c>
      <c r="R6245" s="34">
        <v>20</v>
      </c>
      <c r="S6245" s="59">
        <v>2678.58</v>
      </c>
      <c r="T6245" s="4">
        <v>0</v>
      </c>
      <c r="U6245" s="4">
        <f t="shared" si="290"/>
        <v>0</v>
      </c>
      <c r="V6245" s="3"/>
      <c r="W6245" s="3">
        <v>2014</v>
      </c>
      <c r="X6245" s="3">
        <v>11.12</v>
      </c>
    </row>
    <row r="6246" spans="1:24" ht="114.75">
      <c r="A6246" s="3" t="s">
        <v>13688</v>
      </c>
      <c r="B6246" s="6" t="s">
        <v>361</v>
      </c>
      <c r="C6246" s="6" t="s">
        <v>6282</v>
      </c>
      <c r="D6246" s="6" t="s">
        <v>5357</v>
      </c>
      <c r="E6246" s="6" t="s">
        <v>6283</v>
      </c>
      <c r="F6246" s="229" t="s">
        <v>489</v>
      </c>
      <c r="G6246" s="3" t="s">
        <v>11449</v>
      </c>
      <c r="H6246" s="185">
        <v>0</v>
      </c>
      <c r="I6246" s="16">
        <v>470000000</v>
      </c>
      <c r="J6246" s="56" t="s">
        <v>229</v>
      </c>
      <c r="K6246" s="57" t="s">
        <v>642</v>
      </c>
      <c r="L6246" s="12" t="s">
        <v>404</v>
      </c>
      <c r="M6246" s="3" t="s">
        <v>230</v>
      </c>
      <c r="N6246" s="8" t="s">
        <v>8899</v>
      </c>
      <c r="O6246" s="6" t="s">
        <v>365</v>
      </c>
      <c r="P6246" s="58">
        <v>839</v>
      </c>
      <c r="Q6246" s="26" t="s">
        <v>239</v>
      </c>
      <c r="R6246" s="34">
        <v>20</v>
      </c>
      <c r="S6246" s="59">
        <v>2678.58</v>
      </c>
      <c r="T6246" s="4">
        <f>R6246*S6246</f>
        <v>53571.6</v>
      </c>
      <c r="U6246" s="4">
        <f>T6246*1.12</f>
        <v>60000.192000000003</v>
      </c>
      <c r="V6246" s="3"/>
      <c r="W6246" s="3">
        <v>2014</v>
      </c>
      <c r="X6246" s="3"/>
    </row>
    <row r="6247" spans="1:24" ht="114.75">
      <c r="A6247" s="3" t="s">
        <v>2603</v>
      </c>
      <c r="B6247" s="6" t="s">
        <v>361</v>
      </c>
      <c r="C6247" s="6" t="s">
        <v>6282</v>
      </c>
      <c r="D6247" s="6" t="s">
        <v>5357</v>
      </c>
      <c r="E6247" s="6" t="s">
        <v>6283</v>
      </c>
      <c r="F6247" s="229" t="s">
        <v>490</v>
      </c>
      <c r="G6247" s="3" t="s">
        <v>11449</v>
      </c>
      <c r="H6247" s="185">
        <v>0</v>
      </c>
      <c r="I6247" s="16">
        <v>470000000</v>
      </c>
      <c r="J6247" s="56" t="s">
        <v>229</v>
      </c>
      <c r="K6247" s="57" t="s">
        <v>641</v>
      </c>
      <c r="L6247" s="57" t="s">
        <v>364</v>
      </c>
      <c r="M6247" s="3" t="s">
        <v>230</v>
      </c>
      <c r="N6247" s="8" t="s">
        <v>8899</v>
      </c>
      <c r="O6247" s="6" t="s">
        <v>365</v>
      </c>
      <c r="P6247" s="58">
        <v>839</v>
      </c>
      <c r="Q6247" s="26" t="s">
        <v>239</v>
      </c>
      <c r="R6247" s="34">
        <v>20</v>
      </c>
      <c r="S6247" s="59">
        <v>2678.58</v>
      </c>
      <c r="T6247" s="4">
        <v>0</v>
      </c>
      <c r="U6247" s="4">
        <f t="shared" si="290"/>
        <v>0</v>
      </c>
      <c r="V6247" s="3"/>
      <c r="W6247" s="3">
        <v>2014</v>
      </c>
      <c r="X6247" s="3">
        <v>11.12</v>
      </c>
    </row>
    <row r="6248" spans="1:24" ht="114.75">
      <c r="A6248" s="3" t="s">
        <v>13689</v>
      </c>
      <c r="B6248" s="6" t="s">
        <v>361</v>
      </c>
      <c r="C6248" s="6" t="s">
        <v>6282</v>
      </c>
      <c r="D6248" s="6" t="s">
        <v>5357</v>
      </c>
      <c r="E6248" s="6" t="s">
        <v>6283</v>
      </c>
      <c r="F6248" s="229" t="s">
        <v>490</v>
      </c>
      <c r="G6248" s="3" t="s">
        <v>11449</v>
      </c>
      <c r="H6248" s="185">
        <v>0</v>
      </c>
      <c r="I6248" s="16">
        <v>470000000</v>
      </c>
      <c r="J6248" s="56" t="s">
        <v>229</v>
      </c>
      <c r="K6248" s="57" t="s">
        <v>642</v>
      </c>
      <c r="L6248" s="12" t="s">
        <v>404</v>
      </c>
      <c r="M6248" s="3" t="s">
        <v>230</v>
      </c>
      <c r="N6248" s="8" t="s">
        <v>8899</v>
      </c>
      <c r="O6248" s="6" t="s">
        <v>365</v>
      </c>
      <c r="P6248" s="58">
        <v>839</v>
      </c>
      <c r="Q6248" s="26" t="s">
        <v>239</v>
      </c>
      <c r="R6248" s="34">
        <v>20</v>
      </c>
      <c r="S6248" s="59">
        <v>2678.58</v>
      </c>
      <c r="T6248" s="4">
        <f>R6248*S6248</f>
        <v>53571.6</v>
      </c>
      <c r="U6248" s="4">
        <f>T6248*1.12</f>
        <v>60000.192000000003</v>
      </c>
      <c r="V6248" s="3"/>
      <c r="W6248" s="3">
        <v>2014</v>
      </c>
      <c r="X6248" s="3"/>
    </row>
    <row r="6249" spans="1:24" ht="114.75">
      <c r="A6249" s="3" t="s">
        <v>2604</v>
      </c>
      <c r="B6249" s="6" t="s">
        <v>361</v>
      </c>
      <c r="C6249" s="6" t="s">
        <v>6612</v>
      </c>
      <c r="D6249" s="6" t="s">
        <v>5357</v>
      </c>
      <c r="E6249" s="6" t="s">
        <v>6613</v>
      </c>
      <c r="F6249" s="229" t="s">
        <v>6689</v>
      </c>
      <c r="G6249" s="3" t="s">
        <v>11449</v>
      </c>
      <c r="H6249" s="185">
        <v>0</v>
      </c>
      <c r="I6249" s="16">
        <v>470000000</v>
      </c>
      <c r="J6249" s="56" t="s">
        <v>229</v>
      </c>
      <c r="K6249" s="57" t="s">
        <v>641</v>
      </c>
      <c r="L6249" s="57" t="s">
        <v>364</v>
      </c>
      <c r="M6249" s="3" t="s">
        <v>230</v>
      </c>
      <c r="N6249" s="8" t="s">
        <v>8899</v>
      </c>
      <c r="O6249" s="6" t="s">
        <v>365</v>
      </c>
      <c r="P6249" s="58">
        <v>839</v>
      </c>
      <c r="Q6249" s="26" t="s">
        <v>239</v>
      </c>
      <c r="R6249" s="34">
        <v>40</v>
      </c>
      <c r="S6249" s="59">
        <v>2232.14</v>
      </c>
      <c r="T6249" s="4">
        <v>0</v>
      </c>
      <c r="U6249" s="4">
        <f t="shared" si="290"/>
        <v>0</v>
      </c>
      <c r="V6249" s="3"/>
      <c r="W6249" s="3">
        <v>2014</v>
      </c>
      <c r="X6249" s="3">
        <v>11.12</v>
      </c>
    </row>
    <row r="6250" spans="1:24" ht="114.75">
      <c r="A6250" s="3" t="s">
        <v>13690</v>
      </c>
      <c r="B6250" s="6" t="s">
        <v>361</v>
      </c>
      <c r="C6250" s="6" t="s">
        <v>6612</v>
      </c>
      <c r="D6250" s="6" t="s">
        <v>5357</v>
      </c>
      <c r="E6250" s="6" t="s">
        <v>6613</v>
      </c>
      <c r="F6250" s="229" t="s">
        <v>6689</v>
      </c>
      <c r="G6250" s="3" t="s">
        <v>11449</v>
      </c>
      <c r="H6250" s="185">
        <v>0</v>
      </c>
      <c r="I6250" s="16">
        <v>470000000</v>
      </c>
      <c r="J6250" s="56" t="s">
        <v>229</v>
      </c>
      <c r="K6250" s="57" t="s">
        <v>642</v>
      </c>
      <c r="L6250" s="12" t="s">
        <v>404</v>
      </c>
      <c r="M6250" s="3" t="s">
        <v>230</v>
      </c>
      <c r="N6250" s="8" t="s">
        <v>8899</v>
      </c>
      <c r="O6250" s="6" t="s">
        <v>365</v>
      </c>
      <c r="P6250" s="58">
        <v>839</v>
      </c>
      <c r="Q6250" s="26" t="s">
        <v>239</v>
      </c>
      <c r="R6250" s="34">
        <v>40</v>
      </c>
      <c r="S6250" s="59">
        <v>2232.14</v>
      </c>
      <c r="T6250" s="4">
        <v>0</v>
      </c>
      <c r="U6250" s="4">
        <f>T6250*1.12</f>
        <v>0</v>
      </c>
      <c r="V6250" s="3"/>
      <c r="W6250" s="3">
        <v>2014</v>
      </c>
      <c r="X6250" s="3" t="s">
        <v>14785</v>
      </c>
    </row>
    <row r="6251" spans="1:24" ht="114.75">
      <c r="A6251" s="3" t="s">
        <v>17010</v>
      </c>
      <c r="B6251" s="6" t="s">
        <v>361</v>
      </c>
      <c r="C6251" s="6" t="s">
        <v>6612</v>
      </c>
      <c r="D6251" s="6" t="s">
        <v>5357</v>
      </c>
      <c r="E6251" s="6" t="s">
        <v>6613</v>
      </c>
      <c r="F6251" s="229" t="s">
        <v>6689</v>
      </c>
      <c r="G6251" s="3" t="s">
        <v>11449</v>
      </c>
      <c r="H6251" s="185">
        <v>0</v>
      </c>
      <c r="I6251" s="16">
        <v>470000000</v>
      </c>
      <c r="J6251" s="56" t="s">
        <v>229</v>
      </c>
      <c r="K6251" s="57" t="s">
        <v>8950</v>
      </c>
      <c r="L6251" s="12" t="s">
        <v>404</v>
      </c>
      <c r="M6251" s="3" t="s">
        <v>230</v>
      </c>
      <c r="N6251" s="8" t="s">
        <v>8899</v>
      </c>
      <c r="O6251" s="6" t="s">
        <v>365</v>
      </c>
      <c r="P6251" s="58">
        <v>839</v>
      </c>
      <c r="Q6251" s="26" t="s">
        <v>239</v>
      </c>
      <c r="R6251" s="34">
        <v>40</v>
      </c>
      <c r="S6251" s="59">
        <v>2678.5679999999998</v>
      </c>
      <c r="T6251" s="4">
        <f>R6251*S6251</f>
        <v>107142.71999999999</v>
      </c>
      <c r="U6251" s="4">
        <f>T6251*1.12</f>
        <v>119999.84639999999</v>
      </c>
      <c r="V6251" s="3"/>
      <c r="W6251" s="3">
        <v>2014</v>
      </c>
      <c r="X6251" s="3"/>
    </row>
    <row r="6252" spans="1:24" ht="114.75">
      <c r="A6252" s="3" t="s">
        <v>2605</v>
      </c>
      <c r="B6252" s="6" t="s">
        <v>361</v>
      </c>
      <c r="C6252" s="6" t="s">
        <v>6612</v>
      </c>
      <c r="D6252" s="6" t="s">
        <v>5357</v>
      </c>
      <c r="E6252" s="6" t="s">
        <v>6613</v>
      </c>
      <c r="F6252" s="229" t="s">
        <v>491</v>
      </c>
      <c r="G6252" s="3" t="s">
        <v>11449</v>
      </c>
      <c r="H6252" s="185">
        <v>0</v>
      </c>
      <c r="I6252" s="16">
        <v>470000000</v>
      </c>
      <c r="J6252" s="56" t="s">
        <v>229</v>
      </c>
      <c r="K6252" s="57" t="s">
        <v>641</v>
      </c>
      <c r="L6252" s="57" t="s">
        <v>364</v>
      </c>
      <c r="M6252" s="3" t="s">
        <v>230</v>
      </c>
      <c r="N6252" s="8" t="s">
        <v>8899</v>
      </c>
      <c r="O6252" s="6" t="s">
        <v>365</v>
      </c>
      <c r="P6252" s="58">
        <v>839</v>
      </c>
      <c r="Q6252" s="26" t="s">
        <v>239</v>
      </c>
      <c r="R6252" s="34">
        <v>20</v>
      </c>
      <c r="S6252" s="59">
        <v>1785.71</v>
      </c>
      <c r="T6252" s="4">
        <v>0</v>
      </c>
      <c r="U6252" s="4">
        <f t="shared" si="290"/>
        <v>0</v>
      </c>
      <c r="V6252" s="3"/>
      <c r="W6252" s="3">
        <v>2014</v>
      </c>
      <c r="X6252" s="3">
        <v>11.12</v>
      </c>
    </row>
    <row r="6253" spans="1:24" ht="114.75">
      <c r="A6253" s="3" t="s">
        <v>13691</v>
      </c>
      <c r="B6253" s="6" t="s">
        <v>361</v>
      </c>
      <c r="C6253" s="6" t="s">
        <v>6612</v>
      </c>
      <c r="D6253" s="6" t="s">
        <v>5357</v>
      </c>
      <c r="E6253" s="6" t="s">
        <v>6613</v>
      </c>
      <c r="F6253" s="229" t="s">
        <v>491</v>
      </c>
      <c r="G6253" s="3" t="s">
        <v>11449</v>
      </c>
      <c r="H6253" s="185">
        <v>0</v>
      </c>
      <c r="I6253" s="16">
        <v>470000000</v>
      </c>
      <c r="J6253" s="56" t="s">
        <v>229</v>
      </c>
      <c r="K6253" s="57" t="s">
        <v>642</v>
      </c>
      <c r="L6253" s="12" t="s">
        <v>404</v>
      </c>
      <c r="M6253" s="3" t="s">
        <v>230</v>
      </c>
      <c r="N6253" s="8" t="s">
        <v>8899</v>
      </c>
      <c r="O6253" s="6" t="s">
        <v>365</v>
      </c>
      <c r="P6253" s="58">
        <v>839</v>
      </c>
      <c r="Q6253" s="26" t="s">
        <v>239</v>
      </c>
      <c r="R6253" s="34">
        <v>20</v>
      </c>
      <c r="S6253" s="59">
        <v>1785.71</v>
      </c>
      <c r="T6253" s="4">
        <f>R6253*S6253</f>
        <v>35714.199999999997</v>
      </c>
      <c r="U6253" s="4">
        <f>T6253*1.12</f>
        <v>39999.904000000002</v>
      </c>
      <c r="V6253" s="3"/>
      <c r="W6253" s="3">
        <v>2014</v>
      </c>
      <c r="X6253" s="3"/>
    </row>
    <row r="6254" spans="1:24" ht="114.75">
      <c r="A6254" s="3" t="s">
        <v>2606</v>
      </c>
      <c r="B6254" s="6" t="s">
        <v>361</v>
      </c>
      <c r="C6254" s="6" t="s">
        <v>6612</v>
      </c>
      <c r="D6254" s="6" t="s">
        <v>5357</v>
      </c>
      <c r="E6254" s="6" t="s">
        <v>6613</v>
      </c>
      <c r="F6254" s="229" t="s">
        <v>492</v>
      </c>
      <c r="G6254" s="3" t="s">
        <v>11449</v>
      </c>
      <c r="H6254" s="185">
        <v>0</v>
      </c>
      <c r="I6254" s="16">
        <v>470000000</v>
      </c>
      <c r="J6254" s="56" t="s">
        <v>229</v>
      </c>
      <c r="K6254" s="57" t="s">
        <v>641</v>
      </c>
      <c r="L6254" s="57" t="s">
        <v>364</v>
      </c>
      <c r="M6254" s="3" t="s">
        <v>230</v>
      </c>
      <c r="N6254" s="8" t="s">
        <v>8899</v>
      </c>
      <c r="O6254" s="6" t="s">
        <v>365</v>
      </c>
      <c r="P6254" s="58">
        <v>839</v>
      </c>
      <c r="Q6254" s="26" t="s">
        <v>239</v>
      </c>
      <c r="R6254" s="34">
        <v>20</v>
      </c>
      <c r="S6254" s="59">
        <v>1339.29</v>
      </c>
      <c r="T6254" s="4">
        <v>0</v>
      </c>
      <c r="U6254" s="4">
        <f t="shared" si="290"/>
        <v>0</v>
      </c>
      <c r="V6254" s="3"/>
      <c r="W6254" s="3">
        <v>2014</v>
      </c>
      <c r="X6254" s="3">
        <v>11.12</v>
      </c>
    </row>
    <row r="6255" spans="1:24" ht="114.75">
      <c r="A6255" s="3" t="s">
        <v>13692</v>
      </c>
      <c r="B6255" s="6" t="s">
        <v>361</v>
      </c>
      <c r="C6255" s="6" t="s">
        <v>6612</v>
      </c>
      <c r="D6255" s="6" t="s">
        <v>5357</v>
      </c>
      <c r="E6255" s="6" t="s">
        <v>6613</v>
      </c>
      <c r="F6255" s="229" t="s">
        <v>492</v>
      </c>
      <c r="G6255" s="3" t="s">
        <v>11449</v>
      </c>
      <c r="H6255" s="185">
        <v>0</v>
      </c>
      <c r="I6255" s="16">
        <v>470000000</v>
      </c>
      <c r="J6255" s="56" t="s">
        <v>229</v>
      </c>
      <c r="K6255" s="57" t="s">
        <v>642</v>
      </c>
      <c r="L6255" s="12" t="s">
        <v>404</v>
      </c>
      <c r="M6255" s="3" t="s">
        <v>230</v>
      </c>
      <c r="N6255" s="8" t="s">
        <v>8899</v>
      </c>
      <c r="O6255" s="6" t="s">
        <v>365</v>
      </c>
      <c r="P6255" s="58">
        <v>839</v>
      </c>
      <c r="Q6255" s="26" t="s">
        <v>239</v>
      </c>
      <c r="R6255" s="34">
        <v>20</v>
      </c>
      <c r="S6255" s="59">
        <v>1339.29</v>
      </c>
      <c r="T6255" s="4">
        <f>R6255*S6255</f>
        <v>26785.8</v>
      </c>
      <c r="U6255" s="4">
        <f>T6255*1.12</f>
        <v>30000.096000000001</v>
      </c>
      <c r="V6255" s="3"/>
      <c r="W6255" s="3">
        <v>2014</v>
      </c>
      <c r="X6255" s="3"/>
    </row>
    <row r="6256" spans="1:24" ht="114.75">
      <c r="A6256" s="3" t="s">
        <v>2607</v>
      </c>
      <c r="B6256" s="6" t="s">
        <v>361</v>
      </c>
      <c r="C6256" s="6" t="s">
        <v>5377</v>
      </c>
      <c r="D6256" s="6" t="s">
        <v>5357</v>
      </c>
      <c r="E6256" s="6" t="s">
        <v>5378</v>
      </c>
      <c r="F6256" s="229" t="s">
        <v>493</v>
      </c>
      <c r="G6256" s="3" t="s">
        <v>11449</v>
      </c>
      <c r="H6256" s="185">
        <v>0</v>
      </c>
      <c r="I6256" s="16">
        <v>470000000</v>
      </c>
      <c r="J6256" s="56" t="s">
        <v>229</v>
      </c>
      <c r="K6256" s="57" t="s">
        <v>641</v>
      </c>
      <c r="L6256" s="57" t="s">
        <v>364</v>
      </c>
      <c r="M6256" s="3" t="s">
        <v>230</v>
      </c>
      <c r="N6256" s="8" t="s">
        <v>8899</v>
      </c>
      <c r="O6256" s="6" t="s">
        <v>365</v>
      </c>
      <c r="P6256" s="58">
        <v>839</v>
      </c>
      <c r="Q6256" s="26" t="s">
        <v>239</v>
      </c>
      <c r="R6256" s="132">
        <v>20</v>
      </c>
      <c r="S6256" s="133">
        <v>4017.86</v>
      </c>
      <c r="T6256" s="4">
        <v>0</v>
      </c>
      <c r="U6256" s="4">
        <f t="shared" si="290"/>
        <v>0</v>
      </c>
      <c r="V6256" s="3"/>
      <c r="W6256" s="3">
        <v>2014</v>
      </c>
      <c r="X6256" s="3">
        <v>11.12</v>
      </c>
    </row>
    <row r="6257" spans="1:24" ht="114.75">
      <c r="A6257" s="3" t="s">
        <v>13693</v>
      </c>
      <c r="B6257" s="6" t="s">
        <v>361</v>
      </c>
      <c r="C6257" s="6" t="s">
        <v>5377</v>
      </c>
      <c r="D6257" s="6" t="s">
        <v>5357</v>
      </c>
      <c r="E6257" s="6" t="s">
        <v>5378</v>
      </c>
      <c r="F6257" s="229" t="s">
        <v>493</v>
      </c>
      <c r="G6257" s="3" t="s">
        <v>11449</v>
      </c>
      <c r="H6257" s="185">
        <v>0</v>
      </c>
      <c r="I6257" s="16">
        <v>470000000</v>
      </c>
      <c r="J6257" s="56" t="s">
        <v>229</v>
      </c>
      <c r="K6257" s="57" t="s">
        <v>642</v>
      </c>
      <c r="L6257" s="12" t="s">
        <v>404</v>
      </c>
      <c r="M6257" s="3" t="s">
        <v>230</v>
      </c>
      <c r="N6257" s="8" t="s">
        <v>8899</v>
      </c>
      <c r="O6257" s="6" t="s">
        <v>365</v>
      </c>
      <c r="P6257" s="58">
        <v>839</v>
      </c>
      <c r="Q6257" s="26" t="s">
        <v>239</v>
      </c>
      <c r="R6257" s="132">
        <v>20</v>
      </c>
      <c r="S6257" s="133">
        <v>4017.86</v>
      </c>
      <c r="T6257" s="4">
        <f>R6257*S6257</f>
        <v>80357.2</v>
      </c>
      <c r="U6257" s="4">
        <f>T6257*1.12</f>
        <v>90000.063999999998</v>
      </c>
      <c r="V6257" s="3"/>
      <c r="W6257" s="3">
        <v>2014</v>
      </c>
      <c r="X6257" s="3"/>
    </row>
    <row r="6258" spans="1:24" ht="114.75">
      <c r="A6258" s="3" t="s">
        <v>2608</v>
      </c>
      <c r="B6258" s="6" t="s">
        <v>361</v>
      </c>
      <c r="C6258" s="6" t="s">
        <v>6612</v>
      </c>
      <c r="D6258" s="6" t="s">
        <v>5357</v>
      </c>
      <c r="E6258" s="6" t="s">
        <v>6613</v>
      </c>
      <c r="F6258" s="229" t="s">
        <v>6690</v>
      </c>
      <c r="G6258" s="3" t="s">
        <v>11449</v>
      </c>
      <c r="H6258" s="185">
        <v>0</v>
      </c>
      <c r="I6258" s="16">
        <v>470000000</v>
      </c>
      <c r="J6258" s="56" t="s">
        <v>229</v>
      </c>
      <c r="K6258" s="57" t="s">
        <v>641</v>
      </c>
      <c r="L6258" s="57" t="s">
        <v>364</v>
      </c>
      <c r="M6258" s="3" t="s">
        <v>230</v>
      </c>
      <c r="N6258" s="8" t="s">
        <v>8899</v>
      </c>
      <c r="O6258" s="6" t="s">
        <v>365</v>
      </c>
      <c r="P6258" s="58">
        <v>839</v>
      </c>
      <c r="Q6258" s="26" t="s">
        <v>239</v>
      </c>
      <c r="R6258" s="34">
        <v>20</v>
      </c>
      <c r="S6258" s="59">
        <v>3125</v>
      </c>
      <c r="T6258" s="4">
        <v>0</v>
      </c>
      <c r="U6258" s="4">
        <f t="shared" si="290"/>
        <v>0</v>
      </c>
      <c r="V6258" s="3"/>
      <c r="W6258" s="3">
        <v>2014</v>
      </c>
      <c r="X6258" s="3">
        <v>11.12</v>
      </c>
    </row>
    <row r="6259" spans="1:24" ht="114.75">
      <c r="A6259" s="3" t="s">
        <v>13694</v>
      </c>
      <c r="B6259" s="6" t="s">
        <v>361</v>
      </c>
      <c r="C6259" s="6" t="s">
        <v>6612</v>
      </c>
      <c r="D6259" s="6" t="s">
        <v>5357</v>
      </c>
      <c r="E6259" s="6" t="s">
        <v>6613</v>
      </c>
      <c r="F6259" s="229" t="s">
        <v>6690</v>
      </c>
      <c r="G6259" s="3" t="s">
        <v>11449</v>
      </c>
      <c r="H6259" s="185">
        <v>0</v>
      </c>
      <c r="I6259" s="16">
        <v>470000000</v>
      </c>
      <c r="J6259" s="56" t="s">
        <v>229</v>
      </c>
      <c r="K6259" s="57" t="s">
        <v>642</v>
      </c>
      <c r="L6259" s="12" t="s">
        <v>404</v>
      </c>
      <c r="M6259" s="3" t="s">
        <v>230</v>
      </c>
      <c r="N6259" s="8" t="s">
        <v>8899</v>
      </c>
      <c r="O6259" s="6" t="s">
        <v>365</v>
      </c>
      <c r="P6259" s="58">
        <v>839</v>
      </c>
      <c r="Q6259" s="26" t="s">
        <v>239</v>
      </c>
      <c r="R6259" s="34">
        <v>20</v>
      </c>
      <c r="S6259" s="59">
        <v>3125</v>
      </c>
      <c r="T6259" s="4">
        <f>R6259*S6259</f>
        <v>62500</v>
      </c>
      <c r="U6259" s="4">
        <f>T6259*1.12</f>
        <v>70000</v>
      </c>
      <c r="V6259" s="3"/>
      <c r="W6259" s="3">
        <v>2014</v>
      </c>
      <c r="X6259" s="3"/>
    </row>
    <row r="6260" spans="1:24" ht="114.75">
      <c r="A6260" s="3" t="s">
        <v>2609</v>
      </c>
      <c r="B6260" s="6" t="s">
        <v>361</v>
      </c>
      <c r="C6260" s="6" t="s">
        <v>6612</v>
      </c>
      <c r="D6260" s="6" t="s">
        <v>5357</v>
      </c>
      <c r="E6260" s="6" t="s">
        <v>6613</v>
      </c>
      <c r="F6260" s="229" t="s">
        <v>6691</v>
      </c>
      <c r="G6260" s="3" t="s">
        <v>11449</v>
      </c>
      <c r="H6260" s="185">
        <v>0</v>
      </c>
      <c r="I6260" s="16">
        <v>470000000</v>
      </c>
      <c r="J6260" s="56" t="s">
        <v>229</v>
      </c>
      <c r="K6260" s="57" t="s">
        <v>641</v>
      </c>
      <c r="L6260" s="57" t="s">
        <v>364</v>
      </c>
      <c r="M6260" s="3" t="s">
        <v>230</v>
      </c>
      <c r="N6260" s="8" t="s">
        <v>8899</v>
      </c>
      <c r="O6260" s="6" t="s">
        <v>365</v>
      </c>
      <c r="P6260" s="58">
        <v>839</v>
      </c>
      <c r="Q6260" s="26" t="s">
        <v>239</v>
      </c>
      <c r="R6260" s="34">
        <v>20</v>
      </c>
      <c r="S6260" s="59">
        <v>3125</v>
      </c>
      <c r="T6260" s="4">
        <v>0</v>
      </c>
      <c r="U6260" s="4">
        <f t="shared" si="290"/>
        <v>0</v>
      </c>
      <c r="V6260" s="3"/>
      <c r="W6260" s="3">
        <v>2014</v>
      </c>
      <c r="X6260" s="3">
        <v>11.12</v>
      </c>
    </row>
    <row r="6261" spans="1:24" ht="114.75">
      <c r="A6261" s="3" t="s">
        <v>13695</v>
      </c>
      <c r="B6261" s="6" t="s">
        <v>361</v>
      </c>
      <c r="C6261" s="6" t="s">
        <v>6612</v>
      </c>
      <c r="D6261" s="6" t="s">
        <v>5357</v>
      </c>
      <c r="E6261" s="6" t="s">
        <v>6613</v>
      </c>
      <c r="F6261" s="229" t="s">
        <v>6691</v>
      </c>
      <c r="G6261" s="3" t="s">
        <v>11449</v>
      </c>
      <c r="H6261" s="185">
        <v>0</v>
      </c>
      <c r="I6261" s="16">
        <v>470000000</v>
      </c>
      <c r="J6261" s="56" t="s">
        <v>229</v>
      </c>
      <c r="K6261" s="57" t="s">
        <v>642</v>
      </c>
      <c r="L6261" s="12" t="s">
        <v>404</v>
      </c>
      <c r="M6261" s="3" t="s">
        <v>230</v>
      </c>
      <c r="N6261" s="8" t="s">
        <v>8899</v>
      </c>
      <c r="O6261" s="6" t="s">
        <v>365</v>
      </c>
      <c r="P6261" s="58">
        <v>839</v>
      </c>
      <c r="Q6261" s="26" t="s">
        <v>239</v>
      </c>
      <c r="R6261" s="34">
        <v>20</v>
      </c>
      <c r="S6261" s="59">
        <v>3125</v>
      </c>
      <c r="T6261" s="4">
        <f>R6261*S6261</f>
        <v>62500</v>
      </c>
      <c r="U6261" s="4">
        <f>T6261*1.12</f>
        <v>70000</v>
      </c>
      <c r="V6261" s="3"/>
      <c r="W6261" s="3">
        <v>2014</v>
      </c>
      <c r="X6261" s="3"/>
    </row>
    <row r="6262" spans="1:24" ht="114.75">
      <c r="A6262" s="3" t="s">
        <v>2610</v>
      </c>
      <c r="B6262" s="6" t="s">
        <v>361</v>
      </c>
      <c r="C6262" s="6" t="s">
        <v>6612</v>
      </c>
      <c r="D6262" s="6" t="s">
        <v>5357</v>
      </c>
      <c r="E6262" s="6" t="s">
        <v>6613</v>
      </c>
      <c r="F6262" s="229" t="s">
        <v>6692</v>
      </c>
      <c r="G6262" s="3" t="s">
        <v>11449</v>
      </c>
      <c r="H6262" s="185">
        <v>0</v>
      </c>
      <c r="I6262" s="16">
        <v>470000000</v>
      </c>
      <c r="J6262" s="56" t="s">
        <v>229</v>
      </c>
      <c r="K6262" s="57" t="s">
        <v>641</v>
      </c>
      <c r="L6262" s="57" t="s">
        <v>364</v>
      </c>
      <c r="M6262" s="3" t="s">
        <v>230</v>
      </c>
      <c r="N6262" s="8" t="s">
        <v>8899</v>
      </c>
      <c r="O6262" s="6" t="s">
        <v>365</v>
      </c>
      <c r="P6262" s="58">
        <v>839</v>
      </c>
      <c r="Q6262" s="26" t="s">
        <v>239</v>
      </c>
      <c r="R6262" s="34">
        <v>20</v>
      </c>
      <c r="S6262" s="59">
        <v>5357.14</v>
      </c>
      <c r="T6262" s="4">
        <v>0</v>
      </c>
      <c r="U6262" s="4">
        <f t="shared" si="290"/>
        <v>0</v>
      </c>
      <c r="V6262" s="3"/>
      <c r="W6262" s="3">
        <v>2014</v>
      </c>
      <c r="X6262" s="3">
        <v>11.12</v>
      </c>
    </row>
    <row r="6263" spans="1:24" ht="114.75">
      <c r="A6263" s="3" t="s">
        <v>13696</v>
      </c>
      <c r="B6263" s="6" t="s">
        <v>361</v>
      </c>
      <c r="C6263" s="6" t="s">
        <v>6612</v>
      </c>
      <c r="D6263" s="6" t="s">
        <v>5357</v>
      </c>
      <c r="E6263" s="6" t="s">
        <v>6613</v>
      </c>
      <c r="F6263" s="229" t="s">
        <v>6692</v>
      </c>
      <c r="G6263" s="3" t="s">
        <v>11449</v>
      </c>
      <c r="H6263" s="185">
        <v>0</v>
      </c>
      <c r="I6263" s="16">
        <v>470000000</v>
      </c>
      <c r="J6263" s="56" t="s">
        <v>229</v>
      </c>
      <c r="K6263" s="57" t="s">
        <v>642</v>
      </c>
      <c r="L6263" s="12" t="s">
        <v>404</v>
      </c>
      <c r="M6263" s="3" t="s">
        <v>230</v>
      </c>
      <c r="N6263" s="8" t="s">
        <v>8899</v>
      </c>
      <c r="O6263" s="6" t="s">
        <v>365</v>
      </c>
      <c r="P6263" s="58">
        <v>839</v>
      </c>
      <c r="Q6263" s="26" t="s">
        <v>239</v>
      </c>
      <c r="R6263" s="34">
        <v>20</v>
      </c>
      <c r="S6263" s="59">
        <v>5357.14</v>
      </c>
      <c r="T6263" s="4">
        <f>R6263*S6263</f>
        <v>107142.8</v>
      </c>
      <c r="U6263" s="4">
        <f>T6263*1.12</f>
        <v>119999.93600000002</v>
      </c>
      <c r="V6263" s="3"/>
      <c r="W6263" s="3">
        <v>2014</v>
      </c>
      <c r="X6263" s="3"/>
    </row>
    <row r="6264" spans="1:24" ht="114.75">
      <c r="A6264" s="3" t="s">
        <v>2611</v>
      </c>
      <c r="B6264" s="6" t="s">
        <v>361</v>
      </c>
      <c r="C6264" s="6" t="s">
        <v>6612</v>
      </c>
      <c r="D6264" s="6" t="s">
        <v>5357</v>
      </c>
      <c r="E6264" s="6" t="s">
        <v>6613</v>
      </c>
      <c r="F6264" s="229" t="s">
        <v>6693</v>
      </c>
      <c r="G6264" s="3" t="s">
        <v>11449</v>
      </c>
      <c r="H6264" s="185">
        <v>0</v>
      </c>
      <c r="I6264" s="16">
        <v>470000000</v>
      </c>
      <c r="J6264" s="56" t="s">
        <v>229</v>
      </c>
      <c r="K6264" s="57" t="s">
        <v>641</v>
      </c>
      <c r="L6264" s="57" t="s">
        <v>364</v>
      </c>
      <c r="M6264" s="3" t="s">
        <v>230</v>
      </c>
      <c r="N6264" s="8" t="s">
        <v>8899</v>
      </c>
      <c r="O6264" s="6" t="s">
        <v>365</v>
      </c>
      <c r="P6264" s="58">
        <v>839</v>
      </c>
      <c r="Q6264" s="26" t="s">
        <v>239</v>
      </c>
      <c r="R6264" s="34">
        <v>20</v>
      </c>
      <c r="S6264" s="59">
        <v>7142.86</v>
      </c>
      <c r="T6264" s="4">
        <v>0</v>
      </c>
      <c r="U6264" s="4">
        <f t="shared" si="290"/>
        <v>0</v>
      </c>
      <c r="V6264" s="3"/>
      <c r="W6264" s="3">
        <v>2014</v>
      </c>
      <c r="X6264" s="3">
        <v>11.12</v>
      </c>
    </row>
    <row r="6265" spans="1:24" ht="114.75">
      <c r="A6265" s="3" t="s">
        <v>13697</v>
      </c>
      <c r="B6265" s="6" t="s">
        <v>361</v>
      </c>
      <c r="C6265" s="6" t="s">
        <v>6612</v>
      </c>
      <c r="D6265" s="6" t="s">
        <v>5357</v>
      </c>
      <c r="E6265" s="6" t="s">
        <v>6613</v>
      </c>
      <c r="F6265" s="229" t="s">
        <v>6693</v>
      </c>
      <c r="G6265" s="3" t="s">
        <v>11449</v>
      </c>
      <c r="H6265" s="185">
        <v>0</v>
      </c>
      <c r="I6265" s="16">
        <v>470000000</v>
      </c>
      <c r="J6265" s="56" t="s">
        <v>229</v>
      </c>
      <c r="K6265" s="57" t="s">
        <v>642</v>
      </c>
      <c r="L6265" s="12" t="s">
        <v>404</v>
      </c>
      <c r="M6265" s="3" t="s">
        <v>230</v>
      </c>
      <c r="N6265" s="8" t="s">
        <v>8899</v>
      </c>
      <c r="O6265" s="6" t="s">
        <v>365</v>
      </c>
      <c r="P6265" s="58">
        <v>839</v>
      </c>
      <c r="Q6265" s="26" t="s">
        <v>239</v>
      </c>
      <c r="R6265" s="34">
        <v>20</v>
      </c>
      <c r="S6265" s="59">
        <v>7142.86</v>
      </c>
      <c r="T6265" s="4">
        <f>R6265*S6265</f>
        <v>142857.19999999998</v>
      </c>
      <c r="U6265" s="4">
        <f>T6265*1.12</f>
        <v>160000.06399999998</v>
      </c>
      <c r="V6265" s="3"/>
      <c r="W6265" s="3">
        <v>2014</v>
      </c>
      <c r="X6265" s="3"/>
    </row>
    <row r="6266" spans="1:24" ht="114.75">
      <c r="A6266" s="3" t="s">
        <v>2612</v>
      </c>
      <c r="B6266" s="6" t="s">
        <v>361</v>
      </c>
      <c r="C6266" s="6" t="s">
        <v>6694</v>
      </c>
      <c r="D6266" s="6" t="s">
        <v>5892</v>
      </c>
      <c r="E6266" s="6" t="s">
        <v>6695</v>
      </c>
      <c r="F6266" s="129" t="s">
        <v>6696</v>
      </c>
      <c r="G6266" s="129" t="s">
        <v>11450</v>
      </c>
      <c r="H6266" s="185">
        <v>0</v>
      </c>
      <c r="I6266" s="16">
        <v>470000000</v>
      </c>
      <c r="J6266" s="56" t="s">
        <v>229</v>
      </c>
      <c r="K6266" s="57" t="s">
        <v>641</v>
      </c>
      <c r="L6266" s="57" t="s">
        <v>364</v>
      </c>
      <c r="M6266" s="3" t="s">
        <v>230</v>
      </c>
      <c r="N6266" s="8" t="s">
        <v>8898</v>
      </c>
      <c r="O6266" s="6" t="s">
        <v>365</v>
      </c>
      <c r="P6266" s="58">
        <v>796</v>
      </c>
      <c r="Q6266" s="31" t="s">
        <v>234</v>
      </c>
      <c r="R6266" s="31">
        <v>10</v>
      </c>
      <c r="S6266" s="59">
        <f>3000*1.07</f>
        <v>3210</v>
      </c>
      <c r="T6266" s="4">
        <v>0</v>
      </c>
      <c r="U6266" s="4">
        <f t="shared" ref="U6266:U6280" si="291">T6266*1.12</f>
        <v>0</v>
      </c>
      <c r="V6266" s="3"/>
      <c r="W6266" s="3">
        <v>2014</v>
      </c>
      <c r="X6266" s="3">
        <v>11.12</v>
      </c>
    </row>
    <row r="6267" spans="1:24" ht="114.75">
      <c r="A6267" s="3" t="s">
        <v>13698</v>
      </c>
      <c r="B6267" s="6" t="s">
        <v>361</v>
      </c>
      <c r="C6267" s="6" t="s">
        <v>6694</v>
      </c>
      <c r="D6267" s="6" t="s">
        <v>5892</v>
      </c>
      <c r="E6267" s="6" t="s">
        <v>6695</v>
      </c>
      <c r="F6267" s="129" t="s">
        <v>6696</v>
      </c>
      <c r="G6267" s="129" t="s">
        <v>11450</v>
      </c>
      <c r="H6267" s="185">
        <v>0</v>
      </c>
      <c r="I6267" s="16">
        <v>470000000</v>
      </c>
      <c r="J6267" s="56" t="s">
        <v>229</v>
      </c>
      <c r="K6267" s="57" t="s">
        <v>9453</v>
      </c>
      <c r="L6267" s="12" t="s">
        <v>404</v>
      </c>
      <c r="M6267" s="3" t="s">
        <v>230</v>
      </c>
      <c r="N6267" s="8" t="s">
        <v>8898</v>
      </c>
      <c r="O6267" s="6" t="s">
        <v>365</v>
      </c>
      <c r="P6267" s="58">
        <v>796</v>
      </c>
      <c r="Q6267" s="31" t="s">
        <v>234</v>
      </c>
      <c r="R6267" s="31">
        <v>10</v>
      </c>
      <c r="S6267" s="59">
        <f>3000*1.07</f>
        <v>3210</v>
      </c>
      <c r="T6267" s="4">
        <f>R6267*S6267</f>
        <v>32100</v>
      </c>
      <c r="U6267" s="4">
        <f>T6267*1.12</f>
        <v>35952</v>
      </c>
      <c r="V6267" s="3"/>
      <c r="W6267" s="3">
        <v>2014</v>
      </c>
      <c r="X6267" s="3"/>
    </row>
    <row r="6268" spans="1:24" ht="114.75">
      <c r="A6268" s="3" t="s">
        <v>2613</v>
      </c>
      <c r="B6268" s="6" t="s">
        <v>361</v>
      </c>
      <c r="C6268" s="6" t="s">
        <v>6697</v>
      </c>
      <c r="D6268" s="6" t="s">
        <v>495</v>
      </c>
      <c r="E6268" s="6" t="s">
        <v>5332</v>
      </c>
      <c r="F6268" s="129" t="s">
        <v>6698</v>
      </c>
      <c r="G6268" s="129" t="s">
        <v>11450</v>
      </c>
      <c r="H6268" s="185">
        <v>0</v>
      </c>
      <c r="I6268" s="16">
        <v>470000000</v>
      </c>
      <c r="J6268" s="56" t="s">
        <v>229</v>
      </c>
      <c r="K6268" s="57" t="s">
        <v>641</v>
      </c>
      <c r="L6268" s="57" t="s">
        <v>364</v>
      </c>
      <c r="M6268" s="3" t="s">
        <v>230</v>
      </c>
      <c r="N6268" s="8" t="s">
        <v>8898</v>
      </c>
      <c r="O6268" s="6" t="s">
        <v>365</v>
      </c>
      <c r="P6268" s="58">
        <v>796</v>
      </c>
      <c r="Q6268" s="31" t="s">
        <v>234</v>
      </c>
      <c r="R6268" s="31">
        <v>10</v>
      </c>
      <c r="S6268" s="59">
        <f>8500*1.07</f>
        <v>9095</v>
      </c>
      <c r="T6268" s="4">
        <v>0</v>
      </c>
      <c r="U6268" s="4">
        <f t="shared" si="291"/>
        <v>0</v>
      </c>
      <c r="V6268" s="3"/>
      <c r="W6268" s="3">
        <v>2014</v>
      </c>
      <c r="X6268" s="3">
        <v>11.12</v>
      </c>
    </row>
    <row r="6269" spans="1:24" ht="114.75">
      <c r="A6269" s="3" t="s">
        <v>13699</v>
      </c>
      <c r="B6269" s="6" t="s">
        <v>361</v>
      </c>
      <c r="C6269" s="6" t="s">
        <v>6697</v>
      </c>
      <c r="D6269" s="6" t="s">
        <v>495</v>
      </c>
      <c r="E6269" s="6" t="s">
        <v>5332</v>
      </c>
      <c r="F6269" s="129" t="s">
        <v>6698</v>
      </c>
      <c r="G6269" s="129" t="s">
        <v>11450</v>
      </c>
      <c r="H6269" s="185">
        <v>0</v>
      </c>
      <c r="I6269" s="16">
        <v>470000000</v>
      </c>
      <c r="J6269" s="56" t="s">
        <v>229</v>
      </c>
      <c r="K6269" s="57" t="s">
        <v>9453</v>
      </c>
      <c r="L6269" s="12" t="s">
        <v>404</v>
      </c>
      <c r="M6269" s="3" t="s">
        <v>230</v>
      </c>
      <c r="N6269" s="8" t="s">
        <v>8898</v>
      </c>
      <c r="O6269" s="6" t="s">
        <v>365</v>
      </c>
      <c r="P6269" s="58">
        <v>796</v>
      </c>
      <c r="Q6269" s="31" t="s">
        <v>234</v>
      </c>
      <c r="R6269" s="31">
        <v>10</v>
      </c>
      <c r="S6269" s="59">
        <f>8500*1.07</f>
        <v>9095</v>
      </c>
      <c r="T6269" s="4">
        <f>R6269*S6269</f>
        <v>90950</v>
      </c>
      <c r="U6269" s="4">
        <f>T6269*1.12</f>
        <v>101864.00000000001</v>
      </c>
      <c r="V6269" s="3"/>
      <c r="W6269" s="3">
        <v>2014</v>
      </c>
      <c r="X6269" s="3"/>
    </row>
    <row r="6270" spans="1:24" ht="114.75">
      <c r="A6270" s="3" t="s">
        <v>2614</v>
      </c>
      <c r="B6270" s="6" t="s">
        <v>361</v>
      </c>
      <c r="C6270" s="6" t="s">
        <v>6697</v>
      </c>
      <c r="D6270" s="6" t="s">
        <v>495</v>
      </c>
      <c r="E6270" s="6" t="s">
        <v>5332</v>
      </c>
      <c r="F6270" s="129" t="s">
        <v>6699</v>
      </c>
      <c r="G6270" s="129" t="s">
        <v>11450</v>
      </c>
      <c r="H6270" s="185">
        <v>0</v>
      </c>
      <c r="I6270" s="16">
        <v>470000000</v>
      </c>
      <c r="J6270" s="56" t="s">
        <v>229</v>
      </c>
      <c r="K6270" s="57" t="s">
        <v>641</v>
      </c>
      <c r="L6270" s="57" t="s">
        <v>364</v>
      </c>
      <c r="M6270" s="3" t="s">
        <v>230</v>
      </c>
      <c r="N6270" s="8" t="s">
        <v>8898</v>
      </c>
      <c r="O6270" s="6" t="s">
        <v>365</v>
      </c>
      <c r="P6270" s="58">
        <v>796</v>
      </c>
      <c r="Q6270" s="31" t="s">
        <v>234</v>
      </c>
      <c r="R6270" s="31">
        <v>10</v>
      </c>
      <c r="S6270" s="59">
        <f>8500*1.07</f>
        <v>9095</v>
      </c>
      <c r="T6270" s="4">
        <v>0</v>
      </c>
      <c r="U6270" s="4">
        <f t="shared" si="291"/>
        <v>0</v>
      </c>
      <c r="V6270" s="3"/>
      <c r="W6270" s="3">
        <v>2014</v>
      </c>
      <c r="X6270" s="3">
        <v>11.12</v>
      </c>
    </row>
    <row r="6271" spans="1:24" ht="114.75">
      <c r="A6271" s="3" t="s">
        <v>13700</v>
      </c>
      <c r="B6271" s="6" t="s">
        <v>361</v>
      </c>
      <c r="C6271" s="6" t="s">
        <v>6697</v>
      </c>
      <c r="D6271" s="6" t="s">
        <v>495</v>
      </c>
      <c r="E6271" s="6" t="s">
        <v>5332</v>
      </c>
      <c r="F6271" s="129" t="s">
        <v>6699</v>
      </c>
      <c r="G6271" s="129" t="s">
        <v>11450</v>
      </c>
      <c r="H6271" s="185">
        <v>0</v>
      </c>
      <c r="I6271" s="16">
        <v>470000000</v>
      </c>
      <c r="J6271" s="56" t="s">
        <v>229</v>
      </c>
      <c r="K6271" s="57" t="s">
        <v>9453</v>
      </c>
      <c r="L6271" s="12" t="s">
        <v>404</v>
      </c>
      <c r="M6271" s="3" t="s">
        <v>230</v>
      </c>
      <c r="N6271" s="8" t="s">
        <v>8898</v>
      </c>
      <c r="O6271" s="6" t="s">
        <v>365</v>
      </c>
      <c r="P6271" s="58">
        <v>796</v>
      </c>
      <c r="Q6271" s="31" t="s">
        <v>234</v>
      </c>
      <c r="R6271" s="31">
        <v>10</v>
      </c>
      <c r="S6271" s="59">
        <f>8500*1.07</f>
        <v>9095</v>
      </c>
      <c r="T6271" s="4">
        <f>R6271*S6271</f>
        <v>90950</v>
      </c>
      <c r="U6271" s="4">
        <f>T6271*1.12</f>
        <v>101864.00000000001</v>
      </c>
      <c r="V6271" s="3"/>
      <c r="W6271" s="3">
        <v>2014</v>
      </c>
      <c r="X6271" s="3"/>
    </row>
    <row r="6272" spans="1:24" ht="114.75">
      <c r="A6272" s="3" t="s">
        <v>2615</v>
      </c>
      <c r="B6272" s="6" t="s">
        <v>361</v>
      </c>
      <c r="C6272" s="6" t="s">
        <v>5349</v>
      </c>
      <c r="D6272" s="6" t="s">
        <v>390</v>
      </c>
      <c r="E6272" s="6" t="s">
        <v>6700</v>
      </c>
      <c r="F6272" s="129" t="s">
        <v>6701</v>
      </c>
      <c r="G6272" s="129" t="s">
        <v>11450</v>
      </c>
      <c r="H6272" s="185">
        <v>0</v>
      </c>
      <c r="I6272" s="16">
        <v>470000000</v>
      </c>
      <c r="J6272" s="56" t="s">
        <v>229</v>
      </c>
      <c r="K6272" s="57" t="s">
        <v>641</v>
      </c>
      <c r="L6272" s="57" t="s">
        <v>364</v>
      </c>
      <c r="M6272" s="3" t="s">
        <v>230</v>
      </c>
      <c r="N6272" s="8" t="s">
        <v>8898</v>
      </c>
      <c r="O6272" s="6" t="s">
        <v>365</v>
      </c>
      <c r="P6272" s="58">
        <v>796</v>
      </c>
      <c r="Q6272" s="31" t="s">
        <v>234</v>
      </c>
      <c r="R6272" s="27">
        <v>10</v>
      </c>
      <c r="S6272" s="59">
        <f>3662.5*1.07</f>
        <v>3918.8750000000005</v>
      </c>
      <c r="T6272" s="4">
        <v>0</v>
      </c>
      <c r="U6272" s="4">
        <f t="shared" si="291"/>
        <v>0</v>
      </c>
      <c r="V6272" s="3"/>
      <c r="W6272" s="3">
        <v>2014</v>
      </c>
      <c r="X6272" s="3">
        <v>11.12</v>
      </c>
    </row>
    <row r="6273" spans="1:24" ht="114.75">
      <c r="A6273" s="3" t="s">
        <v>13701</v>
      </c>
      <c r="B6273" s="6" t="s">
        <v>361</v>
      </c>
      <c r="C6273" s="6" t="s">
        <v>5349</v>
      </c>
      <c r="D6273" s="6" t="s">
        <v>390</v>
      </c>
      <c r="E6273" s="6" t="s">
        <v>6700</v>
      </c>
      <c r="F6273" s="129" t="s">
        <v>6701</v>
      </c>
      <c r="G6273" s="129" t="s">
        <v>11450</v>
      </c>
      <c r="H6273" s="185">
        <v>0</v>
      </c>
      <c r="I6273" s="16">
        <v>470000000</v>
      </c>
      <c r="J6273" s="56" t="s">
        <v>229</v>
      </c>
      <c r="K6273" s="57" t="s">
        <v>9453</v>
      </c>
      <c r="L6273" s="12" t="s">
        <v>404</v>
      </c>
      <c r="M6273" s="3" t="s">
        <v>230</v>
      </c>
      <c r="N6273" s="8" t="s">
        <v>8898</v>
      </c>
      <c r="O6273" s="6" t="s">
        <v>365</v>
      </c>
      <c r="P6273" s="58">
        <v>796</v>
      </c>
      <c r="Q6273" s="31" t="s">
        <v>234</v>
      </c>
      <c r="R6273" s="27">
        <v>10</v>
      </c>
      <c r="S6273" s="59">
        <f>3662.5*1.07</f>
        <v>3918.8750000000005</v>
      </c>
      <c r="T6273" s="4">
        <f>R6273*S6273</f>
        <v>39188.750000000007</v>
      </c>
      <c r="U6273" s="4">
        <f>T6273*1.12</f>
        <v>43891.400000000009</v>
      </c>
      <c r="V6273" s="3"/>
      <c r="W6273" s="3">
        <v>2014</v>
      </c>
      <c r="X6273" s="3"/>
    </row>
    <row r="6274" spans="1:24" ht="114.75">
      <c r="A6274" s="3" t="s">
        <v>2616</v>
      </c>
      <c r="B6274" s="6" t="s">
        <v>361</v>
      </c>
      <c r="C6274" s="6" t="s">
        <v>6702</v>
      </c>
      <c r="D6274" s="6" t="s">
        <v>494</v>
      </c>
      <c r="E6274" s="6" t="s">
        <v>6703</v>
      </c>
      <c r="F6274" s="30" t="s">
        <v>6704</v>
      </c>
      <c r="G6274" s="129" t="s">
        <v>11450</v>
      </c>
      <c r="H6274" s="185">
        <v>0</v>
      </c>
      <c r="I6274" s="16">
        <v>470000000</v>
      </c>
      <c r="J6274" s="56" t="s">
        <v>229</v>
      </c>
      <c r="K6274" s="57" t="s">
        <v>641</v>
      </c>
      <c r="L6274" s="57" t="s">
        <v>364</v>
      </c>
      <c r="M6274" s="3" t="s">
        <v>230</v>
      </c>
      <c r="N6274" s="8" t="s">
        <v>8898</v>
      </c>
      <c r="O6274" s="6" t="s">
        <v>365</v>
      </c>
      <c r="P6274" s="58">
        <v>796</v>
      </c>
      <c r="Q6274" s="31" t="s">
        <v>234</v>
      </c>
      <c r="R6274" s="26">
        <v>10</v>
      </c>
      <c r="S6274" s="59">
        <f>5200*1.07</f>
        <v>5564</v>
      </c>
      <c r="T6274" s="4">
        <v>0</v>
      </c>
      <c r="U6274" s="4">
        <f t="shared" si="291"/>
        <v>0</v>
      </c>
      <c r="V6274" s="3"/>
      <c r="W6274" s="3">
        <v>2014</v>
      </c>
      <c r="X6274" s="3">
        <v>11.12</v>
      </c>
    </row>
    <row r="6275" spans="1:24" ht="114.75">
      <c r="A6275" s="3" t="s">
        <v>13702</v>
      </c>
      <c r="B6275" s="6" t="s">
        <v>361</v>
      </c>
      <c r="C6275" s="6" t="s">
        <v>6702</v>
      </c>
      <c r="D6275" s="6" t="s">
        <v>494</v>
      </c>
      <c r="E6275" s="6" t="s">
        <v>6703</v>
      </c>
      <c r="F6275" s="30" t="s">
        <v>6704</v>
      </c>
      <c r="G6275" s="129" t="s">
        <v>11450</v>
      </c>
      <c r="H6275" s="185">
        <v>0</v>
      </c>
      <c r="I6275" s="16">
        <v>470000000</v>
      </c>
      <c r="J6275" s="56" t="s">
        <v>229</v>
      </c>
      <c r="K6275" s="57" t="s">
        <v>9453</v>
      </c>
      <c r="L6275" s="12" t="s">
        <v>404</v>
      </c>
      <c r="M6275" s="3" t="s">
        <v>230</v>
      </c>
      <c r="N6275" s="8" t="s">
        <v>8898</v>
      </c>
      <c r="O6275" s="6" t="s">
        <v>365</v>
      </c>
      <c r="P6275" s="58">
        <v>796</v>
      </c>
      <c r="Q6275" s="31" t="s">
        <v>234</v>
      </c>
      <c r="R6275" s="26">
        <v>10</v>
      </c>
      <c r="S6275" s="59">
        <f>5200*1.07</f>
        <v>5564</v>
      </c>
      <c r="T6275" s="4">
        <f>R6275*S6275</f>
        <v>55640</v>
      </c>
      <c r="U6275" s="4">
        <f>T6275*1.12</f>
        <v>62316.800000000003</v>
      </c>
      <c r="V6275" s="3"/>
      <c r="W6275" s="3">
        <v>2014</v>
      </c>
      <c r="X6275" s="3"/>
    </row>
    <row r="6276" spans="1:24" ht="114.75">
      <c r="A6276" s="3" t="s">
        <v>2617</v>
      </c>
      <c r="B6276" s="6" t="s">
        <v>361</v>
      </c>
      <c r="C6276" s="6" t="s">
        <v>6705</v>
      </c>
      <c r="D6276" s="6" t="s">
        <v>6706</v>
      </c>
      <c r="E6276" s="6" t="s">
        <v>5553</v>
      </c>
      <c r="F6276" s="107" t="s">
        <v>6707</v>
      </c>
      <c r="G6276" s="129" t="s">
        <v>11450</v>
      </c>
      <c r="H6276" s="185">
        <v>0</v>
      </c>
      <c r="I6276" s="16">
        <v>470000000</v>
      </c>
      <c r="J6276" s="56" t="s">
        <v>229</v>
      </c>
      <c r="K6276" s="57" t="s">
        <v>641</v>
      </c>
      <c r="L6276" s="57" t="s">
        <v>364</v>
      </c>
      <c r="M6276" s="3" t="s">
        <v>230</v>
      </c>
      <c r="N6276" s="8" t="s">
        <v>8898</v>
      </c>
      <c r="O6276" s="6" t="s">
        <v>365</v>
      </c>
      <c r="P6276" s="58">
        <v>796</v>
      </c>
      <c r="Q6276" s="31" t="s">
        <v>234</v>
      </c>
      <c r="R6276" s="26">
        <v>150</v>
      </c>
      <c r="S6276" s="59">
        <f>2841*1.07</f>
        <v>3039.8700000000003</v>
      </c>
      <c r="T6276" s="4">
        <v>0</v>
      </c>
      <c r="U6276" s="4">
        <f t="shared" si="291"/>
        <v>0</v>
      </c>
      <c r="V6276" s="3"/>
      <c r="W6276" s="3">
        <v>2014</v>
      </c>
      <c r="X6276" s="3">
        <v>11.12</v>
      </c>
    </row>
    <row r="6277" spans="1:24" ht="114.75">
      <c r="A6277" s="3" t="s">
        <v>13703</v>
      </c>
      <c r="B6277" s="6" t="s">
        <v>361</v>
      </c>
      <c r="C6277" s="6" t="s">
        <v>6705</v>
      </c>
      <c r="D6277" s="6" t="s">
        <v>6706</v>
      </c>
      <c r="E6277" s="6" t="s">
        <v>5553</v>
      </c>
      <c r="F6277" s="107" t="s">
        <v>6707</v>
      </c>
      <c r="G6277" s="129" t="s">
        <v>11450</v>
      </c>
      <c r="H6277" s="185">
        <v>0</v>
      </c>
      <c r="I6277" s="16">
        <v>470000000</v>
      </c>
      <c r="J6277" s="56" t="s">
        <v>229</v>
      </c>
      <c r="K6277" s="57" t="s">
        <v>9453</v>
      </c>
      <c r="L6277" s="12" t="s">
        <v>404</v>
      </c>
      <c r="M6277" s="3" t="s">
        <v>230</v>
      </c>
      <c r="N6277" s="8" t="s">
        <v>8898</v>
      </c>
      <c r="O6277" s="6" t="s">
        <v>365</v>
      </c>
      <c r="P6277" s="58">
        <v>796</v>
      </c>
      <c r="Q6277" s="31" t="s">
        <v>234</v>
      </c>
      <c r="R6277" s="26">
        <v>150</v>
      </c>
      <c r="S6277" s="59">
        <f>2841*1.07</f>
        <v>3039.8700000000003</v>
      </c>
      <c r="T6277" s="4">
        <f>R6277*S6277</f>
        <v>455980.50000000006</v>
      </c>
      <c r="U6277" s="4">
        <f>T6277*1.12</f>
        <v>510698.16000000009</v>
      </c>
      <c r="V6277" s="3"/>
      <c r="W6277" s="3">
        <v>2014</v>
      </c>
      <c r="X6277" s="3"/>
    </row>
    <row r="6278" spans="1:24" ht="114.75">
      <c r="A6278" s="3" t="s">
        <v>2618</v>
      </c>
      <c r="B6278" s="6" t="s">
        <v>361</v>
      </c>
      <c r="C6278" s="6" t="s">
        <v>6708</v>
      </c>
      <c r="D6278" s="6" t="s">
        <v>3440</v>
      </c>
      <c r="E6278" s="6" t="s">
        <v>5553</v>
      </c>
      <c r="F6278" s="107" t="s">
        <v>6709</v>
      </c>
      <c r="G6278" s="129" t="s">
        <v>11450</v>
      </c>
      <c r="H6278" s="185">
        <v>0</v>
      </c>
      <c r="I6278" s="16">
        <v>470000000</v>
      </c>
      <c r="J6278" s="56" t="s">
        <v>229</v>
      </c>
      <c r="K6278" s="57" t="s">
        <v>641</v>
      </c>
      <c r="L6278" s="57" t="s">
        <v>364</v>
      </c>
      <c r="M6278" s="3" t="s">
        <v>230</v>
      </c>
      <c r="N6278" s="8" t="s">
        <v>8898</v>
      </c>
      <c r="O6278" s="6" t="s">
        <v>365</v>
      </c>
      <c r="P6278" s="58">
        <v>796</v>
      </c>
      <c r="Q6278" s="31" t="s">
        <v>234</v>
      </c>
      <c r="R6278" s="26">
        <v>150</v>
      </c>
      <c r="S6278" s="59">
        <f>1163*1.07</f>
        <v>1244.4100000000001</v>
      </c>
      <c r="T6278" s="4">
        <v>0</v>
      </c>
      <c r="U6278" s="4">
        <f t="shared" si="291"/>
        <v>0</v>
      </c>
      <c r="V6278" s="3"/>
      <c r="W6278" s="3">
        <v>2014</v>
      </c>
      <c r="X6278" s="3">
        <v>11.12</v>
      </c>
    </row>
    <row r="6279" spans="1:24" ht="114.75">
      <c r="A6279" s="3" t="s">
        <v>13704</v>
      </c>
      <c r="B6279" s="6" t="s">
        <v>361</v>
      </c>
      <c r="C6279" s="6" t="s">
        <v>6708</v>
      </c>
      <c r="D6279" s="6" t="s">
        <v>3440</v>
      </c>
      <c r="E6279" s="6" t="s">
        <v>5553</v>
      </c>
      <c r="F6279" s="107" t="s">
        <v>6709</v>
      </c>
      <c r="G6279" s="129" t="s">
        <v>11450</v>
      </c>
      <c r="H6279" s="185">
        <v>0</v>
      </c>
      <c r="I6279" s="16">
        <v>470000000</v>
      </c>
      <c r="J6279" s="56" t="s">
        <v>229</v>
      </c>
      <c r="K6279" s="57" t="s">
        <v>9453</v>
      </c>
      <c r="L6279" s="12" t="s">
        <v>404</v>
      </c>
      <c r="M6279" s="3" t="s">
        <v>230</v>
      </c>
      <c r="N6279" s="8" t="s">
        <v>8898</v>
      </c>
      <c r="O6279" s="6" t="s">
        <v>365</v>
      </c>
      <c r="P6279" s="58">
        <v>796</v>
      </c>
      <c r="Q6279" s="31" t="s">
        <v>234</v>
      </c>
      <c r="R6279" s="26">
        <v>150</v>
      </c>
      <c r="S6279" s="59">
        <f>1163*1.07</f>
        <v>1244.4100000000001</v>
      </c>
      <c r="T6279" s="4">
        <f>R6279*S6279</f>
        <v>186661.5</v>
      </c>
      <c r="U6279" s="4">
        <f>T6279*1.12</f>
        <v>209060.88000000003</v>
      </c>
      <c r="V6279" s="3"/>
      <c r="W6279" s="3">
        <v>2014</v>
      </c>
      <c r="X6279" s="3"/>
    </row>
    <row r="6280" spans="1:24" ht="114.75">
      <c r="A6280" s="3" t="s">
        <v>2619</v>
      </c>
      <c r="B6280" s="6" t="s">
        <v>361</v>
      </c>
      <c r="C6280" s="6" t="s">
        <v>6710</v>
      </c>
      <c r="D6280" s="6" t="s">
        <v>6711</v>
      </c>
      <c r="E6280" s="6" t="s">
        <v>6274</v>
      </c>
      <c r="F6280" s="107" t="s">
        <v>6712</v>
      </c>
      <c r="G6280" s="129" t="s">
        <v>11450</v>
      </c>
      <c r="H6280" s="185">
        <v>0</v>
      </c>
      <c r="I6280" s="16">
        <v>470000000</v>
      </c>
      <c r="J6280" s="56" t="s">
        <v>229</v>
      </c>
      <c r="K6280" s="57" t="s">
        <v>641</v>
      </c>
      <c r="L6280" s="57" t="s">
        <v>364</v>
      </c>
      <c r="M6280" s="3" t="s">
        <v>230</v>
      </c>
      <c r="N6280" s="8" t="s">
        <v>8898</v>
      </c>
      <c r="O6280" s="6" t="s">
        <v>365</v>
      </c>
      <c r="P6280" s="58">
        <v>796</v>
      </c>
      <c r="Q6280" s="31" t="s">
        <v>234</v>
      </c>
      <c r="R6280" s="26">
        <v>6</v>
      </c>
      <c r="S6280" s="59">
        <v>1980</v>
      </c>
      <c r="T6280" s="4">
        <v>0</v>
      </c>
      <c r="U6280" s="4">
        <f t="shared" si="291"/>
        <v>0</v>
      </c>
      <c r="V6280" s="3"/>
      <c r="W6280" s="3">
        <v>2014</v>
      </c>
      <c r="X6280" s="3">
        <v>11.12</v>
      </c>
    </row>
    <row r="6281" spans="1:24" ht="114.75">
      <c r="A6281" s="3" t="s">
        <v>13705</v>
      </c>
      <c r="B6281" s="6" t="s">
        <v>361</v>
      </c>
      <c r="C6281" s="6" t="s">
        <v>6710</v>
      </c>
      <c r="D6281" s="6" t="s">
        <v>6711</v>
      </c>
      <c r="E6281" s="6" t="s">
        <v>6274</v>
      </c>
      <c r="F6281" s="107" t="s">
        <v>6712</v>
      </c>
      <c r="G6281" s="129" t="s">
        <v>11450</v>
      </c>
      <c r="H6281" s="185">
        <v>0</v>
      </c>
      <c r="I6281" s="16">
        <v>470000000</v>
      </c>
      <c r="J6281" s="56" t="s">
        <v>229</v>
      </c>
      <c r="K6281" s="57" t="s">
        <v>9453</v>
      </c>
      <c r="L6281" s="12" t="s">
        <v>404</v>
      </c>
      <c r="M6281" s="3" t="s">
        <v>230</v>
      </c>
      <c r="N6281" s="8" t="s">
        <v>8898</v>
      </c>
      <c r="O6281" s="6" t="s">
        <v>365</v>
      </c>
      <c r="P6281" s="58">
        <v>796</v>
      </c>
      <c r="Q6281" s="31" t="s">
        <v>234</v>
      </c>
      <c r="R6281" s="26">
        <v>6</v>
      </c>
      <c r="S6281" s="59">
        <v>1980</v>
      </c>
      <c r="T6281" s="4">
        <f>R6281*S6281</f>
        <v>11880</v>
      </c>
      <c r="U6281" s="4">
        <f>T6281*1.12</f>
        <v>13305.6</v>
      </c>
      <c r="V6281" s="3"/>
      <c r="W6281" s="3">
        <v>2014</v>
      </c>
      <c r="X6281" s="3"/>
    </row>
    <row r="6282" spans="1:24" ht="114.75">
      <c r="A6282" s="3" t="s">
        <v>2620</v>
      </c>
      <c r="B6282" s="6" t="s">
        <v>361</v>
      </c>
      <c r="C6282" s="6" t="s">
        <v>6694</v>
      </c>
      <c r="D6282" s="6" t="s">
        <v>5892</v>
      </c>
      <c r="E6282" s="6" t="s">
        <v>6695</v>
      </c>
      <c r="F6282" s="6" t="s">
        <v>6713</v>
      </c>
      <c r="G6282" s="129" t="s">
        <v>11450</v>
      </c>
      <c r="H6282" s="185">
        <v>0</v>
      </c>
      <c r="I6282" s="16">
        <v>470000000</v>
      </c>
      <c r="J6282" s="56" t="s">
        <v>229</v>
      </c>
      <c r="K6282" s="57" t="s">
        <v>641</v>
      </c>
      <c r="L6282" s="57" t="s">
        <v>364</v>
      </c>
      <c r="M6282" s="3" t="s">
        <v>230</v>
      </c>
      <c r="N6282" s="8" t="s">
        <v>8898</v>
      </c>
      <c r="O6282" s="6" t="s">
        <v>365</v>
      </c>
      <c r="P6282" s="58">
        <v>796</v>
      </c>
      <c r="Q6282" s="31" t="s">
        <v>234</v>
      </c>
      <c r="R6282" s="26">
        <v>20</v>
      </c>
      <c r="S6282" s="59">
        <v>7100</v>
      </c>
      <c r="T6282" s="4">
        <v>0</v>
      </c>
      <c r="U6282" s="4">
        <f t="shared" ref="U6282:U6290" si="292">T6282*1.12</f>
        <v>0</v>
      </c>
      <c r="V6282" s="3"/>
      <c r="W6282" s="3">
        <v>2014</v>
      </c>
      <c r="X6282" s="3">
        <v>11.12</v>
      </c>
    </row>
    <row r="6283" spans="1:24" ht="114.75">
      <c r="A6283" s="3" t="s">
        <v>13706</v>
      </c>
      <c r="B6283" s="6" t="s">
        <v>361</v>
      </c>
      <c r="C6283" s="6" t="s">
        <v>6694</v>
      </c>
      <c r="D6283" s="6" t="s">
        <v>5892</v>
      </c>
      <c r="E6283" s="6" t="s">
        <v>6695</v>
      </c>
      <c r="F6283" s="6" t="s">
        <v>6713</v>
      </c>
      <c r="G6283" s="129" t="s">
        <v>11450</v>
      </c>
      <c r="H6283" s="185">
        <v>0</v>
      </c>
      <c r="I6283" s="16">
        <v>470000000</v>
      </c>
      <c r="J6283" s="56" t="s">
        <v>229</v>
      </c>
      <c r="K6283" s="57" t="s">
        <v>9453</v>
      </c>
      <c r="L6283" s="12" t="s">
        <v>404</v>
      </c>
      <c r="M6283" s="3" t="s">
        <v>230</v>
      </c>
      <c r="N6283" s="8" t="s">
        <v>8898</v>
      </c>
      <c r="O6283" s="6" t="s">
        <v>365</v>
      </c>
      <c r="P6283" s="58">
        <v>796</v>
      </c>
      <c r="Q6283" s="31" t="s">
        <v>234</v>
      </c>
      <c r="R6283" s="26">
        <v>20</v>
      </c>
      <c r="S6283" s="59">
        <v>7100</v>
      </c>
      <c r="T6283" s="4">
        <f>R6283*S6283</f>
        <v>142000</v>
      </c>
      <c r="U6283" s="4">
        <f>T6283*1.12</f>
        <v>159040.00000000003</v>
      </c>
      <c r="V6283" s="3"/>
      <c r="W6283" s="3">
        <v>2014</v>
      </c>
      <c r="X6283" s="3"/>
    </row>
    <row r="6284" spans="1:24" ht="114.75">
      <c r="A6284" s="3" t="s">
        <v>2621</v>
      </c>
      <c r="B6284" s="6" t="s">
        <v>361</v>
      </c>
      <c r="C6284" s="6" t="s">
        <v>5349</v>
      </c>
      <c r="D6284" s="6" t="s">
        <v>390</v>
      </c>
      <c r="E6284" s="6" t="s">
        <v>6700</v>
      </c>
      <c r="F6284" s="6" t="s">
        <v>6714</v>
      </c>
      <c r="G6284" s="129" t="s">
        <v>11450</v>
      </c>
      <c r="H6284" s="185">
        <v>0</v>
      </c>
      <c r="I6284" s="16">
        <v>470000000</v>
      </c>
      <c r="J6284" s="56" t="s">
        <v>229</v>
      </c>
      <c r="K6284" s="57" t="s">
        <v>641</v>
      </c>
      <c r="L6284" s="57" t="s">
        <v>364</v>
      </c>
      <c r="M6284" s="3" t="s">
        <v>230</v>
      </c>
      <c r="N6284" s="8" t="s">
        <v>8898</v>
      </c>
      <c r="O6284" s="6" t="s">
        <v>365</v>
      </c>
      <c r="P6284" s="58">
        <v>796</v>
      </c>
      <c r="Q6284" s="31" t="s">
        <v>234</v>
      </c>
      <c r="R6284" s="26">
        <v>20</v>
      </c>
      <c r="S6284" s="59">
        <v>1400</v>
      </c>
      <c r="T6284" s="4">
        <v>0</v>
      </c>
      <c r="U6284" s="4">
        <f t="shared" si="292"/>
        <v>0</v>
      </c>
      <c r="V6284" s="3"/>
      <c r="W6284" s="3">
        <v>2014</v>
      </c>
      <c r="X6284" s="3">
        <v>11.12</v>
      </c>
    </row>
    <row r="6285" spans="1:24" ht="114.75">
      <c r="A6285" s="3" t="s">
        <v>13707</v>
      </c>
      <c r="B6285" s="6" t="s">
        <v>361</v>
      </c>
      <c r="C6285" s="6" t="s">
        <v>5349</v>
      </c>
      <c r="D6285" s="6" t="s">
        <v>390</v>
      </c>
      <c r="E6285" s="6" t="s">
        <v>6700</v>
      </c>
      <c r="F6285" s="6" t="s">
        <v>6714</v>
      </c>
      <c r="G6285" s="129" t="s">
        <v>11450</v>
      </c>
      <c r="H6285" s="185">
        <v>0</v>
      </c>
      <c r="I6285" s="16">
        <v>470000000</v>
      </c>
      <c r="J6285" s="56" t="s">
        <v>229</v>
      </c>
      <c r="K6285" s="57" t="s">
        <v>9453</v>
      </c>
      <c r="L6285" s="12" t="s">
        <v>404</v>
      </c>
      <c r="M6285" s="3" t="s">
        <v>230</v>
      </c>
      <c r="N6285" s="8" t="s">
        <v>8898</v>
      </c>
      <c r="O6285" s="6" t="s">
        <v>365</v>
      </c>
      <c r="P6285" s="58">
        <v>796</v>
      </c>
      <c r="Q6285" s="31" t="s">
        <v>234</v>
      </c>
      <c r="R6285" s="26">
        <v>20</v>
      </c>
      <c r="S6285" s="59">
        <v>1400</v>
      </c>
      <c r="T6285" s="4">
        <f>R6285*S6285</f>
        <v>28000</v>
      </c>
      <c r="U6285" s="4">
        <f>T6285*1.12</f>
        <v>31360.000000000004</v>
      </c>
      <c r="V6285" s="3"/>
      <c r="W6285" s="3">
        <v>2014</v>
      </c>
      <c r="X6285" s="3"/>
    </row>
    <row r="6286" spans="1:24" ht="114.75">
      <c r="A6286" s="3" t="s">
        <v>2622</v>
      </c>
      <c r="B6286" s="6" t="s">
        <v>361</v>
      </c>
      <c r="C6286" s="6" t="s">
        <v>6697</v>
      </c>
      <c r="D6286" s="6" t="s">
        <v>495</v>
      </c>
      <c r="E6286" s="6" t="s">
        <v>5332</v>
      </c>
      <c r="F6286" s="6" t="s">
        <v>6715</v>
      </c>
      <c r="G6286" s="129" t="s">
        <v>11450</v>
      </c>
      <c r="H6286" s="185">
        <v>0</v>
      </c>
      <c r="I6286" s="16">
        <v>470000000</v>
      </c>
      <c r="J6286" s="56" t="s">
        <v>229</v>
      </c>
      <c r="K6286" s="57" t="s">
        <v>641</v>
      </c>
      <c r="L6286" s="57" t="s">
        <v>364</v>
      </c>
      <c r="M6286" s="3" t="s">
        <v>230</v>
      </c>
      <c r="N6286" s="8" t="s">
        <v>8898</v>
      </c>
      <c r="O6286" s="6" t="s">
        <v>365</v>
      </c>
      <c r="P6286" s="58">
        <v>796</v>
      </c>
      <c r="Q6286" s="31" t="s">
        <v>234</v>
      </c>
      <c r="R6286" s="26">
        <v>20</v>
      </c>
      <c r="S6286" s="59">
        <v>4000</v>
      </c>
      <c r="T6286" s="4">
        <v>0</v>
      </c>
      <c r="U6286" s="4">
        <f t="shared" si="292"/>
        <v>0</v>
      </c>
      <c r="V6286" s="3"/>
      <c r="W6286" s="3">
        <v>2014</v>
      </c>
      <c r="X6286" s="3">
        <v>11.12</v>
      </c>
    </row>
    <row r="6287" spans="1:24" ht="114.75">
      <c r="A6287" s="3" t="s">
        <v>13708</v>
      </c>
      <c r="B6287" s="6" t="s">
        <v>361</v>
      </c>
      <c r="C6287" s="6" t="s">
        <v>6697</v>
      </c>
      <c r="D6287" s="6" t="s">
        <v>495</v>
      </c>
      <c r="E6287" s="6" t="s">
        <v>5332</v>
      </c>
      <c r="F6287" s="6" t="s">
        <v>6715</v>
      </c>
      <c r="G6287" s="129" t="s">
        <v>11450</v>
      </c>
      <c r="H6287" s="185">
        <v>0</v>
      </c>
      <c r="I6287" s="16">
        <v>470000000</v>
      </c>
      <c r="J6287" s="56" t="s">
        <v>229</v>
      </c>
      <c r="K6287" s="57" t="s">
        <v>9453</v>
      </c>
      <c r="L6287" s="12" t="s">
        <v>404</v>
      </c>
      <c r="M6287" s="3" t="s">
        <v>230</v>
      </c>
      <c r="N6287" s="8" t="s">
        <v>8898</v>
      </c>
      <c r="O6287" s="6" t="s">
        <v>365</v>
      </c>
      <c r="P6287" s="58">
        <v>796</v>
      </c>
      <c r="Q6287" s="31" t="s">
        <v>234</v>
      </c>
      <c r="R6287" s="26">
        <v>20</v>
      </c>
      <c r="S6287" s="59">
        <v>4000</v>
      </c>
      <c r="T6287" s="4">
        <f>R6287*S6287</f>
        <v>80000</v>
      </c>
      <c r="U6287" s="4">
        <f>T6287*1.12</f>
        <v>89600.000000000015</v>
      </c>
      <c r="V6287" s="3"/>
      <c r="W6287" s="3">
        <v>2014</v>
      </c>
      <c r="X6287" s="3"/>
    </row>
    <row r="6288" spans="1:24" ht="114.75">
      <c r="A6288" s="3" t="s">
        <v>2623</v>
      </c>
      <c r="B6288" s="6" t="s">
        <v>361</v>
      </c>
      <c r="C6288" s="6" t="s">
        <v>6694</v>
      </c>
      <c r="D6288" s="6" t="s">
        <v>5892</v>
      </c>
      <c r="E6288" s="6" t="s">
        <v>6695</v>
      </c>
      <c r="F6288" s="224" t="s">
        <v>6716</v>
      </c>
      <c r="G6288" s="129" t="s">
        <v>11450</v>
      </c>
      <c r="H6288" s="185">
        <v>0</v>
      </c>
      <c r="I6288" s="16">
        <v>470000000</v>
      </c>
      <c r="J6288" s="56" t="s">
        <v>229</v>
      </c>
      <c r="K6288" s="57" t="s">
        <v>641</v>
      </c>
      <c r="L6288" s="57" t="s">
        <v>364</v>
      </c>
      <c r="M6288" s="3" t="s">
        <v>230</v>
      </c>
      <c r="N6288" s="8" t="s">
        <v>8898</v>
      </c>
      <c r="O6288" s="6" t="s">
        <v>365</v>
      </c>
      <c r="P6288" s="58">
        <v>796</v>
      </c>
      <c r="Q6288" s="31" t="s">
        <v>234</v>
      </c>
      <c r="R6288" s="26">
        <v>10</v>
      </c>
      <c r="S6288" s="59">
        <v>7866.07</v>
      </c>
      <c r="T6288" s="4">
        <v>0</v>
      </c>
      <c r="U6288" s="4">
        <f t="shared" si="292"/>
        <v>0</v>
      </c>
      <c r="V6288" s="3"/>
      <c r="W6288" s="3">
        <v>2014</v>
      </c>
      <c r="X6288" s="3">
        <v>11.12</v>
      </c>
    </row>
    <row r="6289" spans="1:24" ht="114.75">
      <c r="A6289" s="3" t="s">
        <v>13709</v>
      </c>
      <c r="B6289" s="6" t="s">
        <v>361</v>
      </c>
      <c r="C6289" s="6" t="s">
        <v>6694</v>
      </c>
      <c r="D6289" s="6" t="s">
        <v>5892</v>
      </c>
      <c r="E6289" s="6" t="s">
        <v>6695</v>
      </c>
      <c r="F6289" s="224" t="s">
        <v>6716</v>
      </c>
      <c r="G6289" s="129" t="s">
        <v>11450</v>
      </c>
      <c r="H6289" s="185">
        <v>0</v>
      </c>
      <c r="I6289" s="16">
        <v>470000000</v>
      </c>
      <c r="J6289" s="56" t="s">
        <v>229</v>
      </c>
      <c r="K6289" s="57" t="s">
        <v>9453</v>
      </c>
      <c r="L6289" s="12" t="s">
        <v>404</v>
      </c>
      <c r="M6289" s="3" t="s">
        <v>230</v>
      </c>
      <c r="N6289" s="8" t="s">
        <v>8898</v>
      </c>
      <c r="O6289" s="6" t="s">
        <v>365</v>
      </c>
      <c r="P6289" s="58">
        <v>796</v>
      </c>
      <c r="Q6289" s="31" t="s">
        <v>234</v>
      </c>
      <c r="R6289" s="26">
        <v>10</v>
      </c>
      <c r="S6289" s="59">
        <v>7866.07</v>
      </c>
      <c r="T6289" s="4">
        <f>R6289*S6289</f>
        <v>78660.7</v>
      </c>
      <c r="U6289" s="4">
        <f>T6289*1.12</f>
        <v>88099.984000000011</v>
      </c>
      <c r="V6289" s="3"/>
      <c r="W6289" s="3">
        <v>2014</v>
      </c>
      <c r="X6289" s="3"/>
    </row>
    <row r="6290" spans="1:24" ht="114.75">
      <c r="A6290" s="3" t="s">
        <v>2624</v>
      </c>
      <c r="B6290" s="6" t="s">
        <v>361</v>
      </c>
      <c r="C6290" s="6" t="s">
        <v>6717</v>
      </c>
      <c r="D6290" s="6" t="s">
        <v>441</v>
      </c>
      <c r="E6290" s="6" t="s">
        <v>6718</v>
      </c>
      <c r="F6290" s="26" t="s">
        <v>6719</v>
      </c>
      <c r="G6290" s="129" t="s">
        <v>11450</v>
      </c>
      <c r="H6290" s="185">
        <v>0</v>
      </c>
      <c r="I6290" s="16">
        <v>470000000</v>
      </c>
      <c r="J6290" s="56" t="s">
        <v>229</v>
      </c>
      <c r="K6290" s="57" t="s">
        <v>641</v>
      </c>
      <c r="L6290" s="57" t="s">
        <v>364</v>
      </c>
      <c r="M6290" s="3" t="s">
        <v>230</v>
      </c>
      <c r="N6290" s="8" t="s">
        <v>8898</v>
      </c>
      <c r="O6290" s="6" t="s">
        <v>365</v>
      </c>
      <c r="P6290" s="58">
        <v>796</v>
      </c>
      <c r="Q6290" s="31" t="s">
        <v>234</v>
      </c>
      <c r="R6290" s="26">
        <v>1</v>
      </c>
      <c r="S6290" s="59">
        <v>101000</v>
      </c>
      <c r="T6290" s="4">
        <v>0</v>
      </c>
      <c r="U6290" s="4">
        <f t="shared" si="292"/>
        <v>0</v>
      </c>
      <c r="V6290" s="3"/>
      <c r="W6290" s="3">
        <v>2014</v>
      </c>
      <c r="X6290" s="3">
        <v>11.12</v>
      </c>
    </row>
    <row r="6291" spans="1:24" ht="114.75">
      <c r="A6291" s="3" t="s">
        <v>13710</v>
      </c>
      <c r="B6291" s="6" t="s">
        <v>361</v>
      </c>
      <c r="C6291" s="6" t="s">
        <v>6717</v>
      </c>
      <c r="D6291" s="6" t="s">
        <v>441</v>
      </c>
      <c r="E6291" s="6" t="s">
        <v>6718</v>
      </c>
      <c r="F6291" s="26" t="s">
        <v>6719</v>
      </c>
      <c r="G6291" s="129" t="s">
        <v>11450</v>
      </c>
      <c r="H6291" s="185">
        <v>0</v>
      </c>
      <c r="I6291" s="16">
        <v>470000000</v>
      </c>
      <c r="J6291" s="56" t="s">
        <v>229</v>
      </c>
      <c r="K6291" s="57" t="s">
        <v>9453</v>
      </c>
      <c r="L6291" s="12" t="s">
        <v>404</v>
      </c>
      <c r="M6291" s="3" t="s">
        <v>230</v>
      </c>
      <c r="N6291" s="8" t="s">
        <v>8898</v>
      </c>
      <c r="O6291" s="6" t="s">
        <v>365</v>
      </c>
      <c r="P6291" s="58">
        <v>796</v>
      </c>
      <c r="Q6291" s="31" t="s">
        <v>234</v>
      </c>
      <c r="R6291" s="26">
        <v>1</v>
      </c>
      <c r="S6291" s="59">
        <v>101000</v>
      </c>
      <c r="T6291" s="4">
        <f>R6291*S6291</f>
        <v>101000</v>
      </c>
      <c r="U6291" s="4">
        <f>T6291*1.12</f>
        <v>113120.00000000001</v>
      </c>
      <c r="V6291" s="3"/>
      <c r="W6291" s="3">
        <v>2014</v>
      </c>
      <c r="X6291" s="3"/>
    </row>
    <row r="6292" spans="1:24" ht="114.75">
      <c r="A6292" s="3" t="s">
        <v>2625</v>
      </c>
      <c r="B6292" s="6" t="s">
        <v>361</v>
      </c>
      <c r="C6292" s="6" t="s">
        <v>6694</v>
      </c>
      <c r="D6292" s="6" t="s">
        <v>5892</v>
      </c>
      <c r="E6292" s="6" t="s">
        <v>6695</v>
      </c>
      <c r="F6292" s="6" t="s">
        <v>6720</v>
      </c>
      <c r="G6292" s="129" t="s">
        <v>11450</v>
      </c>
      <c r="H6292" s="185">
        <v>0</v>
      </c>
      <c r="I6292" s="16">
        <v>470000000</v>
      </c>
      <c r="J6292" s="56" t="s">
        <v>229</v>
      </c>
      <c r="K6292" s="57" t="s">
        <v>641</v>
      </c>
      <c r="L6292" s="57" t="s">
        <v>364</v>
      </c>
      <c r="M6292" s="3" t="s">
        <v>230</v>
      </c>
      <c r="N6292" s="8" t="s">
        <v>8898</v>
      </c>
      <c r="O6292" s="6" t="s">
        <v>365</v>
      </c>
      <c r="P6292" s="58">
        <v>796</v>
      </c>
      <c r="Q6292" s="31" t="s">
        <v>234</v>
      </c>
      <c r="R6292" s="26">
        <v>6</v>
      </c>
      <c r="S6292" s="59">
        <f>3360*1.07</f>
        <v>3595.2000000000003</v>
      </c>
      <c r="T6292" s="4">
        <v>0</v>
      </c>
      <c r="U6292" s="4">
        <f t="shared" ref="U6292:U6354" si="293">T6292*1.12</f>
        <v>0</v>
      </c>
      <c r="V6292" s="3"/>
      <c r="W6292" s="3">
        <v>2014</v>
      </c>
      <c r="X6292" s="3">
        <v>11.12</v>
      </c>
    </row>
    <row r="6293" spans="1:24" ht="114.75">
      <c r="A6293" s="3" t="s">
        <v>13711</v>
      </c>
      <c r="B6293" s="6" t="s">
        <v>361</v>
      </c>
      <c r="C6293" s="6" t="s">
        <v>6694</v>
      </c>
      <c r="D6293" s="6" t="s">
        <v>5892</v>
      </c>
      <c r="E6293" s="6" t="s">
        <v>6695</v>
      </c>
      <c r="F6293" s="6" t="s">
        <v>6720</v>
      </c>
      <c r="G6293" s="129" t="s">
        <v>11450</v>
      </c>
      <c r="H6293" s="185">
        <v>0</v>
      </c>
      <c r="I6293" s="16">
        <v>470000000</v>
      </c>
      <c r="J6293" s="56" t="s">
        <v>229</v>
      </c>
      <c r="K6293" s="57" t="s">
        <v>9453</v>
      </c>
      <c r="L6293" s="12" t="s">
        <v>404</v>
      </c>
      <c r="M6293" s="3" t="s">
        <v>230</v>
      </c>
      <c r="N6293" s="8" t="s">
        <v>8898</v>
      </c>
      <c r="O6293" s="6" t="s">
        <v>365</v>
      </c>
      <c r="P6293" s="58">
        <v>796</v>
      </c>
      <c r="Q6293" s="31" t="s">
        <v>234</v>
      </c>
      <c r="R6293" s="26">
        <v>6</v>
      </c>
      <c r="S6293" s="59">
        <f>3360*1.07</f>
        <v>3595.2000000000003</v>
      </c>
      <c r="T6293" s="4">
        <f>R6293*S6293</f>
        <v>21571.200000000001</v>
      </c>
      <c r="U6293" s="4">
        <f>T6293*1.12</f>
        <v>24159.744000000002</v>
      </c>
      <c r="V6293" s="3"/>
      <c r="W6293" s="3">
        <v>2014</v>
      </c>
      <c r="X6293" s="3"/>
    </row>
    <row r="6294" spans="1:24" ht="114.75">
      <c r="A6294" s="3" t="s">
        <v>2626</v>
      </c>
      <c r="B6294" s="6" t="s">
        <v>361</v>
      </c>
      <c r="C6294" s="6" t="s">
        <v>5349</v>
      </c>
      <c r="D6294" s="6" t="s">
        <v>390</v>
      </c>
      <c r="E6294" s="6" t="s">
        <v>6700</v>
      </c>
      <c r="F6294" s="6" t="s">
        <v>6721</v>
      </c>
      <c r="G6294" s="129" t="s">
        <v>11450</v>
      </c>
      <c r="H6294" s="185">
        <v>0</v>
      </c>
      <c r="I6294" s="16">
        <v>470000000</v>
      </c>
      <c r="J6294" s="56" t="s">
        <v>229</v>
      </c>
      <c r="K6294" s="57" t="s">
        <v>641</v>
      </c>
      <c r="L6294" s="57" t="s">
        <v>364</v>
      </c>
      <c r="M6294" s="3" t="s">
        <v>230</v>
      </c>
      <c r="N6294" s="8" t="s">
        <v>8898</v>
      </c>
      <c r="O6294" s="6" t="s">
        <v>365</v>
      </c>
      <c r="P6294" s="58">
        <v>796</v>
      </c>
      <c r="Q6294" s="31" t="s">
        <v>234</v>
      </c>
      <c r="R6294" s="26">
        <v>6</v>
      </c>
      <c r="S6294" s="59">
        <f>2920*1.07</f>
        <v>3124.4</v>
      </c>
      <c r="T6294" s="4">
        <v>0</v>
      </c>
      <c r="U6294" s="4">
        <f t="shared" si="293"/>
        <v>0</v>
      </c>
      <c r="V6294" s="3"/>
      <c r="W6294" s="3">
        <v>2014</v>
      </c>
      <c r="X6294" s="3">
        <v>11.12</v>
      </c>
    </row>
    <row r="6295" spans="1:24" ht="114.75">
      <c r="A6295" s="3" t="s">
        <v>13712</v>
      </c>
      <c r="B6295" s="6" t="s">
        <v>361</v>
      </c>
      <c r="C6295" s="6" t="s">
        <v>5349</v>
      </c>
      <c r="D6295" s="6" t="s">
        <v>390</v>
      </c>
      <c r="E6295" s="6" t="s">
        <v>6700</v>
      </c>
      <c r="F6295" s="6" t="s">
        <v>6721</v>
      </c>
      <c r="G6295" s="129" t="s">
        <v>11450</v>
      </c>
      <c r="H6295" s="185">
        <v>0</v>
      </c>
      <c r="I6295" s="16">
        <v>470000000</v>
      </c>
      <c r="J6295" s="56" t="s">
        <v>229</v>
      </c>
      <c r="K6295" s="57" t="s">
        <v>9453</v>
      </c>
      <c r="L6295" s="12" t="s">
        <v>404</v>
      </c>
      <c r="M6295" s="3" t="s">
        <v>230</v>
      </c>
      <c r="N6295" s="8" t="s">
        <v>8898</v>
      </c>
      <c r="O6295" s="6" t="s">
        <v>365</v>
      </c>
      <c r="P6295" s="58">
        <v>796</v>
      </c>
      <c r="Q6295" s="31" t="s">
        <v>234</v>
      </c>
      <c r="R6295" s="26">
        <v>6</v>
      </c>
      <c r="S6295" s="59">
        <f>2920*1.07</f>
        <v>3124.4</v>
      </c>
      <c r="T6295" s="4">
        <f>R6295*S6295</f>
        <v>18746.400000000001</v>
      </c>
      <c r="U6295" s="4">
        <f>T6295*1.12</f>
        <v>20995.968000000004</v>
      </c>
      <c r="V6295" s="3"/>
      <c r="W6295" s="3">
        <v>2014</v>
      </c>
      <c r="X6295" s="3"/>
    </row>
    <row r="6296" spans="1:24" ht="114.75">
      <c r="A6296" s="3" t="s">
        <v>2627</v>
      </c>
      <c r="B6296" s="6" t="s">
        <v>361</v>
      </c>
      <c r="C6296" s="6" t="s">
        <v>6697</v>
      </c>
      <c r="D6296" s="6" t="s">
        <v>495</v>
      </c>
      <c r="E6296" s="6" t="s">
        <v>5332</v>
      </c>
      <c r="F6296" s="6" t="s">
        <v>495</v>
      </c>
      <c r="G6296" s="129" t="s">
        <v>11450</v>
      </c>
      <c r="H6296" s="185">
        <v>0</v>
      </c>
      <c r="I6296" s="16">
        <v>470000000</v>
      </c>
      <c r="J6296" s="56" t="s">
        <v>229</v>
      </c>
      <c r="K6296" s="57" t="s">
        <v>641</v>
      </c>
      <c r="L6296" s="57" t="s">
        <v>364</v>
      </c>
      <c r="M6296" s="3" t="s">
        <v>230</v>
      </c>
      <c r="N6296" s="8" t="s">
        <v>8898</v>
      </c>
      <c r="O6296" s="6" t="s">
        <v>365</v>
      </c>
      <c r="P6296" s="58">
        <v>796</v>
      </c>
      <c r="Q6296" s="31" t="s">
        <v>234</v>
      </c>
      <c r="R6296" s="26">
        <v>6</v>
      </c>
      <c r="S6296" s="59">
        <v>6325</v>
      </c>
      <c r="T6296" s="4">
        <v>0</v>
      </c>
      <c r="U6296" s="4">
        <f t="shared" si="293"/>
        <v>0</v>
      </c>
      <c r="V6296" s="3"/>
      <c r="W6296" s="3">
        <v>2014</v>
      </c>
      <c r="X6296" s="3">
        <v>11.12</v>
      </c>
    </row>
    <row r="6297" spans="1:24" ht="114.75">
      <c r="A6297" s="3" t="s">
        <v>13713</v>
      </c>
      <c r="B6297" s="6" t="s">
        <v>361</v>
      </c>
      <c r="C6297" s="6" t="s">
        <v>6697</v>
      </c>
      <c r="D6297" s="6" t="s">
        <v>495</v>
      </c>
      <c r="E6297" s="6" t="s">
        <v>5332</v>
      </c>
      <c r="F6297" s="6" t="s">
        <v>495</v>
      </c>
      <c r="G6297" s="129" t="s">
        <v>11450</v>
      </c>
      <c r="H6297" s="185">
        <v>0</v>
      </c>
      <c r="I6297" s="16">
        <v>470000000</v>
      </c>
      <c r="J6297" s="56" t="s">
        <v>229</v>
      </c>
      <c r="K6297" s="57" t="s">
        <v>9453</v>
      </c>
      <c r="L6297" s="12" t="s">
        <v>404</v>
      </c>
      <c r="M6297" s="3" t="s">
        <v>230</v>
      </c>
      <c r="N6297" s="8" t="s">
        <v>8898</v>
      </c>
      <c r="O6297" s="6" t="s">
        <v>365</v>
      </c>
      <c r="P6297" s="58">
        <v>796</v>
      </c>
      <c r="Q6297" s="31" t="s">
        <v>234</v>
      </c>
      <c r="R6297" s="26">
        <v>6</v>
      </c>
      <c r="S6297" s="59">
        <v>6325</v>
      </c>
      <c r="T6297" s="4">
        <f>R6297*S6297</f>
        <v>37950</v>
      </c>
      <c r="U6297" s="4">
        <f>T6297*1.12</f>
        <v>42504.000000000007</v>
      </c>
      <c r="V6297" s="3"/>
      <c r="W6297" s="3">
        <v>2014</v>
      </c>
      <c r="X6297" s="3"/>
    </row>
    <row r="6298" spans="1:24" ht="114.75">
      <c r="A6298" s="3" t="s">
        <v>2628</v>
      </c>
      <c r="B6298" s="6" t="s">
        <v>361</v>
      </c>
      <c r="C6298" s="6" t="s">
        <v>5608</v>
      </c>
      <c r="D6298" s="6" t="s">
        <v>5609</v>
      </c>
      <c r="E6298" s="6" t="s">
        <v>3115</v>
      </c>
      <c r="F6298" s="6" t="s">
        <v>6722</v>
      </c>
      <c r="G6298" s="129" t="s">
        <v>11450</v>
      </c>
      <c r="H6298" s="185">
        <v>0</v>
      </c>
      <c r="I6298" s="16">
        <v>470000000</v>
      </c>
      <c r="J6298" s="56" t="s">
        <v>229</v>
      </c>
      <c r="K6298" s="57" t="s">
        <v>641</v>
      </c>
      <c r="L6298" s="57" t="s">
        <v>364</v>
      </c>
      <c r="M6298" s="3" t="s">
        <v>230</v>
      </c>
      <c r="N6298" s="8" t="s">
        <v>8898</v>
      </c>
      <c r="O6298" s="6" t="s">
        <v>365</v>
      </c>
      <c r="P6298" s="58">
        <v>796</v>
      </c>
      <c r="Q6298" s="31" t="s">
        <v>234</v>
      </c>
      <c r="R6298" s="37">
        <v>1</v>
      </c>
      <c r="S6298" s="59">
        <f>76500*1.07</f>
        <v>81855</v>
      </c>
      <c r="T6298" s="4">
        <v>0</v>
      </c>
      <c r="U6298" s="4">
        <f t="shared" si="293"/>
        <v>0</v>
      </c>
      <c r="V6298" s="3"/>
      <c r="W6298" s="3">
        <v>2014</v>
      </c>
      <c r="X6298" s="3">
        <v>11.12</v>
      </c>
    </row>
    <row r="6299" spans="1:24" ht="114.75">
      <c r="A6299" s="3" t="s">
        <v>13714</v>
      </c>
      <c r="B6299" s="6" t="s">
        <v>361</v>
      </c>
      <c r="C6299" s="6" t="s">
        <v>5608</v>
      </c>
      <c r="D6299" s="6" t="s">
        <v>5609</v>
      </c>
      <c r="E6299" s="6" t="s">
        <v>3115</v>
      </c>
      <c r="F6299" s="6" t="s">
        <v>6722</v>
      </c>
      <c r="G6299" s="129" t="s">
        <v>11450</v>
      </c>
      <c r="H6299" s="185">
        <v>0</v>
      </c>
      <c r="I6299" s="16">
        <v>470000000</v>
      </c>
      <c r="J6299" s="56" t="s">
        <v>229</v>
      </c>
      <c r="K6299" s="57" t="s">
        <v>9453</v>
      </c>
      <c r="L6299" s="12" t="s">
        <v>404</v>
      </c>
      <c r="M6299" s="3" t="s">
        <v>230</v>
      </c>
      <c r="N6299" s="8" t="s">
        <v>8898</v>
      </c>
      <c r="O6299" s="6" t="s">
        <v>365</v>
      </c>
      <c r="P6299" s="58">
        <v>796</v>
      </c>
      <c r="Q6299" s="31" t="s">
        <v>234</v>
      </c>
      <c r="R6299" s="37">
        <v>1</v>
      </c>
      <c r="S6299" s="59">
        <f>76500*1.07</f>
        <v>81855</v>
      </c>
      <c r="T6299" s="4">
        <v>0</v>
      </c>
      <c r="U6299" s="4">
        <f>T6299*1.12</f>
        <v>0</v>
      </c>
      <c r="V6299" s="3"/>
      <c r="W6299" s="3">
        <v>2014</v>
      </c>
      <c r="X6299" s="3" t="s">
        <v>14785</v>
      </c>
    </row>
    <row r="6300" spans="1:24" ht="114.75">
      <c r="A6300" s="3" t="s">
        <v>17011</v>
      </c>
      <c r="B6300" s="6" t="s">
        <v>361</v>
      </c>
      <c r="C6300" s="6" t="s">
        <v>5608</v>
      </c>
      <c r="D6300" s="6" t="s">
        <v>5609</v>
      </c>
      <c r="E6300" s="6" t="s">
        <v>3115</v>
      </c>
      <c r="F6300" s="6" t="s">
        <v>6722</v>
      </c>
      <c r="G6300" s="3" t="s">
        <v>11450</v>
      </c>
      <c r="H6300" s="185">
        <v>0</v>
      </c>
      <c r="I6300" s="16">
        <v>470000000</v>
      </c>
      <c r="J6300" s="56" t="s">
        <v>229</v>
      </c>
      <c r="K6300" s="57" t="s">
        <v>8950</v>
      </c>
      <c r="L6300" s="12" t="s">
        <v>404</v>
      </c>
      <c r="M6300" s="3" t="s">
        <v>230</v>
      </c>
      <c r="N6300" s="8" t="s">
        <v>8898</v>
      </c>
      <c r="O6300" s="6" t="s">
        <v>365</v>
      </c>
      <c r="P6300" s="58">
        <v>796</v>
      </c>
      <c r="Q6300" s="31" t="s">
        <v>234</v>
      </c>
      <c r="R6300" s="37">
        <v>1</v>
      </c>
      <c r="S6300" s="59">
        <v>98226</v>
      </c>
      <c r="T6300" s="4">
        <f>R6300*S6300</f>
        <v>98226</v>
      </c>
      <c r="U6300" s="4">
        <f>T6300*1.12</f>
        <v>110013.12000000001</v>
      </c>
      <c r="V6300" s="3"/>
      <c r="W6300" s="3">
        <v>2014</v>
      </c>
      <c r="X6300" s="3"/>
    </row>
    <row r="6301" spans="1:24" ht="114.75">
      <c r="A6301" s="3" t="s">
        <v>2629</v>
      </c>
      <c r="B6301" s="6" t="s">
        <v>361</v>
      </c>
      <c r="C6301" s="6" t="s">
        <v>5415</v>
      </c>
      <c r="D6301" s="6" t="s">
        <v>5416</v>
      </c>
      <c r="E6301" s="6" t="s">
        <v>5183</v>
      </c>
      <c r="F6301" s="6" t="s">
        <v>6723</v>
      </c>
      <c r="G6301" s="129" t="s">
        <v>11450</v>
      </c>
      <c r="H6301" s="185">
        <v>0</v>
      </c>
      <c r="I6301" s="16">
        <v>470000000</v>
      </c>
      <c r="J6301" s="56" t="s">
        <v>229</v>
      </c>
      <c r="K6301" s="57" t="s">
        <v>641</v>
      </c>
      <c r="L6301" s="57" t="s">
        <v>364</v>
      </c>
      <c r="M6301" s="3" t="s">
        <v>230</v>
      </c>
      <c r="N6301" s="8" t="s">
        <v>8898</v>
      </c>
      <c r="O6301" s="6" t="s">
        <v>365</v>
      </c>
      <c r="P6301" s="58">
        <v>796</v>
      </c>
      <c r="Q6301" s="31" t="s">
        <v>234</v>
      </c>
      <c r="R6301" s="37">
        <v>6</v>
      </c>
      <c r="S6301" s="59">
        <v>60000</v>
      </c>
      <c r="T6301" s="4">
        <v>0</v>
      </c>
      <c r="U6301" s="4">
        <f t="shared" si="293"/>
        <v>0</v>
      </c>
      <c r="V6301" s="3"/>
      <c r="W6301" s="3">
        <v>2014</v>
      </c>
      <c r="X6301" s="3">
        <v>11.12</v>
      </c>
    </row>
    <row r="6302" spans="1:24" ht="114.75">
      <c r="A6302" s="3" t="s">
        <v>13715</v>
      </c>
      <c r="B6302" s="6" t="s">
        <v>361</v>
      </c>
      <c r="C6302" s="6" t="s">
        <v>5415</v>
      </c>
      <c r="D6302" s="6" t="s">
        <v>5416</v>
      </c>
      <c r="E6302" s="6" t="s">
        <v>5183</v>
      </c>
      <c r="F6302" s="6" t="s">
        <v>6723</v>
      </c>
      <c r="G6302" s="129" t="s">
        <v>11450</v>
      </c>
      <c r="H6302" s="185">
        <v>0</v>
      </c>
      <c r="I6302" s="16">
        <v>470000000</v>
      </c>
      <c r="J6302" s="56" t="s">
        <v>229</v>
      </c>
      <c r="K6302" s="57" t="s">
        <v>9453</v>
      </c>
      <c r="L6302" s="12" t="s">
        <v>404</v>
      </c>
      <c r="M6302" s="3" t="s">
        <v>230</v>
      </c>
      <c r="N6302" s="8" t="s">
        <v>8898</v>
      </c>
      <c r="O6302" s="6" t="s">
        <v>365</v>
      </c>
      <c r="P6302" s="58">
        <v>796</v>
      </c>
      <c r="Q6302" s="31" t="s">
        <v>234</v>
      </c>
      <c r="R6302" s="37">
        <v>6</v>
      </c>
      <c r="S6302" s="59">
        <v>60000</v>
      </c>
      <c r="T6302" s="4">
        <v>0</v>
      </c>
      <c r="U6302" s="4">
        <f>T6302*1.12</f>
        <v>0</v>
      </c>
      <c r="V6302" s="3"/>
      <c r="W6302" s="3">
        <v>2014</v>
      </c>
      <c r="X6302" s="3" t="s">
        <v>14785</v>
      </c>
    </row>
    <row r="6303" spans="1:24" ht="114.75">
      <c r="A6303" s="3" t="s">
        <v>17012</v>
      </c>
      <c r="B6303" s="6" t="s">
        <v>361</v>
      </c>
      <c r="C6303" s="6" t="s">
        <v>5415</v>
      </c>
      <c r="D6303" s="6" t="s">
        <v>5416</v>
      </c>
      <c r="E6303" s="6" t="s">
        <v>5183</v>
      </c>
      <c r="F6303" s="6" t="s">
        <v>6723</v>
      </c>
      <c r="G6303" s="3" t="s">
        <v>11450</v>
      </c>
      <c r="H6303" s="185">
        <v>0</v>
      </c>
      <c r="I6303" s="16">
        <v>470000000</v>
      </c>
      <c r="J6303" s="56" t="s">
        <v>229</v>
      </c>
      <c r="K6303" s="57" t="s">
        <v>8950</v>
      </c>
      <c r="L6303" s="12" t="s">
        <v>404</v>
      </c>
      <c r="M6303" s="3" t="s">
        <v>230</v>
      </c>
      <c r="N6303" s="8" t="s">
        <v>8898</v>
      </c>
      <c r="O6303" s="6" t="s">
        <v>365</v>
      </c>
      <c r="P6303" s="58">
        <v>796</v>
      </c>
      <c r="Q6303" s="31" t="s">
        <v>234</v>
      </c>
      <c r="R6303" s="37">
        <v>6</v>
      </c>
      <c r="S6303" s="59">
        <v>72000</v>
      </c>
      <c r="T6303" s="4">
        <f>R6303*S6303</f>
        <v>432000</v>
      </c>
      <c r="U6303" s="4">
        <f>T6303*1.12</f>
        <v>483840.00000000006</v>
      </c>
      <c r="V6303" s="3"/>
      <c r="W6303" s="3">
        <v>2014</v>
      </c>
      <c r="X6303" s="3"/>
    </row>
    <row r="6304" spans="1:24" ht="114.75">
      <c r="A6304" s="3" t="s">
        <v>10710</v>
      </c>
      <c r="B6304" s="6" t="s">
        <v>361</v>
      </c>
      <c r="C6304" s="6" t="s">
        <v>6724</v>
      </c>
      <c r="D6304" s="6" t="s">
        <v>6725</v>
      </c>
      <c r="E6304" s="6" t="s">
        <v>6726</v>
      </c>
      <c r="F6304" s="6" t="s">
        <v>6727</v>
      </c>
      <c r="G6304" s="129" t="s">
        <v>11450</v>
      </c>
      <c r="H6304" s="185">
        <v>0</v>
      </c>
      <c r="I6304" s="16">
        <v>470000000</v>
      </c>
      <c r="J6304" s="56" t="s">
        <v>229</v>
      </c>
      <c r="K6304" s="57" t="s">
        <v>641</v>
      </c>
      <c r="L6304" s="57" t="s">
        <v>364</v>
      </c>
      <c r="M6304" s="3" t="s">
        <v>230</v>
      </c>
      <c r="N6304" s="8" t="s">
        <v>8898</v>
      </c>
      <c r="O6304" s="6" t="s">
        <v>365</v>
      </c>
      <c r="P6304" s="58">
        <v>796</v>
      </c>
      <c r="Q6304" s="31" t="s">
        <v>234</v>
      </c>
      <c r="R6304" s="37">
        <v>8</v>
      </c>
      <c r="S6304" s="59">
        <v>8000</v>
      </c>
      <c r="T6304" s="4">
        <v>0</v>
      </c>
      <c r="U6304" s="4">
        <f t="shared" si="293"/>
        <v>0</v>
      </c>
      <c r="V6304" s="3"/>
      <c r="W6304" s="3">
        <v>2014</v>
      </c>
      <c r="X6304" s="3">
        <v>11.12</v>
      </c>
    </row>
    <row r="6305" spans="1:24" ht="114.75">
      <c r="A6305" s="3" t="s">
        <v>13716</v>
      </c>
      <c r="B6305" s="6" t="s">
        <v>361</v>
      </c>
      <c r="C6305" s="6" t="s">
        <v>6724</v>
      </c>
      <c r="D6305" s="6" t="s">
        <v>6725</v>
      </c>
      <c r="E6305" s="6" t="s">
        <v>6726</v>
      </c>
      <c r="F6305" s="6" t="s">
        <v>6727</v>
      </c>
      <c r="G6305" s="129" t="s">
        <v>11450</v>
      </c>
      <c r="H6305" s="185">
        <v>0</v>
      </c>
      <c r="I6305" s="16">
        <v>470000000</v>
      </c>
      <c r="J6305" s="56" t="s">
        <v>229</v>
      </c>
      <c r="K6305" s="57" t="s">
        <v>9453</v>
      </c>
      <c r="L6305" s="12" t="s">
        <v>404</v>
      </c>
      <c r="M6305" s="3" t="s">
        <v>230</v>
      </c>
      <c r="N6305" s="8" t="s">
        <v>8898</v>
      </c>
      <c r="O6305" s="6" t="s">
        <v>365</v>
      </c>
      <c r="P6305" s="58">
        <v>796</v>
      </c>
      <c r="Q6305" s="31" t="s">
        <v>234</v>
      </c>
      <c r="R6305" s="37">
        <v>8</v>
      </c>
      <c r="S6305" s="59">
        <v>8000</v>
      </c>
      <c r="T6305" s="4">
        <v>0</v>
      </c>
      <c r="U6305" s="4">
        <f t="shared" si="293"/>
        <v>0</v>
      </c>
      <c r="V6305" s="3"/>
      <c r="W6305" s="3">
        <v>2014</v>
      </c>
      <c r="X6305" s="3" t="s">
        <v>14785</v>
      </c>
    </row>
    <row r="6306" spans="1:24" ht="114.75">
      <c r="A6306" s="3" t="s">
        <v>17013</v>
      </c>
      <c r="B6306" s="6" t="s">
        <v>361</v>
      </c>
      <c r="C6306" s="6" t="s">
        <v>6724</v>
      </c>
      <c r="D6306" s="6" t="s">
        <v>6725</v>
      </c>
      <c r="E6306" s="6" t="s">
        <v>6726</v>
      </c>
      <c r="F6306" s="6" t="s">
        <v>6727</v>
      </c>
      <c r="G6306" s="3" t="s">
        <v>11450</v>
      </c>
      <c r="H6306" s="185">
        <v>0</v>
      </c>
      <c r="I6306" s="16">
        <v>470000000</v>
      </c>
      <c r="J6306" s="56" t="s">
        <v>229</v>
      </c>
      <c r="K6306" s="57" t="s">
        <v>8950</v>
      </c>
      <c r="L6306" s="12" t="s">
        <v>404</v>
      </c>
      <c r="M6306" s="3" t="s">
        <v>230</v>
      </c>
      <c r="N6306" s="8" t="s">
        <v>8898</v>
      </c>
      <c r="O6306" s="6" t="s">
        <v>365</v>
      </c>
      <c r="P6306" s="58">
        <v>796</v>
      </c>
      <c r="Q6306" s="31" t="s">
        <v>234</v>
      </c>
      <c r="R6306" s="37">
        <v>8</v>
      </c>
      <c r="S6306" s="59">
        <v>9600</v>
      </c>
      <c r="T6306" s="4">
        <f>R6306*S6306</f>
        <v>76800</v>
      </c>
      <c r="U6306" s="4">
        <f t="shared" si="293"/>
        <v>86016.000000000015</v>
      </c>
      <c r="V6306" s="3"/>
      <c r="W6306" s="3">
        <v>2014</v>
      </c>
      <c r="X6306" s="3"/>
    </row>
    <row r="6307" spans="1:24" ht="114.75">
      <c r="A6307" s="3" t="s">
        <v>10711</v>
      </c>
      <c r="B6307" s="6" t="s">
        <v>361</v>
      </c>
      <c r="C6307" s="6" t="s">
        <v>6694</v>
      </c>
      <c r="D6307" s="6" t="s">
        <v>5892</v>
      </c>
      <c r="E6307" s="6" t="s">
        <v>6695</v>
      </c>
      <c r="F6307" s="6" t="s">
        <v>6728</v>
      </c>
      <c r="G6307" s="129" t="s">
        <v>11450</v>
      </c>
      <c r="H6307" s="185">
        <v>0</v>
      </c>
      <c r="I6307" s="16">
        <v>470000000</v>
      </c>
      <c r="J6307" s="56" t="s">
        <v>229</v>
      </c>
      <c r="K6307" s="57" t="s">
        <v>641</v>
      </c>
      <c r="L6307" s="57" t="s">
        <v>364</v>
      </c>
      <c r="M6307" s="3" t="s">
        <v>230</v>
      </c>
      <c r="N6307" s="8" t="s">
        <v>8898</v>
      </c>
      <c r="O6307" s="6" t="s">
        <v>365</v>
      </c>
      <c r="P6307" s="58">
        <v>796</v>
      </c>
      <c r="Q6307" s="31" t="s">
        <v>234</v>
      </c>
      <c r="R6307" s="26">
        <v>20</v>
      </c>
      <c r="S6307" s="59">
        <v>5803.5</v>
      </c>
      <c r="T6307" s="4">
        <v>0</v>
      </c>
      <c r="U6307" s="4">
        <f t="shared" si="293"/>
        <v>0</v>
      </c>
      <c r="V6307" s="3"/>
      <c r="W6307" s="3">
        <v>2014</v>
      </c>
      <c r="X6307" s="3">
        <v>11.12</v>
      </c>
    </row>
    <row r="6308" spans="1:24" ht="114.75">
      <c r="A6308" s="3" t="s">
        <v>13717</v>
      </c>
      <c r="B6308" s="6" t="s">
        <v>361</v>
      </c>
      <c r="C6308" s="6" t="s">
        <v>6694</v>
      </c>
      <c r="D6308" s="6" t="s">
        <v>5892</v>
      </c>
      <c r="E6308" s="6" t="s">
        <v>6695</v>
      </c>
      <c r="F6308" s="6" t="s">
        <v>6728</v>
      </c>
      <c r="G6308" s="129" t="s">
        <v>11450</v>
      </c>
      <c r="H6308" s="185">
        <v>0</v>
      </c>
      <c r="I6308" s="16">
        <v>470000000</v>
      </c>
      <c r="J6308" s="56" t="s">
        <v>229</v>
      </c>
      <c r="K6308" s="57" t="s">
        <v>9453</v>
      </c>
      <c r="L6308" s="12" t="s">
        <v>404</v>
      </c>
      <c r="M6308" s="3" t="s">
        <v>230</v>
      </c>
      <c r="N6308" s="8" t="s">
        <v>8898</v>
      </c>
      <c r="O6308" s="6" t="s">
        <v>365</v>
      </c>
      <c r="P6308" s="58">
        <v>796</v>
      </c>
      <c r="Q6308" s="31" t="s">
        <v>234</v>
      </c>
      <c r="R6308" s="26">
        <v>20</v>
      </c>
      <c r="S6308" s="59">
        <v>5803.5</v>
      </c>
      <c r="T6308" s="4">
        <f>R6308*S6308</f>
        <v>116070</v>
      </c>
      <c r="U6308" s="4">
        <f t="shared" si="293"/>
        <v>129998.40000000001</v>
      </c>
      <c r="V6308" s="3"/>
      <c r="W6308" s="3">
        <v>2014</v>
      </c>
      <c r="X6308" s="3"/>
    </row>
    <row r="6309" spans="1:24" ht="114.75">
      <c r="A6309" s="3" t="s">
        <v>10712</v>
      </c>
      <c r="B6309" s="6" t="s">
        <v>361</v>
      </c>
      <c r="C6309" s="6" t="s">
        <v>5349</v>
      </c>
      <c r="D6309" s="6" t="s">
        <v>390</v>
      </c>
      <c r="E6309" s="6" t="s">
        <v>6700</v>
      </c>
      <c r="F6309" s="6" t="s">
        <v>6729</v>
      </c>
      <c r="G6309" s="129" t="s">
        <v>11450</v>
      </c>
      <c r="H6309" s="185">
        <v>0</v>
      </c>
      <c r="I6309" s="16">
        <v>470000000</v>
      </c>
      <c r="J6309" s="56" t="s">
        <v>229</v>
      </c>
      <c r="K6309" s="57" t="s">
        <v>641</v>
      </c>
      <c r="L6309" s="57" t="s">
        <v>364</v>
      </c>
      <c r="M6309" s="3" t="s">
        <v>230</v>
      </c>
      <c r="N6309" s="8" t="s">
        <v>8898</v>
      </c>
      <c r="O6309" s="6" t="s">
        <v>365</v>
      </c>
      <c r="P6309" s="58">
        <v>796</v>
      </c>
      <c r="Q6309" s="31" t="s">
        <v>234</v>
      </c>
      <c r="R6309" s="26">
        <v>20</v>
      </c>
      <c r="S6309" s="59">
        <v>5803.5</v>
      </c>
      <c r="T6309" s="4">
        <v>0</v>
      </c>
      <c r="U6309" s="4">
        <f t="shared" si="293"/>
        <v>0</v>
      </c>
      <c r="V6309" s="3"/>
      <c r="W6309" s="3">
        <v>2014</v>
      </c>
      <c r="X6309" s="3">
        <v>11.12</v>
      </c>
    </row>
    <row r="6310" spans="1:24" ht="114.75">
      <c r="A6310" s="3" t="s">
        <v>13718</v>
      </c>
      <c r="B6310" s="6" t="s">
        <v>361</v>
      </c>
      <c r="C6310" s="6" t="s">
        <v>5349</v>
      </c>
      <c r="D6310" s="6" t="s">
        <v>390</v>
      </c>
      <c r="E6310" s="6" t="s">
        <v>6700</v>
      </c>
      <c r="F6310" s="6" t="s">
        <v>6729</v>
      </c>
      <c r="G6310" s="129" t="s">
        <v>11450</v>
      </c>
      <c r="H6310" s="185">
        <v>0</v>
      </c>
      <c r="I6310" s="16">
        <v>470000000</v>
      </c>
      <c r="J6310" s="56" t="s">
        <v>229</v>
      </c>
      <c r="K6310" s="57" t="s">
        <v>9453</v>
      </c>
      <c r="L6310" s="12" t="s">
        <v>404</v>
      </c>
      <c r="M6310" s="3" t="s">
        <v>230</v>
      </c>
      <c r="N6310" s="8" t="s">
        <v>8898</v>
      </c>
      <c r="O6310" s="6" t="s">
        <v>365</v>
      </c>
      <c r="P6310" s="58">
        <v>796</v>
      </c>
      <c r="Q6310" s="31" t="s">
        <v>234</v>
      </c>
      <c r="R6310" s="26">
        <v>20</v>
      </c>
      <c r="S6310" s="59">
        <v>5803.5</v>
      </c>
      <c r="T6310" s="4">
        <f>R6310*S6310</f>
        <v>116070</v>
      </c>
      <c r="U6310" s="4">
        <f t="shared" si="293"/>
        <v>129998.40000000001</v>
      </c>
      <c r="V6310" s="3"/>
      <c r="W6310" s="3">
        <v>2014</v>
      </c>
      <c r="X6310" s="3"/>
    </row>
    <row r="6311" spans="1:24" ht="114.75">
      <c r="A6311" s="3" t="s">
        <v>2630</v>
      </c>
      <c r="B6311" s="6" t="s">
        <v>361</v>
      </c>
      <c r="C6311" s="6" t="s">
        <v>6697</v>
      </c>
      <c r="D6311" s="6" t="s">
        <v>495</v>
      </c>
      <c r="E6311" s="6" t="s">
        <v>5332</v>
      </c>
      <c r="F6311" s="6" t="s">
        <v>495</v>
      </c>
      <c r="G6311" s="129" t="s">
        <v>11450</v>
      </c>
      <c r="H6311" s="185">
        <v>0</v>
      </c>
      <c r="I6311" s="16">
        <v>470000000</v>
      </c>
      <c r="J6311" s="56" t="s">
        <v>229</v>
      </c>
      <c r="K6311" s="57" t="s">
        <v>641</v>
      </c>
      <c r="L6311" s="57" t="s">
        <v>364</v>
      </c>
      <c r="M6311" s="3" t="s">
        <v>230</v>
      </c>
      <c r="N6311" s="8" t="s">
        <v>8898</v>
      </c>
      <c r="O6311" s="6" t="s">
        <v>365</v>
      </c>
      <c r="P6311" s="58">
        <v>796</v>
      </c>
      <c r="Q6311" s="31" t="s">
        <v>234</v>
      </c>
      <c r="R6311" s="26">
        <v>20</v>
      </c>
      <c r="S6311" s="59">
        <v>6500</v>
      </c>
      <c r="T6311" s="4">
        <v>0</v>
      </c>
      <c r="U6311" s="4">
        <f t="shared" si="293"/>
        <v>0</v>
      </c>
      <c r="V6311" s="3"/>
      <c r="W6311" s="3">
        <v>2014</v>
      </c>
      <c r="X6311" s="3">
        <v>11.12</v>
      </c>
    </row>
    <row r="6312" spans="1:24" ht="114.75">
      <c r="A6312" s="3" t="s">
        <v>13719</v>
      </c>
      <c r="B6312" s="6" t="s">
        <v>361</v>
      </c>
      <c r="C6312" s="6" t="s">
        <v>6697</v>
      </c>
      <c r="D6312" s="6" t="s">
        <v>495</v>
      </c>
      <c r="E6312" s="6" t="s">
        <v>5332</v>
      </c>
      <c r="F6312" s="6" t="s">
        <v>495</v>
      </c>
      <c r="G6312" s="129" t="s">
        <v>11450</v>
      </c>
      <c r="H6312" s="185">
        <v>0</v>
      </c>
      <c r="I6312" s="16">
        <v>470000000</v>
      </c>
      <c r="J6312" s="56" t="s">
        <v>229</v>
      </c>
      <c r="K6312" s="57" t="s">
        <v>9453</v>
      </c>
      <c r="L6312" s="12" t="s">
        <v>404</v>
      </c>
      <c r="M6312" s="3" t="s">
        <v>230</v>
      </c>
      <c r="N6312" s="8" t="s">
        <v>8898</v>
      </c>
      <c r="O6312" s="6" t="s">
        <v>365</v>
      </c>
      <c r="P6312" s="58">
        <v>796</v>
      </c>
      <c r="Q6312" s="31" t="s">
        <v>234</v>
      </c>
      <c r="R6312" s="26">
        <v>20</v>
      </c>
      <c r="S6312" s="59">
        <v>6500</v>
      </c>
      <c r="T6312" s="4">
        <f>R6312*S6312</f>
        <v>130000</v>
      </c>
      <c r="U6312" s="4">
        <f t="shared" si="293"/>
        <v>145600</v>
      </c>
      <c r="V6312" s="3"/>
      <c r="W6312" s="3">
        <v>2014</v>
      </c>
      <c r="X6312" s="3"/>
    </row>
    <row r="6313" spans="1:24" ht="114.75">
      <c r="A6313" s="3" t="s">
        <v>2631</v>
      </c>
      <c r="B6313" s="6" t="s">
        <v>361</v>
      </c>
      <c r="C6313" s="6" t="s">
        <v>6730</v>
      </c>
      <c r="D6313" s="6" t="s">
        <v>6731</v>
      </c>
      <c r="E6313" s="6" t="s">
        <v>6732</v>
      </c>
      <c r="F6313" s="9" t="s">
        <v>6733</v>
      </c>
      <c r="G6313" s="57" t="s">
        <v>11449</v>
      </c>
      <c r="H6313" s="185">
        <v>0</v>
      </c>
      <c r="I6313" s="16">
        <v>470000000</v>
      </c>
      <c r="J6313" s="56" t="s">
        <v>229</v>
      </c>
      <c r="K6313" s="57" t="s">
        <v>641</v>
      </c>
      <c r="L6313" s="57" t="s">
        <v>364</v>
      </c>
      <c r="M6313" s="3" t="s">
        <v>230</v>
      </c>
      <c r="N6313" s="8" t="s">
        <v>8899</v>
      </c>
      <c r="O6313" s="6" t="s">
        <v>365</v>
      </c>
      <c r="P6313" s="58">
        <v>796</v>
      </c>
      <c r="Q6313" s="31" t="s">
        <v>234</v>
      </c>
      <c r="R6313" s="27">
        <v>139</v>
      </c>
      <c r="S6313" s="59">
        <f>21430*1.07</f>
        <v>22930.100000000002</v>
      </c>
      <c r="T6313" s="4">
        <v>0</v>
      </c>
      <c r="U6313" s="4">
        <f t="shared" si="293"/>
        <v>0</v>
      </c>
      <c r="V6313" s="3"/>
      <c r="W6313" s="3">
        <v>2014</v>
      </c>
      <c r="X6313" s="3">
        <v>11.12</v>
      </c>
    </row>
    <row r="6314" spans="1:24" ht="114.75">
      <c r="A6314" s="3" t="s">
        <v>13721</v>
      </c>
      <c r="B6314" s="6" t="s">
        <v>361</v>
      </c>
      <c r="C6314" s="6" t="s">
        <v>6730</v>
      </c>
      <c r="D6314" s="6" t="s">
        <v>6731</v>
      </c>
      <c r="E6314" s="6" t="s">
        <v>6732</v>
      </c>
      <c r="F6314" s="9" t="s">
        <v>6733</v>
      </c>
      <c r="G6314" s="57" t="s">
        <v>11449</v>
      </c>
      <c r="H6314" s="185">
        <v>0</v>
      </c>
      <c r="I6314" s="16">
        <v>470000000</v>
      </c>
      <c r="J6314" s="56" t="s">
        <v>229</v>
      </c>
      <c r="K6314" s="57" t="s">
        <v>642</v>
      </c>
      <c r="L6314" s="12" t="s">
        <v>404</v>
      </c>
      <c r="M6314" s="3" t="s">
        <v>230</v>
      </c>
      <c r="N6314" s="8" t="s">
        <v>8899</v>
      </c>
      <c r="O6314" s="6" t="s">
        <v>365</v>
      </c>
      <c r="P6314" s="58">
        <v>796</v>
      </c>
      <c r="Q6314" s="31" t="s">
        <v>234</v>
      </c>
      <c r="R6314" s="27">
        <v>139</v>
      </c>
      <c r="S6314" s="59">
        <f>21430*1.07</f>
        <v>22930.100000000002</v>
      </c>
      <c r="T6314" s="4">
        <f>R6314*S6314</f>
        <v>3187283.9000000004</v>
      </c>
      <c r="U6314" s="4">
        <f>T6314*1.12</f>
        <v>3569757.9680000008</v>
      </c>
      <c r="V6314" s="3"/>
      <c r="W6314" s="3">
        <v>2014</v>
      </c>
      <c r="X6314" s="3"/>
    </row>
    <row r="6315" spans="1:24" ht="191.25">
      <c r="A6315" s="3" t="s">
        <v>2632</v>
      </c>
      <c r="B6315" s="6" t="s">
        <v>361</v>
      </c>
      <c r="C6315" s="6" t="s">
        <v>6734</v>
      </c>
      <c r="D6315" s="6" t="s">
        <v>4843</v>
      </c>
      <c r="E6315" s="6" t="s">
        <v>6735</v>
      </c>
      <c r="F6315" s="9" t="s">
        <v>6736</v>
      </c>
      <c r="G6315" s="57" t="s">
        <v>11449</v>
      </c>
      <c r="H6315" s="185">
        <v>0</v>
      </c>
      <c r="I6315" s="16">
        <v>470000000</v>
      </c>
      <c r="J6315" s="56" t="s">
        <v>229</v>
      </c>
      <c r="K6315" s="57" t="s">
        <v>641</v>
      </c>
      <c r="L6315" s="57" t="s">
        <v>364</v>
      </c>
      <c r="M6315" s="3" t="s">
        <v>230</v>
      </c>
      <c r="N6315" s="8" t="s">
        <v>8899</v>
      </c>
      <c r="O6315" s="6" t="s">
        <v>365</v>
      </c>
      <c r="P6315" s="58">
        <v>796</v>
      </c>
      <c r="Q6315" s="31" t="s">
        <v>234</v>
      </c>
      <c r="R6315" s="27">
        <v>71</v>
      </c>
      <c r="S6315" s="59">
        <f>25890*1.07</f>
        <v>27702.300000000003</v>
      </c>
      <c r="T6315" s="4">
        <v>0</v>
      </c>
      <c r="U6315" s="4">
        <f t="shared" si="293"/>
        <v>0</v>
      </c>
      <c r="V6315" s="3"/>
      <c r="W6315" s="3">
        <v>2014</v>
      </c>
      <c r="X6315" s="3">
        <v>11.12</v>
      </c>
    </row>
    <row r="6316" spans="1:24" ht="191.25">
      <c r="A6316" s="3" t="s">
        <v>13722</v>
      </c>
      <c r="B6316" s="6" t="s">
        <v>361</v>
      </c>
      <c r="C6316" s="6" t="s">
        <v>6734</v>
      </c>
      <c r="D6316" s="6" t="s">
        <v>4843</v>
      </c>
      <c r="E6316" s="6" t="s">
        <v>6735</v>
      </c>
      <c r="F6316" s="9" t="s">
        <v>6736</v>
      </c>
      <c r="G6316" s="57" t="s">
        <v>11449</v>
      </c>
      <c r="H6316" s="185">
        <v>0</v>
      </c>
      <c r="I6316" s="16">
        <v>470000000</v>
      </c>
      <c r="J6316" s="56" t="s">
        <v>229</v>
      </c>
      <c r="K6316" s="57" t="s">
        <v>642</v>
      </c>
      <c r="L6316" s="12" t="s">
        <v>404</v>
      </c>
      <c r="M6316" s="3" t="s">
        <v>230</v>
      </c>
      <c r="N6316" s="8" t="s">
        <v>8899</v>
      </c>
      <c r="O6316" s="6" t="s">
        <v>365</v>
      </c>
      <c r="P6316" s="58">
        <v>796</v>
      </c>
      <c r="Q6316" s="31" t="s">
        <v>234</v>
      </c>
      <c r="R6316" s="27">
        <v>71</v>
      </c>
      <c r="S6316" s="59">
        <f>25890*1.07</f>
        <v>27702.300000000003</v>
      </c>
      <c r="T6316" s="4">
        <f>R6316*S6316</f>
        <v>1966863.3000000003</v>
      </c>
      <c r="U6316" s="4">
        <f>T6316*1.12</f>
        <v>2202886.8960000006</v>
      </c>
      <c r="V6316" s="3"/>
      <c r="W6316" s="3">
        <v>2014</v>
      </c>
      <c r="X6316" s="3"/>
    </row>
    <row r="6317" spans="1:24" ht="191.25">
      <c r="A6317" s="3" t="s">
        <v>2633</v>
      </c>
      <c r="B6317" s="6" t="s">
        <v>361</v>
      </c>
      <c r="C6317" s="6" t="s">
        <v>6737</v>
      </c>
      <c r="D6317" s="6" t="s">
        <v>4843</v>
      </c>
      <c r="E6317" s="6" t="s">
        <v>6738</v>
      </c>
      <c r="F6317" s="9" t="s">
        <v>6739</v>
      </c>
      <c r="G6317" s="57" t="s">
        <v>11449</v>
      </c>
      <c r="H6317" s="185">
        <v>0</v>
      </c>
      <c r="I6317" s="16">
        <v>470000000</v>
      </c>
      <c r="J6317" s="56" t="s">
        <v>229</v>
      </c>
      <c r="K6317" s="57" t="s">
        <v>641</v>
      </c>
      <c r="L6317" s="57" t="s">
        <v>364</v>
      </c>
      <c r="M6317" s="3" t="s">
        <v>230</v>
      </c>
      <c r="N6317" s="8" t="s">
        <v>8899</v>
      </c>
      <c r="O6317" s="6" t="s">
        <v>365</v>
      </c>
      <c r="P6317" s="58">
        <v>796</v>
      </c>
      <c r="Q6317" s="31" t="s">
        <v>234</v>
      </c>
      <c r="R6317" s="27">
        <v>297</v>
      </c>
      <c r="S6317" s="59">
        <f>37050*1.07</f>
        <v>39643.5</v>
      </c>
      <c r="T6317" s="4">
        <v>0</v>
      </c>
      <c r="U6317" s="4">
        <f t="shared" si="293"/>
        <v>0</v>
      </c>
      <c r="V6317" s="3"/>
      <c r="W6317" s="3">
        <v>2014</v>
      </c>
      <c r="X6317" s="3">
        <v>11.12</v>
      </c>
    </row>
    <row r="6318" spans="1:24" ht="191.25">
      <c r="A6318" s="3" t="s">
        <v>13723</v>
      </c>
      <c r="B6318" s="6" t="s">
        <v>361</v>
      </c>
      <c r="C6318" s="6" t="s">
        <v>6737</v>
      </c>
      <c r="D6318" s="6" t="s">
        <v>4843</v>
      </c>
      <c r="E6318" s="6" t="s">
        <v>6738</v>
      </c>
      <c r="F6318" s="9" t="s">
        <v>6739</v>
      </c>
      <c r="G6318" s="57" t="s">
        <v>11449</v>
      </c>
      <c r="H6318" s="185">
        <v>0</v>
      </c>
      <c r="I6318" s="16">
        <v>470000000</v>
      </c>
      <c r="J6318" s="56" t="s">
        <v>229</v>
      </c>
      <c r="K6318" s="57" t="s">
        <v>642</v>
      </c>
      <c r="L6318" s="12" t="s">
        <v>404</v>
      </c>
      <c r="M6318" s="3" t="s">
        <v>230</v>
      </c>
      <c r="N6318" s="8" t="s">
        <v>8899</v>
      </c>
      <c r="O6318" s="6" t="s">
        <v>365</v>
      </c>
      <c r="P6318" s="58">
        <v>796</v>
      </c>
      <c r="Q6318" s="31" t="s">
        <v>234</v>
      </c>
      <c r="R6318" s="27">
        <v>297</v>
      </c>
      <c r="S6318" s="59">
        <f>37050*1.07</f>
        <v>39643.5</v>
      </c>
      <c r="T6318" s="4">
        <f>R6318*S6318</f>
        <v>11774119.5</v>
      </c>
      <c r="U6318" s="4">
        <f>T6318*1.12</f>
        <v>13187013.840000002</v>
      </c>
      <c r="V6318" s="3"/>
      <c r="W6318" s="3">
        <v>2014</v>
      </c>
      <c r="X6318" s="3"/>
    </row>
    <row r="6319" spans="1:24" ht="191.25">
      <c r="A6319" s="3" t="s">
        <v>2634</v>
      </c>
      <c r="B6319" s="6" t="s">
        <v>361</v>
      </c>
      <c r="C6319" s="6" t="s">
        <v>6740</v>
      </c>
      <c r="D6319" s="6" t="s">
        <v>4843</v>
      </c>
      <c r="E6319" s="6" t="s">
        <v>6741</v>
      </c>
      <c r="F6319" s="9" t="s">
        <v>6742</v>
      </c>
      <c r="G6319" s="57" t="s">
        <v>11449</v>
      </c>
      <c r="H6319" s="185">
        <v>0</v>
      </c>
      <c r="I6319" s="16">
        <v>470000000</v>
      </c>
      <c r="J6319" s="56" t="s">
        <v>229</v>
      </c>
      <c r="K6319" s="57" t="s">
        <v>641</v>
      </c>
      <c r="L6319" s="57" t="s">
        <v>364</v>
      </c>
      <c r="M6319" s="3" t="s">
        <v>230</v>
      </c>
      <c r="N6319" s="8" t="s">
        <v>8899</v>
      </c>
      <c r="O6319" s="6" t="s">
        <v>365</v>
      </c>
      <c r="P6319" s="58">
        <v>796</v>
      </c>
      <c r="Q6319" s="31" t="s">
        <v>234</v>
      </c>
      <c r="R6319" s="27">
        <v>10</v>
      </c>
      <c r="S6319" s="59">
        <f>36450*1.07</f>
        <v>39001.5</v>
      </c>
      <c r="T6319" s="4">
        <v>0</v>
      </c>
      <c r="U6319" s="4">
        <f t="shared" si="293"/>
        <v>0</v>
      </c>
      <c r="V6319" s="3"/>
      <c r="W6319" s="3">
        <v>2014</v>
      </c>
      <c r="X6319" s="3">
        <v>11.12</v>
      </c>
    </row>
    <row r="6320" spans="1:24" ht="191.25">
      <c r="A6320" s="3" t="s">
        <v>13724</v>
      </c>
      <c r="B6320" s="6" t="s">
        <v>361</v>
      </c>
      <c r="C6320" s="6" t="s">
        <v>6740</v>
      </c>
      <c r="D6320" s="6" t="s">
        <v>4843</v>
      </c>
      <c r="E6320" s="6" t="s">
        <v>6741</v>
      </c>
      <c r="F6320" s="9" t="s">
        <v>6742</v>
      </c>
      <c r="G6320" s="57" t="s">
        <v>11449</v>
      </c>
      <c r="H6320" s="185">
        <v>0</v>
      </c>
      <c r="I6320" s="16">
        <v>470000000</v>
      </c>
      <c r="J6320" s="56" t="s">
        <v>229</v>
      </c>
      <c r="K6320" s="57" t="s">
        <v>642</v>
      </c>
      <c r="L6320" s="12" t="s">
        <v>404</v>
      </c>
      <c r="M6320" s="3" t="s">
        <v>230</v>
      </c>
      <c r="N6320" s="8" t="s">
        <v>8899</v>
      </c>
      <c r="O6320" s="6" t="s">
        <v>365</v>
      </c>
      <c r="P6320" s="58">
        <v>796</v>
      </c>
      <c r="Q6320" s="31" t="s">
        <v>234</v>
      </c>
      <c r="R6320" s="27">
        <v>10</v>
      </c>
      <c r="S6320" s="59">
        <f>36450*1.07</f>
        <v>39001.5</v>
      </c>
      <c r="T6320" s="4">
        <f>R6320*S6320</f>
        <v>390015</v>
      </c>
      <c r="U6320" s="4">
        <f>T6320*1.12</f>
        <v>436816.80000000005</v>
      </c>
      <c r="V6320" s="3"/>
      <c r="W6320" s="3">
        <v>2014</v>
      </c>
      <c r="X6320" s="3"/>
    </row>
    <row r="6321" spans="1:24" ht="114.75">
      <c r="A6321" s="3" t="s">
        <v>2635</v>
      </c>
      <c r="B6321" s="6" t="s">
        <v>361</v>
      </c>
      <c r="C6321" s="6" t="s">
        <v>6743</v>
      </c>
      <c r="D6321" s="6" t="s">
        <v>6731</v>
      </c>
      <c r="E6321" s="6" t="s">
        <v>6744</v>
      </c>
      <c r="F6321" s="9" t="s">
        <v>6745</v>
      </c>
      <c r="G6321" s="57" t="s">
        <v>11449</v>
      </c>
      <c r="H6321" s="185">
        <v>0</v>
      </c>
      <c r="I6321" s="16">
        <v>470000000</v>
      </c>
      <c r="J6321" s="56" t="s">
        <v>229</v>
      </c>
      <c r="K6321" s="57" t="s">
        <v>641</v>
      </c>
      <c r="L6321" s="57" t="s">
        <v>364</v>
      </c>
      <c r="M6321" s="3" t="s">
        <v>230</v>
      </c>
      <c r="N6321" s="8" t="s">
        <v>8899</v>
      </c>
      <c r="O6321" s="6" t="s">
        <v>365</v>
      </c>
      <c r="P6321" s="58">
        <v>796</v>
      </c>
      <c r="Q6321" s="31" t="s">
        <v>234</v>
      </c>
      <c r="R6321" s="27">
        <v>138</v>
      </c>
      <c r="S6321" s="59">
        <f>43750*1.07</f>
        <v>46812.5</v>
      </c>
      <c r="T6321" s="4">
        <v>0</v>
      </c>
      <c r="U6321" s="4">
        <f t="shared" si="293"/>
        <v>0</v>
      </c>
      <c r="V6321" s="3"/>
      <c r="W6321" s="3">
        <v>2014</v>
      </c>
      <c r="X6321" s="3">
        <v>11.12</v>
      </c>
    </row>
    <row r="6322" spans="1:24" ht="114.75">
      <c r="A6322" s="3" t="s">
        <v>13725</v>
      </c>
      <c r="B6322" s="6" t="s">
        <v>361</v>
      </c>
      <c r="C6322" s="6" t="s">
        <v>6743</v>
      </c>
      <c r="D6322" s="6" t="s">
        <v>6731</v>
      </c>
      <c r="E6322" s="6" t="s">
        <v>6744</v>
      </c>
      <c r="F6322" s="9" t="s">
        <v>6745</v>
      </c>
      <c r="G6322" s="57" t="s">
        <v>11449</v>
      </c>
      <c r="H6322" s="185">
        <v>0</v>
      </c>
      <c r="I6322" s="16">
        <v>470000000</v>
      </c>
      <c r="J6322" s="56" t="s">
        <v>229</v>
      </c>
      <c r="K6322" s="57" t="s">
        <v>642</v>
      </c>
      <c r="L6322" s="12" t="s">
        <v>404</v>
      </c>
      <c r="M6322" s="3" t="s">
        <v>230</v>
      </c>
      <c r="N6322" s="8" t="s">
        <v>8899</v>
      </c>
      <c r="O6322" s="6" t="s">
        <v>365</v>
      </c>
      <c r="P6322" s="58">
        <v>796</v>
      </c>
      <c r="Q6322" s="31" t="s">
        <v>234</v>
      </c>
      <c r="R6322" s="27">
        <v>138</v>
      </c>
      <c r="S6322" s="59">
        <f>43750*1.07</f>
        <v>46812.5</v>
      </c>
      <c r="T6322" s="4">
        <f>R6322*S6322</f>
        <v>6460125</v>
      </c>
      <c r="U6322" s="4">
        <f>T6322*1.12</f>
        <v>7235340.0000000009</v>
      </c>
      <c r="V6322" s="3"/>
      <c r="W6322" s="3">
        <v>2014</v>
      </c>
      <c r="X6322" s="3"/>
    </row>
    <row r="6323" spans="1:24" ht="114.75">
      <c r="A6323" s="3" t="s">
        <v>2636</v>
      </c>
      <c r="B6323" s="6" t="s">
        <v>361</v>
      </c>
      <c r="C6323" s="6" t="s">
        <v>6746</v>
      </c>
      <c r="D6323" s="6" t="s">
        <v>4843</v>
      </c>
      <c r="E6323" s="6" t="s">
        <v>6747</v>
      </c>
      <c r="F6323" s="9" t="s">
        <v>6748</v>
      </c>
      <c r="G6323" s="57" t="s">
        <v>11449</v>
      </c>
      <c r="H6323" s="185">
        <v>0</v>
      </c>
      <c r="I6323" s="16">
        <v>470000000</v>
      </c>
      <c r="J6323" s="56" t="s">
        <v>229</v>
      </c>
      <c r="K6323" s="57" t="s">
        <v>641</v>
      </c>
      <c r="L6323" s="57" t="s">
        <v>364</v>
      </c>
      <c r="M6323" s="3" t="s">
        <v>230</v>
      </c>
      <c r="N6323" s="8" t="s">
        <v>8899</v>
      </c>
      <c r="O6323" s="6" t="s">
        <v>365</v>
      </c>
      <c r="P6323" s="58">
        <v>796</v>
      </c>
      <c r="Q6323" s="31" t="s">
        <v>234</v>
      </c>
      <c r="R6323" s="27">
        <v>41</v>
      </c>
      <c r="S6323" s="59">
        <f>59820*1.07</f>
        <v>64007.4</v>
      </c>
      <c r="T6323" s="4">
        <v>0</v>
      </c>
      <c r="U6323" s="4">
        <f t="shared" si="293"/>
        <v>0</v>
      </c>
      <c r="V6323" s="3"/>
      <c r="W6323" s="3">
        <v>2014</v>
      </c>
      <c r="X6323" s="3">
        <v>11.12</v>
      </c>
    </row>
    <row r="6324" spans="1:24" ht="114.75">
      <c r="A6324" s="3" t="s">
        <v>13726</v>
      </c>
      <c r="B6324" s="6" t="s">
        <v>361</v>
      </c>
      <c r="C6324" s="6" t="s">
        <v>6746</v>
      </c>
      <c r="D6324" s="6" t="s">
        <v>4843</v>
      </c>
      <c r="E6324" s="6" t="s">
        <v>6747</v>
      </c>
      <c r="F6324" s="9" t="s">
        <v>6748</v>
      </c>
      <c r="G6324" s="57" t="s">
        <v>11449</v>
      </c>
      <c r="H6324" s="185">
        <v>0</v>
      </c>
      <c r="I6324" s="16">
        <v>470000000</v>
      </c>
      <c r="J6324" s="56" t="s">
        <v>229</v>
      </c>
      <c r="K6324" s="57" t="s">
        <v>642</v>
      </c>
      <c r="L6324" s="12" t="s">
        <v>404</v>
      </c>
      <c r="M6324" s="3" t="s">
        <v>230</v>
      </c>
      <c r="N6324" s="8" t="s">
        <v>8899</v>
      </c>
      <c r="O6324" s="6" t="s">
        <v>365</v>
      </c>
      <c r="P6324" s="58">
        <v>796</v>
      </c>
      <c r="Q6324" s="31" t="s">
        <v>234</v>
      </c>
      <c r="R6324" s="27">
        <v>41</v>
      </c>
      <c r="S6324" s="59">
        <f>59820*1.07</f>
        <v>64007.4</v>
      </c>
      <c r="T6324" s="4">
        <f>R6324*S6324</f>
        <v>2624303.4</v>
      </c>
      <c r="U6324" s="4">
        <f>T6324*1.12</f>
        <v>2939219.8080000002</v>
      </c>
      <c r="V6324" s="3"/>
      <c r="W6324" s="3">
        <v>2014</v>
      </c>
      <c r="X6324" s="3"/>
    </row>
    <row r="6325" spans="1:24" ht="114.75">
      <c r="A6325" s="3" t="s">
        <v>2637</v>
      </c>
      <c r="B6325" s="6" t="s">
        <v>361</v>
      </c>
      <c r="C6325" s="6" t="s">
        <v>6749</v>
      </c>
      <c r="D6325" s="6" t="s">
        <v>4843</v>
      </c>
      <c r="E6325" s="6" t="s">
        <v>6750</v>
      </c>
      <c r="F6325" s="9" t="s">
        <v>6751</v>
      </c>
      <c r="G6325" s="57" t="s">
        <v>11449</v>
      </c>
      <c r="H6325" s="185">
        <v>0</v>
      </c>
      <c r="I6325" s="16">
        <v>470000000</v>
      </c>
      <c r="J6325" s="56" t="s">
        <v>229</v>
      </c>
      <c r="K6325" s="57" t="s">
        <v>641</v>
      </c>
      <c r="L6325" s="57" t="s">
        <v>364</v>
      </c>
      <c r="M6325" s="3" t="s">
        <v>230</v>
      </c>
      <c r="N6325" s="8" t="s">
        <v>8899</v>
      </c>
      <c r="O6325" s="6" t="s">
        <v>365</v>
      </c>
      <c r="P6325" s="58">
        <v>796</v>
      </c>
      <c r="Q6325" s="31" t="s">
        <v>234</v>
      </c>
      <c r="R6325" s="27">
        <v>23</v>
      </c>
      <c r="S6325" s="59">
        <f>65180*1.07</f>
        <v>69742.600000000006</v>
      </c>
      <c r="T6325" s="4">
        <v>0</v>
      </c>
      <c r="U6325" s="4">
        <f t="shared" si="293"/>
        <v>0</v>
      </c>
      <c r="V6325" s="3"/>
      <c r="W6325" s="3">
        <v>2014</v>
      </c>
      <c r="X6325" s="3">
        <v>11.12</v>
      </c>
    </row>
    <row r="6326" spans="1:24" ht="114.75">
      <c r="A6326" s="3" t="s">
        <v>13727</v>
      </c>
      <c r="B6326" s="6" t="s">
        <v>361</v>
      </c>
      <c r="C6326" s="6" t="s">
        <v>6749</v>
      </c>
      <c r="D6326" s="6" t="s">
        <v>4843</v>
      </c>
      <c r="E6326" s="6" t="s">
        <v>6750</v>
      </c>
      <c r="F6326" s="9" t="s">
        <v>6751</v>
      </c>
      <c r="G6326" s="57" t="s">
        <v>11449</v>
      </c>
      <c r="H6326" s="185">
        <v>0</v>
      </c>
      <c r="I6326" s="16">
        <v>470000000</v>
      </c>
      <c r="J6326" s="56" t="s">
        <v>229</v>
      </c>
      <c r="K6326" s="57" t="s">
        <v>642</v>
      </c>
      <c r="L6326" s="12" t="s">
        <v>404</v>
      </c>
      <c r="M6326" s="3" t="s">
        <v>230</v>
      </c>
      <c r="N6326" s="8" t="s">
        <v>8899</v>
      </c>
      <c r="O6326" s="6" t="s">
        <v>365</v>
      </c>
      <c r="P6326" s="58">
        <v>796</v>
      </c>
      <c r="Q6326" s="31" t="s">
        <v>234</v>
      </c>
      <c r="R6326" s="27">
        <v>23</v>
      </c>
      <c r="S6326" s="59">
        <f>65180*1.07</f>
        <v>69742.600000000006</v>
      </c>
      <c r="T6326" s="4">
        <f>R6326*S6326</f>
        <v>1604079.8</v>
      </c>
      <c r="U6326" s="4">
        <f>T6326*1.12</f>
        <v>1796569.3760000002</v>
      </c>
      <c r="V6326" s="3"/>
      <c r="W6326" s="3">
        <v>2014</v>
      </c>
      <c r="X6326" s="3"/>
    </row>
    <row r="6327" spans="1:24" ht="114.75">
      <c r="A6327" s="3" t="s">
        <v>2638</v>
      </c>
      <c r="B6327" s="6" t="s">
        <v>361</v>
      </c>
      <c r="C6327" s="6" t="s">
        <v>6752</v>
      </c>
      <c r="D6327" s="6" t="s">
        <v>4843</v>
      </c>
      <c r="E6327" s="6" t="s">
        <v>6753</v>
      </c>
      <c r="F6327" s="9" t="s">
        <v>6754</v>
      </c>
      <c r="G6327" s="57" t="s">
        <v>11449</v>
      </c>
      <c r="H6327" s="185">
        <v>0</v>
      </c>
      <c r="I6327" s="16">
        <v>470000000</v>
      </c>
      <c r="J6327" s="56" t="s">
        <v>229</v>
      </c>
      <c r="K6327" s="57" t="s">
        <v>641</v>
      </c>
      <c r="L6327" s="57" t="s">
        <v>364</v>
      </c>
      <c r="M6327" s="3" t="s">
        <v>230</v>
      </c>
      <c r="N6327" s="8" t="s">
        <v>8899</v>
      </c>
      <c r="O6327" s="6" t="s">
        <v>365</v>
      </c>
      <c r="P6327" s="58">
        <v>796</v>
      </c>
      <c r="Q6327" s="31" t="s">
        <v>234</v>
      </c>
      <c r="R6327" s="31">
        <v>22</v>
      </c>
      <c r="S6327" s="59">
        <f>83930*1.07</f>
        <v>89805.1</v>
      </c>
      <c r="T6327" s="4">
        <v>0</v>
      </c>
      <c r="U6327" s="4">
        <f t="shared" si="293"/>
        <v>0</v>
      </c>
      <c r="V6327" s="3"/>
      <c r="W6327" s="3">
        <v>2014</v>
      </c>
      <c r="X6327" s="3">
        <v>11.12</v>
      </c>
    </row>
    <row r="6328" spans="1:24" ht="114.75">
      <c r="A6328" s="3" t="s">
        <v>13728</v>
      </c>
      <c r="B6328" s="6" t="s">
        <v>361</v>
      </c>
      <c r="C6328" s="6" t="s">
        <v>6752</v>
      </c>
      <c r="D6328" s="6" t="s">
        <v>4843</v>
      </c>
      <c r="E6328" s="6" t="s">
        <v>6753</v>
      </c>
      <c r="F6328" s="9" t="s">
        <v>6754</v>
      </c>
      <c r="G6328" s="57" t="s">
        <v>11449</v>
      </c>
      <c r="H6328" s="185">
        <v>0</v>
      </c>
      <c r="I6328" s="16">
        <v>470000000</v>
      </c>
      <c r="J6328" s="56" t="s">
        <v>229</v>
      </c>
      <c r="K6328" s="57" t="s">
        <v>642</v>
      </c>
      <c r="L6328" s="12" t="s">
        <v>404</v>
      </c>
      <c r="M6328" s="3" t="s">
        <v>230</v>
      </c>
      <c r="N6328" s="8" t="s">
        <v>8899</v>
      </c>
      <c r="O6328" s="6" t="s">
        <v>365</v>
      </c>
      <c r="P6328" s="58">
        <v>796</v>
      </c>
      <c r="Q6328" s="31" t="s">
        <v>234</v>
      </c>
      <c r="R6328" s="31">
        <v>22</v>
      </c>
      <c r="S6328" s="59">
        <f>83930*1.07</f>
        <v>89805.1</v>
      </c>
      <c r="T6328" s="4">
        <f>R6328*S6328</f>
        <v>1975712.2000000002</v>
      </c>
      <c r="U6328" s="4">
        <f>T6328*1.12</f>
        <v>2212797.6640000003</v>
      </c>
      <c r="V6328" s="3"/>
      <c r="W6328" s="3">
        <v>2014</v>
      </c>
      <c r="X6328" s="3"/>
    </row>
    <row r="6329" spans="1:24" ht="114.75">
      <c r="A6329" s="3" t="s">
        <v>2639</v>
      </c>
      <c r="B6329" s="6" t="s">
        <v>361</v>
      </c>
      <c r="C6329" s="6" t="s">
        <v>6762</v>
      </c>
      <c r="D6329" s="6" t="s">
        <v>4843</v>
      </c>
      <c r="E6329" s="6" t="s">
        <v>6763</v>
      </c>
      <c r="F6329" s="9" t="s">
        <v>6755</v>
      </c>
      <c r="G6329" s="57" t="s">
        <v>11449</v>
      </c>
      <c r="H6329" s="185">
        <v>0</v>
      </c>
      <c r="I6329" s="16">
        <v>470000000</v>
      </c>
      <c r="J6329" s="56" t="s">
        <v>229</v>
      </c>
      <c r="K6329" s="57" t="s">
        <v>641</v>
      </c>
      <c r="L6329" s="57" t="s">
        <v>364</v>
      </c>
      <c r="M6329" s="3" t="s">
        <v>230</v>
      </c>
      <c r="N6329" s="8" t="s">
        <v>8899</v>
      </c>
      <c r="O6329" s="6" t="s">
        <v>365</v>
      </c>
      <c r="P6329" s="58">
        <v>796</v>
      </c>
      <c r="Q6329" s="31" t="s">
        <v>234</v>
      </c>
      <c r="R6329" s="27">
        <v>2</v>
      </c>
      <c r="S6329" s="59">
        <f>214290*1.07</f>
        <v>229290.30000000002</v>
      </c>
      <c r="T6329" s="4">
        <v>0</v>
      </c>
      <c r="U6329" s="4">
        <f t="shared" si="293"/>
        <v>0</v>
      </c>
      <c r="V6329" s="3"/>
      <c r="W6329" s="3">
        <v>2014</v>
      </c>
      <c r="X6329" s="3">
        <v>11.12</v>
      </c>
    </row>
    <row r="6330" spans="1:24" ht="114.75">
      <c r="A6330" s="3" t="s">
        <v>13729</v>
      </c>
      <c r="B6330" s="6" t="s">
        <v>361</v>
      </c>
      <c r="C6330" s="6" t="s">
        <v>6762</v>
      </c>
      <c r="D6330" s="6" t="s">
        <v>4843</v>
      </c>
      <c r="E6330" s="6" t="s">
        <v>6763</v>
      </c>
      <c r="F6330" s="9" t="s">
        <v>6755</v>
      </c>
      <c r="G6330" s="57" t="s">
        <v>11449</v>
      </c>
      <c r="H6330" s="185">
        <v>0</v>
      </c>
      <c r="I6330" s="16">
        <v>470000000</v>
      </c>
      <c r="J6330" s="56" t="s">
        <v>229</v>
      </c>
      <c r="K6330" s="57" t="s">
        <v>642</v>
      </c>
      <c r="L6330" s="12" t="s">
        <v>404</v>
      </c>
      <c r="M6330" s="3" t="s">
        <v>230</v>
      </c>
      <c r="N6330" s="8" t="s">
        <v>8899</v>
      </c>
      <c r="O6330" s="6" t="s">
        <v>365</v>
      </c>
      <c r="P6330" s="58">
        <v>796</v>
      </c>
      <c r="Q6330" s="31" t="s">
        <v>234</v>
      </c>
      <c r="R6330" s="27">
        <v>2</v>
      </c>
      <c r="S6330" s="59">
        <f>214290*1.07</f>
        <v>229290.30000000002</v>
      </c>
      <c r="T6330" s="4">
        <f>R6330*S6330</f>
        <v>458580.60000000003</v>
      </c>
      <c r="U6330" s="4">
        <f>T6330*1.12</f>
        <v>513610.27200000011</v>
      </c>
      <c r="V6330" s="3"/>
      <c r="W6330" s="3">
        <v>2014</v>
      </c>
      <c r="X6330" s="3"/>
    </row>
    <row r="6331" spans="1:24" ht="114.75">
      <c r="A6331" s="3" t="s">
        <v>2640</v>
      </c>
      <c r="B6331" s="6" t="s">
        <v>361</v>
      </c>
      <c r="C6331" s="6" t="s">
        <v>6756</v>
      </c>
      <c r="D6331" s="6" t="s">
        <v>4843</v>
      </c>
      <c r="E6331" s="6" t="s">
        <v>6757</v>
      </c>
      <c r="F6331" s="9" t="s">
        <v>6758</v>
      </c>
      <c r="G6331" s="57" t="s">
        <v>11449</v>
      </c>
      <c r="H6331" s="185">
        <v>0</v>
      </c>
      <c r="I6331" s="16">
        <v>470000000</v>
      </c>
      <c r="J6331" s="56" t="s">
        <v>229</v>
      </c>
      <c r="K6331" s="57" t="s">
        <v>641</v>
      </c>
      <c r="L6331" s="57" t="s">
        <v>364</v>
      </c>
      <c r="M6331" s="3" t="s">
        <v>230</v>
      </c>
      <c r="N6331" s="8" t="s">
        <v>8899</v>
      </c>
      <c r="O6331" s="6" t="s">
        <v>365</v>
      </c>
      <c r="P6331" s="58">
        <v>796</v>
      </c>
      <c r="Q6331" s="31" t="s">
        <v>234</v>
      </c>
      <c r="R6331" s="31">
        <v>13</v>
      </c>
      <c r="S6331" s="59">
        <f>154020*1.07</f>
        <v>164801.40000000002</v>
      </c>
      <c r="T6331" s="4">
        <v>0</v>
      </c>
      <c r="U6331" s="4">
        <f t="shared" si="293"/>
        <v>0</v>
      </c>
      <c r="V6331" s="3"/>
      <c r="W6331" s="3">
        <v>2014</v>
      </c>
      <c r="X6331" s="3">
        <v>11.12</v>
      </c>
    </row>
    <row r="6332" spans="1:24" ht="114.75">
      <c r="A6332" s="3" t="s">
        <v>13730</v>
      </c>
      <c r="B6332" s="6" t="s">
        <v>361</v>
      </c>
      <c r="C6332" s="6" t="s">
        <v>6756</v>
      </c>
      <c r="D6332" s="6" t="s">
        <v>4843</v>
      </c>
      <c r="E6332" s="6" t="s">
        <v>6757</v>
      </c>
      <c r="F6332" s="9" t="s">
        <v>6758</v>
      </c>
      <c r="G6332" s="57" t="s">
        <v>11449</v>
      </c>
      <c r="H6332" s="185">
        <v>0</v>
      </c>
      <c r="I6332" s="16">
        <v>470000000</v>
      </c>
      <c r="J6332" s="56" t="s">
        <v>229</v>
      </c>
      <c r="K6332" s="57" t="s">
        <v>642</v>
      </c>
      <c r="L6332" s="12" t="s">
        <v>404</v>
      </c>
      <c r="M6332" s="3" t="s">
        <v>230</v>
      </c>
      <c r="N6332" s="8" t="s">
        <v>8899</v>
      </c>
      <c r="O6332" s="6" t="s">
        <v>365</v>
      </c>
      <c r="P6332" s="58">
        <v>796</v>
      </c>
      <c r="Q6332" s="31" t="s">
        <v>234</v>
      </c>
      <c r="R6332" s="31">
        <v>13</v>
      </c>
      <c r="S6332" s="59">
        <f>154020*1.07</f>
        <v>164801.40000000002</v>
      </c>
      <c r="T6332" s="4">
        <f>R6332*S6332</f>
        <v>2142418.2000000002</v>
      </c>
      <c r="U6332" s="4">
        <f>T6332*1.12</f>
        <v>2399508.3840000005</v>
      </c>
      <c r="V6332" s="3"/>
      <c r="W6332" s="3">
        <v>2014</v>
      </c>
      <c r="X6332" s="3"/>
    </row>
    <row r="6333" spans="1:24" ht="114.75">
      <c r="A6333" s="3" t="s">
        <v>2641</v>
      </c>
      <c r="B6333" s="6" t="s">
        <v>361</v>
      </c>
      <c r="C6333" s="6" t="s">
        <v>6759</v>
      </c>
      <c r="D6333" s="6" t="s">
        <v>4843</v>
      </c>
      <c r="E6333" s="6" t="s">
        <v>6760</v>
      </c>
      <c r="F6333" s="9" t="s">
        <v>6761</v>
      </c>
      <c r="G6333" s="57" t="s">
        <v>11449</v>
      </c>
      <c r="H6333" s="185">
        <v>0</v>
      </c>
      <c r="I6333" s="16">
        <v>470000000</v>
      </c>
      <c r="J6333" s="56" t="s">
        <v>229</v>
      </c>
      <c r="K6333" s="57" t="s">
        <v>641</v>
      </c>
      <c r="L6333" s="57" t="s">
        <v>364</v>
      </c>
      <c r="M6333" s="3" t="s">
        <v>230</v>
      </c>
      <c r="N6333" s="8" t="s">
        <v>8899</v>
      </c>
      <c r="O6333" s="6" t="s">
        <v>365</v>
      </c>
      <c r="P6333" s="58">
        <v>796</v>
      </c>
      <c r="Q6333" s="31" t="s">
        <v>234</v>
      </c>
      <c r="R6333" s="31">
        <v>14</v>
      </c>
      <c r="S6333" s="59">
        <f>118750*1.07</f>
        <v>127062.50000000001</v>
      </c>
      <c r="T6333" s="4">
        <v>0</v>
      </c>
      <c r="U6333" s="4">
        <f t="shared" si="293"/>
        <v>0</v>
      </c>
      <c r="V6333" s="3"/>
      <c r="W6333" s="3">
        <v>2014</v>
      </c>
      <c r="X6333" s="3">
        <v>11.12</v>
      </c>
    </row>
    <row r="6334" spans="1:24" ht="114.75">
      <c r="A6334" s="3" t="s">
        <v>13731</v>
      </c>
      <c r="B6334" s="6" t="s">
        <v>361</v>
      </c>
      <c r="C6334" s="6" t="s">
        <v>6759</v>
      </c>
      <c r="D6334" s="6" t="s">
        <v>4843</v>
      </c>
      <c r="E6334" s="6" t="s">
        <v>6760</v>
      </c>
      <c r="F6334" s="9" t="s">
        <v>6761</v>
      </c>
      <c r="G6334" s="57" t="s">
        <v>11449</v>
      </c>
      <c r="H6334" s="185">
        <v>0</v>
      </c>
      <c r="I6334" s="16">
        <v>470000000</v>
      </c>
      <c r="J6334" s="56" t="s">
        <v>229</v>
      </c>
      <c r="K6334" s="57" t="s">
        <v>642</v>
      </c>
      <c r="L6334" s="12" t="s">
        <v>404</v>
      </c>
      <c r="M6334" s="3" t="s">
        <v>230</v>
      </c>
      <c r="N6334" s="8" t="s">
        <v>8899</v>
      </c>
      <c r="O6334" s="6" t="s">
        <v>365</v>
      </c>
      <c r="P6334" s="58">
        <v>796</v>
      </c>
      <c r="Q6334" s="31" t="s">
        <v>234</v>
      </c>
      <c r="R6334" s="31">
        <v>14</v>
      </c>
      <c r="S6334" s="59">
        <f>118750*1.07</f>
        <v>127062.50000000001</v>
      </c>
      <c r="T6334" s="4">
        <f>R6334*S6334</f>
        <v>1778875.0000000002</v>
      </c>
      <c r="U6334" s="4">
        <f>T6334*1.12</f>
        <v>1992340.0000000005</v>
      </c>
      <c r="V6334" s="3"/>
      <c r="W6334" s="3">
        <v>2014</v>
      </c>
      <c r="X6334" s="3"/>
    </row>
    <row r="6335" spans="1:24" ht="114.75">
      <c r="A6335" s="3" t="s">
        <v>10713</v>
      </c>
      <c r="B6335" s="6" t="s">
        <v>361</v>
      </c>
      <c r="C6335" s="6" t="s">
        <v>6762</v>
      </c>
      <c r="D6335" s="6" t="s">
        <v>4843</v>
      </c>
      <c r="E6335" s="6" t="s">
        <v>6763</v>
      </c>
      <c r="F6335" s="9" t="s">
        <v>6764</v>
      </c>
      <c r="G6335" s="57" t="s">
        <v>11449</v>
      </c>
      <c r="H6335" s="185">
        <v>0</v>
      </c>
      <c r="I6335" s="16">
        <v>470000000</v>
      </c>
      <c r="J6335" s="56" t="s">
        <v>229</v>
      </c>
      <c r="K6335" s="57" t="s">
        <v>641</v>
      </c>
      <c r="L6335" s="57" t="s">
        <v>364</v>
      </c>
      <c r="M6335" s="3" t="s">
        <v>230</v>
      </c>
      <c r="N6335" s="8" t="s">
        <v>8899</v>
      </c>
      <c r="O6335" s="6" t="s">
        <v>365</v>
      </c>
      <c r="P6335" s="58">
        <v>796</v>
      </c>
      <c r="Q6335" s="31" t="s">
        <v>234</v>
      </c>
      <c r="R6335" s="31">
        <v>8</v>
      </c>
      <c r="S6335" s="59">
        <f>104465*1.07</f>
        <v>111777.55</v>
      </c>
      <c r="T6335" s="4">
        <v>0</v>
      </c>
      <c r="U6335" s="4">
        <f t="shared" si="293"/>
        <v>0</v>
      </c>
      <c r="V6335" s="3"/>
      <c r="W6335" s="3">
        <v>2014</v>
      </c>
      <c r="X6335" s="3">
        <v>11.12</v>
      </c>
    </row>
    <row r="6336" spans="1:24" ht="114.75">
      <c r="A6336" s="3" t="s">
        <v>13732</v>
      </c>
      <c r="B6336" s="6" t="s">
        <v>361</v>
      </c>
      <c r="C6336" s="6" t="s">
        <v>6762</v>
      </c>
      <c r="D6336" s="6" t="s">
        <v>4843</v>
      </c>
      <c r="E6336" s="6" t="s">
        <v>6763</v>
      </c>
      <c r="F6336" s="9" t="s">
        <v>6764</v>
      </c>
      <c r="G6336" s="57" t="s">
        <v>11449</v>
      </c>
      <c r="H6336" s="185">
        <v>0</v>
      </c>
      <c r="I6336" s="16">
        <v>470000000</v>
      </c>
      <c r="J6336" s="56" t="s">
        <v>229</v>
      </c>
      <c r="K6336" s="57" t="s">
        <v>642</v>
      </c>
      <c r="L6336" s="12" t="s">
        <v>404</v>
      </c>
      <c r="M6336" s="3" t="s">
        <v>230</v>
      </c>
      <c r="N6336" s="8" t="s">
        <v>8899</v>
      </c>
      <c r="O6336" s="6" t="s">
        <v>365</v>
      </c>
      <c r="P6336" s="58">
        <v>796</v>
      </c>
      <c r="Q6336" s="31" t="s">
        <v>234</v>
      </c>
      <c r="R6336" s="31">
        <v>8</v>
      </c>
      <c r="S6336" s="59">
        <f>104465*1.07</f>
        <v>111777.55</v>
      </c>
      <c r="T6336" s="4">
        <v>0</v>
      </c>
      <c r="U6336" s="4">
        <f>T6336*1.12</f>
        <v>0</v>
      </c>
      <c r="V6336" s="3"/>
      <c r="W6336" s="3">
        <v>2014</v>
      </c>
      <c r="X6336" s="3" t="s">
        <v>14785</v>
      </c>
    </row>
    <row r="6337" spans="1:24" ht="114.75">
      <c r="A6337" s="3" t="s">
        <v>17106</v>
      </c>
      <c r="B6337" s="6" t="s">
        <v>361</v>
      </c>
      <c r="C6337" s="6" t="s">
        <v>6762</v>
      </c>
      <c r="D6337" s="6" t="s">
        <v>4843</v>
      </c>
      <c r="E6337" s="6" t="s">
        <v>6763</v>
      </c>
      <c r="F6337" s="9" t="s">
        <v>6764</v>
      </c>
      <c r="G6337" s="3" t="s">
        <v>11449</v>
      </c>
      <c r="H6337" s="185">
        <v>0</v>
      </c>
      <c r="I6337" s="16">
        <v>470000000</v>
      </c>
      <c r="J6337" s="56" t="s">
        <v>229</v>
      </c>
      <c r="K6337" s="57" t="s">
        <v>8950</v>
      </c>
      <c r="L6337" s="12" t="s">
        <v>404</v>
      </c>
      <c r="M6337" s="3" t="s">
        <v>230</v>
      </c>
      <c r="N6337" s="8" t="s">
        <v>8899</v>
      </c>
      <c r="O6337" s="6" t="s">
        <v>365</v>
      </c>
      <c r="P6337" s="58">
        <v>796</v>
      </c>
      <c r="Q6337" s="31" t="s">
        <v>234</v>
      </c>
      <c r="R6337" s="31">
        <v>8</v>
      </c>
      <c r="S6337" s="59">
        <v>134133.06</v>
      </c>
      <c r="T6337" s="4">
        <f>R6337*S6337</f>
        <v>1073064.48</v>
      </c>
      <c r="U6337" s="4">
        <f>T6337*1.12</f>
        <v>1201832.2176000001</v>
      </c>
      <c r="V6337" s="3"/>
      <c r="W6337" s="3">
        <v>2014</v>
      </c>
      <c r="X6337" s="3"/>
    </row>
    <row r="6338" spans="1:24" ht="114.75">
      <c r="A6338" s="3" t="s">
        <v>10714</v>
      </c>
      <c r="B6338" s="6" t="s">
        <v>361</v>
      </c>
      <c r="C6338" s="6" t="s">
        <v>6765</v>
      </c>
      <c r="D6338" s="6" t="s">
        <v>4843</v>
      </c>
      <c r="E6338" s="6" t="s">
        <v>6766</v>
      </c>
      <c r="F6338" s="9" t="s">
        <v>6767</v>
      </c>
      <c r="G6338" s="57" t="s">
        <v>11449</v>
      </c>
      <c r="H6338" s="185">
        <v>0</v>
      </c>
      <c r="I6338" s="16">
        <v>470000000</v>
      </c>
      <c r="J6338" s="56" t="s">
        <v>229</v>
      </c>
      <c r="K6338" s="57" t="s">
        <v>641</v>
      </c>
      <c r="L6338" s="57" t="s">
        <v>364</v>
      </c>
      <c r="M6338" s="3" t="s">
        <v>230</v>
      </c>
      <c r="N6338" s="8" t="s">
        <v>8899</v>
      </c>
      <c r="O6338" s="6" t="s">
        <v>365</v>
      </c>
      <c r="P6338" s="58">
        <v>796</v>
      </c>
      <c r="Q6338" s="31" t="s">
        <v>234</v>
      </c>
      <c r="R6338" s="31">
        <v>8</v>
      </c>
      <c r="S6338" s="59">
        <f>50895*1.07</f>
        <v>54457.65</v>
      </c>
      <c r="T6338" s="4">
        <v>0</v>
      </c>
      <c r="U6338" s="4">
        <f t="shared" si="293"/>
        <v>0</v>
      </c>
      <c r="V6338" s="3"/>
      <c r="W6338" s="3">
        <v>2014</v>
      </c>
      <c r="X6338" s="3">
        <v>11.12</v>
      </c>
    </row>
    <row r="6339" spans="1:24" ht="114.75">
      <c r="A6339" s="3" t="s">
        <v>13733</v>
      </c>
      <c r="B6339" s="6" t="s">
        <v>361</v>
      </c>
      <c r="C6339" s="6" t="s">
        <v>6765</v>
      </c>
      <c r="D6339" s="6" t="s">
        <v>4843</v>
      </c>
      <c r="E6339" s="6" t="s">
        <v>6766</v>
      </c>
      <c r="F6339" s="9" t="s">
        <v>6767</v>
      </c>
      <c r="G6339" s="57" t="s">
        <v>11449</v>
      </c>
      <c r="H6339" s="185">
        <v>0</v>
      </c>
      <c r="I6339" s="16">
        <v>470000000</v>
      </c>
      <c r="J6339" s="56" t="s">
        <v>229</v>
      </c>
      <c r="K6339" s="57" t="s">
        <v>642</v>
      </c>
      <c r="L6339" s="12" t="s">
        <v>404</v>
      </c>
      <c r="M6339" s="3" t="s">
        <v>230</v>
      </c>
      <c r="N6339" s="8" t="s">
        <v>8899</v>
      </c>
      <c r="O6339" s="6" t="s">
        <v>365</v>
      </c>
      <c r="P6339" s="58">
        <v>796</v>
      </c>
      <c r="Q6339" s="31" t="s">
        <v>234</v>
      </c>
      <c r="R6339" s="31">
        <v>8</v>
      </c>
      <c r="S6339" s="59">
        <f>50895*1.07</f>
        <v>54457.65</v>
      </c>
      <c r="T6339" s="4">
        <v>0</v>
      </c>
      <c r="U6339" s="4">
        <f>T6339*1.12</f>
        <v>0</v>
      </c>
      <c r="V6339" s="3"/>
      <c r="W6339" s="3">
        <v>2014</v>
      </c>
      <c r="X6339" s="3" t="s">
        <v>14785</v>
      </c>
    </row>
    <row r="6340" spans="1:24" ht="114.75">
      <c r="A6340" s="3" t="s">
        <v>17107</v>
      </c>
      <c r="B6340" s="6" t="s">
        <v>361</v>
      </c>
      <c r="C6340" s="6" t="s">
        <v>6765</v>
      </c>
      <c r="D6340" s="6" t="s">
        <v>4843</v>
      </c>
      <c r="E6340" s="6" t="s">
        <v>6766</v>
      </c>
      <c r="F6340" s="9" t="s">
        <v>6767</v>
      </c>
      <c r="G6340" s="3" t="s">
        <v>11449</v>
      </c>
      <c r="H6340" s="185">
        <v>0</v>
      </c>
      <c r="I6340" s="16">
        <v>470000000</v>
      </c>
      <c r="J6340" s="56" t="s">
        <v>229</v>
      </c>
      <c r="K6340" s="57" t="s">
        <v>8950</v>
      </c>
      <c r="L6340" s="12" t="s">
        <v>404</v>
      </c>
      <c r="M6340" s="3" t="s">
        <v>230</v>
      </c>
      <c r="N6340" s="8" t="s">
        <v>8899</v>
      </c>
      <c r="O6340" s="6" t="s">
        <v>365</v>
      </c>
      <c r="P6340" s="58">
        <v>796</v>
      </c>
      <c r="Q6340" s="31" t="s">
        <v>234</v>
      </c>
      <c r="R6340" s="31">
        <v>8</v>
      </c>
      <c r="S6340" s="59">
        <v>65349.18</v>
      </c>
      <c r="T6340" s="4">
        <f>R6340*S6340</f>
        <v>522793.44</v>
      </c>
      <c r="U6340" s="4">
        <f>T6340*1.12</f>
        <v>585528.65280000004</v>
      </c>
      <c r="V6340" s="3"/>
      <c r="W6340" s="3">
        <v>2014</v>
      </c>
      <c r="X6340" s="3"/>
    </row>
    <row r="6341" spans="1:24" ht="114.75">
      <c r="A6341" s="3" t="s">
        <v>2642</v>
      </c>
      <c r="B6341" s="6" t="s">
        <v>361</v>
      </c>
      <c r="C6341" s="6" t="s">
        <v>6768</v>
      </c>
      <c r="D6341" s="6" t="s">
        <v>4843</v>
      </c>
      <c r="E6341" s="6" t="s">
        <v>6769</v>
      </c>
      <c r="F6341" s="9" t="s">
        <v>6770</v>
      </c>
      <c r="G6341" s="57" t="s">
        <v>11449</v>
      </c>
      <c r="H6341" s="185">
        <v>0</v>
      </c>
      <c r="I6341" s="16">
        <v>470000000</v>
      </c>
      <c r="J6341" s="56" t="s">
        <v>229</v>
      </c>
      <c r="K6341" s="57" t="s">
        <v>641</v>
      </c>
      <c r="L6341" s="57" t="s">
        <v>364</v>
      </c>
      <c r="M6341" s="3" t="s">
        <v>230</v>
      </c>
      <c r="N6341" s="8" t="s">
        <v>8899</v>
      </c>
      <c r="O6341" s="6" t="s">
        <v>365</v>
      </c>
      <c r="P6341" s="58">
        <v>796</v>
      </c>
      <c r="Q6341" s="31" t="s">
        <v>234</v>
      </c>
      <c r="R6341" s="31">
        <v>10</v>
      </c>
      <c r="S6341" s="59">
        <f>129465*1.07</f>
        <v>138527.55000000002</v>
      </c>
      <c r="T6341" s="4">
        <v>0</v>
      </c>
      <c r="U6341" s="4">
        <f t="shared" si="293"/>
        <v>0</v>
      </c>
      <c r="V6341" s="3"/>
      <c r="W6341" s="3">
        <v>2014</v>
      </c>
      <c r="X6341" s="3">
        <v>11.12</v>
      </c>
    </row>
    <row r="6342" spans="1:24" ht="114.75">
      <c r="A6342" s="3" t="s">
        <v>13734</v>
      </c>
      <c r="B6342" s="6" t="s">
        <v>361</v>
      </c>
      <c r="C6342" s="6" t="s">
        <v>6768</v>
      </c>
      <c r="D6342" s="6" t="s">
        <v>4843</v>
      </c>
      <c r="E6342" s="6" t="s">
        <v>6769</v>
      </c>
      <c r="F6342" s="9" t="s">
        <v>6770</v>
      </c>
      <c r="G6342" s="57" t="s">
        <v>11449</v>
      </c>
      <c r="H6342" s="185">
        <v>0</v>
      </c>
      <c r="I6342" s="16">
        <v>470000000</v>
      </c>
      <c r="J6342" s="56" t="s">
        <v>229</v>
      </c>
      <c r="K6342" s="57" t="s">
        <v>642</v>
      </c>
      <c r="L6342" s="12" t="s">
        <v>404</v>
      </c>
      <c r="M6342" s="3" t="s">
        <v>230</v>
      </c>
      <c r="N6342" s="8" t="s">
        <v>8899</v>
      </c>
      <c r="O6342" s="6" t="s">
        <v>365</v>
      </c>
      <c r="P6342" s="58">
        <v>796</v>
      </c>
      <c r="Q6342" s="31" t="s">
        <v>234</v>
      </c>
      <c r="R6342" s="31">
        <v>10</v>
      </c>
      <c r="S6342" s="59">
        <f>129465*1.07</f>
        <v>138527.55000000002</v>
      </c>
      <c r="T6342" s="4">
        <f>R6342*S6342</f>
        <v>1385275.5000000002</v>
      </c>
      <c r="U6342" s="4">
        <f>T6342*1.12</f>
        <v>1551508.5600000005</v>
      </c>
      <c r="V6342" s="3"/>
      <c r="W6342" s="3">
        <v>2014</v>
      </c>
      <c r="X6342" s="3"/>
    </row>
    <row r="6343" spans="1:24" ht="153">
      <c r="A6343" s="3" t="s">
        <v>2643</v>
      </c>
      <c r="B6343" s="6" t="s">
        <v>361</v>
      </c>
      <c r="C6343" s="6" t="s">
        <v>6771</v>
      </c>
      <c r="D6343" s="6" t="s">
        <v>6731</v>
      </c>
      <c r="E6343" s="6" t="s">
        <v>6772</v>
      </c>
      <c r="F6343" s="9" t="s">
        <v>6773</v>
      </c>
      <c r="G6343" s="57" t="s">
        <v>11449</v>
      </c>
      <c r="H6343" s="185">
        <v>0</v>
      </c>
      <c r="I6343" s="16">
        <v>470000000</v>
      </c>
      <c r="J6343" s="56" t="s">
        <v>229</v>
      </c>
      <c r="K6343" s="57" t="s">
        <v>641</v>
      </c>
      <c r="L6343" s="57" t="s">
        <v>364</v>
      </c>
      <c r="M6343" s="3" t="s">
        <v>230</v>
      </c>
      <c r="N6343" s="8" t="s">
        <v>8899</v>
      </c>
      <c r="O6343" s="6" t="s">
        <v>365</v>
      </c>
      <c r="P6343" s="58">
        <v>796</v>
      </c>
      <c r="Q6343" s="31" t="s">
        <v>234</v>
      </c>
      <c r="R6343" s="29">
        <v>36</v>
      </c>
      <c r="S6343" s="59">
        <f>6695*1.07</f>
        <v>7163.6500000000005</v>
      </c>
      <c r="T6343" s="4">
        <v>0</v>
      </c>
      <c r="U6343" s="4">
        <f t="shared" si="293"/>
        <v>0</v>
      </c>
      <c r="V6343" s="3"/>
      <c r="W6343" s="3">
        <v>2014</v>
      </c>
      <c r="X6343" s="3">
        <v>11.12</v>
      </c>
    </row>
    <row r="6344" spans="1:24" ht="153">
      <c r="A6344" s="3" t="s">
        <v>13735</v>
      </c>
      <c r="B6344" s="6" t="s">
        <v>361</v>
      </c>
      <c r="C6344" s="6" t="s">
        <v>6771</v>
      </c>
      <c r="D6344" s="6" t="s">
        <v>6731</v>
      </c>
      <c r="E6344" s="6" t="s">
        <v>6772</v>
      </c>
      <c r="F6344" s="9" t="s">
        <v>6773</v>
      </c>
      <c r="G6344" s="57" t="s">
        <v>11449</v>
      </c>
      <c r="H6344" s="185">
        <v>0</v>
      </c>
      <c r="I6344" s="16">
        <v>470000000</v>
      </c>
      <c r="J6344" s="56" t="s">
        <v>229</v>
      </c>
      <c r="K6344" s="57" t="s">
        <v>642</v>
      </c>
      <c r="L6344" s="12" t="s">
        <v>404</v>
      </c>
      <c r="M6344" s="3" t="s">
        <v>230</v>
      </c>
      <c r="N6344" s="8" t="s">
        <v>8899</v>
      </c>
      <c r="O6344" s="6" t="s">
        <v>365</v>
      </c>
      <c r="P6344" s="58">
        <v>796</v>
      </c>
      <c r="Q6344" s="31" t="s">
        <v>234</v>
      </c>
      <c r="R6344" s="29">
        <v>36</v>
      </c>
      <c r="S6344" s="59">
        <f>6695*1.07</f>
        <v>7163.6500000000005</v>
      </c>
      <c r="T6344" s="4">
        <f>R6344*S6344</f>
        <v>257891.40000000002</v>
      </c>
      <c r="U6344" s="4">
        <f>T6344*1.12</f>
        <v>288838.36800000007</v>
      </c>
      <c r="V6344" s="3"/>
      <c r="W6344" s="3">
        <v>2014</v>
      </c>
      <c r="X6344" s="3"/>
    </row>
    <row r="6345" spans="1:24" ht="153">
      <c r="A6345" s="3" t="s">
        <v>2644</v>
      </c>
      <c r="B6345" s="6" t="s">
        <v>361</v>
      </c>
      <c r="C6345" s="6" t="s">
        <v>6774</v>
      </c>
      <c r="D6345" s="6" t="s">
        <v>6731</v>
      </c>
      <c r="E6345" s="6" t="s">
        <v>6775</v>
      </c>
      <c r="F6345" s="9" t="s">
        <v>6776</v>
      </c>
      <c r="G6345" s="57" t="s">
        <v>11449</v>
      </c>
      <c r="H6345" s="185">
        <v>0</v>
      </c>
      <c r="I6345" s="16">
        <v>470000000</v>
      </c>
      <c r="J6345" s="56" t="s">
        <v>229</v>
      </c>
      <c r="K6345" s="57" t="s">
        <v>641</v>
      </c>
      <c r="L6345" s="57" t="s">
        <v>364</v>
      </c>
      <c r="M6345" s="3" t="s">
        <v>230</v>
      </c>
      <c r="N6345" s="8" t="s">
        <v>8899</v>
      </c>
      <c r="O6345" s="6" t="s">
        <v>365</v>
      </c>
      <c r="P6345" s="58">
        <v>796</v>
      </c>
      <c r="Q6345" s="31" t="s">
        <v>234</v>
      </c>
      <c r="R6345" s="27">
        <v>12</v>
      </c>
      <c r="S6345" s="59">
        <f>8750*1.07</f>
        <v>9362.5</v>
      </c>
      <c r="T6345" s="4">
        <v>0</v>
      </c>
      <c r="U6345" s="4">
        <f t="shared" si="293"/>
        <v>0</v>
      </c>
      <c r="V6345" s="3"/>
      <c r="W6345" s="3">
        <v>2014</v>
      </c>
      <c r="X6345" s="3">
        <v>11.12</v>
      </c>
    </row>
    <row r="6346" spans="1:24" ht="153">
      <c r="A6346" s="3" t="s">
        <v>13736</v>
      </c>
      <c r="B6346" s="6" t="s">
        <v>361</v>
      </c>
      <c r="C6346" s="6" t="s">
        <v>6774</v>
      </c>
      <c r="D6346" s="6" t="s">
        <v>6731</v>
      </c>
      <c r="E6346" s="6" t="s">
        <v>6775</v>
      </c>
      <c r="F6346" s="9" t="s">
        <v>6776</v>
      </c>
      <c r="G6346" s="57" t="s">
        <v>11449</v>
      </c>
      <c r="H6346" s="185">
        <v>0</v>
      </c>
      <c r="I6346" s="16">
        <v>470000000</v>
      </c>
      <c r="J6346" s="56" t="s">
        <v>229</v>
      </c>
      <c r="K6346" s="57" t="s">
        <v>642</v>
      </c>
      <c r="L6346" s="12" t="s">
        <v>404</v>
      </c>
      <c r="M6346" s="3" t="s">
        <v>230</v>
      </c>
      <c r="N6346" s="8" t="s">
        <v>8899</v>
      </c>
      <c r="O6346" s="6" t="s">
        <v>365</v>
      </c>
      <c r="P6346" s="58">
        <v>796</v>
      </c>
      <c r="Q6346" s="31" t="s">
        <v>234</v>
      </c>
      <c r="R6346" s="27">
        <v>12</v>
      </c>
      <c r="S6346" s="59">
        <f>8750*1.07</f>
        <v>9362.5</v>
      </c>
      <c r="T6346" s="4">
        <f>R6346*S6346</f>
        <v>112350</v>
      </c>
      <c r="U6346" s="4">
        <f>T6346*1.12</f>
        <v>125832.00000000001</v>
      </c>
      <c r="V6346" s="3"/>
      <c r="W6346" s="3">
        <v>2014</v>
      </c>
      <c r="X6346" s="3"/>
    </row>
    <row r="6347" spans="1:24" ht="140.25">
      <c r="A6347" s="3" t="s">
        <v>2645</v>
      </c>
      <c r="B6347" s="6" t="s">
        <v>361</v>
      </c>
      <c r="C6347" s="6" t="s">
        <v>6777</v>
      </c>
      <c r="D6347" s="6" t="s">
        <v>6731</v>
      </c>
      <c r="E6347" s="6" t="s">
        <v>6778</v>
      </c>
      <c r="F6347" s="9" t="s">
        <v>6779</v>
      </c>
      <c r="G6347" s="57" t="s">
        <v>11449</v>
      </c>
      <c r="H6347" s="185">
        <v>0</v>
      </c>
      <c r="I6347" s="16">
        <v>470000000</v>
      </c>
      <c r="J6347" s="56" t="s">
        <v>229</v>
      </c>
      <c r="K6347" s="57" t="s">
        <v>641</v>
      </c>
      <c r="L6347" s="57" t="s">
        <v>364</v>
      </c>
      <c r="M6347" s="3" t="s">
        <v>230</v>
      </c>
      <c r="N6347" s="8" t="s">
        <v>8899</v>
      </c>
      <c r="O6347" s="6" t="s">
        <v>365</v>
      </c>
      <c r="P6347" s="58">
        <v>796</v>
      </c>
      <c r="Q6347" s="31" t="s">
        <v>234</v>
      </c>
      <c r="R6347" s="27">
        <v>89</v>
      </c>
      <c r="S6347" s="59">
        <f>10715*1.07</f>
        <v>11465.050000000001</v>
      </c>
      <c r="T6347" s="4">
        <v>0</v>
      </c>
      <c r="U6347" s="4">
        <f t="shared" si="293"/>
        <v>0</v>
      </c>
      <c r="V6347" s="3"/>
      <c r="W6347" s="3">
        <v>2014</v>
      </c>
      <c r="X6347" s="3">
        <v>11.12</v>
      </c>
    </row>
    <row r="6348" spans="1:24" ht="140.25">
      <c r="A6348" s="3" t="s">
        <v>13737</v>
      </c>
      <c r="B6348" s="6" t="s">
        <v>361</v>
      </c>
      <c r="C6348" s="6" t="s">
        <v>6777</v>
      </c>
      <c r="D6348" s="6" t="s">
        <v>6731</v>
      </c>
      <c r="E6348" s="6" t="s">
        <v>6778</v>
      </c>
      <c r="F6348" s="9" t="s">
        <v>6779</v>
      </c>
      <c r="G6348" s="57" t="s">
        <v>11449</v>
      </c>
      <c r="H6348" s="185">
        <v>0</v>
      </c>
      <c r="I6348" s="16">
        <v>470000000</v>
      </c>
      <c r="J6348" s="56" t="s">
        <v>229</v>
      </c>
      <c r="K6348" s="57" t="s">
        <v>642</v>
      </c>
      <c r="L6348" s="12" t="s">
        <v>404</v>
      </c>
      <c r="M6348" s="3" t="s">
        <v>230</v>
      </c>
      <c r="N6348" s="8" t="s">
        <v>8899</v>
      </c>
      <c r="O6348" s="6" t="s">
        <v>365</v>
      </c>
      <c r="P6348" s="58">
        <v>796</v>
      </c>
      <c r="Q6348" s="31" t="s">
        <v>234</v>
      </c>
      <c r="R6348" s="27">
        <v>89</v>
      </c>
      <c r="S6348" s="59">
        <f>10715*1.07</f>
        <v>11465.050000000001</v>
      </c>
      <c r="T6348" s="4">
        <v>0</v>
      </c>
      <c r="U6348" s="4">
        <f>T6348*1.12</f>
        <v>0</v>
      </c>
      <c r="V6348" s="3"/>
      <c r="W6348" s="3">
        <v>2014</v>
      </c>
      <c r="X6348" s="3" t="s">
        <v>14785</v>
      </c>
    </row>
    <row r="6349" spans="1:24" ht="140.25">
      <c r="A6349" s="3" t="s">
        <v>17108</v>
      </c>
      <c r="B6349" s="6" t="s">
        <v>361</v>
      </c>
      <c r="C6349" s="6" t="s">
        <v>6777</v>
      </c>
      <c r="D6349" s="6" t="s">
        <v>6731</v>
      </c>
      <c r="E6349" s="6" t="s">
        <v>6778</v>
      </c>
      <c r="F6349" s="9" t="s">
        <v>6779</v>
      </c>
      <c r="G6349" s="3" t="s">
        <v>11449</v>
      </c>
      <c r="H6349" s="185">
        <v>0</v>
      </c>
      <c r="I6349" s="16">
        <v>470000000</v>
      </c>
      <c r="J6349" s="56" t="s">
        <v>229</v>
      </c>
      <c r="K6349" s="57" t="s">
        <v>8950</v>
      </c>
      <c r="L6349" s="12" t="s">
        <v>404</v>
      </c>
      <c r="M6349" s="3" t="s">
        <v>230</v>
      </c>
      <c r="N6349" s="8" t="s">
        <v>8899</v>
      </c>
      <c r="O6349" s="6" t="s">
        <v>365</v>
      </c>
      <c r="P6349" s="58">
        <v>796</v>
      </c>
      <c r="Q6349" s="31" t="s">
        <v>234</v>
      </c>
      <c r="R6349" s="27">
        <v>89</v>
      </c>
      <c r="S6349" s="59">
        <v>13758.060000000001</v>
      </c>
      <c r="T6349" s="4">
        <f>R6349*S6349</f>
        <v>1224467.3400000001</v>
      </c>
      <c r="U6349" s="4">
        <f>T6349*1.12</f>
        <v>1371403.4208000002</v>
      </c>
      <c r="V6349" s="3"/>
      <c r="W6349" s="3">
        <v>2014</v>
      </c>
      <c r="X6349" s="3"/>
    </row>
    <row r="6350" spans="1:24" ht="153">
      <c r="A6350" s="3" t="s">
        <v>2646</v>
      </c>
      <c r="B6350" s="6" t="s">
        <v>361</v>
      </c>
      <c r="C6350" s="6" t="s">
        <v>6780</v>
      </c>
      <c r="D6350" s="6" t="s">
        <v>6731</v>
      </c>
      <c r="E6350" s="6" t="s">
        <v>6781</v>
      </c>
      <c r="F6350" s="9" t="s">
        <v>6782</v>
      </c>
      <c r="G6350" s="57" t="s">
        <v>11449</v>
      </c>
      <c r="H6350" s="185">
        <v>0</v>
      </c>
      <c r="I6350" s="16">
        <v>470000000</v>
      </c>
      <c r="J6350" s="56" t="s">
        <v>229</v>
      </c>
      <c r="K6350" s="57" t="s">
        <v>641</v>
      </c>
      <c r="L6350" s="57" t="s">
        <v>364</v>
      </c>
      <c r="M6350" s="3" t="s">
        <v>230</v>
      </c>
      <c r="N6350" s="8" t="s">
        <v>8899</v>
      </c>
      <c r="O6350" s="6" t="s">
        <v>365</v>
      </c>
      <c r="P6350" s="58">
        <v>796</v>
      </c>
      <c r="Q6350" s="31" t="s">
        <v>234</v>
      </c>
      <c r="R6350" s="29">
        <v>7</v>
      </c>
      <c r="S6350" s="59">
        <v>11519.72</v>
      </c>
      <c r="T6350" s="4">
        <v>0</v>
      </c>
      <c r="U6350" s="4">
        <f t="shared" si="293"/>
        <v>0</v>
      </c>
      <c r="V6350" s="3"/>
      <c r="W6350" s="3">
        <v>2014</v>
      </c>
      <c r="X6350" s="3">
        <v>11.12</v>
      </c>
    </row>
    <row r="6351" spans="1:24" ht="153">
      <c r="A6351" s="3" t="s">
        <v>13738</v>
      </c>
      <c r="B6351" s="6" t="s">
        <v>361</v>
      </c>
      <c r="C6351" s="6" t="s">
        <v>6780</v>
      </c>
      <c r="D6351" s="6" t="s">
        <v>6731</v>
      </c>
      <c r="E6351" s="6" t="s">
        <v>6781</v>
      </c>
      <c r="F6351" s="9" t="s">
        <v>6782</v>
      </c>
      <c r="G6351" s="57" t="s">
        <v>11449</v>
      </c>
      <c r="H6351" s="185">
        <v>0</v>
      </c>
      <c r="I6351" s="16">
        <v>470000000</v>
      </c>
      <c r="J6351" s="56" t="s">
        <v>229</v>
      </c>
      <c r="K6351" s="57" t="s">
        <v>642</v>
      </c>
      <c r="L6351" s="12" t="s">
        <v>404</v>
      </c>
      <c r="M6351" s="3" t="s">
        <v>230</v>
      </c>
      <c r="N6351" s="8" t="s">
        <v>8899</v>
      </c>
      <c r="O6351" s="6" t="s">
        <v>365</v>
      </c>
      <c r="P6351" s="58">
        <v>796</v>
      </c>
      <c r="Q6351" s="31" t="s">
        <v>234</v>
      </c>
      <c r="R6351" s="29">
        <v>7</v>
      </c>
      <c r="S6351" s="59">
        <v>11519.72</v>
      </c>
      <c r="T6351" s="4">
        <f>R6351*S6351</f>
        <v>80638.039999999994</v>
      </c>
      <c r="U6351" s="4">
        <f>T6351*1.12</f>
        <v>90314.604800000001</v>
      </c>
      <c r="V6351" s="3"/>
      <c r="W6351" s="3">
        <v>2014</v>
      </c>
      <c r="X6351" s="3"/>
    </row>
    <row r="6352" spans="1:24" ht="153">
      <c r="A6352" s="3" t="s">
        <v>2647</v>
      </c>
      <c r="B6352" s="6" t="s">
        <v>361</v>
      </c>
      <c r="C6352" s="6" t="s">
        <v>6783</v>
      </c>
      <c r="D6352" s="6" t="s">
        <v>6731</v>
      </c>
      <c r="E6352" s="6" t="s">
        <v>6784</v>
      </c>
      <c r="F6352" s="9" t="s">
        <v>6785</v>
      </c>
      <c r="G6352" s="57" t="s">
        <v>11449</v>
      </c>
      <c r="H6352" s="185">
        <v>0</v>
      </c>
      <c r="I6352" s="16">
        <v>470000000</v>
      </c>
      <c r="J6352" s="56" t="s">
        <v>229</v>
      </c>
      <c r="K6352" s="57" t="s">
        <v>641</v>
      </c>
      <c r="L6352" s="57" t="s">
        <v>364</v>
      </c>
      <c r="M6352" s="3" t="s">
        <v>230</v>
      </c>
      <c r="N6352" s="8" t="s">
        <v>8899</v>
      </c>
      <c r="O6352" s="6" t="s">
        <v>365</v>
      </c>
      <c r="P6352" s="58">
        <v>796</v>
      </c>
      <c r="Q6352" s="31" t="s">
        <v>234</v>
      </c>
      <c r="R6352" s="31">
        <v>14</v>
      </c>
      <c r="S6352" s="59">
        <v>12770</v>
      </c>
      <c r="T6352" s="4">
        <v>0</v>
      </c>
      <c r="U6352" s="4">
        <f t="shared" si="293"/>
        <v>0</v>
      </c>
      <c r="V6352" s="3"/>
      <c r="W6352" s="3">
        <v>2014</v>
      </c>
      <c r="X6352" s="3">
        <v>11.12</v>
      </c>
    </row>
    <row r="6353" spans="1:24" ht="153">
      <c r="A6353" s="3" t="s">
        <v>13739</v>
      </c>
      <c r="B6353" s="6" t="s">
        <v>361</v>
      </c>
      <c r="C6353" s="6" t="s">
        <v>6783</v>
      </c>
      <c r="D6353" s="6" t="s">
        <v>6731</v>
      </c>
      <c r="E6353" s="6" t="s">
        <v>6784</v>
      </c>
      <c r="F6353" s="9" t="s">
        <v>6785</v>
      </c>
      <c r="G6353" s="57" t="s">
        <v>11449</v>
      </c>
      <c r="H6353" s="185">
        <v>0</v>
      </c>
      <c r="I6353" s="16">
        <v>470000000</v>
      </c>
      <c r="J6353" s="56" t="s">
        <v>229</v>
      </c>
      <c r="K6353" s="57" t="s">
        <v>642</v>
      </c>
      <c r="L6353" s="12" t="s">
        <v>404</v>
      </c>
      <c r="M6353" s="3" t="s">
        <v>230</v>
      </c>
      <c r="N6353" s="8" t="s">
        <v>8899</v>
      </c>
      <c r="O6353" s="6" t="s">
        <v>365</v>
      </c>
      <c r="P6353" s="58">
        <v>796</v>
      </c>
      <c r="Q6353" s="31" t="s">
        <v>234</v>
      </c>
      <c r="R6353" s="31">
        <v>14</v>
      </c>
      <c r="S6353" s="59">
        <v>12770</v>
      </c>
      <c r="T6353" s="4">
        <f>R6353*S6353</f>
        <v>178780</v>
      </c>
      <c r="U6353" s="4">
        <f>T6353*1.12</f>
        <v>200233.60000000001</v>
      </c>
      <c r="V6353" s="3"/>
      <c r="W6353" s="3">
        <v>2014</v>
      </c>
      <c r="X6353" s="3"/>
    </row>
    <row r="6354" spans="1:24" ht="153">
      <c r="A6354" s="3" t="s">
        <v>2648</v>
      </c>
      <c r="B6354" s="6" t="s">
        <v>361</v>
      </c>
      <c r="C6354" s="6" t="s">
        <v>6786</v>
      </c>
      <c r="D6354" s="6" t="s">
        <v>6731</v>
      </c>
      <c r="E6354" s="6" t="s">
        <v>6787</v>
      </c>
      <c r="F6354" s="9" t="s">
        <v>6788</v>
      </c>
      <c r="G6354" s="57" t="s">
        <v>11449</v>
      </c>
      <c r="H6354" s="185">
        <v>0</v>
      </c>
      <c r="I6354" s="16">
        <v>470000000</v>
      </c>
      <c r="J6354" s="56" t="s">
        <v>229</v>
      </c>
      <c r="K6354" s="57" t="s">
        <v>641</v>
      </c>
      <c r="L6354" s="57" t="s">
        <v>364</v>
      </c>
      <c r="M6354" s="3" t="s">
        <v>230</v>
      </c>
      <c r="N6354" s="8" t="s">
        <v>8899</v>
      </c>
      <c r="O6354" s="6" t="s">
        <v>365</v>
      </c>
      <c r="P6354" s="58">
        <v>796</v>
      </c>
      <c r="Q6354" s="31" t="s">
        <v>234</v>
      </c>
      <c r="R6354" s="31">
        <v>5</v>
      </c>
      <c r="S6354" s="59">
        <f>11600*1.07</f>
        <v>12412</v>
      </c>
      <c r="T6354" s="4">
        <v>0</v>
      </c>
      <c r="U6354" s="4">
        <f t="shared" si="293"/>
        <v>0</v>
      </c>
      <c r="V6354" s="3"/>
      <c r="W6354" s="3">
        <v>2014</v>
      </c>
      <c r="X6354" s="3">
        <v>11.12</v>
      </c>
    </row>
    <row r="6355" spans="1:24" ht="153">
      <c r="A6355" s="3" t="s">
        <v>13740</v>
      </c>
      <c r="B6355" s="6" t="s">
        <v>361</v>
      </c>
      <c r="C6355" s="6" t="s">
        <v>6786</v>
      </c>
      <c r="D6355" s="6" t="s">
        <v>6731</v>
      </c>
      <c r="E6355" s="6" t="s">
        <v>6787</v>
      </c>
      <c r="F6355" s="9" t="s">
        <v>6788</v>
      </c>
      <c r="G6355" s="57" t="s">
        <v>11449</v>
      </c>
      <c r="H6355" s="185">
        <v>0</v>
      </c>
      <c r="I6355" s="16">
        <v>470000000</v>
      </c>
      <c r="J6355" s="56" t="s">
        <v>229</v>
      </c>
      <c r="K6355" s="57" t="s">
        <v>642</v>
      </c>
      <c r="L6355" s="12" t="s">
        <v>404</v>
      </c>
      <c r="M6355" s="3" t="s">
        <v>230</v>
      </c>
      <c r="N6355" s="8" t="s">
        <v>8899</v>
      </c>
      <c r="O6355" s="6" t="s">
        <v>365</v>
      </c>
      <c r="P6355" s="58">
        <v>796</v>
      </c>
      <c r="Q6355" s="31" t="s">
        <v>234</v>
      </c>
      <c r="R6355" s="31">
        <v>5</v>
      </c>
      <c r="S6355" s="59">
        <f>11600*1.07</f>
        <v>12412</v>
      </c>
      <c r="T6355" s="4">
        <f>R6355*S6355</f>
        <v>62060</v>
      </c>
      <c r="U6355" s="4">
        <f>T6355*1.12</f>
        <v>69507.200000000012</v>
      </c>
      <c r="V6355" s="3"/>
      <c r="W6355" s="3">
        <v>2014</v>
      </c>
      <c r="X6355" s="3"/>
    </row>
    <row r="6356" spans="1:24" ht="153">
      <c r="A6356" s="3" t="s">
        <v>2649</v>
      </c>
      <c r="B6356" s="6" t="s">
        <v>361</v>
      </c>
      <c r="C6356" s="6" t="s">
        <v>6789</v>
      </c>
      <c r="D6356" s="6" t="s">
        <v>6731</v>
      </c>
      <c r="E6356" s="6" t="s">
        <v>6790</v>
      </c>
      <c r="F6356" s="9" t="s">
        <v>11798</v>
      </c>
      <c r="G6356" s="57" t="s">
        <v>11449</v>
      </c>
      <c r="H6356" s="185">
        <v>0</v>
      </c>
      <c r="I6356" s="16">
        <v>470000000</v>
      </c>
      <c r="J6356" s="56" t="s">
        <v>229</v>
      </c>
      <c r="K6356" s="57" t="s">
        <v>641</v>
      </c>
      <c r="L6356" s="57" t="s">
        <v>364</v>
      </c>
      <c r="M6356" s="3" t="s">
        <v>230</v>
      </c>
      <c r="N6356" s="8" t="s">
        <v>8899</v>
      </c>
      <c r="O6356" s="6" t="s">
        <v>365</v>
      </c>
      <c r="P6356" s="58">
        <v>796</v>
      </c>
      <c r="Q6356" s="31" t="s">
        <v>234</v>
      </c>
      <c r="R6356" s="27">
        <v>57</v>
      </c>
      <c r="S6356" s="59">
        <f>12232*1.07</f>
        <v>13088.240000000002</v>
      </c>
      <c r="T6356" s="4">
        <v>0</v>
      </c>
      <c r="U6356" s="4">
        <f t="shared" ref="U6356:U6412" si="294">T6356*1.12</f>
        <v>0</v>
      </c>
      <c r="V6356" s="3"/>
      <c r="W6356" s="3">
        <v>2014</v>
      </c>
      <c r="X6356" s="3">
        <v>11.12</v>
      </c>
    </row>
    <row r="6357" spans="1:24" ht="153">
      <c r="A6357" s="3" t="s">
        <v>13741</v>
      </c>
      <c r="B6357" s="6" t="s">
        <v>361</v>
      </c>
      <c r="C6357" s="6" t="s">
        <v>6789</v>
      </c>
      <c r="D6357" s="6" t="s">
        <v>6731</v>
      </c>
      <c r="E6357" s="6" t="s">
        <v>6790</v>
      </c>
      <c r="F6357" s="9" t="s">
        <v>11798</v>
      </c>
      <c r="G6357" s="57" t="s">
        <v>11449</v>
      </c>
      <c r="H6357" s="185">
        <v>0</v>
      </c>
      <c r="I6357" s="16">
        <v>470000000</v>
      </c>
      <c r="J6357" s="56" t="s">
        <v>229</v>
      </c>
      <c r="K6357" s="57" t="s">
        <v>642</v>
      </c>
      <c r="L6357" s="12" t="s">
        <v>404</v>
      </c>
      <c r="M6357" s="3" t="s">
        <v>230</v>
      </c>
      <c r="N6357" s="8" t="s">
        <v>8899</v>
      </c>
      <c r="O6357" s="6" t="s">
        <v>365</v>
      </c>
      <c r="P6357" s="58">
        <v>796</v>
      </c>
      <c r="Q6357" s="31" t="s">
        <v>234</v>
      </c>
      <c r="R6357" s="27">
        <v>57</v>
      </c>
      <c r="S6357" s="59">
        <f>12232*1.07</f>
        <v>13088.240000000002</v>
      </c>
      <c r="T6357" s="4">
        <v>0</v>
      </c>
      <c r="U6357" s="4">
        <f>T6357*1.12</f>
        <v>0</v>
      </c>
      <c r="V6357" s="3"/>
      <c r="W6357" s="3">
        <v>2014</v>
      </c>
      <c r="X6357" s="3" t="s">
        <v>14785</v>
      </c>
    </row>
    <row r="6358" spans="1:24" ht="153">
      <c r="A6358" s="3" t="s">
        <v>17109</v>
      </c>
      <c r="B6358" s="6" t="s">
        <v>361</v>
      </c>
      <c r="C6358" s="6" t="s">
        <v>6789</v>
      </c>
      <c r="D6358" s="6" t="s">
        <v>6731</v>
      </c>
      <c r="E6358" s="6" t="s">
        <v>6790</v>
      </c>
      <c r="F6358" s="9" t="s">
        <v>11798</v>
      </c>
      <c r="G6358" s="3" t="s">
        <v>11449</v>
      </c>
      <c r="H6358" s="185">
        <v>0</v>
      </c>
      <c r="I6358" s="16">
        <v>470000000</v>
      </c>
      <c r="J6358" s="56" t="s">
        <v>229</v>
      </c>
      <c r="K6358" s="57" t="s">
        <v>8950</v>
      </c>
      <c r="L6358" s="12" t="s">
        <v>404</v>
      </c>
      <c r="M6358" s="3" t="s">
        <v>230</v>
      </c>
      <c r="N6358" s="8" t="s">
        <v>8899</v>
      </c>
      <c r="O6358" s="6" t="s">
        <v>365</v>
      </c>
      <c r="P6358" s="58">
        <v>796</v>
      </c>
      <c r="Q6358" s="31" t="s">
        <v>234</v>
      </c>
      <c r="R6358" s="27">
        <v>57</v>
      </c>
      <c r="S6358" s="59">
        <v>15705.888000000001</v>
      </c>
      <c r="T6358" s="4">
        <f>R6358*S6358</f>
        <v>895235.61600000004</v>
      </c>
      <c r="U6358" s="4">
        <f>T6358*1.12</f>
        <v>1002663.8899200001</v>
      </c>
      <c r="V6358" s="3"/>
      <c r="W6358" s="3">
        <v>2014</v>
      </c>
      <c r="X6358" s="3"/>
    </row>
    <row r="6359" spans="1:24" ht="114.75">
      <c r="A6359" s="3" t="s">
        <v>2650</v>
      </c>
      <c r="B6359" s="6" t="s">
        <v>361</v>
      </c>
      <c r="C6359" s="6" t="s">
        <v>6762</v>
      </c>
      <c r="D6359" s="6" t="s">
        <v>4843</v>
      </c>
      <c r="E6359" s="6" t="s">
        <v>6763</v>
      </c>
      <c r="F6359" s="9" t="s">
        <v>6791</v>
      </c>
      <c r="G6359" s="57" t="s">
        <v>11449</v>
      </c>
      <c r="H6359" s="185">
        <v>0</v>
      </c>
      <c r="I6359" s="16">
        <v>470000000</v>
      </c>
      <c r="J6359" s="56" t="s">
        <v>229</v>
      </c>
      <c r="K6359" s="57" t="s">
        <v>641</v>
      </c>
      <c r="L6359" s="57" t="s">
        <v>364</v>
      </c>
      <c r="M6359" s="3" t="s">
        <v>230</v>
      </c>
      <c r="N6359" s="8" t="s">
        <v>8899</v>
      </c>
      <c r="O6359" s="6" t="s">
        <v>365</v>
      </c>
      <c r="P6359" s="58">
        <v>796</v>
      </c>
      <c r="Q6359" s="31" t="s">
        <v>234</v>
      </c>
      <c r="R6359" s="26">
        <v>7</v>
      </c>
      <c r="S6359" s="59">
        <f>42857*1.07</f>
        <v>45856.990000000005</v>
      </c>
      <c r="T6359" s="4">
        <v>0</v>
      </c>
      <c r="U6359" s="4">
        <f t="shared" si="294"/>
        <v>0</v>
      </c>
      <c r="V6359" s="3"/>
      <c r="W6359" s="3">
        <v>2014</v>
      </c>
      <c r="X6359" s="3">
        <v>11.12</v>
      </c>
    </row>
    <row r="6360" spans="1:24" ht="114.75">
      <c r="A6360" s="3" t="s">
        <v>13742</v>
      </c>
      <c r="B6360" s="6" t="s">
        <v>361</v>
      </c>
      <c r="C6360" s="6" t="s">
        <v>6762</v>
      </c>
      <c r="D6360" s="6" t="s">
        <v>4843</v>
      </c>
      <c r="E6360" s="6" t="s">
        <v>6763</v>
      </c>
      <c r="F6360" s="9" t="s">
        <v>6791</v>
      </c>
      <c r="G6360" s="57" t="s">
        <v>11449</v>
      </c>
      <c r="H6360" s="185">
        <v>0</v>
      </c>
      <c r="I6360" s="16">
        <v>470000000</v>
      </c>
      <c r="J6360" s="56" t="s">
        <v>229</v>
      </c>
      <c r="K6360" s="57" t="s">
        <v>642</v>
      </c>
      <c r="L6360" s="12" t="s">
        <v>404</v>
      </c>
      <c r="M6360" s="3" t="s">
        <v>230</v>
      </c>
      <c r="N6360" s="8" t="s">
        <v>8899</v>
      </c>
      <c r="O6360" s="6" t="s">
        <v>365</v>
      </c>
      <c r="P6360" s="58">
        <v>796</v>
      </c>
      <c r="Q6360" s="31" t="s">
        <v>234</v>
      </c>
      <c r="R6360" s="26">
        <v>7</v>
      </c>
      <c r="S6360" s="59">
        <f>42857*1.07</f>
        <v>45856.990000000005</v>
      </c>
      <c r="T6360" s="4">
        <v>0</v>
      </c>
      <c r="U6360" s="4">
        <f>T6360*1.12</f>
        <v>0</v>
      </c>
      <c r="V6360" s="3"/>
      <c r="W6360" s="3">
        <v>2014</v>
      </c>
      <c r="X6360" s="3" t="s">
        <v>14785</v>
      </c>
    </row>
    <row r="6361" spans="1:24" ht="114.75">
      <c r="A6361" s="3" t="s">
        <v>17110</v>
      </c>
      <c r="B6361" s="6" t="s">
        <v>361</v>
      </c>
      <c r="C6361" s="6" t="s">
        <v>6762</v>
      </c>
      <c r="D6361" s="6" t="s">
        <v>4843</v>
      </c>
      <c r="E6361" s="6" t="s">
        <v>6763</v>
      </c>
      <c r="F6361" s="335" t="s">
        <v>6791</v>
      </c>
      <c r="G6361" s="3" t="s">
        <v>11449</v>
      </c>
      <c r="H6361" s="185">
        <v>0</v>
      </c>
      <c r="I6361" s="16">
        <v>470000000</v>
      </c>
      <c r="J6361" s="56" t="s">
        <v>229</v>
      </c>
      <c r="K6361" s="57" t="s">
        <v>8950</v>
      </c>
      <c r="L6361" s="12" t="s">
        <v>404</v>
      </c>
      <c r="M6361" s="3" t="s">
        <v>230</v>
      </c>
      <c r="N6361" s="8" t="s">
        <v>8899</v>
      </c>
      <c r="O6361" s="6" t="s">
        <v>365</v>
      </c>
      <c r="P6361" s="58">
        <v>796</v>
      </c>
      <c r="Q6361" s="327" t="s">
        <v>234</v>
      </c>
      <c r="R6361" s="333">
        <v>7</v>
      </c>
      <c r="S6361" s="59">
        <v>55028.388000000006</v>
      </c>
      <c r="T6361" s="4">
        <v>0</v>
      </c>
      <c r="U6361" s="4">
        <f t="shared" ref="U6361:U6362" si="295">T6361*1.12</f>
        <v>0</v>
      </c>
      <c r="V6361" s="3"/>
      <c r="W6361" s="3">
        <v>2014</v>
      </c>
      <c r="X6361" s="3" t="s">
        <v>19395</v>
      </c>
    </row>
    <row r="6362" spans="1:24" ht="153">
      <c r="A6362" s="3" t="s">
        <v>19154</v>
      </c>
      <c r="B6362" s="6" t="s">
        <v>361</v>
      </c>
      <c r="C6362" s="6" t="s">
        <v>19384</v>
      </c>
      <c r="D6362" s="6" t="s">
        <v>6731</v>
      </c>
      <c r="E6362" s="335" t="s">
        <v>19385</v>
      </c>
      <c r="F6362" s="335" t="s">
        <v>6791</v>
      </c>
      <c r="G6362" s="3" t="s">
        <v>11449</v>
      </c>
      <c r="H6362" s="185">
        <v>0</v>
      </c>
      <c r="I6362" s="16">
        <v>470000000</v>
      </c>
      <c r="J6362" s="56" t="s">
        <v>229</v>
      </c>
      <c r="K6362" s="57" t="s">
        <v>18437</v>
      </c>
      <c r="L6362" s="12" t="s">
        <v>404</v>
      </c>
      <c r="M6362" s="3" t="s">
        <v>230</v>
      </c>
      <c r="N6362" s="8" t="s">
        <v>19369</v>
      </c>
      <c r="O6362" s="6" t="s">
        <v>19407</v>
      </c>
      <c r="P6362" s="58">
        <v>796</v>
      </c>
      <c r="Q6362" s="327" t="s">
        <v>234</v>
      </c>
      <c r="R6362" s="333">
        <v>7</v>
      </c>
      <c r="S6362" s="59">
        <v>55028.388000000006</v>
      </c>
      <c r="T6362" s="4">
        <f>R6362*S6362</f>
        <v>385198.71600000001</v>
      </c>
      <c r="U6362" s="4">
        <f t="shared" si="295"/>
        <v>431422.56192000007</v>
      </c>
      <c r="V6362" s="3"/>
      <c r="W6362" s="3">
        <v>2014</v>
      </c>
      <c r="X6362" s="3"/>
    </row>
    <row r="6363" spans="1:24" ht="153">
      <c r="A6363" s="3" t="s">
        <v>2651</v>
      </c>
      <c r="B6363" s="6" t="s">
        <v>361</v>
      </c>
      <c r="C6363" s="6" t="s">
        <v>6792</v>
      </c>
      <c r="D6363" s="6" t="s">
        <v>4843</v>
      </c>
      <c r="E6363" s="6" t="s">
        <v>6793</v>
      </c>
      <c r="F6363" s="130" t="s">
        <v>6794</v>
      </c>
      <c r="G6363" s="57" t="s">
        <v>11449</v>
      </c>
      <c r="H6363" s="185">
        <v>0</v>
      </c>
      <c r="I6363" s="16">
        <v>470000000</v>
      </c>
      <c r="J6363" s="56" t="s">
        <v>229</v>
      </c>
      <c r="K6363" s="57" t="s">
        <v>641</v>
      </c>
      <c r="L6363" s="57" t="s">
        <v>364</v>
      </c>
      <c r="M6363" s="3" t="s">
        <v>230</v>
      </c>
      <c r="N6363" s="8" t="s">
        <v>8899</v>
      </c>
      <c r="O6363" s="6" t="s">
        <v>365</v>
      </c>
      <c r="P6363" s="58">
        <v>796</v>
      </c>
      <c r="Q6363" s="31" t="s">
        <v>234</v>
      </c>
      <c r="R6363" s="26">
        <v>4</v>
      </c>
      <c r="S6363" s="59">
        <f>102680*1.07</f>
        <v>109867.6</v>
      </c>
      <c r="T6363" s="4">
        <v>0</v>
      </c>
      <c r="U6363" s="4">
        <f t="shared" si="294"/>
        <v>0</v>
      </c>
      <c r="V6363" s="3"/>
      <c r="W6363" s="3">
        <v>2014</v>
      </c>
      <c r="X6363" s="3">
        <v>11.12</v>
      </c>
    </row>
    <row r="6364" spans="1:24" ht="153">
      <c r="A6364" s="3" t="s">
        <v>13743</v>
      </c>
      <c r="B6364" s="6" t="s">
        <v>361</v>
      </c>
      <c r="C6364" s="6" t="s">
        <v>6792</v>
      </c>
      <c r="D6364" s="6" t="s">
        <v>4843</v>
      </c>
      <c r="E6364" s="6" t="s">
        <v>6793</v>
      </c>
      <c r="F6364" s="130" t="s">
        <v>6794</v>
      </c>
      <c r="G6364" s="57" t="s">
        <v>11449</v>
      </c>
      <c r="H6364" s="185">
        <v>0</v>
      </c>
      <c r="I6364" s="16">
        <v>470000000</v>
      </c>
      <c r="J6364" s="56" t="s">
        <v>229</v>
      </c>
      <c r="K6364" s="57" t="s">
        <v>642</v>
      </c>
      <c r="L6364" s="12" t="s">
        <v>404</v>
      </c>
      <c r="M6364" s="3" t="s">
        <v>230</v>
      </c>
      <c r="N6364" s="8" t="s">
        <v>8899</v>
      </c>
      <c r="O6364" s="6" t="s">
        <v>365</v>
      </c>
      <c r="P6364" s="58">
        <v>796</v>
      </c>
      <c r="Q6364" s="31" t="s">
        <v>234</v>
      </c>
      <c r="R6364" s="26">
        <v>4</v>
      </c>
      <c r="S6364" s="59">
        <f>102680*1.07</f>
        <v>109867.6</v>
      </c>
      <c r="T6364" s="4">
        <f>R6364*S6364</f>
        <v>439470.4</v>
      </c>
      <c r="U6364" s="4">
        <f>T6364*1.12</f>
        <v>492206.84800000006</v>
      </c>
      <c r="V6364" s="3"/>
      <c r="W6364" s="3">
        <v>2014</v>
      </c>
      <c r="X6364" s="3"/>
    </row>
    <row r="6365" spans="1:24" ht="191.25">
      <c r="A6365" s="3" t="s">
        <v>2652</v>
      </c>
      <c r="B6365" s="6" t="s">
        <v>361</v>
      </c>
      <c r="C6365" s="6" t="s">
        <v>6795</v>
      </c>
      <c r="D6365" s="6" t="s">
        <v>4843</v>
      </c>
      <c r="E6365" s="6" t="s">
        <v>6796</v>
      </c>
      <c r="F6365" s="130" t="s">
        <v>6797</v>
      </c>
      <c r="G6365" s="57" t="s">
        <v>11449</v>
      </c>
      <c r="H6365" s="185">
        <v>0</v>
      </c>
      <c r="I6365" s="16">
        <v>470000000</v>
      </c>
      <c r="J6365" s="56" t="s">
        <v>229</v>
      </c>
      <c r="K6365" s="57" t="s">
        <v>641</v>
      </c>
      <c r="L6365" s="57" t="s">
        <v>364</v>
      </c>
      <c r="M6365" s="3" t="s">
        <v>230</v>
      </c>
      <c r="N6365" s="8" t="s">
        <v>8899</v>
      </c>
      <c r="O6365" s="6" t="s">
        <v>365</v>
      </c>
      <c r="P6365" s="58">
        <v>796</v>
      </c>
      <c r="Q6365" s="31" t="s">
        <v>234</v>
      </c>
      <c r="R6365" s="26">
        <v>6</v>
      </c>
      <c r="S6365" s="59">
        <f>42232*1.07</f>
        <v>45188.240000000005</v>
      </c>
      <c r="T6365" s="4">
        <v>0</v>
      </c>
      <c r="U6365" s="4">
        <f t="shared" si="294"/>
        <v>0</v>
      </c>
      <c r="V6365" s="3"/>
      <c r="W6365" s="3">
        <v>2014</v>
      </c>
      <c r="X6365" s="3">
        <v>11.12</v>
      </c>
    </row>
    <row r="6366" spans="1:24" ht="191.25">
      <c r="A6366" s="3" t="s">
        <v>13744</v>
      </c>
      <c r="B6366" s="6" t="s">
        <v>361</v>
      </c>
      <c r="C6366" s="6" t="s">
        <v>6795</v>
      </c>
      <c r="D6366" s="6" t="s">
        <v>4843</v>
      </c>
      <c r="E6366" s="6" t="s">
        <v>6796</v>
      </c>
      <c r="F6366" s="130" t="s">
        <v>6797</v>
      </c>
      <c r="G6366" s="57" t="s">
        <v>11449</v>
      </c>
      <c r="H6366" s="185">
        <v>0</v>
      </c>
      <c r="I6366" s="16">
        <v>470000000</v>
      </c>
      <c r="J6366" s="56" t="s">
        <v>229</v>
      </c>
      <c r="K6366" s="57" t="s">
        <v>642</v>
      </c>
      <c r="L6366" s="12" t="s">
        <v>404</v>
      </c>
      <c r="M6366" s="3" t="s">
        <v>230</v>
      </c>
      <c r="N6366" s="8" t="s">
        <v>8899</v>
      </c>
      <c r="O6366" s="6" t="s">
        <v>365</v>
      </c>
      <c r="P6366" s="58">
        <v>796</v>
      </c>
      <c r="Q6366" s="31" t="s">
        <v>234</v>
      </c>
      <c r="R6366" s="26">
        <v>6</v>
      </c>
      <c r="S6366" s="59">
        <f>42232*1.07</f>
        <v>45188.240000000005</v>
      </c>
      <c r="T6366" s="4">
        <v>0</v>
      </c>
      <c r="U6366" s="4">
        <f>T6366*1.12</f>
        <v>0</v>
      </c>
      <c r="V6366" s="3"/>
      <c r="W6366" s="3">
        <v>2014</v>
      </c>
      <c r="X6366" s="3" t="s">
        <v>14785</v>
      </c>
    </row>
    <row r="6367" spans="1:24" ht="191.25">
      <c r="A6367" s="3" t="s">
        <v>17111</v>
      </c>
      <c r="B6367" s="6" t="s">
        <v>361</v>
      </c>
      <c r="C6367" s="6" t="s">
        <v>6795</v>
      </c>
      <c r="D6367" s="6" t="s">
        <v>4843</v>
      </c>
      <c r="E6367" s="6" t="s">
        <v>6796</v>
      </c>
      <c r="F6367" s="130" t="s">
        <v>6797</v>
      </c>
      <c r="G6367" s="3" t="s">
        <v>11449</v>
      </c>
      <c r="H6367" s="185">
        <v>0</v>
      </c>
      <c r="I6367" s="16">
        <v>470000000</v>
      </c>
      <c r="J6367" s="56" t="s">
        <v>229</v>
      </c>
      <c r="K6367" s="57" t="s">
        <v>8950</v>
      </c>
      <c r="L6367" s="12" t="s">
        <v>404</v>
      </c>
      <c r="M6367" s="3" t="s">
        <v>230</v>
      </c>
      <c r="N6367" s="8" t="s">
        <v>8899</v>
      </c>
      <c r="O6367" s="6" t="s">
        <v>365</v>
      </c>
      <c r="P6367" s="58">
        <v>796</v>
      </c>
      <c r="Q6367" s="31" t="s">
        <v>234</v>
      </c>
      <c r="R6367" s="26">
        <v>6</v>
      </c>
      <c r="S6367" s="59">
        <v>54225.888000000006</v>
      </c>
      <c r="T6367" s="4">
        <f>R6367*S6367</f>
        <v>325355.32800000004</v>
      </c>
      <c r="U6367" s="4">
        <f>T6367*1.12</f>
        <v>364397.96736000007</v>
      </c>
      <c r="V6367" s="3"/>
      <c r="W6367" s="3">
        <v>2014</v>
      </c>
      <c r="X6367" s="3"/>
    </row>
    <row r="6368" spans="1:24" ht="140.25">
      <c r="A6368" s="3" t="s">
        <v>10715</v>
      </c>
      <c r="B6368" s="6" t="s">
        <v>361</v>
      </c>
      <c r="C6368" s="6" t="s">
        <v>6798</v>
      </c>
      <c r="D6368" s="6" t="s">
        <v>4843</v>
      </c>
      <c r="E6368" s="6" t="s">
        <v>6799</v>
      </c>
      <c r="F6368" s="130" t="s">
        <v>6800</v>
      </c>
      <c r="G6368" s="57" t="s">
        <v>11449</v>
      </c>
      <c r="H6368" s="185">
        <v>0</v>
      </c>
      <c r="I6368" s="16">
        <v>470000000</v>
      </c>
      <c r="J6368" s="56" t="s">
        <v>229</v>
      </c>
      <c r="K6368" s="57" t="s">
        <v>641</v>
      </c>
      <c r="L6368" s="57" t="s">
        <v>364</v>
      </c>
      <c r="M6368" s="3" t="s">
        <v>230</v>
      </c>
      <c r="N6368" s="8" t="s">
        <v>8899</v>
      </c>
      <c r="O6368" s="6" t="s">
        <v>365</v>
      </c>
      <c r="P6368" s="58">
        <v>796</v>
      </c>
      <c r="Q6368" s="31" t="s">
        <v>234</v>
      </c>
      <c r="R6368" s="26">
        <v>18</v>
      </c>
      <c r="S6368" s="59">
        <f>91652*1.07</f>
        <v>98067.64</v>
      </c>
      <c r="T6368" s="4">
        <v>0</v>
      </c>
      <c r="U6368" s="4">
        <f t="shared" si="294"/>
        <v>0</v>
      </c>
      <c r="V6368" s="3"/>
      <c r="W6368" s="3">
        <v>2014</v>
      </c>
      <c r="X6368" s="3">
        <v>11.12</v>
      </c>
    </row>
    <row r="6369" spans="1:24" ht="140.25">
      <c r="A6369" s="3" t="s">
        <v>13745</v>
      </c>
      <c r="B6369" s="6" t="s">
        <v>361</v>
      </c>
      <c r="C6369" s="6" t="s">
        <v>6798</v>
      </c>
      <c r="D6369" s="6" t="s">
        <v>4843</v>
      </c>
      <c r="E6369" s="6" t="s">
        <v>6799</v>
      </c>
      <c r="F6369" s="130" t="s">
        <v>6800</v>
      </c>
      <c r="G6369" s="57" t="s">
        <v>11449</v>
      </c>
      <c r="H6369" s="185">
        <v>0</v>
      </c>
      <c r="I6369" s="16">
        <v>470000000</v>
      </c>
      <c r="J6369" s="56" t="s">
        <v>229</v>
      </c>
      <c r="K6369" s="57" t="s">
        <v>642</v>
      </c>
      <c r="L6369" s="12" t="s">
        <v>404</v>
      </c>
      <c r="M6369" s="3" t="s">
        <v>230</v>
      </c>
      <c r="N6369" s="8" t="s">
        <v>8899</v>
      </c>
      <c r="O6369" s="6" t="s">
        <v>365</v>
      </c>
      <c r="P6369" s="58">
        <v>796</v>
      </c>
      <c r="Q6369" s="31" t="s">
        <v>234</v>
      </c>
      <c r="R6369" s="26">
        <v>18</v>
      </c>
      <c r="S6369" s="59">
        <f>91652*1.07</f>
        <v>98067.64</v>
      </c>
      <c r="T6369" s="4">
        <v>0</v>
      </c>
      <c r="U6369" s="4">
        <f>T6369*1.12</f>
        <v>0</v>
      </c>
      <c r="V6369" s="3"/>
      <c r="W6369" s="3">
        <v>2014</v>
      </c>
      <c r="X6369" s="3" t="s">
        <v>14785</v>
      </c>
    </row>
    <row r="6370" spans="1:24" ht="140.25">
      <c r="A6370" s="3" t="s">
        <v>17112</v>
      </c>
      <c r="B6370" s="6" t="s">
        <v>361</v>
      </c>
      <c r="C6370" s="6" t="s">
        <v>6798</v>
      </c>
      <c r="D6370" s="6" t="s">
        <v>4843</v>
      </c>
      <c r="E6370" s="6" t="s">
        <v>6799</v>
      </c>
      <c r="F6370" s="130" t="s">
        <v>6800</v>
      </c>
      <c r="G6370" s="3" t="s">
        <v>11449</v>
      </c>
      <c r="H6370" s="185">
        <v>0</v>
      </c>
      <c r="I6370" s="16">
        <v>470000000</v>
      </c>
      <c r="J6370" s="56" t="s">
        <v>229</v>
      </c>
      <c r="K6370" s="57" t="s">
        <v>8950</v>
      </c>
      <c r="L6370" s="12" t="s">
        <v>404</v>
      </c>
      <c r="M6370" s="3" t="s">
        <v>230</v>
      </c>
      <c r="N6370" s="8" t="s">
        <v>8899</v>
      </c>
      <c r="O6370" s="6" t="s">
        <v>365</v>
      </c>
      <c r="P6370" s="58">
        <v>796</v>
      </c>
      <c r="Q6370" s="31" t="s">
        <v>234</v>
      </c>
      <c r="R6370" s="26">
        <v>18</v>
      </c>
      <c r="S6370" s="59">
        <v>117681.16799999999</v>
      </c>
      <c r="T6370" s="4">
        <f>R6370*S6370</f>
        <v>2118261.0239999997</v>
      </c>
      <c r="U6370" s="4">
        <f>T6370*1.12</f>
        <v>2372452.3468800001</v>
      </c>
      <c r="V6370" s="3"/>
      <c r="W6370" s="3">
        <v>2014</v>
      </c>
      <c r="X6370" s="3"/>
    </row>
    <row r="6371" spans="1:24" ht="153">
      <c r="A6371" s="3" t="s">
        <v>2653</v>
      </c>
      <c r="B6371" s="6" t="s">
        <v>361</v>
      </c>
      <c r="C6371" s="6" t="s">
        <v>6809</v>
      </c>
      <c r="D6371" s="6" t="s">
        <v>4843</v>
      </c>
      <c r="E6371" s="6" t="s">
        <v>6810</v>
      </c>
      <c r="F6371" s="130" t="s">
        <v>6801</v>
      </c>
      <c r="G6371" s="57" t="s">
        <v>11449</v>
      </c>
      <c r="H6371" s="185">
        <v>0</v>
      </c>
      <c r="I6371" s="16">
        <v>470000000</v>
      </c>
      <c r="J6371" s="56" t="s">
        <v>229</v>
      </c>
      <c r="K6371" s="57" t="s">
        <v>641</v>
      </c>
      <c r="L6371" s="57" t="s">
        <v>364</v>
      </c>
      <c r="M6371" s="3" t="s">
        <v>230</v>
      </c>
      <c r="N6371" s="8" t="s">
        <v>8899</v>
      </c>
      <c r="O6371" s="6" t="s">
        <v>365</v>
      </c>
      <c r="P6371" s="58">
        <v>796</v>
      </c>
      <c r="Q6371" s="31" t="s">
        <v>234</v>
      </c>
      <c r="R6371" s="26">
        <v>1</v>
      </c>
      <c r="S6371" s="59">
        <f>62500*1.07</f>
        <v>66875</v>
      </c>
      <c r="T6371" s="4">
        <v>0</v>
      </c>
      <c r="U6371" s="4">
        <f t="shared" si="294"/>
        <v>0</v>
      </c>
      <c r="V6371" s="3"/>
      <c r="W6371" s="3">
        <v>2014</v>
      </c>
      <c r="X6371" s="3">
        <v>11.12</v>
      </c>
    </row>
    <row r="6372" spans="1:24" ht="153">
      <c r="A6372" s="3" t="s">
        <v>13746</v>
      </c>
      <c r="B6372" s="6" t="s">
        <v>361</v>
      </c>
      <c r="C6372" s="6" t="s">
        <v>6809</v>
      </c>
      <c r="D6372" s="6" t="s">
        <v>4843</v>
      </c>
      <c r="E6372" s="6" t="s">
        <v>6810</v>
      </c>
      <c r="F6372" s="130" t="s">
        <v>6801</v>
      </c>
      <c r="G6372" s="57" t="s">
        <v>11449</v>
      </c>
      <c r="H6372" s="185">
        <v>0</v>
      </c>
      <c r="I6372" s="16">
        <v>470000000</v>
      </c>
      <c r="J6372" s="56" t="s">
        <v>229</v>
      </c>
      <c r="K6372" s="57" t="s">
        <v>642</v>
      </c>
      <c r="L6372" s="12" t="s">
        <v>404</v>
      </c>
      <c r="M6372" s="3" t="s">
        <v>230</v>
      </c>
      <c r="N6372" s="8" t="s">
        <v>8899</v>
      </c>
      <c r="O6372" s="6" t="s">
        <v>365</v>
      </c>
      <c r="P6372" s="58">
        <v>796</v>
      </c>
      <c r="Q6372" s="31" t="s">
        <v>234</v>
      </c>
      <c r="R6372" s="26">
        <v>1</v>
      </c>
      <c r="S6372" s="59">
        <f>62500*1.07</f>
        <v>66875</v>
      </c>
      <c r="T6372" s="4">
        <v>0</v>
      </c>
      <c r="U6372" s="4">
        <f>T6372*1.12</f>
        <v>0</v>
      </c>
      <c r="V6372" s="3"/>
      <c r="W6372" s="3">
        <v>2014</v>
      </c>
      <c r="X6372" s="3" t="s">
        <v>14785</v>
      </c>
    </row>
    <row r="6373" spans="1:24" ht="153">
      <c r="A6373" s="3" t="s">
        <v>17113</v>
      </c>
      <c r="B6373" s="6" t="s">
        <v>361</v>
      </c>
      <c r="C6373" s="6" t="s">
        <v>6809</v>
      </c>
      <c r="D6373" s="6" t="s">
        <v>4843</v>
      </c>
      <c r="E6373" s="6" t="s">
        <v>6810</v>
      </c>
      <c r="F6373" s="130" t="s">
        <v>6801</v>
      </c>
      <c r="G6373" s="3" t="s">
        <v>11449</v>
      </c>
      <c r="H6373" s="185">
        <v>0</v>
      </c>
      <c r="I6373" s="16">
        <v>470000000</v>
      </c>
      <c r="J6373" s="56" t="s">
        <v>229</v>
      </c>
      <c r="K6373" s="57" t="s">
        <v>8950</v>
      </c>
      <c r="L6373" s="12" t="s">
        <v>404</v>
      </c>
      <c r="M6373" s="3" t="s">
        <v>230</v>
      </c>
      <c r="N6373" s="8" t="s">
        <v>8899</v>
      </c>
      <c r="O6373" s="6" t="s">
        <v>365</v>
      </c>
      <c r="P6373" s="58">
        <v>796</v>
      </c>
      <c r="Q6373" s="31" t="s">
        <v>234</v>
      </c>
      <c r="R6373" s="26">
        <v>1</v>
      </c>
      <c r="S6373" s="59">
        <v>80250</v>
      </c>
      <c r="T6373" s="4">
        <f>R6373*S6373</f>
        <v>80250</v>
      </c>
      <c r="U6373" s="4">
        <f>T6373*1.12</f>
        <v>89880.000000000015</v>
      </c>
      <c r="V6373" s="3"/>
      <c r="W6373" s="3">
        <v>2014</v>
      </c>
      <c r="X6373" s="3"/>
    </row>
    <row r="6374" spans="1:24" ht="127.5">
      <c r="A6374" s="3" t="s">
        <v>2654</v>
      </c>
      <c r="B6374" s="6" t="s">
        <v>361</v>
      </c>
      <c r="C6374" s="6" t="s">
        <v>7356</v>
      </c>
      <c r="D6374" s="6" t="s">
        <v>4843</v>
      </c>
      <c r="E6374" s="6" t="s">
        <v>11581</v>
      </c>
      <c r="F6374" s="130" t="s">
        <v>6802</v>
      </c>
      <c r="G6374" s="57" t="s">
        <v>11449</v>
      </c>
      <c r="H6374" s="185">
        <v>0</v>
      </c>
      <c r="I6374" s="16">
        <v>470000000</v>
      </c>
      <c r="J6374" s="56" t="s">
        <v>229</v>
      </c>
      <c r="K6374" s="57" t="s">
        <v>641</v>
      </c>
      <c r="L6374" s="57" t="s">
        <v>364</v>
      </c>
      <c r="M6374" s="3" t="s">
        <v>230</v>
      </c>
      <c r="N6374" s="8" t="s">
        <v>8899</v>
      </c>
      <c r="O6374" s="6" t="s">
        <v>365</v>
      </c>
      <c r="P6374" s="58">
        <v>796</v>
      </c>
      <c r="Q6374" s="31" t="s">
        <v>234</v>
      </c>
      <c r="R6374" s="26">
        <v>3</v>
      </c>
      <c r="S6374" s="59">
        <f>32143*1.07</f>
        <v>34393.01</v>
      </c>
      <c r="T6374" s="4">
        <v>0</v>
      </c>
      <c r="U6374" s="4">
        <f t="shared" si="294"/>
        <v>0</v>
      </c>
      <c r="V6374" s="3"/>
      <c r="W6374" s="3">
        <v>2014</v>
      </c>
      <c r="X6374" s="3">
        <v>11.12</v>
      </c>
    </row>
    <row r="6375" spans="1:24" ht="127.5">
      <c r="A6375" s="3" t="s">
        <v>13747</v>
      </c>
      <c r="B6375" s="6" t="s">
        <v>361</v>
      </c>
      <c r="C6375" s="6" t="s">
        <v>7356</v>
      </c>
      <c r="D6375" s="6" t="s">
        <v>4843</v>
      </c>
      <c r="E6375" s="6" t="s">
        <v>11581</v>
      </c>
      <c r="F6375" s="130" t="s">
        <v>6802</v>
      </c>
      <c r="G6375" s="57" t="s">
        <v>11449</v>
      </c>
      <c r="H6375" s="185">
        <v>0</v>
      </c>
      <c r="I6375" s="16">
        <v>470000000</v>
      </c>
      <c r="J6375" s="56" t="s">
        <v>229</v>
      </c>
      <c r="K6375" s="57" t="s">
        <v>642</v>
      </c>
      <c r="L6375" s="12" t="s">
        <v>404</v>
      </c>
      <c r="M6375" s="3" t="s">
        <v>230</v>
      </c>
      <c r="N6375" s="8" t="s">
        <v>8899</v>
      </c>
      <c r="O6375" s="6" t="s">
        <v>365</v>
      </c>
      <c r="P6375" s="58">
        <v>796</v>
      </c>
      <c r="Q6375" s="31" t="s">
        <v>234</v>
      </c>
      <c r="R6375" s="26">
        <v>3</v>
      </c>
      <c r="S6375" s="59">
        <f>32143*1.07</f>
        <v>34393.01</v>
      </c>
      <c r="T6375" s="4">
        <v>0</v>
      </c>
      <c r="U6375" s="4">
        <f>T6375*1.12</f>
        <v>0</v>
      </c>
      <c r="V6375" s="3"/>
      <c r="W6375" s="3">
        <v>2014</v>
      </c>
      <c r="X6375" s="3" t="s">
        <v>14785</v>
      </c>
    </row>
    <row r="6376" spans="1:24" ht="127.5">
      <c r="A6376" s="3" t="s">
        <v>17114</v>
      </c>
      <c r="B6376" s="6" t="s">
        <v>361</v>
      </c>
      <c r="C6376" s="6" t="s">
        <v>7356</v>
      </c>
      <c r="D6376" s="6" t="s">
        <v>4843</v>
      </c>
      <c r="E6376" s="6" t="s">
        <v>11581</v>
      </c>
      <c r="F6376" s="130" t="s">
        <v>6802</v>
      </c>
      <c r="G6376" s="3" t="s">
        <v>11449</v>
      </c>
      <c r="H6376" s="185">
        <v>0</v>
      </c>
      <c r="I6376" s="16">
        <v>470000000</v>
      </c>
      <c r="J6376" s="56" t="s">
        <v>229</v>
      </c>
      <c r="K6376" s="57" t="s">
        <v>8950</v>
      </c>
      <c r="L6376" s="12" t="s">
        <v>404</v>
      </c>
      <c r="M6376" s="3" t="s">
        <v>230</v>
      </c>
      <c r="N6376" s="8" t="s">
        <v>8899</v>
      </c>
      <c r="O6376" s="6" t="s">
        <v>365</v>
      </c>
      <c r="P6376" s="58">
        <v>796</v>
      </c>
      <c r="Q6376" s="31" t="s">
        <v>234</v>
      </c>
      <c r="R6376" s="26">
        <v>3</v>
      </c>
      <c r="S6376" s="59">
        <v>41271.612000000001</v>
      </c>
      <c r="T6376" s="4">
        <f>R6376*S6376</f>
        <v>123814.83600000001</v>
      </c>
      <c r="U6376" s="4">
        <f>T6376*1.12</f>
        <v>138672.61632000003</v>
      </c>
      <c r="V6376" s="3"/>
      <c r="W6376" s="3">
        <v>2014</v>
      </c>
      <c r="X6376" s="3"/>
    </row>
    <row r="6377" spans="1:24" ht="153">
      <c r="A6377" s="3" t="s">
        <v>10716</v>
      </c>
      <c r="B6377" s="6" t="s">
        <v>361</v>
      </c>
      <c r="C6377" s="6" t="s">
        <v>6803</v>
      </c>
      <c r="D6377" s="6" t="s">
        <v>6731</v>
      </c>
      <c r="E6377" s="6" t="s">
        <v>6804</v>
      </c>
      <c r="F6377" s="130" t="s">
        <v>6805</v>
      </c>
      <c r="G6377" s="57" t="s">
        <v>11449</v>
      </c>
      <c r="H6377" s="185">
        <v>0</v>
      </c>
      <c r="I6377" s="16">
        <v>470000000</v>
      </c>
      <c r="J6377" s="56" t="s">
        <v>229</v>
      </c>
      <c r="K6377" s="57" t="s">
        <v>641</v>
      </c>
      <c r="L6377" s="57" t="s">
        <v>364</v>
      </c>
      <c r="M6377" s="3" t="s">
        <v>230</v>
      </c>
      <c r="N6377" s="8" t="s">
        <v>8899</v>
      </c>
      <c r="O6377" s="6" t="s">
        <v>365</v>
      </c>
      <c r="P6377" s="58">
        <v>796</v>
      </c>
      <c r="Q6377" s="31" t="s">
        <v>234</v>
      </c>
      <c r="R6377" s="27">
        <v>19</v>
      </c>
      <c r="S6377" s="59">
        <f>19643*1.07</f>
        <v>21018.010000000002</v>
      </c>
      <c r="T6377" s="4">
        <v>0</v>
      </c>
      <c r="U6377" s="4">
        <f t="shared" si="294"/>
        <v>0</v>
      </c>
      <c r="V6377" s="3"/>
      <c r="W6377" s="3">
        <v>2014</v>
      </c>
      <c r="X6377" s="3">
        <v>11.12</v>
      </c>
    </row>
    <row r="6378" spans="1:24" ht="153">
      <c r="A6378" s="3" t="s">
        <v>13748</v>
      </c>
      <c r="B6378" s="6" t="s">
        <v>361</v>
      </c>
      <c r="C6378" s="6" t="s">
        <v>6803</v>
      </c>
      <c r="D6378" s="6" t="s">
        <v>6731</v>
      </c>
      <c r="E6378" s="6" t="s">
        <v>6804</v>
      </c>
      <c r="F6378" s="130" t="s">
        <v>6805</v>
      </c>
      <c r="G6378" s="57" t="s">
        <v>11449</v>
      </c>
      <c r="H6378" s="185">
        <v>0</v>
      </c>
      <c r="I6378" s="16">
        <v>470000000</v>
      </c>
      <c r="J6378" s="56" t="s">
        <v>229</v>
      </c>
      <c r="K6378" s="57" t="s">
        <v>642</v>
      </c>
      <c r="L6378" s="12" t="s">
        <v>404</v>
      </c>
      <c r="M6378" s="3" t="s">
        <v>230</v>
      </c>
      <c r="N6378" s="8" t="s">
        <v>8899</v>
      </c>
      <c r="O6378" s="6" t="s">
        <v>365</v>
      </c>
      <c r="P6378" s="58">
        <v>796</v>
      </c>
      <c r="Q6378" s="31" t="s">
        <v>234</v>
      </c>
      <c r="R6378" s="27">
        <v>19</v>
      </c>
      <c r="S6378" s="59">
        <f>19643*1.07</f>
        <v>21018.010000000002</v>
      </c>
      <c r="T6378" s="4">
        <v>0</v>
      </c>
      <c r="U6378" s="4">
        <f>T6378*1.12</f>
        <v>0</v>
      </c>
      <c r="V6378" s="3"/>
      <c r="W6378" s="3">
        <v>2014</v>
      </c>
      <c r="X6378" s="3" t="s">
        <v>14785</v>
      </c>
    </row>
    <row r="6379" spans="1:24" ht="153">
      <c r="A6379" s="3" t="s">
        <v>17115</v>
      </c>
      <c r="B6379" s="6" t="s">
        <v>361</v>
      </c>
      <c r="C6379" s="6" t="s">
        <v>6803</v>
      </c>
      <c r="D6379" s="6" t="s">
        <v>6731</v>
      </c>
      <c r="E6379" s="6" t="s">
        <v>6804</v>
      </c>
      <c r="F6379" s="130" t="s">
        <v>6805</v>
      </c>
      <c r="G6379" s="3" t="s">
        <v>11449</v>
      </c>
      <c r="H6379" s="185">
        <v>0</v>
      </c>
      <c r="I6379" s="16">
        <v>470000000</v>
      </c>
      <c r="J6379" s="56" t="s">
        <v>229</v>
      </c>
      <c r="K6379" s="57" t="s">
        <v>8950</v>
      </c>
      <c r="L6379" s="12" t="s">
        <v>404</v>
      </c>
      <c r="M6379" s="3" t="s">
        <v>230</v>
      </c>
      <c r="N6379" s="8" t="s">
        <v>8899</v>
      </c>
      <c r="O6379" s="6" t="s">
        <v>365</v>
      </c>
      <c r="P6379" s="58">
        <v>796</v>
      </c>
      <c r="Q6379" s="31" t="s">
        <v>234</v>
      </c>
      <c r="R6379" s="27">
        <v>19</v>
      </c>
      <c r="S6379" s="59">
        <v>25221.612000000001</v>
      </c>
      <c r="T6379" s="4">
        <f>R6379*S6379</f>
        <v>479210.62800000003</v>
      </c>
      <c r="U6379" s="4">
        <f>T6379*1.12</f>
        <v>536715.90336000011</v>
      </c>
      <c r="V6379" s="3"/>
      <c r="W6379" s="3">
        <v>2014</v>
      </c>
      <c r="X6379" s="3"/>
    </row>
    <row r="6380" spans="1:24" ht="114.75">
      <c r="A6380" s="3" t="s">
        <v>2655</v>
      </c>
      <c r="B6380" s="6" t="s">
        <v>361</v>
      </c>
      <c r="C6380" s="6" t="s">
        <v>6806</v>
      </c>
      <c r="D6380" s="6" t="s">
        <v>4843</v>
      </c>
      <c r="E6380" s="6" t="s">
        <v>6807</v>
      </c>
      <c r="F6380" s="130" t="s">
        <v>6808</v>
      </c>
      <c r="G6380" s="57" t="s">
        <v>11449</v>
      </c>
      <c r="H6380" s="185">
        <v>0</v>
      </c>
      <c r="I6380" s="16">
        <v>470000000</v>
      </c>
      <c r="J6380" s="56" t="s">
        <v>229</v>
      </c>
      <c r="K6380" s="57" t="s">
        <v>641</v>
      </c>
      <c r="L6380" s="57" t="s">
        <v>364</v>
      </c>
      <c r="M6380" s="3" t="s">
        <v>230</v>
      </c>
      <c r="N6380" s="8" t="s">
        <v>8899</v>
      </c>
      <c r="O6380" s="6" t="s">
        <v>365</v>
      </c>
      <c r="P6380" s="58">
        <v>796</v>
      </c>
      <c r="Q6380" s="31" t="s">
        <v>234</v>
      </c>
      <c r="R6380" s="27">
        <v>16</v>
      </c>
      <c r="S6380" s="59">
        <f>247320*1.07</f>
        <v>264632.40000000002</v>
      </c>
      <c r="T6380" s="4">
        <v>0</v>
      </c>
      <c r="U6380" s="4">
        <f t="shared" si="294"/>
        <v>0</v>
      </c>
      <c r="V6380" s="3"/>
      <c r="W6380" s="3">
        <v>2014</v>
      </c>
      <c r="X6380" s="3">
        <v>11.12</v>
      </c>
    </row>
    <row r="6381" spans="1:24" ht="114.75">
      <c r="A6381" s="3" t="s">
        <v>13749</v>
      </c>
      <c r="B6381" s="6" t="s">
        <v>361</v>
      </c>
      <c r="C6381" s="6" t="s">
        <v>6806</v>
      </c>
      <c r="D6381" s="6" t="s">
        <v>4843</v>
      </c>
      <c r="E6381" s="6" t="s">
        <v>6807</v>
      </c>
      <c r="F6381" s="130" t="s">
        <v>6808</v>
      </c>
      <c r="G6381" s="57" t="s">
        <v>11449</v>
      </c>
      <c r="H6381" s="185">
        <v>0</v>
      </c>
      <c r="I6381" s="16">
        <v>470000000</v>
      </c>
      <c r="J6381" s="56" t="s">
        <v>229</v>
      </c>
      <c r="K6381" s="57" t="s">
        <v>642</v>
      </c>
      <c r="L6381" s="12" t="s">
        <v>404</v>
      </c>
      <c r="M6381" s="3" t="s">
        <v>230</v>
      </c>
      <c r="N6381" s="8" t="s">
        <v>8899</v>
      </c>
      <c r="O6381" s="6" t="s">
        <v>365</v>
      </c>
      <c r="P6381" s="58">
        <v>796</v>
      </c>
      <c r="Q6381" s="31" t="s">
        <v>234</v>
      </c>
      <c r="R6381" s="27">
        <v>16</v>
      </c>
      <c r="S6381" s="59">
        <f>247320*1.07</f>
        <v>264632.40000000002</v>
      </c>
      <c r="T6381" s="4">
        <f>R6381*S6381</f>
        <v>4234118.4000000004</v>
      </c>
      <c r="U6381" s="4">
        <f>T6381*1.12</f>
        <v>4742212.6080000009</v>
      </c>
      <c r="V6381" s="3"/>
      <c r="W6381" s="3">
        <v>2014</v>
      </c>
      <c r="X6381" s="3"/>
    </row>
    <row r="6382" spans="1:24" ht="153">
      <c r="A6382" s="3" t="s">
        <v>10717</v>
      </c>
      <c r="B6382" s="6" t="s">
        <v>361</v>
      </c>
      <c r="C6382" s="6" t="s">
        <v>6809</v>
      </c>
      <c r="D6382" s="6" t="s">
        <v>4843</v>
      </c>
      <c r="E6382" s="6" t="s">
        <v>6810</v>
      </c>
      <c r="F6382" s="130" t="s">
        <v>6811</v>
      </c>
      <c r="G6382" s="57" t="s">
        <v>11449</v>
      </c>
      <c r="H6382" s="185">
        <v>0</v>
      </c>
      <c r="I6382" s="16">
        <v>470000000</v>
      </c>
      <c r="J6382" s="56" t="s">
        <v>229</v>
      </c>
      <c r="K6382" s="57" t="s">
        <v>641</v>
      </c>
      <c r="L6382" s="57" t="s">
        <v>364</v>
      </c>
      <c r="M6382" s="3" t="s">
        <v>230</v>
      </c>
      <c r="N6382" s="8" t="s">
        <v>8899</v>
      </c>
      <c r="O6382" s="6" t="s">
        <v>365</v>
      </c>
      <c r="P6382" s="58">
        <v>796</v>
      </c>
      <c r="Q6382" s="31" t="s">
        <v>234</v>
      </c>
      <c r="R6382" s="27">
        <v>8</v>
      </c>
      <c r="S6382" s="59">
        <f>23215*1.07</f>
        <v>24840.050000000003</v>
      </c>
      <c r="T6382" s="4">
        <v>0</v>
      </c>
      <c r="U6382" s="4">
        <f t="shared" si="294"/>
        <v>0</v>
      </c>
      <c r="V6382" s="3"/>
      <c r="W6382" s="3">
        <v>2014</v>
      </c>
      <c r="X6382" s="3">
        <v>11.12</v>
      </c>
    </row>
    <row r="6383" spans="1:24" ht="153">
      <c r="A6383" s="3" t="s">
        <v>13750</v>
      </c>
      <c r="B6383" s="6" t="s">
        <v>361</v>
      </c>
      <c r="C6383" s="6" t="s">
        <v>6809</v>
      </c>
      <c r="D6383" s="6" t="s">
        <v>4843</v>
      </c>
      <c r="E6383" s="6" t="s">
        <v>6810</v>
      </c>
      <c r="F6383" s="130" t="s">
        <v>6811</v>
      </c>
      <c r="G6383" s="57" t="s">
        <v>11449</v>
      </c>
      <c r="H6383" s="185">
        <v>0</v>
      </c>
      <c r="I6383" s="16">
        <v>470000000</v>
      </c>
      <c r="J6383" s="56" t="s">
        <v>229</v>
      </c>
      <c r="K6383" s="57" t="s">
        <v>642</v>
      </c>
      <c r="L6383" s="12" t="s">
        <v>404</v>
      </c>
      <c r="M6383" s="3" t="s">
        <v>230</v>
      </c>
      <c r="N6383" s="8" t="s">
        <v>8899</v>
      </c>
      <c r="O6383" s="6" t="s">
        <v>365</v>
      </c>
      <c r="P6383" s="58">
        <v>796</v>
      </c>
      <c r="Q6383" s="31" t="s">
        <v>234</v>
      </c>
      <c r="R6383" s="27">
        <v>8</v>
      </c>
      <c r="S6383" s="59">
        <f>23215*1.07</f>
        <v>24840.050000000003</v>
      </c>
      <c r="T6383" s="4">
        <f>R6383*S6383</f>
        <v>198720.40000000002</v>
      </c>
      <c r="U6383" s="4">
        <f>T6383*1.12</f>
        <v>222566.84800000006</v>
      </c>
      <c r="V6383" s="3"/>
      <c r="W6383" s="3">
        <v>2014</v>
      </c>
      <c r="X6383" s="3"/>
    </row>
    <row r="6384" spans="1:24" ht="114.75">
      <c r="A6384" s="3" t="s">
        <v>10718</v>
      </c>
      <c r="B6384" s="6" t="s">
        <v>361</v>
      </c>
      <c r="C6384" s="6" t="s">
        <v>6812</v>
      </c>
      <c r="D6384" s="6" t="s">
        <v>4843</v>
      </c>
      <c r="E6384" s="6" t="s">
        <v>6813</v>
      </c>
      <c r="F6384" s="130" t="s">
        <v>6814</v>
      </c>
      <c r="G6384" s="57" t="s">
        <v>11449</v>
      </c>
      <c r="H6384" s="185">
        <v>0</v>
      </c>
      <c r="I6384" s="16">
        <v>470000000</v>
      </c>
      <c r="J6384" s="56" t="s">
        <v>229</v>
      </c>
      <c r="K6384" s="57" t="s">
        <v>641</v>
      </c>
      <c r="L6384" s="57" t="s">
        <v>364</v>
      </c>
      <c r="M6384" s="3" t="s">
        <v>230</v>
      </c>
      <c r="N6384" s="8" t="s">
        <v>8899</v>
      </c>
      <c r="O6384" s="6" t="s">
        <v>365</v>
      </c>
      <c r="P6384" s="58">
        <v>796</v>
      </c>
      <c r="Q6384" s="31" t="s">
        <v>234</v>
      </c>
      <c r="R6384" s="27">
        <v>5</v>
      </c>
      <c r="S6384" s="59">
        <f>44645*1.07</f>
        <v>47770.15</v>
      </c>
      <c r="T6384" s="4">
        <v>0</v>
      </c>
      <c r="U6384" s="4">
        <f t="shared" si="294"/>
        <v>0</v>
      </c>
      <c r="V6384" s="3"/>
      <c r="W6384" s="3">
        <v>2014</v>
      </c>
      <c r="X6384" s="3">
        <v>11.12</v>
      </c>
    </row>
    <row r="6385" spans="1:24" ht="114.75">
      <c r="A6385" s="3" t="s">
        <v>13751</v>
      </c>
      <c r="B6385" s="6" t="s">
        <v>361</v>
      </c>
      <c r="C6385" s="6" t="s">
        <v>6812</v>
      </c>
      <c r="D6385" s="6" t="s">
        <v>4843</v>
      </c>
      <c r="E6385" s="6" t="s">
        <v>6813</v>
      </c>
      <c r="F6385" s="130" t="s">
        <v>6814</v>
      </c>
      <c r="G6385" s="57" t="s">
        <v>11449</v>
      </c>
      <c r="H6385" s="185">
        <v>0</v>
      </c>
      <c r="I6385" s="16">
        <v>470000000</v>
      </c>
      <c r="J6385" s="56" t="s">
        <v>229</v>
      </c>
      <c r="K6385" s="57" t="s">
        <v>642</v>
      </c>
      <c r="L6385" s="12" t="s">
        <v>404</v>
      </c>
      <c r="M6385" s="3" t="s">
        <v>230</v>
      </c>
      <c r="N6385" s="8" t="s">
        <v>8899</v>
      </c>
      <c r="O6385" s="6" t="s">
        <v>365</v>
      </c>
      <c r="P6385" s="58">
        <v>796</v>
      </c>
      <c r="Q6385" s="31" t="s">
        <v>234</v>
      </c>
      <c r="R6385" s="27">
        <v>5</v>
      </c>
      <c r="S6385" s="59">
        <f>44645*1.07</f>
        <v>47770.15</v>
      </c>
      <c r="T6385" s="4">
        <f>R6385*S6385</f>
        <v>238850.75</v>
      </c>
      <c r="U6385" s="4">
        <f>T6385*1.12</f>
        <v>267512.84000000003</v>
      </c>
      <c r="V6385" s="3"/>
      <c r="W6385" s="3">
        <v>2014</v>
      </c>
      <c r="X6385" s="3"/>
    </row>
    <row r="6386" spans="1:24" ht="153">
      <c r="A6386" s="3" t="s">
        <v>10719</v>
      </c>
      <c r="B6386" s="6" t="s">
        <v>361</v>
      </c>
      <c r="C6386" s="6" t="s">
        <v>6815</v>
      </c>
      <c r="D6386" s="6" t="s">
        <v>6731</v>
      </c>
      <c r="E6386" s="6" t="s">
        <v>6816</v>
      </c>
      <c r="F6386" s="130" t="s">
        <v>6817</v>
      </c>
      <c r="G6386" s="57" t="s">
        <v>11449</v>
      </c>
      <c r="H6386" s="185">
        <v>0</v>
      </c>
      <c r="I6386" s="16">
        <v>470000000</v>
      </c>
      <c r="J6386" s="56" t="s">
        <v>229</v>
      </c>
      <c r="K6386" s="57" t="s">
        <v>641</v>
      </c>
      <c r="L6386" s="57" t="s">
        <v>364</v>
      </c>
      <c r="M6386" s="3" t="s">
        <v>230</v>
      </c>
      <c r="N6386" s="8" t="s">
        <v>8899</v>
      </c>
      <c r="O6386" s="6" t="s">
        <v>365</v>
      </c>
      <c r="P6386" s="58">
        <v>796</v>
      </c>
      <c r="Q6386" s="31" t="s">
        <v>234</v>
      </c>
      <c r="R6386" s="27">
        <v>8</v>
      </c>
      <c r="S6386" s="59">
        <f>7232*1.07</f>
        <v>7738.2400000000007</v>
      </c>
      <c r="T6386" s="4">
        <v>0</v>
      </c>
      <c r="U6386" s="4">
        <f t="shared" si="294"/>
        <v>0</v>
      </c>
      <c r="V6386" s="3"/>
      <c r="W6386" s="3">
        <v>2014</v>
      </c>
      <c r="X6386" s="3">
        <v>11.12</v>
      </c>
    </row>
    <row r="6387" spans="1:24" ht="153">
      <c r="A6387" s="3" t="s">
        <v>13752</v>
      </c>
      <c r="B6387" s="6" t="s">
        <v>361</v>
      </c>
      <c r="C6387" s="6" t="s">
        <v>6815</v>
      </c>
      <c r="D6387" s="6" t="s">
        <v>6731</v>
      </c>
      <c r="E6387" s="6" t="s">
        <v>6816</v>
      </c>
      <c r="F6387" s="130" t="s">
        <v>6817</v>
      </c>
      <c r="G6387" s="57" t="s">
        <v>11449</v>
      </c>
      <c r="H6387" s="185">
        <v>0</v>
      </c>
      <c r="I6387" s="16">
        <v>470000000</v>
      </c>
      <c r="J6387" s="56" t="s">
        <v>229</v>
      </c>
      <c r="K6387" s="57" t="s">
        <v>642</v>
      </c>
      <c r="L6387" s="12" t="s">
        <v>404</v>
      </c>
      <c r="M6387" s="3" t="s">
        <v>230</v>
      </c>
      <c r="N6387" s="8" t="s">
        <v>8899</v>
      </c>
      <c r="O6387" s="6" t="s">
        <v>365</v>
      </c>
      <c r="P6387" s="58">
        <v>796</v>
      </c>
      <c r="Q6387" s="31" t="s">
        <v>234</v>
      </c>
      <c r="R6387" s="27">
        <v>8</v>
      </c>
      <c r="S6387" s="59">
        <f>7232*1.07</f>
        <v>7738.2400000000007</v>
      </c>
      <c r="T6387" s="4">
        <v>0</v>
      </c>
      <c r="U6387" s="4">
        <f>T6387*1.12</f>
        <v>0</v>
      </c>
      <c r="V6387" s="3"/>
      <c r="W6387" s="3">
        <v>2014</v>
      </c>
      <c r="X6387" s="3" t="s">
        <v>14785</v>
      </c>
    </row>
    <row r="6388" spans="1:24" ht="153">
      <c r="A6388" s="3" t="s">
        <v>17116</v>
      </c>
      <c r="B6388" s="6" t="s">
        <v>361</v>
      </c>
      <c r="C6388" s="6" t="s">
        <v>6815</v>
      </c>
      <c r="D6388" s="6" t="s">
        <v>6731</v>
      </c>
      <c r="E6388" s="6" t="s">
        <v>6816</v>
      </c>
      <c r="F6388" s="130" t="s">
        <v>6817</v>
      </c>
      <c r="G6388" s="3" t="s">
        <v>11449</v>
      </c>
      <c r="H6388" s="185">
        <v>0</v>
      </c>
      <c r="I6388" s="16">
        <v>470000000</v>
      </c>
      <c r="J6388" s="56" t="s">
        <v>229</v>
      </c>
      <c r="K6388" s="57" t="s">
        <v>8950</v>
      </c>
      <c r="L6388" s="12" t="s">
        <v>404</v>
      </c>
      <c r="M6388" s="3" t="s">
        <v>230</v>
      </c>
      <c r="N6388" s="8" t="s">
        <v>8899</v>
      </c>
      <c r="O6388" s="6" t="s">
        <v>365</v>
      </c>
      <c r="P6388" s="58">
        <v>796</v>
      </c>
      <c r="Q6388" s="327" t="s">
        <v>234</v>
      </c>
      <c r="R6388" s="336">
        <v>8</v>
      </c>
      <c r="S6388" s="59">
        <v>9285.8880000000008</v>
      </c>
      <c r="T6388" s="4">
        <v>0</v>
      </c>
      <c r="U6388" s="4">
        <f t="shared" ref="U6388:U6389" si="296">T6388*1.12</f>
        <v>0</v>
      </c>
      <c r="V6388" s="3"/>
      <c r="W6388" s="3">
        <v>2014</v>
      </c>
      <c r="X6388" s="3" t="s">
        <v>14265</v>
      </c>
    </row>
    <row r="6389" spans="1:24" ht="153">
      <c r="A6389" s="3" t="s">
        <v>19153</v>
      </c>
      <c r="B6389" s="6" t="s">
        <v>361</v>
      </c>
      <c r="C6389" s="6" t="s">
        <v>6815</v>
      </c>
      <c r="D6389" s="6" t="s">
        <v>6731</v>
      </c>
      <c r="E6389" s="6" t="s">
        <v>6816</v>
      </c>
      <c r="F6389" s="130" t="s">
        <v>6817</v>
      </c>
      <c r="G6389" s="3" t="s">
        <v>11449</v>
      </c>
      <c r="H6389" s="185">
        <v>0</v>
      </c>
      <c r="I6389" s="16">
        <v>470000000</v>
      </c>
      <c r="J6389" s="56" t="s">
        <v>229</v>
      </c>
      <c r="K6389" s="57" t="s">
        <v>18437</v>
      </c>
      <c r="L6389" s="12" t="s">
        <v>404</v>
      </c>
      <c r="M6389" s="3" t="s">
        <v>230</v>
      </c>
      <c r="N6389" s="8" t="s">
        <v>19369</v>
      </c>
      <c r="O6389" s="6" t="s">
        <v>19407</v>
      </c>
      <c r="P6389" s="58">
        <v>796</v>
      </c>
      <c r="Q6389" s="327" t="s">
        <v>234</v>
      </c>
      <c r="R6389" s="336">
        <v>8</v>
      </c>
      <c r="S6389" s="59">
        <v>9285.8880000000008</v>
      </c>
      <c r="T6389" s="4">
        <f>R6389*S6389</f>
        <v>74287.104000000007</v>
      </c>
      <c r="U6389" s="4">
        <f t="shared" si="296"/>
        <v>83201.556480000014</v>
      </c>
      <c r="V6389" s="3"/>
      <c r="W6389" s="3">
        <v>2014</v>
      </c>
      <c r="X6389" s="3"/>
    </row>
    <row r="6390" spans="1:24" ht="114.75">
      <c r="A6390" s="3" t="s">
        <v>10720</v>
      </c>
      <c r="B6390" s="6" t="s">
        <v>361</v>
      </c>
      <c r="C6390" s="6" t="s">
        <v>6818</v>
      </c>
      <c r="D6390" s="6" t="s">
        <v>4843</v>
      </c>
      <c r="E6390" s="6" t="s">
        <v>6819</v>
      </c>
      <c r="F6390" s="130" t="s">
        <v>6820</v>
      </c>
      <c r="G6390" s="57" t="s">
        <v>11449</v>
      </c>
      <c r="H6390" s="185">
        <v>0</v>
      </c>
      <c r="I6390" s="16">
        <v>470000000</v>
      </c>
      <c r="J6390" s="56" t="s">
        <v>229</v>
      </c>
      <c r="K6390" s="57" t="s">
        <v>641</v>
      </c>
      <c r="L6390" s="57" t="s">
        <v>364</v>
      </c>
      <c r="M6390" s="3" t="s">
        <v>230</v>
      </c>
      <c r="N6390" s="8" t="s">
        <v>8899</v>
      </c>
      <c r="O6390" s="6" t="s">
        <v>365</v>
      </c>
      <c r="P6390" s="58">
        <v>796</v>
      </c>
      <c r="Q6390" s="31" t="s">
        <v>234</v>
      </c>
      <c r="R6390" s="27">
        <v>1</v>
      </c>
      <c r="S6390" s="59">
        <f>46430*1.07</f>
        <v>49680.100000000006</v>
      </c>
      <c r="T6390" s="4">
        <v>0</v>
      </c>
      <c r="U6390" s="4">
        <f t="shared" si="294"/>
        <v>0</v>
      </c>
      <c r="V6390" s="3"/>
      <c r="W6390" s="3">
        <v>2014</v>
      </c>
      <c r="X6390" s="3">
        <v>11.12</v>
      </c>
    </row>
    <row r="6391" spans="1:24" ht="114.75">
      <c r="A6391" s="3" t="s">
        <v>13753</v>
      </c>
      <c r="B6391" s="6" t="s">
        <v>361</v>
      </c>
      <c r="C6391" s="6" t="s">
        <v>6818</v>
      </c>
      <c r="D6391" s="6" t="s">
        <v>4843</v>
      </c>
      <c r="E6391" s="6" t="s">
        <v>6819</v>
      </c>
      <c r="F6391" s="130" t="s">
        <v>6820</v>
      </c>
      <c r="G6391" s="57" t="s">
        <v>11449</v>
      </c>
      <c r="H6391" s="185">
        <v>0</v>
      </c>
      <c r="I6391" s="16">
        <v>470000000</v>
      </c>
      <c r="J6391" s="56" t="s">
        <v>229</v>
      </c>
      <c r="K6391" s="57" t="s">
        <v>642</v>
      </c>
      <c r="L6391" s="12" t="s">
        <v>404</v>
      </c>
      <c r="M6391" s="3" t="s">
        <v>230</v>
      </c>
      <c r="N6391" s="8" t="s">
        <v>8899</v>
      </c>
      <c r="O6391" s="6" t="s">
        <v>365</v>
      </c>
      <c r="P6391" s="58">
        <v>796</v>
      </c>
      <c r="Q6391" s="31" t="s">
        <v>234</v>
      </c>
      <c r="R6391" s="27">
        <v>1</v>
      </c>
      <c r="S6391" s="59">
        <f>46430*1.07</f>
        <v>49680.100000000006</v>
      </c>
      <c r="T6391" s="4">
        <f>R6391*S6391</f>
        <v>49680.100000000006</v>
      </c>
      <c r="U6391" s="4">
        <f>T6391*1.12</f>
        <v>55641.712000000014</v>
      </c>
      <c r="V6391" s="3"/>
      <c r="W6391" s="3">
        <v>2014</v>
      </c>
      <c r="X6391" s="3"/>
    </row>
    <row r="6392" spans="1:24" ht="127.5">
      <c r="A6392" s="3" t="s">
        <v>10721</v>
      </c>
      <c r="B6392" s="6" t="s">
        <v>361</v>
      </c>
      <c r="C6392" s="6" t="s">
        <v>6821</v>
      </c>
      <c r="D6392" s="6" t="s">
        <v>4843</v>
      </c>
      <c r="E6392" s="6" t="s">
        <v>6822</v>
      </c>
      <c r="F6392" s="130" t="s">
        <v>6823</v>
      </c>
      <c r="G6392" s="57" t="s">
        <v>11449</v>
      </c>
      <c r="H6392" s="185">
        <v>0</v>
      </c>
      <c r="I6392" s="16">
        <v>470000000</v>
      </c>
      <c r="J6392" s="56" t="s">
        <v>229</v>
      </c>
      <c r="K6392" s="57" t="s">
        <v>641</v>
      </c>
      <c r="L6392" s="57" t="s">
        <v>364</v>
      </c>
      <c r="M6392" s="3" t="s">
        <v>230</v>
      </c>
      <c r="N6392" s="8" t="s">
        <v>8899</v>
      </c>
      <c r="O6392" s="6" t="s">
        <v>365</v>
      </c>
      <c r="P6392" s="58">
        <v>796</v>
      </c>
      <c r="Q6392" s="31" t="s">
        <v>234</v>
      </c>
      <c r="R6392" s="27">
        <v>21</v>
      </c>
      <c r="S6392" s="59">
        <v>72764</v>
      </c>
      <c r="T6392" s="4">
        <v>0</v>
      </c>
      <c r="U6392" s="4">
        <f t="shared" si="294"/>
        <v>0</v>
      </c>
      <c r="V6392" s="3"/>
      <c r="W6392" s="3">
        <v>2014</v>
      </c>
      <c r="X6392" s="3">
        <v>11.12</v>
      </c>
    </row>
    <row r="6393" spans="1:24" ht="127.5">
      <c r="A6393" s="3" t="s">
        <v>13754</v>
      </c>
      <c r="B6393" s="6" t="s">
        <v>361</v>
      </c>
      <c r="C6393" s="6" t="s">
        <v>6821</v>
      </c>
      <c r="D6393" s="6" t="s">
        <v>4843</v>
      </c>
      <c r="E6393" s="6" t="s">
        <v>6822</v>
      </c>
      <c r="F6393" s="130" t="s">
        <v>6823</v>
      </c>
      <c r="G6393" s="57" t="s">
        <v>11449</v>
      </c>
      <c r="H6393" s="185">
        <v>0</v>
      </c>
      <c r="I6393" s="16">
        <v>470000000</v>
      </c>
      <c r="J6393" s="56" t="s">
        <v>229</v>
      </c>
      <c r="K6393" s="57" t="s">
        <v>642</v>
      </c>
      <c r="L6393" s="12" t="s">
        <v>404</v>
      </c>
      <c r="M6393" s="3" t="s">
        <v>230</v>
      </c>
      <c r="N6393" s="8" t="s">
        <v>8899</v>
      </c>
      <c r="O6393" s="6" t="s">
        <v>365</v>
      </c>
      <c r="P6393" s="58">
        <v>796</v>
      </c>
      <c r="Q6393" s="31" t="s">
        <v>234</v>
      </c>
      <c r="R6393" s="27">
        <v>21</v>
      </c>
      <c r="S6393" s="59">
        <v>72764</v>
      </c>
      <c r="T6393" s="4">
        <v>0</v>
      </c>
      <c r="U6393" s="4">
        <f>T6393*1.12</f>
        <v>0</v>
      </c>
      <c r="V6393" s="3"/>
      <c r="W6393" s="3">
        <v>2014</v>
      </c>
      <c r="X6393" s="3" t="s">
        <v>14785</v>
      </c>
    </row>
    <row r="6394" spans="1:24" ht="127.5">
      <c r="A6394" s="3" t="s">
        <v>17117</v>
      </c>
      <c r="B6394" s="6" t="s">
        <v>361</v>
      </c>
      <c r="C6394" s="6" t="s">
        <v>6821</v>
      </c>
      <c r="D6394" s="6" t="s">
        <v>4843</v>
      </c>
      <c r="E6394" s="6" t="s">
        <v>6822</v>
      </c>
      <c r="F6394" s="130" t="s">
        <v>6823</v>
      </c>
      <c r="G6394" s="3" t="s">
        <v>11449</v>
      </c>
      <c r="H6394" s="185">
        <v>0</v>
      </c>
      <c r="I6394" s="16">
        <v>470000000</v>
      </c>
      <c r="J6394" s="56" t="s">
        <v>229</v>
      </c>
      <c r="K6394" s="57" t="s">
        <v>8950</v>
      </c>
      <c r="L6394" s="12" t="s">
        <v>404</v>
      </c>
      <c r="M6394" s="3" t="s">
        <v>230</v>
      </c>
      <c r="N6394" s="8" t="s">
        <v>8899</v>
      </c>
      <c r="O6394" s="6" t="s">
        <v>365</v>
      </c>
      <c r="P6394" s="58">
        <v>796</v>
      </c>
      <c r="Q6394" s="31" t="s">
        <v>234</v>
      </c>
      <c r="R6394" s="27">
        <v>21</v>
      </c>
      <c r="S6394" s="59">
        <v>87316.800000000003</v>
      </c>
      <c r="T6394" s="4">
        <f>R6394*S6394</f>
        <v>1833652.8</v>
      </c>
      <c r="U6394" s="4">
        <f>T6394*1.12</f>
        <v>2053691.1360000002</v>
      </c>
      <c r="V6394" s="3"/>
      <c r="W6394" s="3">
        <v>2014</v>
      </c>
      <c r="X6394" s="3"/>
    </row>
    <row r="6395" spans="1:24" ht="153">
      <c r="A6395" s="3" t="s">
        <v>10722</v>
      </c>
      <c r="B6395" s="6" t="s">
        <v>361</v>
      </c>
      <c r="C6395" s="6" t="s">
        <v>6824</v>
      </c>
      <c r="D6395" s="6" t="s">
        <v>6731</v>
      </c>
      <c r="E6395" s="6" t="s">
        <v>6825</v>
      </c>
      <c r="F6395" s="130" t="s">
        <v>6826</v>
      </c>
      <c r="G6395" s="57" t="s">
        <v>11449</v>
      </c>
      <c r="H6395" s="185">
        <v>0</v>
      </c>
      <c r="I6395" s="16">
        <v>470000000</v>
      </c>
      <c r="J6395" s="56" t="s">
        <v>229</v>
      </c>
      <c r="K6395" s="57" t="s">
        <v>641</v>
      </c>
      <c r="L6395" s="57" t="s">
        <v>364</v>
      </c>
      <c r="M6395" s="3" t="s">
        <v>230</v>
      </c>
      <c r="N6395" s="8" t="s">
        <v>8899</v>
      </c>
      <c r="O6395" s="6" t="s">
        <v>365</v>
      </c>
      <c r="P6395" s="58">
        <v>796</v>
      </c>
      <c r="Q6395" s="31" t="s">
        <v>234</v>
      </c>
      <c r="R6395" s="27">
        <v>3</v>
      </c>
      <c r="S6395" s="59">
        <v>22950</v>
      </c>
      <c r="T6395" s="4">
        <v>0</v>
      </c>
      <c r="U6395" s="4">
        <f t="shared" si="294"/>
        <v>0</v>
      </c>
      <c r="V6395" s="3"/>
      <c r="W6395" s="3">
        <v>2014</v>
      </c>
      <c r="X6395" s="3">
        <v>11.12</v>
      </c>
    </row>
    <row r="6396" spans="1:24" ht="153">
      <c r="A6396" s="3" t="s">
        <v>13755</v>
      </c>
      <c r="B6396" s="6" t="s">
        <v>361</v>
      </c>
      <c r="C6396" s="6" t="s">
        <v>6824</v>
      </c>
      <c r="D6396" s="6" t="s">
        <v>6731</v>
      </c>
      <c r="E6396" s="6" t="s">
        <v>6825</v>
      </c>
      <c r="F6396" s="130" t="s">
        <v>6826</v>
      </c>
      <c r="G6396" s="57" t="s">
        <v>11449</v>
      </c>
      <c r="H6396" s="185">
        <v>0</v>
      </c>
      <c r="I6396" s="16">
        <v>470000000</v>
      </c>
      <c r="J6396" s="56" t="s">
        <v>229</v>
      </c>
      <c r="K6396" s="57" t="s">
        <v>642</v>
      </c>
      <c r="L6396" s="12" t="s">
        <v>404</v>
      </c>
      <c r="M6396" s="3" t="s">
        <v>230</v>
      </c>
      <c r="N6396" s="8" t="s">
        <v>8899</v>
      </c>
      <c r="O6396" s="6" t="s">
        <v>365</v>
      </c>
      <c r="P6396" s="58">
        <v>796</v>
      </c>
      <c r="Q6396" s="31" t="s">
        <v>234</v>
      </c>
      <c r="R6396" s="27">
        <v>3</v>
      </c>
      <c r="S6396" s="59">
        <v>22950</v>
      </c>
      <c r="T6396" s="4">
        <f>R6396*S6396</f>
        <v>68850</v>
      </c>
      <c r="U6396" s="4">
        <f>T6396*1.12</f>
        <v>77112.000000000015</v>
      </c>
      <c r="V6396" s="3"/>
      <c r="W6396" s="3">
        <v>2014</v>
      </c>
      <c r="X6396" s="3"/>
    </row>
    <row r="6397" spans="1:24" ht="114.75">
      <c r="A6397" s="3" t="s">
        <v>10723</v>
      </c>
      <c r="B6397" s="6" t="s">
        <v>361</v>
      </c>
      <c r="C6397" s="6" t="s">
        <v>6762</v>
      </c>
      <c r="D6397" s="6" t="s">
        <v>4843</v>
      </c>
      <c r="E6397" s="6" t="s">
        <v>6763</v>
      </c>
      <c r="F6397" s="130" t="s">
        <v>6827</v>
      </c>
      <c r="G6397" s="57" t="s">
        <v>11449</v>
      </c>
      <c r="H6397" s="185">
        <v>0</v>
      </c>
      <c r="I6397" s="16">
        <v>470000000</v>
      </c>
      <c r="J6397" s="56" t="s">
        <v>229</v>
      </c>
      <c r="K6397" s="57" t="s">
        <v>641</v>
      </c>
      <c r="L6397" s="57" t="s">
        <v>364</v>
      </c>
      <c r="M6397" s="3" t="s">
        <v>230</v>
      </c>
      <c r="N6397" s="8" t="s">
        <v>8899</v>
      </c>
      <c r="O6397" s="6" t="s">
        <v>365</v>
      </c>
      <c r="P6397" s="58">
        <v>796</v>
      </c>
      <c r="Q6397" s="31" t="s">
        <v>234</v>
      </c>
      <c r="R6397" s="27">
        <v>3</v>
      </c>
      <c r="S6397" s="59">
        <v>205000</v>
      </c>
      <c r="T6397" s="4">
        <v>0</v>
      </c>
      <c r="U6397" s="4">
        <f t="shared" si="294"/>
        <v>0</v>
      </c>
      <c r="V6397" s="3"/>
      <c r="W6397" s="3">
        <v>2014</v>
      </c>
      <c r="X6397" s="3">
        <v>11.12</v>
      </c>
    </row>
    <row r="6398" spans="1:24" ht="114.75">
      <c r="A6398" s="3" t="s">
        <v>13756</v>
      </c>
      <c r="B6398" s="6" t="s">
        <v>361</v>
      </c>
      <c r="C6398" s="6" t="s">
        <v>6762</v>
      </c>
      <c r="D6398" s="6" t="s">
        <v>4843</v>
      </c>
      <c r="E6398" s="6" t="s">
        <v>6763</v>
      </c>
      <c r="F6398" s="130" t="s">
        <v>6827</v>
      </c>
      <c r="G6398" s="57" t="s">
        <v>11449</v>
      </c>
      <c r="H6398" s="185">
        <v>0</v>
      </c>
      <c r="I6398" s="16">
        <v>470000000</v>
      </c>
      <c r="J6398" s="56" t="s">
        <v>229</v>
      </c>
      <c r="K6398" s="57" t="s">
        <v>642</v>
      </c>
      <c r="L6398" s="12" t="s">
        <v>404</v>
      </c>
      <c r="M6398" s="3" t="s">
        <v>230</v>
      </c>
      <c r="N6398" s="8" t="s">
        <v>8899</v>
      </c>
      <c r="O6398" s="6" t="s">
        <v>365</v>
      </c>
      <c r="P6398" s="58">
        <v>796</v>
      </c>
      <c r="Q6398" s="31" t="s">
        <v>234</v>
      </c>
      <c r="R6398" s="27">
        <v>3</v>
      </c>
      <c r="S6398" s="59">
        <v>205000</v>
      </c>
      <c r="T6398" s="4">
        <f>R6398*S6398</f>
        <v>615000</v>
      </c>
      <c r="U6398" s="4">
        <f>T6398*1.12</f>
        <v>688800.00000000012</v>
      </c>
      <c r="V6398" s="3"/>
      <c r="W6398" s="3">
        <v>2014</v>
      </c>
      <c r="X6398" s="3"/>
    </row>
    <row r="6399" spans="1:24" ht="114.75">
      <c r="A6399" s="3" t="s">
        <v>10724</v>
      </c>
      <c r="B6399" s="6" t="s">
        <v>361</v>
      </c>
      <c r="C6399" s="6" t="s">
        <v>7691</v>
      </c>
      <c r="D6399" s="6" t="s">
        <v>4843</v>
      </c>
      <c r="E6399" s="6" t="s">
        <v>7692</v>
      </c>
      <c r="F6399" s="130" t="s">
        <v>6828</v>
      </c>
      <c r="G6399" s="57" t="s">
        <v>11449</v>
      </c>
      <c r="H6399" s="185">
        <v>0</v>
      </c>
      <c r="I6399" s="16">
        <v>470000000</v>
      </c>
      <c r="J6399" s="56" t="s">
        <v>229</v>
      </c>
      <c r="K6399" s="57" t="s">
        <v>641</v>
      </c>
      <c r="L6399" s="57" t="s">
        <v>364</v>
      </c>
      <c r="M6399" s="3" t="s">
        <v>230</v>
      </c>
      <c r="N6399" s="8" t="s">
        <v>8899</v>
      </c>
      <c r="O6399" s="6" t="s">
        <v>365</v>
      </c>
      <c r="P6399" s="58">
        <v>796</v>
      </c>
      <c r="Q6399" s="31" t="s">
        <v>234</v>
      </c>
      <c r="R6399" s="27">
        <v>8</v>
      </c>
      <c r="S6399" s="59">
        <v>300000</v>
      </c>
      <c r="T6399" s="4">
        <v>0</v>
      </c>
      <c r="U6399" s="4">
        <f t="shared" si="294"/>
        <v>0</v>
      </c>
      <c r="V6399" s="3"/>
      <c r="W6399" s="3">
        <v>2014</v>
      </c>
      <c r="X6399" s="3">
        <v>11.12</v>
      </c>
    </row>
    <row r="6400" spans="1:24" ht="114.75">
      <c r="A6400" s="3" t="s">
        <v>13757</v>
      </c>
      <c r="B6400" s="6" t="s">
        <v>361</v>
      </c>
      <c r="C6400" s="6" t="s">
        <v>7691</v>
      </c>
      <c r="D6400" s="6" t="s">
        <v>4843</v>
      </c>
      <c r="E6400" s="6" t="s">
        <v>7692</v>
      </c>
      <c r="F6400" s="130" t="s">
        <v>6828</v>
      </c>
      <c r="G6400" s="57" t="s">
        <v>11449</v>
      </c>
      <c r="H6400" s="185">
        <v>0</v>
      </c>
      <c r="I6400" s="16">
        <v>470000000</v>
      </c>
      <c r="J6400" s="56" t="s">
        <v>229</v>
      </c>
      <c r="K6400" s="57" t="s">
        <v>642</v>
      </c>
      <c r="L6400" s="12" t="s">
        <v>404</v>
      </c>
      <c r="M6400" s="3" t="s">
        <v>230</v>
      </c>
      <c r="N6400" s="8" t="s">
        <v>8899</v>
      </c>
      <c r="O6400" s="6" t="s">
        <v>365</v>
      </c>
      <c r="P6400" s="58">
        <v>796</v>
      </c>
      <c r="Q6400" s="31" t="s">
        <v>234</v>
      </c>
      <c r="R6400" s="27">
        <v>8</v>
      </c>
      <c r="S6400" s="59">
        <v>300000</v>
      </c>
      <c r="T6400" s="4">
        <f>R6400*S6400</f>
        <v>2400000</v>
      </c>
      <c r="U6400" s="4">
        <f>T6400*1.12</f>
        <v>2688000.0000000005</v>
      </c>
      <c r="V6400" s="3"/>
      <c r="W6400" s="3">
        <v>2014</v>
      </c>
      <c r="X6400" s="3"/>
    </row>
    <row r="6401" spans="1:24" ht="114.75">
      <c r="A6401" s="3" t="s">
        <v>2656</v>
      </c>
      <c r="B6401" s="6" t="s">
        <v>361</v>
      </c>
      <c r="C6401" s="6" t="s">
        <v>6829</v>
      </c>
      <c r="D6401" s="6" t="s">
        <v>4843</v>
      </c>
      <c r="E6401" s="6" t="s">
        <v>6830</v>
      </c>
      <c r="F6401" s="130" t="s">
        <v>6831</v>
      </c>
      <c r="G6401" s="57" t="s">
        <v>11449</v>
      </c>
      <c r="H6401" s="185">
        <v>0</v>
      </c>
      <c r="I6401" s="16">
        <v>470000000</v>
      </c>
      <c r="J6401" s="56" t="s">
        <v>229</v>
      </c>
      <c r="K6401" s="57" t="s">
        <v>641</v>
      </c>
      <c r="L6401" s="57" t="s">
        <v>364</v>
      </c>
      <c r="M6401" s="3" t="s">
        <v>230</v>
      </c>
      <c r="N6401" s="8" t="s">
        <v>8899</v>
      </c>
      <c r="O6401" s="6" t="s">
        <v>365</v>
      </c>
      <c r="P6401" s="58">
        <v>796</v>
      </c>
      <c r="Q6401" s="31" t="s">
        <v>234</v>
      </c>
      <c r="R6401" s="27">
        <v>13</v>
      </c>
      <c r="S6401" s="59">
        <v>30650</v>
      </c>
      <c r="T6401" s="4">
        <v>0</v>
      </c>
      <c r="U6401" s="4">
        <f t="shared" si="294"/>
        <v>0</v>
      </c>
      <c r="V6401" s="3"/>
      <c r="W6401" s="3">
        <v>2014</v>
      </c>
      <c r="X6401" s="3">
        <v>11.12</v>
      </c>
    </row>
    <row r="6402" spans="1:24" ht="114.75">
      <c r="A6402" s="3" t="s">
        <v>13758</v>
      </c>
      <c r="B6402" s="6" t="s">
        <v>361</v>
      </c>
      <c r="C6402" s="6" t="s">
        <v>6829</v>
      </c>
      <c r="D6402" s="6" t="s">
        <v>4843</v>
      </c>
      <c r="E6402" s="6" t="s">
        <v>6830</v>
      </c>
      <c r="F6402" s="130" t="s">
        <v>6831</v>
      </c>
      <c r="G6402" s="57" t="s">
        <v>11449</v>
      </c>
      <c r="H6402" s="185">
        <v>0</v>
      </c>
      <c r="I6402" s="16">
        <v>470000000</v>
      </c>
      <c r="J6402" s="56" t="s">
        <v>229</v>
      </c>
      <c r="K6402" s="57" t="s">
        <v>642</v>
      </c>
      <c r="L6402" s="12" t="s">
        <v>404</v>
      </c>
      <c r="M6402" s="3" t="s">
        <v>230</v>
      </c>
      <c r="N6402" s="8" t="s">
        <v>8899</v>
      </c>
      <c r="O6402" s="6" t="s">
        <v>365</v>
      </c>
      <c r="P6402" s="58">
        <v>796</v>
      </c>
      <c r="Q6402" s="31" t="s">
        <v>234</v>
      </c>
      <c r="R6402" s="27">
        <v>13</v>
      </c>
      <c r="S6402" s="59">
        <v>30650</v>
      </c>
      <c r="T6402" s="4">
        <v>0</v>
      </c>
      <c r="U6402" s="4">
        <f>T6402*1.12</f>
        <v>0</v>
      </c>
      <c r="V6402" s="3"/>
      <c r="W6402" s="3">
        <v>2014</v>
      </c>
      <c r="X6402" s="3" t="s">
        <v>14785</v>
      </c>
    </row>
    <row r="6403" spans="1:24" ht="114.75">
      <c r="A6403" s="3" t="s">
        <v>18152</v>
      </c>
      <c r="B6403" s="6" t="s">
        <v>361</v>
      </c>
      <c r="C6403" s="6" t="s">
        <v>6829</v>
      </c>
      <c r="D6403" s="6" t="s">
        <v>4843</v>
      </c>
      <c r="E6403" s="6" t="s">
        <v>6830</v>
      </c>
      <c r="F6403" s="130" t="s">
        <v>6831</v>
      </c>
      <c r="G6403" s="3" t="s">
        <v>11449</v>
      </c>
      <c r="H6403" s="185">
        <v>0</v>
      </c>
      <c r="I6403" s="16">
        <v>470000000</v>
      </c>
      <c r="J6403" s="56" t="s">
        <v>229</v>
      </c>
      <c r="K6403" s="57" t="s">
        <v>8950</v>
      </c>
      <c r="L6403" s="12" t="s">
        <v>404</v>
      </c>
      <c r="M6403" s="3" t="s">
        <v>230</v>
      </c>
      <c r="N6403" s="8" t="s">
        <v>8899</v>
      </c>
      <c r="O6403" s="6" t="s">
        <v>365</v>
      </c>
      <c r="P6403" s="58">
        <v>796</v>
      </c>
      <c r="Q6403" s="327" t="s">
        <v>234</v>
      </c>
      <c r="R6403" s="336">
        <v>13</v>
      </c>
      <c r="S6403" s="59">
        <v>36780</v>
      </c>
      <c r="T6403" s="4">
        <v>0</v>
      </c>
      <c r="U6403" s="4">
        <f t="shared" ref="U6403:U6404" si="297">T6403*1.12</f>
        <v>0</v>
      </c>
      <c r="V6403" s="3"/>
      <c r="W6403" s="3">
        <v>2014</v>
      </c>
      <c r="X6403" s="3" t="s">
        <v>19350</v>
      </c>
    </row>
    <row r="6404" spans="1:24" ht="89.25">
      <c r="A6404" s="3" t="s">
        <v>19152</v>
      </c>
      <c r="B6404" s="6" t="s">
        <v>361</v>
      </c>
      <c r="C6404" s="6" t="s">
        <v>6829</v>
      </c>
      <c r="D6404" s="6" t="s">
        <v>4843</v>
      </c>
      <c r="E6404" s="6" t="s">
        <v>6830</v>
      </c>
      <c r="F6404" s="130" t="s">
        <v>6831</v>
      </c>
      <c r="G6404" s="3" t="s">
        <v>11449</v>
      </c>
      <c r="H6404" s="185">
        <v>0</v>
      </c>
      <c r="I6404" s="16">
        <v>470000000</v>
      </c>
      <c r="J6404" s="56" t="s">
        <v>229</v>
      </c>
      <c r="K6404" s="57" t="s">
        <v>18437</v>
      </c>
      <c r="L6404" s="12" t="s">
        <v>404</v>
      </c>
      <c r="M6404" s="3" t="s">
        <v>230</v>
      </c>
      <c r="N6404" s="8" t="s">
        <v>19369</v>
      </c>
      <c r="O6404" s="6" t="s">
        <v>19388</v>
      </c>
      <c r="P6404" s="58">
        <v>796</v>
      </c>
      <c r="Q6404" s="327" t="s">
        <v>234</v>
      </c>
      <c r="R6404" s="336">
        <v>13</v>
      </c>
      <c r="S6404" s="59">
        <v>61500</v>
      </c>
      <c r="T6404" s="4">
        <f>R6404*S6404</f>
        <v>799500</v>
      </c>
      <c r="U6404" s="4">
        <f t="shared" si="297"/>
        <v>895440.00000000012</v>
      </c>
      <c r="V6404" s="3"/>
      <c r="W6404" s="3">
        <v>2014</v>
      </c>
      <c r="X6404" s="3"/>
    </row>
    <row r="6405" spans="1:24" ht="114.75">
      <c r="A6405" s="3" t="s">
        <v>2657</v>
      </c>
      <c r="B6405" s="6" t="s">
        <v>361</v>
      </c>
      <c r="C6405" s="6" t="s">
        <v>7357</v>
      </c>
      <c r="D6405" s="6" t="s">
        <v>4843</v>
      </c>
      <c r="E6405" s="6" t="s">
        <v>11582</v>
      </c>
      <c r="F6405" s="130" t="s">
        <v>6832</v>
      </c>
      <c r="G6405" s="57" t="s">
        <v>11449</v>
      </c>
      <c r="H6405" s="185">
        <v>0</v>
      </c>
      <c r="I6405" s="16">
        <v>470000000</v>
      </c>
      <c r="J6405" s="56" t="s">
        <v>229</v>
      </c>
      <c r="K6405" s="57" t="s">
        <v>641</v>
      </c>
      <c r="L6405" s="57" t="s">
        <v>364</v>
      </c>
      <c r="M6405" s="3" t="s">
        <v>230</v>
      </c>
      <c r="N6405" s="8" t="s">
        <v>8899</v>
      </c>
      <c r="O6405" s="6" t="s">
        <v>365</v>
      </c>
      <c r="P6405" s="58">
        <v>796</v>
      </c>
      <c r="Q6405" s="31" t="s">
        <v>234</v>
      </c>
      <c r="R6405" s="27">
        <v>13</v>
      </c>
      <c r="S6405" s="59">
        <v>7800</v>
      </c>
      <c r="T6405" s="4">
        <v>0</v>
      </c>
      <c r="U6405" s="4">
        <f t="shared" si="294"/>
        <v>0</v>
      </c>
      <c r="V6405" s="3"/>
      <c r="W6405" s="3">
        <v>2014</v>
      </c>
      <c r="X6405" s="3">
        <v>11.12</v>
      </c>
    </row>
    <row r="6406" spans="1:24" ht="114.75">
      <c r="A6406" s="3" t="s">
        <v>13759</v>
      </c>
      <c r="B6406" s="6" t="s">
        <v>361</v>
      </c>
      <c r="C6406" s="6" t="s">
        <v>7357</v>
      </c>
      <c r="D6406" s="6" t="s">
        <v>4843</v>
      </c>
      <c r="E6406" s="6" t="s">
        <v>11582</v>
      </c>
      <c r="F6406" s="130" t="s">
        <v>6832</v>
      </c>
      <c r="G6406" s="57" t="s">
        <v>11449</v>
      </c>
      <c r="H6406" s="185">
        <v>0</v>
      </c>
      <c r="I6406" s="16">
        <v>470000000</v>
      </c>
      <c r="J6406" s="56" t="s">
        <v>229</v>
      </c>
      <c r="K6406" s="57" t="s">
        <v>642</v>
      </c>
      <c r="L6406" s="12" t="s">
        <v>404</v>
      </c>
      <c r="M6406" s="3" t="s">
        <v>230</v>
      </c>
      <c r="N6406" s="8" t="s">
        <v>8899</v>
      </c>
      <c r="O6406" s="6" t="s">
        <v>365</v>
      </c>
      <c r="P6406" s="58">
        <v>796</v>
      </c>
      <c r="Q6406" s="31" t="s">
        <v>234</v>
      </c>
      <c r="R6406" s="27">
        <v>13</v>
      </c>
      <c r="S6406" s="59">
        <v>7800</v>
      </c>
      <c r="T6406" s="4">
        <f>R6406*S6406</f>
        <v>101400</v>
      </c>
      <c r="U6406" s="4">
        <f>T6406*1.12</f>
        <v>113568.00000000001</v>
      </c>
      <c r="V6406" s="3"/>
      <c r="W6406" s="3">
        <v>2014</v>
      </c>
      <c r="X6406" s="3"/>
    </row>
    <row r="6407" spans="1:24" ht="114.75">
      <c r="A6407" s="3" t="s">
        <v>2658</v>
      </c>
      <c r="B6407" s="6" t="s">
        <v>361</v>
      </c>
      <c r="C6407" s="6" t="s">
        <v>7358</v>
      </c>
      <c r="D6407" s="6" t="s">
        <v>4843</v>
      </c>
      <c r="E6407" s="6" t="s">
        <v>7359</v>
      </c>
      <c r="F6407" s="130" t="s">
        <v>6833</v>
      </c>
      <c r="G6407" s="57" t="s">
        <v>11449</v>
      </c>
      <c r="H6407" s="185">
        <v>0</v>
      </c>
      <c r="I6407" s="16">
        <v>470000000</v>
      </c>
      <c r="J6407" s="56" t="s">
        <v>229</v>
      </c>
      <c r="K6407" s="57" t="s">
        <v>641</v>
      </c>
      <c r="L6407" s="57" t="s">
        <v>364</v>
      </c>
      <c r="M6407" s="3" t="s">
        <v>230</v>
      </c>
      <c r="N6407" s="8" t="s">
        <v>8899</v>
      </c>
      <c r="O6407" s="6" t="s">
        <v>365</v>
      </c>
      <c r="P6407" s="58">
        <v>796</v>
      </c>
      <c r="Q6407" s="31" t="s">
        <v>234</v>
      </c>
      <c r="R6407" s="27">
        <v>9</v>
      </c>
      <c r="S6407" s="59">
        <v>71500</v>
      </c>
      <c r="T6407" s="4">
        <v>0</v>
      </c>
      <c r="U6407" s="4">
        <f t="shared" si="294"/>
        <v>0</v>
      </c>
      <c r="V6407" s="3"/>
      <c r="W6407" s="3">
        <v>2014</v>
      </c>
      <c r="X6407" s="3">
        <v>11.12</v>
      </c>
    </row>
    <row r="6408" spans="1:24" ht="114.75">
      <c r="A6408" s="3" t="s">
        <v>13760</v>
      </c>
      <c r="B6408" s="6" t="s">
        <v>361</v>
      </c>
      <c r="C6408" s="6" t="s">
        <v>7358</v>
      </c>
      <c r="D6408" s="6" t="s">
        <v>4843</v>
      </c>
      <c r="E6408" s="6" t="s">
        <v>7359</v>
      </c>
      <c r="F6408" s="130" t="s">
        <v>6833</v>
      </c>
      <c r="G6408" s="57" t="s">
        <v>11449</v>
      </c>
      <c r="H6408" s="185">
        <v>0</v>
      </c>
      <c r="I6408" s="16">
        <v>470000000</v>
      </c>
      <c r="J6408" s="56" t="s">
        <v>229</v>
      </c>
      <c r="K6408" s="57" t="s">
        <v>642</v>
      </c>
      <c r="L6408" s="12" t="s">
        <v>404</v>
      </c>
      <c r="M6408" s="3" t="s">
        <v>230</v>
      </c>
      <c r="N6408" s="8" t="s">
        <v>8899</v>
      </c>
      <c r="O6408" s="6" t="s">
        <v>365</v>
      </c>
      <c r="P6408" s="58">
        <v>796</v>
      </c>
      <c r="Q6408" s="31" t="s">
        <v>234</v>
      </c>
      <c r="R6408" s="27">
        <v>9</v>
      </c>
      <c r="S6408" s="59">
        <v>71500</v>
      </c>
      <c r="T6408" s="4">
        <f>R6408*S6408</f>
        <v>643500</v>
      </c>
      <c r="U6408" s="4">
        <f>T6408*1.12</f>
        <v>720720.00000000012</v>
      </c>
      <c r="V6408" s="3"/>
      <c r="W6408" s="3">
        <v>2014</v>
      </c>
      <c r="X6408" s="3"/>
    </row>
    <row r="6409" spans="1:24" ht="114.75">
      <c r="A6409" s="3" t="s">
        <v>2659</v>
      </c>
      <c r="B6409" s="6" t="s">
        <v>361</v>
      </c>
      <c r="C6409" s="6" t="s">
        <v>7360</v>
      </c>
      <c r="D6409" s="6" t="s">
        <v>4843</v>
      </c>
      <c r="E6409" s="6" t="s">
        <v>7361</v>
      </c>
      <c r="F6409" s="130" t="s">
        <v>6834</v>
      </c>
      <c r="G6409" s="57" t="s">
        <v>11449</v>
      </c>
      <c r="H6409" s="185">
        <v>0</v>
      </c>
      <c r="I6409" s="16">
        <v>470000000</v>
      </c>
      <c r="J6409" s="56" t="s">
        <v>229</v>
      </c>
      <c r="K6409" s="57" t="s">
        <v>641</v>
      </c>
      <c r="L6409" s="57" t="s">
        <v>364</v>
      </c>
      <c r="M6409" s="3" t="s">
        <v>230</v>
      </c>
      <c r="N6409" s="8" t="s">
        <v>8899</v>
      </c>
      <c r="O6409" s="6" t="s">
        <v>365</v>
      </c>
      <c r="P6409" s="58">
        <v>796</v>
      </c>
      <c r="Q6409" s="31" t="s">
        <v>234</v>
      </c>
      <c r="R6409" s="27">
        <v>3</v>
      </c>
      <c r="S6409" s="59">
        <v>158000</v>
      </c>
      <c r="T6409" s="4">
        <v>0</v>
      </c>
      <c r="U6409" s="4">
        <f t="shared" si="294"/>
        <v>0</v>
      </c>
      <c r="V6409" s="3"/>
      <c r="W6409" s="3">
        <v>2014</v>
      </c>
      <c r="X6409" s="3">
        <v>11.12</v>
      </c>
    </row>
    <row r="6410" spans="1:24" ht="114.75">
      <c r="A6410" s="3" t="s">
        <v>13761</v>
      </c>
      <c r="B6410" s="6" t="s">
        <v>361</v>
      </c>
      <c r="C6410" s="6" t="s">
        <v>7360</v>
      </c>
      <c r="D6410" s="6" t="s">
        <v>4843</v>
      </c>
      <c r="E6410" s="6" t="s">
        <v>7361</v>
      </c>
      <c r="F6410" s="130" t="s">
        <v>6834</v>
      </c>
      <c r="G6410" s="57" t="s">
        <v>11449</v>
      </c>
      <c r="H6410" s="185">
        <v>0</v>
      </c>
      <c r="I6410" s="16">
        <v>470000000</v>
      </c>
      <c r="J6410" s="56" t="s">
        <v>229</v>
      </c>
      <c r="K6410" s="57" t="s">
        <v>642</v>
      </c>
      <c r="L6410" s="12" t="s">
        <v>404</v>
      </c>
      <c r="M6410" s="3" t="s">
        <v>230</v>
      </c>
      <c r="N6410" s="8" t="s">
        <v>8899</v>
      </c>
      <c r="O6410" s="6" t="s">
        <v>365</v>
      </c>
      <c r="P6410" s="58">
        <v>796</v>
      </c>
      <c r="Q6410" s="31" t="s">
        <v>234</v>
      </c>
      <c r="R6410" s="27">
        <v>3</v>
      </c>
      <c r="S6410" s="59">
        <v>158000</v>
      </c>
      <c r="T6410" s="4">
        <v>0</v>
      </c>
      <c r="U6410" s="4">
        <f>T6410*1.12</f>
        <v>0</v>
      </c>
      <c r="V6410" s="3"/>
      <c r="W6410" s="3">
        <v>2014</v>
      </c>
      <c r="X6410" s="3" t="s">
        <v>14785</v>
      </c>
    </row>
    <row r="6411" spans="1:24" ht="114.75">
      <c r="A6411" s="3" t="s">
        <v>17118</v>
      </c>
      <c r="B6411" s="6" t="s">
        <v>361</v>
      </c>
      <c r="C6411" s="6" t="s">
        <v>7360</v>
      </c>
      <c r="D6411" s="6" t="s">
        <v>4843</v>
      </c>
      <c r="E6411" s="6" t="s">
        <v>7361</v>
      </c>
      <c r="F6411" s="130" t="s">
        <v>6834</v>
      </c>
      <c r="G6411" s="3" t="s">
        <v>11449</v>
      </c>
      <c r="H6411" s="185">
        <v>0</v>
      </c>
      <c r="I6411" s="16">
        <v>470000000</v>
      </c>
      <c r="J6411" s="56" t="s">
        <v>229</v>
      </c>
      <c r="K6411" s="57" t="s">
        <v>8950</v>
      </c>
      <c r="L6411" s="12" t="s">
        <v>404</v>
      </c>
      <c r="M6411" s="3" t="s">
        <v>230</v>
      </c>
      <c r="N6411" s="8" t="s">
        <v>8899</v>
      </c>
      <c r="O6411" s="6" t="s">
        <v>365</v>
      </c>
      <c r="P6411" s="58">
        <v>796</v>
      </c>
      <c r="Q6411" s="31" t="s">
        <v>234</v>
      </c>
      <c r="R6411" s="27">
        <v>3</v>
      </c>
      <c r="S6411" s="59">
        <v>189600</v>
      </c>
      <c r="T6411" s="4">
        <f>R6411*S6411</f>
        <v>568800</v>
      </c>
      <c r="U6411" s="4">
        <f>T6411*1.12</f>
        <v>637056.00000000012</v>
      </c>
      <c r="V6411" s="3"/>
      <c r="W6411" s="3">
        <v>2014</v>
      </c>
      <c r="X6411" s="3"/>
    </row>
    <row r="6412" spans="1:24" ht="153">
      <c r="A6412" s="3" t="s">
        <v>2660</v>
      </c>
      <c r="B6412" s="6" t="s">
        <v>361</v>
      </c>
      <c r="C6412" s="6" t="s">
        <v>6835</v>
      </c>
      <c r="D6412" s="6" t="s">
        <v>6731</v>
      </c>
      <c r="E6412" s="6" t="s">
        <v>6836</v>
      </c>
      <c r="F6412" s="130" t="s">
        <v>6837</v>
      </c>
      <c r="G6412" s="57" t="s">
        <v>11449</v>
      </c>
      <c r="H6412" s="185">
        <v>0</v>
      </c>
      <c r="I6412" s="16">
        <v>470000000</v>
      </c>
      <c r="J6412" s="56" t="s">
        <v>229</v>
      </c>
      <c r="K6412" s="57" t="s">
        <v>641</v>
      </c>
      <c r="L6412" s="57" t="s">
        <v>364</v>
      </c>
      <c r="M6412" s="3" t="s">
        <v>230</v>
      </c>
      <c r="N6412" s="8" t="s">
        <v>8899</v>
      </c>
      <c r="O6412" s="6" t="s">
        <v>365</v>
      </c>
      <c r="P6412" s="58">
        <v>796</v>
      </c>
      <c r="Q6412" s="31" t="s">
        <v>234</v>
      </c>
      <c r="R6412" s="27">
        <v>16</v>
      </c>
      <c r="S6412" s="59">
        <v>8000</v>
      </c>
      <c r="T6412" s="4">
        <v>0</v>
      </c>
      <c r="U6412" s="4">
        <f t="shared" si="294"/>
        <v>0</v>
      </c>
      <c r="V6412" s="3"/>
      <c r="W6412" s="3">
        <v>2014</v>
      </c>
      <c r="X6412" s="3">
        <v>11.12</v>
      </c>
    </row>
    <row r="6413" spans="1:24" ht="153">
      <c r="A6413" s="3" t="s">
        <v>13762</v>
      </c>
      <c r="B6413" s="6" t="s">
        <v>361</v>
      </c>
      <c r="C6413" s="6" t="s">
        <v>6835</v>
      </c>
      <c r="D6413" s="6" t="s">
        <v>6731</v>
      </c>
      <c r="E6413" s="6" t="s">
        <v>6836</v>
      </c>
      <c r="F6413" s="130" t="s">
        <v>6837</v>
      </c>
      <c r="G6413" s="57" t="s">
        <v>11449</v>
      </c>
      <c r="H6413" s="185">
        <v>0</v>
      </c>
      <c r="I6413" s="16">
        <v>470000000</v>
      </c>
      <c r="J6413" s="56" t="s">
        <v>229</v>
      </c>
      <c r="K6413" s="57" t="s">
        <v>642</v>
      </c>
      <c r="L6413" s="12" t="s">
        <v>404</v>
      </c>
      <c r="M6413" s="3" t="s">
        <v>230</v>
      </c>
      <c r="N6413" s="8" t="s">
        <v>8899</v>
      </c>
      <c r="O6413" s="6" t="s">
        <v>365</v>
      </c>
      <c r="P6413" s="58">
        <v>796</v>
      </c>
      <c r="Q6413" s="31" t="s">
        <v>234</v>
      </c>
      <c r="R6413" s="27">
        <v>16</v>
      </c>
      <c r="S6413" s="59">
        <v>8000</v>
      </c>
      <c r="T6413" s="4">
        <f>R6413*S6413</f>
        <v>128000</v>
      </c>
      <c r="U6413" s="4">
        <f>T6413*1.12</f>
        <v>143360</v>
      </c>
      <c r="V6413" s="3"/>
      <c r="W6413" s="3">
        <v>2014</v>
      </c>
      <c r="X6413" s="3"/>
    </row>
    <row r="6414" spans="1:24" ht="114.75">
      <c r="A6414" s="3" t="s">
        <v>2661</v>
      </c>
      <c r="B6414" s="6" t="s">
        <v>361</v>
      </c>
      <c r="C6414" s="6" t="s">
        <v>6838</v>
      </c>
      <c r="D6414" s="6" t="s">
        <v>496</v>
      </c>
      <c r="E6414" s="6" t="s">
        <v>6839</v>
      </c>
      <c r="F6414" s="30" t="s">
        <v>6840</v>
      </c>
      <c r="G6414" s="57" t="s">
        <v>11449</v>
      </c>
      <c r="H6414" s="185">
        <v>0</v>
      </c>
      <c r="I6414" s="16">
        <v>470000000</v>
      </c>
      <c r="J6414" s="56" t="s">
        <v>229</v>
      </c>
      <c r="K6414" s="57" t="s">
        <v>641</v>
      </c>
      <c r="L6414" s="57" t="s">
        <v>364</v>
      </c>
      <c r="M6414" s="3" t="s">
        <v>230</v>
      </c>
      <c r="N6414" s="8" t="s">
        <v>8899</v>
      </c>
      <c r="O6414" s="6" t="s">
        <v>365</v>
      </c>
      <c r="P6414" s="58">
        <v>796</v>
      </c>
      <c r="Q6414" s="31" t="s">
        <v>234</v>
      </c>
      <c r="R6414" s="27">
        <v>60</v>
      </c>
      <c r="S6414" s="59">
        <f>2455*1.07</f>
        <v>2626.8500000000004</v>
      </c>
      <c r="T6414" s="4">
        <v>0</v>
      </c>
      <c r="U6414" s="4">
        <f t="shared" ref="U6414:U6424" si="298">T6414*1.12</f>
        <v>0</v>
      </c>
      <c r="V6414" s="3"/>
      <c r="W6414" s="3">
        <v>2014</v>
      </c>
      <c r="X6414" s="3">
        <v>11.12</v>
      </c>
    </row>
    <row r="6415" spans="1:24" ht="114.75">
      <c r="A6415" s="3" t="s">
        <v>13763</v>
      </c>
      <c r="B6415" s="6" t="s">
        <v>361</v>
      </c>
      <c r="C6415" s="6" t="s">
        <v>6838</v>
      </c>
      <c r="D6415" s="6" t="s">
        <v>496</v>
      </c>
      <c r="E6415" s="6" t="s">
        <v>6839</v>
      </c>
      <c r="F6415" s="30" t="s">
        <v>6840</v>
      </c>
      <c r="G6415" s="57" t="s">
        <v>11449</v>
      </c>
      <c r="H6415" s="185">
        <v>0</v>
      </c>
      <c r="I6415" s="16">
        <v>470000000</v>
      </c>
      <c r="J6415" s="56" t="s">
        <v>229</v>
      </c>
      <c r="K6415" s="57" t="s">
        <v>642</v>
      </c>
      <c r="L6415" s="12" t="s">
        <v>404</v>
      </c>
      <c r="M6415" s="3" t="s">
        <v>230</v>
      </c>
      <c r="N6415" s="8" t="s">
        <v>8899</v>
      </c>
      <c r="O6415" s="6" t="s">
        <v>365</v>
      </c>
      <c r="P6415" s="58">
        <v>796</v>
      </c>
      <c r="Q6415" s="31" t="s">
        <v>234</v>
      </c>
      <c r="R6415" s="27">
        <v>60</v>
      </c>
      <c r="S6415" s="59">
        <f>2455*1.07</f>
        <v>2626.8500000000004</v>
      </c>
      <c r="T6415" s="4">
        <f>R6415*S6415</f>
        <v>157611.00000000003</v>
      </c>
      <c r="U6415" s="4">
        <f>T6415*1.12</f>
        <v>176524.32000000004</v>
      </c>
      <c r="V6415" s="3"/>
      <c r="W6415" s="3">
        <v>2014</v>
      </c>
      <c r="X6415" s="3"/>
    </row>
    <row r="6416" spans="1:24" ht="114.75">
      <c r="A6416" s="3" t="s">
        <v>2662</v>
      </c>
      <c r="B6416" s="6" t="s">
        <v>361</v>
      </c>
      <c r="C6416" s="6" t="s">
        <v>6841</v>
      </c>
      <c r="D6416" s="6" t="s">
        <v>496</v>
      </c>
      <c r="E6416" s="6" t="s">
        <v>6842</v>
      </c>
      <c r="F6416" s="30" t="s">
        <v>6843</v>
      </c>
      <c r="G6416" s="57" t="s">
        <v>11449</v>
      </c>
      <c r="H6416" s="185">
        <v>0</v>
      </c>
      <c r="I6416" s="16">
        <v>470000000</v>
      </c>
      <c r="J6416" s="56" t="s">
        <v>229</v>
      </c>
      <c r="K6416" s="57" t="s">
        <v>641</v>
      </c>
      <c r="L6416" s="57" t="s">
        <v>364</v>
      </c>
      <c r="M6416" s="3" t="s">
        <v>230</v>
      </c>
      <c r="N6416" s="8" t="s">
        <v>8899</v>
      </c>
      <c r="O6416" s="6" t="s">
        <v>365</v>
      </c>
      <c r="P6416" s="58">
        <v>796</v>
      </c>
      <c r="Q6416" s="31" t="s">
        <v>234</v>
      </c>
      <c r="R6416" s="27">
        <v>80</v>
      </c>
      <c r="S6416" s="59">
        <f>3125*1.07</f>
        <v>3343.75</v>
      </c>
      <c r="T6416" s="4">
        <v>0</v>
      </c>
      <c r="U6416" s="4">
        <f t="shared" si="298"/>
        <v>0</v>
      </c>
      <c r="V6416" s="3"/>
      <c r="W6416" s="3">
        <v>2014</v>
      </c>
      <c r="X6416" s="3">
        <v>11.12</v>
      </c>
    </row>
    <row r="6417" spans="1:24" ht="114.75">
      <c r="A6417" s="3" t="s">
        <v>13764</v>
      </c>
      <c r="B6417" s="6" t="s">
        <v>361</v>
      </c>
      <c r="C6417" s="6" t="s">
        <v>6841</v>
      </c>
      <c r="D6417" s="6" t="s">
        <v>496</v>
      </c>
      <c r="E6417" s="6" t="s">
        <v>6842</v>
      </c>
      <c r="F6417" s="30" t="s">
        <v>6843</v>
      </c>
      <c r="G6417" s="57" t="s">
        <v>11449</v>
      </c>
      <c r="H6417" s="185">
        <v>0</v>
      </c>
      <c r="I6417" s="16">
        <v>470000000</v>
      </c>
      <c r="J6417" s="56" t="s">
        <v>229</v>
      </c>
      <c r="K6417" s="57" t="s">
        <v>642</v>
      </c>
      <c r="L6417" s="12" t="s">
        <v>404</v>
      </c>
      <c r="M6417" s="3" t="s">
        <v>230</v>
      </c>
      <c r="N6417" s="8" t="s">
        <v>8899</v>
      </c>
      <c r="O6417" s="6" t="s">
        <v>365</v>
      </c>
      <c r="P6417" s="58">
        <v>796</v>
      </c>
      <c r="Q6417" s="31" t="s">
        <v>234</v>
      </c>
      <c r="R6417" s="27">
        <v>80</v>
      </c>
      <c r="S6417" s="59">
        <f>3125*1.07</f>
        <v>3343.75</v>
      </c>
      <c r="T6417" s="4">
        <f>R6417*S6417</f>
        <v>267500</v>
      </c>
      <c r="U6417" s="4">
        <f>T6417*1.12</f>
        <v>299600</v>
      </c>
      <c r="V6417" s="3"/>
      <c r="W6417" s="3">
        <v>2014</v>
      </c>
      <c r="X6417" s="3"/>
    </row>
    <row r="6418" spans="1:24" ht="114.75">
      <c r="A6418" s="3" t="s">
        <v>2663</v>
      </c>
      <c r="B6418" s="6" t="s">
        <v>361</v>
      </c>
      <c r="C6418" s="6" t="s">
        <v>6844</v>
      </c>
      <c r="D6418" s="6" t="s">
        <v>496</v>
      </c>
      <c r="E6418" s="6" t="s">
        <v>6845</v>
      </c>
      <c r="F6418" s="30" t="s">
        <v>6846</v>
      </c>
      <c r="G6418" s="57" t="s">
        <v>11449</v>
      </c>
      <c r="H6418" s="185">
        <v>0</v>
      </c>
      <c r="I6418" s="16">
        <v>470000000</v>
      </c>
      <c r="J6418" s="56" t="s">
        <v>229</v>
      </c>
      <c r="K6418" s="57" t="s">
        <v>641</v>
      </c>
      <c r="L6418" s="57" t="s">
        <v>364</v>
      </c>
      <c r="M6418" s="3" t="s">
        <v>230</v>
      </c>
      <c r="N6418" s="8" t="s">
        <v>8899</v>
      </c>
      <c r="O6418" s="6" t="s">
        <v>365</v>
      </c>
      <c r="P6418" s="58">
        <v>796</v>
      </c>
      <c r="Q6418" s="31" t="s">
        <v>234</v>
      </c>
      <c r="R6418" s="27">
        <v>100</v>
      </c>
      <c r="S6418" s="59">
        <f>4645*1.07</f>
        <v>4970.1500000000005</v>
      </c>
      <c r="T6418" s="4">
        <v>0</v>
      </c>
      <c r="U6418" s="4">
        <f t="shared" si="298"/>
        <v>0</v>
      </c>
      <c r="V6418" s="3"/>
      <c r="W6418" s="3">
        <v>2014</v>
      </c>
      <c r="X6418" s="3">
        <v>11.12</v>
      </c>
    </row>
    <row r="6419" spans="1:24" ht="114.75">
      <c r="A6419" s="3" t="s">
        <v>13765</v>
      </c>
      <c r="B6419" s="6" t="s">
        <v>361</v>
      </c>
      <c r="C6419" s="6" t="s">
        <v>6844</v>
      </c>
      <c r="D6419" s="6" t="s">
        <v>496</v>
      </c>
      <c r="E6419" s="6" t="s">
        <v>6845</v>
      </c>
      <c r="F6419" s="30" t="s">
        <v>6846</v>
      </c>
      <c r="G6419" s="57" t="s">
        <v>11449</v>
      </c>
      <c r="H6419" s="185">
        <v>0</v>
      </c>
      <c r="I6419" s="16">
        <v>470000000</v>
      </c>
      <c r="J6419" s="56" t="s">
        <v>229</v>
      </c>
      <c r="K6419" s="57" t="s">
        <v>642</v>
      </c>
      <c r="L6419" s="12" t="s">
        <v>404</v>
      </c>
      <c r="M6419" s="3" t="s">
        <v>230</v>
      </c>
      <c r="N6419" s="8" t="s">
        <v>8899</v>
      </c>
      <c r="O6419" s="6" t="s">
        <v>365</v>
      </c>
      <c r="P6419" s="58">
        <v>796</v>
      </c>
      <c r="Q6419" s="31" t="s">
        <v>234</v>
      </c>
      <c r="R6419" s="27">
        <v>100</v>
      </c>
      <c r="S6419" s="59">
        <f>4645*1.07</f>
        <v>4970.1500000000005</v>
      </c>
      <c r="T6419" s="4">
        <f>R6419*S6419</f>
        <v>497015.00000000006</v>
      </c>
      <c r="U6419" s="4">
        <f>T6419*1.12</f>
        <v>556656.80000000016</v>
      </c>
      <c r="V6419" s="3"/>
      <c r="W6419" s="3">
        <v>2014</v>
      </c>
      <c r="X6419" s="3"/>
    </row>
    <row r="6420" spans="1:24" ht="114.75">
      <c r="A6420" s="3" t="s">
        <v>2664</v>
      </c>
      <c r="B6420" s="6" t="s">
        <v>361</v>
      </c>
      <c r="C6420" s="6" t="s">
        <v>6847</v>
      </c>
      <c r="D6420" s="6" t="s">
        <v>496</v>
      </c>
      <c r="E6420" s="6" t="s">
        <v>6848</v>
      </c>
      <c r="F6420" s="30" t="s">
        <v>6849</v>
      </c>
      <c r="G6420" s="57" t="s">
        <v>11449</v>
      </c>
      <c r="H6420" s="185">
        <v>0</v>
      </c>
      <c r="I6420" s="16">
        <v>470000000</v>
      </c>
      <c r="J6420" s="56" t="s">
        <v>229</v>
      </c>
      <c r="K6420" s="57" t="s">
        <v>641</v>
      </c>
      <c r="L6420" s="57" t="s">
        <v>364</v>
      </c>
      <c r="M6420" s="3" t="s">
        <v>230</v>
      </c>
      <c r="N6420" s="8" t="s">
        <v>8899</v>
      </c>
      <c r="O6420" s="6" t="s">
        <v>365</v>
      </c>
      <c r="P6420" s="58">
        <v>796</v>
      </c>
      <c r="Q6420" s="31" t="s">
        <v>234</v>
      </c>
      <c r="R6420" s="27">
        <v>20</v>
      </c>
      <c r="S6420" s="59">
        <v>5085</v>
      </c>
      <c r="T6420" s="4">
        <v>0</v>
      </c>
      <c r="U6420" s="4">
        <f t="shared" si="298"/>
        <v>0</v>
      </c>
      <c r="V6420" s="3"/>
      <c r="W6420" s="3">
        <v>2014</v>
      </c>
      <c r="X6420" s="3">
        <v>11.12</v>
      </c>
    </row>
    <row r="6421" spans="1:24" ht="114.75">
      <c r="A6421" s="3" t="s">
        <v>13766</v>
      </c>
      <c r="B6421" s="6" t="s">
        <v>361</v>
      </c>
      <c r="C6421" s="6" t="s">
        <v>6847</v>
      </c>
      <c r="D6421" s="6" t="s">
        <v>496</v>
      </c>
      <c r="E6421" s="6" t="s">
        <v>6848</v>
      </c>
      <c r="F6421" s="30" t="s">
        <v>6849</v>
      </c>
      <c r="G6421" s="57" t="s">
        <v>11449</v>
      </c>
      <c r="H6421" s="185">
        <v>0</v>
      </c>
      <c r="I6421" s="16">
        <v>470000000</v>
      </c>
      <c r="J6421" s="56" t="s">
        <v>229</v>
      </c>
      <c r="K6421" s="57" t="s">
        <v>642</v>
      </c>
      <c r="L6421" s="12" t="s">
        <v>404</v>
      </c>
      <c r="M6421" s="3" t="s">
        <v>230</v>
      </c>
      <c r="N6421" s="8" t="s">
        <v>8899</v>
      </c>
      <c r="O6421" s="6" t="s">
        <v>365</v>
      </c>
      <c r="P6421" s="58">
        <v>796</v>
      </c>
      <c r="Q6421" s="31" t="s">
        <v>234</v>
      </c>
      <c r="R6421" s="27">
        <v>20</v>
      </c>
      <c r="S6421" s="59">
        <v>5085</v>
      </c>
      <c r="T6421" s="4">
        <f>R6421*S6421</f>
        <v>101700</v>
      </c>
      <c r="U6421" s="4">
        <f>T6421*1.12</f>
        <v>113904.00000000001</v>
      </c>
      <c r="V6421" s="3"/>
      <c r="W6421" s="3">
        <v>2014</v>
      </c>
      <c r="X6421" s="3"/>
    </row>
    <row r="6422" spans="1:24" ht="114.75">
      <c r="A6422" s="3" t="s">
        <v>2665</v>
      </c>
      <c r="B6422" s="6" t="s">
        <v>361</v>
      </c>
      <c r="C6422" s="6" t="s">
        <v>6850</v>
      </c>
      <c r="D6422" s="6" t="s">
        <v>496</v>
      </c>
      <c r="E6422" s="6" t="s">
        <v>11583</v>
      </c>
      <c r="F6422" s="30" t="s">
        <v>6851</v>
      </c>
      <c r="G6422" s="57" t="s">
        <v>11449</v>
      </c>
      <c r="H6422" s="185">
        <v>0</v>
      </c>
      <c r="I6422" s="16">
        <v>470000000</v>
      </c>
      <c r="J6422" s="56" t="s">
        <v>229</v>
      </c>
      <c r="K6422" s="57" t="s">
        <v>641</v>
      </c>
      <c r="L6422" s="57" t="s">
        <v>364</v>
      </c>
      <c r="M6422" s="3" t="s">
        <v>230</v>
      </c>
      <c r="N6422" s="8" t="s">
        <v>8899</v>
      </c>
      <c r="O6422" s="6" t="s">
        <v>365</v>
      </c>
      <c r="P6422" s="58">
        <v>796</v>
      </c>
      <c r="Q6422" s="31" t="s">
        <v>234</v>
      </c>
      <c r="R6422" s="27">
        <v>120</v>
      </c>
      <c r="S6422" s="59">
        <f>4820*1.07</f>
        <v>5157.4000000000005</v>
      </c>
      <c r="T6422" s="4">
        <v>0</v>
      </c>
      <c r="U6422" s="4">
        <f t="shared" si="298"/>
        <v>0</v>
      </c>
      <c r="V6422" s="3"/>
      <c r="W6422" s="3">
        <v>2014</v>
      </c>
      <c r="X6422" s="3">
        <v>11.12</v>
      </c>
    </row>
    <row r="6423" spans="1:24" ht="114.75">
      <c r="A6423" s="3" t="s">
        <v>13767</v>
      </c>
      <c r="B6423" s="6" t="s">
        <v>361</v>
      </c>
      <c r="C6423" s="6" t="s">
        <v>6850</v>
      </c>
      <c r="D6423" s="6" t="s">
        <v>496</v>
      </c>
      <c r="E6423" s="6" t="s">
        <v>11583</v>
      </c>
      <c r="F6423" s="30" t="s">
        <v>6851</v>
      </c>
      <c r="G6423" s="57" t="s">
        <v>11449</v>
      </c>
      <c r="H6423" s="185">
        <v>0</v>
      </c>
      <c r="I6423" s="16">
        <v>470000000</v>
      </c>
      <c r="J6423" s="56" t="s">
        <v>229</v>
      </c>
      <c r="K6423" s="57" t="s">
        <v>642</v>
      </c>
      <c r="L6423" s="12" t="s">
        <v>404</v>
      </c>
      <c r="M6423" s="3" t="s">
        <v>230</v>
      </c>
      <c r="N6423" s="8" t="s">
        <v>8899</v>
      </c>
      <c r="O6423" s="6" t="s">
        <v>365</v>
      </c>
      <c r="P6423" s="58">
        <v>796</v>
      </c>
      <c r="Q6423" s="31" t="s">
        <v>234</v>
      </c>
      <c r="R6423" s="27">
        <v>120</v>
      </c>
      <c r="S6423" s="59">
        <f>4820*1.07</f>
        <v>5157.4000000000005</v>
      </c>
      <c r="T6423" s="4">
        <f>R6423*S6423</f>
        <v>618888.00000000012</v>
      </c>
      <c r="U6423" s="4">
        <f>T6423*1.12</f>
        <v>693154.56000000017</v>
      </c>
      <c r="V6423" s="3"/>
      <c r="W6423" s="3">
        <v>2014</v>
      </c>
      <c r="X6423" s="3"/>
    </row>
    <row r="6424" spans="1:24" ht="114.75">
      <c r="A6424" s="3" t="s">
        <v>2666</v>
      </c>
      <c r="B6424" s="6" t="s">
        <v>361</v>
      </c>
      <c r="C6424" s="6" t="s">
        <v>6852</v>
      </c>
      <c r="D6424" s="6" t="s">
        <v>496</v>
      </c>
      <c r="E6424" s="6" t="s">
        <v>6853</v>
      </c>
      <c r="F6424" s="30" t="s">
        <v>6854</v>
      </c>
      <c r="G6424" s="57" t="s">
        <v>11449</v>
      </c>
      <c r="H6424" s="185">
        <v>0</v>
      </c>
      <c r="I6424" s="16">
        <v>470000000</v>
      </c>
      <c r="J6424" s="56" t="s">
        <v>229</v>
      </c>
      <c r="K6424" s="57" t="s">
        <v>641</v>
      </c>
      <c r="L6424" s="57" t="s">
        <v>364</v>
      </c>
      <c r="M6424" s="3" t="s">
        <v>230</v>
      </c>
      <c r="N6424" s="8" t="s">
        <v>8899</v>
      </c>
      <c r="O6424" s="6" t="s">
        <v>365</v>
      </c>
      <c r="P6424" s="58">
        <v>796</v>
      </c>
      <c r="Q6424" s="31" t="s">
        <v>234</v>
      </c>
      <c r="R6424" s="27">
        <v>100</v>
      </c>
      <c r="S6424" s="59">
        <f>1430*1.07</f>
        <v>1530.1000000000001</v>
      </c>
      <c r="T6424" s="4">
        <v>0</v>
      </c>
      <c r="U6424" s="4">
        <f t="shared" si="298"/>
        <v>0</v>
      </c>
      <c r="V6424" s="3"/>
      <c r="W6424" s="3">
        <v>2014</v>
      </c>
      <c r="X6424" s="3">
        <v>11.12</v>
      </c>
    </row>
    <row r="6425" spans="1:24" ht="114.75">
      <c r="A6425" s="3" t="s">
        <v>13768</v>
      </c>
      <c r="B6425" s="6" t="s">
        <v>361</v>
      </c>
      <c r="C6425" s="6" t="s">
        <v>6852</v>
      </c>
      <c r="D6425" s="6" t="s">
        <v>496</v>
      </c>
      <c r="E6425" s="6" t="s">
        <v>6853</v>
      </c>
      <c r="F6425" s="30" t="s">
        <v>6854</v>
      </c>
      <c r="G6425" s="57" t="s">
        <v>11449</v>
      </c>
      <c r="H6425" s="185">
        <v>0</v>
      </c>
      <c r="I6425" s="16">
        <v>470000000</v>
      </c>
      <c r="J6425" s="56" t="s">
        <v>229</v>
      </c>
      <c r="K6425" s="57" t="s">
        <v>642</v>
      </c>
      <c r="L6425" s="12" t="s">
        <v>404</v>
      </c>
      <c r="M6425" s="3" t="s">
        <v>230</v>
      </c>
      <c r="N6425" s="8" t="s">
        <v>8899</v>
      </c>
      <c r="O6425" s="6" t="s">
        <v>365</v>
      </c>
      <c r="P6425" s="58">
        <v>796</v>
      </c>
      <c r="Q6425" s="31" t="s">
        <v>234</v>
      </c>
      <c r="R6425" s="27">
        <v>100</v>
      </c>
      <c r="S6425" s="59">
        <f>1430*1.07</f>
        <v>1530.1000000000001</v>
      </c>
      <c r="T6425" s="4">
        <v>0</v>
      </c>
      <c r="U6425" s="4">
        <f>T6425*1.12</f>
        <v>0</v>
      </c>
      <c r="V6425" s="3"/>
      <c r="W6425" s="3">
        <v>2014</v>
      </c>
      <c r="X6425" s="3" t="s">
        <v>14785</v>
      </c>
    </row>
    <row r="6426" spans="1:24" ht="114.75">
      <c r="A6426" s="3" t="s">
        <v>17119</v>
      </c>
      <c r="B6426" s="6" t="s">
        <v>361</v>
      </c>
      <c r="C6426" s="6" t="s">
        <v>6852</v>
      </c>
      <c r="D6426" s="6" t="s">
        <v>496</v>
      </c>
      <c r="E6426" s="6" t="s">
        <v>6853</v>
      </c>
      <c r="F6426" s="30" t="s">
        <v>6854</v>
      </c>
      <c r="G6426" s="3" t="s">
        <v>11449</v>
      </c>
      <c r="H6426" s="185">
        <v>0</v>
      </c>
      <c r="I6426" s="16">
        <v>470000000</v>
      </c>
      <c r="J6426" s="56" t="s">
        <v>229</v>
      </c>
      <c r="K6426" s="57" t="s">
        <v>8950</v>
      </c>
      <c r="L6426" s="12" t="s">
        <v>404</v>
      </c>
      <c r="M6426" s="3" t="s">
        <v>230</v>
      </c>
      <c r="N6426" s="8" t="s">
        <v>8899</v>
      </c>
      <c r="O6426" s="6" t="s">
        <v>365</v>
      </c>
      <c r="P6426" s="58">
        <v>796</v>
      </c>
      <c r="Q6426" s="31" t="s">
        <v>234</v>
      </c>
      <c r="R6426" s="27">
        <v>100</v>
      </c>
      <c r="S6426" s="59">
        <v>1836.1200000000001</v>
      </c>
      <c r="T6426" s="4">
        <f>R6426*S6426</f>
        <v>183612</v>
      </c>
      <c r="U6426" s="4">
        <f>T6426*1.12</f>
        <v>205645.44000000003</v>
      </c>
      <c r="V6426" s="3"/>
      <c r="W6426" s="3">
        <v>2014</v>
      </c>
      <c r="X6426" s="3"/>
    </row>
    <row r="6427" spans="1:24" ht="114.75">
      <c r="A6427" s="3" t="s">
        <v>2667</v>
      </c>
      <c r="B6427" s="6" t="s">
        <v>361</v>
      </c>
      <c r="C6427" s="6" t="s">
        <v>6855</v>
      </c>
      <c r="D6427" s="6" t="s">
        <v>385</v>
      </c>
      <c r="E6427" s="6" t="s">
        <v>6856</v>
      </c>
      <c r="F6427" s="30" t="s">
        <v>11738</v>
      </c>
      <c r="G6427" s="57" t="s">
        <v>11449</v>
      </c>
      <c r="H6427" s="185">
        <v>0</v>
      </c>
      <c r="I6427" s="16">
        <v>470000000</v>
      </c>
      <c r="J6427" s="56" t="s">
        <v>229</v>
      </c>
      <c r="K6427" s="57" t="s">
        <v>641</v>
      </c>
      <c r="L6427" s="57" t="s">
        <v>364</v>
      </c>
      <c r="M6427" s="3" t="s">
        <v>230</v>
      </c>
      <c r="N6427" s="8" t="s">
        <v>8898</v>
      </c>
      <c r="O6427" s="6" t="s">
        <v>365</v>
      </c>
      <c r="P6427" s="58">
        <v>796</v>
      </c>
      <c r="Q6427" s="31" t="s">
        <v>234</v>
      </c>
      <c r="R6427" s="27">
        <v>16</v>
      </c>
      <c r="S6427" s="59">
        <f>6850*1.07</f>
        <v>7329.5</v>
      </c>
      <c r="T6427" s="4">
        <v>0</v>
      </c>
      <c r="U6427" s="4">
        <f t="shared" ref="U6427:U6439" si="299">T6427*1.12</f>
        <v>0</v>
      </c>
      <c r="V6427" s="3"/>
      <c r="W6427" s="3">
        <v>2014</v>
      </c>
      <c r="X6427" s="3" t="s">
        <v>11817</v>
      </c>
    </row>
    <row r="6428" spans="1:24" ht="114.75">
      <c r="A6428" s="3" t="s">
        <v>13769</v>
      </c>
      <c r="B6428" s="6" t="s">
        <v>361</v>
      </c>
      <c r="C6428" s="6" t="s">
        <v>6855</v>
      </c>
      <c r="D6428" s="6" t="s">
        <v>385</v>
      </c>
      <c r="E6428" s="6" t="s">
        <v>6856</v>
      </c>
      <c r="F6428" s="30" t="s">
        <v>11738</v>
      </c>
      <c r="G6428" s="57" t="s">
        <v>11450</v>
      </c>
      <c r="H6428" s="185">
        <v>0</v>
      </c>
      <c r="I6428" s="16">
        <v>470000000</v>
      </c>
      <c r="J6428" s="56" t="s">
        <v>229</v>
      </c>
      <c r="K6428" s="57" t="s">
        <v>9453</v>
      </c>
      <c r="L6428" s="12" t="s">
        <v>404</v>
      </c>
      <c r="M6428" s="3" t="s">
        <v>230</v>
      </c>
      <c r="N6428" s="8" t="s">
        <v>8898</v>
      </c>
      <c r="O6428" s="6" t="s">
        <v>365</v>
      </c>
      <c r="P6428" s="58">
        <v>796</v>
      </c>
      <c r="Q6428" s="31" t="s">
        <v>234</v>
      </c>
      <c r="R6428" s="27">
        <v>16</v>
      </c>
      <c r="S6428" s="59">
        <f>6850*1.07</f>
        <v>7329.5</v>
      </c>
      <c r="T6428" s="4">
        <v>0</v>
      </c>
      <c r="U6428" s="4">
        <f>T6428*1.12</f>
        <v>0</v>
      </c>
      <c r="V6428" s="3"/>
      <c r="W6428" s="3">
        <v>2014</v>
      </c>
      <c r="X6428" s="3" t="s">
        <v>14785</v>
      </c>
    </row>
    <row r="6429" spans="1:24" ht="114.75">
      <c r="A6429" s="3" t="s">
        <v>17083</v>
      </c>
      <c r="B6429" s="6" t="s">
        <v>361</v>
      </c>
      <c r="C6429" s="6" t="s">
        <v>6855</v>
      </c>
      <c r="D6429" s="6" t="s">
        <v>385</v>
      </c>
      <c r="E6429" s="6" t="s">
        <v>6856</v>
      </c>
      <c r="F6429" s="30" t="s">
        <v>11738</v>
      </c>
      <c r="G6429" s="3" t="s">
        <v>11450</v>
      </c>
      <c r="H6429" s="185">
        <v>0</v>
      </c>
      <c r="I6429" s="16">
        <v>470000000</v>
      </c>
      <c r="J6429" s="56" t="s">
        <v>229</v>
      </c>
      <c r="K6429" s="57" t="s">
        <v>8950</v>
      </c>
      <c r="L6429" s="12" t="s">
        <v>404</v>
      </c>
      <c r="M6429" s="3" t="s">
        <v>230</v>
      </c>
      <c r="N6429" s="8" t="s">
        <v>8898</v>
      </c>
      <c r="O6429" s="6" t="s">
        <v>365</v>
      </c>
      <c r="P6429" s="58">
        <v>796</v>
      </c>
      <c r="Q6429" s="31" t="s">
        <v>234</v>
      </c>
      <c r="R6429" s="27">
        <v>16</v>
      </c>
      <c r="S6429" s="59">
        <v>8795.4</v>
      </c>
      <c r="T6429" s="4">
        <f>R6429*S6429</f>
        <v>140726.39999999999</v>
      </c>
      <c r="U6429" s="4">
        <f>T6429*1.12</f>
        <v>157613.568</v>
      </c>
      <c r="V6429" s="3"/>
      <c r="W6429" s="3">
        <v>2014</v>
      </c>
      <c r="X6429" s="3"/>
    </row>
    <row r="6430" spans="1:24" ht="114.75">
      <c r="A6430" s="3" t="s">
        <v>2668</v>
      </c>
      <c r="B6430" s="6" t="s">
        <v>361</v>
      </c>
      <c r="C6430" s="6" t="s">
        <v>6857</v>
      </c>
      <c r="D6430" s="6" t="s">
        <v>385</v>
      </c>
      <c r="E6430" s="6" t="s">
        <v>6858</v>
      </c>
      <c r="F6430" s="30" t="s">
        <v>11737</v>
      </c>
      <c r="G6430" s="57" t="s">
        <v>11449</v>
      </c>
      <c r="H6430" s="185">
        <v>0</v>
      </c>
      <c r="I6430" s="16">
        <v>470000000</v>
      </c>
      <c r="J6430" s="56" t="s">
        <v>229</v>
      </c>
      <c r="K6430" s="57" t="s">
        <v>641</v>
      </c>
      <c r="L6430" s="57" t="s">
        <v>364</v>
      </c>
      <c r="M6430" s="3" t="s">
        <v>230</v>
      </c>
      <c r="N6430" s="8" t="s">
        <v>8898</v>
      </c>
      <c r="O6430" s="6" t="s">
        <v>365</v>
      </c>
      <c r="P6430" s="58">
        <v>796</v>
      </c>
      <c r="Q6430" s="31" t="s">
        <v>234</v>
      </c>
      <c r="R6430" s="27">
        <v>80</v>
      </c>
      <c r="S6430" s="59">
        <f>10050*1.07</f>
        <v>10753.5</v>
      </c>
      <c r="T6430" s="4">
        <v>0</v>
      </c>
      <c r="U6430" s="4">
        <f t="shared" si="299"/>
        <v>0</v>
      </c>
      <c r="V6430" s="3"/>
      <c r="W6430" s="3">
        <v>2014</v>
      </c>
      <c r="X6430" s="3" t="s">
        <v>11817</v>
      </c>
    </row>
    <row r="6431" spans="1:24" ht="114.75">
      <c r="A6431" s="3" t="s">
        <v>13770</v>
      </c>
      <c r="B6431" s="6" t="s">
        <v>361</v>
      </c>
      <c r="C6431" s="6" t="s">
        <v>6857</v>
      </c>
      <c r="D6431" s="6" t="s">
        <v>385</v>
      </c>
      <c r="E6431" s="6" t="s">
        <v>6858</v>
      </c>
      <c r="F6431" s="30" t="s">
        <v>11737</v>
      </c>
      <c r="G6431" s="57" t="s">
        <v>11450</v>
      </c>
      <c r="H6431" s="185">
        <v>0</v>
      </c>
      <c r="I6431" s="16">
        <v>470000000</v>
      </c>
      <c r="J6431" s="56" t="s">
        <v>229</v>
      </c>
      <c r="K6431" s="57" t="s">
        <v>9453</v>
      </c>
      <c r="L6431" s="12" t="s">
        <v>404</v>
      </c>
      <c r="M6431" s="3" t="s">
        <v>230</v>
      </c>
      <c r="N6431" s="8" t="s">
        <v>8898</v>
      </c>
      <c r="O6431" s="6" t="s">
        <v>365</v>
      </c>
      <c r="P6431" s="58">
        <v>796</v>
      </c>
      <c r="Q6431" s="31" t="s">
        <v>234</v>
      </c>
      <c r="R6431" s="27">
        <v>80</v>
      </c>
      <c r="S6431" s="59">
        <f>10050*1.07</f>
        <v>10753.5</v>
      </c>
      <c r="T6431" s="4">
        <v>0</v>
      </c>
      <c r="U6431" s="4">
        <f>T6431*1.12</f>
        <v>0</v>
      </c>
      <c r="V6431" s="3"/>
      <c r="W6431" s="3">
        <v>2014</v>
      </c>
      <c r="X6431" s="3" t="s">
        <v>14785</v>
      </c>
    </row>
    <row r="6432" spans="1:24" ht="114.75">
      <c r="A6432" s="3" t="s">
        <v>17084</v>
      </c>
      <c r="B6432" s="6" t="s">
        <v>361</v>
      </c>
      <c r="C6432" s="6" t="s">
        <v>6857</v>
      </c>
      <c r="D6432" s="6" t="s">
        <v>385</v>
      </c>
      <c r="E6432" s="6" t="s">
        <v>6858</v>
      </c>
      <c r="F6432" s="30" t="s">
        <v>11737</v>
      </c>
      <c r="G6432" s="3" t="s">
        <v>11450</v>
      </c>
      <c r="H6432" s="185">
        <v>0</v>
      </c>
      <c r="I6432" s="16">
        <v>470000000</v>
      </c>
      <c r="J6432" s="56" t="s">
        <v>229</v>
      </c>
      <c r="K6432" s="57" t="s">
        <v>8950</v>
      </c>
      <c r="L6432" s="12" t="s">
        <v>404</v>
      </c>
      <c r="M6432" s="3" t="s">
        <v>230</v>
      </c>
      <c r="N6432" s="8" t="s">
        <v>8898</v>
      </c>
      <c r="O6432" s="6" t="s">
        <v>365</v>
      </c>
      <c r="P6432" s="58">
        <v>796</v>
      </c>
      <c r="Q6432" s="31" t="s">
        <v>234</v>
      </c>
      <c r="R6432" s="27">
        <v>80</v>
      </c>
      <c r="S6432" s="59">
        <v>12904.199999999999</v>
      </c>
      <c r="T6432" s="4">
        <f>R6432*S6432</f>
        <v>1032335.9999999999</v>
      </c>
      <c r="U6432" s="4">
        <f>T6432*1.12</f>
        <v>1156216.3200000001</v>
      </c>
      <c r="V6432" s="3"/>
      <c r="W6432" s="3">
        <v>2014</v>
      </c>
      <c r="X6432" s="3"/>
    </row>
    <row r="6433" spans="1:24" ht="114.75">
      <c r="A6433" s="3" t="s">
        <v>2669</v>
      </c>
      <c r="B6433" s="6" t="s">
        <v>361</v>
      </c>
      <c r="C6433" s="6" t="s">
        <v>6859</v>
      </c>
      <c r="D6433" s="6" t="s">
        <v>385</v>
      </c>
      <c r="E6433" s="6" t="s">
        <v>6860</v>
      </c>
      <c r="F6433" s="30" t="s">
        <v>11736</v>
      </c>
      <c r="G6433" s="57" t="s">
        <v>11449</v>
      </c>
      <c r="H6433" s="185">
        <v>0</v>
      </c>
      <c r="I6433" s="16">
        <v>470000000</v>
      </c>
      <c r="J6433" s="56" t="s">
        <v>229</v>
      </c>
      <c r="K6433" s="57" t="s">
        <v>641</v>
      </c>
      <c r="L6433" s="57" t="s">
        <v>364</v>
      </c>
      <c r="M6433" s="3" t="s">
        <v>230</v>
      </c>
      <c r="N6433" s="8" t="s">
        <v>8898</v>
      </c>
      <c r="O6433" s="6" t="s">
        <v>365</v>
      </c>
      <c r="P6433" s="58">
        <v>796</v>
      </c>
      <c r="Q6433" s="31" t="s">
        <v>234</v>
      </c>
      <c r="R6433" s="27">
        <v>22</v>
      </c>
      <c r="S6433" s="59">
        <f>11100*1.07</f>
        <v>11877</v>
      </c>
      <c r="T6433" s="4">
        <v>0</v>
      </c>
      <c r="U6433" s="4">
        <f t="shared" si="299"/>
        <v>0</v>
      </c>
      <c r="V6433" s="3"/>
      <c r="W6433" s="3">
        <v>2014</v>
      </c>
      <c r="X6433" s="3" t="s">
        <v>11817</v>
      </c>
    </row>
    <row r="6434" spans="1:24" ht="114.75">
      <c r="A6434" s="3" t="s">
        <v>13771</v>
      </c>
      <c r="B6434" s="6" t="s">
        <v>361</v>
      </c>
      <c r="C6434" s="6" t="s">
        <v>6859</v>
      </c>
      <c r="D6434" s="6" t="s">
        <v>385</v>
      </c>
      <c r="E6434" s="6" t="s">
        <v>6860</v>
      </c>
      <c r="F6434" s="30" t="s">
        <v>11736</v>
      </c>
      <c r="G6434" s="57" t="s">
        <v>11450</v>
      </c>
      <c r="H6434" s="185">
        <v>0</v>
      </c>
      <c r="I6434" s="16">
        <v>470000000</v>
      </c>
      <c r="J6434" s="56" t="s">
        <v>229</v>
      </c>
      <c r="K6434" s="57" t="s">
        <v>9453</v>
      </c>
      <c r="L6434" s="12" t="s">
        <v>404</v>
      </c>
      <c r="M6434" s="3" t="s">
        <v>230</v>
      </c>
      <c r="N6434" s="8" t="s">
        <v>8898</v>
      </c>
      <c r="O6434" s="6" t="s">
        <v>365</v>
      </c>
      <c r="P6434" s="58">
        <v>796</v>
      </c>
      <c r="Q6434" s="31" t="s">
        <v>234</v>
      </c>
      <c r="R6434" s="27">
        <v>22</v>
      </c>
      <c r="S6434" s="59">
        <f>11100*1.07</f>
        <v>11877</v>
      </c>
      <c r="T6434" s="4">
        <v>0</v>
      </c>
      <c r="U6434" s="4">
        <f>T6434*1.12</f>
        <v>0</v>
      </c>
      <c r="V6434" s="3"/>
      <c r="W6434" s="3">
        <v>2014</v>
      </c>
      <c r="X6434" s="3" t="s">
        <v>14785</v>
      </c>
    </row>
    <row r="6435" spans="1:24" ht="114.75">
      <c r="A6435" s="3" t="s">
        <v>17085</v>
      </c>
      <c r="B6435" s="6" t="s">
        <v>361</v>
      </c>
      <c r="C6435" s="6" t="s">
        <v>6859</v>
      </c>
      <c r="D6435" s="6" t="s">
        <v>385</v>
      </c>
      <c r="E6435" s="6" t="s">
        <v>6860</v>
      </c>
      <c r="F6435" s="30" t="s">
        <v>11736</v>
      </c>
      <c r="G6435" s="3" t="s">
        <v>11450</v>
      </c>
      <c r="H6435" s="185">
        <v>0</v>
      </c>
      <c r="I6435" s="16">
        <v>470000000</v>
      </c>
      <c r="J6435" s="56" t="s">
        <v>229</v>
      </c>
      <c r="K6435" s="57" t="s">
        <v>8950</v>
      </c>
      <c r="L6435" s="12" t="s">
        <v>404</v>
      </c>
      <c r="M6435" s="3" t="s">
        <v>230</v>
      </c>
      <c r="N6435" s="8" t="s">
        <v>8898</v>
      </c>
      <c r="O6435" s="6" t="s">
        <v>365</v>
      </c>
      <c r="P6435" s="58">
        <v>796</v>
      </c>
      <c r="Q6435" s="31" t="s">
        <v>234</v>
      </c>
      <c r="R6435" s="27">
        <v>22</v>
      </c>
      <c r="S6435" s="59">
        <v>14252.4</v>
      </c>
      <c r="T6435" s="4">
        <f>R6435*S6435</f>
        <v>313552.8</v>
      </c>
      <c r="U6435" s="4">
        <f>T6435*1.12</f>
        <v>351179.136</v>
      </c>
      <c r="V6435" s="3"/>
      <c r="W6435" s="3">
        <v>2014</v>
      </c>
      <c r="X6435" s="3"/>
    </row>
    <row r="6436" spans="1:24" ht="114.75">
      <c r="A6436" s="3" t="s">
        <v>2670</v>
      </c>
      <c r="B6436" s="6" t="s">
        <v>361</v>
      </c>
      <c r="C6436" s="6" t="s">
        <v>6861</v>
      </c>
      <c r="D6436" s="6" t="s">
        <v>385</v>
      </c>
      <c r="E6436" s="6" t="s">
        <v>6862</v>
      </c>
      <c r="F6436" s="30" t="s">
        <v>11739</v>
      </c>
      <c r="G6436" s="57" t="s">
        <v>11449</v>
      </c>
      <c r="H6436" s="185">
        <v>0</v>
      </c>
      <c r="I6436" s="16">
        <v>470000000</v>
      </c>
      <c r="J6436" s="56" t="s">
        <v>229</v>
      </c>
      <c r="K6436" s="57" t="s">
        <v>641</v>
      </c>
      <c r="L6436" s="57" t="s">
        <v>364</v>
      </c>
      <c r="M6436" s="3" t="s">
        <v>230</v>
      </c>
      <c r="N6436" s="8" t="s">
        <v>8898</v>
      </c>
      <c r="O6436" s="6" t="s">
        <v>365</v>
      </c>
      <c r="P6436" s="58">
        <v>796</v>
      </c>
      <c r="Q6436" s="31" t="s">
        <v>234</v>
      </c>
      <c r="R6436" s="27">
        <v>36</v>
      </c>
      <c r="S6436" s="59">
        <f>18100*1.07</f>
        <v>19367</v>
      </c>
      <c r="T6436" s="4">
        <v>0</v>
      </c>
      <c r="U6436" s="4">
        <f t="shared" si="299"/>
        <v>0</v>
      </c>
      <c r="V6436" s="3"/>
      <c r="W6436" s="3">
        <v>2014</v>
      </c>
      <c r="X6436" s="3" t="s">
        <v>11817</v>
      </c>
    </row>
    <row r="6437" spans="1:24" ht="114.75">
      <c r="A6437" s="3" t="s">
        <v>13772</v>
      </c>
      <c r="B6437" s="6" t="s">
        <v>361</v>
      </c>
      <c r="C6437" s="6" t="s">
        <v>6861</v>
      </c>
      <c r="D6437" s="6" t="s">
        <v>385</v>
      </c>
      <c r="E6437" s="6" t="s">
        <v>6862</v>
      </c>
      <c r="F6437" s="30" t="s">
        <v>11739</v>
      </c>
      <c r="G6437" s="57" t="s">
        <v>11450</v>
      </c>
      <c r="H6437" s="185">
        <v>0</v>
      </c>
      <c r="I6437" s="16">
        <v>470000000</v>
      </c>
      <c r="J6437" s="56" t="s">
        <v>229</v>
      </c>
      <c r="K6437" s="57" t="s">
        <v>9453</v>
      </c>
      <c r="L6437" s="12" t="s">
        <v>404</v>
      </c>
      <c r="M6437" s="3" t="s">
        <v>230</v>
      </c>
      <c r="N6437" s="8" t="s">
        <v>8898</v>
      </c>
      <c r="O6437" s="6" t="s">
        <v>365</v>
      </c>
      <c r="P6437" s="58">
        <v>796</v>
      </c>
      <c r="Q6437" s="31" t="s">
        <v>234</v>
      </c>
      <c r="R6437" s="27">
        <v>36</v>
      </c>
      <c r="S6437" s="59">
        <f>18100*1.07</f>
        <v>19367</v>
      </c>
      <c r="T6437" s="4">
        <v>0</v>
      </c>
      <c r="U6437" s="4">
        <f>T6437*1.12</f>
        <v>0</v>
      </c>
      <c r="V6437" s="3"/>
      <c r="W6437" s="3">
        <v>2014</v>
      </c>
      <c r="X6437" s="3" t="s">
        <v>14785</v>
      </c>
    </row>
    <row r="6438" spans="1:24" ht="114.75">
      <c r="A6438" s="3" t="s">
        <v>17086</v>
      </c>
      <c r="B6438" s="6" t="s">
        <v>361</v>
      </c>
      <c r="C6438" s="6" t="s">
        <v>6861</v>
      </c>
      <c r="D6438" s="6" t="s">
        <v>385</v>
      </c>
      <c r="E6438" s="6" t="s">
        <v>6862</v>
      </c>
      <c r="F6438" s="30" t="s">
        <v>11739</v>
      </c>
      <c r="G6438" s="3" t="s">
        <v>11450</v>
      </c>
      <c r="H6438" s="185">
        <v>0</v>
      </c>
      <c r="I6438" s="16">
        <v>470000000</v>
      </c>
      <c r="J6438" s="56" t="s">
        <v>229</v>
      </c>
      <c r="K6438" s="57" t="s">
        <v>8950</v>
      </c>
      <c r="L6438" s="12" t="s">
        <v>404</v>
      </c>
      <c r="M6438" s="3" t="s">
        <v>230</v>
      </c>
      <c r="N6438" s="8" t="s">
        <v>8898</v>
      </c>
      <c r="O6438" s="6" t="s">
        <v>365</v>
      </c>
      <c r="P6438" s="58">
        <v>796</v>
      </c>
      <c r="Q6438" s="31" t="s">
        <v>234</v>
      </c>
      <c r="R6438" s="27">
        <v>36</v>
      </c>
      <c r="S6438" s="59">
        <v>23240.399999999998</v>
      </c>
      <c r="T6438" s="4">
        <f>R6438*S6438</f>
        <v>836654.39999999991</v>
      </c>
      <c r="U6438" s="4">
        <f>T6438*1.12</f>
        <v>937052.92799999996</v>
      </c>
      <c r="V6438" s="3"/>
      <c r="W6438" s="3">
        <v>2014</v>
      </c>
      <c r="X6438" s="3"/>
    </row>
    <row r="6439" spans="1:24" ht="114.75">
      <c r="A6439" s="3" t="s">
        <v>2671</v>
      </c>
      <c r="B6439" s="6" t="s">
        <v>361</v>
      </c>
      <c r="C6439" s="6" t="s">
        <v>6863</v>
      </c>
      <c r="D6439" s="6" t="s">
        <v>385</v>
      </c>
      <c r="E6439" s="6" t="s">
        <v>6864</v>
      </c>
      <c r="F6439" s="30" t="s">
        <v>11740</v>
      </c>
      <c r="G6439" s="57" t="s">
        <v>11449</v>
      </c>
      <c r="H6439" s="185">
        <v>0</v>
      </c>
      <c r="I6439" s="16">
        <v>470000000</v>
      </c>
      <c r="J6439" s="56" t="s">
        <v>229</v>
      </c>
      <c r="K6439" s="57" t="s">
        <v>641</v>
      </c>
      <c r="L6439" s="57" t="s">
        <v>364</v>
      </c>
      <c r="M6439" s="3" t="s">
        <v>230</v>
      </c>
      <c r="N6439" s="8" t="s">
        <v>8898</v>
      </c>
      <c r="O6439" s="6" t="s">
        <v>365</v>
      </c>
      <c r="P6439" s="58">
        <v>796</v>
      </c>
      <c r="Q6439" s="31" t="s">
        <v>234</v>
      </c>
      <c r="R6439" s="27">
        <v>154</v>
      </c>
      <c r="S6439" s="59">
        <f>25900*1.07</f>
        <v>27713</v>
      </c>
      <c r="T6439" s="4">
        <v>0</v>
      </c>
      <c r="U6439" s="4">
        <f t="shared" si="299"/>
        <v>0</v>
      </c>
      <c r="V6439" s="3"/>
      <c r="W6439" s="3">
        <v>2014</v>
      </c>
      <c r="X6439" s="3" t="s">
        <v>11817</v>
      </c>
    </row>
    <row r="6440" spans="1:24" ht="114.75">
      <c r="A6440" s="3" t="s">
        <v>13773</v>
      </c>
      <c r="B6440" s="6" t="s">
        <v>361</v>
      </c>
      <c r="C6440" s="6" t="s">
        <v>6863</v>
      </c>
      <c r="D6440" s="6" t="s">
        <v>385</v>
      </c>
      <c r="E6440" s="6" t="s">
        <v>6864</v>
      </c>
      <c r="F6440" s="30" t="s">
        <v>11740</v>
      </c>
      <c r="G6440" s="57" t="s">
        <v>11450</v>
      </c>
      <c r="H6440" s="185">
        <v>0</v>
      </c>
      <c r="I6440" s="16">
        <v>470000000</v>
      </c>
      <c r="J6440" s="56" t="s">
        <v>229</v>
      </c>
      <c r="K6440" s="57" t="s">
        <v>9453</v>
      </c>
      <c r="L6440" s="12" t="s">
        <v>404</v>
      </c>
      <c r="M6440" s="3" t="s">
        <v>230</v>
      </c>
      <c r="N6440" s="8" t="s">
        <v>8898</v>
      </c>
      <c r="O6440" s="6" t="s">
        <v>365</v>
      </c>
      <c r="P6440" s="58">
        <v>796</v>
      </c>
      <c r="Q6440" s="31" t="s">
        <v>234</v>
      </c>
      <c r="R6440" s="27">
        <v>154</v>
      </c>
      <c r="S6440" s="59">
        <f>25900*1.07</f>
        <v>27713</v>
      </c>
      <c r="T6440" s="4">
        <v>0</v>
      </c>
      <c r="U6440" s="4">
        <f>T6440*1.12</f>
        <v>0</v>
      </c>
      <c r="V6440" s="3"/>
      <c r="W6440" s="3">
        <v>2014</v>
      </c>
      <c r="X6440" s="3" t="s">
        <v>14785</v>
      </c>
    </row>
    <row r="6441" spans="1:24" ht="114.75">
      <c r="A6441" s="3" t="s">
        <v>17087</v>
      </c>
      <c r="B6441" s="6" t="s">
        <v>361</v>
      </c>
      <c r="C6441" s="6" t="s">
        <v>6863</v>
      </c>
      <c r="D6441" s="6" t="s">
        <v>385</v>
      </c>
      <c r="E6441" s="6" t="s">
        <v>6864</v>
      </c>
      <c r="F6441" s="30" t="s">
        <v>11740</v>
      </c>
      <c r="G6441" s="3" t="s">
        <v>11450</v>
      </c>
      <c r="H6441" s="185">
        <v>0</v>
      </c>
      <c r="I6441" s="16">
        <v>470000000</v>
      </c>
      <c r="J6441" s="56" t="s">
        <v>229</v>
      </c>
      <c r="K6441" s="57" t="s">
        <v>8950</v>
      </c>
      <c r="L6441" s="12" t="s">
        <v>404</v>
      </c>
      <c r="M6441" s="3" t="s">
        <v>230</v>
      </c>
      <c r="N6441" s="8" t="s">
        <v>8898</v>
      </c>
      <c r="O6441" s="6" t="s">
        <v>365</v>
      </c>
      <c r="P6441" s="58">
        <v>796</v>
      </c>
      <c r="Q6441" s="31" t="s">
        <v>234</v>
      </c>
      <c r="R6441" s="27">
        <v>154</v>
      </c>
      <c r="S6441" s="59">
        <v>33255.599999999999</v>
      </c>
      <c r="T6441" s="4">
        <f>R6441*S6441</f>
        <v>5121362.3999999994</v>
      </c>
      <c r="U6441" s="4">
        <f>T6441*1.12</f>
        <v>5735925.8880000003</v>
      </c>
      <c r="V6441" s="3"/>
      <c r="W6441" s="3">
        <v>2014</v>
      </c>
      <c r="X6441" s="3"/>
    </row>
    <row r="6442" spans="1:24" ht="191.25">
      <c r="A6442" s="3" t="s">
        <v>2672</v>
      </c>
      <c r="B6442" s="6" t="s">
        <v>361</v>
      </c>
      <c r="C6442" s="6" t="s">
        <v>6865</v>
      </c>
      <c r="D6442" s="6" t="s">
        <v>6866</v>
      </c>
      <c r="E6442" s="6" t="s">
        <v>6867</v>
      </c>
      <c r="F6442" s="9" t="s">
        <v>6868</v>
      </c>
      <c r="G6442" s="57" t="s">
        <v>11449</v>
      </c>
      <c r="H6442" s="185">
        <v>0</v>
      </c>
      <c r="I6442" s="16">
        <v>470000000</v>
      </c>
      <c r="J6442" s="56" t="s">
        <v>229</v>
      </c>
      <c r="K6442" s="57" t="s">
        <v>641</v>
      </c>
      <c r="L6442" s="57" t="s">
        <v>364</v>
      </c>
      <c r="M6442" s="3" t="s">
        <v>230</v>
      </c>
      <c r="N6442" s="8" t="s">
        <v>8898</v>
      </c>
      <c r="O6442" s="6" t="s">
        <v>365</v>
      </c>
      <c r="P6442" s="58" t="s">
        <v>237</v>
      </c>
      <c r="Q6442" s="27" t="s">
        <v>238</v>
      </c>
      <c r="R6442" s="27">
        <v>100</v>
      </c>
      <c r="S6442" s="59">
        <f>540*1.07</f>
        <v>577.80000000000007</v>
      </c>
      <c r="T6442" s="4">
        <v>0</v>
      </c>
      <c r="U6442" s="4">
        <f t="shared" ref="U6442:U6520" si="300">T6442*1.12</f>
        <v>0</v>
      </c>
      <c r="V6442" s="158"/>
      <c r="W6442" s="3">
        <v>2014</v>
      </c>
      <c r="X6442" s="3" t="s">
        <v>11817</v>
      </c>
    </row>
    <row r="6443" spans="1:24" ht="191.25">
      <c r="A6443" s="3" t="s">
        <v>13774</v>
      </c>
      <c r="B6443" s="6" t="s">
        <v>361</v>
      </c>
      <c r="C6443" s="6" t="s">
        <v>6865</v>
      </c>
      <c r="D6443" s="6" t="s">
        <v>6866</v>
      </c>
      <c r="E6443" s="6" t="s">
        <v>6867</v>
      </c>
      <c r="F6443" s="9" t="s">
        <v>6868</v>
      </c>
      <c r="G6443" s="57" t="s">
        <v>11450</v>
      </c>
      <c r="H6443" s="185">
        <v>0</v>
      </c>
      <c r="I6443" s="16">
        <v>470000000</v>
      </c>
      <c r="J6443" s="56" t="s">
        <v>229</v>
      </c>
      <c r="K6443" s="57" t="s">
        <v>9453</v>
      </c>
      <c r="L6443" s="12" t="s">
        <v>404</v>
      </c>
      <c r="M6443" s="3" t="s">
        <v>230</v>
      </c>
      <c r="N6443" s="8" t="s">
        <v>8898</v>
      </c>
      <c r="O6443" s="6" t="s">
        <v>365</v>
      </c>
      <c r="P6443" s="58" t="s">
        <v>237</v>
      </c>
      <c r="Q6443" s="27" t="s">
        <v>238</v>
      </c>
      <c r="R6443" s="27">
        <v>100</v>
      </c>
      <c r="S6443" s="59">
        <f>540*1.07</f>
        <v>577.80000000000007</v>
      </c>
      <c r="T6443" s="4">
        <f>R6443*S6443</f>
        <v>57780.000000000007</v>
      </c>
      <c r="U6443" s="4">
        <f>T6443*1.12</f>
        <v>64713.600000000013</v>
      </c>
      <c r="V6443" s="158"/>
      <c r="W6443" s="3">
        <v>2014</v>
      </c>
      <c r="X6443" s="3"/>
    </row>
    <row r="6444" spans="1:24" ht="114.75">
      <c r="A6444" s="3" t="s">
        <v>2673</v>
      </c>
      <c r="B6444" s="6" t="s">
        <v>361</v>
      </c>
      <c r="C6444" s="6" t="s">
        <v>6869</v>
      </c>
      <c r="D6444" s="6" t="s">
        <v>6870</v>
      </c>
      <c r="E6444" s="6" t="s">
        <v>6871</v>
      </c>
      <c r="F6444" s="9" t="s">
        <v>6872</v>
      </c>
      <c r="G6444" s="57" t="s">
        <v>11449</v>
      </c>
      <c r="H6444" s="185">
        <v>0</v>
      </c>
      <c r="I6444" s="16">
        <v>470000000</v>
      </c>
      <c r="J6444" s="56" t="s">
        <v>229</v>
      </c>
      <c r="K6444" s="57" t="s">
        <v>641</v>
      </c>
      <c r="L6444" s="57" t="s">
        <v>364</v>
      </c>
      <c r="M6444" s="3" t="s">
        <v>230</v>
      </c>
      <c r="N6444" s="8" t="s">
        <v>8898</v>
      </c>
      <c r="O6444" s="6" t="s">
        <v>365</v>
      </c>
      <c r="P6444" s="58" t="s">
        <v>241</v>
      </c>
      <c r="Q6444" s="27" t="s">
        <v>234</v>
      </c>
      <c r="R6444" s="27">
        <v>40</v>
      </c>
      <c r="S6444" s="59">
        <f>1170*1.07</f>
        <v>1251.9000000000001</v>
      </c>
      <c r="T6444" s="4">
        <v>0</v>
      </c>
      <c r="U6444" s="4">
        <f t="shared" si="300"/>
        <v>0</v>
      </c>
      <c r="V6444" s="158"/>
      <c r="W6444" s="3">
        <v>2014</v>
      </c>
      <c r="X6444" s="3" t="s">
        <v>11817</v>
      </c>
    </row>
    <row r="6445" spans="1:24" ht="114.75">
      <c r="A6445" s="3" t="s">
        <v>13775</v>
      </c>
      <c r="B6445" s="6" t="s">
        <v>361</v>
      </c>
      <c r="C6445" s="6" t="s">
        <v>6869</v>
      </c>
      <c r="D6445" s="6" t="s">
        <v>6870</v>
      </c>
      <c r="E6445" s="6" t="s">
        <v>6871</v>
      </c>
      <c r="F6445" s="9" t="s">
        <v>6872</v>
      </c>
      <c r="G6445" s="57" t="s">
        <v>11450</v>
      </c>
      <c r="H6445" s="185">
        <v>0</v>
      </c>
      <c r="I6445" s="16">
        <v>470000000</v>
      </c>
      <c r="J6445" s="56" t="s">
        <v>229</v>
      </c>
      <c r="K6445" s="57" t="s">
        <v>9453</v>
      </c>
      <c r="L6445" s="12" t="s">
        <v>404</v>
      </c>
      <c r="M6445" s="3" t="s">
        <v>230</v>
      </c>
      <c r="N6445" s="8" t="s">
        <v>8898</v>
      </c>
      <c r="O6445" s="6" t="s">
        <v>365</v>
      </c>
      <c r="P6445" s="58" t="s">
        <v>241</v>
      </c>
      <c r="Q6445" s="27" t="s">
        <v>234</v>
      </c>
      <c r="R6445" s="27">
        <v>40</v>
      </c>
      <c r="S6445" s="59">
        <f>1170*1.07</f>
        <v>1251.9000000000001</v>
      </c>
      <c r="T6445" s="4">
        <f>R6445*S6445</f>
        <v>50076</v>
      </c>
      <c r="U6445" s="4">
        <f>T6445*1.12</f>
        <v>56085.120000000003</v>
      </c>
      <c r="V6445" s="158"/>
      <c r="W6445" s="3">
        <v>2014</v>
      </c>
      <c r="X6445" s="3"/>
    </row>
    <row r="6446" spans="1:24" ht="114.75">
      <c r="A6446" s="3" t="s">
        <v>2674</v>
      </c>
      <c r="B6446" s="6" t="s">
        <v>361</v>
      </c>
      <c r="C6446" s="6" t="s">
        <v>6873</v>
      </c>
      <c r="D6446" s="6" t="s">
        <v>6870</v>
      </c>
      <c r="E6446" s="6" t="s">
        <v>6874</v>
      </c>
      <c r="F6446" s="9" t="s">
        <v>6875</v>
      </c>
      <c r="G6446" s="57" t="s">
        <v>11449</v>
      </c>
      <c r="H6446" s="185">
        <v>0</v>
      </c>
      <c r="I6446" s="16">
        <v>470000000</v>
      </c>
      <c r="J6446" s="56" t="s">
        <v>229</v>
      </c>
      <c r="K6446" s="57" t="s">
        <v>641</v>
      </c>
      <c r="L6446" s="57" t="s">
        <v>364</v>
      </c>
      <c r="M6446" s="3" t="s">
        <v>230</v>
      </c>
      <c r="N6446" s="8" t="s">
        <v>8898</v>
      </c>
      <c r="O6446" s="6" t="s">
        <v>365</v>
      </c>
      <c r="P6446" s="58" t="s">
        <v>241</v>
      </c>
      <c r="Q6446" s="27" t="s">
        <v>234</v>
      </c>
      <c r="R6446" s="27">
        <v>40</v>
      </c>
      <c r="S6446" s="59">
        <f>1180*1.07</f>
        <v>1262.6000000000001</v>
      </c>
      <c r="T6446" s="4">
        <v>0</v>
      </c>
      <c r="U6446" s="4">
        <f t="shared" si="300"/>
        <v>0</v>
      </c>
      <c r="V6446" s="158"/>
      <c r="W6446" s="3">
        <v>2014</v>
      </c>
      <c r="X6446" s="3" t="s">
        <v>11817</v>
      </c>
    </row>
    <row r="6447" spans="1:24" ht="114.75">
      <c r="A6447" s="3" t="s">
        <v>13776</v>
      </c>
      <c r="B6447" s="6" t="s">
        <v>361</v>
      </c>
      <c r="C6447" s="6" t="s">
        <v>6873</v>
      </c>
      <c r="D6447" s="6" t="s">
        <v>6870</v>
      </c>
      <c r="E6447" s="6" t="s">
        <v>6874</v>
      </c>
      <c r="F6447" s="9" t="s">
        <v>6875</v>
      </c>
      <c r="G6447" s="57" t="s">
        <v>11450</v>
      </c>
      <c r="H6447" s="185">
        <v>0</v>
      </c>
      <c r="I6447" s="16">
        <v>470000000</v>
      </c>
      <c r="J6447" s="56" t="s">
        <v>229</v>
      </c>
      <c r="K6447" s="57" t="s">
        <v>9453</v>
      </c>
      <c r="L6447" s="12" t="s">
        <v>404</v>
      </c>
      <c r="M6447" s="3" t="s">
        <v>230</v>
      </c>
      <c r="N6447" s="8" t="s">
        <v>8898</v>
      </c>
      <c r="O6447" s="6" t="s">
        <v>365</v>
      </c>
      <c r="P6447" s="58" t="s">
        <v>241</v>
      </c>
      <c r="Q6447" s="27" t="s">
        <v>234</v>
      </c>
      <c r="R6447" s="27">
        <v>40</v>
      </c>
      <c r="S6447" s="59">
        <f>1180*1.07</f>
        <v>1262.6000000000001</v>
      </c>
      <c r="T6447" s="4">
        <f>R6447*S6447</f>
        <v>50504.000000000007</v>
      </c>
      <c r="U6447" s="4">
        <f>T6447*1.12</f>
        <v>56564.48000000001</v>
      </c>
      <c r="V6447" s="158"/>
      <c r="W6447" s="3">
        <v>2014</v>
      </c>
      <c r="X6447" s="3"/>
    </row>
    <row r="6448" spans="1:24" ht="114.75">
      <c r="A6448" s="3" t="s">
        <v>2675</v>
      </c>
      <c r="B6448" s="6" t="s">
        <v>361</v>
      </c>
      <c r="C6448" s="6" t="s">
        <v>6876</v>
      </c>
      <c r="D6448" s="6" t="s">
        <v>6870</v>
      </c>
      <c r="E6448" s="6" t="s">
        <v>6877</v>
      </c>
      <c r="F6448" s="9" t="s">
        <v>6878</v>
      </c>
      <c r="G6448" s="57" t="s">
        <v>11449</v>
      </c>
      <c r="H6448" s="185">
        <v>0</v>
      </c>
      <c r="I6448" s="16">
        <v>470000000</v>
      </c>
      <c r="J6448" s="56" t="s">
        <v>229</v>
      </c>
      <c r="K6448" s="57" t="s">
        <v>641</v>
      </c>
      <c r="L6448" s="57" t="s">
        <v>364</v>
      </c>
      <c r="M6448" s="3" t="s">
        <v>230</v>
      </c>
      <c r="N6448" s="8" t="s">
        <v>8898</v>
      </c>
      <c r="O6448" s="6" t="s">
        <v>365</v>
      </c>
      <c r="P6448" s="58" t="s">
        <v>241</v>
      </c>
      <c r="Q6448" s="27" t="s">
        <v>234</v>
      </c>
      <c r="R6448" s="27">
        <v>40</v>
      </c>
      <c r="S6448" s="59">
        <f>2410*1.07</f>
        <v>2578.7000000000003</v>
      </c>
      <c r="T6448" s="4">
        <v>0</v>
      </c>
      <c r="U6448" s="4">
        <f t="shared" si="300"/>
        <v>0</v>
      </c>
      <c r="V6448" s="158"/>
      <c r="W6448" s="3">
        <v>2014</v>
      </c>
      <c r="X6448" s="3" t="s">
        <v>11817</v>
      </c>
    </row>
    <row r="6449" spans="1:24" ht="114.75">
      <c r="A6449" s="3" t="s">
        <v>13777</v>
      </c>
      <c r="B6449" s="6" t="s">
        <v>361</v>
      </c>
      <c r="C6449" s="6" t="s">
        <v>6876</v>
      </c>
      <c r="D6449" s="6" t="s">
        <v>6870</v>
      </c>
      <c r="E6449" s="6" t="s">
        <v>6877</v>
      </c>
      <c r="F6449" s="9" t="s">
        <v>6878</v>
      </c>
      <c r="G6449" s="57" t="s">
        <v>11450</v>
      </c>
      <c r="H6449" s="185">
        <v>0</v>
      </c>
      <c r="I6449" s="16">
        <v>470000000</v>
      </c>
      <c r="J6449" s="56" t="s">
        <v>229</v>
      </c>
      <c r="K6449" s="57" t="s">
        <v>9453</v>
      </c>
      <c r="L6449" s="12" t="s">
        <v>404</v>
      </c>
      <c r="M6449" s="3" t="s">
        <v>230</v>
      </c>
      <c r="N6449" s="8" t="s">
        <v>8898</v>
      </c>
      <c r="O6449" s="6" t="s">
        <v>365</v>
      </c>
      <c r="P6449" s="58" t="s">
        <v>241</v>
      </c>
      <c r="Q6449" s="27" t="s">
        <v>234</v>
      </c>
      <c r="R6449" s="27">
        <v>40</v>
      </c>
      <c r="S6449" s="59">
        <f>2410*1.07</f>
        <v>2578.7000000000003</v>
      </c>
      <c r="T6449" s="4">
        <f>R6449*S6449</f>
        <v>103148.00000000001</v>
      </c>
      <c r="U6449" s="4">
        <f>T6449*1.12</f>
        <v>115525.76000000002</v>
      </c>
      <c r="V6449" s="158"/>
      <c r="W6449" s="3">
        <v>2014</v>
      </c>
      <c r="X6449" s="3"/>
    </row>
    <row r="6450" spans="1:24" ht="114.75">
      <c r="A6450" s="3" t="s">
        <v>2676</v>
      </c>
      <c r="B6450" s="6" t="s">
        <v>361</v>
      </c>
      <c r="C6450" s="6" t="s">
        <v>6879</v>
      </c>
      <c r="D6450" s="6" t="s">
        <v>6870</v>
      </c>
      <c r="E6450" s="6" t="s">
        <v>6880</v>
      </c>
      <c r="F6450" s="9" t="s">
        <v>6881</v>
      </c>
      <c r="G6450" s="57" t="s">
        <v>11449</v>
      </c>
      <c r="H6450" s="185">
        <v>0</v>
      </c>
      <c r="I6450" s="16">
        <v>470000000</v>
      </c>
      <c r="J6450" s="56" t="s">
        <v>229</v>
      </c>
      <c r="K6450" s="57" t="s">
        <v>641</v>
      </c>
      <c r="L6450" s="57" t="s">
        <v>364</v>
      </c>
      <c r="M6450" s="3" t="s">
        <v>230</v>
      </c>
      <c r="N6450" s="8" t="s">
        <v>8898</v>
      </c>
      <c r="O6450" s="6" t="s">
        <v>365</v>
      </c>
      <c r="P6450" s="58" t="s">
        <v>241</v>
      </c>
      <c r="Q6450" s="27" t="s">
        <v>234</v>
      </c>
      <c r="R6450" s="27">
        <v>40</v>
      </c>
      <c r="S6450" s="59">
        <f>1850*1.07</f>
        <v>1979.5000000000002</v>
      </c>
      <c r="T6450" s="4">
        <v>0</v>
      </c>
      <c r="U6450" s="4">
        <f t="shared" si="300"/>
        <v>0</v>
      </c>
      <c r="V6450" s="158"/>
      <c r="W6450" s="3">
        <v>2014</v>
      </c>
      <c r="X6450" s="3" t="s">
        <v>11817</v>
      </c>
    </row>
    <row r="6451" spans="1:24" ht="114.75">
      <c r="A6451" s="3" t="s">
        <v>13778</v>
      </c>
      <c r="B6451" s="6" t="s">
        <v>361</v>
      </c>
      <c r="C6451" s="6" t="s">
        <v>6879</v>
      </c>
      <c r="D6451" s="6" t="s">
        <v>6870</v>
      </c>
      <c r="E6451" s="6" t="s">
        <v>6880</v>
      </c>
      <c r="F6451" s="9" t="s">
        <v>6881</v>
      </c>
      <c r="G6451" s="57" t="s">
        <v>11450</v>
      </c>
      <c r="H6451" s="185">
        <v>0</v>
      </c>
      <c r="I6451" s="16">
        <v>470000000</v>
      </c>
      <c r="J6451" s="56" t="s">
        <v>229</v>
      </c>
      <c r="K6451" s="57" t="s">
        <v>9453</v>
      </c>
      <c r="L6451" s="12" t="s">
        <v>404</v>
      </c>
      <c r="M6451" s="3" t="s">
        <v>230</v>
      </c>
      <c r="N6451" s="8" t="s">
        <v>8898</v>
      </c>
      <c r="O6451" s="6" t="s">
        <v>365</v>
      </c>
      <c r="P6451" s="58" t="s">
        <v>241</v>
      </c>
      <c r="Q6451" s="27" t="s">
        <v>234</v>
      </c>
      <c r="R6451" s="27">
        <v>40</v>
      </c>
      <c r="S6451" s="59">
        <f>1850*1.07</f>
        <v>1979.5000000000002</v>
      </c>
      <c r="T6451" s="4">
        <f>R6451*S6451</f>
        <v>79180.000000000015</v>
      </c>
      <c r="U6451" s="4">
        <f>T6451*1.12</f>
        <v>88681.60000000002</v>
      </c>
      <c r="V6451" s="158"/>
      <c r="W6451" s="3">
        <v>2014</v>
      </c>
      <c r="X6451" s="3"/>
    </row>
    <row r="6452" spans="1:24" ht="114.75">
      <c r="A6452" s="3" t="s">
        <v>2677</v>
      </c>
      <c r="B6452" s="6" t="s">
        <v>361</v>
      </c>
      <c r="C6452" s="6" t="s">
        <v>6879</v>
      </c>
      <c r="D6452" s="6" t="s">
        <v>6870</v>
      </c>
      <c r="E6452" s="6" t="s">
        <v>6880</v>
      </c>
      <c r="F6452" s="9" t="s">
        <v>6882</v>
      </c>
      <c r="G6452" s="57" t="s">
        <v>11449</v>
      </c>
      <c r="H6452" s="185">
        <v>0</v>
      </c>
      <c r="I6452" s="16">
        <v>470000000</v>
      </c>
      <c r="J6452" s="56" t="s">
        <v>229</v>
      </c>
      <c r="K6452" s="57" t="s">
        <v>641</v>
      </c>
      <c r="L6452" s="57" t="s">
        <v>364</v>
      </c>
      <c r="M6452" s="3" t="s">
        <v>230</v>
      </c>
      <c r="N6452" s="8" t="s">
        <v>8898</v>
      </c>
      <c r="O6452" s="6" t="s">
        <v>365</v>
      </c>
      <c r="P6452" s="58" t="s">
        <v>241</v>
      </c>
      <c r="Q6452" s="27" t="s">
        <v>234</v>
      </c>
      <c r="R6452" s="27">
        <v>40</v>
      </c>
      <c r="S6452" s="59">
        <f>2500*1.07</f>
        <v>2675</v>
      </c>
      <c r="T6452" s="4">
        <v>0</v>
      </c>
      <c r="U6452" s="4">
        <f t="shared" si="300"/>
        <v>0</v>
      </c>
      <c r="V6452" s="158"/>
      <c r="W6452" s="3">
        <v>2014</v>
      </c>
      <c r="X6452" s="3" t="s">
        <v>11817</v>
      </c>
    </row>
    <row r="6453" spans="1:24" ht="114.75">
      <c r="A6453" s="3" t="s">
        <v>13779</v>
      </c>
      <c r="B6453" s="6" t="s">
        <v>361</v>
      </c>
      <c r="C6453" s="6" t="s">
        <v>6879</v>
      </c>
      <c r="D6453" s="6" t="s">
        <v>6870</v>
      </c>
      <c r="E6453" s="6" t="s">
        <v>6880</v>
      </c>
      <c r="F6453" s="9" t="s">
        <v>6882</v>
      </c>
      <c r="G6453" s="57" t="s">
        <v>11450</v>
      </c>
      <c r="H6453" s="185">
        <v>0</v>
      </c>
      <c r="I6453" s="16">
        <v>470000000</v>
      </c>
      <c r="J6453" s="56" t="s">
        <v>229</v>
      </c>
      <c r="K6453" s="57" t="s">
        <v>9453</v>
      </c>
      <c r="L6453" s="12" t="s">
        <v>404</v>
      </c>
      <c r="M6453" s="3" t="s">
        <v>230</v>
      </c>
      <c r="N6453" s="8" t="s">
        <v>8898</v>
      </c>
      <c r="O6453" s="6" t="s">
        <v>365</v>
      </c>
      <c r="P6453" s="58" t="s">
        <v>241</v>
      </c>
      <c r="Q6453" s="27" t="s">
        <v>234</v>
      </c>
      <c r="R6453" s="27">
        <v>40</v>
      </c>
      <c r="S6453" s="59">
        <f>2500*1.07</f>
        <v>2675</v>
      </c>
      <c r="T6453" s="4">
        <f>R6453*S6453</f>
        <v>107000</v>
      </c>
      <c r="U6453" s="4">
        <f>T6453*1.12</f>
        <v>119840.00000000001</v>
      </c>
      <c r="V6453" s="158"/>
      <c r="W6453" s="3">
        <v>2014</v>
      </c>
      <c r="X6453" s="3"/>
    </row>
    <row r="6454" spans="1:24" ht="114.75">
      <c r="A6454" s="3" t="s">
        <v>2678</v>
      </c>
      <c r="B6454" s="6" t="s">
        <v>361</v>
      </c>
      <c r="C6454" s="6" t="s">
        <v>6879</v>
      </c>
      <c r="D6454" s="6" t="s">
        <v>6870</v>
      </c>
      <c r="E6454" s="6" t="s">
        <v>6880</v>
      </c>
      <c r="F6454" s="9" t="s">
        <v>6883</v>
      </c>
      <c r="G6454" s="57" t="s">
        <v>11449</v>
      </c>
      <c r="H6454" s="185">
        <v>0</v>
      </c>
      <c r="I6454" s="16">
        <v>470000000</v>
      </c>
      <c r="J6454" s="56" t="s">
        <v>229</v>
      </c>
      <c r="K6454" s="57" t="s">
        <v>641</v>
      </c>
      <c r="L6454" s="57" t="s">
        <v>364</v>
      </c>
      <c r="M6454" s="3" t="s">
        <v>230</v>
      </c>
      <c r="N6454" s="8" t="s">
        <v>8898</v>
      </c>
      <c r="O6454" s="6" t="s">
        <v>365</v>
      </c>
      <c r="P6454" s="58" t="s">
        <v>241</v>
      </c>
      <c r="Q6454" s="27" t="s">
        <v>234</v>
      </c>
      <c r="R6454" s="27">
        <v>40</v>
      </c>
      <c r="S6454" s="59">
        <f>3700*1.07</f>
        <v>3959.0000000000005</v>
      </c>
      <c r="T6454" s="4">
        <v>0</v>
      </c>
      <c r="U6454" s="4">
        <f t="shared" si="300"/>
        <v>0</v>
      </c>
      <c r="V6454" s="158"/>
      <c r="W6454" s="3">
        <v>2014</v>
      </c>
      <c r="X6454" s="3" t="s">
        <v>11817</v>
      </c>
    </row>
    <row r="6455" spans="1:24" ht="114.75">
      <c r="A6455" s="3" t="s">
        <v>13780</v>
      </c>
      <c r="B6455" s="6" t="s">
        <v>361</v>
      </c>
      <c r="C6455" s="6" t="s">
        <v>6879</v>
      </c>
      <c r="D6455" s="6" t="s">
        <v>6870</v>
      </c>
      <c r="E6455" s="6" t="s">
        <v>6880</v>
      </c>
      <c r="F6455" s="9" t="s">
        <v>6883</v>
      </c>
      <c r="G6455" s="57" t="s">
        <v>11450</v>
      </c>
      <c r="H6455" s="185">
        <v>0</v>
      </c>
      <c r="I6455" s="16">
        <v>470000000</v>
      </c>
      <c r="J6455" s="56" t="s">
        <v>229</v>
      </c>
      <c r="K6455" s="57" t="s">
        <v>9453</v>
      </c>
      <c r="L6455" s="12" t="s">
        <v>404</v>
      </c>
      <c r="M6455" s="3" t="s">
        <v>230</v>
      </c>
      <c r="N6455" s="8" t="s">
        <v>8898</v>
      </c>
      <c r="O6455" s="6" t="s">
        <v>365</v>
      </c>
      <c r="P6455" s="58" t="s">
        <v>241</v>
      </c>
      <c r="Q6455" s="27" t="s">
        <v>234</v>
      </c>
      <c r="R6455" s="27">
        <v>40</v>
      </c>
      <c r="S6455" s="59">
        <f>3700*1.07</f>
        <v>3959.0000000000005</v>
      </c>
      <c r="T6455" s="4">
        <f>R6455*S6455</f>
        <v>158360.00000000003</v>
      </c>
      <c r="U6455" s="4">
        <f>T6455*1.12</f>
        <v>177363.20000000004</v>
      </c>
      <c r="V6455" s="158"/>
      <c r="W6455" s="3">
        <v>2014</v>
      </c>
      <c r="X6455" s="3"/>
    </row>
    <row r="6456" spans="1:24" ht="191.25">
      <c r="A6456" s="3" t="s">
        <v>2679</v>
      </c>
      <c r="B6456" s="6" t="s">
        <v>361</v>
      </c>
      <c r="C6456" s="6" t="s">
        <v>7362</v>
      </c>
      <c r="D6456" s="6" t="s">
        <v>6866</v>
      </c>
      <c r="E6456" s="6" t="s">
        <v>11584</v>
      </c>
      <c r="F6456" s="9" t="s">
        <v>6884</v>
      </c>
      <c r="G6456" s="57" t="s">
        <v>11449</v>
      </c>
      <c r="H6456" s="185">
        <v>0</v>
      </c>
      <c r="I6456" s="16">
        <v>470000000</v>
      </c>
      <c r="J6456" s="56" t="s">
        <v>229</v>
      </c>
      <c r="K6456" s="57" t="s">
        <v>641</v>
      </c>
      <c r="L6456" s="57" t="s">
        <v>364</v>
      </c>
      <c r="M6456" s="3" t="s">
        <v>230</v>
      </c>
      <c r="N6456" s="8" t="s">
        <v>8898</v>
      </c>
      <c r="O6456" s="6" t="s">
        <v>365</v>
      </c>
      <c r="P6456" s="58" t="s">
        <v>241</v>
      </c>
      <c r="Q6456" s="27" t="s">
        <v>234</v>
      </c>
      <c r="R6456" s="27">
        <v>40</v>
      </c>
      <c r="S6456" s="59">
        <f>4450*1.07</f>
        <v>4761.5</v>
      </c>
      <c r="T6456" s="4">
        <v>0</v>
      </c>
      <c r="U6456" s="4">
        <f t="shared" si="300"/>
        <v>0</v>
      </c>
      <c r="V6456" s="158"/>
      <c r="W6456" s="3">
        <v>2014</v>
      </c>
      <c r="X6456" s="3" t="s">
        <v>11817</v>
      </c>
    </row>
    <row r="6457" spans="1:24" ht="191.25">
      <c r="A6457" s="3" t="s">
        <v>13781</v>
      </c>
      <c r="B6457" s="6" t="s">
        <v>361</v>
      </c>
      <c r="C6457" s="6" t="s">
        <v>7362</v>
      </c>
      <c r="D6457" s="6" t="s">
        <v>6866</v>
      </c>
      <c r="E6457" s="6" t="s">
        <v>11584</v>
      </c>
      <c r="F6457" s="9" t="s">
        <v>6884</v>
      </c>
      <c r="G6457" s="57" t="s">
        <v>11450</v>
      </c>
      <c r="H6457" s="185">
        <v>0</v>
      </c>
      <c r="I6457" s="16">
        <v>470000000</v>
      </c>
      <c r="J6457" s="56" t="s">
        <v>229</v>
      </c>
      <c r="K6457" s="57" t="s">
        <v>9453</v>
      </c>
      <c r="L6457" s="12" t="s">
        <v>404</v>
      </c>
      <c r="M6457" s="3" t="s">
        <v>230</v>
      </c>
      <c r="N6457" s="8" t="s">
        <v>8898</v>
      </c>
      <c r="O6457" s="6" t="s">
        <v>365</v>
      </c>
      <c r="P6457" s="58" t="s">
        <v>241</v>
      </c>
      <c r="Q6457" s="27" t="s">
        <v>234</v>
      </c>
      <c r="R6457" s="27">
        <v>40</v>
      </c>
      <c r="S6457" s="59">
        <f>4450*1.07</f>
        <v>4761.5</v>
      </c>
      <c r="T6457" s="4">
        <f>R6457*S6457</f>
        <v>190460</v>
      </c>
      <c r="U6457" s="4">
        <f>T6457*1.12</f>
        <v>213315.20000000001</v>
      </c>
      <c r="V6457" s="158"/>
      <c r="W6457" s="3">
        <v>2014</v>
      </c>
      <c r="X6457" s="3"/>
    </row>
    <row r="6458" spans="1:24" ht="191.25">
      <c r="A6458" s="3" t="s">
        <v>2680</v>
      </c>
      <c r="B6458" s="6" t="s">
        <v>361</v>
      </c>
      <c r="C6458" s="6" t="s">
        <v>7363</v>
      </c>
      <c r="D6458" s="6" t="s">
        <v>6866</v>
      </c>
      <c r="E6458" s="6" t="s">
        <v>11585</v>
      </c>
      <c r="F6458" s="9" t="s">
        <v>6885</v>
      </c>
      <c r="G6458" s="57" t="s">
        <v>11449</v>
      </c>
      <c r="H6458" s="185"/>
      <c r="I6458" s="16">
        <v>470000000</v>
      </c>
      <c r="J6458" s="56" t="s">
        <v>229</v>
      </c>
      <c r="K6458" s="57" t="s">
        <v>641</v>
      </c>
      <c r="L6458" s="57" t="s">
        <v>364</v>
      </c>
      <c r="M6458" s="3" t="s">
        <v>230</v>
      </c>
      <c r="N6458" s="8" t="s">
        <v>8898</v>
      </c>
      <c r="O6458" s="6" t="s">
        <v>365</v>
      </c>
      <c r="P6458" s="58" t="s">
        <v>241</v>
      </c>
      <c r="Q6458" s="27" t="s">
        <v>234</v>
      </c>
      <c r="R6458" s="27">
        <v>40</v>
      </c>
      <c r="S6458" s="59">
        <f>5300*1.07</f>
        <v>5671</v>
      </c>
      <c r="T6458" s="4">
        <v>0</v>
      </c>
      <c r="U6458" s="4">
        <f t="shared" si="300"/>
        <v>0</v>
      </c>
      <c r="V6458" s="158"/>
      <c r="W6458" s="3">
        <v>2014</v>
      </c>
      <c r="X6458" s="3" t="s">
        <v>11817</v>
      </c>
    </row>
    <row r="6459" spans="1:24" ht="191.25">
      <c r="A6459" s="3" t="s">
        <v>13782</v>
      </c>
      <c r="B6459" s="6" t="s">
        <v>361</v>
      </c>
      <c r="C6459" s="6" t="s">
        <v>7363</v>
      </c>
      <c r="D6459" s="6" t="s">
        <v>6866</v>
      </c>
      <c r="E6459" s="6" t="s">
        <v>11585</v>
      </c>
      <c r="F6459" s="9" t="s">
        <v>6885</v>
      </c>
      <c r="G6459" s="57" t="s">
        <v>11450</v>
      </c>
      <c r="H6459" s="185">
        <v>0</v>
      </c>
      <c r="I6459" s="16">
        <v>470000000</v>
      </c>
      <c r="J6459" s="56" t="s">
        <v>229</v>
      </c>
      <c r="K6459" s="57" t="s">
        <v>9453</v>
      </c>
      <c r="L6459" s="12" t="s">
        <v>404</v>
      </c>
      <c r="M6459" s="3" t="s">
        <v>230</v>
      </c>
      <c r="N6459" s="8" t="s">
        <v>8898</v>
      </c>
      <c r="O6459" s="6" t="s">
        <v>365</v>
      </c>
      <c r="P6459" s="58" t="s">
        <v>241</v>
      </c>
      <c r="Q6459" s="27" t="s">
        <v>234</v>
      </c>
      <c r="R6459" s="27">
        <v>40</v>
      </c>
      <c r="S6459" s="59">
        <f>5300*1.07</f>
        <v>5671</v>
      </c>
      <c r="T6459" s="4">
        <v>0</v>
      </c>
      <c r="U6459" s="4">
        <f>T6459*1.12</f>
        <v>0</v>
      </c>
      <c r="V6459" s="158"/>
      <c r="W6459" s="3">
        <v>2014</v>
      </c>
      <c r="X6459" s="3" t="s">
        <v>14785</v>
      </c>
    </row>
    <row r="6460" spans="1:24" ht="191.25">
      <c r="A6460" s="3" t="s">
        <v>18528</v>
      </c>
      <c r="B6460" s="6" t="s">
        <v>361</v>
      </c>
      <c r="C6460" s="6" t="s">
        <v>7363</v>
      </c>
      <c r="D6460" s="6" t="s">
        <v>6866</v>
      </c>
      <c r="E6460" s="6" t="s">
        <v>11585</v>
      </c>
      <c r="F6460" s="9" t="s">
        <v>6885</v>
      </c>
      <c r="G6460" s="57" t="s">
        <v>11450</v>
      </c>
      <c r="H6460" s="185">
        <v>0</v>
      </c>
      <c r="I6460" s="16">
        <v>470000000</v>
      </c>
      <c r="J6460" s="56" t="s">
        <v>229</v>
      </c>
      <c r="K6460" s="57" t="s">
        <v>9369</v>
      </c>
      <c r="L6460" s="12" t="s">
        <v>404</v>
      </c>
      <c r="M6460" s="3" t="s">
        <v>230</v>
      </c>
      <c r="N6460" s="8" t="s">
        <v>8898</v>
      </c>
      <c r="O6460" s="6" t="s">
        <v>365</v>
      </c>
      <c r="P6460" s="58" t="s">
        <v>241</v>
      </c>
      <c r="Q6460" s="27" t="s">
        <v>234</v>
      </c>
      <c r="R6460" s="27">
        <v>40</v>
      </c>
      <c r="S6460" s="59">
        <v>6805.2</v>
      </c>
      <c r="T6460" s="4">
        <v>0</v>
      </c>
      <c r="U6460" s="4">
        <f>T6460*1.12</f>
        <v>0</v>
      </c>
      <c r="V6460" s="158"/>
      <c r="W6460" s="3">
        <v>2014</v>
      </c>
      <c r="X6460" s="3" t="s">
        <v>12076</v>
      </c>
    </row>
    <row r="6461" spans="1:24" ht="191.25">
      <c r="A6461" s="3" t="s">
        <v>2681</v>
      </c>
      <c r="B6461" s="6" t="s">
        <v>361</v>
      </c>
      <c r="C6461" s="6" t="s">
        <v>7363</v>
      </c>
      <c r="D6461" s="6" t="s">
        <v>6866</v>
      </c>
      <c r="E6461" s="6" t="s">
        <v>11585</v>
      </c>
      <c r="F6461" s="9" t="s">
        <v>6886</v>
      </c>
      <c r="G6461" s="57" t="s">
        <v>11449</v>
      </c>
      <c r="H6461" s="185">
        <v>0</v>
      </c>
      <c r="I6461" s="16">
        <v>470000000</v>
      </c>
      <c r="J6461" s="56" t="s">
        <v>229</v>
      </c>
      <c r="K6461" s="57" t="s">
        <v>641</v>
      </c>
      <c r="L6461" s="57" t="s">
        <v>364</v>
      </c>
      <c r="M6461" s="3" t="s">
        <v>230</v>
      </c>
      <c r="N6461" s="8" t="s">
        <v>8898</v>
      </c>
      <c r="O6461" s="6" t="s">
        <v>365</v>
      </c>
      <c r="P6461" s="58" t="s">
        <v>241</v>
      </c>
      <c r="Q6461" s="27" t="s">
        <v>234</v>
      </c>
      <c r="R6461" s="27">
        <v>40</v>
      </c>
      <c r="S6461" s="59">
        <f>7100*1.07</f>
        <v>7597</v>
      </c>
      <c r="T6461" s="4">
        <v>0</v>
      </c>
      <c r="U6461" s="4">
        <f t="shared" si="300"/>
        <v>0</v>
      </c>
      <c r="V6461" s="158"/>
      <c r="W6461" s="3">
        <v>2014</v>
      </c>
      <c r="X6461" s="3" t="s">
        <v>11817</v>
      </c>
    </row>
    <row r="6462" spans="1:24" ht="191.25">
      <c r="A6462" s="3" t="s">
        <v>13783</v>
      </c>
      <c r="B6462" s="6" t="s">
        <v>361</v>
      </c>
      <c r="C6462" s="6" t="s">
        <v>7363</v>
      </c>
      <c r="D6462" s="6" t="s">
        <v>6866</v>
      </c>
      <c r="E6462" s="6" t="s">
        <v>11585</v>
      </c>
      <c r="F6462" s="9" t="s">
        <v>6886</v>
      </c>
      <c r="G6462" s="57" t="s">
        <v>11450</v>
      </c>
      <c r="H6462" s="185">
        <v>0</v>
      </c>
      <c r="I6462" s="16">
        <v>470000000</v>
      </c>
      <c r="J6462" s="56" t="s">
        <v>229</v>
      </c>
      <c r="K6462" s="57" t="s">
        <v>9453</v>
      </c>
      <c r="L6462" s="12" t="s">
        <v>404</v>
      </c>
      <c r="M6462" s="3" t="s">
        <v>230</v>
      </c>
      <c r="N6462" s="8" t="s">
        <v>8898</v>
      </c>
      <c r="O6462" s="6" t="s">
        <v>365</v>
      </c>
      <c r="P6462" s="58" t="s">
        <v>241</v>
      </c>
      <c r="Q6462" s="27" t="s">
        <v>234</v>
      </c>
      <c r="R6462" s="27">
        <v>40</v>
      </c>
      <c r="S6462" s="59">
        <f>7100*1.07</f>
        <v>7597</v>
      </c>
      <c r="T6462" s="4">
        <v>0</v>
      </c>
      <c r="U6462" s="4">
        <f>T6462*1.12</f>
        <v>0</v>
      </c>
      <c r="V6462" s="158"/>
      <c r="W6462" s="3">
        <v>2014</v>
      </c>
      <c r="X6462" s="3" t="s">
        <v>14785</v>
      </c>
    </row>
    <row r="6463" spans="1:24" ht="191.25">
      <c r="A6463" s="3" t="s">
        <v>18529</v>
      </c>
      <c r="B6463" s="6" t="s">
        <v>361</v>
      </c>
      <c r="C6463" s="6" t="s">
        <v>7363</v>
      </c>
      <c r="D6463" s="6" t="s">
        <v>6866</v>
      </c>
      <c r="E6463" s="6" t="s">
        <v>11585</v>
      </c>
      <c r="F6463" s="9" t="s">
        <v>6886</v>
      </c>
      <c r="G6463" s="57" t="s">
        <v>11450</v>
      </c>
      <c r="H6463" s="185">
        <v>0</v>
      </c>
      <c r="I6463" s="16">
        <v>470000000</v>
      </c>
      <c r="J6463" s="56" t="s">
        <v>229</v>
      </c>
      <c r="K6463" s="57" t="s">
        <v>9369</v>
      </c>
      <c r="L6463" s="12" t="s">
        <v>404</v>
      </c>
      <c r="M6463" s="3" t="s">
        <v>230</v>
      </c>
      <c r="N6463" s="8" t="s">
        <v>8898</v>
      </c>
      <c r="O6463" s="6" t="s">
        <v>365</v>
      </c>
      <c r="P6463" s="58" t="s">
        <v>241</v>
      </c>
      <c r="Q6463" s="27" t="s">
        <v>234</v>
      </c>
      <c r="R6463" s="27">
        <v>40</v>
      </c>
      <c r="S6463" s="59">
        <v>9116.4</v>
      </c>
      <c r="T6463" s="4">
        <v>0</v>
      </c>
      <c r="U6463" s="4">
        <f>T6463*1.12</f>
        <v>0</v>
      </c>
      <c r="V6463" s="158"/>
      <c r="W6463" s="3">
        <v>2014</v>
      </c>
      <c r="X6463" s="3" t="s">
        <v>12076</v>
      </c>
    </row>
    <row r="6464" spans="1:24" ht="114.75">
      <c r="A6464" s="3" t="s">
        <v>2682</v>
      </c>
      <c r="B6464" s="6" t="s">
        <v>361</v>
      </c>
      <c r="C6464" s="6" t="s">
        <v>6879</v>
      </c>
      <c r="D6464" s="6" t="s">
        <v>6870</v>
      </c>
      <c r="E6464" s="6" t="s">
        <v>6880</v>
      </c>
      <c r="F6464" s="9" t="s">
        <v>6887</v>
      </c>
      <c r="G6464" s="57" t="s">
        <v>11449</v>
      </c>
      <c r="H6464" s="185">
        <v>0</v>
      </c>
      <c r="I6464" s="16">
        <v>470000000</v>
      </c>
      <c r="J6464" s="56" t="s">
        <v>229</v>
      </c>
      <c r="K6464" s="57" t="s">
        <v>641</v>
      </c>
      <c r="L6464" s="57" t="s">
        <v>364</v>
      </c>
      <c r="M6464" s="3" t="s">
        <v>230</v>
      </c>
      <c r="N6464" s="8" t="s">
        <v>8898</v>
      </c>
      <c r="O6464" s="6" t="s">
        <v>365</v>
      </c>
      <c r="P6464" s="58" t="s">
        <v>241</v>
      </c>
      <c r="Q6464" s="27" t="s">
        <v>234</v>
      </c>
      <c r="R6464" s="27">
        <v>40</v>
      </c>
      <c r="S6464" s="59">
        <f>960*1.07</f>
        <v>1027.2</v>
      </c>
      <c r="T6464" s="4">
        <v>0</v>
      </c>
      <c r="U6464" s="4">
        <f t="shared" si="300"/>
        <v>0</v>
      </c>
      <c r="V6464" s="158"/>
      <c r="W6464" s="3">
        <v>2014</v>
      </c>
      <c r="X6464" s="3" t="s">
        <v>11817</v>
      </c>
    </row>
    <row r="6465" spans="1:24" ht="114.75">
      <c r="A6465" s="3" t="s">
        <v>13784</v>
      </c>
      <c r="B6465" s="6" t="s">
        <v>361</v>
      </c>
      <c r="C6465" s="6" t="s">
        <v>6879</v>
      </c>
      <c r="D6465" s="6" t="s">
        <v>6870</v>
      </c>
      <c r="E6465" s="6" t="s">
        <v>6880</v>
      </c>
      <c r="F6465" s="9" t="s">
        <v>6887</v>
      </c>
      <c r="G6465" s="57" t="s">
        <v>11450</v>
      </c>
      <c r="H6465" s="185">
        <v>0</v>
      </c>
      <c r="I6465" s="16">
        <v>470000000</v>
      </c>
      <c r="J6465" s="56" t="s">
        <v>229</v>
      </c>
      <c r="K6465" s="57" t="s">
        <v>9453</v>
      </c>
      <c r="L6465" s="12" t="s">
        <v>404</v>
      </c>
      <c r="M6465" s="3" t="s">
        <v>230</v>
      </c>
      <c r="N6465" s="8" t="s">
        <v>8898</v>
      </c>
      <c r="O6465" s="6" t="s">
        <v>365</v>
      </c>
      <c r="P6465" s="58" t="s">
        <v>241</v>
      </c>
      <c r="Q6465" s="27" t="s">
        <v>234</v>
      </c>
      <c r="R6465" s="27">
        <v>40</v>
      </c>
      <c r="S6465" s="59">
        <f>960*1.07</f>
        <v>1027.2</v>
      </c>
      <c r="T6465" s="4">
        <v>0</v>
      </c>
      <c r="U6465" s="4">
        <f>T6465*1.12</f>
        <v>0</v>
      </c>
      <c r="V6465" s="158"/>
      <c r="W6465" s="3">
        <v>2014</v>
      </c>
      <c r="X6465" s="3" t="s">
        <v>14785</v>
      </c>
    </row>
    <row r="6466" spans="1:24" ht="114.75">
      <c r="A6466" s="3" t="s">
        <v>18530</v>
      </c>
      <c r="B6466" s="6" t="s">
        <v>361</v>
      </c>
      <c r="C6466" s="6" t="s">
        <v>6879</v>
      </c>
      <c r="D6466" s="6" t="s">
        <v>6870</v>
      </c>
      <c r="E6466" s="6" t="s">
        <v>6880</v>
      </c>
      <c r="F6466" s="9" t="s">
        <v>6887</v>
      </c>
      <c r="G6466" s="57" t="s">
        <v>11450</v>
      </c>
      <c r="H6466" s="185">
        <v>0</v>
      </c>
      <c r="I6466" s="16">
        <v>470000000</v>
      </c>
      <c r="J6466" s="56" t="s">
        <v>229</v>
      </c>
      <c r="K6466" s="57" t="s">
        <v>9369</v>
      </c>
      <c r="L6466" s="12" t="s">
        <v>404</v>
      </c>
      <c r="M6466" s="3" t="s">
        <v>230</v>
      </c>
      <c r="N6466" s="8" t="s">
        <v>8898</v>
      </c>
      <c r="O6466" s="6" t="s">
        <v>365</v>
      </c>
      <c r="P6466" s="58" t="s">
        <v>241</v>
      </c>
      <c r="Q6466" s="27" t="s">
        <v>234</v>
      </c>
      <c r="R6466" s="27">
        <v>40</v>
      </c>
      <c r="S6466" s="59">
        <v>1232.6400000000001</v>
      </c>
      <c r="T6466" s="4">
        <f>R6466*S6466</f>
        <v>49305.600000000006</v>
      </c>
      <c r="U6466" s="4">
        <f>T6466*1.12</f>
        <v>55222.272000000012</v>
      </c>
      <c r="V6466" s="158"/>
      <c r="W6466" s="3">
        <v>2014</v>
      </c>
      <c r="X6466" s="3"/>
    </row>
    <row r="6467" spans="1:24" ht="114.75">
      <c r="A6467" s="3" t="s">
        <v>2683</v>
      </c>
      <c r="B6467" s="6" t="s">
        <v>361</v>
      </c>
      <c r="C6467" s="6" t="s">
        <v>6873</v>
      </c>
      <c r="D6467" s="6" t="s">
        <v>6870</v>
      </c>
      <c r="E6467" s="6" t="s">
        <v>6874</v>
      </c>
      <c r="F6467" s="9" t="s">
        <v>6888</v>
      </c>
      <c r="G6467" s="57" t="s">
        <v>11449</v>
      </c>
      <c r="H6467" s="185">
        <v>0</v>
      </c>
      <c r="I6467" s="16">
        <v>470000000</v>
      </c>
      <c r="J6467" s="56" t="s">
        <v>229</v>
      </c>
      <c r="K6467" s="57" t="s">
        <v>641</v>
      </c>
      <c r="L6467" s="57" t="s">
        <v>364</v>
      </c>
      <c r="M6467" s="3" t="s">
        <v>230</v>
      </c>
      <c r="N6467" s="8" t="s">
        <v>8898</v>
      </c>
      <c r="O6467" s="6" t="s">
        <v>365</v>
      </c>
      <c r="P6467" s="58" t="s">
        <v>241</v>
      </c>
      <c r="Q6467" s="27" t="s">
        <v>234</v>
      </c>
      <c r="R6467" s="27">
        <v>40</v>
      </c>
      <c r="S6467" s="59">
        <f>1190*1.07</f>
        <v>1273.3000000000002</v>
      </c>
      <c r="T6467" s="4">
        <v>0</v>
      </c>
      <c r="U6467" s="4">
        <f t="shared" si="300"/>
        <v>0</v>
      </c>
      <c r="V6467" s="158"/>
      <c r="W6467" s="3">
        <v>2014</v>
      </c>
      <c r="X6467" s="3" t="s">
        <v>11817</v>
      </c>
    </row>
    <row r="6468" spans="1:24" ht="114.75">
      <c r="A6468" s="3" t="s">
        <v>13785</v>
      </c>
      <c r="B6468" s="6" t="s">
        <v>361</v>
      </c>
      <c r="C6468" s="6" t="s">
        <v>6873</v>
      </c>
      <c r="D6468" s="6" t="s">
        <v>6870</v>
      </c>
      <c r="E6468" s="6" t="s">
        <v>6874</v>
      </c>
      <c r="F6468" s="9" t="s">
        <v>6888</v>
      </c>
      <c r="G6468" s="57" t="s">
        <v>11450</v>
      </c>
      <c r="H6468" s="185">
        <v>0</v>
      </c>
      <c r="I6468" s="16">
        <v>470000000</v>
      </c>
      <c r="J6468" s="56" t="s">
        <v>229</v>
      </c>
      <c r="K6468" s="57" t="s">
        <v>9453</v>
      </c>
      <c r="L6468" s="12" t="s">
        <v>404</v>
      </c>
      <c r="M6468" s="3" t="s">
        <v>230</v>
      </c>
      <c r="N6468" s="8" t="s">
        <v>8898</v>
      </c>
      <c r="O6468" s="6" t="s">
        <v>365</v>
      </c>
      <c r="P6468" s="58" t="s">
        <v>241</v>
      </c>
      <c r="Q6468" s="27" t="s">
        <v>234</v>
      </c>
      <c r="R6468" s="27">
        <v>40</v>
      </c>
      <c r="S6468" s="59">
        <f>1190*1.07</f>
        <v>1273.3000000000002</v>
      </c>
      <c r="T6468" s="4">
        <f>R6468*S6468</f>
        <v>50932.000000000007</v>
      </c>
      <c r="U6468" s="4">
        <f>T6468*1.12</f>
        <v>57043.840000000011</v>
      </c>
      <c r="V6468" s="158"/>
      <c r="W6468" s="3">
        <v>2014</v>
      </c>
      <c r="X6468" s="3"/>
    </row>
    <row r="6469" spans="1:24" ht="114.75">
      <c r="A6469" s="3" t="s">
        <v>2684</v>
      </c>
      <c r="B6469" s="6" t="s">
        <v>361</v>
      </c>
      <c r="C6469" s="6" t="s">
        <v>6873</v>
      </c>
      <c r="D6469" s="6" t="s">
        <v>6870</v>
      </c>
      <c r="E6469" s="6" t="s">
        <v>6874</v>
      </c>
      <c r="F6469" s="9" t="s">
        <v>6889</v>
      </c>
      <c r="G6469" s="57" t="s">
        <v>11449</v>
      </c>
      <c r="H6469" s="185">
        <v>0</v>
      </c>
      <c r="I6469" s="16">
        <v>470000000</v>
      </c>
      <c r="J6469" s="56" t="s">
        <v>229</v>
      </c>
      <c r="K6469" s="57" t="s">
        <v>641</v>
      </c>
      <c r="L6469" s="57" t="s">
        <v>364</v>
      </c>
      <c r="M6469" s="3" t="s">
        <v>230</v>
      </c>
      <c r="N6469" s="8" t="s">
        <v>8898</v>
      </c>
      <c r="O6469" s="6" t="s">
        <v>365</v>
      </c>
      <c r="P6469" s="58" t="s">
        <v>241</v>
      </c>
      <c r="Q6469" s="27" t="s">
        <v>234</v>
      </c>
      <c r="R6469" s="27">
        <v>40</v>
      </c>
      <c r="S6469" s="59">
        <f>1290*1.07</f>
        <v>1380.3000000000002</v>
      </c>
      <c r="T6469" s="4">
        <v>0</v>
      </c>
      <c r="U6469" s="4">
        <f t="shared" si="300"/>
        <v>0</v>
      </c>
      <c r="V6469" s="158"/>
      <c r="W6469" s="3">
        <v>2014</v>
      </c>
      <c r="X6469" s="3" t="s">
        <v>11817</v>
      </c>
    </row>
    <row r="6470" spans="1:24" ht="114.75">
      <c r="A6470" s="3" t="s">
        <v>13786</v>
      </c>
      <c r="B6470" s="6" t="s">
        <v>361</v>
      </c>
      <c r="C6470" s="6" t="s">
        <v>6873</v>
      </c>
      <c r="D6470" s="6" t="s">
        <v>6870</v>
      </c>
      <c r="E6470" s="6" t="s">
        <v>6874</v>
      </c>
      <c r="F6470" s="9" t="s">
        <v>6889</v>
      </c>
      <c r="G6470" s="57" t="s">
        <v>11450</v>
      </c>
      <c r="H6470" s="185">
        <v>0</v>
      </c>
      <c r="I6470" s="16">
        <v>470000000</v>
      </c>
      <c r="J6470" s="56" t="s">
        <v>229</v>
      </c>
      <c r="K6470" s="57" t="s">
        <v>9453</v>
      </c>
      <c r="L6470" s="12" t="s">
        <v>404</v>
      </c>
      <c r="M6470" s="3" t="s">
        <v>230</v>
      </c>
      <c r="N6470" s="8" t="s">
        <v>8898</v>
      </c>
      <c r="O6470" s="6" t="s">
        <v>365</v>
      </c>
      <c r="P6470" s="58" t="s">
        <v>241</v>
      </c>
      <c r="Q6470" s="27" t="s">
        <v>234</v>
      </c>
      <c r="R6470" s="27">
        <v>40</v>
      </c>
      <c r="S6470" s="59">
        <f>1290*1.07</f>
        <v>1380.3000000000002</v>
      </c>
      <c r="T6470" s="4">
        <f>R6470*S6470</f>
        <v>55212.000000000007</v>
      </c>
      <c r="U6470" s="4">
        <f>T6470*1.12</f>
        <v>61837.440000000017</v>
      </c>
      <c r="V6470" s="158"/>
      <c r="W6470" s="3">
        <v>2014</v>
      </c>
      <c r="X6470" s="3"/>
    </row>
    <row r="6471" spans="1:24" ht="114.75">
      <c r="A6471" s="3" t="s">
        <v>2685</v>
      </c>
      <c r="B6471" s="6" t="s">
        <v>361</v>
      </c>
      <c r="C6471" s="6" t="s">
        <v>6873</v>
      </c>
      <c r="D6471" s="6" t="s">
        <v>6870</v>
      </c>
      <c r="E6471" s="6" t="s">
        <v>6874</v>
      </c>
      <c r="F6471" s="9" t="s">
        <v>6890</v>
      </c>
      <c r="G6471" s="57" t="s">
        <v>11449</v>
      </c>
      <c r="H6471" s="185">
        <v>0</v>
      </c>
      <c r="I6471" s="16">
        <v>470000000</v>
      </c>
      <c r="J6471" s="56" t="s">
        <v>229</v>
      </c>
      <c r="K6471" s="57" t="s">
        <v>641</v>
      </c>
      <c r="L6471" s="57" t="s">
        <v>364</v>
      </c>
      <c r="M6471" s="3" t="s">
        <v>230</v>
      </c>
      <c r="N6471" s="8" t="s">
        <v>8898</v>
      </c>
      <c r="O6471" s="6" t="s">
        <v>365</v>
      </c>
      <c r="P6471" s="58" t="s">
        <v>241</v>
      </c>
      <c r="Q6471" s="27" t="s">
        <v>234</v>
      </c>
      <c r="R6471" s="27">
        <v>40</v>
      </c>
      <c r="S6471" s="59">
        <f>1310*1.07</f>
        <v>1401.7</v>
      </c>
      <c r="T6471" s="4">
        <v>0</v>
      </c>
      <c r="U6471" s="4">
        <f t="shared" si="300"/>
        <v>0</v>
      </c>
      <c r="V6471" s="158"/>
      <c r="W6471" s="3">
        <v>2014</v>
      </c>
      <c r="X6471" s="3" t="s">
        <v>11817</v>
      </c>
    </row>
    <row r="6472" spans="1:24" ht="114.75">
      <c r="A6472" s="3" t="s">
        <v>13787</v>
      </c>
      <c r="B6472" s="6" t="s">
        <v>361</v>
      </c>
      <c r="C6472" s="6" t="s">
        <v>6873</v>
      </c>
      <c r="D6472" s="6" t="s">
        <v>6870</v>
      </c>
      <c r="E6472" s="6" t="s">
        <v>6874</v>
      </c>
      <c r="F6472" s="9" t="s">
        <v>6890</v>
      </c>
      <c r="G6472" s="57" t="s">
        <v>11450</v>
      </c>
      <c r="H6472" s="185">
        <v>0</v>
      </c>
      <c r="I6472" s="16">
        <v>470000000</v>
      </c>
      <c r="J6472" s="56" t="s">
        <v>229</v>
      </c>
      <c r="K6472" s="57" t="s">
        <v>9453</v>
      </c>
      <c r="L6472" s="12" t="s">
        <v>404</v>
      </c>
      <c r="M6472" s="3" t="s">
        <v>230</v>
      </c>
      <c r="N6472" s="8" t="s">
        <v>8898</v>
      </c>
      <c r="O6472" s="6" t="s">
        <v>365</v>
      </c>
      <c r="P6472" s="58" t="s">
        <v>241</v>
      </c>
      <c r="Q6472" s="27" t="s">
        <v>234</v>
      </c>
      <c r="R6472" s="27">
        <v>40</v>
      </c>
      <c r="S6472" s="59">
        <f>1310*1.07</f>
        <v>1401.7</v>
      </c>
      <c r="T6472" s="4">
        <v>0</v>
      </c>
      <c r="U6472" s="4">
        <f>T6472*1.12</f>
        <v>0</v>
      </c>
      <c r="V6472" s="158"/>
      <c r="W6472" s="3">
        <v>2014</v>
      </c>
      <c r="X6472" s="3" t="s">
        <v>14785</v>
      </c>
    </row>
    <row r="6473" spans="1:24" ht="114.75">
      <c r="A6473" s="3" t="s">
        <v>18531</v>
      </c>
      <c r="B6473" s="6" t="s">
        <v>361</v>
      </c>
      <c r="C6473" s="6" t="s">
        <v>6873</v>
      </c>
      <c r="D6473" s="6" t="s">
        <v>6870</v>
      </c>
      <c r="E6473" s="6" t="s">
        <v>6874</v>
      </c>
      <c r="F6473" s="9" t="s">
        <v>6890</v>
      </c>
      <c r="G6473" s="57" t="s">
        <v>11450</v>
      </c>
      <c r="H6473" s="185">
        <v>0</v>
      </c>
      <c r="I6473" s="16">
        <v>470000000</v>
      </c>
      <c r="J6473" s="56" t="s">
        <v>229</v>
      </c>
      <c r="K6473" s="57" t="s">
        <v>9369</v>
      </c>
      <c r="L6473" s="12" t="s">
        <v>404</v>
      </c>
      <c r="M6473" s="3" t="s">
        <v>230</v>
      </c>
      <c r="N6473" s="8" t="s">
        <v>8898</v>
      </c>
      <c r="O6473" s="6" t="s">
        <v>365</v>
      </c>
      <c r="P6473" s="58" t="s">
        <v>241</v>
      </c>
      <c r="Q6473" s="27" t="s">
        <v>234</v>
      </c>
      <c r="R6473" s="27">
        <v>40</v>
      </c>
      <c r="S6473" s="59">
        <v>1682.04</v>
      </c>
      <c r="T6473" s="4">
        <f>R6473*S6473</f>
        <v>67281.600000000006</v>
      </c>
      <c r="U6473" s="4">
        <f>T6473*1.12</f>
        <v>75355.392000000007</v>
      </c>
      <c r="V6473" s="158"/>
      <c r="W6473" s="3">
        <v>2014</v>
      </c>
      <c r="X6473" s="3"/>
    </row>
    <row r="6474" spans="1:24" ht="114.75">
      <c r="A6474" s="3" t="s">
        <v>2686</v>
      </c>
      <c r="B6474" s="6" t="s">
        <v>361</v>
      </c>
      <c r="C6474" s="6" t="s">
        <v>6873</v>
      </c>
      <c r="D6474" s="6" t="s">
        <v>6870</v>
      </c>
      <c r="E6474" s="6" t="s">
        <v>6874</v>
      </c>
      <c r="F6474" s="9" t="s">
        <v>6891</v>
      </c>
      <c r="G6474" s="57" t="s">
        <v>11449</v>
      </c>
      <c r="H6474" s="185">
        <v>0</v>
      </c>
      <c r="I6474" s="16">
        <v>470000000</v>
      </c>
      <c r="J6474" s="56" t="s">
        <v>229</v>
      </c>
      <c r="K6474" s="57" t="s">
        <v>641</v>
      </c>
      <c r="L6474" s="57" t="s">
        <v>364</v>
      </c>
      <c r="M6474" s="3" t="s">
        <v>230</v>
      </c>
      <c r="N6474" s="8" t="s">
        <v>8898</v>
      </c>
      <c r="O6474" s="6" t="s">
        <v>365</v>
      </c>
      <c r="P6474" s="58" t="s">
        <v>241</v>
      </c>
      <c r="Q6474" s="27" t="s">
        <v>234</v>
      </c>
      <c r="R6474" s="27">
        <v>40</v>
      </c>
      <c r="S6474" s="59">
        <f>1220*1.07</f>
        <v>1305.4000000000001</v>
      </c>
      <c r="T6474" s="4">
        <v>0</v>
      </c>
      <c r="U6474" s="4">
        <f t="shared" si="300"/>
        <v>0</v>
      </c>
      <c r="V6474" s="158"/>
      <c r="W6474" s="3">
        <v>2014</v>
      </c>
      <c r="X6474" s="3" t="s">
        <v>11817</v>
      </c>
    </row>
    <row r="6475" spans="1:24" ht="114.75">
      <c r="A6475" s="3" t="s">
        <v>13788</v>
      </c>
      <c r="B6475" s="6" t="s">
        <v>361</v>
      </c>
      <c r="C6475" s="6" t="s">
        <v>6873</v>
      </c>
      <c r="D6475" s="6" t="s">
        <v>6870</v>
      </c>
      <c r="E6475" s="6" t="s">
        <v>6874</v>
      </c>
      <c r="F6475" s="9" t="s">
        <v>6891</v>
      </c>
      <c r="G6475" s="57" t="s">
        <v>11450</v>
      </c>
      <c r="H6475" s="185">
        <v>0</v>
      </c>
      <c r="I6475" s="16">
        <v>470000000</v>
      </c>
      <c r="J6475" s="56" t="s">
        <v>229</v>
      </c>
      <c r="K6475" s="57" t="s">
        <v>9453</v>
      </c>
      <c r="L6475" s="12" t="s">
        <v>404</v>
      </c>
      <c r="M6475" s="3" t="s">
        <v>230</v>
      </c>
      <c r="N6475" s="8" t="s">
        <v>8898</v>
      </c>
      <c r="O6475" s="6" t="s">
        <v>365</v>
      </c>
      <c r="P6475" s="58" t="s">
        <v>241</v>
      </c>
      <c r="Q6475" s="27" t="s">
        <v>234</v>
      </c>
      <c r="R6475" s="27">
        <v>40</v>
      </c>
      <c r="S6475" s="59">
        <f>1220*1.07</f>
        <v>1305.4000000000001</v>
      </c>
      <c r="T6475" s="4">
        <v>0</v>
      </c>
      <c r="U6475" s="4">
        <f>T6475*1.12</f>
        <v>0</v>
      </c>
      <c r="V6475" s="158"/>
      <c r="W6475" s="3">
        <v>2014</v>
      </c>
      <c r="X6475" s="3" t="s">
        <v>14785</v>
      </c>
    </row>
    <row r="6476" spans="1:24" ht="114.75">
      <c r="A6476" s="3" t="s">
        <v>18532</v>
      </c>
      <c r="B6476" s="6" t="s">
        <v>361</v>
      </c>
      <c r="C6476" s="6" t="s">
        <v>6873</v>
      </c>
      <c r="D6476" s="6" t="s">
        <v>6870</v>
      </c>
      <c r="E6476" s="6" t="s">
        <v>6874</v>
      </c>
      <c r="F6476" s="9" t="s">
        <v>6891</v>
      </c>
      <c r="G6476" s="57" t="s">
        <v>11450</v>
      </c>
      <c r="H6476" s="185">
        <v>0</v>
      </c>
      <c r="I6476" s="16">
        <v>470000000</v>
      </c>
      <c r="J6476" s="56" t="s">
        <v>229</v>
      </c>
      <c r="K6476" s="57" t="s">
        <v>9369</v>
      </c>
      <c r="L6476" s="12" t="s">
        <v>404</v>
      </c>
      <c r="M6476" s="3" t="s">
        <v>230</v>
      </c>
      <c r="N6476" s="8" t="s">
        <v>8898</v>
      </c>
      <c r="O6476" s="6" t="s">
        <v>365</v>
      </c>
      <c r="P6476" s="58" t="s">
        <v>241</v>
      </c>
      <c r="Q6476" s="27" t="s">
        <v>234</v>
      </c>
      <c r="R6476" s="27">
        <v>40</v>
      </c>
      <c r="S6476" s="59">
        <v>1566.48</v>
      </c>
      <c r="T6476" s="4">
        <f>R6476*S6476</f>
        <v>62659.199999999997</v>
      </c>
      <c r="U6476" s="4">
        <f>T6476*1.12</f>
        <v>70178.304000000004</v>
      </c>
      <c r="V6476" s="158"/>
      <c r="W6476" s="3">
        <v>2014</v>
      </c>
      <c r="X6476" s="3"/>
    </row>
    <row r="6477" spans="1:24" ht="114.75">
      <c r="A6477" s="3" t="s">
        <v>2687</v>
      </c>
      <c r="B6477" s="6" t="s">
        <v>361</v>
      </c>
      <c r="C6477" s="6" t="s">
        <v>6873</v>
      </c>
      <c r="D6477" s="6" t="s">
        <v>6870</v>
      </c>
      <c r="E6477" s="6" t="s">
        <v>6874</v>
      </c>
      <c r="F6477" s="9" t="s">
        <v>6892</v>
      </c>
      <c r="G6477" s="57" t="s">
        <v>11449</v>
      </c>
      <c r="H6477" s="185">
        <v>0</v>
      </c>
      <c r="I6477" s="16">
        <v>470000000</v>
      </c>
      <c r="J6477" s="56" t="s">
        <v>229</v>
      </c>
      <c r="K6477" s="57" t="s">
        <v>641</v>
      </c>
      <c r="L6477" s="57" t="s">
        <v>364</v>
      </c>
      <c r="M6477" s="3" t="s">
        <v>230</v>
      </c>
      <c r="N6477" s="8" t="s">
        <v>8898</v>
      </c>
      <c r="O6477" s="6" t="s">
        <v>365</v>
      </c>
      <c r="P6477" s="58" t="s">
        <v>241</v>
      </c>
      <c r="Q6477" s="27" t="s">
        <v>234</v>
      </c>
      <c r="R6477" s="27">
        <v>40</v>
      </c>
      <c r="S6477" s="59">
        <f>1460*1.07</f>
        <v>1562.2</v>
      </c>
      <c r="T6477" s="4">
        <v>0</v>
      </c>
      <c r="U6477" s="4">
        <f t="shared" si="300"/>
        <v>0</v>
      </c>
      <c r="V6477" s="158"/>
      <c r="W6477" s="3">
        <v>2014</v>
      </c>
      <c r="X6477" s="3" t="s">
        <v>11817</v>
      </c>
    </row>
    <row r="6478" spans="1:24" ht="114.75">
      <c r="A6478" s="3" t="s">
        <v>13789</v>
      </c>
      <c r="B6478" s="6" t="s">
        <v>361</v>
      </c>
      <c r="C6478" s="6" t="s">
        <v>6873</v>
      </c>
      <c r="D6478" s="6" t="s">
        <v>6870</v>
      </c>
      <c r="E6478" s="6" t="s">
        <v>6874</v>
      </c>
      <c r="F6478" s="9" t="s">
        <v>6892</v>
      </c>
      <c r="G6478" s="57" t="s">
        <v>11450</v>
      </c>
      <c r="H6478" s="185">
        <v>0</v>
      </c>
      <c r="I6478" s="16">
        <v>470000000</v>
      </c>
      <c r="J6478" s="56" t="s">
        <v>229</v>
      </c>
      <c r="K6478" s="57" t="s">
        <v>9453</v>
      </c>
      <c r="L6478" s="12" t="s">
        <v>404</v>
      </c>
      <c r="M6478" s="3" t="s">
        <v>230</v>
      </c>
      <c r="N6478" s="8" t="s">
        <v>8898</v>
      </c>
      <c r="O6478" s="6" t="s">
        <v>365</v>
      </c>
      <c r="P6478" s="58" t="s">
        <v>241</v>
      </c>
      <c r="Q6478" s="27" t="s">
        <v>234</v>
      </c>
      <c r="R6478" s="27">
        <v>40</v>
      </c>
      <c r="S6478" s="59">
        <f>1460*1.07</f>
        <v>1562.2</v>
      </c>
      <c r="T6478" s="4">
        <v>0</v>
      </c>
      <c r="U6478" s="4">
        <f>T6478*1.12</f>
        <v>0</v>
      </c>
      <c r="V6478" s="158"/>
      <c r="W6478" s="3">
        <v>2014</v>
      </c>
      <c r="X6478" s="3" t="s">
        <v>14785</v>
      </c>
    </row>
    <row r="6479" spans="1:24" ht="114.75">
      <c r="A6479" s="3" t="s">
        <v>18533</v>
      </c>
      <c r="B6479" s="6" t="s">
        <v>361</v>
      </c>
      <c r="C6479" s="6" t="s">
        <v>6873</v>
      </c>
      <c r="D6479" s="6" t="s">
        <v>6870</v>
      </c>
      <c r="E6479" s="6" t="s">
        <v>6874</v>
      </c>
      <c r="F6479" s="9" t="s">
        <v>6892</v>
      </c>
      <c r="G6479" s="57" t="s">
        <v>11450</v>
      </c>
      <c r="H6479" s="185">
        <v>0</v>
      </c>
      <c r="I6479" s="16">
        <v>470000000</v>
      </c>
      <c r="J6479" s="56" t="s">
        <v>229</v>
      </c>
      <c r="K6479" s="57" t="s">
        <v>9369</v>
      </c>
      <c r="L6479" s="12" t="s">
        <v>404</v>
      </c>
      <c r="M6479" s="3" t="s">
        <v>230</v>
      </c>
      <c r="N6479" s="8" t="s">
        <v>8898</v>
      </c>
      <c r="O6479" s="6" t="s">
        <v>365</v>
      </c>
      <c r="P6479" s="58" t="s">
        <v>241</v>
      </c>
      <c r="Q6479" s="27" t="s">
        <v>234</v>
      </c>
      <c r="R6479" s="27">
        <v>40</v>
      </c>
      <c r="S6479" s="59">
        <v>1874.6399999999999</v>
      </c>
      <c r="T6479" s="4">
        <f>R6479*S6479</f>
        <v>74985.599999999991</v>
      </c>
      <c r="U6479" s="4">
        <f>T6479*1.12</f>
        <v>83983.872000000003</v>
      </c>
      <c r="V6479" s="158"/>
      <c r="W6479" s="3">
        <v>2014</v>
      </c>
      <c r="X6479" s="3"/>
    </row>
    <row r="6480" spans="1:24" ht="114.75">
      <c r="A6480" s="3" t="s">
        <v>2688</v>
      </c>
      <c r="B6480" s="6" t="s">
        <v>361</v>
      </c>
      <c r="C6480" s="6" t="s">
        <v>6876</v>
      </c>
      <c r="D6480" s="6" t="s">
        <v>6870</v>
      </c>
      <c r="E6480" s="6" t="s">
        <v>6877</v>
      </c>
      <c r="F6480" s="9" t="s">
        <v>6893</v>
      </c>
      <c r="G6480" s="57" t="s">
        <v>11449</v>
      </c>
      <c r="H6480" s="185">
        <v>0</v>
      </c>
      <c r="I6480" s="16">
        <v>470000000</v>
      </c>
      <c r="J6480" s="56" t="s">
        <v>229</v>
      </c>
      <c r="K6480" s="57" t="s">
        <v>641</v>
      </c>
      <c r="L6480" s="57" t="s">
        <v>364</v>
      </c>
      <c r="M6480" s="3" t="s">
        <v>230</v>
      </c>
      <c r="N6480" s="8" t="s">
        <v>8898</v>
      </c>
      <c r="O6480" s="6" t="s">
        <v>365</v>
      </c>
      <c r="P6480" s="58" t="s">
        <v>241</v>
      </c>
      <c r="Q6480" s="27" t="s">
        <v>234</v>
      </c>
      <c r="R6480" s="27">
        <v>40</v>
      </c>
      <c r="S6480" s="59">
        <f>1260*1.07</f>
        <v>1348.2</v>
      </c>
      <c r="T6480" s="4">
        <v>0</v>
      </c>
      <c r="U6480" s="4">
        <f t="shared" si="300"/>
        <v>0</v>
      </c>
      <c r="V6480" s="158"/>
      <c r="W6480" s="3">
        <v>2014</v>
      </c>
      <c r="X6480" s="3" t="s">
        <v>11817</v>
      </c>
    </row>
    <row r="6481" spans="1:24" ht="114.75">
      <c r="A6481" s="3" t="s">
        <v>13790</v>
      </c>
      <c r="B6481" s="6" t="s">
        <v>361</v>
      </c>
      <c r="C6481" s="6" t="s">
        <v>6876</v>
      </c>
      <c r="D6481" s="6" t="s">
        <v>6870</v>
      </c>
      <c r="E6481" s="6" t="s">
        <v>6877</v>
      </c>
      <c r="F6481" s="9" t="s">
        <v>6893</v>
      </c>
      <c r="G6481" s="57" t="s">
        <v>11450</v>
      </c>
      <c r="H6481" s="185">
        <v>0</v>
      </c>
      <c r="I6481" s="16">
        <v>470000000</v>
      </c>
      <c r="J6481" s="56" t="s">
        <v>229</v>
      </c>
      <c r="K6481" s="57" t="s">
        <v>9453</v>
      </c>
      <c r="L6481" s="12" t="s">
        <v>404</v>
      </c>
      <c r="M6481" s="3" t="s">
        <v>230</v>
      </c>
      <c r="N6481" s="8" t="s">
        <v>8898</v>
      </c>
      <c r="O6481" s="6" t="s">
        <v>365</v>
      </c>
      <c r="P6481" s="58" t="s">
        <v>241</v>
      </c>
      <c r="Q6481" s="27" t="s">
        <v>234</v>
      </c>
      <c r="R6481" s="27">
        <v>40</v>
      </c>
      <c r="S6481" s="59">
        <f>1260*1.07</f>
        <v>1348.2</v>
      </c>
      <c r="T6481" s="4">
        <f>R6481*S6481</f>
        <v>53928</v>
      </c>
      <c r="U6481" s="4">
        <f>T6481*1.12</f>
        <v>60399.360000000008</v>
      </c>
      <c r="V6481" s="158"/>
      <c r="W6481" s="3">
        <v>2014</v>
      </c>
      <c r="X6481" s="3"/>
    </row>
    <row r="6482" spans="1:24" ht="114.75">
      <c r="A6482" s="3" t="s">
        <v>2689</v>
      </c>
      <c r="B6482" s="6" t="s">
        <v>361</v>
      </c>
      <c r="C6482" s="6" t="s">
        <v>6876</v>
      </c>
      <c r="D6482" s="6" t="s">
        <v>6870</v>
      </c>
      <c r="E6482" s="6" t="s">
        <v>6877</v>
      </c>
      <c r="F6482" s="9" t="s">
        <v>6894</v>
      </c>
      <c r="G6482" s="57" t="s">
        <v>11449</v>
      </c>
      <c r="H6482" s="185">
        <v>0</v>
      </c>
      <c r="I6482" s="16">
        <v>470000000</v>
      </c>
      <c r="J6482" s="56" t="s">
        <v>229</v>
      </c>
      <c r="K6482" s="57" t="s">
        <v>641</v>
      </c>
      <c r="L6482" s="57" t="s">
        <v>364</v>
      </c>
      <c r="M6482" s="3" t="s">
        <v>230</v>
      </c>
      <c r="N6482" s="8" t="s">
        <v>8898</v>
      </c>
      <c r="O6482" s="6" t="s">
        <v>365</v>
      </c>
      <c r="P6482" s="58" t="s">
        <v>241</v>
      </c>
      <c r="Q6482" s="27" t="s">
        <v>234</v>
      </c>
      <c r="R6482" s="27">
        <v>40</v>
      </c>
      <c r="S6482" s="59">
        <f>1460*1.07</f>
        <v>1562.2</v>
      </c>
      <c r="T6482" s="4">
        <v>0</v>
      </c>
      <c r="U6482" s="4">
        <f t="shared" si="300"/>
        <v>0</v>
      </c>
      <c r="V6482" s="158"/>
      <c r="W6482" s="3">
        <v>2014</v>
      </c>
      <c r="X6482" s="3" t="s">
        <v>11817</v>
      </c>
    </row>
    <row r="6483" spans="1:24" ht="114.75">
      <c r="A6483" s="3" t="s">
        <v>13791</v>
      </c>
      <c r="B6483" s="6" t="s">
        <v>361</v>
      </c>
      <c r="C6483" s="6" t="s">
        <v>6876</v>
      </c>
      <c r="D6483" s="6" t="s">
        <v>6870</v>
      </c>
      <c r="E6483" s="6" t="s">
        <v>6877</v>
      </c>
      <c r="F6483" s="9" t="s">
        <v>6894</v>
      </c>
      <c r="G6483" s="57" t="s">
        <v>11450</v>
      </c>
      <c r="H6483" s="185">
        <v>0</v>
      </c>
      <c r="I6483" s="16">
        <v>470000000</v>
      </c>
      <c r="J6483" s="56" t="s">
        <v>229</v>
      </c>
      <c r="K6483" s="57" t="s">
        <v>9453</v>
      </c>
      <c r="L6483" s="12" t="s">
        <v>404</v>
      </c>
      <c r="M6483" s="3" t="s">
        <v>230</v>
      </c>
      <c r="N6483" s="8" t="s">
        <v>8898</v>
      </c>
      <c r="O6483" s="6" t="s">
        <v>365</v>
      </c>
      <c r="P6483" s="58" t="s">
        <v>241</v>
      </c>
      <c r="Q6483" s="27" t="s">
        <v>234</v>
      </c>
      <c r="R6483" s="27">
        <v>40</v>
      </c>
      <c r="S6483" s="59">
        <f>1460*1.07</f>
        <v>1562.2</v>
      </c>
      <c r="T6483" s="4">
        <v>0</v>
      </c>
      <c r="U6483" s="4">
        <f>T6483*1.12</f>
        <v>0</v>
      </c>
      <c r="V6483" s="158"/>
      <c r="W6483" s="3">
        <v>2014</v>
      </c>
      <c r="X6483" s="3" t="s">
        <v>14785</v>
      </c>
    </row>
    <row r="6484" spans="1:24" ht="114.75">
      <c r="A6484" s="3" t="s">
        <v>17088</v>
      </c>
      <c r="B6484" s="6" t="s">
        <v>361</v>
      </c>
      <c r="C6484" s="6" t="s">
        <v>6876</v>
      </c>
      <c r="D6484" s="6" t="s">
        <v>6870</v>
      </c>
      <c r="E6484" s="6" t="s">
        <v>6877</v>
      </c>
      <c r="F6484" s="9" t="s">
        <v>6894</v>
      </c>
      <c r="G6484" s="3" t="s">
        <v>11450</v>
      </c>
      <c r="H6484" s="185">
        <v>0</v>
      </c>
      <c r="I6484" s="16">
        <v>470000000</v>
      </c>
      <c r="J6484" s="56" t="s">
        <v>229</v>
      </c>
      <c r="K6484" s="57" t="s">
        <v>8950</v>
      </c>
      <c r="L6484" s="12" t="s">
        <v>404</v>
      </c>
      <c r="M6484" s="3" t="s">
        <v>230</v>
      </c>
      <c r="N6484" s="8" t="s">
        <v>8898</v>
      </c>
      <c r="O6484" s="6" t="s">
        <v>365</v>
      </c>
      <c r="P6484" s="58" t="s">
        <v>241</v>
      </c>
      <c r="Q6484" s="27" t="s">
        <v>234</v>
      </c>
      <c r="R6484" s="27">
        <v>40</v>
      </c>
      <c r="S6484" s="59">
        <v>1874.6399999999999</v>
      </c>
      <c r="T6484" s="4">
        <f>R6484*S6484</f>
        <v>74985.599999999991</v>
      </c>
      <c r="U6484" s="4">
        <f>T6484*1.12</f>
        <v>83983.872000000003</v>
      </c>
      <c r="V6484" s="158"/>
      <c r="W6484" s="3">
        <v>2014</v>
      </c>
      <c r="X6484" s="3"/>
    </row>
    <row r="6485" spans="1:24" ht="114.75">
      <c r="A6485" s="3" t="s">
        <v>2690</v>
      </c>
      <c r="B6485" s="6" t="s">
        <v>361</v>
      </c>
      <c r="C6485" s="6" t="s">
        <v>6876</v>
      </c>
      <c r="D6485" s="6" t="s">
        <v>6870</v>
      </c>
      <c r="E6485" s="6" t="s">
        <v>6877</v>
      </c>
      <c r="F6485" s="9" t="s">
        <v>6895</v>
      </c>
      <c r="G6485" s="57" t="s">
        <v>11449</v>
      </c>
      <c r="H6485" s="185">
        <v>0</v>
      </c>
      <c r="I6485" s="16">
        <v>470000000</v>
      </c>
      <c r="J6485" s="56" t="s">
        <v>229</v>
      </c>
      <c r="K6485" s="57" t="s">
        <v>641</v>
      </c>
      <c r="L6485" s="57" t="s">
        <v>364</v>
      </c>
      <c r="M6485" s="3" t="s">
        <v>230</v>
      </c>
      <c r="N6485" s="8" t="s">
        <v>8898</v>
      </c>
      <c r="O6485" s="6" t="s">
        <v>365</v>
      </c>
      <c r="P6485" s="58" t="s">
        <v>241</v>
      </c>
      <c r="Q6485" s="27" t="s">
        <v>234</v>
      </c>
      <c r="R6485" s="27">
        <v>40</v>
      </c>
      <c r="S6485" s="59">
        <f>1580*1.07</f>
        <v>1690.6000000000001</v>
      </c>
      <c r="T6485" s="4">
        <v>0</v>
      </c>
      <c r="U6485" s="4">
        <f t="shared" si="300"/>
        <v>0</v>
      </c>
      <c r="V6485" s="158"/>
      <c r="W6485" s="3">
        <v>2014</v>
      </c>
      <c r="X6485" s="3" t="s">
        <v>11817</v>
      </c>
    </row>
    <row r="6486" spans="1:24" ht="114.75">
      <c r="A6486" s="3" t="s">
        <v>13792</v>
      </c>
      <c r="B6486" s="6" t="s">
        <v>361</v>
      </c>
      <c r="C6486" s="6" t="s">
        <v>6876</v>
      </c>
      <c r="D6486" s="6" t="s">
        <v>6870</v>
      </c>
      <c r="E6486" s="6" t="s">
        <v>6877</v>
      </c>
      <c r="F6486" s="9" t="s">
        <v>6895</v>
      </c>
      <c r="G6486" s="57" t="s">
        <v>11450</v>
      </c>
      <c r="H6486" s="185">
        <v>0</v>
      </c>
      <c r="I6486" s="16">
        <v>470000000</v>
      </c>
      <c r="J6486" s="56" t="s">
        <v>229</v>
      </c>
      <c r="K6486" s="57" t="s">
        <v>9453</v>
      </c>
      <c r="L6486" s="12" t="s">
        <v>404</v>
      </c>
      <c r="M6486" s="3" t="s">
        <v>230</v>
      </c>
      <c r="N6486" s="8" t="s">
        <v>8898</v>
      </c>
      <c r="O6486" s="6" t="s">
        <v>365</v>
      </c>
      <c r="P6486" s="58" t="s">
        <v>241</v>
      </c>
      <c r="Q6486" s="27" t="s">
        <v>234</v>
      </c>
      <c r="R6486" s="27">
        <v>40</v>
      </c>
      <c r="S6486" s="59">
        <f>1580*1.07</f>
        <v>1690.6000000000001</v>
      </c>
      <c r="T6486" s="4">
        <v>0</v>
      </c>
      <c r="U6486" s="4">
        <f>T6486*1.12</f>
        <v>0</v>
      </c>
      <c r="V6486" s="158"/>
      <c r="W6486" s="3">
        <v>2014</v>
      </c>
      <c r="X6486" s="3" t="s">
        <v>14785</v>
      </c>
    </row>
    <row r="6487" spans="1:24" ht="114.75">
      <c r="A6487" s="3" t="s">
        <v>17089</v>
      </c>
      <c r="B6487" s="6" t="s">
        <v>361</v>
      </c>
      <c r="C6487" s="6" t="s">
        <v>6876</v>
      </c>
      <c r="D6487" s="6" t="s">
        <v>6870</v>
      </c>
      <c r="E6487" s="6" t="s">
        <v>6877</v>
      </c>
      <c r="F6487" s="9" t="s">
        <v>6895</v>
      </c>
      <c r="G6487" s="3" t="s">
        <v>11450</v>
      </c>
      <c r="H6487" s="185">
        <v>0</v>
      </c>
      <c r="I6487" s="16">
        <v>470000000</v>
      </c>
      <c r="J6487" s="56" t="s">
        <v>229</v>
      </c>
      <c r="K6487" s="57" t="s">
        <v>8950</v>
      </c>
      <c r="L6487" s="12" t="s">
        <v>404</v>
      </c>
      <c r="M6487" s="3" t="s">
        <v>230</v>
      </c>
      <c r="N6487" s="8" t="s">
        <v>8898</v>
      </c>
      <c r="O6487" s="6" t="s">
        <v>365</v>
      </c>
      <c r="P6487" s="58" t="s">
        <v>241</v>
      </c>
      <c r="Q6487" s="27" t="s">
        <v>234</v>
      </c>
      <c r="R6487" s="27">
        <v>40</v>
      </c>
      <c r="S6487" s="59">
        <v>2028.72</v>
      </c>
      <c r="T6487" s="4">
        <f>R6487*S6487</f>
        <v>81148.800000000003</v>
      </c>
      <c r="U6487" s="4">
        <f>T6487*1.12</f>
        <v>90886.656000000017</v>
      </c>
      <c r="V6487" s="158"/>
      <c r="W6487" s="3">
        <v>2014</v>
      </c>
      <c r="X6487" s="3"/>
    </row>
    <row r="6488" spans="1:24" ht="114.75">
      <c r="A6488" s="3" t="s">
        <v>2691</v>
      </c>
      <c r="B6488" s="6" t="s">
        <v>361</v>
      </c>
      <c r="C6488" s="6" t="s">
        <v>6876</v>
      </c>
      <c r="D6488" s="6" t="s">
        <v>6870</v>
      </c>
      <c r="E6488" s="6" t="s">
        <v>6877</v>
      </c>
      <c r="F6488" s="9" t="s">
        <v>6896</v>
      </c>
      <c r="G6488" s="57" t="s">
        <v>11449</v>
      </c>
      <c r="H6488" s="185">
        <v>0</v>
      </c>
      <c r="I6488" s="16">
        <v>470000000</v>
      </c>
      <c r="J6488" s="56" t="s">
        <v>229</v>
      </c>
      <c r="K6488" s="57" t="s">
        <v>641</v>
      </c>
      <c r="L6488" s="57" t="s">
        <v>364</v>
      </c>
      <c r="M6488" s="3" t="s">
        <v>230</v>
      </c>
      <c r="N6488" s="8" t="s">
        <v>8898</v>
      </c>
      <c r="O6488" s="6" t="s">
        <v>365</v>
      </c>
      <c r="P6488" s="58" t="s">
        <v>241</v>
      </c>
      <c r="Q6488" s="27" t="s">
        <v>234</v>
      </c>
      <c r="R6488" s="27">
        <v>40</v>
      </c>
      <c r="S6488" s="59">
        <f>4180*1.07</f>
        <v>4472.6000000000004</v>
      </c>
      <c r="T6488" s="4">
        <v>0</v>
      </c>
      <c r="U6488" s="4">
        <f t="shared" si="300"/>
        <v>0</v>
      </c>
      <c r="V6488" s="158"/>
      <c r="W6488" s="3">
        <v>2014</v>
      </c>
      <c r="X6488" s="3" t="s">
        <v>11817</v>
      </c>
    </row>
    <row r="6489" spans="1:24" ht="114.75">
      <c r="A6489" s="3" t="s">
        <v>13793</v>
      </c>
      <c r="B6489" s="6" t="s">
        <v>361</v>
      </c>
      <c r="C6489" s="6" t="s">
        <v>6876</v>
      </c>
      <c r="D6489" s="6" t="s">
        <v>6870</v>
      </c>
      <c r="E6489" s="6" t="s">
        <v>6877</v>
      </c>
      <c r="F6489" s="9" t="s">
        <v>6896</v>
      </c>
      <c r="G6489" s="57" t="s">
        <v>11450</v>
      </c>
      <c r="H6489" s="185">
        <v>0</v>
      </c>
      <c r="I6489" s="16">
        <v>470000000</v>
      </c>
      <c r="J6489" s="56" t="s">
        <v>229</v>
      </c>
      <c r="K6489" s="57" t="s">
        <v>9453</v>
      </c>
      <c r="L6489" s="12" t="s">
        <v>404</v>
      </c>
      <c r="M6489" s="3" t="s">
        <v>230</v>
      </c>
      <c r="N6489" s="8" t="s">
        <v>8898</v>
      </c>
      <c r="O6489" s="6" t="s">
        <v>365</v>
      </c>
      <c r="P6489" s="58" t="s">
        <v>241</v>
      </c>
      <c r="Q6489" s="27" t="s">
        <v>234</v>
      </c>
      <c r="R6489" s="27">
        <v>40</v>
      </c>
      <c r="S6489" s="59">
        <f>4180*1.07</f>
        <v>4472.6000000000004</v>
      </c>
      <c r="T6489" s="4">
        <f>R6489*S6489</f>
        <v>178904</v>
      </c>
      <c r="U6489" s="4">
        <f>T6489*1.12</f>
        <v>200372.48000000001</v>
      </c>
      <c r="V6489" s="158"/>
      <c r="W6489" s="3">
        <v>2014</v>
      </c>
      <c r="X6489" s="3"/>
    </row>
    <row r="6490" spans="1:24" ht="114.75">
      <c r="A6490" s="3" t="s">
        <v>2692</v>
      </c>
      <c r="B6490" s="6" t="s">
        <v>361</v>
      </c>
      <c r="C6490" s="6" t="s">
        <v>6879</v>
      </c>
      <c r="D6490" s="6" t="s">
        <v>6870</v>
      </c>
      <c r="E6490" s="6" t="s">
        <v>6880</v>
      </c>
      <c r="F6490" s="9" t="s">
        <v>6897</v>
      </c>
      <c r="G6490" s="57" t="s">
        <v>11449</v>
      </c>
      <c r="H6490" s="185">
        <v>0</v>
      </c>
      <c r="I6490" s="16">
        <v>470000000</v>
      </c>
      <c r="J6490" s="56" t="s">
        <v>229</v>
      </c>
      <c r="K6490" s="57" t="s">
        <v>641</v>
      </c>
      <c r="L6490" s="57" t="s">
        <v>364</v>
      </c>
      <c r="M6490" s="3" t="s">
        <v>230</v>
      </c>
      <c r="N6490" s="8" t="s">
        <v>8898</v>
      </c>
      <c r="O6490" s="6" t="s">
        <v>365</v>
      </c>
      <c r="P6490" s="58" t="s">
        <v>241</v>
      </c>
      <c r="Q6490" s="27" t="s">
        <v>234</v>
      </c>
      <c r="R6490" s="27">
        <v>40</v>
      </c>
      <c r="S6490" s="59">
        <f>2100*1.07</f>
        <v>2247</v>
      </c>
      <c r="T6490" s="4">
        <v>0</v>
      </c>
      <c r="U6490" s="4">
        <f t="shared" si="300"/>
        <v>0</v>
      </c>
      <c r="V6490" s="158"/>
      <c r="W6490" s="3">
        <v>2014</v>
      </c>
      <c r="X6490" s="3" t="s">
        <v>11817</v>
      </c>
    </row>
    <row r="6491" spans="1:24" ht="114.75">
      <c r="A6491" s="3" t="s">
        <v>13794</v>
      </c>
      <c r="B6491" s="6" t="s">
        <v>361</v>
      </c>
      <c r="C6491" s="6" t="s">
        <v>6879</v>
      </c>
      <c r="D6491" s="6" t="s">
        <v>6870</v>
      </c>
      <c r="E6491" s="6" t="s">
        <v>6880</v>
      </c>
      <c r="F6491" s="9" t="s">
        <v>6897</v>
      </c>
      <c r="G6491" s="57" t="s">
        <v>11450</v>
      </c>
      <c r="H6491" s="185">
        <v>0</v>
      </c>
      <c r="I6491" s="16">
        <v>470000000</v>
      </c>
      <c r="J6491" s="56" t="s">
        <v>229</v>
      </c>
      <c r="K6491" s="57" t="s">
        <v>9453</v>
      </c>
      <c r="L6491" s="12" t="s">
        <v>404</v>
      </c>
      <c r="M6491" s="3" t="s">
        <v>230</v>
      </c>
      <c r="N6491" s="8" t="s">
        <v>8898</v>
      </c>
      <c r="O6491" s="6" t="s">
        <v>365</v>
      </c>
      <c r="P6491" s="58" t="s">
        <v>241</v>
      </c>
      <c r="Q6491" s="27" t="s">
        <v>234</v>
      </c>
      <c r="R6491" s="27">
        <v>40</v>
      </c>
      <c r="S6491" s="59">
        <f>2100*1.07</f>
        <v>2247</v>
      </c>
      <c r="T6491" s="4">
        <f>R6491*S6491</f>
        <v>89880</v>
      </c>
      <c r="U6491" s="4">
        <f>T6491*1.12</f>
        <v>100665.60000000001</v>
      </c>
      <c r="V6491" s="158"/>
      <c r="W6491" s="3">
        <v>2014</v>
      </c>
      <c r="X6491" s="3"/>
    </row>
    <row r="6492" spans="1:24" ht="114.75">
      <c r="A6492" s="3" t="s">
        <v>2693</v>
      </c>
      <c r="B6492" s="6" t="s">
        <v>361</v>
      </c>
      <c r="C6492" s="6" t="s">
        <v>6879</v>
      </c>
      <c r="D6492" s="6" t="s">
        <v>6870</v>
      </c>
      <c r="E6492" s="6" t="s">
        <v>6880</v>
      </c>
      <c r="F6492" s="9" t="s">
        <v>6898</v>
      </c>
      <c r="G6492" s="57" t="s">
        <v>11449</v>
      </c>
      <c r="H6492" s="185">
        <v>0</v>
      </c>
      <c r="I6492" s="16">
        <v>470000000</v>
      </c>
      <c r="J6492" s="56" t="s">
        <v>229</v>
      </c>
      <c r="K6492" s="57" t="s">
        <v>641</v>
      </c>
      <c r="L6492" s="57" t="s">
        <v>364</v>
      </c>
      <c r="M6492" s="3" t="s">
        <v>230</v>
      </c>
      <c r="N6492" s="8" t="s">
        <v>8898</v>
      </c>
      <c r="O6492" s="6" t="s">
        <v>365</v>
      </c>
      <c r="P6492" s="58" t="s">
        <v>241</v>
      </c>
      <c r="Q6492" s="27" t="s">
        <v>234</v>
      </c>
      <c r="R6492" s="27">
        <v>40</v>
      </c>
      <c r="S6492" s="59">
        <f>2850*1.07</f>
        <v>3049.5</v>
      </c>
      <c r="T6492" s="4">
        <v>0</v>
      </c>
      <c r="U6492" s="4">
        <f t="shared" si="300"/>
        <v>0</v>
      </c>
      <c r="V6492" s="158"/>
      <c r="W6492" s="3">
        <v>2014</v>
      </c>
      <c r="X6492" s="3" t="s">
        <v>11817</v>
      </c>
    </row>
    <row r="6493" spans="1:24" ht="114.75">
      <c r="A6493" s="3" t="s">
        <v>13795</v>
      </c>
      <c r="B6493" s="6" t="s">
        <v>361</v>
      </c>
      <c r="C6493" s="6" t="s">
        <v>6879</v>
      </c>
      <c r="D6493" s="6" t="s">
        <v>6870</v>
      </c>
      <c r="E6493" s="6" t="s">
        <v>6880</v>
      </c>
      <c r="F6493" s="9" t="s">
        <v>6898</v>
      </c>
      <c r="G6493" s="57" t="s">
        <v>11450</v>
      </c>
      <c r="H6493" s="185">
        <v>0</v>
      </c>
      <c r="I6493" s="16">
        <v>470000000</v>
      </c>
      <c r="J6493" s="56" t="s">
        <v>229</v>
      </c>
      <c r="K6493" s="57" t="s">
        <v>9453</v>
      </c>
      <c r="L6493" s="12" t="s">
        <v>404</v>
      </c>
      <c r="M6493" s="3" t="s">
        <v>230</v>
      </c>
      <c r="N6493" s="8" t="s">
        <v>8898</v>
      </c>
      <c r="O6493" s="6" t="s">
        <v>365</v>
      </c>
      <c r="P6493" s="58" t="s">
        <v>241</v>
      </c>
      <c r="Q6493" s="27" t="s">
        <v>234</v>
      </c>
      <c r="R6493" s="27">
        <v>40</v>
      </c>
      <c r="S6493" s="59">
        <f>2850*1.07</f>
        <v>3049.5</v>
      </c>
      <c r="T6493" s="4">
        <f>R6493*S6493</f>
        <v>121980</v>
      </c>
      <c r="U6493" s="4">
        <f>T6493*1.12</f>
        <v>136617.60000000001</v>
      </c>
      <c r="V6493" s="158"/>
      <c r="W6493" s="3">
        <v>2014</v>
      </c>
      <c r="X6493" s="3"/>
    </row>
    <row r="6494" spans="1:24" ht="114.75">
      <c r="A6494" s="3" t="s">
        <v>2694</v>
      </c>
      <c r="B6494" s="6" t="s">
        <v>361</v>
      </c>
      <c r="C6494" s="6" t="s">
        <v>6879</v>
      </c>
      <c r="D6494" s="6" t="s">
        <v>6870</v>
      </c>
      <c r="E6494" s="6" t="s">
        <v>6880</v>
      </c>
      <c r="F6494" s="9" t="s">
        <v>6899</v>
      </c>
      <c r="G6494" s="57" t="s">
        <v>11449</v>
      </c>
      <c r="H6494" s="185">
        <v>0</v>
      </c>
      <c r="I6494" s="16">
        <v>470000000</v>
      </c>
      <c r="J6494" s="56" t="s">
        <v>229</v>
      </c>
      <c r="K6494" s="57" t="s">
        <v>641</v>
      </c>
      <c r="L6494" s="57" t="s">
        <v>364</v>
      </c>
      <c r="M6494" s="3" t="s">
        <v>230</v>
      </c>
      <c r="N6494" s="8" t="s">
        <v>8898</v>
      </c>
      <c r="O6494" s="6" t="s">
        <v>365</v>
      </c>
      <c r="P6494" s="58" t="s">
        <v>241</v>
      </c>
      <c r="Q6494" s="27" t="s">
        <v>234</v>
      </c>
      <c r="R6494" s="27">
        <v>40</v>
      </c>
      <c r="S6494" s="59">
        <f>2900*1.07</f>
        <v>3103</v>
      </c>
      <c r="T6494" s="4">
        <v>0</v>
      </c>
      <c r="U6494" s="4">
        <f t="shared" si="300"/>
        <v>0</v>
      </c>
      <c r="V6494" s="158"/>
      <c r="W6494" s="3">
        <v>2014</v>
      </c>
      <c r="X6494" s="3" t="s">
        <v>11817</v>
      </c>
    </row>
    <row r="6495" spans="1:24" ht="114.75">
      <c r="A6495" s="3" t="s">
        <v>13796</v>
      </c>
      <c r="B6495" s="6" t="s">
        <v>361</v>
      </c>
      <c r="C6495" s="6" t="s">
        <v>6879</v>
      </c>
      <c r="D6495" s="6" t="s">
        <v>6870</v>
      </c>
      <c r="E6495" s="6" t="s">
        <v>6880</v>
      </c>
      <c r="F6495" s="9" t="s">
        <v>6899</v>
      </c>
      <c r="G6495" s="57" t="s">
        <v>11450</v>
      </c>
      <c r="H6495" s="185">
        <v>0</v>
      </c>
      <c r="I6495" s="16">
        <v>470000000</v>
      </c>
      <c r="J6495" s="56" t="s">
        <v>229</v>
      </c>
      <c r="K6495" s="57" t="s">
        <v>9453</v>
      </c>
      <c r="L6495" s="12" t="s">
        <v>404</v>
      </c>
      <c r="M6495" s="3" t="s">
        <v>230</v>
      </c>
      <c r="N6495" s="8" t="s">
        <v>8898</v>
      </c>
      <c r="O6495" s="6" t="s">
        <v>365</v>
      </c>
      <c r="P6495" s="58" t="s">
        <v>241</v>
      </c>
      <c r="Q6495" s="27" t="s">
        <v>234</v>
      </c>
      <c r="R6495" s="27">
        <v>40</v>
      </c>
      <c r="S6495" s="59">
        <f>2900*1.07</f>
        <v>3103</v>
      </c>
      <c r="T6495" s="4">
        <f>R6495*S6495</f>
        <v>124120</v>
      </c>
      <c r="U6495" s="4">
        <f>T6495*1.12</f>
        <v>139014.40000000002</v>
      </c>
      <c r="V6495" s="158"/>
      <c r="W6495" s="3">
        <v>2014</v>
      </c>
      <c r="X6495" s="3"/>
    </row>
    <row r="6496" spans="1:24" ht="114.75">
      <c r="A6496" s="3" t="s">
        <v>2695</v>
      </c>
      <c r="B6496" s="6" t="s">
        <v>361</v>
      </c>
      <c r="C6496" s="6" t="s">
        <v>6879</v>
      </c>
      <c r="D6496" s="6" t="s">
        <v>6870</v>
      </c>
      <c r="E6496" s="6" t="s">
        <v>6880</v>
      </c>
      <c r="F6496" s="9" t="s">
        <v>6900</v>
      </c>
      <c r="G6496" s="57" t="s">
        <v>11449</v>
      </c>
      <c r="H6496" s="185">
        <v>0</v>
      </c>
      <c r="I6496" s="16">
        <v>470000000</v>
      </c>
      <c r="J6496" s="56" t="s">
        <v>229</v>
      </c>
      <c r="K6496" s="57" t="s">
        <v>641</v>
      </c>
      <c r="L6496" s="57" t="s">
        <v>364</v>
      </c>
      <c r="M6496" s="3" t="s">
        <v>230</v>
      </c>
      <c r="N6496" s="8" t="s">
        <v>8898</v>
      </c>
      <c r="O6496" s="6" t="s">
        <v>365</v>
      </c>
      <c r="P6496" s="58" t="s">
        <v>241</v>
      </c>
      <c r="Q6496" s="27" t="s">
        <v>234</v>
      </c>
      <c r="R6496" s="27">
        <v>40</v>
      </c>
      <c r="S6496" s="59">
        <f>2280*1.07</f>
        <v>2439.6000000000004</v>
      </c>
      <c r="T6496" s="4">
        <v>0</v>
      </c>
      <c r="U6496" s="4">
        <f t="shared" si="300"/>
        <v>0</v>
      </c>
      <c r="V6496" s="158"/>
      <c r="W6496" s="3">
        <v>2014</v>
      </c>
      <c r="X6496" s="3" t="s">
        <v>11817</v>
      </c>
    </row>
    <row r="6497" spans="1:24" ht="114.75">
      <c r="A6497" s="3" t="s">
        <v>13797</v>
      </c>
      <c r="B6497" s="6" t="s">
        <v>361</v>
      </c>
      <c r="C6497" s="6" t="s">
        <v>6879</v>
      </c>
      <c r="D6497" s="6" t="s">
        <v>6870</v>
      </c>
      <c r="E6497" s="6" t="s">
        <v>6880</v>
      </c>
      <c r="F6497" s="9" t="s">
        <v>6900</v>
      </c>
      <c r="G6497" s="57" t="s">
        <v>11450</v>
      </c>
      <c r="H6497" s="185">
        <v>0</v>
      </c>
      <c r="I6497" s="16">
        <v>470000000</v>
      </c>
      <c r="J6497" s="56" t="s">
        <v>229</v>
      </c>
      <c r="K6497" s="57" t="s">
        <v>9453</v>
      </c>
      <c r="L6497" s="12" t="s">
        <v>404</v>
      </c>
      <c r="M6497" s="3" t="s">
        <v>230</v>
      </c>
      <c r="N6497" s="8" t="s">
        <v>8898</v>
      </c>
      <c r="O6497" s="6" t="s">
        <v>365</v>
      </c>
      <c r="P6497" s="58" t="s">
        <v>241</v>
      </c>
      <c r="Q6497" s="27" t="s">
        <v>234</v>
      </c>
      <c r="R6497" s="27">
        <v>40</v>
      </c>
      <c r="S6497" s="59">
        <f>2280*1.07</f>
        <v>2439.6000000000004</v>
      </c>
      <c r="T6497" s="4">
        <f>R6497*S6497</f>
        <v>97584.000000000015</v>
      </c>
      <c r="U6497" s="4">
        <f>T6497*1.12</f>
        <v>109294.08000000003</v>
      </c>
      <c r="V6497" s="158"/>
      <c r="W6497" s="3">
        <v>2014</v>
      </c>
      <c r="X6497" s="3"/>
    </row>
    <row r="6498" spans="1:24" ht="114.75">
      <c r="A6498" s="3" t="s">
        <v>2696</v>
      </c>
      <c r="B6498" s="6" t="s">
        <v>361</v>
      </c>
      <c r="C6498" s="6" t="s">
        <v>6879</v>
      </c>
      <c r="D6498" s="6" t="s">
        <v>6870</v>
      </c>
      <c r="E6498" s="6" t="s">
        <v>6880</v>
      </c>
      <c r="F6498" s="9" t="s">
        <v>6901</v>
      </c>
      <c r="G6498" s="57" t="s">
        <v>11449</v>
      </c>
      <c r="H6498" s="185">
        <v>0</v>
      </c>
      <c r="I6498" s="16">
        <v>470000000</v>
      </c>
      <c r="J6498" s="56" t="s">
        <v>229</v>
      </c>
      <c r="K6498" s="57" t="s">
        <v>641</v>
      </c>
      <c r="L6498" s="57" t="s">
        <v>364</v>
      </c>
      <c r="M6498" s="3" t="s">
        <v>230</v>
      </c>
      <c r="N6498" s="8" t="s">
        <v>8898</v>
      </c>
      <c r="O6498" s="6" t="s">
        <v>365</v>
      </c>
      <c r="P6498" s="58" t="s">
        <v>241</v>
      </c>
      <c r="Q6498" s="27" t="s">
        <v>234</v>
      </c>
      <c r="R6498" s="27">
        <v>10</v>
      </c>
      <c r="S6498" s="59">
        <f>2880*1.07</f>
        <v>3081.6000000000004</v>
      </c>
      <c r="T6498" s="4">
        <v>0</v>
      </c>
      <c r="U6498" s="4">
        <f t="shared" si="300"/>
        <v>0</v>
      </c>
      <c r="V6498" s="158"/>
      <c r="W6498" s="3">
        <v>2014</v>
      </c>
      <c r="X6498" s="3" t="s">
        <v>11817</v>
      </c>
    </row>
    <row r="6499" spans="1:24" ht="114.75">
      <c r="A6499" s="3" t="s">
        <v>13798</v>
      </c>
      <c r="B6499" s="6" t="s">
        <v>361</v>
      </c>
      <c r="C6499" s="6" t="s">
        <v>6879</v>
      </c>
      <c r="D6499" s="6" t="s">
        <v>6870</v>
      </c>
      <c r="E6499" s="6" t="s">
        <v>6880</v>
      </c>
      <c r="F6499" s="9" t="s">
        <v>6901</v>
      </c>
      <c r="G6499" s="57" t="s">
        <v>11450</v>
      </c>
      <c r="H6499" s="185">
        <v>0</v>
      </c>
      <c r="I6499" s="16">
        <v>470000000</v>
      </c>
      <c r="J6499" s="56" t="s">
        <v>229</v>
      </c>
      <c r="K6499" s="57" t="s">
        <v>9453</v>
      </c>
      <c r="L6499" s="12" t="s">
        <v>404</v>
      </c>
      <c r="M6499" s="3" t="s">
        <v>230</v>
      </c>
      <c r="N6499" s="8" t="s">
        <v>8898</v>
      </c>
      <c r="O6499" s="6" t="s">
        <v>365</v>
      </c>
      <c r="P6499" s="58" t="s">
        <v>241</v>
      </c>
      <c r="Q6499" s="27" t="s">
        <v>234</v>
      </c>
      <c r="R6499" s="27">
        <v>10</v>
      </c>
      <c r="S6499" s="59">
        <f>2880*1.07</f>
        <v>3081.6000000000004</v>
      </c>
      <c r="T6499" s="4">
        <f>R6499*S6499</f>
        <v>30816.000000000004</v>
      </c>
      <c r="U6499" s="4">
        <f>T6499*1.12</f>
        <v>34513.920000000006</v>
      </c>
      <c r="V6499" s="158"/>
      <c r="W6499" s="3">
        <v>2014</v>
      </c>
      <c r="X6499" s="3"/>
    </row>
    <row r="6500" spans="1:24" ht="114.75">
      <c r="A6500" s="3" t="s">
        <v>2697</v>
      </c>
      <c r="B6500" s="6" t="s">
        <v>361</v>
      </c>
      <c r="C6500" s="6" t="s">
        <v>6879</v>
      </c>
      <c r="D6500" s="6" t="s">
        <v>6870</v>
      </c>
      <c r="E6500" s="6" t="s">
        <v>6880</v>
      </c>
      <c r="F6500" s="9" t="s">
        <v>6902</v>
      </c>
      <c r="G6500" s="57" t="s">
        <v>11449</v>
      </c>
      <c r="H6500" s="185">
        <v>0</v>
      </c>
      <c r="I6500" s="16">
        <v>470000000</v>
      </c>
      <c r="J6500" s="56" t="s">
        <v>229</v>
      </c>
      <c r="K6500" s="57" t="s">
        <v>641</v>
      </c>
      <c r="L6500" s="57" t="s">
        <v>364</v>
      </c>
      <c r="M6500" s="3" t="s">
        <v>230</v>
      </c>
      <c r="N6500" s="8" t="s">
        <v>8898</v>
      </c>
      <c r="O6500" s="6" t="s">
        <v>365</v>
      </c>
      <c r="P6500" s="58" t="s">
        <v>241</v>
      </c>
      <c r="Q6500" s="27" t="s">
        <v>234</v>
      </c>
      <c r="R6500" s="27">
        <v>10</v>
      </c>
      <c r="S6500" s="59">
        <v>5815.85</v>
      </c>
      <c r="T6500" s="4">
        <v>0</v>
      </c>
      <c r="U6500" s="4">
        <f t="shared" si="300"/>
        <v>0</v>
      </c>
      <c r="V6500" s="158"/>
      <c r="W6500" s="3">
        <v>2014</v>
      </c>
      <c r="X6500" s="3" t="s">
        <v>11817</v>
      </c>
    </row>
    <row r="6501" spans="1:24" ht="114.75">
      <c r="A6501" s="3" t="s">
        <v>13799</v>
      </c>
      <c r="B6501" s="6" t="s">
        <v>361</v>
      </c>
      <c r="C6501" s="6" t="s">
        <v>6879</v>
      </c>
      <c r="D6501" s="6" t="s">
        <v>6870</v>
      </c>
      <c r="E6501" s="6" t="s">
        <v>6880</v>
      </c>
      <c r="F6501" s="9" t="s">
        <v>6902</v>
      </c>
      <c r="G6501" s="57" t="s">
        <v>11450</v>
      </c>
      <c r="H6501" s="185">
        <v>0</v>
      </c>
      <c r="I6501" s="16">
        <v>470000000</v>
      </c>
      <c r="J6501" s="56" t="s">
        <v>229</v>
      </c>
      <c r="K6501" s="57" t="s">
        <v>9453</v>
      </c>
      <c r="L6501" s="12" t="s">
        <v>404</v>
      </c>
      <c r="M6501" s="3" t="s">
        <v>230</v>
      </c>
      <c r="N6501" s="8" t="s">
        <v>8898</v>
      </c>
      <c r="O6501" s="6" t="s">
        <v>365</v>
      </c>
      <c r="P6501" s="58" t="s">
        <v>241</v>
      </c>
      <c r="Q6501" s="27" t="s">
        <v>234</v>
      </c>
      <c r="R6501" s="27">
        <v>10</v>
      </c>
      <c r="S6501" s="59">
        <v>5815.85</v>
      </c>
      <c r="T6501" s="4">
        <f>R6501*S6501</f>
        <v>58158.5</v>
      </c>
      <c r="U6501" s="4">
        <f>T6501*1.12</f>
        <v>65137.520000000004</v>
      </c>
      <c r="V6501" s="158"/>
      <c r="W6501" s="3">
        <v>2014</v>
      </c>
      <c r="X6501" s="3"/>
    </row>
    <row r="6502" spans="1:24" ht="114.75">
      <c r="A6502" s="3" t="s">
        <v>2698</v>
      </c>
      <c r="B6502" s="6" t="s">
        <v>361</v>
      </c>
      <c r="C6502" s="6" t="s">
        <v>6879</v>
      </c>
      <c r="D6502" s="6" t="s">
        <v>6870</v>
      </c>
      <c r="E6502" s="6" t="s">
        <v>6880</v>
      </c>
      <c r="F6502" s="9" t="s">
        <v>6903</v>
      </c>
      <c r="G6502" s="57" t="s">
        <v>11449</v>
      </c>
      <c r="H6502" s="185">
        <v>0</v>
      </c>
      <c r="I6502" s="16">
        <v>470000000</v>
      </c>
      <c r="J6502" s="56" t="s">
        <v>229</v>
      </c>
      <c r="K6502" s="57" t="s">
        <v>641</v>
      </c>
      <c r="L6502" s="57" t="s">
        <v>364</v>
      </c>
      <c r="M6502" s="3" t="s">
        <v>230</v>
      </c>
      <c r="N6502" s="8" t="s">
        <v>8898</v>
      </c>
      <c r="O6502" s="6" t="s">
        <v>365</v>
      </c>
      <c r="P6502" s="58" t="s">
        <v>241</v>
      </c>
      <c r="Q6502" s="27" t="s">
        <v>234</v>
      </c>
      <c r="R6502" s="27">
        <v>10</v>
      </c>
      <c r="S6502" s="59">
        <f>6730*1.07</f>
        <v>7201.1</v>
      </c>
      <c r="T6502" s="4">
        <v>0</v>
      </c>
      <c r="U6502" s="4">
        <f t="shared" si="300"/>
        <v>0</v>
      </c>
      <c r="V6502" s="158"/>
      <c r="W6502" s="3">
        <v>2014</v>
      </c>
      <c r="X6502" s="3" t="s">
        <v>11817</v>
      </c>
    </row>
    <row r="6503" spans="1:24" ht="114.75">
      <c r="A6503" s="3" t="s">
        <v>13800</v>
      </c>
      <c r="B6503" s="6" t="s">
        <v>361</v>
      </c>
      <c r="C6503" s="6" t="s">
        <v>6879</v>
      </c>
      <c r="D6503" s="6" t="s">
        <v>6870</v>
      </c>
      <c r="E6503" s="6" t="s">
        <v>6880</v>
      </c>
      <c r="F6503" s="9" t="s">
        <v>6903</v>
      </c>
      <c r="G6503" s="57" t="s">
        <v>11450</v>
      </c>
      <c r="H6503" s="185">
        <v>0</v>
      </c>
      <c r="I6503" s="16">
        <v>470000000</v>
      </c>
      <c r="J6503" s="56" t="s">
        <v>229</v>
      </c>
      <c r="K6503" s="57" t="s">
        <v>9453</v>
      </c>
      <c r="L6503" s="12" t="s">
        <v>404</v>
      </c>
      <c r="M6503" s="3" t="s">
        <v>230</v>
      </c>
      <c r="N6503" s="8" t="s">
        <v>8898</v>
      </c>
      <c r="O6503" s="6" t="s">
        <v>365</v>
      </c>
      <c r="P6503" s="58" t="s">
        <v>241</v>
      </c>
      <c r="Q6503" s="27" t="s">
        <v>234</v>
      </c>
      <c r="R6503" s="27">
        <v>10</v>
      </c>
      <c r="S6503" s="59">
        <f>6730*1.07</f>
        <v>7201.1</v>
      </c>
      <c r="T6503" s="4">
        <f>R6503*S6503</f>
        <v>72011</v>
      </c>
      <c r="U6503" s="4">
        <f>T6503*1.12</f>
        <v>80652.320000000007</v>
      </c>
      <c r="V6503" s="158"/>
      <c r="W6503" s="3">
        <v>2014</v>
      </c>
      <c r="X6503" s="3"/>
    </row>
    <row r="6504" spans="1:24" ht="114.75">
      <c r="A6504" s="3" t="s">
        <v>2699</v>
      </c>
      <c r="B6504" s="6" t="s">
        <v>361</v>
      </c>
      <c r="C6504" s="6" t="s">
        <v>6879</v>
      </c>
      <c r="D6504" s="6" t="s">
        <v>6870</v>
      </c>
      <c r="E6504" s="6" t="s">
        <v>6880</v>
      </c>
      <c r="F6504" s="9" t="s">
        <v>6904</v>
      </c>
      <c r="G6504" s="57" t="s">
        <v>11449</v>
      </c>
      <c r="H6504" s="185">
        <v>0</v>
      </c>
      <c r="I6504" s="16">
        <v>470000000</v>
      </c>
      <c r="J6504" s="56" t="s">
        <v>229</v>
      </c>
      <c r="K6504" s="57" t="s">
        <v>641</v>
      </c>
      <c r="L6504" s="57" t="s">
        <v>364</v>
      </c>
      <c r="M6504" s="3" t="s">
        <v>230</v>
      </c>
      <c r="N6504" s="8" t="s">
        <v>8898</v>
      </c>
      <c r="O6504" s="6" t="s">
        <v>365</v>
      </c>
      <c r="P6504" s="58" t="s">
        <v>241</v>
      </c>
      <c r="Q6504" s="27" t="s">
        <v>234</v>
      </c>
      <c r="R6504" s="27">
        <v>10</v>
      </c>
      <c r="S6504" s="59">
        <f>3430*1.07</f>
        <v>3670.1000000000004</v>
      </c>
      <c r="T6504" s="4">
        <v>0</v>
      </c>
      <c r="U6504" s="4">
        <f t="shared" si="300"/>
        <v>0</v>
      </c>
      <c r="V6504" s="158"/>
      <c r="W6504" s="3">
        <v>2014</v>
      </c>
      <c r="X6504" s="3" t="s">
        <v>11817</v>
      </c>
    </row>
    <row r="6505" spans="1:24" ht="114.75">
      <c r="A6505" s="3" t="s">
        <v>13801</v>
      </c>
      <c r="B6505" s="6" t="s">
        <v>361</v>
      </c>
      <c r="C6505" s="6" t="s">
        <v>6879</v>
      </c>
      <c r="D6505" s="6" t="s">
        <v>6870</v>
      </c>
      <c r="E6505" s="6" t="s">
        <v>6880</v>
      </c>
      <c r="F6505" s="9" t="s">
        <v>6904</v>
      </c>
      <c r="G6505" s="57" t="s">
        <v>11450</v>
      </c>
      <c r="H6505" s="185">
        <v>0</v>
      </c>
      <c r="I6505" s="16">
        <v>470000000</v>
      </c>
      <c r="J6505" s="56" t="s">
        <v>229</v>
      </c>
      <c r="K6505" s="57" t="s">
        <v>9453</v>
      </c>
      <c r="L6505" s="12" t="s">
        <v>404</v>
      </c>
      <c r="M6505" s="3" t="s">
        <v>230</v>
      </c>
      <c r="N6505" s="8" t="s">
        <v>8898</v>
      </c>
      <c r="O6505" s="6" t="s">
        <v>365</v>
      </c>
      <c r="P6505" s="58" t="s">
        <v>241</v>
      </c>
      <c r="Q6505" s="27" t="s">
        <v>234</v>
      </c>
      <c r="R6505" s="27">
        <v>10</v>
      </c>
      <c r="S6505" s="59">
        <f>3430*1.07</f>
        <v>3670.1000000000004</v>
      </c>
      <c r="T6505" s="4">
        <f>R6505*S6505</f>
        <v>36701</v>
      </c>
      <c r="U6505" s="4">
        <f>T6505*1.12</f>
        <v>41105.120000000003</v>
      </c>
      <c r="V6505" s="158"/>
      <c r="W6505" s="3">
        <v>2014</v>
      </c>
      <c r="X6505" s="3"/>
    </row>
    <row r="6506" spans="1:24" ht="191.25">
      <c r="A6506" s="3" t="s">
        <v>2700</v>
      </c>
      <c r="B6506" s="6" t="s">
        <v>361</v>
      </c>
      <c r="C6506" s="6" t="s">
        <v>7362</v>
      </c>
      <c r="D6506" s="6" t="s">
        <v>6866</v>
      </c>
      <c r="E6506" s="6" t="s">
        <v>11584</v>
      </c>
      <c r="F6506" s="9" t="s">
        <v>6905</v>
      </c>
      <c r="G6506" s="57" t="s">
        <v>11449</v>
      </c>
      <c r="H6506" s="185">
        <v>0</v>
      </c>
      <c r="I6506" s="16">
        <v>470000000</v>
      </c>
      <c r="J6506" s="56" t="s">
        <v>229</v>
      </c>
      <c r="K6506" s="57" t="s">
        <v>641</v>
      </c>
      <c r="L6506" s="57" t="s">
        <v>364</v>
      </c>
      <c r="M6506" s="3" t="s">
        <v>230</v>
      </c>
      <c r="N6506" s="8" t="s">
        <v>8898</v>
      </c>
      <c r="O6506" s="6" t="s">
        <v>365</v>
      </c>
      <c r="P6506" s="58" t="s">
        <v>241</v>
      </c>
      <c r="Q6506" s="27" t="s">
        <v>234</v>
      </c>
      <c r="R6506" s="27">
        <v>10</v>
      </c>
      <c r="S6506" s="59">
        <f>4550*1.07</f>
        <v>4868.5</v>
      </c>
      <c r="T6506" s="4">
        <v>0</v>
      </c>
      <c r="U6506" s="4">
        <f t="shared" si="300"/>
        <v>0</v>
      </c>
      <c r="V6506" s="158"/>
      <c r="W6506" s="3">
        <v>2014</v>
      </c>
      <c r="X6506" s="3" t="s">
        <v>11817</v>
      </c>
    </row>
    <row r="6507" spans="1:24" ht="191.25">
      <c r="A6507" s="3" t="s">
        <v>13802</v>
      </c>
      <c r="B6507" s="6" t="s">
        <v>361</v>
      </c>
      <c r="C6507" s="6" t="s">
        <v>7362</v>
      </c>
      <c r="D6507" s="6" t="s">
        <v>6866</v>
      </c>
      <c r="E6507" s="6" t="s">
        <v>11584</v>
      </c>
      <c r="F6507" s="9" t="s">
        <v>6905</v>
      </c>
      <c r="G6507" s="57" t="s">
        <v>11450</v>
      </c>
      <c r="H6507" s="185">
        <v>0</v>
      </c>
      <c r="I6507" s="16">
        <v>470000000</v>
      </c>
      <c r="J6507" s="56" t="s">
        <v>229</v>
      </c>
      <c r="K6507" s="57" t="s">
        <v>9453</v>
      </c>
      <c r="L6507" s="12" t="s">
        <v>404</v>
      </c>
      <c r="M6507" s="3" t="s">
        <v>230</v>
      </c>
      <c r="N6507" s="8" t="s">
        <v>8898</v>
      </c>
      <c r="O6507" s="6" t="s">
        <v>365</v>
      </c>
      <c r="P6507" s="58" t="s">
        <v>241</v>
      </c>
      <c r="Q6507" s="27" t="s">
        <v>234</v>
      </c>
      <c r="R6507" s="27">
        <v>10</v>
      </c>
      <c r="S6507" s="59">
        <f>4550*1.07</f>
        <v>4868.5</v>
      </c>
      <c r="T6507" s="4">
        <f>R6507*S6507</f>
        <v>48685</v>
      </c>
      <c r="U6507" s="4">
        <f>T6507*1.12</f>
        <v>54527.200000000004</v>
      </c>
      <c r="V6507" s="158"/>
      <c r="W6507" s="3">
        <v>2014</v>
      </c>
      <c r="X6507" s="3"/>
    </row>
    <row r="6508" spans="1:24" ht="191.25">
      <c r="A6508" s="3" t="s">
        <v>2701</v>
      </c>
      <c r="B6508" s="6" t="s">
        <v>361</v>
      </c>
      <c r="C6508" s="6" t="s">
        <v>7363</v>
      </c>
      <c r="D6508" s="6" t="s">
        <v>6866</v>
      </c>
      <c r="E6508" s="6" t="s">
        <v>11585</v>
      </c>
      <c r="F6508" s="9" t="s">
        <v>6906</v>
      </c>
      <c r="G6508" s="57" t="s">
        <v>11449</v>
      </c>
      <c r="H6508" s="185">
        <v>0</v>
      </c>
      <c r="I6508" s="16">
        <v>470000000</v>
      </c>
      <c r="J6508" s="56" t="s">
        <v>229</v>
      </c>
      <c r="K6508" s="57" t="s">
        <v>641</v>
      </c>
      <c r="L6508" s="57" t="s">
        <v>364</v>
      </c>
      <c r="M6508" s="3" t="s">
        <v>230</v>
      </c>
      <c r="N6508" s="8" t="s">
        <v>8898</v>
      </c>
      <c r="O6508" s="6" t="s">
        <v>365</v>
      </c>
      <c r="P6508" s="58" t="s">
        <v>241</v>
      </c>
      <c r="Q6508" s="27" t="s">
        <v>234</v>
      </c>
      <c r="R6508" s="27">
        <v>10</v>
      </c>
      <c r="S6508" s="59">
        <f>5300*1.07</f>
        <v>5671</v>
      </c>
      <c r="T6508" s="4">
        <v>0</v>
      </c>
      <c r="U6508" s="4">
        <f t="shared" si="300"/>
        <v>0</v>
      </c>
      <c r="V6508" s="158"/>
      <c r="W6508" s="3">
        <v>2014</v>
      </c>
      <c r="X6508" s="3" t="s">
        <v>11817</v>
      </c>
    </row>
    <row r="6509" spans="1:24" ht="191.25">
      <c r="A6509" s="3" t="s">
        <v>13803</v>
      </c>
      <c r="B6509" s="6" t="s">
        <v>361</v>
      </c>
      <c r="C6509" s="6" t="s">
        <v>7363</v>
      </c>
      <c r="D6509" s="6" t="s">
        <v>6866</v>
      </c>
      <c r="E6509" s="6" t="s">
        <v>11585</v>
      </c>
      <c r="F6509" s="9" t="s">
        <v>6906</v>
      </c>
      <c r="G6509" s="57" t="s">
        <v>11450</v>
      </c>
      <c r="H6509" s="185">
        <v>0</v>
      </c>
      <c r="I6509" s="16">
        <v>470000000</v>
      </c>
      <c r="J6509" s="56" t="s">
        <v>229</v>
      </c>
      <c r="K6509" s="57" t="s">
        <v>9453</v>
      </c>
      <c r="L6509" s="12" t="s">
        <v>404</v>
      </c>
      <c r="M6509" s="3" t="s">
        <v>230</v>
      </c>
      <c r="N6509" s="8" t="s">
        <v>8898</v>
      </c>
      <c r="O6509" s="6" t="s">
        <v>365</v>
      </c>
      <c r="P6509" s="58" t="s">
        <v>241</v>
      </c>
      <c r="Q6509" s="27" t="s">
        <v>234</v>
      </c>
      <c r="R6509" s="27">
        <v>10</v>
      </c>
      <c r="S6509" s="59">
        <f>5300*1.07</f>
        <v>5671</v>
      </c>
      <c r="T6509" s="4">
        <v>0</v>
      </c>
      <c r="U6509" s="4">
        <f>T6509*1.12</f>
        <v>0</v>
      </c>
      <c r="V6509" s="158"/>
      <c r="W6509" s="3">
        <v>2014</v>
      </c>
      <c r="X6509" s="3" t="s">
        <v>14785</v>
      </c>
    </row>
    <row r="6510" spans="1:24" ht="191.25">
      <c r="A6510" s="3" t="s">
        <v>17090</v>
      </c>
      <c r="B6510" s="6" t="s">
        <v>361</v>
      </c>
      <c r="C6510" s="6" t="s">
        <v>7363</v>
      </c>
      <c r="D6510" s="6" t="s">
        <v>6866</v>
      </c>
      <c r="E6510" s="6" t="s">
        <v>11585</v>
      </c>
      <c r="F6510" s="9" t="s">
        <v>6906</v>
      </c>
      <c r="G6510" s="3" t="s">
        <v>11450</v>
      </c>
      <c r="H6510" s="185">
        <v>0</v>
      </c>
      <c r="I6510" s="16">
        <v>470000000</v>
      </c>
      <c r="J6510" s="56" t="s">
        <v>229</v>
      </c>
      <c r="K6510" s="57" t="s">
        <v>8950</v>
      </c>
      <c r="L6510" s="12" t="s">
        <v>404</v>
      </c>
      <c r="M6510" s="3" t="s">
        <v>230</v>
      </c>
      <c r="N6510" s="8" t="s">
        <v>8898</v>
      </c>
      <c r="O6510" s="6" t="s">
        <v>365</v>
      </c>
      <c r="P6510" s="58" t="s">
        <v>241</v>
      </c>
      <c r="Q6510" s="27" t="s">
        <v>234</v>
      </c>
      <c r="R6510" s="27">
        <v>10</v>
      </c>
      <c r="S6510" s="59">
        <v>6805.2</v>
      </c>
      <c r="T6510" s="4">
        <f>R6510*S6510</f>
        <v>68052</v>
      </c>
      <c r="U6510" s="4">
        <f>T6510*1.12</f>
        <v>76218.240000000005</v>
      </c>
      <c r="V6510" s="158"/>
      <c r="W6510" s="3">
        <v>2014</v>
      </c>
      <c r="X6510" s="3"/>
    </row>
    <row r="6511" spans="1:24" ht="191.25">
      <c r="A6511" s="3" t="s">
        <v>2702</v>
      </c>
      <c r="B6511" s="6" t="s">
        <v>361</v>
      </c>
      <c r="C6511" s="6" t="s">
        <v>7363</v>
      </c>
      <c r="D6511" s="6" t="s">
        <v>6866</v>
      </c>
      <c r="E6511" s="6" t="s">
        <v>11585</v>
      </c>
      <c r="F6511" s="9" t="s">
        <v>6907</v>
      </c>
      <c r="G6511" s="57" t="s">
        <v>11449</v>
      </c>
      <c r="H6511" s="185">
        <v>0</v>
      </c>
      <c r="I6511" s="16">
        <v>470000000</v>
      </c>
      <c r="J6511" s="56" t="s">
        <v>229</v>
      </c>
      <c r="K6511" s="57" t="s">
        <v>641</v>
      </c>
      <c r="L6511" s="57" t="s">
        <v>364</v>
      </c>
      <c r="M6511" s="3" t="s">
        <v>230</v>
      </c>
      <c r="N6511" s="8" t="s">
        <v>8898</v>
      </c>
      <c r="O6511" s="6" t="s">
        <v>365</v>
      </c>
      <c r="P6511" s="58" t="s">
        <v>241</v>
      </c>
      <c r="Q6511" s="27" t="s">
        <v>234</v>
      </c>
      <c r="R6511" s="27">
        <v>10</v>
      </c>
      <c r="S6511" s="59">
        <f>6500*1.07</f>
        <v>6955</v>
      </c>
      <c r="T6511" s="4">
        <v>0</v>
      </c>
      <c r="U6511" s="4">
        <f t="shared" si="300"/>
        <v>0</v>
      </c>
      <c r="V6511" s="158"/>
      <c r="W6511" s="3">
        <v>2014</v>
      </c>
      <c r="X6511" s="3" t="s">
        <v>11817</v>
      </c>
    </row>
    <row r="6512" spans="1:24" ht="191.25">
      <c r="A6512" s="3" t="s">
        <v>13804</v>
      </c>
      <c r="B6512" s="6" t="s">
        <v>361</v>
      </c>
      <c r="C6512" s="6" t="s">
        <v>7363</v>
      </c>
      <c r="D6512" s="6" t="s">
        <v>6866</v>
      </c>
      <c r="E6512" s="6" t="s">
        <v>11585</v>
      </c>
      <c r="F6512" s="9" t="s">
        <v>6907</v>
      </c>
      <c r="G6512" s="57" t="s">
        <v>11450</v>
      </c>
      <c r="H6512" s="185">
        <v>0</v>
      </c>
      <c r="I6512" s="16">
        <v>470000000</v>
      </c>
      <c r="J6512" s="56" t="s">
        <v>229</v>
      </c>
      <c r="K6512" s="57" t="s">
        <v>9453</v>
      </c>
      <c r="L6512" s="12" t="s">
        <v>404</v>
      </c>
      <c r="M6512" s="3" t="s">
        <v>230</v>
      </c>
      <c r="N6512" s="8" t="s">
        <v>8898</v>
      </c>
      <c r="O6512" s="6" t="s">
        <v>365</v>
      </c>
      <c r="P6512" s="58" t="s">
        <v>241</v>
      </c>
      <c r="Q6512" s="27" t="s">
        <v>234</v>
      </c>
      <c r="R6512" s="27">
        <v>10</v>
      </c>
      <c r="S6512" s="59">
        <f>6500*1.07</f>
        <v>6955</v>
      </c>
      <c r="T6512" s="4">
        <v>0</v>
      </c>
      <c r="U6512" s="4">
        <f>T6512*1.12</f>
        <v>0</v>
      </c>
      <c r="V6512" s="158"/>
      <c r="W6512" s="3">
        <v>2014</v>
      </c>
      <c r="X6512" s="3" t="s">
        <v>14785</v>
      </c>
    </row>
    <row r="6513" spans="1:24" ht="191.25">
      <c r="A6513" s="3" t="s">
        <v>17091</v>
      </c>
      <c r="B6513" s="6" t="s">
        <v>361</v>
      </c>
      <c r="C6513" s="6" t="s">
        <v>7363</v>
      </c>
      <c r="D6513" s="6" t="s">
        <v>6866</v>
      </c>
      <c r="E6513" s="6" t="s">
        <v>11585</v>
      </c>
      <c r="F6513" s="9" t="s">
        <v>6907</v>
      </c>
      <c r="G6513" s="3" t="s">
        <v>11450</v>
      </c>
      <c r="H6513" s="185">
        <v>0</v>
      </c>
      <c r="I6513" s="16">
        <v>470000000</v>
      </c>
      <c r="J6513" s="56" t="s">
        <v>229</v>
      </c>
      <c r="K6513" s="57" t="s">
        <v>8950</v>
      </c>
      <c r="L6513" s="12" t="s">
        <v>404</v>
      </c>
      <c r="M6513" s="3" t="s">
        <v>230</v>
      </c>
      <c r="N6513" s="8" t="s">
        <v>8898</v>
      </c>
      <c r="O6513" s="6" t="s">
        <v>365</v>
      </c>
      <c r="P6513" s="58" t="s">
        <v>241</v>
      </c>
      <c r="Q6513" s="27" t="s">
        <v>234</v>
      </c>
      <c r="R6513" s="27">
        <v>10</v>
      </c>
      <c r="S6513" s="59">
        <v>8346</v>
      </c>
      <c r="T6513" s="4">
        <f>R6513*S6513</f>
        <v>83460</v>
      </c>
      <c r="U6513" s="4">
        <f>T6513*1.12</f>
        <v>93475.200000000012</v>
      </c>
      <c r="V6513" s="158"/>
      <c r="W6513" s="3">
        <v>2014</v>
      </c>
      <c r="X6513" s="3"/>
    </row>
    <row r="6514" spans="1:24" ht="191.25">
      <c r="A6514" s="3" t="s">
        <v>2703</v>
      </c>
      <c r="B6514" s="6" t="s">
        <v>361</v>
      </c>
      <c r="C6514" s="6" t="s">
        <v>7364</v>
      </c>
      <c r="D6514" s="6" t="s">
        <v>6866</v>
      </c>
      <c r="E6514" s="6" t="s">
        <v>11586</v>
      </c>
      <c r="F6514" s="9" t="s">
        <v>6908</v>
      </c>
      <c r="G6514" s="57" t="s">
        <v>11449</v>
      </c>
      <c r="H6514" s="185">
        <v>0</v>
      </c>
      <c r="I6514" s="16">
        <v>470000000</v>
      </c>
      <c r="J6514" s="56" t="s">
        <v>229</v>
      </c>
      <c r="K6514" s="57" t="s">
        <v>641</v>
      </c>
      <c r="L6514" s="57" t="s">
        <v>364</v>
      </c>
      <c r="M6514" s="3" t="s">
        <v>230</v>
      </c>
      <c r="N6514" s="8" t="s">
        <v>8898</v>
      </c>
      <c r="O6514" s="6" t="s">
        <v>365</v>
      </c>
      <c r="P6514" s="58" t="s">
        <v>241</v>
      </c>
      <c r="Q6514" s="27" t="s">
        <v>234</v>
      </c>
      <c r="R6514" s="27">
        <v>10</v>
      </c>
      <c r="S6514" s="59">
        <f>6900*1.07</f>
        <v>7383</v>
      </c>
      <c r="T6514" s="4">
        <v>0</v>
      </c>
      <c r="U6514" s="4">
        <f t="shared" si="300"/>
        <v>0</v>
      </c>
      <c r="V6514" s="158"/>
      <c r="W6514" s="3">
        <v>2014</v>
      </c>
      <c r="X6514" s="3" t="s">
        <v>11817</v>
      </c>
    </row>
    <row r="6515" spans="1:24" ht="191.25">
      <c r="A6515" s="3" t="s">
        <v>13805</v>
      </c>
      <c r="B6515" s="6" t="s">
        <v>361</v>
      </c>
      <c r="C6515" s="6" t="s">
        <v>7364</v>
      </c>
      <c r="D6515" s="6" t="s">
        <v>6866</v>
      </c>
      <c r="E6515" s="6" t="s">
        <v>11586</v>
      </c>
      <c r="F6515" s="9" t="s">
        <v>6908</v>
      </c>
      <c r="G6515" s="57" t="s">
        <v>11450</v>
      </c>
      <c r="H6515" s="185">
        <v>0</v>
      </c>
      <c r="I6515" s="16">
        <v>470000000</v>
      </c>
      <c r="J6515" s="56" t="s">
        <v>229</v>
      </c>
      <c r="K6515" s="57" t="s">
        <v>9453</v>
      </c>
      <c r="L6515" s="12" t="s">
        <v>404</v>
      </c>
      <c r="M6515" s="3" t="s">
        <v>230</v>
      </c>
      <c r="N6515" s="8" t="s">
        <v>8898</v>
      </c>
      <c r="O6515" s="6" t="s">
        <v>365</v>
      </c>
      <c r="P6515" s="58" t="s">
        <v>241</v>
      </c>
      <c r="Q6515" s="27" t="s">
        <v>234</v>
      </c>
      <c r="R6515" s="27">
        <v>10</v>
      </c>
      <c r="S6515" s="59">
        <f>6900*1.07</f>
        <v>7383</v>
      </c>
      <c r="T6515" s="4">
        <v>0</v>
      </c>
      <c r="U6515" s="4">
        <f>T6515*1.12</f>
        <v>0</v>
      </c>
      <c r="V6515" s="158"/>
      <c r="W6515" s="3">
        <v>2014</v>
      </c>
      <c r="X6515" s="3" t="s">
        <v>14785</v>
      </c>
    </row>
    <row r="6516" spans="1:24" ht="191.25">
      <c r="A6516" s="3" t="s">
        <v>17092</v>
      </c>
      <c r="B6516" s="6" t="s">
        <v>361</v>
      </c>
      <c r="C6516" s="6" t="s">
        <v>7364</v>
      </c>
      <c r="D6516" s="6" t="s">
        <v>6866</v>
      </c>
      <c r="E6516" s="6" t="s">
        <v>11586</v>
      </c>
      <c r="F6516" s="9" t="s">
        <v>6908</v>
      </c>
      <c r="G6516" s="3" t="s">
        <v>11450</v>
      </c>
      <c r="H6516" s="185">
        <v>0</v>
      </c>
      <c r="I6516" s="16">
        <v>470000000</v>
      </c>
      <c r="J6516" s="56" t="s">
        <v>229</v>
      </c>
      <c r="K6516" s="57" t="s">
        <v>8950</v>
      </c>
      <c r="L6516" s="12" t="s">
        <v>404</v>
      </c>
      <c r="M6516" s="3" t="s">
        <v>230</v>
      </c>
      <c r="N6516" s="8" t="s">
        <v>8898</v>
      </c>
      <c r="O6516" s="6" t="s">
        <v>365</v>
      </c>
      <c r="P6516" s="58" t="s">
        <v>241</v>
      </c>
      <c r="Q6516" s="27" t="s">
        <v>234</v>
      </c>
      <c r="R6516" s="27">
        <v>10</v>
      </c>
      <c r="S6516" s="59">
        <v>8859.6</v>
      </c>
      <c r="T6516" s="4">
        <f>R6516*S6516</f>
        <v>88596</v>
      </c>
      <c r="U6516" s="4">
        <f>T6516*1.12</f>
        <v>99227.520000000004</v>
      </c>
      <c r="V6516" s="158"/>
      <c r="W6516" s="3">
        <v>2014</v>
      </c>
      <c r="X6516" s="3"/>
    </row>
    <row r="6517" spans="1:24" ht="191.25">
      <c r="A6517" s="3" t="s">
        <v>2704</v>
      </c>
      <c r="B6517" s="6" t="s">
        <v>361</v>
      </c>
      <c r="C6517" s="6" t="s">
        <v>7364</v>
      </c>
      <c r="D6517" s="6" t="s">
        <v>6866</v>
      </c>
      <c r="E6517" s="6" t="s">
        <v>11586</v>
      </c>
      <c r="F6517" s="9" t="s">
        <v>6909</v>
      </c>
      <c r="G6517" s="57" t="s">
        <v>11449</v>
      </c>
      <c r="H6517" s="185">
        <v>0</v>
      </c>
      <c r="I6517" s="16">
        <v>470000000</v>
      </c>
      <c r="J6517" s="56" t="s">
        <v>229</v>
      </c>
      <c r="K6517" s="57" t="s">
        <v>641</v>
      </c>
      <c r="L6517" s="57" t="s">
        <v>364</v>
      </c>
      <c r="M6517" s="3" t="s">
        <v>230</v>
      </c>
      <c r="N6517" s="8" t="s">
        <v>8898</v>
      </c>
      <c r="O6517" s="6" t="s">
        <v>365</v>
      </c>
      <c r="P6517" s="58" t="s">
        <v>241</v>
      </c>
      <c r="Q6517" s="27" t="s">
        <v>234</v>
      </c>
      <c r="R6517" s="27">
        <v>10</v>
      </c>
      <c r="S6517" s="59">
        <f>7150*1.07</f>
        <v>7650.5</v>
      </c>
      <c r="T6517" s="4">
        <v>0</v>
      </c>
      <c r="U6517" s="4">
        <f t="shared" si="300"/>
        <v>0</v>
      </c>
      <c r="V6517" s="158"/>
      <c r="W6517" s="3">
        <v>2014</v>
      </c>
      <c r="X6517" s="3" t="s">
        <v>11817</v>
      </c>
    </row>
    <row r="6518" spans="1:24" ht="191.25">
      <c r="A6518" s="3" t="s">
        <v>13806</v>
      </c>
      <c r="B6518" s="6" t="s">
        <v>361</v>
      </c>
      <c r="C6518" s="6" t="s">
        <v>7364</v>
      </c>
      <c r="D6518" s="6" t="s">
        <v>6866</v>
      </c>
      <c r="E6518" s="6" t="s">
        <v>11586</v>
      </c>
      <c r="F6518" s="9" t="s">
        <v>6909</v>
      </c>
      <c r="G6518" s="57" t="s">
        <v>11450</v>
      </c>
      <c r="H6518" s="185">
        <v>0</v>
      </c>
      <c r="I6518" s="16">
        <v>470000000</v>
      </c>
      <c r="J6518" s="56" t="s">
        <v>229</v>
      </c>
      <c r="K6518" s="57" t="s">
        <v>9453</v>
      </c>
      <c r="L6518" s="12" t="s">
        <v>404</v>
      </c>
      <c r="M6518" s="3" t="s">
        <v>230</v>
      </c>
      <c r="N6518" s="8" t="s">
        <v>8898</v>
      </c>
      <c r="O6518" s="6" t="s">
        <v>365</v>
      </c>
      <c r="P6518" s="58" t="s">
        <v>241</v>
      </c>
      <c r="Q6518" s="27" t="s">
        <v>234</v>
      </c>
      <c r="R6518" s="27">
        <v>10</v>
      </c>
      <c r="S6518" s="59">
        <f>7150*1.07</f>
        <v>7650.5</v>
      </c>
      <c r="T6518" s="4">
        <v>0</v>
      </c>
      <c r="U6518" s="4">
        <f>T6518*1.12</f>
        <v>0</v>
      </c>
      <c r="V6518" s="158"/>
      <c r="W6518" s="3">
        <v>2014</v>
      </c>
      <c r="X6518" s="3" t="s">
        <v>14785</v>
      </c>
    </row>
    <row r="6519" spans="1:24" ht="191.25">
      <c r="A6519" s="3" t="s">
        <v>17093</v>
      </c>
      <c r="B6519" s="6" t="s">
        <v>361</v>
      </c>
      <c r="C6519" s="6" t="s">
        <v>7364</v>
      </c>
      <c r="D6519" s="6" t="s">
        <v>6866</v>
      </c>
      <c r="E6519" s="6" t="s">
        <v>11586</v>
      </c>
      <c r="F6519" s="9" t="s">
        <v>6909</v>
      </c>
      <c r="G6519" s="3" t="s">
        <v>11450</v>
      </c>
      <c r="H6519" s="185">
        <v>0</v>
      </c>
      <c r="I6519" s="16">
        <v>470000000</v>
      </c>
      <c r="J6519" s="56" t="s">
        <v>229</v>
      </c>
      <c r="K6519" s="57" t="s">
        <v>8950</v>
      </c>
      <c r="L6519" s="12" t="s">
        <v>404</v>
      </c>
      <c r="M6519" s="3" t="s">
        <v>230</v>
      </c>
      <c r="N6519" s="8" t="s">
        <v>8898</v>
      </c>
      <c r="O6519" s="6" t="s">
        <v>365</v>
      </c>
      <c r="P6519" s="58" t="s">
        <v>241</v>
      </c>
      <c r="Q6519" s="27" t="s">
        <v>234</v>
      </c>
      <c r="R6519" s="27">
        <v>10</v>
      </c>
      <c r="S6519" s="59">
        <v>9180.6</v>
      </c>
      <c r="T6519" s="4">
        <f>R6519*S6519</f>
        <v>91806</v>
      </c>
      <c r="U6519" s="4">
        <f>T6519*1.12</f>
        <v>102822.72000000002</v>
      </c>
      <c r="V6519" s="158"/>
      <c r="W6519" s="3">
        <v>2014</v>
      </c>
      <c r="X6519" s="3"/>
    </row>
    <row r="6520" spans="1:24" ht="191.25">
      <c r="A6520" s="3" t="s">
        <v>2705</v>
      </c>
      <c r="B6520" s="6" t="s">
        <v>361</v>
      </c>
      <c r="C6520" s="6" t="s">
        <v>7364</v>
      </c>
      <c r="D6520" s="6" t="s">
        <v>6866</v>
      </c>
      <c r="E6520" s="6" t="s">
        <v>11586</v>
      </c>
      <c r="F6520" s="9" t="s">
        <v>6910</v>
      </c>
      <c r="G6520" s="57" t="s">
        <v>11449</v>
      </c>
      <c r="H6520" s="185">
        <v>0</v>
      </c>
      <c r="I6520" s="16">
        <v>470000000</v>
      </c>
      <c r="J6520" s="56" t="s">
        <v>229</v>
      </c>
      <c r="K6520" s="57" t="s">
        <v>641</v>
      </c>
      <c r="L6520" s="57" t="s">
        <v>364</v>
      </c>
      <c r="M6520" s="3" t="s">
        <v>230</v>
      </c>
      <c r="N6520" s="8" t="s">
        <v>8898</v>
      </c>
      <c r="O6520" s="6" t="s">
        <v>365</v>
      </c>
      <c r="P6520" s="58" t="s">
        <v>241</v>
      </c>
      <c r="Q6520" s="27" t="s">
        <v>234</v>
      </c>
      <c r="R6520" s="26">
        <v>10</v>
      </c>
      <c r="S6520" s="59">
        <f>9150*1.07</f>
        <v>9790.5</v>
      </c>
      <c r="T6520" s="4">
        <v>0</v>
      </c>
      <c r="U6520" s="4">
        <f t="shared" si="300"/>
        <v>0</v>
      </c>
      <c r="V6520" s="158"/>
      <c r="W6520" s="3">
        <v>2014</v>
      </c>
      <c r="X6520" s="3" t="s">
        <v>11817</v>
      </c>
    </row>
    <row r="6521" spans="1:24" ht="191.25">
      <c r="A6521" s="3" t="s">
        <v>13807</v>
      </c>
      <c r="B6521" s="6" t="s">
        <v>361</v>
      </c>
      <c r="C6521" s="6" t="s">
        <v>7364</v>
      </c>
      <c r="D6521" s="6" t="s">
        <v>6866</v>
      </c>
      <c r="E6521" s="6" t="s">
        <v>11586</v>
      </c>
      <c r="F6521" s="9" t="s">
        <v>6910</v>
      </c>
      <c r="G6521" s="57" t="s">
        <v>11450</v>
      </c>
      <c r="H6521" s="185">
        <v>0</v>
      </c>
      <c r="I6521" s="16">
        <v>470000000</v>
      </c>
      <c r="J6521" s="56" t="s">
        <v>229</v>
      </c>
      <c r="K6521" s="57" t="s">
        <v>9453</v>
      </c>
      <c r="L6521" s="12" t="s">
        <v>404</v>
      </c>
      <c r="M6521" s="3" t="s">
        <v>230</v>
      </c>
      <c r="N6521" s="8" t="s">
        <v>8898</v>
      </c>
      <c r="O6521" s="6" t="s">
        <v>365</v>
      </c>
      <c r="P6521" s="58" t="s">
        <v>241</v>
      </c>
      <c r="Q6521" s="27" t="s">
        <v>234</v>
      </c>
      <c r="R6521" s="26">
        <v>10</v>
      </c>
      <c r="S6521" s="59">
        <f>9150*1.07</f>
        <v>9790.5</v>
      </c>
      <c r="T6521" s="4">
        <v>0</v>
      </c>
      <c r="U6521" s="4">
        <f>T6521*1.12</f>
        <v>0</v>
      </c>
      <c r="V6521" s="158"/>
      <c r="W6521" s="3">
        <v>2014</v>
      </c>
      <c r="X6521" s="3" t="s">
        <v>14785</v>
      </c>
    </row>
    <row r="6522" spans="1:24" ht="191.25">
      <c r="A6522" s="3" t="s">
        <v>17094</v>
      </c>
      <c r="B6522" s="6" t="s">
        <v>361</v>
      </c>
      <c r="C6522" s="6" t="s">
        <v>7364</v>
      </c>
      <c r="D6522" s="6" t="s">
        <v>6866</v>
      </c>
      <c r="E6522" s="6" t="s">
        <v>11586</v>
      </c>
      <c r="F6522" s="9" t="s">
        <v>6910</v>
      </c>
      <c r="G6522" s="3" t="s">
        <v>11450</v>
      </c>
      <c r="H6522" s="185">
        <v>0</v>
      </c>
      <c r="I6522" s="16">
        <v>470000000</v>
      </c>
      <c r="J6522" s="56" t="s">
        <v>229</v>
      </c>
      <c r="K6522" s="57" t="s">
        <v>8950</v>
      </c>
      <c r="L6522" s="12" t="s">
        <v>404</v>
      </c>
      <c r="M6522" s="3" t="s">
        <v>230</v>
      </c>
      <c r="N6522" s="8" t="s">
        <v>8898</v>
      </c>
      <c r="O6522" s="6" t="s">
        <v>365</v>
      </c>
      <c r="P6522" s="58" t="s">
        <v>241</v>
      </c>
      <c r="Q6522" s="27" t="s">
        <v>234</v>
      </c>
      <c r="R6522" s="26">
        <v>10</v>
      </c>
      <c r="S6522" s="59">
        <v>11748.6</v>
      </c>
      <c r="T6522" s="4">
        <f>R6522*S6522</f>
        <v>117486</v>
      </c>
      <c r="U6522" s="4">
        <f>T6522*1.12</f>
        <v>131584.32000000001</v>
      </c>
      <c r="V6522" s="158"/>
      <c r="W6522" s="3">
        <v>2014</v>
      </c>
      <c r="X6522" s="3"/>
    </row>
    <row r="6523" spans="1:24" ht="114.75">
      <c r="A6523" s="3" t="s">
        <v>2706</v>
      </c>
      <c r="B6523" s="6" t="s">
        <v>361</v>
      </c>
      <c r="C6523" s="6" t="s">
        <v>7365</v>
      </c>
      <c r="D6523" s="6" t="s">
        <v>368</v>
      </c>
      <c r="E6523" s="6" t="s">
        <v>11587</v>
      </c>
      <c r="F6523" s="8" t="s">
        <v>6911</v>
      </c>
      <c r="G6523" s="57" t="s">
        <v>11449</v>
      </c>
      <c r="H6523" s="185">
        <v>0</v>
      </c>
      <c r="I6523" s="16">
        <v>470000000</v>
      </c>
      <c r="J6523" s="56" t="s">
        <v>229</v>
      </c>
      <c r="K6523" s="57" t="s">
        <v>641</v>
      </c>
      <c r="L6523" s="57" t="s">
        <v>364</v>
      </c>
      <c r="M6523" s="3" t="s">
        <v>230</v>
      </c>
      <c r="N6523" s="8" t="s">
        <v>8898</v>
      </c>
      <c r="O6523" s="6" t="s">
        <v>365</v>
      </c>
      <c r="P6523" s="58" t="s">
        <v>241</v>
      </c>
      <c r="Q6523" s="27" t="s">
        <v>234</v>
      </c>
      <c r="R6523" s="27">
        <v>50</v>
      </c>
      <c r="S6523" s="59">
        <v>323.76749999999998</v>
      </c>
      <c r="T6523" s="4">
        <v>0</v>
      </c>
      <c r="U6523" s="4">
        <f t="shared" ref="U6523:U6555" si="301">T6523*1.12</f>
        <v>0</v>
      </c>
      <c r="V6523" s="3"/>
      <c r="W6523" s="3">
        <v>2014</v>
      </c>
      <c r="X6523" s="3" t="s">
        <v>11817</v>
      </c>
    </row>
    <row r="6524" spans="1:24" ht="114.75">
      <c r="A6524" s="3" t="s">
        <v>13808</v>
      </c>
      <c r="B6524" s="6" t="s">
        <v>361</v>
      </c>
      <c r="C6524" s="6" t="s">
        <v>7365</v>
      </c>
      <c r="D6524" s="6" t="s">
        <v>368</v>
      </c>
      <c r="E6524" s="6" t="s">
        <v>11587</v>
      </c>
      <c r="F6524" s="8" t="s">
        <v>6911</v>
      </c>
      <c r="G6524" s="57" t="s">
        <v>11450</v>
      </c>
      <c r="H6524" s="185">
        <v>0</v>
      </c>
      <c r="I6524" s="16">
        <v>470000000</v>
      </c>
      <c r="J6524" s="56" t="s">
        <v>229</v>
      </c>
      <c r="K6524" s="57" t="s">
        <v>642</v>
      </c>
      <c r="L6524" s="12" t="s">
        <v>404</v>
      </c>
      <c r="M6524" s="3" t="s">
        <v>230</v>
      </c>
      <c r="N6524" s="8" t="s">
        <v>8898</v>
      </c>
      <c r="O6524" s="6" t="s">
        <v>365</v>
      </c>
      <c r="P6524" s="58" t="s">
        <v>241</v>
      </c>
      <c r="Q6524" s="27" t="s">
        <v>234</v>
      </c>
      <c r="R6524" s="27">
        <v>50</v>
      </c>
      <c r="S6524" s="59">
        <v>323.76749999999998</v>
      </c>
      <c r="T6524" s="4">
        <f>R6524*S6524</f>
        <v>16188.375</v>
      </c>
      <c r="U6524" s="4">
        <f>T6524*1.12</f>
        <v>18130.980000000003</v>
      </c>
      <c r="V6524" s="3"/>
      <c r="W6524" s="3">
        <v>2014</v>
      </c>
      <c r="X6524" s="3"/>
    </row>
    <row r="6525" spans="1:24" ht="114.75">
      <c r="A6525" s="3" t="s">
        <v>2707</v>
      </c>
      <c r="B6525" s="6" t="s">
        <v>361</v>
      </c>
      <c r="C6525" s="6" t="s">
        <v>6912</v>
      </c>
      <c r="D6525" s="6" t="s">
        <v>368</v>
      </c>
      <c r="E6525" s="6" t="s">
        <v>6913</v>
      </c>
      <c r="F6525" s="8" t="s">
        <v>6914</v>
      </c>
      <c r="G6525" s="57" t="s">
        <v>11449</v>
      </c>
      <c r="H6525" s="185">
        <v>0</v>
      </c>
      <c r="I6525" s="16">
        <v>470000000</v>
      </c>
      <c r="J6525" s="56" t="s">
        <v>229</v>
      </c>
      <c r="K6525" s="57" t="s">
        <v>641</v>
      </c>
      <c r="L6525" s="57" t="s">
        <v>364</v>
      </c>
      <c r="M6525" s="3" t="s">
        <v>230</v>
      </c>
      <c r="N6525" s="8" t="s">
        <v>8898</v>
      </c>
      <c r="O6525" s="6" t="s">
        <v>365</v>
      </c>
      <c r="P6525" s="58" t="s">
        <v>241</v>
      </c>
      <c r="Q6525" s="27" t="s">
        <v>234</v>
      </c>
      <c r="R6525" s="27">
        <v>30</v>
      </c>
      <c r="S6525" s="59">
        <v>220.25</v>
      </c>
      <c r="T6525" s="4">
        <v>0</v>
      </c>
      <c r="U6525" s="4">
        <f t="shared" si="301"/>
        <v>0</v>
      </c>
      <c r="V6525" s="3"/>
      <c r="W6525" s="3">
        <v>2014</v>
      </c>
      <c r="X6525" s="3" t="s">
        <v>11817</v>
      </c>
    </row>
    <row r="6526" spans="1:24" ht="114.75">
      <c r="A6526" s="3" t="s">
        <v>13809</v>
      </c>
      <c r="B6526" s="6" t="s">
        <v>361</v>
      </c>
      <c r="C6526" s="6" t="s">
        <v>6912</v>
      </c>
      <c r="D6526" s="6" t="s">
        <v>368</v>
      </c>
      <c r="E6526" s="6" t="s">
        <v>6913</v>
      </c>
      <c r="F6526" s="8" t="s">
        <v>6914</v>
      </c>
      <c r="G6526" s="57" t="s">
        <v>11450</v>
      </c>
      <c r="H6526" s="185">
        <v>0</v>
      </c>
      <c r="I6526" s="16">
        <v>470000000</v>
      </c>
      <c r="J6526" s="56" t="s">
        <v>229</v>
      </c>
      <c r="K6526" s="57" t="s">
        <v>642</v>
      </c>
      <c r="L6526" s="12" t="s">
        <v>404</v>
      </c>
      <c r="M6526" s="3" t="s">
        <v>230</v>
      </c>
      <c r="N6526" s="8" t="s">
        <v>8898</v>
      </c>
      <c r="O6526" s="6" t="s">
        <v>365</v>
      </c>
      <c r="P6526" s="58" t="s">
        <v>241</v>
      </c>
      <c r="Q6526" s="27" t="s">
        <v>234</v>
      </c>
      <c r="R6526" s="27">
        <v>30</v>
      </c>
      <c r="S6526" s="59">
        <v>220.25</v>
      </c>
      <c r="T6526" s="4">
        <f>R6526*S6526</f>
        <v>6607.5</v>
      </c>
      <c r="U6526" s="4">
        <f>T6526*1.12</f>
        <v>7400.4000000000005</v>
      </c>
      <c r="V6526" s="3"/>
      <c r="W6526" s="3">
        <v>2014</v>
      </c>
      <c r="X6526" s="3"/>
    </row>
    <row r="6527" spans="1:24" ht="114.75">
      <c r="A6527" s="3" t="s">
        <v>2708</v>
      </c>
      <c r="B6527" s="6" t="s">
        <v>361</v>
      </c>
      <c r="C6527" s="6" t="s">
        <v>6915</v>
      </c>
      <c r="D6527" s="6" t="s">
        <v>368</v>
      </c>
      <c r="E6527" s="6" t="s">
        <v>6916</v>
      </c>
      <c r="F6527" s="8" t="s">
        <v>6917</v>
      </c>
      <c r="G6527" s="57" t="s">
        <v>11449</v>
      </c>
      <c r="H6527" s="185">
        <v>0</v>
      </c>
      <c r="I6527" s="16">
        <v>470000000</v>
      </c>
      <c r="J6527" s="56" t="s">
        <v>229</v>
      </c>
      <c r="K6527" s="57" t="s">
        <v>641</v>
      </c>
      <c r="L6527" s="57" t="s">
        <v>364</v>
      </c>
      <c r="M6527" s="3" t="s">
        <v>230</v>
      </c>
      <c r="N6527" s="8" t="s">
        <v>8898</v>
      </c>
      <c r="O6527" s="6" t="s">
        <v>365</v>
      </c>
      <c r="P6527" s="58" t="s">
        <v>241</v>
      </c>
      <c r="Q6527" s="27" t="s">
        <v>234</v>
      </c>
      <c r="R6527" s="27">
        <v>30</v>
      </c>
      <c r="S6527" s="59">
        <v>323.76749999999998</v>
      </c>
      <c r="T6527" s="4">
        <v>0</v>
      </c>
      <c r="U6527" s="4">
        <f t="shared" si="301"/>
        <v>0</v>
      </c>
      <c r="V6527" s="3"/>
      <c r="W6527" s="3">
        <v>2014</v>
      </c>
      <c r="X6527" s="3" t="s">
        <v>11817</v>
      </c>
    </row>
    <row r="6528" spans="1:24" ht="114.75">
      <c r="A6528" s="3" t="s">
        <v>13810</v>
      </c>
      <c r="B6528" s="6" t="s">
        <v>361</v>
      </c>
      <c r="C6528" s="6" t="s">
        <v>6915</v>
      </c>
      <c r="D6528" s="6" t="s">
        <v>368</v>
      </c>
      <c r="E6528" s="6" t="s">
        <v>6916</v>
      </c>
      <c r="F6528" s="8" t="s">
        <v>6917</v>
      </c>
      <c r="G6528" s="57" t="s">
        <v>11450</v>
      </c>
      <c r="H6528" s="185">
        <v>0</v>
      </c>
      <c r="I6528" s="16">
        <v>470000000</v>
      </c>
      <c r="J6528" s="56" t="s">
        <v>229</v>
      </c>
      <c r="K6528" s="57" t="s">
        <v>642</v>
      </c>
      <c r="L6528" s="12" t="s">
        <v>404</v>
      </c>
      <c r="M6528" s="3" t="s">
        <v>230</v>
      </c>
      <c r="N6528" s="8" t="s">
        <v>8898</v>
      </c>
      <c r="O6528" s="6" t="s">
        <v>365</v>
      </c>
      <c r="P6528" s="58" t="s">
        <v>241</v>
      </c>
      <c r="Q6528" s="27" t="s">
        <v>234</v>
      </c>
      <c r="R6528" s="27">
        <v>30</v>
      </c>
      <c r="S6528" s="59">
        <v>323.76749999999998</v>
      </c>
      <c r="T6528" s="4">
        <v>0</v>
      </c>
      <c r="U6528" s="4">
        <f>T6528*1.12</f>
        <v>0</v>
      </c>
      <c r="V6528" s="3"/>
      <c r="W6528" s="3">
        <v>2014</v>
      </c>
      <c r="X6528" s="3" t="s">
        <v>14785</v>
      </c>
    </row>
    <row r="6529" spans="1:24" ht="114.75">
      <c r="A6529" s="3" t="s">
        <v>17095</v>
      </c>
      <c r="B6529" s="6" t="s">
        <v>361</v>
      </c>
      <c r="C6529" s="6" t="s">
        <v>6915</v>
      </c>
      <c r="D6529" s="6" t="s">
        <v>368</v>
      </c>
      <c r="E6529" s="6" t="s">
        <v>6916</v>
      </c>
      <c r="F6529" s="8" t="s">
        <v>6917</v>
      </c>
      <c r="G6529" s="3" t="s">
        <v>11450</v>
      </c>
      <c r="H6529" s="185">
        <v>0</v>
      </c>
      <c r="I6529" s="16">
        <v>470000000</v>
      </c>
      <c r="J6529" s="56" t="s">
        <v>229</v>
      </c>
      <c r="K6529" s="57" t="s">
        <v>8950</v>
      </c>
      <c r="L6529" s="12" t="s">
        <v>404</v>
      </c>
      <c r="M6529" s="3" t="s">
        <v>230</v>
      </c>
      <c r="N6529" s="8" t="s">
        <v>8898</v>
      </c>
      <c r="O6529" s="6" t="s">
        <v>365</v>
      </c>
      <c r="P6529" s="58" t="s">
        <v>241</v>
      </c>
      <c r="Q6529" s="27" t="s">
        <v>234</v>
      </c>
      <c r="R6529" s="27">
        <v>30</v>
      </c>
      <c r="S6529" s="59">
        <v>388.52099999999996</v>
      </c>
      <c r="T6529" s="4">
        <v>0</v>
      </c>
      <c r="U6529" s="4">
        <f>T6529*1.12</f>
        <v>0</v>
      </c>
      <c r="V6529" s="3"/>
      <c r="W6529" s="3">
        <v>2014</v>
      </c>
      <c r="X6529" s="3" t="s">
        <v>12076</v>
      </c>
    </row>
    <row r="6530" spans="1:24" ht="114.75">
      <c r="A6530" s="3" t="s">
        <v>2709</v>
      </c>
      <c r="B6530" s="6" t="s">
        <v>361</v>
      </c>
      <c r="C6530" s="6" t="s">
        <v>6918</v>
      </c>
      <c r="D6530" s="6" t="s">
        <v>368</v>
      </c>
      <c r="E6530" s="6" t="s">
        <v>6919</v>
      </c>
      <c r="F6530" s="8" t="s">
        <v>6920</v>
      </c>
      <c r="G6530" s="57" t="s">
        <v>11449</v>
      </c>
      <c r="H6530" s="185">
        <v>0</v>
      </c>
      <c r="I6530" s="16">
        <v>470000000</v>
      </c>
      <c r="J6530" s="56" t="s">
        <v>229</v>
      </c>
      <c r="K6530" s="57" t="s">
        <v>641</v>
      </c>
      <c r="L6530" s="57" t="s">
        <v>364</v>
      </c>
      <c r="M6530" s="3" t="s">
        <v>230</v>
      </c>
      <c r="N6530" s="8" t="s">
        <v>8898</v>
      </c>
      <c r="O6530" s="6" t="s">
        <v>365</v>
      </c>
      <c r="P6530" s="58" t="s">
        <v>241</v>
      </c>
      <c r="Q6530" s="27" t="s">
        <v>234</v>
      </c>
      <c r="R6530" s="27">
        <v>30</v>
      </c>
      <c r="S6530" s="59">
        <v>330.375</v>
      </c>
      <c r="T6530" s="4">
        <v>0</v>
      </c>
      <c r="U6530" s="4">
        <f t="shared" si="301"/>
        <v>0</v>
      </c>
      <c r="V6530" s="3"/>
      <c r="W6530" s="3">
        <v>2014</v>
      </c>
      <c r="X6530" s="3" t="s">
        <v>11817</v>
      </c>
    </row>
    <row r="6531" spans="1:24" ht="114.75">
      <c r="A6531" s="3" t="s">
        <v>13811</v>
      </c>
      <c r="B6531" s="6" t="s">
        <v>361</v>
      </c>
      <c r="C6531" s="6" t="s">
        <v>6918</v>
      </c>
      <c r="D6531" s="6" t="s">
        <v>368</v>
      </c>
      <c r="E6531" s="6" t="s">
        <v>6919</v>
      </c>
      <c r="F6531" s="8" t="s">
        <v>6920</v>
      </c>
      <c r="G6531" s="57" t="s">
        <v>11450</v>
      </c>
      <c r="H6531" s="185">
        <v>0</v>
      </c>
      <c r="I6531" s="16">
        <v>470000000</v>
      </c>
      <c r="J6531" s="56" t="s">
        <v>229</v>
      </c>
      <c r="K6531" s="57" t="s">
        <v>642</v>
      </c>
      <c r="L6531" s="12" t="s">
        <v>404</v>
      </c>
      <c r="M6531" s="3" t="s">
        <v>230</v>
      </c>
      <c r="N6531" s="8" t="s">
        <v>8898</v>
      </c>
      <c r="O6531" s="6" t="s">
        <v>365</v>
      </c>
      <c r="P6531" s="58" t="s">
        <v>241</v>
      </c>
      <c r="Q6531" s="27" t="s">
        <v>234</v>
      </c>
      <c r="R6531" s="27">
        <v>30</v>
      </c>
      <c r="S6531" s="59">
        <v>330.375</v>
      </c>
      <c r="T6531" s="4">
        <f>R6531*S6531</f>
        <v>9911.25</v>
      </c>
      <c r="U6531" s="4">
        <f>T6531*1.12</f>
        <v>11100.6</v>
      </c>
      <c r="V6531" s="3"/>
      <c r="W6531" s="3">
        <v>2014</v>
      </c>
      <c r="X6531" s="3"/>
    </row>
    <row r="6532" spans="1:24" ht="114.75">
      <c r="A6532" s="3" t="s">
        <v>2710</v>
      </c>
      <c r="B6532" s="6" t="s">
        <v>361</v>
      </c>
      <c r="C6532" s="6" t="s">
        <v>6921</v>
      </c>
      <c r="D6532" s="6" t="s">
        <v>368</v>
      </c>
      <c r="E6532" s="6" t="s">
        <v>11588</v>
      </c>
      <c r="F6532" s="8" t="s">
        <v>6922</v>
      </c>
      <c r="G6532" s="57" t="s">
        <v>11449</v>
      </c>
      <c r="H6532" s="185">
        <v>0</v>
      </c>
      <c r="I6532" s="16">
        <v>470000000</v>
      </c>
      <c r="J6532" s="56" t="s">
        <v>229</v>
      </c>
      <c r="K6532" s="57" t="s">
        <v>641</v>
      </c>
      <c r="L6532" s="57" t="s">
        <v>364</v>
      </c>
      <c r="M6532" s="3" t="s">
        <v>230</v>
      </c>
      <c r="N6532" s="8" t="s">
        <v>8898</v>
      </c>
      <c r="O6532" s="6" t="s">
        <v>365</v>
      </c>
      <c r="P6532" s="58" t="s">
        <v>241</v>
      </c>
      <c r="Q6532" s="27" t="s">
        <v>234</v>
      </c>
      <c r="R6532" s="27">
        <v>30</v>
      </c>
      <c r="S6532" s="59">
        <v>330.375</v>
      </c>
      <c r="T6532" s="4">
        <v>0</v>
      </c>
      <c r="U6532" s="4">
        <f t="shared" si="301"/>
        <v>0</v>
      </c>
      <c r="V6532" s="3"/>
      <c r="W6532" s="3">
        <v>2014</v>
      </c>
      <c r="X6532" s="3" t="s">
        <v>11817</v>
      </c>
    </row>
    <row r="6533" spans="1:24" ht="114.75">
      <c r="A6533" s="3" t="s">
        <v>13812</v>
      </c>
      <c r="B6533" s="6" t="s">
        <v>361</v>
      </c>
      <c r="C6533" s="6" t="s">
        <v>6921</v>
      </c>
      <c r="D6533" s="6" t="s">
        <v>368</v>
      </c>
      <c r="E6533" s="6" t="s">
        <v>11588</v>
      </c>
      <c r="F6533" s="8" t="s">
        <v>6922</v>
      </c>
      <c r="G6533" s="57" t="s">
        <v>11450</v>
      </c>
      <c r="H6533" s="185">
        <v>0</v>
      </c>
      <c r="I6533" s="16">
        <v>470000000</v>
      </c>
      <c r="J6533" s="56" t="s">
        <v>229</v>
      </c>
      <c r="K6533" s="57" t="s">
        <v>642</v>
      </c>
      <c r="L6533" s="12" t="s">
        <v>404</v>
      </c>
      <c r="M6533" s="3" t="s">
        <v>230</v>
      </c>
      <c r="N6533" s="8" t="s">
        <v>8898</v>
      </c>
      <c r="O6533" s="6" t="s">
        <v>365</v>
      </c>
      <c r="P6533" s="58" t="s">
        <v>241</v>
      </c>
      <c r="Q6533" s="27" t="s">
        <v>234</v>
      </c>
      <c r="R6533" s="27">
        <v>30</v>
      </c>
      <c r="S6533" s="59">
        <v>330.375</v>
      </c>
      <c r="T6533" s="4">
        <f>R6533*S6533</f>
        <v>9911.25</v>
      </c>
      <c r="U6533" s="4">
        <f>T6533*1.12</f>
        <v>11100.6</v>
      </c>
      <c r="V6533" s="3"/>
      <c r="W6533" s="3">
        <v>2014</v>
      </c>
      <c r="X6533" s="3"/>
    </row>
    <row r="6534" spans="1:24" ht="114.75">
      <c r="A6534" s="3" t="s">
        <v>2711</v>
      </c>
      <c r="B6534" s="6" t="s">
        <v>361</v>
      </c>
      <c r="C6534" s="6" t="s">
        <v>6923</v>
      </c>
      <c r="D6534" s="6" t="s">
        <v>368</v>
      </c>
      <c r="E6534" s="6" t="s">
        <v>6924</v>
      </c>
      <c r="F6534" s="8" t="s">
        <v>6925</v>
      </c>
      <c r="G6534" s="57" t="s">
        <v>11449</v>
      </c>
      <c r="H6534" s="185">
        <v>0</v>
      </c>
      <c r="I6534" s="16">
        <v>470000000</v>
      </c>
      <c r="J6534" s="56" t="s">
        <v>229</v>
      </c>
      <c r="K6534" s="57" t="s">
        <v>641</v>
      </c>
      <c r="L6534" s="57" t="s">
        <v>364</v>
      </c>
      <c r="M6534" s="3" t="s">
        <v>230</v>
      </c>
      <c r="N6534" s="8" t="s">
        <v>8898</v>
      </c>
      <c r="O6534" s="6" t="s">
        <v>365</v>
      </c>
      <c r="P6534" s="58" t="s">
        <v>241</v>
      </c>
      <c r="Q6534" s="27" t="s">
        <v>234</v>
      </c>
      <c r="R6534" s="27">
        <v>30</v>
      </c>
      <c r="S6534" s="59">
        <v>220.25</v>
      </c>
      <c r="T6534" s="4">
        <v>0</v>
      </c>
      <c r="U6534" s="4">
        <f t="shared" si="301"/>
        <v>0</v>
      </c>
      <c r="V6534" s="3"/>
      <c r="W6534" s="3">
        <v>2014</v>
      </c>
      <c r="X6534" s="3" t="s">
        <v>11817</v>
      </c>
    </row>
    <row r="6535" spans="1:24" ht="114.75">
      <c r="A6535" s="3" t="s">
        <v>13813</v>
      </c>
      <c r="B6535" s="6" t="s">
        <v>361</v>
      </c>
      <c r="C6535" s="6" t="s">
        <v>6923</v>
      </c>
      <c r="D6535" s="6" t="s">
        <v>368</v>
      </c>
      <c r="E6535" s="6" t="s">
        <v>6924</v>
      </c>
      <c r="F6535" s="8" t="s">
        <v>6925</v>
      </c>
      <c r="G6535" s="57" t="s">
        <v>11450</v>
      </c>
      <c r="H6535" s="185">
        <v>0</v>
      </c>
      <c r="I6535" s="16">
        <v>470000000</v>
      </c>
      <c r="J6535" s="56" t="s">
        <v>229</v>
      </c>
      <c r="K6535" s="57" t="s">
        <v>642</v>
      </c>
      <c r="L6535" s="12" t="s">
        <v>404</v>
      </c>
      <c r="M6535" s="3" t="s">
        <v>230</v>
      </c>
      <c r="N6535" s="8" t="s">
        <v>8898</v>
      </c>
      <c r="O6535" s="6" t="s">
        <v>365</v>
      </c>
      <c r="P6535" s="58" t="s">
        <v>241</v>
      </c>
      <c r="Q6535" s="27" t="s">
        <v>234</v>
      </c>
      <c r="R6535" s="27">
        <v>30</v>
      </c>
      <c r="S6535" s="59">
        <v>220.25</v>
      </c>
      <c r="T6535" s="4">
        <f>R6535*S6535</f>
        <v>6607.5</v>
      </c>
      <c r="U6535" s="4">
        <f>T6535*1.12</f>
        <v>7400.4000000000005</v>
      </c>
      <c r="V6535" s="3"/>
      <c r="W6535" s="3">
        <v>2014</v>
      </c>
      <c r="X6535" s="3"/>
    </row>
    <row r="6536" spans="1:24" ht="114.75">
      <c r="A6536" s="3" t="s">
        <v>2712</v>
      </c>
      <c r="B6536" s="6" t="s">
        <v>361</v>
      </c>
      <c r="C6536" s="6" t="s">
        <v>6926</v>
      </c>
      <c r="D6536" s="6" t="s">
        <v>368</v>
      </c>
      <c r="E6536" s="6" t="s">
        <v>6927</v>
      </c>
      <c r="F6536" s="8" t="s">
        <v>6928</v>
      </c>
      <c r="G6536" s="57" t="s">
        <v>11449</v>
      </c>
      <c r="H6536" s="185">
        <v>0</v>
      </c>
      <c r="I6536" s="16">
        <v>470000000</v>
      </c>
      <c r="J6536" s="56" t="s">
        <v>229</v>
      </c>
      <c r="K6536" s="57" t="s">
        <v>641</v>
      </c>
      <c r="L6536" s="57" t="s">
        <v>364</v>
      </c>
      <c r="M6536" s="3" t="s">
        <v>230</v>
      </c>
      <c r="N6536" s="8" t="s">
        <v>8898</v>
      </c>
      <c r="O6536" s="6" t="s">
        <v>365</v>
      </c>
      <c r="P6536" s="58" t="s">
        <v>241</v>
      </c>
      <c r="Q6536" s="27" t="s">
        <v>234</v>
      </c>
      <c r="R6536" s="27">
        <v>60</v>
      </c>
      <c r="S6536" s="59">
        <v>275.3125</v>
      </c>
      <c r="T6536" s="4">
        <v>0</v>
      </c>
      <c r="U6536" s="4">
        <f t="shared" si="301"/>
        <v>0</v>
      </c>
      <c r="V6536" s="3"/>
      <c r="W6536" s="3">
        <v>2014</v>
      </c>
      <c r="X6536" s="3" t="s">
        <v>11817</v>
      </c>
    </row>
    <row r="6537" spans="1:24" ht="114.75">
      <c r="A6537" s="3" t="s">
        <v>13814</v>
      </c>
      <c r="B6537" s="6" t="s">
        <v>361</v>
      </c>
      <c r="C6537" s="6" t="s">
        <v>6926</v>
      </c>
      <c r="D6537" s="6" t="s">
        <v>368</v>
      </c>
      <c r="E6537" s="6" t="s">
        <v>6927</v>
      </c>
      <c r="F6537" s="8" t="s">
        <v>6928</v>
      </c>
      <c r="G6537" s="57" t="s">
        <v>11450</v>
      </c>
      <c r="H6537" s="185">
        <v>0</v>
      </c>
      <c r="I6537" s="16">
        <v>470000000</v>
      </c>
      <c r="J6537" s="56" t="s">
        <v>229</v>
      </c>
      <c r="K6537" s="57" t="s">
        <v>642</v>
      </c>
      <c r="L6537" s="12" t="s">
        <v>404</v>
      </c>
      <c r="M6537" s="3" t="s">
        <v>230</v>
      </c>
      <c r="N6537" s="8" t="s">
        <v>8898</v>
      </c>
      <c r="O6537" s="6" t="s">
        <v>365</v>
      </c>
      <c r="P6537" s="58" t="s">
        <v>241</v>
      </c>
      <c r="Q6537" s="27" t="s">
        <v>234</v>
      </c>
      <c r="R6537" s="27">
        <v>60</v>
      </c>
      <c r="S6537" s="59">
        <v>275.3125</v>
      </c>
      <c r="T6537" s="4">
        <f>R6537*S6537</f>
        <v>16518.75</v>
      </c>
      <c r="U6537" s="4">
        <f>T6537*1.12</f>
        <v>18501</v>
      </c>
      <c r="V6537" s="3"/>
      <c r="W6537" s="3">
        <v>2014</v>
      </c>
      <c r="X6537" s="3"/>
    </row>
    <row r="6538" spans="1:24" ht="114.75">
      <c r="A6538" s="3" t="s">
        <v>2713</v>
      </c>
      <c r="B6538" s="6" t="s">
        <v>361</v>
      </c>
      <c r="C6538" s="6" t="s">
        <v>6929</v>
      </c>
      <c r="D6538" s="6" t="s">
        <v>368</v>
      </c>
      <c r="E6538" s="6" t="s">
        <v>6930</v>
      </c>
      <c r="F6538" s="8" t="s">
        <v>6931</v>
      </c>
      <c r="G6538" s="57" t="s">
        <v>11449</v>
      </c>
      <c r="H6538" s="185">
        <v>0</v>
      </c>
      <c r="I6538" s="16">
        <v>470000000</v>
      </c>
      <c r="J6538" s="56" t="s">
        <v>229</v>
      </c>
      <c r="K6538" s="57" t="s">
        <v>641</v>
      </c>
      <c r="L6538" s="57" t="s">
        <v>364</v>
      </c>
      <c r="M6538" s="3" t="s">
        <v>230</v>
      </c>
      <c r="N6538" s="8" t="s">
        <v>8898</v>
      </c>
      <c r="O6538" s="6" t="s">
        <v>365</v>
      </c>
      <c r="P6538" s="58" t="s">
        <v>241</v>
      </c>
      <c r="Q6538" s="27" t="s">
        <v>234</v>
      </c>
      <c r="R6538" s="27">
        <v>60</v>
      </c>
      <c r="S6538" s="59">
        <v>501.83962500000001</v>
      </c>
      <c r="T6538" s="4">
        <v>0</v>
      </c>
      <c r="U6538" s="4">
        <f t="shared" si="301"/>
        <v>0</v>
      </c>
      <c r="V6538" s="3"/>
      <c r="W6538" s="3">
        <v>2014</v>
      </c>
      <c r="X6538" s="3" t="s">
        <v>11817</v>
      </c>
    </row>
    <row r="6539" spans="1:24" ht="114.75">
      <c r="A6539" s="3" t="s">
        <v>13815</v>
      </c>
      <c r="B6539" s="6" t="s">
        <v>361</v>
      </c>
      <c r="C6539" s="6" t="s">
        <v>6929</v>
      </c>
      <c r="D6539" s="6" t="s">
        <v>368</v>
      </c>
      <c r="E6539" s="6" t="s">
        <v>6930</v>
      </c>
      <c r="F6539" s="8" t="s">
        <v>6931</v>
      </c>
      <c r="G6539" s="57" t="s">
        <v>11450</v>
      </c>
      <c r="H6539" s="185">
        <v>0</v>
      </c>
      <c r="I6539" s="16">
        <v>470000000</v>
      </c>
      <c r="J6539" s="56" t="s">
        <v>229</v>
      </c>
      <c r="K6539" s="57" t="s">
        <v>642</v>
      </c>
      <c r="L6539" s="12" t="s">
        <v>404</v>
      </c>
      <c r="M6539" s="3" t="s">
        <v>230</v>
      </c>
      <c r="N6539" s="8" t="s">
        <v>8898</v>
      </c>
      <c r="O6539" s="6" t="s">
        <v>365</v>
      </c>
      <c r="P6539" s="58" t="s">
        <v>241</v>
      </c>
      <c r="Q6539" s="27" t="s">
        <v>234</v>
      </c>
      <c r="R6539" s="27">
        <v>60</v>
      </c>
      <c r="S6539" s="59">
        <v>501.83962500000001</v>
      </c>
      <c r="T6539" s="4">
        <v>0</v>
      </c>
      <c r="U6539" s="4">
        <f>T6539*1.12</f>
        <v>0</v>
      </c>
      <c r="V6539" s="3"/>
      <c r="W6539" s="3">
        <v>2014</v>
      </c>
      <c r="X6539" s="3" t="s">
        <v>14785</v>
      </c>
    </row>
    <row r="6540" spans="1:24" ht="114.75">
      <c r="A6540" s="3" t="s">
        <v>17096</v>
      </c>
      <c r="B6540" s="6" t="s">
        <v>361</v>
      </c>
      <c r="C6540" s="6" t="s">
        <v>6929</v>
      </c>
      <c r="D6540" s="6" t="s">
        <v>368</v>
      </c>
      <c r="E6540" s="6" t="s">
        <v>6930</v>
      </c>
      <c r="F6540" s="8" t="s">
        <v>6931</v>
      </c>
      <c r="G6540" s="3" t="s">
        <v>11450</v>
      </c>
      <c r="H6540" s="185">
        <v>0</v>
      </c>
      <c r="I6540" s="16">
        <v>470000000</v>
      </c>
      <c r="J6540" s="56" t="s">
        <v>229</v>
      </c>
      <c r="K6540" s="57" t="s">
        <v>8950</v>
      </c>
      <c r="L6540" s="12" t="s">
        <v>404</v>
      </c>
      <c r="M6540" s="3" t="s">
        <v>230</v>
      </c>
      <c r="N6540" s="8" t="s">
        <v>8898</v>
      </c>
      <c r="O6540" s="6" t="s">
        <v>365</v>
      </c>
      <c r="P6540" s="58" t="s">
        <v>241</v>
      </c>
      <c r="Q6540" s="27" t="s">
        <v>234</v>
      </c>
      <c r="R6540" s="27">
        <v>60</v>
      </c>
      <c r="S6540" s="59">
        <v>602.20754999999997</v>
      </c>
      <c r="T6540" s="4">
        <v>0</v>
      </c>
      <c r="U6540" s="4">
        <f>T6540*1.12</f>
        <v>0</v>
      </c>
      <c r="V6540" s="3"/>
      <c r="W6540" s="3">
        <v>2014</v>
      </c>
      <c r="X6540" s="3" t="s">
        <v>12076</v>
      </c>
    </row>
    <row r="6541" spans="1:24" ht="114.75">
      <c r="A6541" s="3" t="s">
        <v>2714</v>
      </c>
      <c r="B6541" s="6" t="s">
        <v>361</v>
      </c>
      <c r="C6541" s="6" t="s">
        <v>7366</v>
      </c>
      <c r="D6541" s="6" t="s">
        <v>368</v>
      </c>
      <c r="E6541" s="6" t="s">
        <v>11589</v>
      </c>
      <c r="F6541" s="8" t="s">
        <v>6932</v>
      </c>
      <c r="G6541" s="57" t="s">
        <v>11449</v>
      </c>
      <c r="H6541" s="185">
        <v>0</v>
      </c>
      <c r="I6541" s="16">
        <v>470000000</v>
      </c>
      <c r="J6541" s="56" t="s">
        <v>229</v>
      </c>
      <c r="K6541" s="57" t="s">
        <v>641</v>
      </c>
      <c r="L6541" s="57" t="s">
        <v>364</v>
      </c>
      <c r="M6541" s="3" t="s">
        <v>230</v>
      </c>
      <c r="N6541" s="8" t="s">
        <v>8898</v>
      </c>
      <c r="O6541" s="6" t="s">
        <v>365</v>
      </c>
      <c r="P6541" s="58" t="s">
        <v>241</v>
      </c>
      <c r="Q6541" s="27" t="s">
        <v>234</v>
      </c>
      <c r="R6541" s="29">
        <v>40</v>
      </c>
      <c r="S6541" s="59">
        <v>275.3125</v>
      </c>
      <c r="T6541" s="4">
        <v>0</v>
      </c>
      <c r="U6541" s="4">
        <f t="shared" si="301"/>
        <v>0</v>
      </c>
      <c r="V6541" s="3"/>
      <c r="W6541" s="3">
        <v>2014</v>
      </c>
      <c r="X6541" s="3" t="s">
        <v>11817</v>
      </c>
    </row>
    <row r="6542" spans="1:24" ht="114.75">
      <c r="A6542" s="3" t="s">
        <v>13816</v>
      </c>
      <c r="B6542" s="6" t="s">
        <v>361</v>
      </c>
      <c r="C6542" s="6" t="s">
        <v>7366</v>
      </c>
      <c r="D6542" s="6" t="s">
        <v>368</v>
      </c>
      <c r="E6542" s="6" t="s">
        <v>11589</v>
      </c>
      <c r="F6542" s="8" t="s">
        <v>6932</v>
      </c>
      <c r="G6542" s="57" t="s">
        <v>11450</v>
      </c>
      <c r="H6542" s="185">
        <v>0</v>
      </c>
      <c r="I6542" s="16">
        <v>470000000</v>
      </c>
      <c r="J6542" s="56" t="s">
        <v>229</v>
      </c>
      <c r="K6542" s="57" t="s">
        <v>642</v>
      </c>
      <c r="L6542" s="12" t="s">
        <v>404</v>
      </c>
      <c r="M6542" s="3" t="s">
        <v>230</v>
      </c>
      <c r="N6542" s="8" t="s">
        <v>8898</v>
      </c>
      <c r="O6542" s="6" t="s">
        <v>365</v>
      </c>
      <c r="P6542" s="58" t="s">
        <v>241</v>
      </c>
      <c r="Q6542" s="27" t="s">
        <v>234</v>
      </c>
      <c r="R6542" s="29">
        <v>40</v>
      </c>
      <c r="S6542" s="59">
        <v>275.3125</v>
      </c>
      <c r="T6542" s="4">
        <f>R6542*S6542</f>
        <v>11012.5</v>
      </c>
      <c r="U6542" s="4">
        <f>T6542*1.12</f>
        <v>12334.000000000002</v>
      </c>
      <c r="V6542" s="3"/>
      <c r="W6542" s="3">
        <v>2014</v>
      </c>
      <c r="X6542" s="3"/>
    </row>
    <row r="6543" spans="1:24" ht="114.75">
      <c r="A6543" s="3" t="s">
        <v>2715</v>
      </c>
      <c r="B6543" s="6" t="s">
        <v>361</v>
      </c>
      <c r="C6543" s="6" t="s">
        <v>6933</v>
      </c>
      <c r="D6543" s="6" t="s">
        <v>368</v>
      </c>
      <c r="E6543" s="6" t="s">
        <v>6934</v>
      </c>
      <c r="F6543" s="8" t="s">
        <v>6935</v>
      </c>
      <c r="G6543" s="57" t="s">
        <v>11449</v>
      </c>
      <c r="H6543" s="185">
        <v>0</v>
      </c>
      <c r="I6543" s="16">
        <v>470000000</v>
      </c>
      <c r="J6543" s="56" t="s">
        <v>229</v>
      </c>
      <c r="K6543" s="57" t="s">
        <v>641</v>
      </c>
      <c r="L6543" s="57" t="s">
        <v>364</v>
      </c>
      <c r="M6543" s="3" t="s">
        <v>230</v>
      </c>
      <c r="N6543" s="8" t="s">
        <v>8898</v>
      </c>
      <c r="O6543" s="6" t="s">
        <v>365</v>
      </c>
      <c r="P6543" s="58" t="s">
        <v>241</v>
      </c>
      <c r="Q6543" s="27" t="s">
        <v>234</v>
      </c>
      <c r="R6543" s="27">
        <v>40</v>
      </c>
      <c r="S6543" s="59">
        <v>296.56</v>
      </c>
      <c r="T6543" s="4">
        <v>0</v>
      </c>
      <c r="U6543" s="4">
        <f t="shared" si="301"/>
        <v>0</v>
      </c>
      <c r="V6543" s="3"/>
      <c r="W6543" s="3">
        <v>2014</v>
      </c>
      <c r="X6543" s="3" t="s">
        <v>11817</v>
      </c>
    </row>
    <row r="6544" spans="1:24" ht="114.75">
      <c r="A6544" s="3" t="s">
        <v>13817</v>
      </c>
      <c r="B6544" s="6" t="s">
        <v>361</v>
      </c>
      <c r="C6544" s="6" t="s">
        <v>6933</v>
      </c>
      <c r="D6544" s="6" t="s">
        <v>368</v>
      </c>
      <c r="E6544" s="6" t="s">
        <v>6934</v>
      </c>
      <c r="F6544" s="8" t="s">
        <v>6935</v>
      </c>
      <c r="G6544" s="57" t="s">
        <v>11450</v>
      </c>
      <c r="H6544" s="185">
        <v>0</v>
      </c>
      <c r="I6544" s="16">
        <v>470000000</v>
      </c>
      <c r="J6544" s="56" t="s">
        <v>229</v>
      </c>
      <c r="K6544" s="57" t="s">
        <v>642</v>
      </c>
      <c r="L6544" s="12" t="s">
        <v>404</v>
      </c>
      <c r="M6544" s="3" t="s">
        <v>230</v>
      </c>
      <c r="N6544" s="8" t="s">
        <v>8898</v>
      </c>
      <c r="O6544" s="6" t="s">
        <v>365</v>
      </c>
      <c r="P6544" s="58" t="s">
        <v>241</v>
      </c>
      <c r="Q6544" s="27" t="s">
        <v>234</v>
      </c>
      <c r="R6544" s="27">
        <v>40</v>
      </c>
      <c r="S6544" s="59">
        <v>296.56</v>
      </c>
      <c r="T6544" s="4">
        <f>R6544*S6544</f>
        <v>11862.4</v>
      </c>
      <c r="U6544" s="4">
        <f>T6544*1.12</f>
        <v>13285.888000000001</v>
      </c>
      <c r="V6544" s="3"/>
      <c r="W6544" s="3">
        <v>2014</v>
      </c>
      <c r="X6544" s="3"/>
    </row>
    <row r="6545" spans="1:24" ht="114.75">
      <c r="A6545" s="3" t="s">
        <v>2716</v>
      </c>
      <c r="B6545" s="6" t="s">
        <v>361</v>
      </c>
      <c r="C6545" s="6" t="s">
        <v>7367</v>
      </c>
      <c r="D6545" s="6" t="s">
        <v>368</v>
      </c>
      <c r="E6545" s="6" t="s">
        <v>11590</v>
      </c>
      <c r="F6545" s="8" t="s">
        <v>6936</v>
      </c>
      <c r="G6545" s="57" t="s">
        <v>11449</v>
      </c>
      <c r="H6545" s="185">
        <v>0</v>
      </c>
      <c r="I6545" s="16">
        <v>470000000</v>
      </c>
      <c r="J6545" s="56" t="s">
        <v>229</v>
      </c>
      <c r="K6545" s="57" t="s">
        <v>641</v>
      </c>
      <c r="L6545" s="57" t="s">
        <v>364</v>
      </c>
      <c r="M6545" s="3" t="s">
        <v>230</v>
      </c>
      <c r="N6545" s="8" t="s">
        <v>8898</v>
      </c>
      <c r="O6545" s="6" t="s">
        <v>365</v>
      </c>
      <c r="P6545" s="58" t="s">
        <v>241</v>
      </c>
      <c r="Q6545" s="27" t="s">
        <v>234</v>
      </c>
      <c r="R6545" s="29">
        <v>40</v>
      </c>
      <c r="S6545" s="59">
        <v>3527.06</v>
      </c>
      <c r="T6545" s="4">
        <v>0</v>
      </c>
      <c r="U6545" s="4">
        <f t="shared" si="301"/>
        <v>0</v>
      </c>
      <c r="V6545" s="3"/>
      <c r="W6545" s="3">
        <v>2014</v>
      </c>
      <c r="X6545" s="3" t="s">
        <v>11817</v>
      </c>
    </row>
    <row r="6546" spans="1:24" ht="114.75">
      <c r="A6546" s="3" t="s">
        <v>13818</v>
      </c>
      <c r="B6546" s="6" t="s">
        <v>361</v>
      </c>
      <c r="C6546" s="6" t="s">
        <v>7367</v>
      </c>
      <c r="D6546" s="6" t="s">
        <v>368</v>
      </c>
      <c r="E6546" s="6" t="s">
        <v>11590</v>
      </c>
      <c r="F6546" s="8" t="s">
        <v>6936</v>
      </c>
      <c r="G6546" s="57" t="s">
        <v>11450</v>
      </c>
      <c r="H6546" s="185">
        <v>0</v>
      </c>
      <c r="I6546" s="16">
        <v>470000000</v>
      </c>
      <c r="J6546" s="56" t="s">
        <v>229</v>
      </c>
      <c r="K6546" s="57" t="s">
        <v>642</v>
      </c>
      <c r="L6546" s="12" t="s">
        <v>404</v>
      </c>
      <c r="M6546" s="3" t="s">
        <v>230</v>
      </c>
      <c r="N6546" s="8" t="s">
        <v>8898</v>
      </c>
      <c r="O6546" s="6" t="s">
        <v>365</v>
      </c>
      <c r="P6546" s="58" t="s">
        <v>241</v>
      </c>
      <c r="Q6546" s="27" t="s">
        <v>234</v>
      </c>
      <c r="R6546" s="29">
        <v>40</v>
      </c>
      <c r="S6546" s="59">
        <v>3527.06</v>
      </c>
      <c r="T6546" s="4">
        <f>R6546*S6546</f>
        <v>141082.4</v>
      </c>
      <c r="U6546" s="4">
        <f>T6546*1.12</f>
        <v>158012.288</v>
      </c>
      <c r="V6546" s="3"/>
      <c r="W6546" s="3">
        <v>2014</v>
      </c>
      <c r="X6546" s="3"/>
    </row>
    <row r="6547" spans="1:24" ht="114.75">
      <c r="A6547" s="3" t="s">
        <v>2717</v>
      </c>
      <c r="B6547" s="6" t="s">
        <v>361</v>
      </c>
      <c r="C6547" s="6" t="s">
        <v>6937</v>
      </c>
      <c r="D6547" s="6" t="s">
        <v>368</v>
      </c>
      <c r="E6547" s="6" t="s">
        <v>6938</v>
      </c>
      <c r="F6547" s="8" t="s">
        <v>6939</v>
      </c>
      <c r="G6547" s="57" t="s">
        <v>11449</v>
      </c>
      <c r="H6547" s="185">
        <v>0</v>
      </c>
      <c r="I6547" s="16">
        <v>470000000</v>
      </c>
      <c r="J6547" s="56" t="s">
        <v>229</v>
      </c>
      <c r="K6547" s="57" t="s">
        <v>641</v>
      </c>
      <c r="L6547" s="57" t="s">
        <v>364</v>
      </c>
      <c r="M6547" s="3" t="s">
        <v>230</v>
      </c>
      <c r="N6547" s="8" t="s">
        <v>8898</v>
      </c>
      <c r="O6547" s="6" t="s">
        <v>365</v>
      </c>
      <c r="P6547" s="58" t="s">
        <v>241</v>
      </c>
      <c r="Q6547" s="27" t="s">
        <v>234</v>
      </c>
      <c r="R6547" s="29">
        <v>40</v>
      </c>
      <c r="S6547" s="59">
        <v>607.06406249999998</v>
      </c>
      <c r="T6547" s="4">
        <v>0</v>
      </c>
      <c r="U6547" s="4">
        <f t="shared" si="301"/>
        <v>0</v>
      </c>
      <c r="V6547" s="3"/>
      <c r="W6547" s="3">
        <v>2014</v>
      </c>
      <c r="X6547" s="3" t="s">
        <v>11817</v>
      </c>
    </row>
    <row r="6548" spans="1:24" ht="114.75">
      <c r="A6548" s="3" t="s">
        <v>13819</v>
      </c>
      <c r="B6548" s="6" t="s">
        <v>361</v>
      </c>
      <c r="C6548" s="6" t="s">
        <v>6937</v>
      </c>
      <c r="D6548" s="6" t="s">
        <v>368</v>
      </c>
      <c r="E6548" s="6" t="s">
        <v>6938</v>
      </c>
      <c r="F6548" s="8" t="s">
        <v>6939</v>
      </c>
      <c r="G6548" s="57" t="s">
        <v>11450</v>
      </c>
      <c r="H6548" s="185">
        <v>0</v>
      </c>
      <c r="I6548" s="16">
        <v>470000000</v>
      </c>
      <c r="J6548" s="56" t="s">
        <v>229</v>
      </c>
      <c r="K6548" s="57" t="s">
        <v>642</v>
      </c>
      <c r="L6548" s="12" t="s">
        <v>404</v>
      </c>
      <c r="M6548" s="3" t="s">
        <v>230</v>
      </c>
      <c r="N6548" s="8" t="s">
        <v>8898</v>
      </c>
      <c r="O6548" s="6" t="s">
        <v>365</v>
      </c>
      <c r="P6548" s="58" t="s">
        <v>241</v>
      </c>
      <c r="Q6548" s="27" t="s">
        <v>234</v>
      </c>
      <c r="R6548" s="29">
        <v>40</v>
      </c>
      <c r="S6548" s="59">
        <v>607.06406249999998</v>
      </c>
      <c r="T6548" s="4">
        <f>R6548*S6548</f>
        <v>24282.5625</v>
      </c>
      <c r="U6548" s="4">
        <f>T6548*1.12</f>
        <v>27196.47</v>
      </c>
      <c r="V6548" s="3"/>
      <c r="W6548" s="3">
        <v>2014</v>
      </c>
      <c r="X6548" s="3"/>
    </row>
    <row r="6549" spans="1:24" ht="114.75">
      <c r="A6549" s="3" t="s">
        <v>2718</v>
      </c>
      <c r="B6549" s="6" t="s">
        <v>361</v>
      </c>
      <c r="C6549" s="6" t="s">
        <v>6940</v>
      </c>
      <c r="D6549" s="6" t="s">
        <v>368</v>
      </c>
      <c r="E6549" s="6" t="s">
        <v>6941</v>
      </c>
      <c r="F6549" s="8" t="s">
        <v>6942</v>
      </c>
      <c r="G6549" s="57" t="s">
        <v>11449</v>
      </c>
      <c r="H6549" s="185">
        <v>0</v>
      </c>
      <c r="I6549" s="16">
        <v>470000000</v>
      </c>
      <c r="J6549" s="56" t="s">
        <v>229</v>
      </c>
      <c r="K6549" s="57" t="s">
        <v>641</v>
      </c>
      <c r="L6549" s="57" t="s">
        <v>364</v>
      </c>
      <c r="M6549" s="3" t="s">
        <v>230</v>
      </c>
      <c r="N6549" s="8" t="s">
        <v>8898</v>
      </c>
      <c r="O6549" s="6" t="s">
        <v>365</v>
      </c>
      <c r="P6549" s="58" t="s">
        <v>241</v>
      </c>
      <c r="Q6549" s="27" t="s">
        <v>234</v>
      </c>
      <c r="R6549" s="29">
        <v>20</v>
      </c>
      <c r="S6549" s="59">
        <v>424.8</v>
      </c>
      <c r="T6549" s="4">
        <v>0</v>
      </c>
      <c r="U6549" s="4">
        <f t="shared" si="301"/>
        <v>0</v>
      </c>
      <c r="V6549" s="3"/>
      <c r="W6549" s="3">
        <v>2014</v>
      </c>
      <c r="X6549" s="3" t="s">
        <v>11817</v>
      </c>
    </row>
    <row r="6550" spans="1:24" ht="114.75">
      <c r="A6550" s="3" t="s">
        <v>13820</v>
      </c>
      <c r="B6550" s="6" t="s">
        <v>361</v>
      </c>
      <c r="C6550" s="6" t="s">
        <v>6940</v>
      </c>
      <c r="D6550" s="6" t="s">
        <v>368</v>
      </c>
      <c r="E6550" s="6" t="s">
        <v>6941</v>
      </c>
      <c r="F6550" s="8" t="s">
        <v>6942</v>
      </c>
      <c r="G6550" s="57" t="s">
        <v>11450</v>
      </c>
      <c r="H6550" s="185">
        <v>0</v>
      </c>
      <c r="I6550" s="16">
        <v>470000000</v>
      </c>
      <c r="J6550" s="56" t="s">
        <v>229</v>
      </c>
      <c r="K6550" s="57" t="s">
        <v>642</v>
      </c>
      <c r="L6550" s="12" t="s">
        <v>404</v>
      </c>
      <c r="M6550" s="3" t="s">
        <v>230</v>
      </c>
      <c r="N6550" s="8" t="s">
        <v>8898</v>
      </c>
      <c r="O6550" s="6" t="s">
        <v>365</v>
      </c>
      <c r="P6550" s="58" t="s">
        <v>241</v>
      </c>
      <c r="Q6550" s="27" t="s">
        <v>234</v>
      </c>
      <c r="R6550" s="29">
        <v>20</v>
      </c>
      <c r="S6550" s="59">
        <v>424.8</v>
      </c>
      <c r="T6550" s="4">
        <f>R6550*S6550</f>
        <v>8496</v>
      </c>
      <c r="U6550" s="4">
        <f>T6550*1.12</f>
        <v>9515.52</v>
      </c>
      <c r="V6550" s="3"/>
      <c r="W6550" s="3">
        <v>2014</v>
      </c>
      <c r="X6550" s="3"/>
    </row>
    <row r="6551" spans="1:24" ht="114.75">
      <c r="A6551" s="3" t="s">
        <v>2719</v>
      </c>
      <c r="B6551" s="6" t="s">
        <v>361</v>
      </c>
      <c r="C6551" s="6" t="s">
        <v>6943</v>
      </c>
      <c r="D6551" s="6" t="s">
        <v>368</v>
      </c>
      <c r="E6551" s="6" t="s">
        <v>6944</v>
      </c>
      <c r="F6551" s="8" t="s">
        <v>6945</v>
      </c>
      <c r="G6551" s="57" t="s">
        <v>11449</v>
      </c>
      <c r="H6551" s="185">
        <v>0</v>
      </c>
      <c r="I6551" s="16">
        <v>470000000</v>
      </c>
      <c r="J6551" s="56" t="s">
        <v>229</v>
      </c>
      <c r="K6551" s="57" t="s">
        <v>641</v>
      </c>
      <c r="L6551" s="57" t="s">
        <v>364</v>
      </c>
      <c r="M6551" s="3" t="s">
        <v>230</v>
      </c>
      <c r="N6551" s="8" t="s">
        <v>8898</v>
      </c>
      <c r="O6551" s="6" t="s">
        <v>365</v>
      </c>
      <c r="P6551" s="58" t="s">
        <v>241</v>
      </c>
      <c r="Q6551" s="27" t="s">
        <v>234</v>
      </c>
      <c r="R6551" s="27">
        <v>20</v>
      </c>
      <c r="S6551" s="59">
        <v>502.8</v>
      </c>
      <c r="T6551" s="4">
        <v>0</v>
      </c>
      <c r="U6551" s="4">
        <f t="shared" si="301"/>
        <v>0</v>
      </c>
      <c r="V6551" s="3"/>
      <c r="W6551" s="3">
        <v>2014</v>
      </c>
      <c r="X6551" s="3" t="s">
        <v>11817</v>
      </c>
    </row>
    <row r="6552" spans="1:24" ht="114.75">
      <c r="A6552" s="3" t="s">
        <v>13821</v>
      </c>
      <c r="B6552" s="6" t="s">
        <v>361</v>
      </c>
      <c r="C6552" s="6" t="s">
        <v>6943</v>
      </c>
      <c r="D6552" s="6" t="s">
        <v>368</v>
      </c>
      <c r="E6552" s="6" t="s">
        <v>6944</v>
      </c>
      <c r="F6552" s="8" t="s">
        <v>6945</v>
      </c>
      <c r="G6552" s="57" t="s">
        <v>11450</v>
      </c>
      <c r="H6552" s="185">
        <v>0</v>
      </c>
      <c r="I6552" s="16">
        <v>470000000</v>
      </c>
      <c r="J6552" s="56" t="s">
        <v>229</v>
      </c>
      <c r="K6552" s="57" t="s">
        <v>642</v>
      </c>
      <c r="L6552" s="12" t="s">
        <v>404</v>
      </c>
      <c r="M6552" s="3" t="s">
        <v>230</v>
      </c>
      <c r="N6552" s="8" t="s">
        <v>8898</v>
      </c>
      <c r="O6552" s="6" t="s">
        <v>365</v>
      </c>
      <c r="P6552" s="58" t="s">
        <v>241</v>
      </c>
      <c r="Q6552" s="27" t="s">
        <v>234</v>
      </c>
      <c r="R6552" s="27">
        <v>20</v>
      </c>
      <c r="S6552" s="59">
        <v>502.8</v>
      </c>
      <c r="T6552" s="4">
        <f>R6552*S6552</f>
        <v>10056</v>
      </c>
      <c r="U6552" s="4">
        <f>T6552*1.12</f>
        <v>11262.720000000001</v>
      </c>
      <c r="V6552" s="3"/>
      <c r="W6552" s="3">
        <v>2014</v>
      </c>
      <c r="X6552" s="3"/>
    </row>
    <row r="6553" spans="1:24" ht="114.75">
      <c r="A6553" s="3" t="s">
        <v>2720</v>
      </c>
      <c r="B6553" s="6" t="s">
        <v>361</v>
      </c>
      <c r="C6553" s="6" t="s">
        <v>6946</v>
      </c>
      <c r="D6553" s="6" t="s">
        <v>368</v>
      </c>
      <c r="E6553" s="6" t="s">
        <v>11591</v>
      </c>
      <c r="F6553" s="9" t="s">
        <v>6947</v>
      </c>
      <c r="G6553" s="57" t="s">
        <v>11449</v>
      </c>
      <c r="H6553" s="185">
        <v>0</v>
      </c>
      <c r="I6553" s="16">
        <v>470000000</v>
      </c>
      <c r="J6553" s="56" t="s">
        <v>229</v>
      </c>
      <c r="K6553" s="57" t="s">
        <v>641</v>
      </c>
      <c r="L6553" s="57" t="s">
        <v>364</v>
      </c>
      <c r="M6553" s="3" t="s">
        <v>230</v>
      </c>
      <c r="N6553" s="8" t="s">
        <v>8898</v>
      </c>
      <c r="O6553" s="6" t="s">
        <v>365</v>
      </c>
      <c r="P6553" s="58" t="s">
        <v>241</v>
      </c>
      <c r="Q6553" s="27" t="s">
        <v>234</v>
      </c>
      <c r="R6553" s="31">
        <v>20</v>
      </c>
      <c r="S6553" s="59">
        <v>642</v>
      </c>
      <c r="T6553" s="4">
        <v>0</v>
      </c>
      <c r="U6553" s="4">
        <f t="shared" si="301"/>
        <v>0</v>
      </c>
      <c r="V6553" s="3"/>
      <c r="W6553" s="3">
        <v>2014</v>
      </c>
      <c r="X6553" s="3" t="s">
        <v>11817</v>
      </c>
    </row>
    <row r="6554" spans="1:24" ht="114.75">
      <c r="A6554" s="3" t="s">
        <v>13822</v>
      </c>
      <c r="B6554" s="6" t="s">
        <v>361</v>
      </c>
      <c r="C6554" s="6" t="s">
        <v>6946</v>
      </c>
      <c r="D6554" s="6" t="s">
        <v>368</v>
      </c>
      <c r="E6554" s="6" t="s">
        <v>11591</v>
      </c>
      <c r="F6554" s="9" t="s">
        <v>6947</v>
      </c>
      <c r="G6554" s="57" t="s">
        <v>11450</v>
      </c>
      <c r="H6554" s="185">
        <v>0</v>
      </c>
      <c r="I6554" s="16">
        <v>470000000</v>
      </c>
      <c r="J6554" s="56" t="s">
        <v>229</v>
      </c>
      <c r="K6554" s="57" t="s">
        <v>642</v>
      </c>
      <c r="L6554" s="12" t="s">
        <v>404</v>
      </c>
      <c r="M6554" s="3" t="s">
        <v>230</v>
      </c>
      <c r="N6554" s="8" t="s">
        <v>8898</v>
      </c>
      <c r="O6554" s="6" t="s">
        <v>365</v>
      </c>
      <c r="P6554" s="58" t="s">
        <v>241</v>
      </c>
      <c r="Q6554" s="27" t="s">
        <v>234</v>
      </c>
      <c r="R6554" s="31">
        <v>20</v>
      </c>
      <c r="S6554" s="59">
        <v>642</v>
      </c>
      <c r="T6554" s="4">
        <f>R6554*S6554</f>
        <v>12840</v>
      </c>
      <c r="U6554" s="4">
        <f>T6554*1.12</f>
        <v>14380.800000000001</v>
      </c>
      <c r="V6554" s="3"/>
      <c r="W6554" s="3">
        <v>2014</v>
      </c>
      <c r="X6554" s="3"/>
    </row>
    <row r="6555" spans="1:24" ht="114.75">
      <c r="A6555" s="3" t="s">
        <v>2721</v>
      </c>
      <c r="B6555" s="6" t="s">
        <v>361</v>
      </c>
      <c r="C6555" s="6" t="s">
        <v>4140</v>
      </c>
      <c r="D6555" s="6" t="s">
        <v>368</v>
      </c>
      <c r="E6555" s="6" t="s">
        <v>4141</v>
      </c>
      <c r="F6555" s="129" t="s">
        <v>6948</v>
      </c>
      <c r="G6555" s="57" t="s">
        <v>11449</v>
      </c>
      <c r="H6555" s="185">
        <v>0</v>
      </c>
      <c r="I6555" s="16">
        <v>470000000</v>
      </c>
      <c r="J6555" s="56" t="s">
        <v>229</v>
      </c>
      <c r="K6555" s="57" t="s">
        <v>641</v>
      </c>
      <c r="L6555" s="57" t="s">
        <v>364</v>
      </c>
      <c r="M6555" s="3" t="s">
        <v>230</v>
      </c>
      <c r="N6555" s="8" t="s">
        <v>8898</v>
      </c>
      <c r="O6555" s="6" t="s">
        <v>365</v>
      </c>
      <c r="P6555" s="58" t="s">
        <v>241</v>
      </c>
      <c r="Q6555" s="27" t="s">
        <v>234</v>
      </c>
      <c r="R6555" s="3">
        <v>20</v>
      </c>
      <c r="S6555" s="59">
        <v>717.6</v>
      </c>
      <c r="T6555" s="4">
        <v>0</v>
      </c>
      <c r="U6555" s="4">
        <f t="shared" si="301"/>
        <v>0</v>
      </c>
      <c r="V6555" s="3"/>
      <c r="W6555" s="3">
        <v>2014</v>
      </c>
      <c r="X6555" s="3" t="s">
        <v>11817</v>
      </c>
    </row>
    <row r="6556" spans="1:24" ht="114.75">
      <c r="A6556" s="3" t="s">
        <v>13823</v>
      </c>
      <c r="B6556" s="6" t="s">
        <v>361</v>
      </c>
      <c r="C6556" s="6" t="s">
        <v>4140</v>
      </c>
      <c r="D6556" s="6" t="s">
        <v>368</v>
      </c>
      <c r="E6556" s="6" t="s">
        <v>4141</v>
      </c>
      <c r="F6556" s="129" t="s">
        <v>6948</v>
      </c>
      <c r="G6556" s="57" t="s">
        <v>11450</v>
      </c>
      <c r="H6556" s="185">
        <v>0</v>
      </c>
      <c r="I6556" s="16">
        <v>470000000</v>
      </c>
      <c r="J6556" s="56" t="s">
        <v>229</v>
      </c>
      <c r="K6556" s="57" t="s">
        <v>642</v>
      </c>
      <c r="L6556" s="12" t="s">
        <v>404</v>
      </c>
      <c r="M6556" s="3" t="s">
        <v>230</v>
      </c>
      <c r="N6556" s="8" t="s">
        <v>8898</v>
      </c>
      <c r="O6556" s="6" t="s">
        <v>365</v>
      </c>
      <c r="P6556" s="58" t="s">
        <v>241</v>
      </c>
      <c r="Q6556" s="27" t="s">
        <v>234</v>
      </c>
      <c r="R6556" s="3">
        <v>20</v>
      </c>
      <c r="S6556" s="59">
        <v>717.6</v>
      </c>
      <c r="T6556" s="4">
        <f>R6556*S6556</f>
        <v>14352</v>
      </c>
      <c r="U6556" s="4">
        <f>T6556*1.12</f>
        <v>16074.240000000002</v>
      </c>
      <c r="V6556" s="3"/>
      <c r="W6556" s="3">
        <v>2014</v>
      </c>
      <c r="X6556" s="3"/>
    </row>
    <row r="6557" spans="1:24" ht="114.75">
      <c r="A6557" s="3" t="s">
        <v>2722</v>
      </c>
      <c r="B6557" s="6" t="s">
        <v>361</v>
      </c>
      <c r="C6557" s="6" t="s">
        <v>6051</v>
      </c>
      <c r="D6557" s="6" t="s">
        <v>5416</v>
      </c>
      <c r="E6557" s="6" t="s">
        <v>5998</v>
      </c>
      <c r="F6557" s="6" t="s">
        <v>6949</v>
      </c>
      <c r="G6557" s="57" t="s">
        <v>11449</v>
      </c>
      <c r="H6557" s="185">
        <v>0</v>
      </c>
      <c r="I6557" s="16">
        <v>470000000</v>
      </c>
      <c r="J6557" s="56" t="s">
        <v>229</v>
      </c>
      <c r="K6557" s="57" t="s">
        <v>641</v>
      </c>
      <c r="L6557" s="57" t="s">
        <v>364</v>
      </c>
      <c r="M6557" s="3" t="s">
        <v>230</v>
      </c>
      <c r="N6557" s="8" t="s">
        <v>9479</v>
      </c>
      <c r="O6557" s="6" t="s">
        <v>365</v>
      </c>
      <c r="P6557" s="58" t="s">
        <v>241</v>
      </c>
      <c r="Q6557" s="27" t="s">
        <v>234</v>
      </c>
      <c r="R6557" s="27">
        <v>12</v>
      </c>
      <c r="S6557" s="59">
        <v>3300</v>
      </c>
      <c r="T6557" s="4">
        <v>0</v>
      </c>
      <c r="U6557" s="4">
        <f t="shared" ref="U6557:U6688" si="302">T6557*1.12</f>
        <v>0</v>
      </c>
      <c r="V6557" s="3"/>
      <c r="W6557" s="3">
        <v>2014</v>
      </c>
      <c r="X6557" s="3">
        <v>11.12</v>
      </c>
    </row>
    <row r="6558" spans="1:24" ht="114.75">
      <c r="A6558" s="3" t="s">
        <v>13824</v>
      </c>
      <c r="B6558" s="6" t="s">
        <v>361</v>
      </c>
      <c r="C6558" s="6" t="s">
        <v>6051</v>
      </c>
      <c r="D6558" s="6" t="s">
        <v>5416</v>
      </c>
      <c r="E6558" s="6" t="s">
        <v>5998</v>
      </c>
      <c r="F6558" s="6" t="s">
        <v>6949</v>
      </c>
      <c r="G6558" s="57" t="s">
        <v>11449</v>
      </c>
      <c r="H6558" s="185">
        <v>0</v>
      </c>
      <c r="I6558" s="16">
        <v>470000000</v>
      </c>
      <c r="J6558" s="56" t="s">
        <v>229</v>
      </c>
      <c r="K6558" s="57" t="s">
        <v>642</v>
      </c>
      <c r="L6558" s="12" t="s">
        <v>404</v>
      </c>
      <c r="M6558" s="3" t="s">
        <v>230</v>
      </c>
      <c r="N6558" s="8" t="s">
        <v>9479</v>
      </c>
      <c r="O6558" s="6" t="s">
        <v>365</v>
      </c>
      <c r="P6558" s="58" t="s">
        <v>241</v>
      </c>
      <c r="Q6558" s="27" t="s">
        <v>234</v>
      </c>
      <c r="R6558" s="27">
        <v>12</v>
      </c>
      <c r="S6558" s="59">
        <v>3300</v>
      </c>
      <c r="T6558" s="4">
        <f>R6558*S6558</f>
        <v>39600</v>
      </c>
      <c r="U6558" s="4">
        <f>T6558*1.12</f>
        <v>44352.000000000007</v>
      </c>
      <c r="V6558" s="3"/>
      <c r="W6558" s="3">
        <v>2014</v>
      </c>
      <c r="X6558" s="3"/>
    </row>
    <row r="6559" spans="1:24" ht="114.75">
      <c r="A6559" s="3" t="s">
        <v>2723</v>
      </c>
      <c r="B6559" s="6" t="s">
        <v>361</v>
      </c>
      <c r="C6559" s="6" t="s">
        <v>6051</v>
      </c>
      <c r="D6559" s="6" t="s">
        <v>5416</v>
      </c>
      <c r="E6559" s="6" t="s">
        <v>5998</v>
      </c>
      <c r="F6559" s="6" t="s">
        <v>6950</v>
      </c>
      <c r="G6559" s="57" t="s">
        <v>11449</v>
      </c>
      <c r="H6559" s="185">
        <v>0</v>
      </c>
      <c r="I6559" s="16">
        <v>470000000</v>
      </c>
      <c r="J6559" s="56" t="s">
        <v>229</v>
      </c>
      <c r="K6559" s="57" t="s">
        <v>641</v>
      </c>
      <c r="L6559" s="57" t="s">
        <v>364</v>
      </c>
      <c r="M6559" s="3" t="s">
        <v>230</v>
      </c>
      <c r="N6559" s="8" t="s">
        <v>9479</v>
      </c>
      <c r="O6559" s="6" t="s">
        <v>365</v>
      </c>
      <c r="P6559" s="58" t="s">
        <v>241</v>
      </c>
      <c r="Q6559" s="27" t="s">
        <v>234</v>
      </c>
      <c r="R6559" s="27">
        <v>12</v>
      </c>
      <c r="S6559" s="59">
        <v>3300</v>
      </c>
      <c r="T6559" s="4">
        <v>0</v>
      </c>
      <c r="U6559" s="4">
        <f t="shared" si="302"/>
        <v>0</v>
      </c>
      <c r="V6559" s="3"/>
      <c r="W6559" s="3">
        <v>2014</v>
      </c>
      <c r="X6559" s="3">
        <v>11.12</v>
      </c>
    </row>
    <row r="6560" spans="1:24" ht="114.75">
      <c r="A6560" s="3" t="s">
        <v>13825</v>
      </c>
      <c r="B6560" s="6" t="s">
        <v>361</v>
      </c>
      <c r="C6560" s="6" t="s">
        <v>6051</v>
      </c>
      <c r="D6560" s="6" t="s">
        <v>5416</v>
      </c>
      <c r="E6560" s="6" t="s">
        <v>5998</v>
      </c>
      <c r="F6560" s="6" t="s">
        <v>6950</v>
      </c>
      <c r="G6560" s="57" t="s">
        <v>11449</v>
      </c>
      <c r="H6560" s="185">
        <v>0</v>
      </c>
      <c r="I6560" s="16">
        <v>470000000</v>
      </c>
      <c r="J6560" s="56" t="s">
        <v>229</v>
      </c>
      <c r="K6560" s="57" t="s">
        <v>642</v>
      </c>
      <c r="L6560" s="12" t="s">
        <v>404</v>
      </c>
      <c r="M6560" s="3" t="s">
        <v>230</v>
      </c>
      <c r="N6560" s="8" t="s">
        <v>9479</v>
      </c>
      <c r="O6560" s="6" t="s">
        <v>365</v>
      </c>
      <c r="P6560" s="58" t="s">
        <v>241</v>
      </c>
      <c r="Q6560" s="27" t="s">
        <v>234</v>
      </c>
      <c r="R6560" s="27">
        <v>12</v>
      </c>
      <c r="S6560" s="59">
        <v>3300</v>
      </c>
      <c r="T6560" s="4">
        <f>R6560*S6560</f>
        <v>39600</v>
      </c>
      <c r="U6560" s="4">
        <f>T6560*1.12</f>
        <v>44352.000000000007</v>
      </c>
      <c r="V6560" s="3"/>
      <c r="W6560" s="3">
        <v>2014</v>
      </c>
      <c r="X6560" s="3"/>
    </row>
    <row r="6561" spans="1:24" ht="114.75">
      <c r="A6561" s="3" t="s">
        <v>2724</v>
      </c>
      <c r="B6561" s="6" t="s">
        <v>361</v>
      </c>
      <c r="C6561" s="6" t="s">
        <v>6951</v>
      </c>
      <c r="D6561" s="6" t="s">
        <v>5380</v>
      </c>
      <c r="E6561" s="6" t="s">
        <v>5998</v>
      </c>
      <c r="F6561" s="6" t="s">
        <v>6952</v>
      </c>
      <c r="G6561" s="57" t="s">
        <v>11449</v>
      </c>
      <c r="H6561" s="185">
        <v>0</v>
      </c>
      <c r="I6561" s="16">
        <v>470000000</v>
      </c>
      <c r="J6561" s="56" t="s">
        <v>229</v>
      </c>
      <c r="K6561" s="57" t="s">
        <v>641</v>
      </c>
      <c r="L6561" s="57" t="s">
        <v>364</v>
      </c>
      <c r="M6561" s="3" t="s">
        <v>230</v>
      </c>
      <c r="N6561" s="8" t="s">
        <v>9479</v>
      </c>
      <c r="O6561" s="6" t="s">
        <v>365</v>
      </c>
      <c r="P6561" s="58" t="s">
        <v>241</v>
      </c>
      <c r="Q6561" s="27" t="s">
        <v>234</v>
      </c>
      <c r="R6561" s="27">
        <v>6</v>
      </c>
      <c r="S6561" s="59">
        <v>2800</v>
      </c>
      <c r="T6561" s="4">
        <v>0</v>
      </c>
      <c r="U6561" s="4">
        <f t="shared" si="302"/>
        <v>0</v>
      </c>
      <c r="V6561" s="3"/>
      <c r="W6561" s="3">
        <v>2014</v>
      </c>
      <c r="X6561" s="3">
        <v>11.12</v>
      </c>
    </row>
    <row r="6562" spans="1:24" ht="114.75">
      <c r="A6562" s="3" t="s">
        <v>13826</v>
      </c>
      <c r="B6562" s="6" t="s">
        <v>361</v>
      </c>
      <c r="C6562" s="6" t="s">
        <v>6951</v>
      </c>
      <c r="D6562" s="6" t="s">
        <v>5380</v>
      </c>
      <c r="E6562" s="6" t="s">
        <v>5998</v>
      </c>
      <c r="F6562" s="6" t="s">
        <v>6952</v>
      </c>
      <c r="G6562" s="57" t="s">
        <v>11449</v>
      </c>
      <c r="H6562" s="185">
        <v>0</v>
      </c>
      <c r="I6562" s="16">
        <v>470000000</v>
      </c>
      <c r="J6562" s="56" t="s">
        <v>229</v>
      </c>
      <c r="K6562" s="57" t="s">
        <v>642</v>
      </c>
      <c r="L6562" s="12" t="s">
        <v>404</v>
      </c>
      <c r="M6562" s="3" t="s">
        <v>230</v>
      </c>
      <c r="N6562" s="8" t="s">
        <v>9479</v>
      </c>
      <c r="O6562" s="6" t="s">
        <v>365</v>
      </c>
      <c r="P6562" s="58" t="s">
        <v>241</v>
      </c>
      <c r="Q6562" s="27" t="s">
        <v>234</v>
      </c>
      <c r="R6562" s="27">
        <v>6</v>
      </c>
      <c r="S6562" s="59">
        <v>2800</v>
      </c>
      <c r="T6562" s="4">
        <f>R6562*S6562</f>
        <v>16800</v>
      </c>
      <c r="U6562" s="4">
        <f>T6562*1.12</f>
        <v>18816</v>
      </c>
      <c r="V6562" s="3"/>
      <c r="W6562" s="3">
        <v>2014</v>
      </c>
      <c r="X6562" s="3"/>
    </row>
    <row r="6563" spans="1:24" ht="114.75">
      <c r="A6563" s="3" t="s">
        <v>2725</v>
      </c>
      <c r="B6563" s="6" t="s">
        <v>361</v>
      </c>
      <c r="C6563" s="6" t="s">
        <v>6953</v>
      </c>
      <c r="D6563" s="6" t="s">
        <v>6954</v>
      </c>
      <c r="E6563" s="6" t="s">
        <v>5332</v>
      </c>
      <c r="F6563" s="6" t="s">
        <v>6955</v>
      </c>
      <c r="G6563" s="57" t="s">
        <v>11449</v>
      </c>
      <c r="H6563" s="185">
        <v>0</v>
      </c>
      <c r="I6563" s="16">
        <v>470000000</v>
      </c>
      <c r="J6563" s="56" t="s">
        <v>229</v>
      </c>
      <c r="K6563" s="57" t="s">
        <v>641</v>
      </c>
      <c r="L6563" s="57" t="s">
        <v>364</v>
      </c>
      <c r="M6563" s="3" t="s">
        <v>230</v>
      </c>
      <c r="N6563" s="8" t="s">
        <v>9479</v>
      </c>
      <c r="O6563" s="6" t="s">
        <v>365</v>
      </c>
      <c r="P6563" s="58" t="s">
        <v>241</v>
      </c>
      <c r="Q6563" s="27" t="s">
        <v>234</v>
      </c>
      <c r="R6563" s="27">
        <v>3</v>
      </c>
      <c r="S6563" s="59">
        <f>20240*1.07</f>
        <v>21656.800000000003</v>
      </c>
      <c r="T6563" s="4">
        <v>0</v>
      </c>
      <c r="U6563" s="4">
        <f t="shared" si="302"/>
        <v>0</v>
      </c>
      <c r="V6563" s="3"/>
      <c r="W6563" s="3">
        <v>2014</v>
      </c>
      <c r="X6563" s="3">
        <v>11.12</v>
      </c>
    </row>
    <row r="6564" spans="1:24" ht="114.75">
      <c r="A6564" s="3" t="s">
        <v>13827</v>
      </c>
      <c r="B6564" s="6" t="s">
        <v>361</v>
      </c>
      <c r="C6564" s="6" t="s">
        <v>6953</v>
      </c>
      <c r="D6564" s="6" t="s">
        <v>6954</v>
      </c>
      <c r="E6564" s="6" t="s">
        <v>5332</v>
      </c>
      <c r="F6564" s="6" t="s">
        <v>6955</v>
      </c>
      <c r="G6564" s="57" t="s">
        <v>11449</v>
      </c>
      <c r="H6564" s="185">
        <v>0</v>
      </c>
      <c r="I6564" s="16">
        <v>470000000</v>
      </c>
      <c r="J6564" s="56" t="s">
        <v>229</v>
      </c>
      <c r="K6564" s="57" t="s">
        <v>642</v>
      </c>
      <c r="L6564" s="12" t="s">
        <v>404</v>
      </c>
      <c r="M6564" s="3" t="s">
        <v>230</v>
      </c>
      <c r="N6564" s="8" t="s">
        <v>9479</v>
      </c>
      <c r="O6564" s="6" t="s">
        <v>365</v>
      </c>
      <c r="P6564" s="58" t="s">
        <v>241</v>
      </c>
      <c r="Q6564" s="27" t="s">
        <v>234</v>
      </c>
      <c r="R6564" s="27">
        <v>3</v>
      </c>
      <c r="S6564" s="59">
        <f>20240*1.07</f>
        <v>21656.800000000003</v>
      </c>
      <c r="T6564" s="4">
        <f>R6564*S6564</f>
        <v>64970.400000000009</v>
      </c>
      <c r="U6564" s="4">
        <f>T6564*1.12</f>
        <v>72766.848000000013</v>
      </c>
      <c r="V6564" s="3"/>
      <c r="W6564" s="3">
        <v>2014</v>
      </c>
      <c r="X6564" s="3"/>
    </row>
    <row r="6565" spans="1:24" ht="114.75">
      <c r="A6565" s="3" t="s">
        <v>2726</v>
      </c>
      <c r="B6565" s="6" t="s">
        <v>361</v>
      </c>
      <c r="C6565" s="6" t="s">
        <v>6956</v>
      </c>
      <c r="D6565" s="6" t="s">
        <v>6957</v>
      </c>
      <c r="E6565" s="6" t="s">
        <v>5998</v>
      </c>
      <c r="F6565" s="6" t="s">
        <v>6958</v>
      </c>
      <c r="G6565" s="57" t="s">
        <v>11449</v>
      </c>
      <c r="H6565" s="185">
        <v>0</v>
      </c>
      <c r="I6565" s="16">
        <v>470000000</v>
      </c>
      <c r="J6565" s="56" t="s">
        <v>229</v>
      </c>
      <c r="K6565" s="57" t="s">
        <v>641</v>
      </c>
      <c r="L6565" s="57" t="s">
        <v>364</v>
      </c>
      <c r="M6565" s="3" t="s">
        <v>230</v>
      </c>
      <c r="N6565" s="8" t="s">
        <v>9479</v>
      </c>
      <c r="O6565" s="6" t="s">
        <v>365</v>
      </c>
      <c r="P6565" s="58" t="s">
        <v>241</v>
      </c>
      <c r="Q6565" s="27" t="s">
        <v>234</v>
      </c>
      <c r="R6565" s="27">
        <v>6</v>
      </c>
      <c r="S6565" s="59">
        <v>18500</v>
      </c>
      <c r="T6565" s="4">
        <v>0</v>
      </c>
      <c r="U6565" s="4">
        <f t="shared" si="302"/>
        <v>0</v>
      </c>
      <c r="V6565" s="3"/>
      <c r="W6565" s="3">
        <v>2014</v>
      </c>
      <c r="X6565" s="3">
        <v>11.12</v>
      </c>
    </row>
    <row r="6566" spans="1:24" ht="114.75">
      <c r="A6566" s="3" t="s">
        <v>13828</v>
      </c>
      <c r="B6566" s="6" t="s">
        <v>361</v>
      </c>
      <c r="C6566" s="6" t="s">
        <v>6956</v>
      </c>
      <c r="D6566" s="6" t="s">
        <v>6957</v>
      </c>
      <c r="E6566" s="6" t="s">
        <v>5998</v>
      </c>
      <c r="F6566" s="6" t="s">
        <v>6958</v>
      </c>
      <c r="G6566" s="57" t="s">
        <v>11449</v>
      </c>
      <c r="H6566" s="185">
        <v>0</v>
      </c>
      <c r="I6566" s="16">
        <v>470000000</v>
      </c>
      <c r="J6566" s="56" t="s">
        <v>229</v>
      </c>
      <c r="K6566" s="57" t="s">
        <v>642</v>
      </c>
      <c r="L6566" s="12" t="s">
        <v>404</v>
      </c>
      <c r="M6566" s="3" t="s">
        <v>230</v>
      </c>
      <c r="N6566" s="8" t="s">
        <v>9479</v>
      </c>
      <c r="O6566" s="6" t="s">
        <v>365</v>
      </c>
      <c r="P6566" s="58" t="s">
        <v>241</v>
      </c>
      <c r="Q6566" s="27" t="s">
        <v>234</v>
      </c>
      <c r="R6566" s="27">
        <v>6</v>
      </c>
      <c r="S6566" s="59">
        <v>18500</v>
      </c>
      <c r="T6566" s="4">
        <f>R6566*S6566</f>
        <v>111000</v>
      </c>
      <c r="U6566" s="4">
        <f>T6566*1.12</f>
        <v>124320.00000000001</v>
      </c>
      <c r="V6566" s="3"/>
      <c r="W6566" s="3">
        <v>2014</v>
      </c>
      <c r="X6566" s="3"/>
    </row>
    <row r="6567" spans="1:24" ht="114.75">
      <c r="A6567" s="3" t="s">
        <v>2727</v>
      </c>
      <c r="B6567" s="6" t="s">
        <v>361</v>
      </c>
      <c r="C6567" s="6" t="s">
        <v>6199</v>
      </c>
      <c r="D6567" s="6" t="s">
        <v>6200</v>
      </c>
      <c r="E6567" s="6" t="s">
        <v>5998</v>
      </c>
      <c r="F6567" s="6" t="s">
        <v>497</v>
      </c>
      <c r="G6567" s="57" t="s">
        <v>11449</v>
      </c>
      <c r="H6567" s="185">
        <v>0</v>
      </c>
      <c r="I6567" s="16">
        <v>470000000</v>
      </c>
      <c r="J6567" s="56" t="s">
        <v>229</v>
      </c>
      <c r="K6567" s="57" t="s">
        <v>641</v>
      </c>
      <c r="L6567" s="57" t="s">
        <v>364</v>
      </c>
      <c r="M6567" s="3" t="s">
        <v>230</v>
      </c>
      <c r="N6567" s="8" t="s">
        <v>9479</v>
      </c>
      <c r="O6567" s="6" t="s">
        <v>365</v>
      </c>
      <c r="P6567" s="58" t="s">
        <v>241</v>
      </c>
      <c r="Q6567" s="27" t="s">
        <v>234</v>
      </c>
      <c r="R6567" s="27">
        <v>5</v>
      </c>
      <c r="S6567" s="59">
        <v>10000</v>
      </c>
      <c r="T6567" s="4">
        <v>0</v>
      </c>
      <c r="U6567" s="4">
        <f t="shared" si="302"/>
        <v>0</v>
      </c>
      <c r="V6567" s="3"/>
      <c r="W6567" s="3">
        <v>2014</v>
      </c>
      <c r="X6567" s="3">
        <v>11.12</v>
      </c>
    </row>
    <row r="6568" spans="1:24" ht="114.75">
      <c r="A6568" s="3" t="s">
        <v>13829</v>
      </c>
      <c r="B6568" s="6" t="s">
        <v>361</v>
      </c>
      <c r="C6568" s="6" t="s">
        <v>6199</v>
      </c>
      <c r="D6568" s="6" t="s">
        <v>6200</v>
      </c>
      <c r="E6568" s="6" t="s">
        <v>5998</v>
      </c>
      <c r="F6568" s="6" t="s">
        <v>497</v>
      </c>
      <c r="G6568" s="57" t="s">
        <v>11449</v>
      </c>
      <c r="H6568" s="185">
        <v>0</v>
      </c>
      <c r="I6568" s="16">
        <v>470000000</v>
      </c>
      <c r="J6568" s="56" t="s">
        <v>229</v>
      </c>
      <c r="K6568" s="57" t="s">
        <v>642</v>
      </c>
      <c r="L6568" s="12" t="s">
        <v>404</v>
      </c>
      <c r="M6568" s="3" t="s">
        <v>230</v>
      </c>
      <c r="N6568" s="8" t="s">
        <v>9479</v>
      </c>
      <c r="O6568" s="6" t="s">
        <v>365</v>
      </c>
      <c r="P6568" s="58" t="s">
        <v>241</v>
      </c>
      <c r="Q6568" s="27" t="s">
        <v>234</v>
      </c>
      <c r="R6568" s="27">
        <v>5</v>
      </c>
      <c r="S6568" s="59">
        <v>10000</v>
      </c>
      <c r="T6568" s="4">
        <f>R6568*S6568</f>
        <v>50000</v>
      </c>
      <c r="U6568" s="4">
        <f>T6568*1.12</f>
        <v>56000.000000000007</v>
      </c>
      <c r="V6568" s="3"/>
      <c r="W6568" s="3">
        <v>2014</v>
      </c>
      <c r="X6568" s="3"/>
    </row>
    <row r="6569" spans="1:24" ht="114.75">
      <c r="A6569" s="3" t="s">
        <v>2728</v>
      </c>
      <c r="B6569" s="6" t="s">
        <v>361</v>
      </c>
      <c r="C6569" s="6" t="s">
        <v>6959</v>
      </c>
      <c r="D6569" s="6" t="s">
        <v>471</v>
      </c>
      <c r="E6569" s="6" t="s">
        <v>5743</v>
      </c>
      <c r="F6569" s="6" t="s">
        <v>6960</v>
      </c>
      <c r="G6569" s="57" t="s">
        <v>11449</v>
      </c>
      <c r="H6569" s="185">
        <v>0</v>
      </c>
      <c r="I6569" s="16">
        <v>470000000</v>
      </c>
      <c r="J6569" s="56" t="s">
        <v>229</v>
      </c>
      <c r="K6569" s="57" t="s">
        <v>641</v>
      </c>
      <c r="L6569" s="57" t="s">
        <v>364</v>
      </c>
      <c r="M6569" s="3" t="s">
        <v>230</v>
      </c>
      <c r="N6569" s="8" t="s">
        <v>9479</v>
      </c>
      <c r="O6569" s="6" t="s">
        <v>365</v>
      </c>
      <c r="P6569" s="58" t="s">
        <v>241</v>
      </c>
      <c r="Q6569" s="27" t="s">
        <v>234</v>
      </c>
      <c r="R6569" s="27">
        <v>5</v>
      </c>
      <c r="S6569" s="59">
        <v>3500</v>
      </c>
      <c r="T6569" s="4">
        <v>0</v>
      </c>
      <c r="U6569" s="4">
        <f t="shared" si="302"/>
        <v>0</v>
      </c>
      <c r="V6569" s="3"/>
      <c r="W6569" s="3">
        <v>2014</v>
      </c>
      <c r="X6569" s="3">
        <v>11.12</v>
      </c>
    </row>
    <row r="6570" spans="1:24" ht="114.75">
      <c r="A6570" s="3" t="s">
        <v>13830</v>
      </c>
      <c r="B6570" s="6" t="s">
        <v>361</v>
      </c>
      <c r="C6570" s="6" t="s">
        <v>6959</v>
      </c>
      <c r="D6570" s="6" t="s">
        <v>471</v>
      </c>
      <c r="E6570" s="6" t="s">
        <v>5743</v>
      </c>
      <c r="F6570" s="6" t="s">
        <v>6960</v>
      </c>
      <c r="G6570" s="57" t="s">
        <v>11449</v>
      </c>
      <c r="H6570" s="185">
        <v>0</v>
      </c>
      <c r="I6570" s="16">
        <v>470000000</v>
      </c>
      <c r="J6570" s="56" t="s">
        <v>229</v>
      </c>
      <c r="K6570" s="57" t="s">
        <v>642</v>
      </c>
      <c r="L6570" s="12" t="s">
        <v>404</v>
      </c>
      <c r="M6570" s="3" t="s">
        <v>230</v>
      </c>
      <c r="N6570" s="8" t="s">
        <v>9479</v>
      </c>
      <c r="O6570" s="6" t="s">
        <v>365</v>
      </c>
      <c r="P6570" s="58" t="s">
        <v>241</v>
      </c>
      <c r="Q6570" s="27" t="s">
        <v>234</v>
      </c>
      <c r="R6570" s="27">
        <v>5</v>
      </c>
      <c r="S6570" s="59">
        <v>3500</v>
      </c>
      <c r="T6570" s="4">
        <f>R6570*S6570</f>
        <v>17500</v>
      </c>
      <c r="U6570" s="4">
        <f>T6570*1.12</f>
        <v>19600.000000000004</v>
      </c>
      <c r="V6570" s="3"/>
      <c r="W6570" s="3">
        <v>2014</v>
      </c>
      <c r="X6570" s="3"/>
    </row>
    <row r="6571" spans="1:24" ht="114.75">
      <c r="A6571" s="3" t="s">
        <v>2729</v>
      </c>
      <c r="B6571" s="6" t="s">
        <v>361</v>
      </c>
      <c r="C6571" s="6" t="s">
        <v>6959</v>
      </c>
      <c r="D6571" s="6" t="s">
        <v>471</v>
      </c>
      <c r="E6571" s="6" t="s">
        <v>5743</v>
      </c>
      <c r="F6571" s="6" t="s">
        <v>6961</v>
      </c>
      <c r="G6571" s="57" t="s">
        <v>11449</v>
      </c>
      <c r="H6571" s="185">
        <v>0</v>
      </c>
      <c r="I6571" s="16">
        <v>470000000</v>
      </c>
      <c r="J6571" s="56" t="s">
        <v>229</v>
      </c>
      <c r="K6571" s="57" t="s">
        <v>641</v>
      </c>
      <c r="L6571" s="57" t="s">
        <v>364</v>
      </c>
      <c r="M6571" s="3" t="s">
        <v>230</v>
      </c>
      <c r="N6571" s="8" t="s">
        <v>9479</v>
      </c>
      <c r="O6571" s="6" t="s">
        <v>365</v>
      </c>
      <c r="P6571" s="58" t="s">
        <v>241</v>
      </c>
      <c r="Q6571" s="27" t="s">
        <v>234</v>
      </c>
      <c r="R6571" s="27">
        <v>5</v>
      </c>
      <c r="S6571" s="59">
        <v>3500</v>
      </c>
      <c r="T6571" s="4">
        <v>0</v>
      </c>
      <c r="U6571" s="4">
        <f t="shared" si="302"/>
        <v>0</v>
      </c>
      <c r="V6571" s="3"/>
      <c r="W6571" s="3">
        <v>2014</v>
      </c>
      <c r="X6571" s="3">
        <v>11.12</v>
      </c>
    </row>
    <row r="6572" spans="1:24" ht="114.75">
      <c r="A6572" s="3" t="s">
        <v>13831</v>
      </c>
      <c r="B6572" s="6" t="s">
        <v>361</v>
      </c>
      <c r="C6572" s="6" t="s">
        <v>6959</v>
      </c>
      <c r="D6572" s="6" t="s">
        <v>471</v>
      </c>
      <c r="E6572" s="6" t="s">
        <v>5743</v>
      </c>
      <c r="F6572" s="6" t="s">
        <v>6961</v>
      </c>
      <c r="G6572" s="57" t="s">
        <v>11449</v>
      </c>
      <c r="H6572" s="185">
        <v>0</v>
      </c>
      <c r="I6572" s="16">
        <v>470000000</v>
      </c>
      <c r="J6572" s="56" t="s">
        <v>229</v>
      </c>
      <c r="K6572" s="57" t="s">
        <v>642</v>
      </c>
      <c r="L6572" s="12" t="s">
        <v>404</v>
      </c>
      <c r="M6572" s="3" t="s">
        <v>230</v>
      </c>
      <c r="N6572" s="8" t="s">
        <v>9479</v>
      </c>
      <c r="O6572" s="6" t="s">
        <v>365</v>
      </c>
      <c r="P6572" s="58" t="s">
        <v>241</v>
      </c>
      <c r="Q6572" s="27" t="s">
        <v>234</v>
      </c>
      <c r="R6572" s="27">
        <v>5</v>
      </c>
      <c r="S6572" s="59">
        <v>3500</v>
      </c>
      <c r="T6572" s="4">
        <f>R6572*S6572</f>
        <v>17500</v>
      </c>
      <c r="U6572" s="4">
        <f>T6572*1.12</f>
        <v>19600.000000000004</v>
      </c>
      <c r="V6572" s="3"/>
      <c r="W6572" s="3">
        <v>2014</v>
      </c>
      <c r="X6572" s="3"/>
    </row>
    <row r="6573" spans="1:24" ht="114.75">
      <c r="A6573" s="3" t="s">
        <v>2730</v>
      </c>
      <c r="B6573" s="6" t="s">
        <v>361</v>
      </c>
      <c r="C6573" s="6" t="s">
        <v>6962</v>
      </c>
      <c r="D6573" s="6" t="s">
        <v>3122</v>
      </c>
      <c r="E6573" s="6" t="s">
        <v>5743</v>
      </c>
      <c r="F6573" s="6" t="s">
        <v>6963</v>
      </c>
      <c r="G6573" s="57" t="s">
        <v>11449</v>
      </c>
      <c r="H6573" s="185">
        <v>0</v>
      </c>
      <c r="I6573" s="16">
        <v>470000000</v>
      </c>
      <c r="J6573" s="56" t="s">
        <v>229</v>
      </c>
      <c r="K6573" s="57" t="s">
        <v>641</v>
      </c>
      <c r="L6573" s="57" t="s">
        <v>364</v>
      </c>
      <c r="M6573" s="3" t="s">
        <v>230</v>
      </c>
      <c r="N6573" s="8" t="s">
        <v>9479</v>
      </c>
      <c r="O6573" s="6" t="s">
        <v>365</v>
      </c>
      <c r="P6573" s="58" t="s">
        <v>242</v>
      </c>
      <c r="Q6573" s="27" t="s">
        <v>239</v>
      </c>
      <c r="R6573" s="27">
        <v>10</v>
      </c>
      <c r="S6573" s="59">
        <v>3000</v>
      </c>
      <c r="T6573" s="4">
        <v>0</v>
      </c>
      <c r="U6573" s="4">
        <f t="shared" si="302"/>
        <v>0</v>
      </c>
      <c r="V6573" s="3"/>
      <c r="W6573" s="3">
        <v>2014</v>
      </c>
      <c r="X6573" s="3">
        <v>11.12</v>
      </c>
    </row>
    <row r="6574" spans="1:24" ht="114.75">
      <c r="A6574" s="3" t="s">
        <v>13832</v>
      </c>
      <c r="B6574" s="6" t="s">
        <v>361</v>
      </c>
      <c r="C6574" s="6" t="s">
        <v>6962</v>
      </c>
      <c r="D6574" s="6" t="s">
        <v>3122</v>
      </c>
      <c r="E6574" s="6" t="s">
        <v>5743</v>
      </c>
      <c r="F6574" s="6" t="s">
        <v>6963</v>
      </c>
      <c r="G6574" s="57" t="s">
        <v>11449</v>
      </c>
      <c r="H6574" s="185">
        <v>0</v>
      </c>
      <c r="I6574" s="16">
        <v>470000000</v>
      </c>
      <c r="J6574" s="56" t="s">
        <v>229</v>
      </c>
      <c r="K6574" s="57" t="s">
        <v>642</v>
      </c>
      <c r="L6574" s="12" t="s">
        <v>404</v>
      </c>
      <c r="M6574" s="3" t="s">
        <v>230</v>
      </c>
      <c r="N6574" s="8" t="s">
        <v>9479</v>
      </c>
      <c r="O6574" s="6" t="s">
        <v>365</v>
      </c>
      <c r="P6574" s="58" t="s">
        <v>242</v>
      </c>
      <c r="Q6574" s="27" t="s">
        <v>239</v>
      </c>
      <c r="R6574" s="27">
        <v>10</v>
      </c>
      <c r="S6574" s="59">
        <v>3000</v>
      </c>
      <c r="T6574" s="4">
        <f>R6574*S6574</f>
        <v>30000</v>
      </c>
      <c r="U6574" s="4">
        <f>T6574*1.12</f>
        <v>33600</v>
      </c>
      <c r="V6574" s="3"/>
      <c r="W6574" s="3">
        <v>2014</v>
      </c>
      <c r="X6574" s="3"/>
    </row>
    <row r="6575" spans="1:24" ht="114.75">
      <c r="A6575" s="3" t="s">
        <v>2731</v>
      </c>
      <c r="B6575" s="6" t="s">
        <v>361</v>
      </c>
      <c r="C6575" s="6" t="s">
        <v>6160</v>
      </c>
      <c r="D6575" s="6" t="s">
        <v>3125</v>
      </c>
      <c r="E6575" s="6" t="s">
        <v>5743</v>
      </c>
      <c r="F6575" s="6" t="s">
        <v>6964</v>
      </c>
      <c r="G6575" s="57" t="s">
        <v>11449</v>
      </c>
      <c r="H6575" s="185">
        <v>0</v>
      </c>
      <c r="I6575" s="16">
        <v>470000000</v>
      </c>
      <c r="J6575" s="56" t="s">
        <v>229</v>
      </c>
      <c r="K6575" s="57" t="s">
        <v>641</v>
      </c>
      <c r="L6575" s="57" t="s">
        <v>364</v>
      </c>
      <c r="M6575" s="3" t="s">
        <v>230</v>
      </c>
      <c r="N6575" s="8" t="s">
        <v>9479</v>
      </c>
      <c r="O6575" s="6" t="s">
        <v>365</v>
      </c>
      <c r="P6575" s="58" t="s">
        <v>242</v>
      </c>
      <c r="Q6575" s="27" t="s">
        <v>239</v>
      </c>
      <c r="R6575" s="27">
        <v>10</v>
      </c>
      <c r="S6575" s="59">
        <v>3000</v>
      </c>
      <c r="T6575" s="4">
        <v>0</v>
      </c>
      <c r="U6575" s="4">
        <f t="shared" si="302"/>
        <v>0</v>
      </c>
      <c r="V6575" s="3"/>
      <c r="W6575" s="3">
        <v>2014</v>
      </c>
      <c r="X6575" s="3">
        <v>11.12</v>
      </c>
    </row>
    <row r="6576" spans="1:24" ht="114.75">
      <c r="A6576" s="3" t="s">
        <v>13833</v>
      </c>
      <c r="B6576" s="6" t="s">
        <v>361</v>
      </c>
      <c r="C6576" s="6" t="s">
        <v>6160</v>
      </c>
      <c r="D6576" s="6" t="s">
        <v>3125</v>
      </c>
      <c r="E6576" s="6" t="s">
        <v>5743</v>
      </c>
      <c r="F6576" s="6" t="s">
        <v>6964</v>
      </c>
      <c r="G6576" s="57" t="s">
        <v>11449</v>
      </c>
      <c r="H6576" s="185">
        <v>0</v>
      </c>
      <c r="I6576" s="16">
        <v>470000000</v>
      </c>
      <c r="J6576" s="56" t="s">
        <v>229</v>
      </c>
      <c r="K6576" s="57" t="s">
        <v>642</v>
      </c>
      <c r="L6576" s="12" t="s">
        <v>404</v>
      </c>
      <c r="M6576" s="3" t="s">
        <v>230</v>
      </c>
      <c r="N6576" s="8" t="s">
        <v>9479</v>
      </c>
      <c r="O6576" s="6" t="s">
        <v>365</v>
      </c>
      <c r="P6576" s="58" t="s">
        <v>242</v>
      </c>
      <c r="Q6576" s="27" t="s">
        <v>239</v>
      </c>
      <c r="R6576" s="27">
        <v>10</v>
      </c>
      <c r="S6576" s="59">
        <v>3000</v>
      </c>
      <c r="T6576" s="4">
        <f>R6576*S6576</f>
        <v>30000</v>
      </c>
      <c r="U6576" s="4">
        <f>T6576*1.12</f>
        <v>33600</v>
      </c>
      <c r="V6576" s="3"/>
      <c r="W6576" s="3">
        <v>2014</v>
      </c>
      <c r="X6576" s="3"/>
    </row>
    <row r="6577" spans="1:24" ht="114.75">
      <c r="A6577" s="3" t="s">
        <v>2732</v>
      </c>
      <c r="B6577" s="6" t="s">
        <v>361</v>
      </c>
      <c r="C6577" s="6" t="s">
        <v>6965</v>
      </c>
      <c r="D6577" s="6" t="s">
        <v>462</v>
      </c>
      <c r="E6577" s="6" t="s">
        <v>5332</v>
      </c>
      <c r="F6577" s="6" t="s">
        <v>6966</v>
      </c>
      <c r="G6577" s="57" t="s">
        <v>11449</v>
      </c>
      <c r="H6577" s="185">
        <v>0</v>
      </c>
      <c r="I6577" s="16">
        <v>470000000</v>
      </c>
      <c r="J6577" s="56" t="s">
        <v>229</v>
      </c>
      <c r="K6577" s="57" t="s">
        <v>641</v>
      </c>
      <c r="L6577" s="57" t="s">
        <v>364</v>
      </c>
      <c r="M6577" s="3" t="s">
        <v>230</v>
      </c>
      <c r="N6577" s="8" t="s">
        <v>9479</v>
      </c>
      <c r="O6577" s="6" t="s">
        <v>365</v>
      </c>
      <c r="P6577" s="58" t="s">
        <v>241</v>
      </c>
      <c r="Q6577" s="27" t="s">
        <v>234</v>
      </c>
      <c r="R6577" s="27">
        <v>80</v>
      </c>
      <c r="S6577" s="59">
        <v>1000</v>
      </c>
      <c r="T6577" s="4">
        <v>0</v>
      </c>
      <c r="U6577" s="4">
        <f t="shared" si="302"/>
        <v>0</v>
      </c>
      <c r="V6577" s="3"/>
      <c r="W6577" s="3">
        <v>2014</v>
      </c>
      <c r="X6577" s="3">
        <v>11.12</v>
      </c>
    </row>
    <row r="6578" spans="1:24" ht="114.75">
      <c r="A6578" s="3" t="s">
        <v>13834</v>
      </c>
      <c r="B6578" s="6" t="s">
        <v>361</v>
      </c>
      <c r="C6578" s="6" t="s">
        <v>6965</v>
      </c>
      <c r="D6578" s="6" t="s">
        <v>462</v>
      </c>
      <c r="E6578" s="6" t="s">
        <v>5332</v>
      </c>
      <c r="F6578" s="6" t="s">
        <v>6966</v>
      </c>
      <c r="G6578" s="57" t="s">
        <v>11449</v>
      </c>
      <c r="H6578" s="185">
        <v>0</v>
      </c>
      <c r="I6578" s="16">
        <v>470000000</v>
      </c>
      <c r="J6578" s="56" t="s">
        <v>229</v>
      </c>
      <c r="K6578" s="57" t="s">
        <v>642</v>
      </c>
      <c r="L6578" s="12" t="s">
        <v>404</v>
      </c>
      <c r="M6578" s="3" t="s">
        <v>230</v>
      </c>
      <c r="N6578" s="8" t="s">
        <v>9479</v>
      </c>
      <c r="O6578" s="6" t="s">
        <v>365</v>
      </c>
      <c r="P6578" s="58" t="s">
        <v>241</v>
      </c>
      <c r="Q6578" s="27" t="s">
        <v>234</v>
      </c>
      <c r="R6578" s="27">
        <v>80</v>
      </c>
      <c r="S6578" s="59">
        <v>1000</v>
      </c>
      <c r="T6578" s="4">
        <f>R6578*S6578</f>
        <v>80000</v>
      </c>
      <c r="U6578" s="4">
        <f>T6578*1.12</f>
        <v>89600.000000000015</v>
      </c>
      <c r="V6578" s="3"/>
      <c r="W6578" s="3">
        <v>2014</v>
      </c>
      <c r="X6578" s="3"/>
    </row>
    <row r="6579" spans="1:24" ht="114.75">
      <c r="A6579" s="3" t="s">
        <v>2733</v>
      </c>
      <c r="B6579" s="6" t="s">
        <v>361</v>
      </c>
      <c r="C6579" s="6" t="s">
        <v>6967</v>
      </c>
      <c r="D6579" s="6" t="s">
        <v>388</v>
      </c>
      <c r="E6579" s="6" t="s">
        <v>6968</v>
      </c>
      <c r="F6579" s="6" t="s">
        <v>6969</v>
      </c>
      <c r="G6579" s="57" t="s">
        <v>11449</v>
      </c>
      <c r="H6579" s="185">
        <v>0</v>
      </c>
      <c r="I6579" s="16">
        <v>470000000</v>
      </c>
      <c r="J6579" s="56" t="s">
        <v>229</v>
      </c>
      <c r="K6579" s="57" t="s">
        <v>641</v>
      </c>
      <c r="L6579" s="57" t="s">
        <v>364</v>
      </c>
      <c r="M6579" s="3" t="s">
        <v>230</v>
      </c>
      <c r="N6579" s="8" t="s">
        <v>9479</v>
      </c>
      <c r="O6579" s="6" t="s">
        <v>365</v>
      </c>
      <c r="P6579" s="58" t="s">
        <v>241</v>
      </c>
      <c r="Q6579" s="27" t="s">
        <v>234</v>
      </c>
      <c r="R6579" s="27">
        <v>4</v>
      </c>
      <c r="S6579" s="59">
        <v>21000</v>
      </c>
      <c r="T6579" s="4">
        <v>0</v>
      </c>
      <c r="U6579" s="4">
        <f t="shared" si="302"/>
        <v>0</v>
      </c>
      <c r="V6579" s="3"/>
      <c r="W6579" s="3">
        <v>2014</v>
      </c>
      <c r="X6579" s="3">
        <v>11.12</v>
      </c>
    </row>
    <row r="6580" spans="1:24" ht="114.75">
      <c r="A6580" s="3" t="s">
        <v>13835</v>
      </c>
      <c r="B6580" s="6" t="s">
        <v>361</v>
      </c>
      <c r="C6580" s="6" t="s">
        <v>6967</v>
      </c>
      <c r="D6580" s="6" t="s">
        <v>388</v>
      </c>
      <c r="E6580" s="6" t="s">
        <v>6968</v>
      </c>
      <c r="F6580" s="6" t="s">
        <v>6969</v>
      </c>
      <c r="G6580" s="57" t="s">
        <v>11449</v>
      </c>
      <c r="H6580" s="185">
        <v>0</v>
      </c>
      <c r="I6580" s="16">
        <v>470000000</v>
      </c>
      <c r="J6580" s="56" t="s">
        <v>229</v>
      </c>
      <c r="K6580" s="57" t="s">
        <v>642</v>
      </c>
      <c r="L6580" s="12" t="s">
        <v>404</v>
      </c>
      <c r="M6580" s="3" t="s">
        <v>230</v>
      </c>
      <c r="N6580" s="8" t="s">
        <v>9479</v>
      </c>
      <c r="O6580" s="6" t="s">
        <v>365</v>
      </c>
      <c r="P6580" s="58" t="s">
        <v>241</v>
      </c>
      <c r="Q6580" s="27" t="s">
        <v>234</v>
      </c>
      <c r="R6580" s="27">
        <v>4</v>
      </c>
      <c r="S6580" s="59">
        <v>21000</v>
      </c>
      <c r="T6580" s="4">
        <f>R6580*S6580</f>
        <v>84000</v>
      </c>
      <c r="U6580" s="4">
        <f>T6580*1.12</f>
        <v>94080.000000000015</v>
      </c>
      <c r="V6580" s="3"/>
      <c r="W6580" s="3">
        <v>2014</v>
      </c>
      <c r="X6580" s="3"/>
    </row>
    <row r="6581" spans="1:24" ht="114.75">
      <c r="A6581" s="3" t="s">
        <v>2734</v>
      </c>
      <c r="B6581" s="6" t="s">
        <v>361</v>
      </c>
      <c r="C6581" s="6" t="s">
        <v>6970</v>
      </c>
      <c r="D6581" s="6" t="s">
        <v>6971</v>
      </c>
      <c r="E6581" s="6" t="s">
        <v>6972</v>
      </c>
      <c r="F6581" s="6" t="s">
        <v>6973</v>
      </c>
      <c r="G6581" s="57" t="s">
        <v>11449</v>
      </c>
      <c r="H6581" s="185">
        <v>0</v>
      </c>
      <c r="I6581" s="16">
        <v>470000000</v>
      </c>
      <c r="J6581" s="56" t="s">
        <v>229</v>
      </c>
      <c r="K6581" s="57" t="s">
        <v>641</v>
      </c>
      <c r="L6581" s="57" t="s">
        <v>364</v>
      </c>
      <c r="M6581" s="3" t="s">
        <v>230</v>
      </c>
      <c r="N6581" s="8" t="s">
        <v>9479</v>
      </c>
      <c r="O6581" s="6" t="s">
        <v>365</v>
      </c>
      <c r="P6581" s="58" t="s">
        <v>241</v>
      </c>
      <c r="Q6581" s="27" t="s">
        <v>234</v>
      </c>
      <c r="R6581" s="27">
        <v>6</v>
      </c>
      <c r="S6581" s="59">
        <v>3000</v>
      </c>
      <c r="T6581" s="4">
        <v>0</v>
      </c>
      <c r="U6581" s="4">
        <f t="shared" si="302"/>
        <v>0</v>
      </c>
      <c r="V6581" s="3"/>
      <c r="W6581" s="3">
        <v>2014</v>
      </c>
      <c r="X6581" s="3">
        <v>11.12</v>
      </c>
    </row>
    <row r="6582" spans="1:24" ht="114.75">
      <c r="A6582" s="3" t="s">
        <v>13836</v>
      </c>
      <c r="B6582" s="6" t="s">
        <v>361</v>
      </c>
      <c r="C6582" s="6" t="s">
        <v>6970</v>
      </c>
      <c r="D6582" s="6" t="s">
        <v>6971</v>
      </c>
      <c r="E6582" s="6" t="s">
        <v>6972</v>
      </c>
      <c r="F6582" s="6" t="s">
        <v>6973</v>
      </c>
      <c r="G6582" s="57" t="s">
        <v>11449</v>
      </c>
      <c r="H6582" s="185">
        <v>0</v>
      </c>
      <c r="I6582" s="16">
        <v>470000000</v>
      </c>
      <c r="J6582" s="56" t="s">
        <v>229</v>
      </c>
      <c r="K6582" s="57" t="s">
        <v>642</v>
      </c>
      <c r="L6582" s="12" t="s">
        <v>404</v>
      </c>
      <c r="M6582" s="3" t="s">
        <v>230</v>
      </c>
      <c r="N6582" s="8" t="s">
        <v>9479</v>
      </c>
      <c r="O6582" s="6" t="s">
        <v>365</v>
      </c>
      <c r="P6582" s="58" t="s">
        <v>241</v>
      </c>
      <c r="Q6582" s="27" t="s">
        <v>234</v>
      </c>
      <c r="R6582" s="27">
        <v>6</v>
      </c>
      <c r="S6582" s="59">
        <v>3000</v>
      </c>
      <c r="T6582" s="4">
        <f>R6582*S6582</f>
        <v>18000</v>
      </c>
      <c r="U6582" s="4">
        <f>T6582*1.12</f>
        <v>20160.000000000004</v>
      </c>
      <c r="V6582" s="3"/>
      <c r="W6582" s="3">
        <v>2014</v>
      </c>
      <c r="X6582" s="3"/>
    </row>
    <row r="6583" spans="1:24" ht="114.75">
      <c r="A6583" s="3" t="s">
        <v>2735</v>
      </c>
      <c r="B6583" s="6" t="s">
        <v>361</v>
      </c>
      <c r="C6583" s="6" t="s">
        <v>6064</v>
      </c>
      <c r="D6583" s="6" t="s">
        <v>5703</v>
      </c>
      <c r="E6583" s="6" t="s">
        <v>5998</v>
      </c>
      <c r="F6583" s="6" t="s">
        <v>6974</v>
      </c>
      <c r="G6583" s="57" t="s">
        <v>11449</v>
      </c>
      <c r="H6583" s="185">
        <v>0</v>
      </c>
      <c r="I6583" s="16">
        <v>470000000</v>
      </c>
      <c r="J6583" s="56" t="s">
        <v>229</v>
      </c>
      <c r="K6583" s="57" t="s">
        <v>641</v>
      </c>
      <c r="L6583" s="57" t="s">
        <v>364</v>
      </c>
      <c r="M6583" s="3" t="s">
        <v>230</v>
      </c>
      <c r="N6583" s="8" t="s">
        <v>9479</v>
      </c>
      <c r="O6583" s="6" t="s">
        <v>365</v>
      </c>
      <c r="P6583" s="58" t="s">
        <v>241</v>
      </c>
      <c r="Q6583" s="27" t="s">
        <v>234</v>
      </c>
      <c r="R6583" s="27">
        <v>6</v>
      </c>
      <c r="S6583" s="59">
        <v>7500</v>
      </c>
      <c r="T6583" s="4">
        <v>0</v>
      </c>
      <c r="U6583" s="4">
        <f t="shared" si="302"/>
        <v>0</v>
      </c>
      <c r="V6583" s="3"/>
      <c r="W6583" s="3">
        <v>2014</v>
      </c>
      <c r="X6583" s="3">
        <v>11.12</v>
      </c>
    </row>
    <row r="6584" spans="1:24" ht="114.75">
      <c r="A6584" s="3" t="s">
        <v>13837</v>
      </c>
      <c r="B6584" s="6" t="s">
        <v>361</v>
      </c>
      <c r="C6584" s="6" t="s">
        <v>6064</v>
      </c>
      <c r="D6584" s="6" t="s">
        <v>5703</v>
      </c>
      <c r="E6584" s="6" t="s">
        <v>5998</v>
      </c>
      <c r="F6584" s="6" t="s">
        <v>6974</v>
      </c>
      <c r="G6584" s="57" t="s">
        <v>11449</v>
      </c>
      <c r="H6584" s="185">
        <v>0</v>
      </c>
      <c r="I6584" s="16">
        <v>470000000</v>
      </c>
      <c r="J6584" s="56" t="s">
        <v>229</v>
      </c>
      <c r="K6584" s="57" t="s">
        <v>642</v>
      </c>
      <c r="L6584" s="12" t="s">
        <v>404</v>
      </c>
      <c r="M6584" s="3" t="s">
        <v>230</v>
      </c>
      <c r="N6584" s="8" t="s">
        <v>9479</v>
      </c>
      <c r="O6584" s="6" t="s">
        <v>365</v>
      </c>
      <c r="P6584" s="58" t="s">
        <v>241</v>
      </c>
      <c r="Q6584" s="27" t="s">
        <v>234</v>
      </c>
      <c r="R6584" s="27">
        <v>6</v>
      </c>
      <c r="S6584" s="59">
        <v>7500</v>
      </c>
      <c r="T6584" s="4">
        <f>R6584*S6584</f>
        <v>45000</v>
      </c>
      <c r="U6584" s="4">
        <f>T6584*1.12</f>
        <v>50400.000000000007</v>
      </c>
      <c r="V6584" s="3"/>
      <c r="W6584" s="3">
        <v>2014</v>
      </c>
      <c r="X6584" s="3"/>
    </row>
    <row r="6585" spans="1:24" ht="114.75">
      <c r="A6585" s="3" t="s">
        <v>2736</v>
      </c>
      <c r="B6585" s="6" t="s">
        <v>361</v>
      </c>
      <c r="C6585" s="6" t="s">
        <v>6011</v>
      </c>
      <c r="D6585" s="6" t="s">
        <v>5614</v>
      </c>
      <c r="E6585" s="6" t="s">
        <v>5998</v>
      </c>
      <c r="F6585" s="6" t="s">
        <v>6975</v>
      </c>
      <c r="G6585" s="57" t="s">
        <v>11449</v>
      </c>
      <c r="H6585" s="185">
        <v>0</v>
      </c>
      <c r="I6585" s="16">
        <v>470000000</v>
      </c>
      <c r="J6585" s="56" t="s">
        <v>229</v>
      </c>
      <c r="K6585" s="57" t="s">
        <v>641</v>
      </c>
      <c r="L6585" s="57" t="s">
        <v>364</v>
      </c>
      <c r="M6585" s="3" t="s">
        <v>230</v>
      </c>
      <c r="N6585" s="8" t="s">
        <v>9479</v>
      </c>
      <c r="O6585" s="6" t="s">
        <v>365</v>
      </c>
      <c r="P6585" s="58" t="s">
        <v>241</v>
      </c>
      <c r="Q6585" s="27" t="s">
        <v>234</v>
      </c>
      <c r="R6585" s="27">
        <v>4</v>
      </c>
      <c r="S6585" s="59">
        <v>4300</v>
      </c>
      <c r="T6585" s="4">
        <v>0</v>
      </c>
      <c r="U6585" s="4">
        <f t="shared" si="302"/>
        <v>0</v>
      </c>
      <c r="V6585" s="3"/>
      <c r="W6585" s="3">
        <v>2014</v>
      </c>
      <c r="X6585" s="3">
        <v>11.12</v>
      </c>
    </row>
    <row r="6586" spans="1:24" ht="114.75">
      <c r="A6586" s="3" t="s">
        <v>13838</v>
      </c>
      <c r="B6586" s="6" t="s">
        <v>361</v>
      </c>
      <c r="C6586" s="6" t="s">
        <v>6011</v>
      </c>
      <c r="D6586" s="6" t="s">
        <v>5614</v>
      </c>
      <c r="E6586" s="6" t="s">
        <v>5998</v>
      </c>
      <c r="F6586" s="6" t="s">
        <v>6975</v>
      </c>
      <c r="G6586" s="57" t="s">
        <v>11449</v>
      </c>
      <c r="H6586" s="185">
        <v>0</v>
      </c>
      <c r="I6586" s="16">
        <v>470000000</v>
      </c>
      <c r="J6586" s="56" t="s">
        <v>229</v>
      </c>
      <c r="K6586" s="57" t="s">
        <v>642</v>
      </c>
      <c r="L6586" s="12" t="s">
        <v>404</v>
      </c>
      <c r="M6586" s="3" t="s">
        <v>230</v>
      </c>
      <c r="N6586" s="8" t="s">
        <v>9479</v>
      </c>
      <c r="O6586" s="6" t="s">
        <v>365</v>
      </c>
      <c r="P6586" s="58" t="s">
        <v>241</v>
      </c>
      <c r="Q6586" s="27" t="s">
        <v>234</v>
      </c>
      <c r="R6586" s="27">
        <v>4</v>
      </c>
      <c r="S6586" s="59">
        <v>4300</v>
      </c>
      <c r="T6586" s="4">
        <f>R6586*S6586</f>
        <v>17200</v>
      </c>
      <c r="U6586" s="4">
        <f>T6586*1.12</f>
        <v>19264.000000000004</v>
      </c>
      <c r="V6586" s="3"/>
      <c r="W6586" s="3">
        <v>2014</v>
      </c>
      <c r="X6586" s="3"/>
    </row>
    <row r="6587" spans="1:24" ht="114.75">
      <c r="A6587" s="3" t="s">
        <v>2737</v>
      </c>
      <c r="B6587" s="6" t="s">
        <v>361</v>
      </c>
      <c r="C6587" s="6" t="s">
        <v>6976</v>
      </c>
      <c r="D6587" s="6" t="s">
        <v>507</v>
      </c>
      <c r="E6587" s="6" t="s">
        <v>5743</v>
      </c>
      <c r="F6587" s="6" t="s">
        <v>6977</v>
      </c>
      <c r="G6587" s="57" t="s">
        <v>11449</v>
      </c>
      <c r="H6587" s="185">
        <v>0</v>
      </c>
      <c r="I6587" s="16">
        <v>470000000</v>
      </c>
      <c r="J6587" s="56" t="s">
        <v>229</v>
      </c>
      <c r="K6587" s="57" t="s">
        <v>641</v>
      </c>
      <c r="L6587" s="57" t="s">
        <v>364</v>
      </c>
      <c r="M6587" s="3" t="s">
        <v>230</v>
      </c>
      <c r="N6587" s="8" t="s">
        <v>9479</v>
      </c>
      <c r="O6587" s="6" t="s">
        <v>365</v>
      </c>
      <c r="P6587" s="58" t="s">
        <v>241</v>
      </c>
      <c r="Q6587" s="27" t="s">
        <v>234</v>
      </c>
      <c r="R6587" s="27">
        <v>2</v>
      </c>
      <c r="S6587" s="59">
        <v>56000</v>
      </c>
      <c r="T6587" s="4">
        <v>0</v>
      </c>
      <c r="U6587" s="4">
        <f t="shared" si="302"/>
        <v>0</v>
      </c>
      <c r="V6587" s="3"/>
      <c r="W6587" s="3">
        <v>2014</v>
      </c>
      <c r="X6587" s="3">
        <v>11.12</v>
      </c>
    </row>
    <row r="6588" spans="1:24" ht="114.75">
      <c r="A6588" s="3" t="s">
        <v>13839</v>
      </c>
      <c r="B6588" s="6" t="s">
        <v>361</v>
      </c>
      <c r="C6588" s="6" t="s">
        <v>6976</v>
      </c>
      <c r="D6588" s="6" t="s">
        <v>507</v>
      </c>
      <c r="E6588" s="6" t="s">
        <v>5743</v>
      </c>
      <c r="F6588" s="6" t="s">
        <v>6977</v>
      </c>
      <c r="G6588" s="57" t="s">
        <v>11449</v>
      </c>
      <c r="H6588" s="185">
        <v>0</v>
      </c>
      <c r="I6588" s="16">
        <v>470000000</v>
      </c>
      <c r="J6588" s="56" t="s">
        <v>229</v>
      </c>
      <c r="K6588" s="57" t="s">
        <v>642</v>
      </c>
      <c r="L6588" s="12" t="s">
        <v>404</v>
      </c>
      <c r="M6588" s="3" t="s">
        <v>230</v>
      </c>
      <c r="N6588" s="8" t="s">
        <v>9479</v>
      </c>
      <c r="O6588" s="6" t="s">
        <v>365</v>
      </c>
      <c r="P6588" s="58" t="s">
        <v>241</v>
      </c>
      <c r="Q6588" s="27" t="s">
        <v>234</v>
      </c>
      <c r="R6588" s="27">
        <v>2</v>
      </c>
      <c r="S6588" s="59">
        <v>56000</v>
      </c>
      <c r="T6588" s="4">
        <f>R6588*S6588</f>
        <v>112000</v>
      </c>
      <c r="U6588" s="4">
        <f>T6588*1.12</f>
        <v>125440.00000000001</v>
      </c>
      <c r="V6588" s="3"/>
      <c r="W6588" s="3">
        <v>2014</v>
      </c>
      <c r="X6588" s="3"/>
    </row>
    <row r="6589" spans="1:24" ht="114.75">
      <c r="A6589" s="3" t="s">
        <v>2738</v>
      </c>
      <c r="B6589" s="6" t="s">
        <v>361</v>
      </c>
      <c r="C6589" s="6" t="s">
        <v>6976</v>
      </c>
      <c r="D6589" s="6" t="s">
        <v>507</v>
      </c>
      <c r="E6589" s="6" t="s">
        <v>5743</v>
      </c>
      <c r="F6589" s="6" t="s">
        <v>6978</v>
      </c>
      <c r="G6589" s="57" t="s">
        <v>11449</v>
      </c>
      <c r="H6589" s="185">
        <v>0</v>
      </c>
      <c r="I6589" s="16">
        <v>470000000</v>
      </c>
      <c r="J6589" s="56" t="s">
        <v>229</v>
      </c>
      <c r="K6589" s="57" t="s">
        <v>641</v>
      </c>
      <c r="L6589" s="57" t="s">
        <v>364</v>
      </c>
      <c r="M6589" s="3" t="s">
        <v>230</v>
      </c>
      <c r="N6589" s="8" t="s">
        <v>9479</v>
      </c>
      <c r="O6589" s="6" t="s">
        <v>365</v>
      </c>
      <c r="P6589" s="58" t="s">
        <v>241</v>
      </c>
      <c r="Q6589" s="27" t="s">
        <v>234</v>
      </c>
      <c r="R6589" s="27">
        <v>2</v>
      </c>
      <c r="S6589" s="59">
        <v>56000</v>
      </c>
      <c r="T6589" s="4">
        <v>0</v>
      </c>
      <c r="U6589" s="4">
        <f t="shared" si="302"/>
        <v>0</v>
      </c>
      <c r="V6589" s="3"/>
      <c r="W6589" s="3">
        <v>2014</v>
      </c>
      <c r="X6589" s="3">
        <v>11.12</v>
      </c>
    </row>
    <row r="6590" spans="1:24" ht="114.75">
      <c r="A6590" s="3" t="s">
        <v>13840</v>
      </c>
      <c r="B6590" s="6" t="s">
        <v>361</v>
      </c>
      <c r="C6590" s="6" t="s">
        <v>6976</v>
      </c>
      <c r="D6590" s="6" t="s">
        <v>507</v>
      </c>
      <c r="E6590" s="6" t="s">
        <v>5743</v>
      </c>
      <c r="F6590" s="6" t="s">
        <v>6978</v>
      </c>
      <c r="G6590" s="57" t="s">
        <v>11449</v>
      </c>
      <c r="H6590" s="185">
        <v>0</v>
      </c>
      <c r="I6590" s="16">
        <v>470000000</v>
      </c>
      <c r="J6590" s="56" t="s">
        <v>229</v>
      </c>
      <c r="K6590" s="57" t="s">
        <v>642</v>
      </c>
      <c r="L6590" s="12" t="s">
        <v>404</v>
      </c>
      <c r="M6590" s="3" t="s">
        <v>230</v>
      </c>
      <c r="N6590" s="8" t="s">
        <v>9479</v>
      </c>
      <c r="O6590" s="6" t="s">
        <v>365</v>
      </c>
      <c r="P6590" s="58" t="s">
        <v>241</v>
      </c>
      <c r="Q6590" s="27" t="s">
        <v>234</v>
      </c>
      <c r="R6590" s="27">
        <v>2</v>
      </c>
      <c r="S6590" s="59">
        <v>56000</v>
      </c>
      <c r="T6590" s="4">
        <f>R6590*S6590</f>
        <v>112000</v>
      </c>
      <c r="U6590" s="4">
        <f>T6590*1.12</f>
        <v>125440.00000000001</v>
      </c>
      <c r="V6590" s="3"/>
      <c r="W6590" s="3">
        <v>2014</v>
      </c>
      <c r="X6590" s="3"/>
    </row>
    <row r="6591" spans="1:24" ht="114.75">
      <c r="A6591" s="3" t="s">
        <v>2739</v>
      </c>
      <c r="B6591" s="6" t="s">
        <v>361</v>
      </c>
      <c r="C6591" s="6" t="s">
        <v>6979</v>
      </c>
      <c r="D6591" s="6" t="s">
        <v>5545</v>
      </c>
      <c r="E6591" s="6" t="s">
        <v>5923</v>
      </c>
      <c r="F6591" s="6" t="s">
        <v>6980</v>
      </c>
      <c r="G6591" s="57" t="s">
        <v>11449</v>
      </c>
      <c r="H6591" s="185">
        <v>0</v>
      </c>
      <c r="I6591" s="16">
        <v>470000000</v>
      </c>
      <c r="J6591" s="56" t="s">
        <v>229</v>
      </c>
      <c r="K6591" s="57" t="s">
        <v>641</v>
      </c>
      <c r="L6591" s="57" t="s">
        <v>364</v>
      </c>
      <c r="M6591" s="3" t="s">
        <v>230</v>
      </c>
      <c r="N6591" s="8" t="s">
        <v>9479</v>
      </c>
      <c r="O6591" s="6" t="s">
        <v>365</v>
      </c>
      <c r="P6591" s="58" t="s">
        <v>241</v>
      </c>
      <c r="Q6591" s="27" t="s">
        <v>234</v>
      </c>
      <c r="R6591" s="27">
        <v>20</v>
      </c>
      <c r="S6591" s="59">
        <v>715</v>
      </c>
      <c r="T6591" s="4">
        <v>0</v>
      </c>
      <c r="U6591" s="4">
        <f t="shared" si="302"/>
        <v>0</v>
      </c>
      <c r="V6591" s="3"/>
      <c r="W6591" s="3">
        <v>2014</v>
      </c>
      <c r="X6591" s="3">
        <v>11.12</v>
      </c>
    </row>
    <row r="6592" spans="1:24" ht="114.75">
      <c r="A6592" s="3" t="s">
        <v>13841</v>
      </c>
      <c r="B6592" s="6" t="s">
        <v>361</v>
      </c>
      <c r="C6592" s="6" t="s">
        <v>6979</v>
      </c>
      <c r="D6592" s="6" t="s">
        <v>5545</v>
      </c>
      <c r="E6592" s="6" t="s">
        <v>5923</v>
      </c>
      <c r="F6592" s="6" t="s">
        <v>6980</v>
      </c>
      <c r="G6592" s="57" t="s">
        <v>11449</v>
      </c>
      <c r="H6592" s="185">
        <v>0</v>
      </c>
      <c r="I6592" s="16">
        <v>470000000</v>
      </c>
      <c r="J6592" s="56" t="s">
        <v>229</v>
      </c>
      <c r="K6592" s="57" t="s">
        <v>642</v>
      </c>
      <c r="L6592" s="12" t="s">
        <v>404</v>
      </c>
      <c r="M6592" s="3" t="s">
        <v>230</v>
      </c>
      <c r="N6592" s="8" t="s">
        <v>9479</v>
      </c>
      <c r="O6592" s="6" t="s">
        <v>365</v>
      </c>
      <c r="P6592" s="58" t="s">
        <v>241</v>
      </c>
      <c r="Q6592" s="27" t="s">
        <v>234</v>
      </c>
      <c r="R6592" s="27">
        <v>20</v>
      </c>
      <c r="S6592" s="59">
        <v>715</v>
      </c>
      <c r="T6592" s="4">
        <f>R6592*S6592</f>
        <v>14300</v>
      </c>
      <c r="U6592" s="4">
        <f>T6592*1.12</f>
        <v>16016.000000000002</v>
      </c>
      <c r="V6592" s="3"/>
      <c r="W6592" s="3">
        <v>2014</v>
      </c>
      <c r="X6592" s="3"/>
    </row>
    <row r="6593" spans="1:24" ht="114.75">
      <c r="A6593" s="3" t="s">
        <v>2740</v>
      </c>
      <c r="B6593" s="6" t="s">
        <v>361</v>
      </c>
      <c r="C6593" s="6" t="s">
        <v>6981</v>
      </c>
      <c r="D6593" s="6" t="s">
        <v>6982</v>
      </c>
      <c r="E6593" s="6" t="s">
        <v>6983</v>
      </c>
      <c r="F6593" s="6" t="s">
        <v>6984</v>
      </c>
      <c r="G6593" s="57" t="s">
        <v>11449</v>
      </c>
      <c r="H6593" s="185">
        <v>0</v>
      </c>
      <c r="I6593" s="16">
        <v>470000000</v>
      </c>
      <c r="J6593" s="56" t="s">
        <v>229</v>
      </c>
      <c r="K6593" s="57" t="s">
        <v>641</v>
      </c>
      <c r="L6593" s="57" t="s">
        <v>364</v>
      </c>
      <c r="M6593" s="3" t="s">
        <v>230</v>
      </c>
      <c r="N6593" s="8" t="s">
        <v>9479</v>
      </c>
      <c r="O6593" s="6" t="s">
        <v>365</v>
      </c>
      <c r="P6593" s="58" t="s">
        <v>241</v>
      </c>
      <c r="Q6593" s="27" t="s">
        <v>234</v>
      </c>
      <c r="R6593" s="27">
        <v>4</v>
      </c>
      <c r="S6593" s="59">
        <v>3800</v>
      </c>
      <c r="T6593" s="4">
        <v>0</v>
      </c>
      <c r="U6593" s="4">
        <f t="shared" si="302"/>
        <v>0</v>
      </c>
      <c r="V6593" s="3"/>
      <c r="W6593" s="3">
        <v>2014</v>
      </c>
      <c r="X6593" s="3">
        <v>11.12</v>
      </c>
    </row>
    <row r="6594" spans="1:24" ht="114.75">
      <c r="A6594" s="3" t="s">
        <v>13842</v>
      </c>
      <c r="B6594" s="6" t="s">
        <v>361</v>
      </c>
      <c r="C6594" s="6" t="s">
        <v>6981</v>
      </c>
      <c r="D6594" s="6" t="s">
        <v>6982</v>
      </c>
      <c r="E6594" s="6" t="s">
        <v>6983</v>
      </c>
      <c r="F6594" s="6" t="s">
        <v>6984</v>
      </c>
      <c r="G6594" s="57" t="s">
        <v>11449</v>
      </c>
      <c r="H6594" s="185">
        <v>0</v>
      </c>
      <c r="I6594" s="16">
        <v>470000000</v>
      </c>
      <c r="J6594" s="56" t="s">
        <v>229</v>
      </c>
      <c r="K6594" s="57" t="s">
        <v>642</v>
      </c>
      <c r="L6594" s="12" t="s">
        <v>404</v>
      </c>
      <c r="M6594" s="3" t="s">
        <v>230</v>
      </c>
      <c r="N6594" s="8" t="s">
        <v>9479</v>
      </c>
      <c r="O6594" s="6" t="s">
        <v>365</v>
      </c>
      <c r="P6594" s="58" t="s">
        <v>241</v>
      </c>
      <c r="Q6594" s="27" t="s">
        <v>234</v>
      </c>
      <c r="R6594" s="27">
        <v>4</v>
      </c>
      <c r="S6594" s="59">
        <v>3800</v>
      </c>
      <c r="T6594" s="4">
        <f>R6594*S6594</f>
        <v>15200</v>
      </c>
      <c r="U6594" s="4">
        <f>T6594*1.12</f>
        <v>17024</v>
      </c>
      <c r="V6594" s="3"/>
      <c r="W6594" s="3">
        <v>2014</v>
      </c>
      <c r="X6594" s="3"/>
    </row>
    <row r="6595" spans="1:24" ht="114.75">
      <c r="A6595" s="3" t="s">
        <v>2741</v>
      </c>
      <c r="B6595" s="6" t="s">
        <v>361</v>
      </c>
      <c r="C6595" s="6" t="s">
        <v>6985</v>
      </c>
      <c r="D6595" s="6" t="s">
        <v>6986</v>
      </c>
      <c r="E6595" s="6" t="s">
        <v>5998</v>
      </c>
      <c r="F6595" s="6" t="s">
        <v>6987</v>
      </c>
      <c r="G6595" s="57" t="s">
        <v>11449</v>
      </c>
      <c r="H6595" s="185">
        <v>0</v>
      </c>
      <c r="I6595" s="16">
        <v>470000000</v>
      </c>
      <c r="J6595" s="56" t="s">
        <v>229</v>
      </c>
      <c r="K6595" s="57" t="s">
        <v>641</v>
      </c>
      <c r="L6595" s="57" t="s">
        <v>364</v>
      </c>
      <c r="M6595" s="3" t="s">
        <v>230</v>
      </c>
      <c r="N6595" s="8" t="s">
        <v>9479</v>
      </c>
      <c r="O6595" s="6" t="s">
        <v>365</v>
      </c>
      <c r="P6595" s="58" t="s">
        <v>241</v>
      </c>
      <c r="Q6595" s="27" t="s">
        <v>234</v>
      </c>
      <c r="R6595" s="27">
        <v>10</v>
      </c>
      <c r="S6595" s="59">
        <v>2500</v>
      </c>
      <c r="T6595" s="4">
        <v>0</v>
      </c>
      <c r="U6595" s="4">
        <f t="shared" si="302"/>
        <v>0</v>
      </c>
      <c r="V6595" s="3"/>
      <c r="W6595" s="3">
        <v>2014</v>
      </c>
      <c r="X6595" s="3">
        <v>11.12</v>
      </c>
    </row>
    <row r="6596" spans="1:24" ht="114.75">
      <c r="A6596" s="3" t="s">
        <v>13843</v>
      </c>
      <c r="B6596" s="6" t="s">
        <v>361</v>
      </c>
      <c r="C6596" s="6" t="s">
        <v>6985</v>
      </c>
      <c r="D6596" s="6" t="s">
        <v>6986</v>
      </c>
      <c r="E6596" s="6" t="s">
        <v>5998</v>
      </c>
      <c r="F6596" s="6" t="s">
        <v>6987</v>
      </c>
      <c r="G6596" s="57" t="s">
        <v>11449</v>
      </c>
      <c r="H6596" s="185">
        <v>0</v>
      </c>
      <c r="I6596" s="16">
        <v>470000000</v>
      </c>
      <c r="J6596" s="56" t="s">
        <v>229</v>
      </c>
      <c r="K6596" s="57" t="s">
        <v>642</v>
      </c>
      <c r="L6596" s="12" t="s">
        <v>404</v>
      </c>
      <c r="M6596" s="3" t="s">
        <v>230</v>
      </c>
      <c r="N6596" s="8" t="s">
        <v>9479</v>
      </c>
      <c r="O6596" s="6" t="s">
        <v>365</v>
      </c>
      <c r="P6596" s="58" t="s">
        <v>241</v>
      </c>
      <c r="Q6596" s="27" t="s">
        <v>234</v>
      </c>
      <c r="R6596" s="27">
        <v>10</v>
      </c>
      <c r="S6596" s="59">
        <v>2500</v>
      </c>
      <c r="T6596" s="4">
        <f>R6596*S6596</f>
        <v>25000</v>
      </c>
      <c r="U6596" s="4">
        <f>T6596*1.12</f>
        <v>28000.000000000004</v>
      </c>
      <c r="V6596" s="3"/>
      <c r="W6596" s="3">
        <v>2014</v>
      </c>
      <c r="X6596" s="3"/>
    </row>
    <row r="6597" spans="1:24" ht="114.75">
      <c r="A6597" s="3" t="s">
        <v>2742</v>
      </c>
      <c r="B6597" s="6" t="s">
        <v>361</v>
      </c>
      <c r="C6597" s="6" t="s">
        <v>6985</v>
      </c>
      <c r="D6597" s="6" t="s">
        <v>6986</v>
      </c>
      <c r="E6597" s="6" t="s">
        <v>5998</v>
      </c>
      <c r="F6597" s="6" t="s">
        <v>498</v>
      </c>
      <c r="G6597" s="57" t="s">
        <v>11449</v>
      </c>
      <c r="H6597" s="185">
        <v>0</v>
      </c>
      <c r="I6597" s="16">
        <v>470000000</v>
      </c>
      <c r="J6597" s="56" t="s">
        <v>229</v>
      </c>
      <c r="K6597" s="57" t="s">
        <v>641</v>
      </c>
      <c r="L6597" s="57" t="s">
        <v>364</v>
      </c>
      <c r="M6597" s="3" t="s">
        <v>230</v>
      </c>
      <c r="N6597" s="8" t="s">
        <v>9479</v>
      </c>
      <c r="O6597" s="6" t="s">
        <v>365</v>
      </c>
      <c r="P6597" s="58" t="s">
        <v>241</v>
      </c>
      <c r="Q6597" s="27" t="s">
        <v>234</v>
      </c>
      <c r="R6597" s="27">
        <v>20</v>
      </c>
      <c r="S6597" s="59">
        <v>1071.43</v>
      </c>
      <c r="T6597" s="4">
        <v>0</v>
      </c>
      <c r="U6597" s="4">
        <f t="shared" si="302"/>
        <v>0</v>
      </c>
      <c r="V6597" s="3"/>
      <c r="W6597" s="3">
        <v>2014</v>
      </c>
      <c r="X6597" s="3">
        <v>11.12</v>
      </c>
    </row>
    <row r="6598" spans="1:24" ht="114.75">
      <c r="A6598" s="3" t="s">
        <v>13844</v>
      </c>
      <c r="B6598" s="6" t="s">
        <v>361</v>
      </c>
      <c r="C6598" s="6" t="s">
        <v>6985</v>
      </c>
      <c r="D6598" s="6" t="s">
        <v>6986</v>
      </c>
      <c r="E6598" s="6" t="s">
        <v>5998</v>
      </c>
      <c r="F6598" s="6" t="s">
        <v>498</v>
      </c>
      <c r="G6598" s="57" t="s">
        <v>11449</v>
      </c>
      <c r="H6598" s="185">
        <v>0</v>
      </c>
      <c r="I6598" s="16">
        <v>470000000</v>
      </c>
      <c r="J6598" s="56" t="s">
        <v>229</v>
      </c>
      <c r="K6598" s="57" t="s">
        <v>642</v>
      </c>
      <c r="L6598" s="12" t="s">
        <v>404</v>
      </c>
      <c r="M6598" s="3" t="s">
        <v>230</v>
      </c>
      <c r="N6598" s="8" t="s">
        <v>9479</v>
      </c>
      <c r="O6598" s="6" t="s">
        <v>365</v>
      </c>
      <c r="P6598" s="58" t="s">
        <v>241</v>
      </c>
      <c r="Q6598" s="27" t="s">
        <v>234</v>
      </c>
      <c r="R6598" s="27">
        <v>20</v>
      </c>
      <c r="S6598" s="59">
        <v>1071.43</v>
      </c>
      <c r="T6598" s="4">
        <f>R6598*S6598</f>
        <v>21428.600000000002</v>
      </c>
      <c r="U6598" s="4">
        <f>T6598*1.12</f>
        <v>24000.032000000007</v>
      </c>
      <c r="V6598" s="3"/>
      <c r="W6598" s="3">
        <v>2014</v>
      </c>
      <c r="X6598" s="3"/>
    </row>
    <row r="6599" spans="1:24" ht="114.75">
      <c r="A6599" s="3" t="s">
        <v>2743</v>
      </c>
      <c r="B6599" s="6" t="s">
        <v>361</v>
      </c>
      <c r="C6599" s="6" t="s">
        <v>6981</v>
      </c>
      <c r="D6599" s="6" t="s">
        <v>6982</v>
      </c>
      <c r="E6599" s="6" t="s">
        <v>6983</v>
      </c>
      <c r="F6599" s="6" t="s">
        <v>6988</v>
      </c>
      <c r="G6599" s="57" t="s">
        <v>11449</v>
      </c>
      <c r="H6599" s="185">
        <v>0</v>
      </c>
      <c r="I6599" s="16">
        <v>470000000</v>
      </c>
      <c r="J6599" s="56" t="s">
        <v>229</v>
      </c>
      <c r="K6599" s="57" t="s">
        <v>641</v>
      </c>
      <c r="L6599" s="57" t="s">
        <v>364</v>
      </c>
      <c r="M6599" s="3" t="s">
        <v>230</v>
      </c>
      <c r="N6599" s="8" t="s">
        <v>9479</v>
      </c>
      <c r="O6599" s="6" t="s">
        <v>365</v>
      </c>
      <c r="P6599" s="58" t="s">
        <v>241</v>
      </c>
      <c r="Q6599" s="27" t="s">
        <v>234</v>
      </c>
      <c r="R6599" s="27">
        <v>4</v>
      </c>
      <c r="S6599" s="59">
        <v>4800</v>
      </c>
      <c r="T6599" s="4">
        <v>0</v>
      </c>
      <c r="U6599" s="4">
        <f t="shared" si="302"/>
        <v>0</v>
      </c>
      <c r="V6599" s="3"/>
      <c r="W6599" s="3">
        <v>2014</v>
      </c>
      <c r="X6599" s="3">
        <v>11.12</v>
      </c>
    </row>
    <row r="6600" spans="1:24" ht="114.75">
      <c r="A6600" s="3" t="s">
        <v>13845</v>
      </c>
      <c r="B6600" s="6" t="s">
        <v>361</v>
      </c>
      <c r="C6600" s="6" t="s">
        <v>6981</v>
      </c>
      <c r="D6600" s="6" t="s">
        <v>6982</v>
      </c>
      <c r="E6600" s="6" t="s">
        <v>6983</v>
      </c>
      <c r="F6600" s="6" t="s">
        <v>6988</v>
      </c>
      <c r="G6600" s="57" t="s">
        <v>11449</v>
      </c>
      <c r="H6600" s="185">
        <v>0</v>
      </c>
      <c r="I6600" s="16">
        <v>470000000</v>
      </c>
      <c r="J6600" s="56" t="s">
        <v>229</v>
      </c>
      <c r="K6600" s="57" t="s">
        <v>642</v>
      </c>
      <c r="L6600" s="12" t="s">
        <v>404</v>
      </c>
      <c r="M6600" s="3" t="s">
        <v>230</v>
      </c>
      <c r="N6600" s="8" t="s">
        <v>9479</v>
      </c>
      <c r="O6600" s="6" t="s">
        <v>365</v>
      </c>
      <c r="P6600" s="58" t="s">
        <v>241</v>
      </c>
      <c r="Q6600" s="27" t="s">
        <v>234</v>
      </c>
      <c r="R6600" s="27">
        <v>4</v>
      </c>
      <c r="S6600" s="59">
        <v>4800</v>
      </c>
      <c r="T6600" s="4">
        <f>R6600*S6600</f>
        <v>19200</v>
      </c>
      <c r="U6600" s="4">
        <f>T6600*1.12</f>
        <v>21504.000000000004</v>
      </c>
      <c r="V6600" s="3"/>
      <c r="W6600" s="3">
        <v>2014</v>
      </c>
      <c r="X6600" s="3"/>
    </row>
    <row r="6601" spans="1:24" ht="127.5">
      <c r="A6601" s="3" t="s">
        <v>2744</v>
      </c>
      <c r="B6601" s="6" t="s">
        <v>361</v>
      </c>
      <c r="C6601" s="6" t="s">
        <v>6989</v>
      </c>
      <c r="D6601" s="6" t="s">
        <v>3119</v>
      </c>
      <c r="E6601" s="6" t="s">
        <v>6990</v>
      </c>
      <c r="F6601" s="6" t="s">
        <v>6991</v>
      </c>
      <c r="G6601" s="57" t="s">
        <v>11449</v>
      </c>
      <c r="H6601" s="185">
        <v>0</v>
      </c>
      <c r="I6601" s="16">
        <v>470000000</v>
      </c>
      <c r="J6601" s="56" t="s">
        <v>229</v>
      </c>
      <c r="K6601" s="57" t="s">
        <v>641</v>
      </c>
      <c r="L6601" s="57" t="s">
        <v>364</v>
      </c>
      <c r="M6601" s="3" t="s">
        <v>230</v>
      </c>
      <c r="N6601" s="8" t="s">
        <v>9479</v>
      </c>
      <c r="O6601" s="6" t="s">
        <v>365</v>
      </c>
      <c r="P6601" s="58" t="s">
        <v>242</v>
      </c>
      <c r="Q6601" s="27" t="s">
        <v>239</v>
      </c>
      <c r="R6601" s="27">
        <v>2</v>
      </c>
      <c r="S6601" s="59">
        <f>503250*1.07</f>
        <v>538477.5</v>
      </c>
      <c r="T6601" s="4">
        <v>0</v>
      </c>
      <c r="U6601" s="4">
        <f t="shared" si="302"/>
        <v>0</v>
      </c>
      <c r="V6601" s="3"/>
      <c r="W6601" s="3">
        <v>2014</v>
      </c>
      <c r="X6601" s="3">
        <v>11.12</v>
      </c>
    </row>
    <row r="6602" spans="1:24" ht="127.5">
      <c r="A6602" s="3" t="s">
        <v>13846</v>
      </c>
      <c r="B6602" s="6" t="s">
        <v>361</v>
      </c>
      <c r="C6602" s="6" t="s">
        <v>6989</v>
      </c>
      <c r="D6602" s="6" t="s">
        <v>3119</v>
      </c>
      <c r="E6602" s="6" t="s">
        <v>6990</v>
      </c>
      <c r="F6602" s="6" t="s">
        <v>6991</v>
      </c>
      <c r="G6602" s="57" t="s">
        <v>11449</v>
      </c>
      <c r="H6602" s="185">
        <v>0</v>
      </c>
      <c r="I6602" s="16">
        <v>470000000</v>
      </c>
      <c r="J6602" s="56" t="s">
        <v>229</v>
      </c>
      <c r="K6602" s="57" t="s">
        <v>642</v>
      </c>
      <c r="L6602" s="12" t="s">
        <v>404</v>
      </c>
      <c r="M6602" s="3" t="s">
        <v>230</v>
      </c>
      <c r="N6602" s="8" t="s">
        <v>9479</v>
      </c>
      <c r="O6602" s="6" t="s">
        <v>365</v>
      </c>
      <c r="P6602" s="58" t="s">
        <v>242</v>
      </c>
      <c r="Q6602" s="27" t="s">
        <v>239</v>
      </c>
      <c r="R6602" s="27">
        <v>2</v>
      </c>
      <c r="S6602" s="59">
        <f>503250*1.07</f>
        <v>538477.5</v>
      </c>
      <c r="T6602" s="4">
        <v>0</v>
      </c>
      <c r="U6602" s="4">
        <f>T6602*1.12</f>
        <v>0</v>
      </c>
      <c r="V6602" s="3"/>
      <c r="W6602" s="3">
        <v>2014</v>
      </c>
      <c r="X6602" s="3" t="s">
        <v>14785</v>
      </c>
    </row>
    <row r="6603" spans="1:24" ht="127.5">
      <c r="A6603" s="3" t="s">
        <v>17097</v>
      </c>
      <c r="B6603" s="6" t="s">
        <v>361</v>
      </c>
      <c r="C6603" s="6" t="s">
        <v>6989</v>
      </c>
      <c r="D6603" s="6" t="s">
        <v>3119</v>
      </c>
      <c r="E6603" s="6" t="s">
        <v>6990</v>
      </c>
      <c r="F6603" s="6" t="s">
        <v>6991</v>
      </c>
      <c r="G6603" s="3" t="s">
        <v>11449</v>
      </c>
      <c r="H6603" s="185">
        <v>0</v>
      </c>
      <c r="I6603" s="16">
        <v>470000000</v>
      </c>
      <c r="J6603" s="56" t="s">
        <v>229</v>
      </c>
      <c r="K6603" s="57" t="s">
        <v>8950</v>
      </c>
      <c r="L6603" s="12" t="s">
        <v>404</v>
      </c>
      <c r="M6603" s="3" t="s">
        <v>230</v>
      </c>
      <c r="N6603" s="8" t="s">
        <v>9479</v>
      </c>
      <c r="O6603" s="6" t="s">
        <v>365</v>
      </c>
      <c r="P6603" s="58" t="s">
        <v>242</v>
      </c>
      <c r="Q6603" s="27" t="s">
        <v>239</v>
      </c>
      <c r="R6603" s="27">
        <v>2</v>
      </c>
      <c r="S6603" s="59">
        <v>646173</v>
      </c>
      <c r="T6603" s="4">
        <v>0</v>
      </c>
      <c r="U6603" s="4">
        <f>T6603*1.12</f>
        <v>0</v>
      </c>
      <c r="V6603" s="3"/>
      <c r="W6603" s="3">
        <v>2014</v>
      </c>
      <c r="X6603" s="3">
        <v>11</v>
      </c>
    </row>
    <row r="6604" spans="1:24" ht="127.5">
      <c r="A6604" s="3" t="s">
        <v>19033</v>
      </c>
      <c r="B6604" s="6" t="s">
        <v>361</v>
      </c>
      <c r="C6604" s="6" t="s">
        <v>6989</v>
      </c>
      <c r="D6604" s="6" t="s">
        <v>3119</v>
      </c>
      <c r="E6604" s="6" t="s">
        <v>6990</v>
      </c>
      <c r="F6604" s="6" t="s">
        <v>6991</v>
      </c>
      <c r="G6604" s="3" t="s">
        <v>11449</v>
      </c>
      <c r="H6604" s="185">
        <v>0</v>
      </c>
      <c r="I6604" s="16">
        <v>470000000</v>
      </c>
      <c r="J6604" s="56" t="s">
        <v>229</v>
      </c>
      <c r="K6604" s="57" t="s">
        <v>18437</v>
      </c>
      <c r="L6604" s="12" t="s">
        <v>404</v>
      </c>
      <c r="M6604" s="3" t="s">
        <v>230</v>
      </c>
      <c r="N6604" s="8" t="s">
        <v>9479</v>
      </c>
      <c r="O6604" s="6" t="s">
        <v>365</v>
      </c>
      <c r="P6604" s="58" t="s">
        <v>242</v>
      </c>
      <c r="Q6604" s="27" t="s">
        <v>239</v>
      </c>
      <c r="R6604" s="27">
        <v>2</v>
      </c>
      <c r="S6604" s="59">
        <v>646173</v>
      </c>
      <c r="T6604" s="4">
        <v>0</v>
      </c>
      <c r="U6604" s="4">
        <f>T6604*1.12</f>
        <v>0</v>
      </c>
      <c r="V6604" s="3"/>
      <c r="W6604" s="3">
        <v>2014</v>
      </c>
      <c r="X6604" s="3">
        <v>14.15</v>
      </c>
    </row>
    <row r="6605" spans="1:24" ht="127.5">
      <c r="A6605" s="3" t="s">
        <v>19517</v>
      </c>
      <c r="B6605" s="6" t="s">
        <v>361</v>
      </c>
      <c r="C6605" s="6" t="s">
        <v>6989</v>
      </c>
      <c r="D6605" s="6" t="s">
        <v>3119</v>
      </c>
      <c r="E6605" s="6" t="s">
        <v>6990</v>
      </c>
      <c r="F6605" s="6" t="s">
        <v>6991</v>
      </c>
      <c r="G6605" s="3" t="s">
        <v>11449</v>
      </c>
      <c r="H6605" s="185">
        <v>0</v>
      </c>
      <c r="I6605" s="16">
        <v>470000000</v>
      </c>
      <c r="J6605" s="56" t="s">
        <v>229</v>
      </c>
      <c r="K6605" s="57" t="s">
        <v>18437</v>
      </c>
      <c r="L6605" s="12" t="s">
        <v>404</v>
      </c>
      <c r="M6605" s="3" t="s">
        <v>230</v>
      </c>
      <c r="N6605" s="8" t="s">
        <v>19369</v>
      </c>
      <c r="O6605" s="6" t="s">
        <v>19407</v>
      </c>
      <c r="P6605" s="58" t="s">
        <v>242</v>
      </c>
      <c r="Q6605" s="27" t="s">
        <v>239</v>
      </c>
      <c r="R6605" s="27">
        <v>2</v>
      </c>
      <c r="S6605" s="59">
        <v>646173</v>
      </c>
      <c r="T6605" s="4">
        <f>R6605*S6605</f>
        <v>1292346</v>
      </c>
      <c r="U6605" s="4">
        <f>T6605*1.12</f>
        <v>1447427.5200000003</v>
      </c>
      <c r="V6605" s="3"/>
      <c r="W6605" s="3">
        <v>2014</v>
      </c>
      <c r="X6605" s="3"/>
    </row>
    <row r="6606" spans="1:24" ht="114.75">
      <c r="A6606" s="3" t="s">
        <v>2745</v>
      </c>
      <c r="B6606" s="6" t="s">
        <v>361</v>
      </c>
      <c r="C6606" s="6" t="s">
        <v>6015</v>
      </c>
      <c r="D6606" s="6" t="s">
        <v>408</v>
      </c>
      <c r="E6606" s="6" t="s">
        <v>5998</v>
      </c>
      <c r="F6606" s="6" t="s">
        <v>6992</v>
      </c>
      <c r="G6606" s="57" t="s">
        <v>11449</v>
      </c>
      <c r="H6606" s="185">
        <v>0</v>
      </c>
      <c r="I6606" s="16">
        <v>470000000</v>
      </c>
      <c r="J6606" s="56" t="s">
        <v>229</v>
      </c>
      <c r="K6606" s="57" t="s">
        <v>641</v>
      </c>
      <c r="L6606" s="57" t="s">
        <v>364</v>
      </c>
      <c r="M6606" s="3" t="s">
        <v>230</v>
      </c>
      <c r="N6606" s="8" t="s">
        <v>9479</v>
      </c>
      <c r="O6606" s="6" t="s">
        <v>365</v>
      </c>
      <c r="P6606" s="58" t="s">
        <v>241</v>
      </c>
      <c r="Q6606" s="27" t="s">
        <v>234</v>
      </c>
      <c r="R6606" s="27">
        <v>6</v>
      </c>
      <c r="S6606" s="59">
        <v>5000</v>
      </c>
      <c r="T6606" s="4">
        <v>0</v>
      </c>
      <c r="U6606" s="4">
        <f t="shared" si="302"/>
        <v>0</v>
      </c>
      <c r="V6606" s="3"/>
      <c r="W6606" s="3">
        <v>2014</v>
      </c>
      <c r="X6606" s="3">
        <v>11.12</v>
      </c>
    </row>
    <row r="6607" spans="1:24" ht="114.75">
      <c r="A6607" s="3" t="s">
        <v>13847</v>
      </c>
      <c r="B6607" s="6" t="s">
        <v>361</v>
      </c>
      <c r="C6607" s="6" t="s">
        <v>6015</v>
      </c>
      <c r="D6607" s="6" t="s">
        <v>408</v>
      </c>
      <c r="E6607" s="6" t="s">
        <v>5998</v>
      </c>
      <c r="F6607" s="6" t="s">
        <v>6992</v>
      </c>
      <c r="G6607" s="57" t="s">
        <v>11449</v>
      </c>
      <c r="H6607" s="185">
        <v>0</v>
      </c>
      <c r="I6607" s="16">
        <v>470000000</v>
      </c>
      <c r="J6607" s="56" t="s">
        <v>229</v>
      </c>
      <c r="K6607" s="57" t="s">
        <v>642</v>
      </c>
      <c r="L6607" s="12" t="s">
        <v>404</v>
      </c>
      <c r="M6607" s="3" t="s">
        <v>230</v>
      </c>
      <c r="N6607" s="8" t="s">
        <v>9479</v>
      </c>
      <c r="O6607" s="6" t="s">
        <v>365</v>
      </c>
      <c r="P6607" s="58" t="s">
        <v>241</v>
      </c>
      <c r="Q6607" s="27" t="s">
        <v>234</v>
      </c>
      <c r="R6607" s="27">
        <v>6</v>
      </c>
      <c r="S6607" s="59">
        <v>5000</v>
      </c>
      <c r="T6607" s="4">
        <f>R6607*S6607</f>
        <v>30000</v>
      </c>
      <c r="U6607" s="4">
        <f>T6607*1.12</f>
        <v>33600</v>
      </c>
      <c r="V6607" s="3"/>
      <c r="W6607" s="3">
        <v>2014</v>
      </c>
      <c r="X6607" s="3"/>
    </row>
    <row r="6608" spans="1:24" ht="114.75">
      <c r="A6608" s="3" t="s">
        <v>2746</v>
      </c>
      <c r="B6608" s="6" t="s">
        <v>361</v>
      </c>
      <c r="C6608" s="6" t="s">
        <v>6017</v>
      </c>
      <c r="D6608" s="6" t="s">
        <v>5388</v>
      </c>
      <c r="E6608" s="6" t="s">
        <v>5998</v>
      </c>
      <c r="F6608" s="6" t="s">
        <v>6993</v>
      </c>
      <c r="G6608" s="57" t="s">
        <v>11449</v>
      </c>
      <c r="H6608" s="185">
        <v>0</v>
      </c>
      <c r="I6608" s="16">
        <v>470000000</v>
      </c>
      <c r="J6608" s="56" t="s">
        <v>229</v>
      </c>
      <c r="K6608" s="57" t="s">
        <v>641</v>
      </c>
      <c r="L6608" s="57" t="s">
        <v>364</v>
      </c>
      <c r="M6608" s="3" t="s">
        <v>230</v>
      </c>
      <c r="N6608" s="8" t="s">
        <v>9479</v>
      </c>
      <c r="O6608" s="6" t="s">
        <v>365</v>
      </c>
      <c r="P6608" s="58" t="s">
        <v>241</v>
      </c>
      <c r="Q6608" s="27" t="s">
        <v>234</v>
      </c>
      <c r="R6608" s="27">
        <v>4</v>
      </c>
      <c r="S6608" s="59">
        <v>13500</v>
      </c>
      <c r="T6608" s="4">
        <v>0</v>
      </c>
      <c r="U6608" s="4">
        <f t="shared" si="302"/>
        <v>0</v>
      </c>
      <c r="V6608" s="3"/>
      <c r="W6608" s="3">
        <v>2014</v>
      </c>
      <c r="X6608" s="3">
        <v>11.12</v>
      </c>
    </row>
    <row r="6609" spans="1:24" ht="114.75">
      <c r="A6609" s="3" t="s">
        <v>13848</v>
      </c>
      <c r="B6609" s="6" t="s">
        <v>361</v>
      </c>
      <c r="C6609" s="6" t="s">
        <v>6017</v>
      </c>
      <c r="D6609" s="6" t="s">
        <v>5388</v>
      </c>
      <c r="E6609" s="6" t="s">
        <v>5998</v>
      </c>
      <c r="F6609" s="6" t="s">
        <v>6993</v>
      </c>
      <c r="G6609" s="57" t="s">
        <v>11449</v>
      </c>
      <c r="H6609" s="185">
        <v>0</v>
      </c>
      <c r="I6609" s="16">
        <v>470000000</v>
      </c>
      <c r="J6609" s="56" t="s">
        <v>229</v>
      </c>
      <c r="K6609" s="57" t="s">
        <v>642</v>
      </c>
      <c r="L6609" s="12" t="s">
        <v>404</v>
      </c>
      <c r="M6609" s="3" t="s">
        <v>230</v>
      </c>
      <c r="N6609" s="8" t="s">
        <v>9479</v>
      </c>
      <c r="O6609" s="6" t="s">
        <v>365</v>
      </c>
      <c r="P6609" s="58" t="s">
        <v>241</v>
      </c>
      <c r="Q6609" s="27" t="s">
        <v>234</v>
      </c>
      <c r="R6609" s="27">
        <v>4</v>
      </c>
      <c r="S6609" s="59">
        <v>13500</v>
      </c>
      <c r="T6609" s="4">
        <f>R6609*S6609</f>
        <v>54000</v>
      </c>
      <c r="U6609" s="4">
        <f>T6609*1.12</f>
        <v>60480.000000000007</v>
      </c>
      <c r="V6609" s="3"/>
      <c r="W6609" s="3">
        <v>2014</v>
      </c>
      <c r="X6609" s="3"/>
    </row>
    <row r="6610" spans="1:24" ht="114.75">
      <c r="A6610" s="3" t="s">
        <v>2747</v>
      </c>
      <c r="B6610" s="6" t="s">
        <v>361</v>
      </c>
      <c r="C6610" s="6" t="s">
        <v>6994</v>
      </c>
      <c r="D6610" s="6" t="s">
        <v>6995</v>
      </c>
      <c r="E6610" s="6" t="s">
        <v>6996</v>
      </c>
      <c r="F6610" s="6" t="s">
        <v>6997</v>
      </c>
      <c r="G6610" s="57" t="s">
        <v>11449</v>
      </c>
      <c r="H6610" s="185">
        <v>0</v>
      </c>
      <c r="I6610" s="16">
        <v>470000000</v>
      </c>
      <c r="J6610" s="56" t="s">
        <v>229</v>
      </c>
      <c r="K6610" s="57" t="s">
        <v>641</v>
      </c>
      <c r="L6610" s="57" t="s">
        <v>364</v>
      </c>
      <c r="M6610" s="3" t="s">
        <v>230</v>
      </c>
      <c r="N6610" s="8" t="s">
        <v>9479</v>
      </c>
      <c r="O6610" s="6" t="s">
        <v>365</v>
      </c>
      <c r="P6610" s="58" t="s">
        <v>241</v>
      </c>
      <c r="Q6610" s="27" t="s">
        <v>234</v>
      </c>
      <c r="R6610" s="27">
        <v>10</v>
      </c>
      <c r="S6610" s="59">
        <v>8300</v>
      </c>
      <c r="T6610" s="4">
        <v>0</v>
      </c>
      <c r="U6610" s="4">
        <f t="shared" si="302"/>
        <v>0</v>
      </c>
      <c r="V6610" s="3"/>
      <c r="W6610" s="3">
        <v>2014</v>
      </c>
      <c r="X6610" s="3">
        <v>11.12</v>
      </c>
    </row>
    <row r="6611" spans="1:24" ht="114.75">
      <c r="A6611" s="3" t="s">
        <v>13849</v>
      </c>
      <c r="B6611" s="6" t="s">
        <v>361</v>
      </c>
      <c r="C6611" s="6" t="s">
        <v>6994</v>
      </c>
      <c r="D6611" s="6" t="s">
        <v>6995</v>
      </c>
      <c r="E6611" s="6" t="s">
        <v>6996</v>
      </c>
      <c r="F6611" s="6" t="s">
        <v>6997</v>
      </c>
      <c r="G6611" s="57" t="s">
        <v>11449</v>
      </c>
      <c r="H6611" s="185">
        <v>0</v>
      </c>
      <c r="I6611" s="16">
        <v>470000000</v>
      </c>
      <c r="J6611" s="56" t="s">
        <v>229</v>
      </c>
      <c r="K6611" s="57" t="s">
        <v>642</v>
      </c>
      <c r="L6611" s="12" t="s">
        <v>404</v>
      </c>
      <c r="M6611" s="3" t="s">
        <v>230</v>
      </c>
      <c r="N6611" s="8" t="s">
        <v>9479</v>
      </c>
      <c r="O6611" s="6" t="s">
        <v>365</v>
      </c>
      <c r="P6611" s="58" t="s">
        <v>241</v>
      </c>
      <c r="Q6611" s="27" t="s">
        <v>234</v>
      </c>
      <c r="R6611" s="27">
        <v>10</v>
      </c>
      <c r="S6611" s="59">
        <v>8300</v>
      </c>
      <c r="T6611" s="4">
        <f>R6611*S6611</f>
        <v>83000</v>
      </c>
      <c r="U6611" s="4">
        <f>T6611*1.12</f>
        <v>92960.000000000015</v>
      </c>
      <c r="V6611" s="3"/>
      <c r="W6611" s="3">
        <v>2014</v>
      </c>
      <c r="X6611" s="3"/>
    </row>
    <row r="6612" spans="1:24" ht="114.75">
      <c r="A6612" s="3" t="s">
        <v>2748</v>
      </c>
      <c r="B6612" s="6" t="s">
        <v>361</v>
      </c>
      <c r="C6612" s="6" t="s">
        <v>6998</v>
      </c>
      <c r="D6612" s="6" t="s">
        <v>427</v>
      </c>
      <c r="E6612" s="6" t="s">
        <v>5998</v>
      </c>
      <c r="F6612" s="6" t="s">
        <v>6999</v>
      </c>
      <c r="G6612" s="57" t="s">
        <v>11449</v>
      </c>
      <c r="H6612" s="185">
        <v>0</v>
      </c>
      <c r="I6612" s="16">
        <v>470000000</v>
      </c>
      <c r="J6612" s="56" t="s">
        <v>229</v>
      </c>
      <c r="K6612" s="57" t="s">
        <v>641</v>
      </c>
      <c r="L6612" s="57" t="s">
        <v>364</v>
      </c>
      <c r="M6612" s="3" t="s">
        <v>230</v>
      </c>
      <c r="N6612" s="8" t="s">
        <v>9479</v>
      </c>
      <c r="O6612" s="6" t="s">
        <v>365</v>
      </c>
      <c r="P6612" s="58" t="s">
        <v>241</v>
      </c>
      <c r="Q6612" s="27" t="s">
        <v>234</v>
      </c>
      <c r="R6612" s="27">
        <v>2</v>
      </c>
      <c r="S6612" s="59">
        <v>55500</v>
      </c>
      <c r="T6612" s="4">
        <v>0</v>
      </c>
      <c r="U6612" s="4">
        <f t="shared" si="302"/>
        <v>0</v>
      </c>
      <c r="V6612" s="3"/>
      <c r="W6612" s="3">
        <v>2014</v>
      </c>
      <c r="X6612" s="3">
        <v>11.12</v>
      </c>
    </row>
    <row r="6613" spans="1:24" ht="114.75">
      <c r="A6613" s="3" t="s">
        <v>13850</v>
      </c>
      <c r="B6613" s="6" t="s">
        <v>361</v>
      </c>
      <c r="C6613" s="6" t="s">
        <v>6998</v>
      </c>
      <c r="D6613" s="6" t="s">
        <v>427</v>
      </c>
      <c r="E6613" s="6" t="s">
        <v>5998</v>
      </c>
      <c r="F6613" s="6" t="s">
        <v>6999</v>
      </c>
      <c r="G6613" s="57" t="s">
        <v>11449</v>
      </c>
      <c r="H6613" s="185">
        <v>0</v>
      </c>
      <c r="I6613" s="16">
        <v>470000000</v>
      </c>
      <c r="J6613" s="56" t="s">
        <v>229</v>
      </c>
      <c r="K6613" s="57" t="s">
        <v>642</v>
      </c>
      <c r="L6613" s="12" t="s">
        <v>404</v>
      </c>
      <c r="M6613" s="3" t="s">
        <v>230</v>
      </c>
      <c r="N6613" s="8" t="s">
        <v>9479</v>
      </c>
      <c r="O6613" s="6" t="s">
        <v>365</v>
      </c>
      <c r="P6613" s="58" t="s">
        <v>241</v>
      </c>
      <c r="Q6613" s="27" t="s">
        <v>234</v>
      </c>
      <c r="R6613" s="27">
        <v>2</v>
      </c>
      <c r="S6613" s="59">
        <v>55500</v>
      </c>
      <c r="T6613" s="4">
        <f>R6613*S6613</f>
        <v>111000</v>
      </c>
      <c r="U6613" s="4">
        <f>T6613*1.12</f>
        <v>124320.00000000001</v>
      </c>
      <c r="V6613" s="3"/>
      <c r="W6613" s="3">
        <v>2014</v>
      </c>
      <c r="X6613" s="3"/>
    </row>
    <row r="6614" spans="1:24" ht="114.75">
      <c r="A6614" s="3" t="s">
        <v>2749</v>
      </c>
      <c r="B6614" s="6" t="s">
        <v>361</v>
      </c>
      <c r="C6614" s="6" t="s">
        <v>6001</v>
      </c>
      <c r="D6614" s="6" t="s">
        <v>438</v>
      </c>
      <c r="E6614" s="6" t="s">
        <v>5998</v>
      </c>
      <c r="F6614" s="6" t="s">
        <v>7000</v>
      </c>
      <c r="G6614" s="57" t="s">
        <v>11449</v>
      </c>
      <c r="H6614" s="185">
        <v>0</v>
      </c>
      <c r="I6614" s="16">
        <v>470000000</v>
      </c>
      <c r="J6614" s="56" t="s">
        <v>229</v>
      </c>
      <c r="K6614" s="57" t="s">
        <v>641</v>
      </c>
      <c r="L6614" s="57" t="s">
        <v>364</v>
      </c>
      <c r="M6614" s="3" t="s">
        <v>230</v>
      </c>
      <c r="N6614" s="8" t="s">
        <v>9479</v>
      </c>
      <c r="O6614" s="6" t="s">
        <v>365</v>
      </c>
      <c r="P6614" s="58" t="s">
        <v>241</v>
      </c>
      <c r="Q6614" s="27" t="s">
        <v>234</v>
      </c>
      <c r="R6614" s="27">
        <v>4</v>
      </c>
      <c r="S6614" s="59">
        <v>36500</v>
      </c>
      <c r="T6614" s="4">
        <v>0</v>
      </c>
      <c r="U6614" s="4">
        <f t="shared" si="302"/>
        <v>0</v>
      </c>
      <c r="V6614" s="3"/>
      <c r="W6614" s="3">
        <v>2014</v>
      </c>
      <c r="X6614" s="3">
        <v>11.12</v>
      </c>
    </row>
    <row r="6615" spans="1:24" ht="114.75">
      <c r="A6615" s="3" t="s">
        <v>13851</v>
      </c>
      <c r="B6615" s="6" t="s">
        <v>361</v>
      </c>
      <c r="C6615" s="6" t="s">
        <v>6001</v>
      </c>
      <c r="D6615" s="6" t="s">
        <v>438</v>
      </c>
      <c r="E6615" s="6" t="s">
        <v>5998</v>
      </c>
      <c r="F6615" s="6" t="s">
        <v>7000</v>
      </c>
      <c r="G6615" s="57" t="s">
        <v>11449</v>
      </c>
      <c r="H6615" s="185">
        <v>0</v>
      </c>
      <c r="I6615" s="16">
        <v>470000000</v>
      </c>
      <c r="J6615" s="56" t="s">
        <v>229</v>
      </c>
      <c r="K6615" s="57" t="s">
        <v>642</v>
      </c>
      <c r="L6615" s="12" t="s">
        <v>404</v>
      </c>
      <c r="M6615" s="3" t="s">
        <v>230</v>
      </c>
      <c r="N6615" s="8" t="s">
        <v>9479</v>
      </c>
      <c r="O6615" s="6" t="s">
        <v>365</v>
      </c>
      <c r="P6615" s="58" t="s">
        <v>241</v>
      </c>
      <c r="Q6615" s="27" t="s">
        <v>234</v>
      </c>
      <c r="R6615" s="27">
        <v>4</v>
      </c>
      <c r="S6615" s="59">
        <v>36500</v>
      </c>
      <c r="T6615" s="4">
        <f>R6615*S6615</f>
        <v>146000</v>
      </c>
      <c r="U6615" s="4">
        <f>T6615*1.12</f>
        <v>163520.00000000003</v>
      </c>
      <c r="V6615" s="3"/>
      <c r="W6615" s="3">
        <v>2014</v>
      </c>
      <c r="X6615" s="3"/>
    </row>
    <row r="6616" spans="1:24" ht="114.75">
      <c r="A6616" s="3" t="s">
        <v>2750</v>
      </c>
      <c r="B6616" s="6" t="s">
        <v>361</v>
      </c>
      <c r="C6616" s="6" t="s">
        <v>6086</v>
      </c>
      <c r="D6616" s="6" t="s">
        <v>5871</v>
      </c>
      <c r="E6616" s="6" t="s">
        <v>6087</v>
      </c>
      <c r="F6616" s="6" t="s">
        <v>7001</v>
      </c>
      <c r="G6616" s="57" t="s">
        <v>11449</v>
      </c>
      <c r="H6616" s="185">
        <v>0</v>
      </c>
      <c r="I6616" s="16">
        <v>470000000</v>
      </c>
      <c r="J6616" s="56" t="s">
        <v>229</v>
      </c>
      <c r="K6616" s="57" t="s">
        <v>641</v>
      </c>
      <c r="L6616" s="57" t="s">
        <v>364</v>
      </c>
      <c r="M6616" s="3" t="s">
        <v>230</v>
      </c>
      <c r="N6616" s="8" t="s">
        <v>9479</v>
      </c>
      <c r="O6616" s="6" t="s">
        <v>365</v>
      </c>
      <c r="P6616" s="58" t="s">
        <v>241</v>
      </c>
      <c r="Q6616" s="27" t="s">
        <v>234</v>
      </c>
      <c r="R6616" s="27">
        <v>6</v>
      </c>
      <c r="S6616" s="59">
        <v>14800</v>
      </c>
      <c r="T6616" s="4">
        <v>0</v>
      </c>
      <c r="U6616" s="4">
        <f t="shared" si="302"/>
        <v>0</v>
      </c>
      <c r="V6616" s="3"/>
      <c r="W6616" s="3">
        <v>2014</v>
      </c>
      <c r="X6616" s="3">
        <v>11.12</v>
      </c>
    </row>
    <row r="6617" spans="1:24" ht="114.75">
      <c r="A6617" s="3" t="s">
        <v>13852</v>
      </c>
      <c r="B6617" s="6" t="s">
        <v>361</v>
      </c>
      <c r="C6617" s="6" t="s">
        <v>6086</v>
      </c>
      <c r="D6617" s="6" t="s">
        <v>5871</v>
      </c>
      <c r="E6617" s="6" t="s">
        <v>6087</v>
      </c>
      <c r="F6617" s="6" t="s">
        <v>7001</v>
      </c>
      <c r="G6617" s="57" t="s">
        <v>11449</v>
      </c>
      <c r="H6617" s="185">
        <v>0</v>
      </c>
      <c r="I6617" s="16">
        <v>470000000</v>
      </c>
      <c r="J6617" s="56" t="s">
        <v>229</v>
      </c>
      <c r="K6617" s="57" t="s">
        <v>642</v>
      </c>
      <c r="L6617" s="12" t="s">
        <v>404</v>
      </c>
      <c r="M6617" s="3" t="s">
        <v>230</v>
      </c>
      <c r="N6617" s="8" t="s">
        <v>9479</v>
      </c>
      <c r="O6617" s="6" t="s">
        <v>365</v>
      </c>
      <c r="P6617" s="58" t="s">
        <v>241</v>
      </c>
      <c r="Q6617" s="27" t="s">
        <v>234</v>
      </c>
      <c r="R6617" s="27">
        <v>6</v>
      </c>
      <c r="S6617" s="59">
        <v>14800</v>
      </c>
      <c r="T6617" s="4">
        <f>R6617*S6617</f>
        <v>88800</v>
      </c>
      <c r="U6617" s="4">
        <f>T6617*1.12</f>
        <v>99456.000000000015</v>
      </c>
      <c r="V6617" s="3"/>
      <c r="W6617" s="3">
        <v>2014</v>
      </c>
      <c r="X6617" s="3"/>
    </row>
    <row r="6618" spans="1:24" ht="114.75">
      <c r="A6618" s="3" t="s">
        <v>2751</v>
      </c>
      <c r="B6618" s="6" t="s">
        <v>361</v>
      </c>
      <c r="C6618" s="6" t="s">
        <v>7002</v>
      </c>
      <c r="D6618" s="6" t="s">
        <v>7003</v>
      </c>
      <c r="E6618" s="6" t="s">
        <v>5998</v>
      </c>
      <c r="F6618" s="6" t="s">
        <v>7004</v>
      </c>
      <c r="G6618" s="57" t="s">
        <v>11449</v>
      </c>
      <c r="H6618" s="185">
        <v>0</v>
      </c>
      <c r="I6618" s="16">
        <v>470000000</v>
      </c>
      <c r="J6618" s="56" t="s">
        <v>229</v>
      </c>
      <c r="K6618" s="57" t="s">
        <v>641</v>
      </c>
      <c r="L6618" s="57" t="s">
        <v>364</v>
      </c>
      <c r="M6618" s="3" t="s">
        <v>230</v>
      </c>
      <c r="N6618" s="8" t="s">
        <v>9479</v>
      </c>
      <c r="O6618" s="6" t="s">
        <v>365</v>
      </c>
      <c r="P6618" s="58" t="s">
        <v>241</v>
      </c>
      <c r="Q6618" s="27" t="s">
        <v>234</v>
      </c>
      <c r="R6618" s="27">
        <v>20</v>
      </c>
      <c r="S6618" s="59">
        <v>5500</v>
      </c>
      <c r="T6618" s="4">
        <v>0</v>
      </c>
      <c r="U6618" s="4">
        <f t="shared" si="302"/>
        <v>0</v>
      </c>
      <c r="V6618" s="3"/>
      <c r="W6618" s="3">
        <v>2014</v>
      </c>
      <c r="X6618" s="3">
        <v>11.12</v>
      </c>
    </row>
    <row r="6619" spans="1:24" ht="114.75">
      <c r="A6619" s="3" t="s">
        <v>13853</v>
      </c>
      <c r="B6619" s="6" t="s">
        <v>361</v>
      </c>
      <c r="C6619" s="6" t="s">
        <v>7002</v>
      </c>
      <c r="D6619" s="6" t="s">
        <v>7003</v>
      </c>
      <c r="E6619" s="6" t="s">
        <v>5998</v>
      </c>
      <c r="F6619" s="6" t="s">
        <v>7004</v>
      </c>
      <c r="G6619" s="57" t="s">
        <v>11449</v>
      </c>
      <c r="H6619" s="185">
        <v>0</v>
      </c>
      <c r="I6619" s="16">
        <v>470000000</v>
      </c>
      <c r="J6619" s="56" t="s">
        <v>229</v>
      </c>
      <c r="K6619" s="57" t="s">
        <v>642</v>
      </c>
      <c r="L6619" s="12" t="s">
        <v>404</v>
      </c>
      <c r="M6619" s="3" t="s">
        <v>230</v>
      </c>
      <c r="N6619" s="8" t="s">
        <v>9479</v>
      </c>
      <c r="O6619" s="6" t="s">
        <v>365</v>
      </c>
      <c r="P6619" s="58" t="s">
        <v>241</v>
      </c>
      <c r="Q6619" s="27" t="s">
        <v>234</v>
      </c>
      <c r="R6619" s="27">
        <v>20</v>
      </c>
      <c r="S6619" s="59">
        <v>5500</v>
      </c>
      <c r="T6619" s="4">
        <f>R6619*S6619</f>
        <v>110000</v>
      </c>
      <c r="U6619" s="4">
        <f>T6619*1.12</f>
        <v>123200.00000000001</v>
      </c>
      <c r="V6619" s="3"/>
      <c r="W6619" s="3">
        <v>2014</v>
      </c>
      <c r="X6619" s="3"/>
    </row>
    <row r="6620" spans="1:24" ht="114.75">
      <c r="A6620" s="3" t="s">
        <v>2752</v>
      </c>
      <c r="B6620" s="6" t="s">
        <v>361</v>
      </c>
      <c r="C6620" s="6" t="s">
        <v>7005</v>
      </c>
      <c r="D6620" s="6" t="s">
        <v>6662</v>
      </c>
      <c r="E6620" s="6" t="s">
        <v>5743</v>
      </c>
      <c r="F6620" s="6" t="s">
        <v>7006</v>
      </c>
      <c r="G6620" s="57" t="s">
        <v>11449</v>
      </c>
      <c r="H6620" s="185">
        <v>0</v>
      </c>
      <c r="I6620" s="16">
        <v>470000000</v>
      </c>
      <c r="J6620" s="56" t="s">
        <v>229</v>
      </c>
      <c r="K6620" s="57" t="s">
        <v>641</v>
      </c>
      <c r="L6620" s="57" t="s">
        <v>364</v>
      </c>
      <c r="M6620" s="3" t="s">
        <v>230</v>
      </c>
      <c r="N6620" s="8" t="s">
        <v>9479</v>
      </c>
      <c r="O6620" s="6" t="s">
        <v>365</v>
      </c>
      <c r="P6620" s="58" t="s">
        <v>241</v>
      </c>
      <c r="Q6620" s="27" t="s">
        <v>234</v>
      </c>
      <c r="R6620" s="27">
        <v>40</v>
      </c>
      <c r="S6620" s="59">
        <v>5500</v>
      </c>
      <c r="T6620" s="4">
        <v>0</v>
      </c>
      <c r="U6620" s="4">
        <f t="shared" si="302"/>
        <v>0</v>
      </c>
      <c r="V6620" s="3"/>
      <c r="W6620" s="3">
        <v>2014</v>
      </c>
      <c r="X6620" s="3">
        <v>11.12</v>
      </c>
    </row>
    <row r="6621" spans="1:24" ht="114.75">
      <c r="A6621" s="3" t="s">
        <v>13854</v>
      </c>
      <c r="B6621" s="6" t="s">
        <v>361</v>
      </c>
      <c r="C6621" s="6" t="s">
        <v>7005</v>
      </c>
      <c r="D6621" s="6" t="s">
        <v>6662</v>
      </c>
      <c r="E6621" s="6" t="s">
        <v>5743</v>
      </c>
      <c r="F6621" s="6" t="s">
        <v>7006</v>
      </c>
      <c r="G6621" s="57" t="s">
        <v>11449</v>
      </c>
      <c r="H6621" s="185">
        <v>0</v>
      </c>
      <c r="I6621" s="16">
        <v>470000000</v>
      </c>
      <c r="J6621" s="56" t="s">
        <v>229</v>
      </c>
      <c r="K6621" s="57" t="s">
        <v>642</v>
      </c>
      <c r="L6621" s="12" t="s">
        <v>404</v>
      </c>
      <c r="M6621" s="3" t="s">
        <v>230</v>
      </c>
      <c r="N6621" s="8" t="s">
        <v>9479</v>
      </c>
      <c r="O6621" s="6" t="s">
        <v>365</v>
      </c>
      <c r="P6621" s="58" t="s">
        <v>241</v>
      </c>
      <c r="Q6621" s="27" t="s">
        <v>234</v>
      </c>
      <c r="R6621" s="27">
        <v>40</v>
      </c>
      <c r="S6621" s="59">
        <v>5500</v>
      </c>
      <c r="T6621" s="4">
        <f>R6621*S6621</f>
        <v>220000</v>
      </c>
      <c r="U6621" s="4">
        <f>T6621*1.12</f>
        <v>246400.00000000003</v>
      </c>
      <c r="V6621" s="3"/>
      <c r="W6621" s="3">
        <v>2014</v>
      </c>
      <c r="X6621" s="3"/>
    </row>
    <row r="6622" spans="1:24" ht="114.75">
      <c r="A6622" s="3" t="s">
        <v>2753</v>
      </c>
      <c r="B6622" s="6" t="s">
        <v>361</v>
      </c>
      <c r="C6622" s="6" t="s">
        <v>7007</v>
      </c>
      <c r="D6622" s="6" t="s">
        <v>6642</v>
      </c>
      <c r="E6622" s="6" t="s">
        <v>5998</v>
      </c>
      <c r="F6622" s="6" t="s">
        <v>7008</v>
      </c>
      <c r="G6622" s="57" t="s">
        <v>11449</v>
      </c>
      <c r="H6622" s="185">
        <v>0</v>
      </c>
      <c r="I6622" s="16">
        <v>470000000</v>
      </c>
      <c r="J6622" s="56" t="s">
        <v>229</v>
      </c>
      <c r="K6622" s="57" t="s">
        <v>641</v>
      </c>
      <c r="L6622" s="57" t="s">
        <v>364</v>
      </c>
      <c r="M6622" s="3" t="s">
        <v>230</v>
      </c>
      <c r="N6622" s="8" t="s">
        <v>9479</v>
      </c>
      <c r="O6622" s="6" t="s">
        <v>365</v>
      </c>
      <c r="P6622" s="58" t="s">
        <v>241</v>
      </c>
      <c r="Q6622" s="27" t="s">
        <v>234</v>
      </c>
      <c r="R6622" s="27">
        <v>1</v>
      </c>
      <c r="S6622" s="59">
        <v>13392.86</v>
      </c>
      <c r="T6622" s="4">
        <v>0</v>
      </c>
      <c r="U6622" s="4">
        <f t="shared" si="302"/>
        <v>0</v>
      </c>
      <c r="V6622" s="3"/>
      <c r="W6622" s="3">
        <v>2014</v>
      </c>
      <c r="X6622" s="3">
        <v>11.12</v>
      </c>
    </row>
    <row r="6623" spans="1:24" ht="114.75">
      <c r="A6623" s="3" t="s">
        <v>13855</v>
      </c>
      <c r="B6623" s="6" t="s">
        <v>361</v>
      </c>
      <c r="C6623" s="6" t="s">
        <v>7007</v>
      </c>
      <c r="D6623" s="6" t="s">
        <v>6642</v>
      </c>
      <c r="E6623" s="6" t="s">
        <v>5998</v>
      </c>
      <c r="F6623" s="6" t="s">
        <v>7008</v>
      </c>
      <c r="G6623" s="57" t="s">
        <v>11449</v>
      </c>
      <c r="H6623" s="185">
        <v>0</v>
      </c>
      <c r="I6623" s="16">
        <v>470000000</v>
      </c>
      <c r="J6623" s="56" t="s">
        <v>229</v>
      </c>
      <c r="K6623" s="57" t="s">
        <v>642</v>
      </c>
      <c r="L6623" s="12" t="s">
        <v>404</v>
      </c>
      <c r="M6623" s="3" t="s">
        <v>230</v>
      </c>
      <c r="N6623" s="8" t="s">
        <v>9479</v>
      </c>
      <c r="O6623" s="6" t="s">
        <v>365</v>
      </c>
      <c r="P6623" s="58" t="s">
        <v>241</v>
      </c>
      <c r="Q6623" s="27" t="s">
        <v>234</v>
      </c>
      <c r="R6623" s="27">
        <v>1</v>
      </c>
      <c r="S6623" s="59">
        <v>13392.86</v>
      </c>
      <c r="T6623" s="4">
        <f>R6623*S6623</f>
        <v>13392.86</v>
      </c>
      <c r="U6623" s="4">
        <f>T6623*1.12</f>
        <v>15000.003200000003</v>
      </c>
      <c r="V6623" s="3"/>
      <c r="W6623" s="3">
        <v>2014</v>
      </c>
      <c r="X6623" s="3"/>
    </row>
    <row r="6624" spans="1:24" ht="114.75">
      <c r="A6624" s="3" t="s">
        <v>2754</v>
      </c>
      <c r="B6624" s="6" t="s">
        <v>361</v>
      </c>
      <c r="C6624" s="6" t="s">
        <v>7007</v>
      </c>
      <c r="D6624" s="6" t="s">
        <v>6642</v>
      </c>
      <c r="E6624" s="6" t="s">
        <v>5998</v>
      </c>
      <c r="F6624" s="6" t="s">
        <v>7009</v>
      </c>
      <c r="G6624" s="57" t="s">
        <v>11449</v>
      </c>
      <c r="H6624" s="185">
        <v>0</v>
      </c>
      <c r="I6624" s="16">
        <v>470000000</v>
      </c>
      <c r="J6624" s="56" t="s">
        <v>229</v>
      </c>
      <c r="K6624" s="57" t="s">
        <v>641</v>
      </c>
      <c r="L6624" s="57" t="s">
        <v>364</v>
      </c>
      <c r="M6624" s="3" t="s">
        <v>230</v>
      </c>
      <c r="N6624" s="8" t="s">
        <v>9479</v>
      </c>
      <c r="O6624" s="6" t="s">
        <v>365</v>
      </c>
      <c r="P6624" s="58" t="s">
        <v>241</v>
      </c>
      <c r="Q6624" s="27" t="s">
        <v>234</v>
      </c>
      <c r="R6624" s="27">
        <v>1</v>
      </c>
      <c r="S6624" s="59">
        <v>14285.71</v>
      </c>
      <c r="T6624" s="4">
        <v>0</v>
      </c>
      <c r="U6624" s="4">
        <f t="shared" si="302"/>
        <v>0</v>
      </c>
      <c r="V6624" s="3"/>
      <c r="W6624" s="3">
        <v>2014</v>
      </c>
      <c r="X6624" s="3">
        <v>11.12</v>
      </c>
    </row>
    <row r="6625" spans="1:24" ht="114.75">
      <c r="A6625" s="3" t="s">
        <v>13856</v>
      </c>
      <c r="B6625" s="6" t="s">
        <v>361</v>
      </c>
      <c r="C6625" s="6" t="s">
        <v>7007</v>
      </c>
      <c r="D6625" s="6" t="s">
        <v>6642</v>
      </c>
      <c r="E6625" s="6" t="s">
        <v>5998</v>
      </c>
      <c r="F6625" s="6" t="s">
        <v>7009</v>
      </c>
      <c r="G6625" s="57" t="s">
        <v>11449</v>
      </c>
      <c r="H6625" s="185">
        <v>0</v>
      </c>
      <c r="I6625" s="16">
        <v>470000000</v>
      </c>
      <c r="J6625" s="56" t="s">
        <v>229</v>
      </c>
      <c r="K6625" s="57" t="s">
        <v>642</v>
      </c>
      <c r="L6625" s="12" t="s">
        <v>404</v>
      </c>
      <c r="M6625" s="3" t="s">
        <v>230</v>
      </c>
      <c r="N6625" s="8" t="s">
        <v>9479</v>
      </c>
      <c r="O6625" s="6" t="s">
        <v>365</v>
      </c>
      <c r="P6625" s="58" t="s">
        <v>241</v>
      </c>
      <c r="Q6625" s="27" t="s">
        <v>234</v>
      </c>
      <c r="R6625" s="27">
        <v>1</v>
      </c>
      <c r="S6625" s="59">
        <v>14285.71</v>
      </c>
      <c r="T6625" s="4">
        <f>R6625*S6625</f>
        <v>14285.71</v>
      </c>
      <c r="U6625" s="4">
        <f>T6625*1.12</f>
        <v>15999.995200000001</v>
      </c>
      <c r="V6625" s="3"/>
      <c r="W6625" s="3">
        <v>2014</v>
      </c>
      <c r="X6625" s="3"/>
    </row>
    <row r="6626" spans="1:24" ht="114.75">
      <c r="A6626" s="3" t="s">
        <v>2755</v>
      </c>
      <c r="B6626" s="6" t="s">
        <v>361</v>
      </c>
      <c r="C6626" s="6" t="s">
        <v>7010</v>
      </c>
      <c r="D6626" s="6" t="s">
        <v>5601</v>
      </c>
      <c r="E6626" s="6" t="s">
        <v>5985</v>
      </c>
      <c r="F6626" s="6" t="s">
        <v>7011</v>
      </c>
      <c r="G6626" s="57" t="s">
        <v>11449</v>
      </c>
      <c r="H6626" s="185">
        <v>0</v>
      </c>
      <c r="I6626" s="16">
        <v>470000000</v>
      </c>
      <c r="J6626" s="56" t="s">
        <v>229</v>
      </c>
      <c r="K6626" s="57" t="s">
        <v>641</v>
      </c>
      <c r="L6626" s="57" t="s">
        <v>364</v>
      </c>
      <c r="M6626" s="3" t="s">
        <v>230</v>
      </c>
      <c r="N6626" s="8" t="s">
        <v>9479</v>
      </c>
      <c r="O6626" s="6" t="s">
        <v>365</v>
      </c>
      <c r="P6626" s="58" t="s">
        <v>241</v>
      </c>
      <c r="Q6626" s="27" t="s">
        <v>234</v>
      </c>
      <c r="R6626" s="27">
        <v>2</v>
      </c>
      <c r="S6626" s="59">
        <v>38000</v>
      </c>
      <c r="T6626" s="4">
        <v>0</v>
      </c>
      <c r="U6626" s="4">
        <f t="shared" si="302"/>
        <v>0</v>
      </c>
      <c r="V6626" s="3"/>
      <c r="W6626" s="3">
        <v>2014</v>
      </c>
      <c r="X6626" s="3">
        <v>11.12</v>
      </c>
    </row>
    <row r="6627" spans="1:24" ht="114.75">
      <c r="A6627" s="3" t="s">
        <v>13857</v>
      </c>
      <c r="B6627" s="6" t="s">
        <v>361</v>
      </c>
      <c r="C6627" s="6" t="s">
        <v>7010</v>
      </c>
      <c r="D6627" s="6" t="s">
        <v>5601</v>
      </c>
      <c r="E6627" s="6" t="s">
        <v>5985</v>
      </c>
      <c r="F6627" s="6" t="s">
        <v>7011</v>
      </c>
      <c r="G6627" s="57" t="s">
        <v>11449</v>
      </c>
      <c r="H6627" s="185">
        <v>0</v>
      </c>
      <c r="I6627" s="16">
        <v>470000000</v>
      </c>
      <c r="J6627" s="56" t="s">
        <v>229</v>
      </c>
      <c r="K6627" s="57" t="s">
        <v>642</v>
      </c>
      <c r="L6627" s="12" t="s">
        <v>404</v>
      </c>
      <c r="M6627" s="3" t="s">
        <v>230</v>
      </c>
      <c r="N6627" s="8" t="s">
        <v>9479</v>
      </c>
      <c r="O6627" s="6" t="s">
        <v>365</v>
      </c>
      <c r="P6627" s="58" t="s">
        <v>241</v>
      </c>
      <c r="Q6627" s="27" t="s">
        <v>234</v>
      </c>
      <c r="R6627" s="27">
        <v>2</v>
      </c>
      <c r="S6627" s="59">
        <v>38000</v>
      </c>
      <c r="T6627" s="4">
        <f>R6627*S6627</f>
        <v>76000</v>
      </c>
      <c r="U6627" s="4">
        <f>T6627*1.12</f>
        <v>85120.000000000015</v>
      </c>
      <c r="V6627" s="3"/>
      <c r="W6627" s="3">
        <v>2014</v>
      </c>
      <c r="X6627" s="3"/>
    </row>
    <row r="6628" spans="1:24" ht="114.75">
      <c r="A6628" s="3" t="s">
        <v>2756</v>
      </c>
      <c r="B6628" s="6" t="s">
        <v>361</v>
      </c>
      <c r="C6628" s="6" t="s">
        <v>7368</v>
      </c>
      <c r="D6628" s="6" t="s">
        <v>7369</v>
      </c>
      <c r="E6628" s="6" t="s">
        <v>7370</v>
      </c>
      <c r="F6628" s="6" t="s">
        <v>7012</v>
      </c>
      <c r="G6628" s="57" t="s">
        <v>11449</v>
      </c>
      <c r="H6628" s="185">
        <v>0</v>
      </c>
      <c r="I6628" s="16">
        <v>470000000</v>
      </c>
      <c r="J6628" s="56" t="s">
        <v>229</v>
      </c>
      <c r="K6628" s="57" t="s">
        <v>641</v>
      </c>
      <c r="L6628" s="57" t="s">
        <v>364</v>
      </c>
      <c r="M6628" s="3" t="s">
        <v>230</v>
      </c>
      <c r="N6628" s="8" t="s">
        <v>9479</v>
      </c>
      <c r="O6628" s="6" t="s">
        <v>365</v>
      </c>
      <c r="P6628" s="58" t="s">
        <v>241</v>
      </c>
      <c r="Q6628" s="27" t="s">
        <v>234</v>
      </c>
      <c r="R6628" s="27">
        <v>5</v>
      </c>
      <c r="S6628" s="59">
        <v>10000</v>
      </c>
      <c r="T6628" s="4">
        <v>0</v>
      </c>
      <c r="U6628" s="4">
        <f t="shared" si="302"/>
        <v>0</v>
      </c>
      <c r="V6628" s="3"/>
      <c r="W6628" s="3">
        <v>2014</v>
      </c>
      <c r="X6628" s="3">
        <v>11.12</v>
      </c>
    </row>
    <row r="6629" spans="1:24" ht="114.75">
      <c r="A6629" s="3" t="s">
        <v>13858</v>
      </c>
      <c r="B6629" s="6" t="s">
        <v>361</v>
      </c>
      <c r="C6629" s="6" t="s">
        <v>7368</v>
      </c>
      <c r="D6629" s="6" t="s">
        <v>7369</v>
      </c>
      <c r="E6629" s="6" t="s">
        <v>7370</v>
      </c>
      <c r="F6629" s="6" t="s">
        <v>7012</v>
      </c>
      <c r="G6629" s="57" t="s">
        <v>11449</v>
      </c>
      <c r="H6629" s="185">
        <v>0</v>
      </c>
      <c r="I6629" s="16">
        <v>470000000</v>
      </c>
      <c r="J6629" s="56" t="s">
        <v>229</v>
      </c>
      <c r="K6629" s="57" t="s">
        <v>642</v>
      </c>
      <c r="L6629" s="12" t="s">
        <v>404</v>
      </c>
      <c r="M6629" s="3" t="s">
        <v>230</v>
      </c>
      <c r="N6629" s="8" t="s">
        <v>9479</v>
      </c>
      <c r="O6629" s="6" t="s">
        <v>365</v>
      </c>
      <c r="P6629" s="58" t="s">
        <v>241</v>
      </c>
      <c r="Q6629" s="27" t="s">
        <v>234</v>
      </c>
      <c r="R6629" s="27">
        <v>5</v>
      </c>
      <c r="S6629" s="59">
        <v>10000</v>
      </c>
      <c r="T6629" s="4">
        <f>R6629*S6629</f>
        <v>50000</v>
      </c>
      <c r="U6629" s="4">
        <f>T6629*1.12</f>
        <v>56000.000000000007</v>
      </c>
      <c r="V6629" s="3"/>
      <c r="W6629" s="3">
        <v>2014</v>
      </c>
      <c r="X6629" s="3"/>
    </row>
    <row r="6630" spans="1:24" ht="114.75">
      <c r="A6630" s="3" t="s">
        <v>2757</v>
      </c>
      <c r="B6630" s="6" t="s">
        <v>361</v>
      </c>
      <c r="C6630" s="6" t="s">
        <v>7013</v>
      </c>
      <c r="D6630" s="6" t="s">
        <v>6515</v>
      </c>
      <c r="E6630" s="6" t="s">
        <v>7014</v>
      </c>
      <c r="F6630" s="6" t="s">
        <v>7015</v>
      </c>
      <c r="G6630" s="57" t="s">
        <v>11449</v>
      </c>
      <c r="H6630" s="185">
        <v>0</v>
      </c>
      <c r="I6630" s="16">
        <v>470000000</v>
      </c>
      <c r="J6630" s="56" t="s">
        <v>229</v>
      </c>
      <c r="K6630" s="57" t="s">
        <v>641</v>
      </c>
      <c r="L6630" s="57" t="s">
        <v>364</v>
      </c>
      <c r="M6630" s="3" t="s">
        <v>230</v>
      </c>
      <c r="N6630" s="8" t="s">
        <v>9479</v>
      </c>
      <c r="O6630" s="6" t="s">
        <v>365</v>
      </c>
      <c r="P6630" s="58" t="s">
        <v>242</v>
      </c>
      <c r="Q6630" s="27" t="s">
        <v>239</v>
      </c>
      <c r="R6630" s="27">
        <v>2</v>
      </c>
      <c r="S6630" s="59">
        <f>152900*1.07</f>
        <v>163603</v>
      </c>
      <c r="T6630" s="4">
        <v>0</v>
      </c>
      <c r="U6630" s="4">
        <f t="shared" si="302"/>
        <v>0</v>
      </c>
      <c r="V6630" s="3"/>
      <c r="W6630" s="3">
        <v>2014</v>
      </c>
      <c r="X6630" s="3">
        <v>11.12</v>
      </c>
    </row>
    <row r="6631" spans="1:24" ht="114.75">
      <c r="A6631" s="3" t="s">
        <v>13859</v>
      </c>
      <c r="B6631" s="6" t="s">
        <v>361</v>
      </c>
      <c r="C6631" s="6" t="s">
        <v>7013</v>
      </c>
      <c r="D6631" s="6" t="s">
        <v>6515</v>
      </c>
      <c r="E6631" s="6" t="s">
        <v>7014</v>
      </c>
      <c r="F6631" s="6" t="s">
        <v>7015</v>
      </c>
      <c r="G6631" s="57" t="s">
        <v>11449</v>
      </c>
      <c r="H6631" s="185">
        <v>0</v>
      </c>
      <c r="I6631" s="16">
        <v>470000000</v>
      </c>
      <c r="J6631" s="56" t="s">
        <v>229</v>
      </c>
      <c r="K6631" s="57" t="s">
        <v>642</v>
      </c>
      <c r="L6631" s="12" t="s">
        <v>404</v>
      </c>
      <c r="M6631" s="3" t="s">
        <v>230</v>
      </c>
      <c r="N6631" s="8" t="s">
        <v>9479</v>
      </c>
      <c r="O6631" s="6" t="s">
        <v>365</v>
      </c>
      <c r="P6631" s="58" t="s">
        <v>242</v>
      </c>
      <c r="Q6631" s="27" t="s">
        <v>239</v>
      </c>
      <c r="R6631" s="27">
        <v>2</v>
      </c>
      <c r="S6631" s="59">
        <f>152900*1.07</f>
        <v>163603</v>
      </c>
      <c r="T6631" s="4">
        <v>0</v>
      </c>
      <c r="U6631" s="4">
        <f>T6631*1.12</f>
        <v>0</v>
      </c>
      <c r="V6631" s="3"/>
      <c r="W6631" s="3">
        <v>2014</v>
      </c>
      <c r="X6631" s="3" t="s">
        <v>14785</v>
      </c>
    </row>
    <row r="6632" spans="1:24" ht="114.75">
      <c r="A6632" s="3" t="s">
        <v>17098</v>
      </c>
      <c r="B6632" s="6" t="s">
        <v>361</v>
      </c>
      <c r="C6632" s="6" t="s">
        <v>7013</v>
      </c>
      <c r="D6632" s="6" t="s">
        <v>6515</v>
      </c>
      <c r="E6632" s="6" t="s">
        <v>7014</v>
      </c>
      <c r="F6632" s="6" t="s">
        <v>7015</v>
      </c>
      <c r="G6632" s="3" t="s">
        <v>11449</v>
      </c>
      <c r="H6632" s="185">
        <v>0</v>
      </c>
      <c r="I6632" s="16">
        <v>470000000</v>
      </c>
      <c r="J6632" s="56" t="s">
        <v>229</v>
      </c>
      <c r="K6632" s="57" t="s">
        <v>8950</v>
      </c>
      <c r="L6632" s="12" t="s">
        <v>404</v>
      </c>
      <c r="M6632" s="3" t="s">
        <v>230</v>
      </c>
      <c r="N6632" s="8" t="s">
        <v>9479</v>
      </c>
      <c r="O6632" s="6" t="s">
        <v>365</v>
      </c>
      <c r="P6632" s="58" t="s">
        <v>242</v>
      </c>
      <c r="Q6632" s="27" t="s">
        <v>239</v>
      </c>
      <c r="R6632" s="27">
        <v>2</v>
      </c>
      <c r="S6632" s="59">
        <v>196323.6</v>
      </c>
      <c r="T6632" s="4">
        <v>0</v>
      </c>
      <c r="U6632" s="4">
        <f>T6632*1.12</f>
        <v>0</v>
      </c>
      <c r="V6632" s="3"/>
      <c r="W6632" s="3">
        <v>2014</v>
      </c>
      <c r="X6632" s="3">
        <v>11</v>
      </c>
    </row>
    <row r="6633" spans="1:24" ht="114.75">
      <c r="A6633" s="3" t="s">
        <v>19034</v>
      </c>
      <c r="B6633" s="6" t="s">
        <v>361</v>
      </c>
      <c r="C6633" s="6" t="s">
        <v>7013</v>
      </c>
      <c r="D6633" s="6" t="s">
        <v>6515</v>
      </c>
      <c r="E6633" s="6" t="s">
        <v>7014</v>
      </c>
      <c r="F6633" s="6" t="s">
        <v>7015</v>
      </c>
      <c r="G6633" s="3" t="s">
        <v>11449</v>
      </c>
      <c r="H6633" s="185">
        <v>0</v>
      </c>
      <c r="I6633" s="16">
        <v>470000000</v>
      </c>
      <c r="J6633" s="56" t="s">
        <v>229</v>
      </c>
      <c r="K6633" s="57" t="s">
        <v>18437</v>
      </c>
      <c r="L6633" s="12" t="s">
        <v>404</v>
      </c>
      <c r="M6633" s="3" t="s">
        <v>230</v>
      </c>
      <c r="N6633" s="8" t="s">
        <v>9479</v>
      </c>
      <c r="O6633" s="6" t="s">
        <v>365</v>
      </c>
      <c r="P6633" s="58" t="s">
        <v>242</v>
      </c>
      <c r="Q6633" s="27" t="s">
        <v>239</v>
      </c>
      <c r="R6633" s="27">
        <v>2</v>
      </c>
      <c r="S6633" s="59">
        <v>196323.6</v>
      </c>
      <c r="T6633" s="4">
        <v>0</v>
      </c>
      <c r="U6633" s="4">
        <f>T6633*1.12</f>
        <v>0</v>
      </c>
      <c r="V6633" s="3"/>
      <c r="W6633" s="3">
        <v>2014</v>
      </c>
      <c r="X6633" s="3">
        <v>14.15</v>
      </c>
    </row>
    <row r="6634" spans="1:24" ht="76.5">
      <c r="A6634" s="3" t="s">
        <v>19518</v>
      </c>
      <c r="B6634" s="6" t="s">
        <v>361</v>
      </c>
      <c r="C6634" s="6" t="s">
        <v>7013</v>
      </c>
      <c r="D6634" s="6" t="s">
        <v>6515</v>
      </c>
      <c r="E6634" s="6" t="s">
        <v>7014</v>
      </c>
      <c r="F6634" s="6" t="s">
        <v>7015</v>
      </c>
      <c r="G6634" s="3" t="s">
        <v>11449</v>
      </c>
      <c r="H6634" s="185">
        <v>0</v>
      </c>
      <c r="I6634" s="16">
        <v>470000000</v>
      </c>
      <c r="J6634" s="56" t="s">
        <v>229</v>
      </c>
      <c r="K6634" s="57" t="s">
        <v>18437</v>
      </c>
      <c r="L6634" s="12" t="s">
        <v>404</v>
      </c>
      <c r="M6634" s="3" t="s">
        <v>230</v>
      </c>
      <c r="N6634" s="8" t="s">
        <v>19369</v>
      </c>
      <c r="O6634" s="6" t="s">
        <v>19407</v>
      </c>
      <c r="P6634" s="58" t="s">
        <v>242</v>
      </c>
      <c r="Q6634" s="27" t="s">
        <v>239</v>
      </c>
      <c r="R6634" s="27">
        <v>2</v>
      </c>
      <c r="S6634" s="59">
        <v>196323.6</v>
      </c>
      <c r="T6634" s="4">
        <f>R6634*S6634</f>
        <v>392647.2</v>
      </c>
      <c r="U6634" s="4">
        <f>T6634*1.12</f>
        <v>439764.86400000006</v>
      </c>
      <c r="V6634" s="3"/>
      <c r="W6634" s="3">
        <v>2014</v>
      </c>
      <c r="X6634" s="3"/>
    </row>
    <row r="6635" spans="1:24" ht="114.75">
      <c r="A6635" s="3" t="s">
        <v>2758</v>
      </c>
      <c r="B6635" s="6" t="s">
        <v>361</v>
      </c>
      <c r="C6635" s="6" t="s">
        <v>7016</v>
      </c>
      <c r="D6635" s="6" t="s">
        <v>508</v>
      </c>
      <c r="E6635" s="6" t="s">
        <v>7017</v>
      </c>
      <c r="F6635" s="6" t="s">
        <v>7018</v>
      </c>
      <c r="G6635" s="57" t="s">
        <v>11449</v>
      </c>
      <c r="H6635" s="185">
        <v>0</v>
      </c>
      <c r="I6635" s="16">
        <v>470000000</v>
      </c>
      <c r="J6635" s="56" t="s">
        <v>229</v>
      </c>
      <c r="K6635" s="57" t="s">
        <v>641</v>
      </c>
      <c r="L6635" s="57" t="s">
        <v>364</v>
      </c>
      <c r="M6635" s="3" t="s">
        <v>230</v>
      </c>
      <c r="N6635" s="8" t="s">
        <v>9479</v>
      </c>
      <c r="O6635" s="6" t="s">
        <v>365</v>
      </c>
      <c r="P6635" s="58" t="s">
        <v>241</v>
      </c>
      <c r="Q6635" s="27" t="s">
        <v>234</v>
      </c>
      <c r="R6635" s="27">
        <v>10</v>
      </c>
      <c r="S6635" s="59">
        <v>1500</v>
      </c>
      <c r="T6635" s="4">
        <v>0</v>
      </c>
      <c r="U6635" s="4">
        <f t="shared" si="302"/>
        <v>0</v>
      </c>
      <c r="V6635" s="3"/>
      <c r="W6635" s="3">
        <v>2014</v>
      </c>
      <c r="X6635" s="3">
        <v>11.12</v>
      </c>
    </row>
    <row r="6636" spans="1:24" ht="114.75">
      <c r="A6636" s="3" t="s">
        <v>13860</v>
      </c>
      <c r="B6636" s="6" t="s">
        <v>361</v>
      </c>
      <c r="C6636" s="6" t="s">
        <v>7016</v>
      </c>
      <c r="D6636" s="6" t="s">
        <v>508</v>
      </c>
      <c r="E6636" s="6" t="s">
        <v>7017</v>
      </c>
      <c r="F6636" s="6" t="s">
        <v>7018</v>
      </c>
      <c r="G6636" s="57" t="s">
        <v>11449</v>
      </c>
      <c r="H6636" s="185">
        <v>0</v>
      </c>
      <c r="I6636" s="16">
        <v>470000000</v>
      </c>
      <c r="J6636" s="56" t="s">
        <v>229</v>
      </c>
      <c r="K6636" s="57" t="s">
        <v>642</v>
      </c>
      <c r="L6636" s="12" t="s">
        <v>404</v>
      </c>
      <c r="M6636" s="3" t="s">
        <v>230</v>
      </c>
      <c r="N6636" s="8" t="s">
        <v>9479</v>
      </c>
      <c r="O6636" s="6" t="s">
        <v>365</v>
      </c>
      <c r="P6636" s="58" t="s">
        <v>241</v>
      </c>
      <c r="Q6636" s="27" t="s">
        <v>234</v>
      </c>
      <c r="R6636" s="27">
        <v>10</v>
      </c>
      <c r="S6636" s="59">
        <v>1500</v>
      </c>
      <c r="T6636" s="4">
        <f>R6636*S6636</f>
        <v>15000</v>
      </c>
      <c r="U6636" s="4">
        <f>T6636*1.12</f>
        <v>16800</v>
      </c>
      <c r="V6636" s="3"/>
      <c r="W6636" s="3">
        <v>2014</v>
      </c>
      <c r="X6636" s="3"/>
    </row>
    <row r="6637" spans="1:24" ht="114.75">
      <c r="A6637" s="3" t="s">
        <v>2759</v>
      </c>
      <c r="B6637" s="6" t="s">
        <v>361</v>
      </c>
      <c r="C6637" s="6" t="s">
        <v>7019</v>
      </c>
      <c r="D6637" s="6" t="s">
        <v>5342</v>
      </c>
      <c r="E6637" s="6" t="s">
        <v>7020</v>
      </c>
      <c r="F6637" s="6" t="s">
        <v>7021</v>
      </c>
      <c r="G6637" s="57" t="s">
        <v>11449</v>
      </c>
      <c r="H6637" s="185">
        <v>0</v>
      </c>
      <c r="I6637" s="16">
        <v>470000000</v>
      </c>
      <c r="J6637" s="56" t="s">
        <v>229</v>
      </c>
      <c r="K6637" s="57" t="s">
        <v>641</v>
      </c>
      <c r="L6637" s="57" t="s">
        <v>364</v>
      </c>
      <c r="M6637" s="3" t="s">
        <v>230</v>
      </c>
      <c r="N6637" s="8" t="s">
        <v>9479</v>
      </c>
      <c r="O6637" s="6" t="s">
        <v>365</v>
      </c>
      <c r="P6637" s="58" t="s">
        <v>241</v>
      </c>
      <c r="Q6637" s="27" t="s">
        <v>234</v>
      </c>
      <c r="R6637" s="27">
        <v>6</v>
      </c>
      <c r="S6637" s="59">
        <v>7000</v>
      </c>
      <c r="T6637" s="4">
        <v>0</v>
      </c>
      <c r="U6637" s="4">
        <f t="shared" si="302"/>
        <v>0</v>
      </c>
      <c r="V6637" s="3"/>
      <c r="W6637" s="3">
        <v>2014</v>
      </c>
      <c r="X6637" s="3">
        <v>11.12</v>
      </c>
    </row>
    <row r="6638" spans="1:24" ht="114.75">
      <c r="A6638" s="3" t="s">
        <v>13861</v>
      </c>
      <c r="B6638" s="6" t="s">
        <v>361</v>
      </c>
      <c r="C6638" s="6" t="s">
        <v>7019</v>
      </c>
      <c r="D6638" s="6" t="s">
        <v>5342</v>
      </c>
      <c r="E6638" s="6" t="s">
        <v>7020</v>
      </c>
      <c r="F6638" s="6" t="s">
        <v>7021</v>
      </c>
      <c r="G6638" s="57" t="s">
        <v>11449</v>
      </c>
      <c r="H6638" s="185">
        <v>0</v>
      </c>
      <c r="I6638" s="16">
        <v>470000000</v>
      </c>
      <c r="J6638" s="56" t="s">
        <v>229</v>
      </c>
      <c r="K6638" s="57" t="s">
        <v>642</v>
      </c>
      <c r="L6638" s="12" t="s">
        <v>404</v>
      </c>
      <c r="M6638" s="3" t="s">
        <v>230</v>
      </c>
      <c r="N6638" s="8" t="s">
        <v>9479</v>
      </c>
      <c r="O6638" s="6" t="s">
        <v>365</v>
      </c>
      <c r="P6638" s="58" t="s">
        <v>241</v>
      </c>
      <c r="Q6638" s="27" t="s">
        <v>234</v>
      </c>
      <c r="R6638" s="27">
        <v>6</v>
      </c>
      <c r="S6638" s="59">
        <v>7000</v>
      </c>
      <c r="T6638" s="4">
        <f>R6638*S6638</f>
        <v>42000</v>
      </c>
      <c r="U6638" s="4">
        <f>T6638*1.12</f>
        <v>47040.000000000007</v>
      </c>
      <c r="V6638" s="3"/>
      <c r="W6638" s="3">
        <v>2014</v>
      </c>
      <c r="X6638" s="3"/>
    </row>
    <row r="6639" spans="1:24" ht="114.75">
      <c r="A6639" s="3" t="s">
        <v>2760</v>
      </c>
      <c r="B6639" s="6" t="s">
        <v>361</v>
      </c>
      <c r="C6639" s="6" t="s">
        <v>7022</v>
      </c>
      <c r="D6639" s="6" t="s">
        <v>5371</v>
      </c>
      <c r="E6639" s="6" t="s">
        <v>5998</v>
      </c>
      <c r="F6639" s="6" t="s">
        <v>7023</v>
      </c>
      <c r="G6639" s="57" t="s">
        <v>11449</v>
      </c>
      <c r="H6639" s="185">
        <v>0</v>
      </c>
      <c r="I6639" s="16">
        <v>470000000</v>
      </c>
      <c r="J6639" s="56" t="s">
        <v>229</v>
      </c>
      <c r="K6639" s="57" t="s">
        <v>641</v>
      </c>
      <c r="L6639" s="57" t="s">
        <v>364</v>
      </c>
      <c r="M6639" s="3" t="s">
        <v>230</v>
      </c>
      <c r="N6639" s="8" t="s">
        <v>9479</v>
      </c>
      <c r="O6639" s="6" t="s">
        <v>365</v>
      </c>
      <c r="P6639" s="58" t="s">
        <v>242</v>
      </c>
      <c r="Q6639" s="27" t="s">
        <v>239</v>
      </c>
      <c r="R6639" s="27">
        <v>6</v>
      </c>
      <c r="S6639" s="59">
        <v>10000</v>
      </c>
      <c r="T6639" s="4">
        <v>0</v>
      </c>
      <c r="U6639" s="4">
        <f t="shared" si="302"/>
        <v>0</v>
      </c>
      <c r="V6639" s="3"/>
      <c r="W6639" s="3">
        <v>2014</v>
      </c>
      <c r="X6639" s="3">
        <v>11.12</v>
      </c>
    </row>
    <row r="6640" spans="1:24" ht="114.75">
      <c r="A6640" s="3" t="s">
        <v>13862</v>
      </c>
      <c r="B6640" s="6" t="s">
        <v>361</v>
      </c>
      <c r="C6640" s="6" t="s">
        <v>7022</v>
      </c>
      <c r="D6640" s="6" t="s">
        <v>5371</v>
      </c>
      <c r="E6640" s="6" t="s">
        <v>5998</v>
      </c>
      <c r="F6640" s="6" t="s">
        <v>7023</v>
      </c>
      <c r="G6640" s="57" t="s">
        <v>11449</v>
      </c>
      <c r="H6640" s="185">
        <v>0</v>
      </c>
      <c r="I6640" s="16">
        <v>470000000</v>
      </c>
      <c r="J6640" s="56" t="s">
        <v>229</v>
      </c>
      <c r="K6640" s="57" t="s">
        <v>642</v>
      </c>
      <c r="L6640" s="12" t="s">
        <v>404</v>
      </c>
      <c r="M6640" s="3" t="s">
        <v>230</v>
      </c>
      <c r="N6640" s="8" t="s">
        <v>9479</v>
      </c>
      <c r="O6640" s="6" t="s">
        <v>365</v>
      </c>
      <c r="P6640" s="58" t="s">
        <v>242</v>
      </c>
      <c r="Q6640" s="27" t="s">
        <v>239</v>
      </c>
      <c r="R6640" s="27">
        <v>6</v>
      </c>
      <c r="S6640" s="59">
        <v>10000</v>
      </c>
      <c r="T6640" s="4">
        <f>R6640*S6640</f>
        <v>60000</v>
      </c>
      <c r="U6640" s="4">
        <f>T6640*1.12</f>
        <v>67200</v>
      </c>
      <c r="V6640" s="3"/>
      <c r="W6640" s="3">
        <v>2014</v>
      </c>
      <c r="X6640" s="3"/>
    </row>
    <row r="6641" spans="1:24" ht="114.75">
      <c r="A6641" s="3" t="s">
        <v>2761</v>
      </c>
      <c r="B6641" s="6" t="s">
        <v>361</v>
      </c>
      <c r="C6641" s="6" t="s">
        <v>7024</v>
      </c>
      <c r="D6641" s="6" t="s">
        <v>5340</v>
      </c>
      <c r="E6641" s="6" t="s">
        <v>6274</v>
      </c>
      <c r="F6641" s="6" t="s">
        <v>500</v>
      </c>
      <c r="G6641" s="57" t="s">
        <v>11449</v>
      </c>
      <c r="H6641" s="185">
        <v>0</v>
      </c>
      <c r="I6641" s="16">
        <v>470000000</v>
      </c>
      <c r="J6641" s="56" t="s">
        <v>229</v>
      </c>
      <c r="K6641" s="57" t="s">
        <v>641</v>
      </c>
      <c r="L6641" s="57" t="s">
        <v>364</v>
      </c>
      <c r="M6641" s="3" t="s">
        <v>230</v>
      </c>
      <c r="N6641" s="8" t="s">
        <v>9479</v>
      </c>
      <c r="O6641" s="6" t="s">
        <v>365</v>
      </c>
      <c r="P6641" s="58" t="s">
        <v>242</v>
      </c>
      <c r="Q6641" s="27" t="s">
        <v>239</v>
      </c>
      <c r="R6641" s="27">
        <v>10</v>
      </c>
      <c r="S6641" s="59">
        <v>2000</v>
      </c>
      <c r="T6641" s="4">
        <v>0</v>
      </c>
      <c r="U6641" s="4">
        <f t="shared" si="302"/>
        <v>0</v>
      </c>
      <c r="V6641" s="3"/>
      <c r="W6641" s="3">
        <v>2014</v>
      </c>
      <c r="X6641" s="3">
        <v>11.12</v>
      </c>
    </row>
    <row r="6642" spans="1:24" ht="114.75">
      <c r="A6642" s="3" t="s">
        <v>13863</v>
      </c>
      <c r="B6642" s="6" t="s">
        <v>361</v>
      </c>
      <c r="C6642" s="6" t="s">
        <v>7024</v>
      </c>
      <c r="D6642" s="6" t="s">
        <v>5340</v>
      </c>
      <c r="E6642" s="6" t="s">
        <v>6274</v>
      </c>
      <c r="F6642" s="6" t="s">
        <v>500</v>
      </c>
      <c r="G6642" s="57" t="s">
        <v>11449</v>
      </c>
      <c r="H6642" s="185">
        <v>0</v>
      </c>
      <c r="I6642" s="16">
        <v>470000000</v>
      </c>
      <c r="J6642" s="56" t="s">
        <v>229</v>
      </c>
      <c r="K6642" s="57" t="s">
        <v>642</v>
      </c>
      <c r="L6642" s="12" t="s">
        <v>404</v>
      </c>
      <c r="M6642" s="3" t="s">
        <v>230</v>
      </c>
      <c r="N6642" s="8" t="s">
        <v>9479</v>
      </c>
      <c r="O6642" s="6" t="s">
        <v>365</v>
      </c>
      <c r="P6642" s="58" t="s">
        <v>242</v>
      </c>
      <c r="Q6642" s="27" t="s">
        <v>239</v>
      </c>
      <c r="R6642" s="27">
        <v>10</v>
      </c>
      <c r="S6642" s="59">
        <v>2000</v>
      </c>
      <c r="T6642" s="4">
        <f>R6642*S6642</f>
        <v>20000</v>
      </c>
      <c r="U6642" s="4">
        <f>T6642*1.12</f>
        <v>22400.000000000004</v>
      </c>
      <c r="V6642" s="3"/>
      <c r="W6642" s="3">
        <v>2014</v>
      </c>
      <c r="X6642" s="3"/>
    </row>
    <row r="6643" spans="1:24" ht="114.75">
      <c r="A6643" s="3" t="s">
        <v>2762</v>
      </c>
      <c r="B6643" s="6" t="s">
        <v>361</v>
      </c>
      <c r="C6643" s="6" t="s">
        <v>7024</v>
      </c>
      <c r="D6643" s="6" t="s">
        <v>5340</v>
      </c>
      <c r="E6643" s="6" t="s">
        <v>6274</v>
      </c>
      <c r="F6643" s="6" t="s">
        <v>501</v>
      </c>
      <c r="G6643" s="57" t="s">
        <v>11449</v>
      </c>
      <c r="H6643" s="185">
        <v>0</v>
      </c>
      <c r="I6643" s="16">
        <v>470000000</v>
      </c>
      <c r="J6643" s="56" t="s">
        <v>229</v>
      </c>
      <c r="K6643" s="57" t="s">
        <v>641</v>
      </c>
      <c r="L6643" s="57" t="s">
        <v>364</v>
      </c>
      <c r="M6643" s="3" t="s">
        <v>230</v>
      </c>
      <c r="N6643" s="8" t="s">
        <v>9479</v>
      </c>
      <c r="O6643" s="6" t="s">
        <v>365</v>
      </c>
      <c r="P6643" s="58" t="s">
        <v>242</v>
      </c>
      <c r="Q6643" s="27" t="s">
        <v>239</v>
      </c>
      <c r="R6643" s="27">
        <v>10</v>
      </c>
      <c r="S6643" s="59">
        <v>2000</v>
      </c>
      <c r="T6643" s="4">
        <v>0</v>
      </c>
      <c r="U6643" s="4">
        <f t="shared" si="302"/>
        <v>0</v>
      </c>
      <c r="V6643" s="3"/>
      <c r="W6643" s="3">
        <v>2014</v>
      </c>
      <c r="X6643" s="3">
        <v>11.12</v>
      </c>
    </row>
    <row r="6644" spans="1:24" ht="114.75">
      <c r="A6644" s="3" t="s">
        <v>13864</v>
      </c>
      <c r="B6644" s="6" t="s">
        <v>361</v>
      </c>
      <c r="C6644" s="6" t="s">
        <v>7024</v>
      </c>
      <c r="D6644" s="6" t="s">
        <v>5340</v>
      </c>
      <c r="E6644" s="6" t="s">
        <v>6274</v>
      </c>
      <c r="F6644" s="6" t="s">
        <v>501</v>
      </c>
      <c r="G6644" s="57" t="s">
        <v>11449</v>
      </c>
      <c r="H6644" s="185">
        <v>0</v>
      </c>
      <c r="I6644" s="16">
        <v>470000000</v>
      </c>
      <c r="J6644" s="56" t="s">
        <v>229</v>
      </c>
      <c r="K6644" s="57" t="s">
        <v>642</v>
      </c>
      <c r="L6644" s="12" t="s">
        <v>404</v>
      </c>
      <c r="M6644" s="3" t="s">
        <v>230</v>
      </c>
      <c r="N6644" s="8" t="s">
        <v>9479</v>
      </c>
      <c r="O6644" s="6" t="s">
        <v>365</v>
      </c>
      <c r="P6644" s="58" t="s">
        <v>242</v>
      </c>
      <c r="Q6644" s="27" t="s">
        <v>239</v>
      </c>
      <c r="R6644" s="27">
        <v>10</v>
      </c>
      <c r="S6644" s="59">
        <v>2000</v>
      </c>
      <c r="T6644" s="4">
        <f>R6644*S6644</f>
        <v>20000</v>
      </c>
      <c r="U6644" s="4">
        <f>T6644*1.12</f>
        <v>22400.000000000004</v>
      </c>
      <c r="V6644" s="3"/>
      <c r="W6644" s="3">
        <v>2014</v>
      </c>
      <c r="X6644" s="3"/>
    </row>
    <row r="6645" spans="1:24" ht="114.75">
      <c r="A6645" s="3" t="s">
        <v>2763</v>
      </c>
      <c r="B6645" s="6" t="s">
        <v>361</v>
      </c>
      <c r="C6645" s="6" t="s">
        <v>7025</v>
      </c>
      <c r="D6645" s="6" t="s">
        <v>5376</v>
      </c>
      <c r="E6645" s="6" t="s">
        <v>5743</v>
      </c>
      <c r="F6645" s="6" t="s">
        <v>7026</v>
      </c>
      <c r="G6645" s="57" t="s">
        <v>11449</v>
      </c>
      <c r="H6645" s="185">
        <v>0</v>
      </c>
      <c r="I6645" s="16">
        <v>470000000</v>
      </c>
      <c r="J6645" s="56" t="s">
        <v>229</v>
      </c>
      <c r="K6645" s="57" t="s">
        <v>641</v>
      </c>
      <c r="L6645" s="57" t="s">
        <v>364</v>
      </c>
      <c r="M6645" s="3" t="s">
        <v>230</v>
      </c>
      <c r="N6645" s="8" t="s">
        <v>9479</v>
      </c>
      <c r="O6645" s="6" t="s">
        <v>365</v>
      </c>
      <c r="P6645" s="58" t="s">
        <v>241</v>
      </c>
      <c r="Q6645" s="27" t="s">
        <v>234</v>
      </c>
      <c r="R6645" s="27">
        <v>5</v>
      </c>
      <c r="S6645" s="59">
        <v>7000</v>
      </c>
      <c r="T6645" s="4">
        <v>0</v>
      </c>
      <c r="U6645" s="4">
        <f t="shared" si="302"/>
        <v>0</v>
      </c>
      <c r="V6645" s="3"/>
      <c r="W6645" s="3">
        <v>2014</v>
      </c>
      <c r="X6645" s="3">
        <v>11.12</v>
      </c>
    </row>
    <row r="6646" spans="1:24" ht="114.75">
      <c r="A6646" s="3" t="s">
        <v>13865</v>
      </c>
      <c r="B6646" s="6" t="s">
        <v>361</v>
      </c>
      <c r="C6646" s="6" t="s">
        <v>7025</v>
      </c>
      <c r="D6646" s="6" t="s">
        <v>5376</v>
      </c>
      <c r="E6646" s="6" t="s">
        <v>5743</v>
      </c>
      <c r="F6646" s="6" t="s">
        <v>7026</v>
      </c>
      <c r="G6646" s="57" t="s">
        <v>11449</v>
      </c>
      <c r="H6646" s="185">
        <v>0</v>
      </c>
      <c r="I6646" s="16">
        <v>470000000</v>
      </c>
      <c r="J6646" s="56" t="s">
        <v>229</v>
      </c>
      <c r="K6646" s="57" t="s">
        <v>642</v>
      </c>
      <c r="L6646" s="12" t="s">
        <v>404</v>
      </c>
      <c r="M6646" s="3" t="s">
        <v>230</v>
      </c>
      <c r="N6646" s="8" t="s">
        <v>9479</v>
      </c>
      <c r="O6646" s="6" t="s">
        <v>365</v>
      </c>
      <c r="P6646" s="58" t="s">
        <v>241</v>
      </c>
      <c r="Q6646" s="27" t="s">
        <v>234</v>
      </c>
      <c r="R6646" s="27">
        <v>5</v>
      </c>
      <c r="S6646" s="59">
        <v>7000</v>
      </c>
      <c r="T6646" s="4">
        <f>R6646*S6646</f>
        <v>35000</v>
      </c>
      <c r="U6646" s="4">
        <f>T6646*1.12</f>
        <v>39200.000000000007</v>
      </c>
      <c r="V6646" s="3"/>
      <c r="W6646" s="3">
        <v>2014</v>
      </c>
      <c r="X6646" s="3"/>
    </row>
    <row r="6647" spans="1:24" ht="114.75">
      <c r="A6647" s="3" t="s">
        <v>2764</v>
      </c>
      <c r="B6647" s="6" t="s">
        <v>361</v>
      </c>
      <c r="C6647" s="6" t="s">
        <v>7027</v>
      </c>
      <c r="D6647" s="6" t="s">
        <v>5376</v>
      </c>
      <c r="E6647" s="6" t="s">
        <v>5985</v>
      </c>
      <c r="F6647" s="6" t="s">
        <v>7028</v>
      </c>
      <c r="G6647" s="57" t="s">
        <v>11449</v>
      </c>
      <c r="H6647" s="185">
        <v>0</v>
      </c>
      <c r="I6647" s="16">
        <v>470000000</v>
      </c>
      <c r="J6647" s="56" t="s">
        <v>229</v>
      </c>
      <c r="K6647" s="57" t="s">
        <v>641</v>
      </c>
      <c r="L6647" s="57" t="s">
        <v>364</v>
      </c>
      <c r="M6647" s="3" t="s">
        <v>230</v>
      </c>
      <c r="N6647" s="8" t="s">
        <v>9479</v>
      </c>
      <c r="O6647" s="6" t="s">
        <v>365</v>
      </c>
      <c r="P6647" s="58" t="s">
        <v>241</v>
      </c>
      <c r="Q6647" s="27" t="s">
        <v>234</v>
      </c>
      <c r="R6647" s="27">
        <v>4</v>
      </c>
      <c r="S6647" s="59">
        <v>6500</v>
      </c>
      <c r="T6647" s="4">
        <v>0</v>
      </c>
      <c r="U6647" s="4">
        <f t="shared" si="302"/>
        <v>0</v>
      </c>
      <c r="V6647" s="3"/>
      <c r="W6647" s="3">
        <v>2014</v>
      </c>
      <c r="X6647" s="3">
        <v>11.12</v>
      </c>
    </row>
    <row r="6648" spans="1:24" ht="114.75">
      <c r="A6648" s="3" t="s">
        <v>13866</v>
      </c>
      <c r="B6648" s="6" t="s">
        <v>361</v>
      </c>
      <c r="C6648" s="6" t="s">
        <v>7027</v>
      </c>
      <c r="D6648" s="6" t="s">
        <v>5376</v>
      </c>
      <c r="E6648" s="6" t="s">
        <v>5985</v>
      </c>
      <c r="F6648" s="6" t="s">
        <v>7028</v>
      </c>
      <c r="G6648" s="57" t="s">
        <v>11449</v>
      </c>
      <c r="H6648" s="185">
        <v>0</v>
      </c>
      <c r="I6648" s="16">
        <v>470000000</v>
      </c>
      <c r="J6648" s="56" t="s">
        <v>229</v>
      </c>
      <c r="K6648" s="57" t="s">
        <v>642</v>
      </c>
      <c r="L6648" s="12" t="s">
        <v>404</v>
      </c>
      <c r="M6648" s="3" t="s">
        <v>230</v>
      </c>
      <c r="N6648" s="8" t="s">
        <v>9479</v>
      </c>
      <c r="O6648" s="6" t="s">
        <v>365</v>
      </c>
      <c r="P6648" s="58" t="s">
        <v>241</v>
      </c>
      <c r="Q6648" s="27" t="s">
        <v>234</v>
      </c>
      <c r="R6648" s="27">
        <v>4</v>
      </c>
      <c r="S6648" s="59">
        <v>6500</v>
      </c>
      <c r="T6648" s="4">
        <f>R6648*S6648</f>
        <v>26000</v>
      </c>
      <c r="U6648" s="4">
        <f>T6648*1.12</f>
        <v>29120.000000000004</v>
      </c>
      <c r="V6648" s="3"/>
      <c r="W6648" s="3">
        <v>2014</v>
      </c>
      <c r="X6648" s="3"/>
    </row>
    <row r="6649" spans="1:24" ht="114.75">
      <c r="A6649" s="3" t="s">
        <v>2765</v>
      </c>
      <c r="B6649" s="6" t="s">
        <v>361</v>
      </c>
      <c r="C6649" s="6" t="s">
        <v>6003</v>
      </c>
      <c r="D6649" s="6" t="s">
        <v>5754</v>
      </c>
      <c r="E6649" s="6" t="s">
        <v>5998</v>
      </c>
      <c r="F6649" s="6" t="s">
        <v>502</v>
      </c>
      <c r="G6649" s="57" t="s">
        <v>11449</v>
      </c>
      <c r="H6649" s="185">
        <v>0</v>
      </c>
      <c r="I6649" s="16">
        <v>470000000</v>
      </c>
      <c r="J6649" s="56" t="s">
        <v>229</v>
      </c>
      <c r="K6649" s="57" t="s">
        <v>641</v>
      </c>
      <c r="L6649" s="57" t="s">
        <v>364</v>
      </c>
      <c r="M6649" s="3" t="s">
        <v>230</v>
      </c>
      <c r="N6649" s="8" t="s">
        <v>9479</v>
      </c>
      <c r="O6649" s="6" t="s">
        <v>365</v>
      </c>
      <c r="P6649" s="58" t="s">
        <v>241</v>
      </c>
      <c r="Q6649" s="27" t="s">
        <v>234</v>
      </c>
      <c r="R6649" s="27">
        <v>6</v>
      </c>
      <c r="S6649" s="59">
        <v>5500</v>
      </c>
      <c r="T6649" s="4">
        <v>0</v>
      </c>
      <c r="U6649" s="4">
        <f t="shared" si="302"/>
        <v>0</v>
      </c>
      <c r="V6649" s="3"/>
      <c r="W6649" s="3">
        <v>2014</v>
      </c>
      <c r="X6649" s="3">
        <v>11.12</v>
      </c>
    </row>
    <row r="6650" spans="1:24" ht="114.75">
      <c r="A6650" s="3" t="s">
        <v>13867</v>
      </c>
      <c r="B6650" s="6" t="s">
        <v>361</v>
      </c>
      <c r="C6650" s="6" t="s">
        <v>6003</v>
      </c>
      <c r="D6650" s="6" t="s">
        <v>5754</v>
      </c>
      <c r="E6650" s="6" t="s">
        <v>5998</v>
      </c>
      <c r="F6650" s="6" t="s">
        <v>502</v>
      </c>
      <c r="G6650" s="57" t="s">
        <v>11449</v>
      </c>
      <c r="H6650" s="185">
        <v>0</v>
      </c>
      <c r="I6650" s="16">
        <v>470000000</v>
      </c>
      <c r="J6650" s="56" t="s">
        <v>229</v>
      </c>
      <c r="K6650" s="57" t="s">
        <v>642</v>
      </c>
      <c r="L6650" s="12" t="s">
        <v>404</v>
      </c>
      <c r="M6650" s="3" t="s">
        <v>230</v>
      </c>
      <c r="N6650" s="8" t="s">
        <v>9479</v>
      </c>
      <c r="O6650" s="6" t="s">
        <v>365</v>
      </c>
      <c r="P6650" s="58" t="s">
        <v>241</v>
      </c>
      <c r="Q6650" s="27" t="s">
        <v>234</v>
      </c>
      <c r="R6650" s="27">
        <v>6</v>
      </c>
      <c r="S6650" s="59">
        <v>5500</v>
      </c>
      <c r="T6650" s="4">
        <f>R6650*S6650</f>
        <v>33000</v>
      </c>
      <c r="U6650" s="4">
        <f>T6650*1.12</f>
        <v>36960</v>
      </c>
      <c r="V6650" s="3"/>
      <c r="W6650" s="3">
        <v>2014</v>
      </c>
      <c r="X6650" s="3"/>
    </row>
    <row r="6651" spans="1:24" ht="114.75">
      <c r="A6651" s="3" t="s">
        <v>2766</v>
      </c>
      <c r="B6651" s="6" t="s">
        <v>361</v>
      </c>
      <c r="C6651" s="6" t="s">
        <v>6003</v>
      </c>
      <c r="D6651" s="6" t="s">
        <v>5754</v>
      </c>
      <c r="E6651" s="6" t="s">
        <v>5998</v>
      </c>
      <c r="F6651" s="6" t="s">
        <v>7029</v>
      </c>
      <c r="G6651" s="57" t="s">
        <v>11449</v>
      </c>
      <c r="H6651" s="185">
        <v>0</v>
      </c>
      <c r="I6651" s="16">
        <v>470000000</v>
      </c>
      <c r="J6651" s="56" t="s">
        <v>229</v>
      </c>
      <c r="K6651" s="57" t="s">
        <v>641</v>
      </c>
      <c r="L6651" s="57" t="s">
        <v>364</v>
      </c>
      <c r="M6651" s="3" t="s">
        <v>230</v>
      </c>
      <c r="N6651" s="8" t="s">
        <v>9479</v>
      </c>
      <c r="O6651" s="6" t="s">
        <v>365</v>
      </c>
      <c r="P6651" s="58" t="s">
        <v>241</v>
      </c>
      <c r="Q6651" s="27" t="s">
        <v>234</v>
      </c>
      <c r="R6651" s="27">
        <v>3</v>
      </c>
      <c r="S6651" s="59">
        <v>18700</v>
      </c>
      <c r="T6651" s="4">
        <v>0</v>
      </c>
      <c r="U6651" s="4">
        <f t="shared" si="302"/>
        <v>0</v>
      </c>
      <c r="V6651" s="3"/>
      <c r="W6651" s="3">
        <v>2014</v>
      </c>
      <c r="X6651" s="3">
        <v>11.12</v>
      </c>
    </row>
    <row r="6652" spans="1:24" ht="114.75">
      <c r="A6652" s="3" t="s">
        <v>13868</v>
      </c>
      <c r="B6652" s="6" t="s">
        <v>361</v>
      </c>
      <c r="C6652" s="6" t="s">
        <v>6003</v>
      </c>
      <c r="D6652" s="6" t="s">
        <v>5754</v>
      </c>
      <c r="E6652" s="6" t="s">
        <v>5998</v>
      </c>
      <c r="F6652" s="6" t="s">
        <v>7029</v>
      </c>
      <c r="G6652" s="57" t="s">
        <v>11449</v>
      </c>
      <c r="H6652" s="185">
        <v>0</v>
      </c>
      <c r="I6652" s="16">
        <v>470000000</v>
      </c>
      <c r="J6652" s="56" t="s">
        <v>229</v>
      </c>
      <c r="K6652" s="57" t="s">
        <v>642</v>
      </c>
      <c r="L6652" s="12" t="s">
        <v>404</v>
      </c>
      <c r="M6652" s="3" t="s">
        <v>230</v>
      </c>
      <c r="N6652" s="8" t="s">
        <v>9479</v>
      </c>
      <c r="O6652" s="6" t="s">
        <v>365</v>
      </c>
      <c r="P6652" s="58" t="s">
        <v>241</v>
      </c>
      <c r="Q6652" s="27" t="s">
        <v>234</v>
      </c>
      <c r="R6652" s="27">
        <v>3</v>
      </c>
      <c r="S6652" s="59">
        <v>18700</v>
      </c>
      <c r="T6652" s="4">
        <f>R6652*S6652</f>
        <v>56100</v>
      </c>
      <c r="U6652" s="4">
        <f>T6652*1.12</f>
        <v>62832.000000000007</v>
      </c>
      <c r="V6652" s="3"/>
      <c r="W6652" s="3">
        <v>2014</v>
      </c>
      <c r="X6652" s="3"/>
    </row>
    <row r="6653" spans="1:24" ht="114.75">
      <c r="A6653" s="3" t="s">
        <v>2767</v>
      </c>
      <c r="B6653" s="6" t="s">
        <v>361</v>
      </c>
      <c r="C6653" s="6" t="s">
        <v>7030</v>
      </c>
      <c r="D6653" s="6" t="s">
        <v>5907</v>
      </c>
      <c r="E6653" s="6" t="s">
        <v>5998</v>
      </c>
      <c r="F6653" s="6" t="s">
        <v>7031</v>
      </c>
      <c r="G6653" s="57" t="s">
        <v>11449</v>
      </c>
      <c r="H6653" s="185">
        <v>0</v>
      </c>
      <c r="I6653" s="16">
        <v>470000000</v>
      </c>
      <c r="J6653" s="56" t="s">
        <v>229</v>
      </c>
      <c r="K6653" s="57" t="s">
        <v>641</v>
      </c>
      <c r="L6653" s="57" t="s">
        <v>364</v>
      </c>
      <c r="M6653" s="3" t="s">
        <v>230</v>
      </c>
      <c r="N6653" s="8" t="s">
        <v>9479</v>
      </c>
      <c r="O6653" s="6" t="s">
        <v>365</v>
      </c>
      <c r="P6653" s="58" t="s">
        <v>241</v>
      </c>
      <c r="Q6653" s="27" t="s">
        <v>234</v>
      </c>
      <c r="R6653" s="27">
        <v>10</v>
      </c>
      <c r="S6653" s="59">
        <v>4000</v>
      </c>
      <c r="T6653" s="4">
        <v>0</v>
      </c>
      <c r="U6653" s="4">
        <f t="shared" si="302"/>
        <v>0</v>
      </c>
      <c r="V6653" s="3"/>
      <c r="W6653" s="3">
        <v>2014</v>
      </c>
      <c r="X6653" s="3">
        <v>11.12</v>
      </c>
    </row>
    <row r="6654" spans="1:24" ht="114.75">
      <c r="A6654" s="3" t="s">
        <v>13869</v>
      </c>
      <c r="B6654" s="6" t="s">
        <v>361</v>
      </c>
      <c r="C6654" s="6" t="s">
        <v>7030</v>
      </c>
      <c r="D6654" s="6" t="s">
        <v>5907</v>
      </c>
      <c r="E6654" s="6" t="s">
        <v>5998</v>
      </c>
      <c r="F6654" s="6" t="s">
        <v>7031</v>
      </c>
      <c r="G6654" s="57" t="s">
        <v>11449</v>
      </c>
      <c r="H6654" s="185">
        <v>0</v>
      </c>
      <c r="I6654" s="16">
        <v>470000000</v>
      </c>
      <c r="J6654" s="56" t="s">
        <v>229</v>
      </c>
      <c r="K6654" s="57" t="s">
        <v>642</v>
      </c>
      <c r="L6654" s="12" t="s">
        <v>404</v>
      </c>
      <c r="M6654" s="3" t="s">
        <v>230</v>
      </c>
      <c r="N6654" s="8" t="s">
        <v>9479</v>
      </c>
      <c r="O6654" s="6" t="s">
        <v>365</v>
      </c>
      <c r="P6654" s="58" t="s">
        <v>241</v>
      </c>
      <c r="Q6654" s="27" t="s">
        <v>234</v>
      </c>
      <c r="R6654" s="27">
        <v>10</v>
      </c>
      <c r="S6654" s="59">
        <v>4000</v>
      </c>
      <c r="T6654" s="4">
        <f>R6654*S6654</f>
        <v>40000</v>
      </c>
      <c r="U6654" s="4">
        <f>T6654*1.12</f>
        <v>44800.000000000007</v>
      </c>
      <c r="V6654" s="3"/>
      <c r="W6654" s="3">
        <v>2014</v>
      </c>
      <c r="X6654" s="3"/>
    </row>
    <row r="6655" spans="1:24" ht="114.75">
      <c r="A6655" s="3" t="s">
        <v>2768</v>
      </c>
      <c r="B6655" s="6" t="s">
        <v>361</v>
      </c>
      <c r="C6655" s="6" t="s">
        <v>7032</v>
      </c>
      <c r="D6655" s="6" t="s">
        <v>440</v>
      </c>
      <c r="E6655" s="6" t="s">
        <v>7033</v>
      </c>
      <c r="F6655" s="6" t="s">
        <v>503</v>
      </c>
      <c r="G6655" s="57" t="s">
        <v>11449</v>
      </c>
      <c r="H6655" s="185">
        <v>0</v>
      </c>
      <c r="I6655" s="16">
        <v>470000000</v>
      </c>
      <c r="J6655" s="56" t="s">
        <v>229</v>
      </c>
      <c r="K6655" s="57" t="s">
        <v>641</v>
      </c>
      <c r="L6655" s="57" t="s">
        <v>364</v>
      </c>
      <c r="M6655" s="3" t="s">
        <v>230</v>
      </c>
      <c r="N6655" s="8" t="s">
        <v>9479</v>
      </c>
      <c r="O6655" s="6" t="s">
        <v>365</v>
      </c>
      <c r="P6655" s="58" t="s">
        <v>242</v>
      </c>
      <c r="Q6655" s="27" t="s">
        <v>239</v>
      </c>
      <c r="R6655" s="27">
        <v>4</v>
      </c>
      <c r="S6655" s="59">
        <v>46000</v>
      </c>
      <c r="T6655" s="4">
        <v>0</v>
      </c>
      <c r="U6655" s="4">
        <f t="shared" si="302"/>
        <v>0</v>
      </c>
      <c r="V6655" s="3"/>
      <c r="W6655" s="3">
        <v>2014</v>
      </c>
      <c r="X6655" s="3">
        <v>11.12</v>
      </c>
    </row>
    <row r="6656" spans="1:24" ht="114.75">
      <c r="A6656" s="3" t="s">
        <v>13870</v>
      </c>
      <c r="B6656" s="6" t="s">
        <v>361</v>
      </c>
      <c r="C6656" s="6" t="s">
        <v>7032</v>
      </c>
      <c r="D6656" s="6" t="s">
        <v>440</v>
      </c>
      <c r="E6656" s="6" t="s">
        <v>7033</v>
      </c>
      <c r="F6656" s="6" t="s">
        <v>503</v>
      </c>
      <c r="G6656" s="57" t="s">
        <v>11449</v>
      </c>
      <c r="H6656" s="185">
        <v>0</v>
      </c>
      <c r="I6656" s="16">
        <v>470000000</v>
      </c>
      <c r="J6656" s="56" t="s">
        <v>229</v>
      </c>
      <c r="K6656" s="57" t="s">
        <v>642</v>
      </c>
      <c r="L6656" s="12" t="s">
        <v>404</v>
      </c>
      <c r="M6656" s="3" t="s">
        <v>230</v>
      </c>
      <c r="N6656" s="8" t="s">
        <v>9479</v>
      </c>
      <c r="O6656" s="6" t="s">
        <v>365</v>
      </c>
      <c r="P6656" s="58" t="s">
        <v>242</v>
      </c>
      <c r="Q6656" s="27" t="s">
        <v>239</v>
      </c>
      <c r="R6656" s="27">
        <v>4</v>
      </c>
      <c r="S6656" s="59">
        <v>46000</v>
      </c>
      <c r="T6656" s="4">
        <f>R6656*S6656</f>
        <v>184000</v>
      </c>
      <c r="U6656" s="4">
        <f>T6656*1.12</f>
        <v>206080.00000000003</v>
      </c>
      <c r="V6656" s="3"/>
      <c r="W6656" s="3">
        <v>2014</v>
      </c>
      <c r="X6656" s="3"/>
    </row>
    <row r="6657" spans="1:24" ht="114.75">
      <c r="A6657" s="3" t="s">
        <v>2769</v>
      </c>
      <c r="B6657" s="6" t="s">
        <v>361</v>
      </c>
      <c r="C6657" s="6" t="s">
        <v>7032</v>
      </c>
      <c r="D6657" s="6" t="s">
        <v>440</v>
      </c>
      <c r="E6657" s="6" t="s">
        <v>7033</v>
      </c>
      <c r="F6657" s="6" t="s">
        <v>7034</v>
      </c>
      <c r="G6657" s="57" t="s">
        <v>11449</v>
      </c>
      <c r="H6657" s="185">
        <v>0</v>
      </c>
      <c r="I6657" s="16">
        <v>470000000</v>
      </c>
      <c r="J6657" s="56" t="s">
        <v>229</v>
      </c>
      <c r="K6657" s="57" t="s">
        <v>641</v>
      </c>
      <c r="L6657" s="57" t="s">
        <v>364</v>
      </c>
      <c r="M6657" s="3" t="s">
        <v>230</v>
      </c>
      <c r="N6657" s="8" t="s">
        <v>9479</v>
      </c>
      <c r="O6657" s="6" t="s">
        <v>365</v>
      </c>
      <c r="P6657" s="58" t="s">
        <v>242</v>
      </c>
      <c r="Q6657" s="27" t="s">
        <v>239</v>
      </c>
      <c r="R6657" s="27">
        <v>4</v>
      </c>
      <c r="S6657" s="59">
        <v>28000</v>
      </c>
      <c r="T6657" s="4">
        <v>0</v>
      </c>
      <c r="U6657" s="4">
        <f t="shared" si="302"/>
        <v>0</v>
      </c>
      <c r="V6657" s="3"/>
      <c r="W6657" s="3">
        <v>2014</v>
      </c>
      <c r="X6657" s="3">
        <v>11.12</v>
      </c>
    </row>
    <row r="6658" spans="1:24" ht="114.75">
      <c r="A6658" s="3" t="s">
        <v>13871</v>
      </c>
      <c r="B6658" s="6" t="s">
        <v>361</v>
      </c>
      <c r="C6658" s="6" t="s">
        <v>7032</v>
      </c>
      <c r="D6658" s="6" t="s">
        <v>440</v>
      </c>
      <c r="E6658" s="6" t="s">
        <v>7033</v>
      </c>
      <c r="F6658" s="6" t="s">
        <v>7034</v>
      </c>
      <c r="G6658" s="57" t="s">
        <v>11449</v>
      </c>
      <c r="H6658" s="185">
        <v>0</v>
      </c>
      <c r="I6658" s="16">
        <v>470000000</v>
      </c>
      <c r="J6658" s="56" t="s">
        <v>229</v>
      </c>
      <c r="K6658" s="57" t="s">
        <v>642</v>
      </c>
      <c r="L6658" s="12" t="s">
        <v>404</v>
      </c>
      <c r="M6658" s="3" t="s">
        <v>230</v>
      </c>
      <c r="N6658" s="8" t="s">
        <v>9479</v>
      </c>
      <c r="O6658" s="6" t="s">
        <v>365</v>
      </c>
      <c r="P6658" s="58" t="s">
        <v>242</v>
      </c>
      <c r="Q6658" s="27" t="s">
        <v>239</v>
      </c>
      <c r="R6658" s="27">
        <v>4</v>
      </c>
      <c r="S6658" s="59">
        <v>28000</v>
      </c>
      <c r="T6658" s="4">
        <f>R6658*S6658</f>
        <v>112000</v>
      </c>
      <c r="U6658" s="4">
        <f>T6658*1.12</f>
        <v>125440.00000000001</v>
      </c>
      <c r="V6658" s="3"/>
      <c r="W6658" s="3">
        <v>2014</v>
      </c>
      <c r="X6658" s="3"/>
    </row>
    <row r="6659" spans="1:24" ht="114.75">
      <c r="A6659" s="3" t="s">
        <v>2770</v>
      </c>
      <c r="B6659" s="6" t="s">
        <v>361</v>
      </c>
      <c r="C6659" s="6" t="s">
        <v>7035</v>
      </c>
      <c r="D6659" s="6" t="s">
        <v>5803</v>
      </c>
      <c r="E6659" s="6" t="s">
        <v>7036</v>
      </c>
      <c r="F6659" s="6" t="s">
        <v>7037</v>
      </c>
      <c r="G6659" s="57" t="s">
        <v>11449</v>
      </c>
      <c r="H6659" s="185">
        <v>0</v>
      </c>
      <c r="I6659" s="16">
        <v>470000000</v>
      </c>
      <c r="J6659" s="56" t="s">
        <v>229</v>
      </c>
      <c r="K6659" s="57" t="s">
        <v>641</v>
      </c>
      <c r="L6659" s="57" t="s">
        <v>364</v>
      </c>
      <c r="M6659" s="3" t="s">
        <v>230</v>
      </c>
      <c r="N6659" s="8" t="s">
        <v>9479</v>
      </c>
      <c r="O6659" s="6" t="s">
        <v>365</v>
      </c>
      <c r="P6659" s="58" t="s">
        <v>241</v>
      </c>
      <c r="Q6659" s="27" t="s">
        <v>234</v>
      </c>
      <c r="R6659" s="27">
        <v>6</v>
      </c>
      <c r="S6659" s="59">
        <v>10500</v>
      </c>
      <c r="T6659" s="4">
        <v>0</v>
      </c>
      <c r="U6659" s="4">
        <f t="shared" si="302"/>
        <v>0</v>
      </c>
      <c r="V6659" s="3"/>
      <c r="W6659" s="3">
        <v>2014</v>
      </c>
      <c r="X6659" s="3">
        <v>11.12</v>
      </c>
    </row>
    <row r="6660" spans="1:24" ht="114.75">
      <c r="A6660" s="3" t="s">
        <v>13872</v>
      </c>
      <c r="B6660" s="6" t="s">
        <v>361</v>
      </c>
      <c r="C6660" s="6" t="s">
        <v>7035</v>
      </c>
      <c r="D6660" s="6" t="s">
        <v>5803</v>
      </c>
      <c r="E6660" s="6" t="s">
        <v>7036</v>
      </c>
      <c r="F6660" s="6" t="s">
        <v>7037</v>
      </c>
      <c r="G6660" s="57" t="s">
        <v>11449</v>
      </c>
      <c r="H6660" s="185">
        <v>0</v>
      </c>
      <c r="I6660" s="16">
        <v>470000000</v>
      </c>
      <c r="J6660" s="56" t="s">
        <v>229</v>
      </c>
      <c r="K6660" s="57" t="s">
        <v>642</v>
      </c>
      <c r="L6660" s="12" t="s">
        <v>404</v>
      </c>
      <c r="M6660" s="3" t="s">
        <v>230</v>
      </c>
      <c r="N6660" s="8" t="s">
        <v>9479</v>
      </c>
      <c r="O6660" s="6" t="s">
        <v>365</v>
      </c>
      <c r="P6660" s="58" t="s">
        <v>241</v>
      </c>
      <c r="Q6660" s="27" t="s">
        <v>234</v>
      </c>
      <c r="R6660" s="27">
        <v>6</v>
      </c>
      <c r="S6660" s="59">
        <v>10500</v>
      </c>
      <c r="T6660" s="4">
        <f>R6660*S6660</f>
        <v>63000</v>
      </c>
      <c r="U6660" s="4">
        <f>T6660*1.12</f>
        <v>70560</v>
      </c>
      <c r="V6660" s="3"/>
      <c r="W6660" s="3">
        <v>2014</v>
      </c>
      <c r="X6660" s="3"/>
    </row>
    <row r="6661" spans="1:24" ht="114.75">
      <c r="A6661" s="3" t="s">
        <v>2771</v>
      </c>
      <c r="B6661" s="6" t="s">
        <v>361</v>
      </c>
      <c r="C6661" s="6" t="s">
        <v>7038</v>
      </c>
      <c r="D6661" s="6" t="s">
        <v>504</v>
      </c>
      <c r="E6661" s="6" t="s">
        <v>5998</v>
      </c>
      <c r="F6661" s="6" t="s">
        <v>7039</v>
      </c>
      <c r="G6661" s="57" t="s">
        <v>11449</v>
      </c>
      <c r="H6661" s="185">
        <v>0</v>
      </c>
      <c r="I6661" s="16">
        <v>470000000</v>
      </c>
      <c r="J6661" s="56" t="s">
        <v>229</v>
      </c>
      <c r="K6661" s="57" t="s">
        <v>641</v>
      </c>
      <c r="L6661" s="57" t="s">
        <v>364</v>
      </c>
      <c r="M6661" s="3" t="s">
        <v>230</v>
      </c>
      <c r="N6661" s="8" t="s">
        <v>9479</v>
      </c>
      <c r="O6661" s="6" t="s">
        <v>365</v>
      </c>
      <c r="P6661" s="58" t="s">
        <v>241</v>
      </c>
      <c r="Q6661" s="27" t="s">
        <v>234</v>
      </c>
      <c r="R6661" s="27">
        <v>3</v>
      </c>
      <c r="S6661" s="59">
        <v>2500</v>
      </c>
      <c r="T6661" s="4">
        <v>0</v>
      </c>
      <c r="U6661" s="4">
        <f t="shared" si="302"/>
        <v>0</v>
      </c>
      <c r="V6661" s="3"/>
      <c r="W6661" s="3">
        <v>2014</v>
      </c>
      <c r="X6661" s="3">
        <v>11.12</v>
      </c>
    </row>
    <row r="6662" spans="1:24" ht="114.75">
      <c r="A6662" s="3" t="s">
        <v>13873</v>
      </c>
      <c r="B6662" s="6" t="s">
        <v>361</v>
      </c>
      <c r="C6662" s="6" t="s">
        <v>7038</v>
      </c>
      <c r="D6662" s="6" t="s">
        <v>504</v>
      </c>
      <c r="E6662" s="6" t="s">
        <v>5998</v>
      </c>
      <c r="F6662" s="6" t="s">
        <v>7039</v>
      </c>
      <c r="G6662" s="57" t="s">
        <v>11449</v>
      </c>
      <c r="H6662" s="185">
        <v>0</v>
      </c>
      <c r="I6662" s="16">
        <v>470000000</v>
      </c>
      <c r="J6662" s="56" t="s">
        <v>229</v>
      </c>
      <c r="K6662" s="57" t="s">
        <v>642</v>
      </c>
      <c r="L6662" s="12" t="s">
        <v>404</v>
      </c>
      <c r="M6662" s="3" t="s">
        <v>230</v>
      </c>
      <c r="N6662" s="8" t="s">
        <v>9479</v>
      </c>
      <c r="O6662" s="6" t="s">
        <v>365</v>
      </c>
      <c r="P6662" s="58" t="s">
        <v>241</v>
      </c>
      <c r="Q6662" s="27" t="s">
        <v>234</v>
      </c>
      <c r="R6662" s="27">
        <v>3</v>
      </c>
      <c r="S6662" s="59">
        <v>2500</v>
      </c>
      <c r="T6662" s="4">
        <f>R6662*S6662</f>
        <v>7500</v>
      </c>
      <c r="U6662" s="4">
        <f>T6662*1.12</f>
        <v>8400</v>
      </c>
      <c r="V6662" s="3"/>
      <c r="W6662" s="3">
        <v>2014</v>
      </c>
      <c r="X6662" s="3"/>
    </row>
    <row r="6663" spans="1:24" ht="114.75">
      <c r="A6663" s="3" t="s">
        <v>2772</v>
      </c>
      <c r="B6663" s="6" t="s">
        <v>361</v>
      </c>
      <c r="C6663" s="6" t="s">
        <v>7040</v>
      </c>
      <c r="D6663" s="6" t="s">
        <v>5441</v>
      </c>
      <c r="E6663" s="6" t="s">
        <v>6274</v>
      </c>
      <c r="F6663" s="6" t="s">
        <v>7041</v>
      </c>
      <c r="G6663" s="57" t="s">
        <v>11449</v>
      </c>
      <c r="H6663" s="185">
        <v>0</v>
      </c>
      <c r="I6663" s="16">
        <v>470000000</v>
      </c>
      <c r="J6663" s="56" t="s">
        <v>229</v>
      </c>
      <c r="K6663" s="57" t="s">
        <v>641</v>
      </c>
      <c r="L6663" s="57" t="s">
        <v>364</v>
      </c>
      <c r="M6663" s="3" t="s">
        <v>230</v>
      </c>
      <c r="N6663" s="8" t="s">
        <v>9479</v>
      </c>
      <c r="O6663" s="6" t="s">
        <v>365</v>
      </c>
      <c r="P6663" s="58" t="s">
        <v>241</v>
      </c>
      <c r="Q6663" s="27" t="s">
        <v>234</v>
      </c>
      <c r="R6663" s="27">
        <v>10</v>
      </c>
      <c r="S6663" s="59">
        <v>25500</v>
      </c>
      <c r="T6663" s="4">
        <v>0</v>
      </c>
      <c r="U6663" s="4">
        <f t="shared" si="302"/>
        <v>0</v>
      </c>
      <c r="V6663" s="3"/>
      <c r="W6663" s="3">
        <v>2014</v>
      </c>
      <c r="X6663" s="3">
        <v>11.12</v>
      </c>
    </row>
    <row r="6664" spans="1:24" ht="114.75">
      <c r="A6664" s="3" t="s">
        <v>13874</v>
      </c>
      <c r="B6664" s="6" t="s">
        <v>361</v>
      </c>
      <c r="C6664" s="6" t="s">
        <v>7040</v>
      </c>
      <c r="D6664" s="6" t="s">
        <v>5441</v>
      </c>
      <c r="E6664" s="6" t="s">
        <v>6274</v>
      </c>
      <c r="F6664" s="6" t="s">
        <v>7041</v>
      </c>
      <c r="G6664" s="57" t="s">
        <v>11449</v>
      </c>
      <c r="H6664" s="185">
        <v>0</v>
      </c>
      <c r="I6664" s="16">
        <v>470000000</v>
      </c>
      <c r="J6664" s="56" t="s">
        <v>229</v>
      </c>
      <c r="K6664" s="57" t="s">
        <v>642</v>
      </c>
      <c r="L6664" s="12" t="s">
        <v>404</v>
      </c>
      <c r="M6664" s="3" t="s">
        <v>230</v>
      </c>
      <c r="N6664" s="8" t="s">
        <v>9479</v>
      </c>
      <c r="O6664" s="6" t="s">
        <v>365</v>
      </c>
      <c r="P6664" s="58" t="s">
        <v>241</v>
      </c>
      <c r="Q6664" s="27" t="s">
        <v>234</v>
      </c>
      <c r="R6664" s="27">
        <v>10</v>
      </c>
      <c r="S6664" s="59">
        <v>25500</v>
      </c>
      <c r="T6664" s="4">
        <f>R6664*S6664</f>
        <v>255000</v>
      </c>
      <c r="U6664" s="4">
        <f>T6664*1.12</f>
        <v>285600</v>
      </c>
      <c r="V6664" s="3"/>
      <c r="W6664" s="3">
        <v>2014</v>
      </c>
      <c r="X6664" s="3"/>
    </row>
    <row r="6665" spans="1:24" ht="114.75">
      <c r="A6665" s="3" t="s">
        <v>2773</v>
      </c>
      <c r="B6665" s="6" t="s">
        <v>361</v>
      </c>
      <c r="C6665" s="6" t="s">
        <v>7042</v>
      </c>
      <c r="D6665" s="6" t="s">
        <v>5369</v>
      </c>
      <c r="E6665" s="6" t="s">
        <v>5998</v>
      </c>
      <c r="F6665" s="6" t="s">
        <v>7043</v>
      </c>
      <c r="G6665" s="57" t="s">
        <v>11449</v>
      </c>
      <c r="H6665" s="185">
        <v>0</v>
      </c>
      <c r="I6665" s="16">
        <v>470000000</v>
      </c>
      <c r="J6665" s="56" t="s">
        <v>229</v>
      </c>
      <c r="K6665" s="57" t="s">
        <v>641</v>
      </c>
      <c r="L6665" s="57" t="s">
        <v>364</v>
      </c>
      <c r="M6665" s="3" t="s">
        <v>230</v>
      </c>
      <c r="N6665" s="8" t="s">
        <v>9479</v>
      </c>
      <c r="O6665" s="6" t="s">
        <v>365</v>
      </c>
      <c r="P6665" s="58" t="s">
        <v>241</v>
      </c>
      <c r="Q6665" s="27" t="s">
        <v>234</v>
      </c>
      <c r="R6665" s="27">
        <v>4</v>
      </c>
      <c r="S6665" s="59">
        <v>32000</v>
      </c>
      <c r="T6665" s="4">
        <v>0</v>
      </c>
      <c r="U6665" s="4">
        <f t="shared" si="302"/>
        <v>0</v>
      </c>
      <c r="V6665" s="3"/>
      <c r="W6665" s="3">
        <v>2014</v>
      </c>
      <c r="X6665" s="3">
        <v>11.12</v>
      </c>
    </row>
    <row r="6666" spans="1:24" ht="114.75">
      <c r="A6666" s="3" t="s">
        <v>13886</v>
      </c>
      <c r="B6666" s="6" t="s">
        <v>361</v>
      </c>
      <c r="C6666" s="6" t="s">
        <v>7042</v>
      </c>
      <c r="D6666" s="6" t="s">
        <v>5369</v>
      </c>
      <c r="E6666" s="6" t="s">
        <v>5998</v>
      </c>
      <c r="F6666" s="6" t="s">
        <v>7043</v>
      </c>
      <c r="G6666" s="57" t="s">
        <v>11449</v>
      </c>
      <c r="H6666" s="185">
        <v>0</v>
      </c>
      <c r="I6666" s="16">
        <v>470000000</v>
      </c>
      <c r="J6666" s="56" t="s">
        <v>229</v>
      </c>
      <c r="K6666" s="57" t="s">
        <v>642</v>
      </c>
      <c r="L6666" s="12" t="s">
        <v>404</v>
      </c>
      <c r="M6666" s="3" t="s">
        <v>230</v>
      </c>
      <c r="N6666" s="8" t="s">
        <v>9479</v>
      </c>
      <c r="O6666" s="6" t="s">
        <v>365</v>
      </c>
      <c r="P6666" s="58" t="s">
        <v>241</v>
      </c>
      <c r="Q6666" s="27" t="s">
        <v>234</v>
      </c>
      <c r="R6666" s="27">
        <v>4</v>
      </c>
      <c r="S6666" s="59">
        <v>32000</v>
      </c>
      <c r="T6666" s="4">
        <f>R6666*S6666</f>
        <v>128000</v>
      </c>
      <c r="U6666" s="4">
        <f>T6666*1.12</f>
        <v>143360</v>
      </c>
      <c r="V6666" s="3"/>
      <c r="W6666" s="3">
        <v>2014</v>
      </c>
      <c r="X6666" s="3"/>
    </row>
    <row r="6667" spans="1:24" ht="114.75">
      <c r="A6667" s="3" t="s">
        <v>2774</v>
      </c>
      <c r="B6667" s="6" t="s">
        <v>361</v>
      </c>
      <c r="C6667" s="6" t="s">
        <v>7044</v>
      </c>
      <c r="D6667" s="6" t="s">
        <v>5941</v>
      </c>
      <c r="E6667" s="6" t="s">
        <v>5985</v>
      </c>
      <c r="F6667" s="6" t="s">
        <v>7045</v>
      </c>
      <c r="G6667" s="57" t="s">
        <v>11449</v>
      </c>
      <c r="H6667" s="185">
        <v>0</v>
      </c>
      <c r="I6667" s="16">
        <v>470000000</v>
      </c>
      <c r="J6667" s="56" t="s">
        <v>229</v>
      </c>
      <c r="K6667" s="57" t="s">
        <v>641</v>
      </c>
      <c r="L6667" s="57" t="s">
        <v>364</v>
      </c>
      <c r="M6667" s="3" t="s">
        <v>230</v>
      </c>
      <c r="N6667" s="8" t="s">
        <v>9479</v>
      </c>
      <c r="O6667" s="6" t="s">
        <v>365</v>
      </c>
      <c r="P6667" s="58" t="s">
        <v>241</v>
      </c>
      <c r="Q6667" s="27" t="s">
        <v>234</v>
      </c>
      <c r="R6667" s="27">
        <v>4</v>
      </c>
      <c r="S6667" s="59">
        <v>17000</v>
      </c>
      <c r="T6667" s="4">
        <v>0</v>
      </c>
      <c r="U6667" s="4">
        <f t="shared" si="302"/>
        <v>0</v>
      </c>
      <c r="V6667" s="3"/>
      <c r="W6667" s="3">
        <v>2014</v>
      </c>
      <c r="X6667" s="3">
        <v>11.12</v>
      </c>
    </row>
    <row r="6668" spans="1:24" ht="114.75">
      <c r="A6668" s="3" t="s">
        <v>13875</v>
      </c>
      <c r="B6668" s="6" t="s">
        <v>361</v>
      </c>
      <c r="C6668" s="6" t="s">
        <v>7044</v>
      </c>
      <c r="D6668" s="6" t="s">
        <v>5941</v>
      </c>
      <c r="E6668" s="6" t="s">
        <v>5985</v>
      </c>
      <c r="F6668" s="6" t="s">
        <v>7045</v>
      </c>
      <c r="G6668" s="57" t="s">
        <v>11449</v>
      </c>
      <c r="H6668" s="185">
        <v>0</v>
      </c>
      <c r="I6668" s="16">
        <v>470000000</v>
      </c>
      <c r="J6668" s="56" t="s">
        <v>229</v>
      </c>
      <c r="K6668" s="57" t="s">
        <v>642</v>
      </c>
      <c r="L6668" s="12" t="s">
        <v>404</v>
      </c>
      <c r="M6668" s="3" t="s">
        <v>230</v>
      </c>
      <c r="N6668" s="8" t="s">
        <v>9479</v>
      </c>
      <c r="O6668" s="6" t="s">
        <v>365</v>
      </c>
      <c r="P6668" s="58" t="s">
        <v>241</v>
      </c>
      <c r="Q6668" s="27" t="s">
        <v>234</v>
      </c>
      <c r="R6668" s="27">
        <v>4</v>
      </c>
      <c r="S6668" s="59">
        <v>17000</v>
      </c>
      <c r="T6668" s="4">
        <f>R6668*S6668</f>
        <v>68000</v>
      </c>
      <c r="U6668" s="4">
        <f>T6668*1.12</f>
        <v>76160</v>
      </c>
      <c r="V6668" s="3"/>
      <c r="W6668" s="3">
        <v>2014</v>
      </c>
      <c r="X6668" s="3"/>
    </row>
    <row r="6669" spans="1:24" ht="114.75">
      <c r="A6669" s="3" t="s">
        <v>2775</v>
      </c>
      <c r="B6669" s="6" t="s">
        <v>361</v>
      </c>
      <c r="C6669" s="6" t="s">
        <v>11592</v>
      </c>
      <c r="D6669" s="6" t="s">
        <v>424</v>
      </c>
      <c r="E6669" s="6" t="s">
        <v>11593</v>
      </c>
      <c r="F6669" s="6" t="s">
        <v>7046</v>
      </c>
      <c r="G6669" s="57" t="s">
        <v>11449</v>
      </c>
      <c r="H6669" s="185">
        <v>0</v>
      </c>
      <c r="I6669" s="16">
        <v>470000000</v>
      </c>
      <c r="J6669" s="56" t="s">
        <v>229</v>
      </c>
      <c r="K6669" s="57" t="s">
        <v>641</v>
      </c>
      <c r="L6669" s="57" t="s">
        <v>364</v>
      </c>
      <c r="M6669" s="3" t="s">
        <v>230</v>
      </c>
      <c r="N6669" s="8" t="s">
        <v>9479</v>
      </c>
      <c r="O6669" s="6" t="s">
        <v>365</v>
      </c>
      <c r="P6669" s="58" t="s">
        <v>241</v>
      </c>
      <c r="Q6669" s="27" t="s">
        <v>234</v>
      </c>
      <c r="R6669" s="27">
        <v>40</v>
      </c>
      <c r="S6669" s="59">
        <v>800</v>
      </c>
      <c r="T6669" s="4">
        <v>0</v>
      </c>
      <c r="U6669" s="4">
        <f t="shared" si="302"/>
        <v>0</v>
      </c>
      <c r="V6669" s="3"/>
      <c r="W6669" s="3">
        <v>2014</v>
      </c>
      <c r="X6669" s="3">
        <v>11.12</v>
      </c>
    </row>
    <row r="6670" spans="1:24" ht="114.75">
      <c r="A6670" s="3" t="s">
        <v>13876</v>
      </c>
      <c r="B6670" s="6" t="s">
        <v>361</v>
      </c>
      <c r="C6670" s="6" t="s">
        <v>11592</v>
      </c>
      <c r="D6670" s="6" t="s">
        <v>424</v>
      </c>
      <c r="E6670" s="6" t="s">
        <v>11593</v>
      </c>
      <c r="F6670" s="6" t="s">
        <v>7046</v>
      </c>
      <c r="G6670" s="57" t="s">
        <v>11449</v>
      </c>
      <c r="H6670" s="185">
        <v>0</v>
      </c>
      <c r="I6670" s="16">
        <v>470000000</v>
      </c>
      <c r="J6670" s="56" t="s">
        <v>229</v>
      </c>
      <c r="K6670" s="57" t="s">
        <v>642</v>
      </c>
      <c r="L6670" s="12" t="s">
        <v>404</v>
      </c>
      <c r="M6670" s="3" t="s">
        <v>230</v>
      </c>
      <c r="N6670" s="8" t="s">
        <v>9479</v>
      </c>
      <c r="O6670" s="6" t="s">
        <v>365</v>
      </c>
      <c r="P6670" s="58" t="s">
        <v>241</v>
      </c>
      <c r="Q6670" s="27" t="s">
        <v>234</v>
      </c>
      <c r="R6670" s="27">
        <v>40</v>
      </c>
      <c r="S6670" s="59">
        <v>800</v>
      </c>
      <c r="T6670" s="4">
        <f>R6670*S6670</f>
        <v>32000</v>
      </c>
      <c r="U6670" s="4">
        <f>T6670*1.12</f>
        <v>35840</v>
      </c>
      <c r="V6670" s="3"/>
      <c r="W6670" s="3">
        <v>2014</v>
      </c>
      <c r="X6670" s="3"/>
    </row>
    <row r="6671" spans="1:24" ht="114.75">
      <c r="A6671" s="3" t="s">
        <v>2776</v>
      </c>
      <c r="B6671" s="6" t="s">
        <v>361</v>
      </c>
      <c r="C6671" s="6" t="s">
        <v>7047</v>
      </c>
      <c r="D6671" s="6" t="s">
        <v>7048</v>
      </c>
      <c r="E6671" s="6" t="s">
        <v>5332</v>
      </c>
      <c r="F6671" s="6" t="s">
        <v>7049</v>
      </c>
      <c r="G6671" s="57" t="s">
        <v>11449</v>
      </c>
      <c r="H6671" s="185">
        <v>0</v>
      </c>
      <c r="I6671" s="16">
        <v>470000000</v>
      </c>
      <c r="J6671" s="56" t="s">
        <v>229</v>
      </c>
      <c r="K6671" s="57" t="s">
        <v>641</v>
      </c>
      <c r="L6671" s="57" t="s">
        <v>364</v>
      </c>
      <c r="M6671" s="3" t="s">
        <v>230</v>
      </c>
      <c r="N6671" s="8" t="s">
        <v>9479</v>
      </c>
      <c r="O6671" s="6" t="s">
        <v>365</v>
      </c>
      <c r="P6671" s="58" t="s">
        <v>241</v>
      </c>
      <c r="Q6671" s="27" t="s">
        <v>234</v>
      </c>
      <c r="R6671" s="27">
        <v>6</v>
      </c>
      <c r="S6671" s="59">
        <v>15400</v>
      </c>
      <c r="T6671" s="4">
        <v>0</v>
      </c>
      <c r="U6671" s="4">
        <f t="shared" si="302"/>
        <v>0</v>
      </c>
      <c r="V6671" s="3"/>
      <c r="W6671" s="3">
        <v>2014</v>
      </c>
      <c r="X6671" s="3">
        <v>11.12</v>
      </c>
    </row>
    <row r="6672" spans="1:24" ht="114.75">
      <c r="A6672" s="3" t="s">
        <v>13877</v>
      </c>
      <c r="B6672" s="6" t="s">
        <v>361</v>
      </c>
      <c r="C6672" s="6" t="s">
        <v>7047</v>
      </c>
      <c r="D6672" s="6" t="s">
        <v>7048</v>
      </c>
      <c r="E6672" s="6" t="s">
        <v>5332</v>
      </c>
      <c r="F6672" s="6" t="s">
        <v>7049</v>
      </c>
      <c r="G6672" s="57" t="s">
        <v>11449</v>
      </c>
      <c r="H6672" s="185">
        <v>0</v>
      </c>
      <c r="I6672" s="16">
        <v>470000000</v>
      </c>
      <c r="J6672" s="56" t="s">
        <v>229</v>
      </c>
      <c r="K6672" s="57" t="s">
        <v>642</v>
      </c>
      <c r="L6672" s="12" t="s">
        <v>404</v>
      </c>
      <c r="M6672" s="3" t="s">
        <v>230</v>
      </c>
      <c r="N6672" s="8" t="s">
        <v>9479</v>
      </c>
      <c r="O6672" s="6" t="s">
        <v>365</v>
      </c>
      <c r="P6672" s="58" t="s">
        <v>241</v>
      </c>
      <c r="Q6672" s="27" t="s">
        <v>234</v>
      </c>
      <c r="R6672" s="27">
        <v>6</v>
      </c>
      <c r="S6672" s="59">
        <v>15400</v>
      </c>
      <c r="T6672" s="4">
        <f>R6672*S6672</f>
        <v>92400</v>
      </c>
      <c r="U6672" s="4">
        <f>T6672*1.12</f>
        <v>103488.00000000001</v>
      </c>
      <c r="V6672" s="3"/>
      <c r="W6672" s="3">
        <v>2014</v>
      </c>
      <c r="X6672" s="3"/>
    </row>
    <row r="6673" spans="1:24" ht="114.75">
      <c r="A6673" s="3" t="s">
        <v>2777</v>
      </c>
      <c r="B6673" s="6" t="s">
        <v>361</v>
      </c>
      <c r="C6673" s="6" t="s">
        <v>7050</v>
      </c>
      <c r="D6673" s="6" t="s">
        <v>6049</v>
      </c>
      <c r="E6673" s="6" t="s">
        <v>7051</v>
      </c>
      <c r="F6673" s="6" t="s">
        <v>7052</v>
      </c>
      <c r="G6673" s="57" t="s">
        <v>11449</v>
      </c>
      <c r="H6673" s="185">
        <v>0</v>
      </c>
      <c r="I6673" s="16">
        <v>470000000</v>
      </c>
      <c r="J6673" s="56" t="s">
        <v>229</v>
      </c>
      <c r="K6673" s="57" t="s">
        <v>641</v>
      </c>
      <c r="L6673" s="57" t="s">
        <v>364</v>
      </c>
      <c r="M6673" s="3" t="s">
        <v>230</v>
      </c>
      <c r="N6673" s="8" t="s">
        <v>9479</v>
      </c>
      <c r="O6673" s="6" t="s">
        <v>365</v>
      </c>
      <c r="P6673" s="58" t="s">
        <v>241</v>
      </c>
      <c r="Q6673" s="27" t="s">
        <v>234</v>
      </c>
      <c r="R6673" s="27">
        <v>0</v>
      </c>
      <c r="S6673" s="59">
        <v>308000</v>
      </c>
      <c r="T6673" s="4">
        <f>R6673*S6673</f>
        <v>0</v>
      </c>
      <c r="U6673" s="4">
        <f t="shared" si="302"/>
        <v>0</v>
      </c>
      <c r="V6673" s="3"/>
      <c r="W6673" s="3">
        <v>2014</v>
      </c>
      <c r="X6673" s="3"/>
    </row>
    <row r="6674" spans="1:24" ht="114.75">
      <c r="A6674" s="3" t="s">
        <v>2778</v>
      </c>
      <c r="B6674" s="6" t="s">
        <v>361</v>
      </c>
      <c r="C6674" s="6" t="s">
        <v>6276</v>
      </c>
      <c r="D6674" s="6" t="s">
        <v>5357</v>
      </c>
      <c r="E6674" s="6" t="s">
        <v>6277</v>
      </c>
      <c r="F6674" s="6" t="s">
        <v>7053</v>
      </c>
      <c r="G6674" s="57" t="s">
        <v>11449</v>
      </c>
      <c r="H6674" s="185">
        <v>0</v>
      </c>
      <c r="I6674" s="16">
        <v>470000000</v>
      </c>
      <c r="J6674" s="56" t="s">
        <v>229</v>
      </c>
      <c r="K6674" s="57" t="s">
        <v>641</v>
      </c>
      <c r="L6674" s="57" t="s">
        <v>364</v>
      </c>
      <c r="M6674" s="3" t="s">
        <v>230</v>
      </c>
      <c r="N6674" s="8" t="s">
        <v>9479</v>
      </c>
      <c r="O6674" s="6" t="s">
        <v>365</v>
      </c>
      <c r="P6674" s="58" t="s">
        <v>241</v>
      </c>
      <c r="Q6674" s="27" t="s">
        <v>234</v>
      </c>
      <c r="R6674" s="27">
        <v>10</v>
      </c>
      <c r="S6674" s="59">
        <v>1500</v>
      </c>
      <c r="T6674" s="4">
        <v>0</v>
      </c>
      <c r="U6674" s="4">
        <f t="shared" si="302"/>
        <v>0</v>
      </c>
      <c r="V6674" s="3"/>
      <c r="W6674" s="3">
        <v>2014</v>
      </c>
      <c r="X6674" s="3">
        <v>11.12</v>
      </c>
    </row>
    <row r="6675" spans="1:24" ht="114.75">
      <c r="A6675" s="3" t="s">
        <v>13878</v>
      </c>
      <c r="B6675" s="6" t="s">
        <v>361</v>
      </c>
      <c r="C6675" s="6" t="s">
        <v>6276</v>
      </c>
      <c r="D6675" s="6" t="s">
        <v>5357</v>
      </c>
      <c r="E6675" s="6" t="s">
        <v>6277</v>
      </c>
      <c r="F6675" s="6" t="s">
        <v>7053</v>
      </c>
      <c r="G6675" s="57" t="s">
        <v>11449</v>
      </c>
      <c r="H6675" s="185">
        <v>0</v>
      </c>
      <c r="I6675" s="16">
        <v>470000000</v>
      </c>
      <c r="J6675" s="56" t="s">
        <v>229</v>
      </c>
      <c r="K6675" s="57" t="s">
        <v>642</v>
      </c>
      <c r="L6675" s="12" t="s">
        <v>404</v>
      </c>
      <c r="M6675" s="3" t="s">
        <v>230</v>
      </c>
      <c r="N6675" s="8" t="s">
        <v>9479</v>
      </c>
      <c r="O6675" s="6" t="s">
        <v>365</v>
      </c>
      <c r="P6675" s="58" t="s">
        <v>241</v>
      </c>
      <c r="Q6675" s="27" t="s">
        <v>234</v>
      </c>
      <c r="R6675" s="27">
        <v>10</v>
      </c>
      <c r="S6675" s="59">
        <v>1500</v>
      </c>
      <c r="T6675" s="4">
        <f>R6675*S6675</f>
        <v>15000</v>
      </c>
      <c r="U6675" s="4">
        <f>T6675*1.12</f>
        <v>16800</v>
      </c>
      <c r="V6675" s="3"/>
      <c r="W6675" s="3">
        <v>2014</v>
      </c>
      <c r="X6675" s="3"/>
    </row>
    <row r="6676" spans="1:24" ht="114.75">
      <c r="A6676" s="3" t="s">
        <v>2779</v>
      </c>
      <c r="B6676" s="6" t="s">
        <v>361</v>
      </c>
      <c r="C6676" s="6" t="s">
        <v>7054</v>
      </c>
      <c r="D6676" s="6" t="s">
        <v>7055</v>
      </c>
      <c r="E6676" s="6" t="s">
        <v>7056</v>
      </c>
      <c r="F6676" s="6" t="s">
        <v>7057</v>
      </c>
      <c r="G6676" s="57" t="s">
        <v>11449</v>
      </c>
      <c r="H6676" s="185">
        <v>0</v>
      </c>
      <c r="I6676" s="16">
        <v>470000000</v>
      </c>
      <c r="J6676" s="56" t="s">
        <v>229</v>
      </c>
      <c r="K6676" s="57" t="s">
        <v>641</v>
      </c>
      <c r="L6676" s="57" t="s">
        <v>364</v>
      </c>
      <c r="M6676" s="3" t="s">
        <v>230</v>
      </c>
      <c r="N6676" s="8" t="s">
        <v>9479</v>
      </c>
      <c r="O6676" s="6" t="s">
        <v>365</v>
      </c>
      <c r="P6676" s="58" t="s">
        <v>241</v>
      </c>
      <c r="Q6676" s="27" t="s">
        <v>234</v>
      </c>
      <c r="R6676" s="27">
        <v>6</v>
      </c>
      <c r="S6676" s="59">
        <v>10000</v>
      </c>
      <c r="T6676" s="4">
        <v>0</v>
      </c>
      <c r="U6676" s="4">
        <f t="shared" si="302"/>
        <v>0</v>
      </c>
      <c r="V6676" s="3"/>
      <c r="W6676" s="3">
        <v>2014</v>
      </c>
      <c r="X6676" s="3">
        <v>11.12</v>
      </c>
    </row>
    <row r="6677" spans="1:24" ht="114.75">
      <c r="A6677" s="3" t="s">
        <v>13879</v>
      </c>
      <c r="B6677" s="6" t="s">
        <v>361</v>
      </c>
      <c r="C6677" s="6" t="s">
        <v>7054</v>
      </c>
      <c r="D6677" s="6" t="s">
        <v>7055</v>
      </c>
      <c r="E6677" s="6" t="s">
        <v>7056</v>
      </c>
      <c r="F6677" s="6" t="s">
        <v>7057</v>
      </c>
      <c r="G6677" s="57" t="s">
        <v>11449</v>
      </c>
      <c r="H6677" s="185">
        <v>0</v>
      </c>
      <c r="I6677" s="16">
        <v>470000000</v>
      </c>
      <c r="J6677" s="56" t="s">
        <v>229</v>
      </c>
      <c r="K6677" s="57" t="s">
        <v>642</v>
      </c>
      <c r="L6677" s="12" t="s">
        <v>404</v>
      </c>
      <c r="M6677" s="3" t="s">
        <v>230</v>
      </c>
      <c r="N6677" s="8" t="s">
        <v>9479</v>
      </c>
      <c r="O6677" s="6" t="s">
        <v>365</v>
      </c>
      <c r="P6677" s="58" t="s">
        <v>241</v>
      </c>
      <c r="Q6677" s="27" t="s">
        <v>234</v>
      </c>
      <c r="R6677" s="27">
        <v>6</v>
      </c>
      <c r="S6677" s="59">
        <v>10000</v>
      </c>
      <c r="T6677" s="4">
        <f>R6677*S6677</f>
        <v>60000</v>
      </c>
      <c r="U6677" s="4">
        <f>T6677*1.12</f>
        <v>67200</v>
      </c>
      <c r="V6677" s="3"/>
      <c r="W6677" s="3">
        <v>2014</v>
      </c>
      <c r="X6677" s="3"/>
    </row>
    <row r="6678" spans="1:24" ht="114.75">
      <c r="A6678" s="3" t="s">
        <v>2780</v>
      </c>
      <c r="B6678" s="6" t="s">
        <v>361</v>
      </c>
      <c r="C6678" s="6" t="s">
        <v>7058</v>
      </c>
      <c r="D6678" s="6" t="s">
        <v>7059</v>
      </c>
      <c r="E6678" s="6" t="s">
        <v>7060</v>
      </c>
      <c r="F6678" s="6" t="s">
        <v>7061</v>
      </c>
      <c r="G6678" s="57" t="s">
        <v>11449</v>
      </c>
      <c r="H6678" s="185">
        <v>0</v>
      </c>
      <c r="I6678" s="16">
        <v>470000000</v>
      </c>
      <c r="J6678" s="56" t="s">
        <v>229</v>
      </c>
      <c r="K6678" s="57" t="s">
        <v>641</v>
      </c>
      <c r="L6678" s="57" t="s">
        <v>364</v>
      </c>
      <c r="M6678" s="3" t="s">
        <v>230</v>
      </c>
      <c r="N6678" s="8" t="s">
        <v>9479</v>
      </c>
      <c r="O6678" s="6" t="s">
        <v>365</v>
      </c>
      <c r="P6678" s="58" t="s">
        <v>242</v>
      </c>
      <c r="Q6678" s="27" t="s">
        <v>239</v>
      </c>
      <c r="R6678" s="27">
        <v>6</v>
      </c>
      <c r="S6678" s="59">
        <v>5000</v>
      </c>
      <c r="T6678" s="4">
        <v>0</v>
      </c>
      <c r="U6678" s="4">
        <f t="shared" si="302"/>
        <v>0</v>
      </c>
      <c r="V6678" s="3"/>
      <c r="W6678" s="3">
        <v>2014</v>
      </c>
      <c r="X6678" s="3">
        <v>11.12</v>
      </c>
    </row>
    <row r="6679" spans="1:24" ht="114.75">
      <c r="A6679" s="3" t="s">
        <v>13880</v>
      </c>
      <c r="B6679" s="6" t="s">
        <v>361</v>
      </c>
      <c r="C6679" s="6" t="s">
        <v>7058</v>
      </c>
      <c r="D6679" s="6" t="s">
        <v>7059</v>
      </c>
      <c r="E6679" s="6" t="s">
        <v>7060</v>
      </c>
      <c r="F6679" s="6" t="s">
        <v>7061</v>
      </c>
      <c r="G6679" s="57" t="s">
        <v>11449</v>
      </c>
      <c r="H6679" s="185">
        <v>0</v>
      </c>
      <c r="I6679" s="16">
        <v>470000000</v>
      </c>
      <c r="J6679" s="56" t="s">
        <v>229</v>
      </c>
      <c r="K6679" s="57" t="s">
        <v>642</v>
      </c>
      <c r="L6679" s="12" t="s">
        <v>404</v>
      </c>
      <c r="M6679" s="3" t="s">
        <v>230</v>
      </c>
      <c r="N6679" s="8" t="s">
        <v>9479</v>
      </c>
      <c r="O6679" s="6" t="s">
        <v>365</v>
      </c>
      <c r="P6679" s="58" t="s">
        <v>242</v>
      </c>
      <c r="Q6679" s="27" t="s">
        <v>239</v>
      </c>
      <c r="R6679" s="27">
        <v>6</v>
      </c>
      <c r="S6679" s="59">
        <v>5000</v>
      </c>
      <c r="T6679" s="4">
        <f>R6679*S6679</f>
        <v>30000</v>
      </c>
      <c r="U6679" s="4">
        <f>T6679*1.12</f>
        <v>33600</v>
      </c>
      <c r="V6679" s="3"/>
      <c r="W6679" s="3">
        <v>2014</v>
      </c>
      <c r="X6679" s="3"/>
    </row>
    <row r="6680" spans="1:24" ht="114.75">
      <c r="A6680" s="3" t="s">
        <v>2781</v>
      </c>
      <c r="B6680" s="6" t="s">
        <v>361</v>
      </c>
      <c r="C6680" s="6" t="s">
        <v>7062</v>
      </c>
      <c r="D6680" s="6" t="s">
        <v>5430</v>
      </c>
      <c r="E6680" s="6" t="s">
        <v>7063</v>
      </c>
      <c r="F6680" s="6" t="s">
        <v>7064</v>
      </c>
      <c r="G6680" s="57" t="s">
        <v>11449</v>
      </c>
      <c r="H6680" s="185">
        <v>0</v>
      </c>
      <c r="I6680" s="16">
        <v>470000000</v>
      </c>
      <c r="J6680" s="56" t="s">
        <v>229</v>
      </c>
      <c r="K6680" s="57" t="s">
        <v>641</v>
      </c>
      <c r="L6680" s="57" t="s">
        <v>364</v>
      </c>
      <c r="M6680" s="3" t="s">
        <v>230</v>
      </c>
      <c r="N6680" s="8" t="s">
        <v>9479</v>
      </c>
      <c r="O6680" s="6" t="s">
        <v>365</v>
      </c>
      <c r="P6680" s="58" t="s">
        <v>241</v>
      </c>
      <c r="Q6680" s="27" t="s">
        <v>234</v>
      </c>
      <c r="R6680" s="27">
        <v>4</v>
      </c>
      <c r="S6680" s="59">
        <v>28000</v>
      </c>
      <c r="T6680" s="4">
        <v>0</v>
      </c>
      <c r="U6680" s="4">
        <f t="shared" si="302"/>
        <v>0</v>
      </c>
      <c r="V6680" s="3"/>
      <c r="W6680" s="3">
        <v>2014</v>
      </c>
      <c r="X6680" s="3">
        <v>11.12</v>
      </c>
    </row>
    <row r="6681" spans="1:24" ht="114.75">
      <c r="A6681" s="3" t="s">
        <v>13881</v>
      </c>
      <c r="B6681" s="6" t="s">
        <v>361</v>
      </c>
      <c r="C6681" s="6" t="s">
        <v>7062</v>
      </c>
      <c r="D6681" s="6" t="s">
        <v>5430</v>
      </c>
      <c r="E6681" s="6" t="s">
        <v>7063</v>
      </c>
      <c r="F6681" s="6" t="s">
        <v>7064</v>
      </c>
      <c r="G6681" s="57" t="s">
        <v>11449</v>
      </c>
      <c r="H6681" s="185">
        <v>0</v>
      </c>
      <c r="I6681" s="16">
        <v>470000000</v>
      </c>
      <c r="J6681" s="56" t="s">
        <v>229</v>
      </c>
      <c r="K6681" s="57" t="s">
        <v>642</v>
      </c>
      <c r="L6681" s="12" t="s">
        <v>404</v>
      </c>
      <c r="M6681" s="3" t="s">
        <v>230</v>
      </c>
      <c r="N6681" s="8" t="s">
        <v>9479</v>
      </c>
      <c r="O6681" s="6" t="s">
        <v>365</v>
      </c>
      <c r="P6681" s="58" t="s">
        <v>241</v>
      </c>
      <c r="Q6681" s="27" t="s">
        <v>234</v>
      </c>
      <c r="R6681" s="27">
        <v>4</v>
      </c>
      <c r="S6681" s="59">
        <v>28000</v>
      </c>
      <c r="T6681" s="4">
        <f>R6681*S6681</f>
        <v>112000</v>
      </c>
      <c r="U6681" s="4">
        <f>T6681*1.12</f>
        <v>125440.00000000001</v>
      </c>
      <c r="V6681" s="3"/>
      <c r="W6681" s="3">
        <v>2014</v>
      </c>
      <c r="X6681" s="3"/>
    </row>
    <row r="6682" spans="1:24" ht="114.75">
      <c r="A6682" s="3" t="s">
        <v>2782</v>
      </c>
      <c r="B6682" s="6" t="s">
        <v>361</v>
      </c>
      <c r="C6682" s="6" t="s">
        <v>7065</v>
      </c>
      <c r="D6682" s="6" t="s">
        <v>7066</v>
      </c>
      <c r="E6682" s="6" t="s">
        <v>7067</v>
      </c>
      <c r="F6682" s="6" t="s">
        <v>7068</v>
      </c>
      <c r="G6682" s="57" t="s">
        <v>11449</v>
      </c>
      <c r="H6682" s="185">
        <v>0</v>
      </c>
      <c r="I6682" s="16">
        <v>470000000</v>
      </c>
      <c r="J6682" s="56" t="s">
        <v>229</v>
      </c>
      <c r="K6682" s="57" t="s">
        <v>641</v>
      </c>
      <c r="L6682" s="57" t="s">
        <v>364</v>
      </c>
      <c r="M6682" s="3" t="s">
        <v>230</v>
      </c>
      <c r="N6682" s="8" t="s">
        <v>9479</v>
      </c>
      <c r="O6682" s="6" t="s">
        <v>365</v>
      </c>
      <c r="P6682" s="58" t="s">
        <v>241</v>
      </c>
      <c r="Q6682" s="27" t="s">
        <v>234</v>
      </c>
      <c r="R6682" s="27">
        <v>40</v>
      </c>
      <c r="S6682" s="59">
        <v>5400</v>
      </c>
      <c r="T6682" s="4">
        <v>0</v>
      </c>
      <c r="U6682" s="4">
        <f t="shared" si="302"/>
        <v>0</v>
      </c>
      <c r="V6682" s="3"/>
      <c r="W6682" s="3">
        <v>2014</v>
      </c>
      <c r="X6682" s="3">
        <v>11.12</v>
      </c>
    </row>
    <row r="6683" spans="1:24" ht="114.75">
      <c r="A6683" s="3" t="s">
        <v>13882</v>
      </c>
      <c r="B6683" s="6" t="s">
        <v>361</v>
      </c>
      <c r="C6683" s="6" t="s">
        <v>7065</v>
      </c>
      <c r="D6683" s="6" t="s">
        <v>7066</v>
      </c>
      <c r="E6683" s="6" t="s">
        <v>7067</v>
      </c>
      <c r="F6683" s="6" t="s">
        <v>7068</v>
      </c>
      <c r="G6683" s="57" t="s">
        <v>11449</v>
      </c>
      <c r="H6683" s="185">
        <v>0</v>
      </c>
      <c r="I6683" s="16">
        <v>470000000</v>
      </c>
      <c r="J6683" s="56" t="s">
        <v>229</v>
      </c>
      <c r="K6683" s="57" t="s">
        <v>642</v>
      </c>
      <c r="L6683" s="12" t="s">
        <v>404</v>
      </c>
      <c r="M6683" s="3" t="s">
        <v>230</v>
      </c>
      <c r="N6683" s="8" t="s">
        <v>9479</v>
      </c>
      <c r="O6683" s="6" t="s">
        <v>365</v>
      </c>
      <c r="P6683" s="58" t="s">
        <v>241</v>
      </c>
      <c r="Q6683" s="27" t="s">
        <v>234</v>
      </c>
      <c r="R6683" s="27">
        <v>40</v>
      </c>
      <c r="S6683" s="59">
        <v>5400</v>
      </c>
      <c r="T6683" s="4">
        <f>R6683*S6683</f>
        <v>216000</v>
      </c>
      <c r="U6683" s="4">
        <f>T6683*1.12</f>
        <v>241920.00000000003</v>
      </c>
      <c r="V6683" s="3"/>
      <c r="W6683" s="3">
        <v>2014</v>
      </c>
      <c r="X6683" s="3"/>
    </row>
    <row r="6684" spans="1:24" ht="114.75">
      <c r="A6684" s="3" t="s">
        <v>2783</v>
      </c>
      <c r="B6684" s="6" t="s">
        <v>361</v>
      </c>
      <c r="C6684" s="6" t="s">
        <v>7065</v>
      </c>
      <c r="D6684" s="6" t="s">
        <v>7066</v>
      </c>
      <c r="E6684" s="6" t="s">
        <v>7067</v>
      </c>
      <c r="F6684" s="6" t="s">
        <v>7069</v>
      </c>
      <c r="G6684" s="57" t="s">
        <v>11449</v>
      </c>
      <c r="H6684" s="185">
        <v>0</v>
      </c>
      <c r="I6684" s="16">
        <v>470000000</v>
      </c>
      <c r="J6684" s="56" t="s">
        <v>229</v>
      </c>
      <c r="K6684" s="57" t="s">
        <v>641</v>
      </c>
      <c r="L6684" s="57" t="s">
        <v>364</v>
      </c>
      <c r="M6684" s="3" t="s">
        <v>230</v>
      </c>
      <c r="N6684" s="8" t="s">
        <v>9479</v>
      </c>
      <c r="O6684" s="6" t="s">
        <v>365</v>
      </c>
      <c r="P6684" s="58" t="s">
        <v>241</v>
      </c>
      <c r="Q6684" s="27" t="s">
        <v>234</v>
      </c>
      <c r="R6684" s="27">
        <v>40</v>
      </c>
      <c r="S6684" s="59">
        <v>5400</v>
      </c>
      <c r="T6684" s="4">
        <v>0</v>
      </c>
      <c r="U6684" s="4">
        <f t="shared" si="302"/>
        <v>0</v>
      </c>
      <c r="V6684" s="3"/>
      <c r="W6684" s="3">
        <v>2014</v>
      </c>
      <c r="X6684" s="3">
        <v>11.12</v>
      </c>
    </row>
    <row r="6685" spans="1:24" ht="114.75">
      <c r="A6685" s="3" t="s">
        <v>13883</v>
      </c>
      <c r="B6685" s="6" t="s">
        <v>361</v>
      </c>
      <c r="C6685" s="6" t="s">
        <v>7065</v>
      </c>
      <c r="D6685" s="6" t="s">
        <v>7066</v>
      </c>
      <c r="E6685" s="6" t="s">
        <v>7067</v>
      </c>
      <c r="F6685" s="6" t="s">
        <v>7069</v>
      </c>
      <c r="G6685" s="57" t="s">
        <v>11449</v>
      </c>
      <c r="H6685" s="185">
        <v>0</v>
      </c>
      <c r="I6685" s="16">
        <v>470000000</v>
      </c>
      <c r="J6685" s="56" t="s">
        <v>229</v>
      </c>
      <c r="K6685" s="57" t="s">
        <v>642</v>
      </c>
      <c r="L6685" s="12" t="s">
        <v>404</v>
      </c>
      <c r="M6685" s="3" t="s">
        <v>230</v>
      </c>
      <c r="N6685" s="8" t="s">
        <v>9479</v>
      </c>
      <c r="O6685" s="6" t="s">
        <v>365</v>
      </c>
      <c r="P6685" s="58" t="s">
        <v>241</v>
      </c>
      <c r="Q6685" s="27" t="s">
        <v>234</v>
      </c>
      <c r="R6685" s="27">
        <v>40</v>
      </c>
      <c r="S6685" s="59">
        <v>5400</v>
      </c>
      <c r="T6685" s="4">
        <f>R6685*S6685</f>
        <v>216000</v>
      </c>
      <c r="U6685" s="4">
        <f>T6685*1.12</f>
        <v>241920.00000000003</v>
      </c>
      <c r="V6685" s="3"/>
      <c r="W6685" s="3">
        <v>2014</v>
      </c>
      <c r="X6685" s="3"/>
    </row>
    <row r="6686" spans="1:24" ht="114.75">
      <c r="A6686" s="3" t="s">
        <v>2784</v>
      </c>
      <c r="B6686" s="6" t="s">
        <v>361</v>
      </c>
      <c r="C6686" s="6" t="s">
        <v>6112</v>
      </c>
      <c r="D6686" s="6" t="s">
        <v>398</v>
      </c>
      <c r="E6686" s="6" t="s">
        <v>6113</v>
      </c>
      <c r="F6686" s="6" t="s">
        <v>7070</v>
      </c>
      <c r="G6686" s="57" t="s">
        <v>11449</v>
      </c>
      <c r="H6686" s="185">
        <v>0</v>
      </c>
      <c r="I6686" s="16">
        <v>470000000</v>
      </c>
      <c r="J6686" s="56" t="s">
        <v>229</v>
      </c>
      <c r="K6686" s="57" t="s">
        <v>641</v>
      </c>
      <c r="L6686" s="57" t="s">
        <v>364</v>
      </c>
      <c r="M6686" s="3" t="s">
        <v>230</v>
      </c>
      <c r="N6686" s="8" t="s">
        <v>9479</v>
      </c>
      <c r="O6686" s="6" t="s">
        <v>365</v>
      </c>
      <c r="P6686" s="58" t="s">
        <v>241</v>
      </c>
      <c r="Q6686" s="27" t="s">
        <v>234</v>
      </c>
      <c r="R6686" s="27">
        <v>40</v>
      </c>
      <c r="S6686" s="59">
        <v>600</v>
      </c>
      <c r="T6686" s="4">
        <v>0</v>
      </c>
      <c r="U6686" s="4">
        <f t="shared" si="302"/>
        <v>0</v>
      </c>
      <c r="V6686" s="3"/>
      <c r="W6686" s="3">
        <v>2014</v>
      </c>
      <c r="X6686" s="3">
        <v>11.12</v>
      </c>
    </row>
    <row r="6687" spans="1:24" ht="114.75">
      <c r="A6687" s="3" t="s">
        <v>13884</v>
      </c>
      <c r="B6687" s="6" t="s">
        <v>361</v>
      </c>
      <c r="C6687" s="6" t="s">
        <v>6112</v>
      </c>
      <c r="D6687" s="6" t="s">
        <v>398</v>
      </c>
      <c r="E6687" s="6" t="s">
        <v>6113</v>
      </c>
      <c r="F6687" s="6" t="s">
        <v>7070</v>
      </c>
      <c r="G6687" s="57" t="s">
        <v>11449</v>
      </c>
      <c r="H6687" s="185">
        <v>0</v>
      </c>
      <c r="I6687" s="16">
        <v>470000000</v>
      </c>
      <c r="J6687" s="56" t="s">
        <v>229</v>
      </c>
      <c r="K6687" s="57" t="s">
        <v>642</v>
      </c>
      <c r="L6687" s="12" t="s">
        <v>404</v>
      </c>
      <c r="M6687" s="3" t="s">
        <v>230</v>
      </c>
      <c r="N6687" s="8" t="s">
        <v>9479</v>
      </c>
      <c r="O6687" s="6" t="s">
        <v>365</v>
      </c>
      <c r="P6687" s="58" t="s">
        <v>241</v>
      </c>
      <c r="Q6687" s="27" t="s">
        <v>234</v>
      </c>
      <c r="R6687" s="27">
        <v>40</v>
      </c>
      <c r="S6687" s="59">
        <v>600</v>
      </c>
      <c r="T6687" s="4">
        <f>R6687*S6687</f>
        <v>24000</v>
      </c>
      <c r="U6687" s="4">
        <f>T6687*1.12</f>
        <v>26880.000000000004</v>
      </c>
      <c r="V6687" s="3"/>
      <c r="W6687" s="3">
        <v>2014</v>
      </c>
      <c r="X6687" s="3"/>
    </row>
    <row r="6688" spans="1:24" ht="114.75">
      <c r="A6688" s="3" t="s">
        <v>2785</v>
      </c>
      <c r="B6688" s="6" t="s">
        <v>361</v>
      </c>
      <c r="C6688" s="6" t="s">
        <v>6112</v>
      </c>
      <c r="D6688" s="6" t="s">
        <v>398</v>
      </c>
      <c r="E6688" s="6" t="s">
        <v>6113</v>
      </c>
      <c r="F6688" s="6" t="s">
        <v>7071</v>
      </c>
      <c r="G6688" s="57" t="s">
        <v>11449</v>
      </c>
      <c r="H6688" s="185">
        <v>0</v>
      </c>
      <c r="I6688" s="16">
        <v>470000000</v>
      </c>
      <c r="J6688" s="56" t="s">
        <v>229</v>
      </c>
      <c r="K6688" s="57" t="s">
        <v>641</v>
      </c>
      <c r="L6688" s="57" t="s">
        <v>364</v>
      </c>
      <c r="M6688" s="3" t="s">
        <v>230</v>
      </c>
      <c r="N6688" s="8" t="s">
        <v>9479</v>
      </c>
      <c r="O6688" s="6" t="s">
        <v>365</v>
      </c>
      <c r="P6688" s="58" t="s">
        <v>241</v>
      </c>
      <c r="Q6688" s="27" t="s">
        <v>234</v>
      </c>
      <c r="R6688" s="27">
        <v>40</v>
      </c>
      <c r="S6688" s="59">
        <v>600</v>
      </c>
      <c r="T6688" s="4">
        <v>0</v>
      </c>
      <c r="U6688" s="4">
        <f t="shared" si="302"/>
        <v>0</v>
      </c>
      <c r="V6688" s="3"/>
      <c r="W6688" s="3">
        <v>2014</v>
      </c>
      <c r="X6688" s="3">
        <v>11.12</v>
      </c>
    </row>
    <row r="6689" spans="1:24" ht="114.75">
      <c r="A6689" s="3" t="s">
        <v>13885</v>
      </c>
      <c r="B6689" s="6" t="s">
        <v>361</v>
      </c>
      <c r="C6689" s="6" t="s">
        <v>6112</v>
      </c>
      <c r="D6689" s="6" t="s">
        <v>398</v>
      </c>
      <c r="E6689" s="6" t="s">
        <v>6113</v>
      </c>
      <c r="F6689" s="6" t="s">
        <v>7071</v>
      </c>
      <c r="G6689" s="57" t="s">
        <v>11449</v>
      </c>
      <c r="H6689" s="185">
        <v>0</v>
      </c>
      <c r="I6689" s="16">
        <v>470000000</v>
      </c>
      <c r="J6689" s="56" t="s">
        <v>229</v>
      </c>
      <c r="K6689" s="57" t="s">
        <v>642</v>
      </c>
      <c r="L6689" s="12" t="s">
        <v>404</v>
      </c>
      <c r="M6689" s="3" t="s">
        <v>230</v>
      </c>
      <c r="N6689" s="8" t="s">
        <v>9479</v>
      </c>
      <c r="O6689" s="6" t="s">
        <v>365</v>
      </c>
      <c r="P6689" s="58" t="s">
        <v>241</v>
      </c>
      <c r="Q6689" s="27" t="s">
        <v>234</v>
      </c>
      <c r="R6689" s="27">
        <v>40</v>
      </c>
      <c r="S6689" s="59">
        <v>600</v>
      </c>
      <c r="T6689" s="4">
        <f>R6689*S6689</f>
        <v>24000</v>
      </c>
      <c r="U6689" s="4">
        <f>T6689*1.12</f>
        <v>26880.000000000004</v>
      </c>
      <c r="V6689" s="3"/>
      <c r="W6689" s="3">
        <v>2014</v>
      </c>
      <c r="X6689" s="3"/>
    </row>
    <row r="6690" spans="1:24" ht="114.75">
      <c r="A6690" s="3" t="s">
        <v>2786</v>
      </c>
      <c r="B6690" s="6" t="s">
        <v>361</v>
      </c>
      <c r="C6690" s="6" t="s">
        <v>6112</v>
      </c>
      <c r="D6690" s="6" t="s">
        <v>398</v>
      </c>
      <c r="E6690" s="6" t="s">
        <v>6113</v>
      </c>
      <c r="F6690" s="6" t="s">
        <v>7072</v>
      </c>
      <c r="G6690" s="57" t="s">
        <v>11449</v>
      </c>
      <c r="H6690" s="185">
        <v>0</v>
      </c>
      <c r="I6690" s="16">
        <v>470000000</v>
      </c>
      <c r="J6690" s="56" t="s">
        <v>229</v>
      </c>
      <c r="K6690" s="57" t="s">
        <v>641</v>
      </c>
      <c r="L6690" s="57" t="s">
        <v>364</v>
      </c>
      <c r="M6690" s="3" t="s">
        <v>230</v>
      </c>
      <c r="N6690" s="8" t="s">
        <v>9479</v>
      </c>
      <c r="O6690" s="6" t="s">
        <v>365</v>
      </c>
      <c r="P6690" s="58" t="s">
        <v>241</v>
      </c>
      <c r="Q6690" s="27" t="s">
        <v>234</v>
      </c>
      <c r="R6690" s="27">
        <v>40</v>
      </c>
      <c r="S6690" s="59">
        <v>600</v>
      </c>
      <c r="T6690" s="4">
        <v>0</v>
      </c>
      <c r="U6690" s="4">
        <f t="shared" ref="U6690:U6802" si="303">T6690*1.12</f>
        <v>0</v>
      </c>
      <c r="V6690" s="3"/>
      <c r="W6690" s="3">
        <v>2014</v>
      </c>
      <c r="X6690" s="3">
        <v>11.12</v>
      </c>
    </row>
    <row r="6691" spans="1:24" ht="114.75">
      <c r="A6691" s="3" t="s">
        <v>13887</v>
      </c>
      <c r="B6691" s="6" t="s">
        <v>361</v>
      </c>
      <c r="C6691" s="6" t="s">
        <v>6112</v>
      </c>
      <c r="D6691" s="6" t="s">
        <v>398</v>
      </c>
      <c r="E6691" s="6" t="s">
        <v>6113</v>
      </c>
      <c r="F6691" s="6" t="s">
        <v>7072</v>
      </c>
      <c r="G6691" s="57" t="s">
        <v>11449</v>
      </c>
      <c r="H6691" s="185">
        <v>0</v>
      </c>
      <c r="I6691" s="16">
        <v>470000000</v>
      </c>
      <c r="J6691" s="56" t="s">
        <v>229</v>
      </c>
      <c r="K6691" s="57" t="s">
        <v>642</v>
      </c>
      <c r="L6691" s="12" t="s">
        <v>404</v>
      </c>
      <c r="M6691" s="3" t="s">
        <v>230</v>
      </c>
      <c r="N6691" s="8" t="s">
        <v>9479</v>
      </c>
      <c r="O6691" s="6" t="s">
        <v>365</v>
      </c>
      <c r="P6691" s="58" t="s">
        <v>241</v>
      </c>
      <c r="Q6691" s="27" t="s">
        <v>234</v>
      </c>
      <c r="R6691" s="27">
        <v>40</v>
      </c>
      <c r="S6691" s="59">
        <v>600</v>
      </c>
      <c r="T6691" s="4">
        <f>R6691*S6691</f>
        <v>24000</v>
      </c>
      <c r="U6691" s="4">
        <f>T6691*1.12</f>
        <v>26880.000000000004</v>
      </c>
      <c r="V6691" s="3"/>
      <c r="W6691" s="3">
        <v>2014</v>
      </c>
      <c r="X6691" s="3"/>
    </row>
    <row r="6692" spans="1:24" ht="114.75">
      <c r="A6692" s="3" t="s">
        <v>2787</v>
      </c>
      <c r="B6692" s="6" t="s">
        <v>361</v>
      </c>
      <c r="C6692" s="6" t="s">
        <v>6112</v>
      </c>
      <c r="D6692" s="6" t="s">
        <v>398</v>
      </c>
      <c r="E6692" s="6" t="s">
        <v>6113</v>
      </c>
      <c r="F6692" s="6" t="s">
        <v>7073</v>
      </c>
      <c r="G6692" s="57" t="s">
        <v>11449</v>
      </c>
      <c r="H6692" s="185">
        <v>0</v>
      </c>
      <c r="I6692" s="16">
        <v>470000000</v>
      </c>
      <c r="J6692" s="56" t="s">
        <v>229</v>
      </c>
      <c r="K6692" s="57" t="s">
        <v>641</v>
      </c>
      <c r="L6692" s="57" t="s">
        <v>364</v>
      </c>
      <c r="M6692" s="3" t="s">
        <v>230</v>
      </c>
      <c r="N6692" s="8" t="s">
        <v>9479</v>
      </c>
      <c r="O6692" s="6" t="s">
        <v>365</v>
      </c>
      <c r="P6692" s="58" t="s">
        <v>241</v>
      </c>
      <c r="Q6692" s="27" t="s">
        <v>234</v>
      </c>
      <c r="R6692" s="27">
        <v>40</v>
      </c>
      <c r="S6692" s="59">
        <v>600</v>
      </c>
      <c r="T6692" s="4">
        <v>0</v>
      </c>
      <c r="U6692" s="4">
        <f t="shared" si="303"/>
        <v>0</v>
      </c>
      <c r="V6692" s="3"/>
      <c r="W6692" s="3">
        <v>2014</v>
      </c>
      <c r="X6692" s="3">
        <v>11.12</v>
      </c>
    </row>
    <row r="6693" spans="1:24" ht="114.75">
      <c r="A6693" s="3" t="s">
        <v>13888</v>
      </c>
      <c r="B6693" s="6" t="s">
        <v>361</v>
      </c>
      <c r="C6693" s="6" t="s">
        <v>6112</v>
      </c>
      <c r="D6693" s="6" t="s">
        <v>398</v>
      </c>
      <c r="E6693" s="6" t="s">
        <v>6113</v>
      </c>
      <c r="F6693" s="6" t="s">
        <v>7073</v>
      </c>
      <c r="G6693" s="57" t="s">
        <v>11449</v>
      </c>
      <c r="H6693" s="185">
        <v>0</v>
      </c>
      <c r="I6693" s="16">
        <v>470000000</v>
      </c>
      <c r="J6693" s="56" t="s">
        <v>229</v>
      </c>
      <c r="K6693" s="57" t="s">
        <v>642</v>
      </c>
      <c r="L6693" s="12" t="s">
        <v>404</v>
      </c>
      <c r="M6693" s="3" t="s">
        <v>230</v>
      </c>
      <c r="N6693" s="8" t="s">
        <v>9479</v>
      </c>
      <c r="O6693" s="6" t="s">
        <v>365</v>
      </c>
      <c r="P6693" s="58" t="s">
        <v>241</v>
      </c>
      <c r="Q6693" s="27" t="s">
        <v>234</v>
      </c>
      <c r="R6693" s="27">
        <v>40</v>
      </c>
      <c r="S6693" s="59">
        <v>600</v>
      </c>
      <c r="T6693" s="4">
        <f>R6693*S6693</f>
        <v>24000</v>
      </c>
      <c r="U6693" s="4">
        <f>T6693*1.12</f>
        <v>26880.000000000004</v>
      </c>
      <c r="V6693" s="3"/>
      <c r="W6693" s="3">
        <v>2014</v>
      </c>
      <c r="X6693" s="3"/>
    </row>
    <row r="6694" spans="1:24" ht="114.75">
      <c r="A6694" s="3" t="s">
        <v>2788</v>
      </c>
      <c r="B6694" s="6" t="s">
        <v>361</v>
      </c>
      <c r="C6694" s="6" t="s">
        <v>7074</v>
      </c>
      <c r="D6694" s="6" t="s">
        <v>398</v>
      </c>
      <c r="E6694" s="6" t="s">
        <v>7075</v>
      </c>
      <c r="F6694" s="6" t="s">
        <v>7076</v>
      </c>
      <c r="G6694" s="57" t="s">
        <v>11449</v>
      </c>
      <c r="H6694" s="185">
        <v>0</v>
      </c>
      <c r="I6694" s="16">
        <v>470000000</v>
      </c>
      <c r="J6694" s="56" t="s">
        <v>229</v>
      </c>
      <c r="K6694" s="57" t="s">
        <v>641</v>
      </c>
      <c r="L6694" s="57" t="s">
        <v>364</v>
      </c>
      <c r="M6694" s="3" t="s">
        <v>230</v>
      </c>
      <c r="N6694" s="8" t="s">
        <v>9479</v>
      </c>
      <c r="O6694" s="6" t="s">
        <v>365</v>
      </c>
      <c r="P6694" s="58" t="s">
        <v>241</v>
      </c>
      <c r="Q6694" s="27" t="s">
        <v>234</v>
      </c>
      <c r="R6694" s="27">
        <v>80</v>
      </c>
      <c r="S6694" s="59">
        <v>1200</v>
      </c>
      <c r="T6694" s="4">
        <v>0</v>
      </c>
      <c r="U6694" s="4">
        <f t="shared" si="303"/>
        <v>0</v>
      </c>
      <c r="V6694" s="3"/>
      <c r="W6694" s="3">
        <v>2014</v>
      </c>
      <c r="X6694" s="3">
        <v>11.12</v>
      </c>
    </row>
    <row r="6695" spans="1:24" ht="114.75">
      <c r="A6695" s="3" t="s">
        <v>13891</v>
      </c>
      <c r="B6695" s="6" t="s">
        <v>361</v>
      </c>
      <c r="C6695" s="6" t="s">
        <v>7074</v>
      </c>
      <c r="D6695" s="6" t="s">
        <v>398</v>
      </c>
      <c r="E6695" s="6" t="s">
        <v>7075</v>
      </c>
      <c r="F6695" s="6" t="s">
        <v>7076</v>
      </c>
      <c r="G6695" s="57" t="s">
        <v>11449</v>
      </c>
      <c r="H6695" s="185">
        <v>0</v>
      </c>
      <c r="I6695" s="16">
        <v>470000000</v>
      </c>
      <c r="J6695" s="56" t="s">
        <v>229</v>
      </c>
      <c r="K6695" s="57" t="s">
        <v>642</v>
      </c>
      <c r="L6695" s="12" t="s">
        <v>404</v>
      </c>
      <c r="M6695" s="3" t="s">
        <v>230</v>
      </c>
      <c r="N6695" s="8" t="s">
        <v>9479</v>
      </c>
      <c r="O6695" s="6" t="s">
        <v>365</v>
      </c>
      <c r="P6695" s="58" t="s">
        <v>241</v>
      </c>
      <c r="Q6695" s="27" t="s">
        <v>234</v>
      </c>
      <c r="R6695" s="27">
        <v>80</v>
      </c>
      <c r="S6695" s="59">
        <v>1200</v>
      </c>
      <c r="T6695" s="4">
        <f>R6695*S6695</f>
        <v>96000</v>
      </c>
      <c r="U6695" s="4">
        <f>T6695*1.12</f>
        <v>107520.00000000001</v>
      </c>
      <c r="V6695" s="3"/>
      <c r="W6695" s="3">
        <v>2014</v>
      </c>
      <c r="X6695" s="3"/>
    </row>
    <row r="6696" spans="1:24" ht="114.75">
      <c r="A6696" s="3" t="s">
        <v>2789</v>
      </c>
      <c r="B6696" s="6" t="s">
        <v>361</v>
      </c>
      <c r="C6696" s="6" t="s">
        <v>7077</v>
      </c>
      <c r="D6696" s="6" t="s">
        <v>5936</v>
      </c>
      <c r="E6696" s="6" t="s">
        <v>7078</v>
      </c>
      <c r="F6696" s="6" t="s">
        <v>7079</v>
      </c>
      <c r="G6696" s="57" t="s">
        <v>11449</v>
      </c>
      <c r="H6696" s="185">
        <v>0</v>
      </c>
      <c r="I6696" s="16">
        <v>470000000</v>
      </c>
      <c r="J6696" s="56" t="s">
        <v>229</v>
      </c>
      <c r="K6696" s="57" t="s">
        <v>641</v>
      </c>
      <c r="L6696" s="57" t="s">
        <v>364</v>
      </c>
      <c r="M6696" s="3" t="s">
        <v>230</v>
      </c>
      <c r="N6696" s="8" t="s">
        <v>9479</v>
      </c>
      <c r="O6696" s="6" t="s">
        <v>365</v>
      </c>
      <c r="P6696" s="58" t="s">
        <v>241</v>
      </c>
      <c r="Q6696" s="27" t="s">
        <v>234</v>
      </c>
      <c r="R6696" s="27">
        <v>20</v>
      </c>
      <c r="S6696" s="59">
        <v>150</v>
      </c>
      <c r="T6696" s="4">
        <v>0</v>
      </c>
      <c r="U6696" s="4">
        <f t="shared" si="303"/>
        <v>0</v>
      </c>
      <c r="V6696" s="3"/>
      <c r="W6696" s="3">
        <v>2014</v>
      </c>
      <c r="X6696" s="3">
        <v>11.12</v>
      </c>
    </row>
    <row r="6697" spans="1:24" ht="114.75">
      <c r="A6697" s="3" t="s">
        <v>13892</v>
      </c>
      <c r="B6697" s="6" t="s">
        <v>361</v>
      </c>
      <c r="C6697" s="6" t="s">
        <v>7077</v>
      </c>
      <c r="D6697" s="6" t="s">
        <v>5936</v>
      </c>
      <c r="E6697" s="6" t="s">
        <v>7078</v>
      </c>
      <c r="F6697" s="6" t="s">
        <v>7079</v>
      </c>
      <c r="G6697" s="57" t="s">
        <v>11449</v>
      </c>
      <c r="H6697" s="185">
        <v>0</v>
      </c>
      <c r="I6697" s="16">
        <v>470000000</v>
      </c>
      <c r="J6697" s="56" t="s">
        <v>229</v>
      </c>
      <c r="K6697" s="57" t="s">
        <v>642</v>
      </c>
      <c r="L6697" s="12" t="s">
        <v>404</v>
      </c>
      <c r="M6697" s="3" t="s">
        <v>230</v>
      </c>
      <c r="N6697" s="8" t="s">
        <v>9479</v>
      </c>
      <c r="O6697" s="6" t="s">
        <v>365</v>
      </c>
      <c r="P6697" s="58" t="s">
        <v>241</v>
      </c>
      <c r="Q6697" s="27" t="s">
        <v>234</v>
      </c>
      <c r="R6697" s="27">
        <v>20</v>
      </c>
      <c r="S6697" s="59">
        <v>150</v>
      </c>
      <c r="T6697" s="4">
        <f>R6697*S6697</f>
        <v>3000</v>
      </c>
      <c r="U6697" s="4">
        <f>T6697*1.12</f>
        <v>3360.0000000000005</v>
      </c>
      <c r="V6697" s="3"/>
      <c r="W6697" s="3">
        <v>2014</v>
      </c>
      <c r="X6697" s="3"/>
    </row>
    <row r="6698" spans="1:24" ht="114.75">
      <c r="A6698" s="3" t="s">
        <v>2790</v>
      </c>
      <c r="B6698" s="6" t="s">
        <v>361</v>
      </c>
      <c r="C6698" s="6" t="s">
        <v>7080</v>
      </c>
      <c r="D6698" s="6" t="s">
        <v>5886</v>
      </c>
      <c r="E6698" s="6" t="s">
        <v>7081</v>
      </c>
      <c r="F6698" s="6" t="s">
        <v>7082</v>
      </c>
      <c r="G6698" s="57" t="s">
        <v>11449</v>
      </c>
      <c r="H6698" s="185">
        <v>0</v>
      </c>
      <c r="I6698" s="16">
        <v>470000000</v>
      </c>
      <c r="J6698" s="56" t="s">
        <v>229</v>
      </c>
      <c r="K6698" s="57" t="s">
        <v>641</v>
      </c>
      <c r="L6698" s="57" t="s">
        <v>364</v>
      </c>
      <c r="M6698" s="3" t="s">
        <v>230</v>
      </c>
      <c r="N6698" s="8" t="s">
        <v>9479</v>
      </c>
      <c r="O6698" s="6" t="s">
        <v>365</v>
      </c>
      <c r="P6698" s="58" t="s">
        <v>241</v>
      </c>
      <c r="Q6698" s="27" t="s">
        <v>234</v>
      </c>
      <c r="R6698" s="27">
        <v>40</v>
      </c>
      <c r="S6698" s="59">
        <v>1000</v>
      </c>
      <c r="T6698" s="4">
        <v>0</v>
      </c>
      <c r="U6698" s="4">
        <f t="shared" si="303"/>
        <v>0</v>
      </c>
      <c r="V6698" s="3"/>
      <c r="W6698" s="3">
        <v>2014</v>
      </c>
      <c r="X6698" s="3">
        <v>11.12</v>
      </c>
    </row>
    <row r="6699" spans="1:24" ht="114.75">
      <c r="A6699" s="3" t="s">
        <v>13893</v>
      </c>
      <c r="B6699" s="6" t="s">
        <v>361</v>
      </c>
      <c r="C6699" s="6" t="s">
        <v>7080</v>
      </c>
      <c r="D6699" s="6" t="s">
        <v>5886</v>
      </c>
      <c r="E6699" s="6" t="s">
        <v>7081</v>
      </c>
      <c r="F6699" s="6" t="s">
        <v>7082</v>
      </c>
      <c r="G6699" s="57" t="s">
        <v>11449</v>
      </c>
      <c r="H6699" s="185">
        <v>0</v>
      </c>
      <c r="I6699" s="16">
        <v>470000000</v>
      </c>
      <c r="J6699" s="56" t="s">
        <v>229</v>
      </c>
      <c r="K6699" s="57" t="s">
        <v>642</v>
      </c>
      <c r="L6699" s="12" t="s">
        <v>404</v>
      </c>
      <c r="M6699" s="3" t="s">
        <v>230</v>
      </c>
      <c r="N6699" s="8" t="s">
        <v>9479</v>
      </c>
      <c r="O6699" s="6" t="s">
        <v>365</v>
      </c>
      <c r="P6699" s="58" t="s">
        <v>241</v>
      </c>
      <c r="Q6699" s="27" t="s">
        <v>234</v>
      </c>
      <c r="R6699" s="27">
        <v>40</v>
      </c>
      <c r="S6699" s="59">
        <v>1000</v>
      </c>
      <c r="T6699" s="4">
        <f>R6699*S6699</f>
        <v>40000</v>
      </c>
      <c r="U6699" s="4">
        <f>T6699*1.12</f>
        <v>44800.000000000007</v>
      </c>
      <c r="V6699" s="3"/>
      <c r="W6699" s="3">
        <v>2014</v>
      </c>
      <c r="X6699" s="3"/>
    </row>
    <row r="6700" spans="1:24" ht="114.75">
      <c r="A6700" s="3" t="s">
        <v>2791</v>
      </c>
      <c r="B6700" s="6" t="s">
        <v>361</v>
      </c>
      <c r="C6700" s="6" t="s">
        <v>7083</v>
      </c>
      <c r="D6700" s="6" t="s">
        <v>5886</v>
      </c>
      <c r="E6700" s="6" t="s">
        <v>11594</v>
      </c>
      <c r="F6700" s="6" t="s">
        <v>7084</v>
      </c>
      <c r="G6700" s="57" t="s">
        <v>11449</v>
      </c>
      <c r="H6700" s="185">
        <v>0</v>
      </c>
      <c r="I6700" s="16">
        <v>470000000</v>
      </c>
      <c r="J6700" s="56" t="s">
        <v>229</v>
      </c>
      <c r="K6700" s="57" t="s">
        <v>641</v>
      </c>
      <c r="L6700" s="57" t="s">
        <v>364</v>
      </c>
      <c r="M6700" s="3" t="s">
        <v>230</v>
      </c>
      <c r="N6700" s="8" t="s">
        <v>9479</v>
      </c>
      <c r="O6700" s="6" t="s">
        <v>365</v>
      </c>
      <c r="P6700" s="58" t="s">
        <v>241</v>
      </c>
      <c r="Q6700" s="27" t="s">
        <v>234</v>
      </c>
      <c r="R6700" s="27">
        <v>40</v>
      </c>
      <c r="S6700" s="59">
        <v>1000</v>
      </c>
      <c r="T6700" s="4">
        <v>0</v>
      </c>
      <c r="U6700" s="4">
        <f t="shared" si="303"/>
        <v>0</v>
      </c>
      <c r="V6700" s="3"/>
      <c r="W6700" s="3">
        <v>2014</v>
      </c>
      <c r="X6700" s="3">
        <v>11.12</v>
      </c>
    </row>
    <row r="6701" spans="1:24" ht="114.75">
      <c r="A6701" s="3" t="s">
        <v>13894</v>
      </c>
      <c r="B6701" s="6" t="s">
        <v>361</v>
      </c>
      <c r="C6701" s="6" t="s">
        <v>7083</v>
      </c>
      <c r="D6701" s="6" t="s">
        <v>5886</v>
      </c>
      <c r="E6701" s="6" t="s">
        <v>11594</v>
      </c>
      <c r="F6701" s="6" t="s">
        <v>7084</v>
      </c>
      <c r="G6701" s="57" t="s">
        <v>11449</v>
      </c>
      <c r="H6701" s="185">
        <v>0</v>
      </c>
      <c r="I6701" s="16">
        <v>470000000</v>
      </c>
      <c r="J6701" s="56" t="s">
        <v>229</v>
      </c>
      <c r="K6701" s="57" t="s">
        <v>642</v>
      </c>
      <c r="L6701" s="12" t="s">
        <v>404</v>
      </c>
      <c r="M6701" s="3" t="s">
        <v>230</v>
      </c>
      <c r="N6701" s="8" t="s">
        <v>9479</v>
      </c>
      <c r="O6701" s="6" t="s">
        <v>365</v>
      </c>
      <c r="P6701" s="58" t="s">
        <v>241</v>
      </c>
      <c r="Q6701" s="27" t="s">
        <v>234</v>
      </c>
      <c r="R6701" s="27">
        <v>40</v>
      </c>
      <c r="S6701" s="59">
        <v>1000</v>
      </c>
      <c r="T6701" s="4">
        <f>R6701*S6701</f>
        <v>40000</v>
      </c>
      <c r="U6701" s="4">
        <f>T6701*1.12</f>
        <v>44800.000000000007</v>
      </c>
      <c r="V6701" s="3"/>
      <c r="W6701" s="3">
        <v>2014</v>
      </c>
      <c r="X6701" s="3"/>
    </row>
    <row r="6702" spans="1:24" ht="114.75">
      <c r="A6702" s="3" t="s">
        <v>2792</v>
      </c>
      <c r="B6702" s="6" t="s">
        <v>361</v>
      </c>
      <c r="C6702" s="6" t="s">
        <v>6263</v>
      </c>
      <c r="D6702" s="6" t="s">
        <v>441</v>
      </c>
      <c r="E6702" s="6" t="s">
        <v>6264</v>
      </c>
      <c r="F6702" s="6" t="s">
        <v>7085</v>
      </c>
      <c r="G6702" s="57" t="s">
        <v>11449</v>
      </c>
      <c r="H6702" s="185">
        <v>0</v>
      </c>
      <c r="I6702" s="16">
        <v>470000000</v>
      </c>
      <c r="J6702" s="56" t="s">
        <v>229</v>
      </c>
      <c r="K6702" s="57" t="s">
        <v>641</v>
      </c>
      <c r="L6702" s="57" t="s">
        <v>364</v>
      </c>
      <c r="M6702" s="3" t="s">
        <v>230</v>
      </c>
      <c r="N6702" s="8" t="s">
        <v>9479</v>
      </c>
      <c r="O6702" s="6" t="s">
        <v>365</v>
      </c>
      <c r="P6702" s="58" t="s">
        <v>241</v>
      </c>
      <c r="Q6702" s="27" t="s">
        <v>234</v>
      </c>
      <c r="R6702" s="27">
        <v>3</v>
      </c>
      <c r="S6702" s="59">
        <v>18000</v>
      </c>
      <c r="T6702" s="4">
        <v>0</v>
      </c>
      <c r="U6702" s="4">
        <f t="shared" si="303"/>
        <v>0</v>
      </c>
      <c r="V6702" s="3"/>
      <c r="W6702" s="3">
        <v>2014</v>
      </c>
      <c r="X6702" s="3">
        <v>11.12</v>
      </c>
    </row>
    <row r="6703" spans="1:24" ht="114.75">
      <c r="A6703" s="3" t="s">
        <v>13895</v>
      </c>
      <c r="B6703" s="6" t="s">
        <v>361</v>
      </c>
      <c r="C6703" s="6" t="s">
        <v>6263</v>
      </c>
      <c r="D6703" s="6" t="s">
        <v>441</v>
      </c>
      <c r="E6703" s="6" t="s">
        <v>6264</v>
      </c>
      <c r="F6703" s="6" t="s">
        <v>7085</v>
      </c>
      <c r="G6703" s="57" t="s">
        <v>11449</v>
      </c>
      <c r="H6703" s="185">
        <v>0</v>
      </c>
      <c r="I6703" s="16">
        <v>470000000</v>
      </c>
      <c r="J6703" s="56" t="s">
        <v>229</v>
      </c>
      <c r="K6703" s="57" t="s">
        <v>642</v>
      </c>
      <c r="L6703" s="12" t="s">
        <v>404</v>
      </c>
      <c r="M6703" s="3" t="s">
        <v>230</v>
      </c>
      <c r="N6703" s="8" t="s">
        <v>9479</v>
      </c>
      <c r="O6703" s="6" t="s">
        <v>365</v>
      </c>
      <c r="P6703" s="58" t="s">
        <v>241</v>
      </c>
      <c r="Q6703" s="27" t="s">
        <v>234</v>
      </c>
      <c r="R6703" s="27">
        <v>3</v>
      </c>
      <c r="S6703" s="59">
        <v>18000</v>
      </c>
      <c r="T6703" s="4">
        <f>R6703*S6703</f>
        <v>54000</v>
      </c>
      <c r="U6703" s="4">
        <f>T6703*1.12</f>
        <v>60480.000000000007</v>
      </c>
      <c r="V6703" s="3"/>
      <c r="W6703" s="3">
        <v>2014</v>
      </c>
      <c r="X6703" s="3"/>
    </row>
    <row r="6704" spans="1:24" ht="114.75">
      <c r="A6704" s="3" t="s">
        <v>2793</v>
      </c>
      <c r="B6704" s="6" t="s">
        <v>361</v>
      </c>
      <c r="C6704" s="6" t="s">
        <v>6173</v>
      </c>
      <c r="D6704" s="6" t="s">
        <v>446</v>
      </c>
      <c r="E6704" s="6" t="s">
        <v>6174</v>
      </c>
      <c r="F6704" s="6" t="s">
        <v>7086</v>
      </c>
      <c r="G6704" s="57" t="s">
        <v>11449</v>
      </c>
      <c r="H6704" s="185">
        <v>0</v>
      </c>
      <c r="I6704" s="16">
        <v>470000000</v>
      </c>
      <c r="J6704" s="56" t="s">
        <v>229</v>
      </c>
      <c r="K6704" s="57" t="s">
        <v>641</v>
      </c>
      <c r="L6704" s="57" t="s">
        <v>364</v>
      </c>
      <c r="M6704" s="3" t="s">
        <v>230</v>
      </c>
      <c r="N6704" s="8" t="s">
        <v>9479</v>
      </c>
      <c r="O6704" s="6" t="s">
        <v>365</v>
      </c>
      <c r="P6704" s="58" t="s">
        <v>241</v>
      </c>
      <c r="Q6704" s="27" t="s">
        <v>234</v>
      </c>
      <c r="R6704" s="27">
        <v>8</v>
      </c>
      <c r="S6704" s="59">
        <v>36800</v>
      </c>
      <c r="T6704" s="4">
        <v>0</v>
      </c>
      <c r="U6704" s="4">
        <f t="shared" si="303"/>
        <v>0</v>
      </c>
      <c r="V6704" s="3"/>
      <c r="W6704" s="3">
        <v>2014</v>
      </c>
      <c r="X6704" s="3">
        <v>11.12</v>
      </c>
    </row>
    <row r="6705" spans="1:24" ht="114.75">
      <c r="A6705" s="3" t="s">
        <v>13896</v>
      </c>
      <c r="B6705" s="6" t="s">
        <v>361</v>
      </c>
      <c r="C6705" s="6" t="s">
        <v>6173</v>
      </c>
      <c r="D6705" s="6" t="s">
        <v>446</v>
      </c>
      <c r="E6705" s="6" t="s">
        <v>6174</v>
      </c>
      <c r="F6705" s="6" t="s">
        <v>7086</v>
      </c>
      <c r="G6705" s="57" t="s">
        <v>11449</v>
      </c>
      <c r="H6705" s="185">
        <v>0</v>
      </c>
      <c r="I6705" s="16">
        <v>470000000</v>
      </c>
      <c r="J6705" s="56" t="s">
        <v>229</v>
      </c>
      <c r="K6705" s="57" t="s">
        <v>642</v>
      </c>
      <c r="L6705" s="12" t="s">
        <v>404</v>
      </c>
      <c r="M6705" s="3" t="s">
        <v>230</v>
      </c>
      <c r="N6705" s="8" t="s">
        <v>9479</v>
      </c>
      <c r="O6705" s="6" t="s">
        <v>365</v>
      </c>
      <c r="P6705" s="58" t="s">
        <v>241</v>
      </c>
      <c r="Q6705" s="27" t="s">
        <v>234</v>
      </c>
      <c r="R6705" s="27">
        <v>8</v>
      </c>
      <c r="S6705" s="59">
        <v>36800</v>
      </c>
      <c r="T6705" s="4">
        <f>R6705*S6705</f>
        <v>294400</v>
      </c>
      <c r="U6705" s="4">
        <f>T6705*1.12</f>
        <v>329728.00000000006</v>
      </c>
      <c r="V6705" s="3"/>
      <c r="W6705" s="3">
        <v>2014</v>
      </c>
      <c r="X6705" s="3"/>
    </row>
    <row r="6706" spans="1:24" ht="114.75">
      <c r="A6706" s="3" t="s">
        <v>2794</v>
      </c>
      <c r="B6706" s="6" t="s">
        <v>361</v>
      </c>
      <c r="C6706" s="6" t="s">
        <v>11595</v>
      </c>
      <c r="D6706" s="6" t="s">
        <v>454</v>
      </c>
      <c r="E6706" s="6" t="s">
        <v>11596</v>
      </c>
      <c r="F6706" s="6" t="s">
        <v>7087</v>
      </c>
      <c r="G6706" s="57" t="s">
        <v>11449</v>
      </c>
      <c r="H6706" s="185">
        <v>0</v>
      </c>
      <c r="I6706" s="16">
        <v>470000000</v>
      </c>
      <c r="J6706" s="56" t="s">
        <v>229</v>
      </c>
      <c r="K6706" s="57" t="s">
        <v>641</v>
      </c>
      <c r="L6706" s="57" t="s">
        <v>364</v>
      </c>
      <c r="M6706" s="3" t="s">
        <v>230</v>
      </c>
      <c r="N6706" s="8" t="s">
        <v>9479</v>
      </c>
      <c r="O6706" s="6" t="s">
        <v>365</v>
      </c>
      <c r="P6706" s="58" t="s">
        <v>241</v>
      </c>
      <c r="Q6706" s="27" t="s">
        <v>234</v>
      </c>
      <c r="R6706" s="27">
        <v>6</v>
      </c>
      <c r="S6706" s="59">
        <f>27500*1.07</f>
        <v>29425</v>
      </c>
      <c r="T6706" s="4">
        <v>0</v>
      </c>
      <c r="U6706" s="4">
        <f t="shared" si="303"/>
        <v>0</v>
      </c>
      <c r="V6706" s="3"/>
      <c r="W6706" s="3">
        <v>2014</v>
      </c>
      <c r="X6706" s="3">
        <v>11.12</v>
      </c>
    </row>
    <row r="6707" spans="1:24" ht="114.75">
      <c r="A6707" s="3" t="s">
        <v>13897</v>
      </c>
      <c r="B6707" s="6" t="s">
        <v>361</v>
      </c>
      <c r="C6707" s="6" t="s">
        <v>11595</v>
      </c>
      <c r="D6707" s="6" t="s">
        <v>454</v>
      </c>
      <c r="E6707" s="6" t="s">
        <v>11596</v>
      </c>
      <c r="F6707" s="6" t="s">
        <v>7087</v>
      </c>
      <c r="G6707" s="57" t="s">
        <v>11449</v>
      </c>
      <c r="H6707" s="185">
        <v>0</v>
      </c>
      <c r="I6707" s="16">
        <v>470000000</v>
      </c>
      <c r="J6707" s="56" t="s">
        <v>229</v>
      </c>
      <c r="K6707" s="57" t="s">
        <v>642</v>
      </c>
      <c r="L6707" s="12" t="s">
        <v>404</v>
      </c>
      <c r="M6707" s="3" t="s">
        <v>230</v>
      </c>
      <c r="N6707" s="8" t="s">
        <v>9479</v>
      </c>
      <c r="O6707" s="6" t="s">
        <v>365</v>
      </c>
      <c r="P6707" s="58" t="s">
        <v>241</v>
      </c>
      <c r="Q6707" s="27" t="s">
        <v>234</v>
      </c>
      <c r="R6707" s="27">
        <v>6</v>
      </c>
      <c r="S6707" s="59">
        <f>27500*1.07</f>
        <v>29425</v>
      </c>
      <c r="T6707" s="4">
        <f>R6707*S6707</f>
        <v>176550</v>
      </c>
      <c r="U6707" s="4">
        <f>T6707*1.12</f>
        <v>197736.00000000003</v>
      </c>
      <c r="V6707" s="3"/>
      <c r="W6707" s="3">
        <v>2014</v>
      </c>
      <c r="X6707" s="3"/>
    </row>
    <row r="6708" spans="1:24" ht="114.75">
      <c r="A6708" s="3" t="s">
        <v>2795</v>
      </c>
      <c r="B6708" s="6" t="s">
        <v>361</v>
      </c>
      <c r="C6708" s="6" t="s">
        <v>6169</v>
      </c>
      <c r="D6708" s="6" t="s">
        <v>425</v>
      </c>
      <c r="E6708" s="6" t="s">
        <v>5998</v>
      </c>
      <c r="F6708" s="6" t="s">
        <v>7088</v>
      </c>
      <c r="G6708" s="57" t="s">
        <v>11449</v>
      </c>
      <c r="H6708" s="185">
        <v>0</v>
      </c>
      <c r="I6708" s="16">
        <v>470000000</v>
      </c>
      <c r="J6708" s="56" t="s">
        <v>229</v>
      </c>
      <c r="K6708" s="57" t="s">
        <v>641</v>
      </c>
      <c r="L6708" s="57" t="s">
        <v>364</v>
      </c>
      <c r="M6708" s="3" t="s">
        <v>230</v>
      </c>
      <c r="N6708" s="8" t="s">
        <v>9479</v>
      </c>
      <c r="O6708" s="6" t="s">
        <v>365</v>
      </c>
      <c r="P6708" s="58" t="s">
        <v>241</v>
      </c>
      <c r="Q6708" s="27" t="s">
        <v>234</v>
      </c>
      <c r="R6708" s="27">
        <v>10</v>
      </c>
      <c r="S6708" s="59">
        <v>1500</v>
      </c>
      <c r="T6708" s="4">
        <v>0</v>
      </c>
      <c r="U6708" s="4">
        <f t="shared" si="303"/>
        <v>0</v>
      </c>
      <c r="V6708" s="3"/>
      <c r="W6708" s="3">
        <v>2014</v>
      </c>
      <c r="X6708" s="3">
        <v>11.12</v>
      </c>
    </row>
    <row r="6709" spans="1:24" ht="114.75">
      <c r="A6709" s="3" t="s">
        <v>13898</v>
      </c>
      <c r="B6709" s="6" t="s">
        <v>361</v>
      </c>
      <c r="C6709" s="6" t="s">
        <v>6169</v>
      </c>
      <c r="D6709" s="6" t="s">
        <v>425</v>
      </c>
      <c r="E6709" s="6" t="s">
        <v>5998</v>
      </c>
      <c r="F6709" s="6" t="s">
        <v>7088</v>
      </c>
      <c r="G6709" s="57" t="s">
        <v>11449</v>
      </c>
      <c r="H6709" s="185">
        <v>0</v>
      </c>
      <c r="I6709" s="16">
        <v>470000000</v>
      </c>
      <c r="J6709" s="56" t="s">
        <v>229</v>
      </c>
      <c r="K6709" s="57" t="s">
        <v>642</v>
      </c>
      <c r="L6709" s="12" t="s">
        <v>404</v>
      </c>
      <c r="M6709" s="3" t="s">
        <v>230</v>
      </c>
      <c r="N6709" s="8" t="s">
        <v>9479</v>
      </c>
      <c r="O6709" s="6" t="s">
        <v>365</v>
      </c>
      <c r="P6709" s="58" t="s">
        <v>241</v>
      </c>
      <c r="Q6709" s="27" t="s">
        <v>234</v>
      </c>
      <c r="R6709" s="27">
        <v>10</v>
      </c>
      <c r="S6709" s="59">
        <v>1500</v>
      </c>
      <c r="T6709" s="4">
        <f>R6709*S6709</f>
        <v>15000</v>
      </c>
      <c r="U6709" s="4">
        <f>T6709*1.12</f>
        <v>16800</v>
      </c>
      <c r="V6709" s="3"/>
      <c r="W6709" s="3">
        <v>2014</v>
      </c>
      <c r="X6709" s="3"/>
    </row>
    <row r="6710" spans="1:24" ht="114.75">
      <c r="A6710" s="3" t="s">
        <v>2796</v>
      </c>
      <c r="B6710" s="6" t="s">
        <v>361</v>
      </c>
      <c r="C6710" s="6" t="s">
        <v>7089</v>
      </c>
      <c r="D6710" s="6" t="s">
        <v>7090</v>
      </c>
      <c r="E6710" s="6" t="s">
        <v>7091</v>
      </c>
      <c r="F6710" s="6" t="s">
        <v>7092</v>
      </c>
      <c r="G6710" s="57" t="s">
        <v>11449</v>
      </c>
      <c r="H6710" s="185">
        <v>0</v>
      </c>
      <c r="I6710" s="16">
        <v>470000000</v>
      </c>
      <c r="J6710" s="56" t="s">
        <v>229</v>
      </c>
      <c r="K6710" s="57" t="s">
        <v>641</v>
      </c>
      <c r="L6710" s="57" t="s">
        <v>364</v>
      </c>
      <c r="M6710" s="3" t="s">
        <v>230</v>
      </c>
      <c r="N6710" s="8" t="s">
        <v>9479</v>
      </c>
      <c r="O6710" s="6" t="s">
        <v>365</v>
      </c>
      <c r="P6710" s="58" t="s">
        <v>241</v>
      </c>
      <c r="Q6710" s="27" t="s">
        <v>234</v>
      </c>
      <c r="R6710" s="27">
        <v>40</v>
      </c>
      <c r="S6710" s="59">
        <v>3000</v>
      </c>
      <c r="T6710" s="4">
        <v>0</v>
      </c>
      <c r="U6710" s="4">
        <f t="shared" si="303"/>
        <v>0</v>
      </c>
      <c r="V6710" s="3"/>
      <c r="W6710" s="3">
        <v>2014</v>
      </c>
      <c r="X6710" s="3">
        <v>11.12</v>
      </c>
    </row>
    <row r="6711" spans="1:24" ht="114.75">
      <c r="A6711" s="3" t="s">
        <v>13899</v>
      </c>
      <c r="B6711" s="6" t="s">
        <v>361</v>
      </c>
      <c r="C6711" s="6" t="s">
        <v>7089</v>
      </c>
      <c r="D6711" s="6" t="s">
        <v>7090</v>
      </c>
      <c r="E6711" s="6" t="s">
        <v>7091</v>
      </c>
      <c r="F6711" s="6" t="s">
        <v>7092</v>
      </c>
      <c r="G6711" s="57" t="s">
        <v>11449</v>
      </c>
      <c r="H6711" s="185">
        <v>0</v>
      </c>
      <c r="I6711" s="16">
        <v>470000000</v>
      </c>
      <c r="J6711" s="56" t="s">
        <v>229</v>
      </c>
      <c r="K6711" s="57" t="s">
        <v>642</v>
      </c>
      <c r="L6711" s="12" t="s">
        <v>404</v>
      </c>
      <c r="M6711" s="3" t="s">
        <v>230</v>
      </c>
      <c r="N6711" s="8" t="s">
        <v>9479</v>
      </c>
      <c r="O6711" s="6" t="s">
        <v>365</v>
      </c>
      <c r="P6711" s="58" t="s">
        <v>241</v>
      </c>
      <c r="Q6711" s="27" t="s">
        <v>234</v>
      </c>
      <c r="R6711" s="27">
        <v>40</v>
      </c>
      <c r="S6711" s="59">
        <v>3000</v>
      </c>
      <c r="T6711" s="4">
        <f>R6711*S6711</f>
        <v>120000</v>
      </c>
      <c r="U6711" s="4">
        <f>T6711*1.12</f>
        <v>134400</v>
      </c>
      <c r="V6711" s="3"/>
      <c r="W6711" s="3">
        <v>2014</v>
      </c>
      <c r="X6711" s="3"/>
    </row>
    <row r="6712" spans="1:24" ht="114.75">
      <c r="A6712" s="3" t="s">
        <v>2797</v>
      </c>
      <c r="B6712" s="6" t="s">
        <v>361</v>
      </c>
      <c r="C6712" s="6" t="s">
        <v>7093</v>
      </c>
      <c r="D6712" s="6" t="s">
        <v>7094</v>
      </c>
      <c r="E6712" s="6" t="s">
        <v>7095</v>
      </c>
      <c r="F6712" s="6" t="s">
        <v>7096</v>
      </c>
      <c r="G6712" s="57" t="s">
        <v>11449</v>
      </c>
      <c r="H6712" s="185">
        <v>0</v>
      </c>
      <c r="I6712" s="16">
        <v>470000000</v>
      </c>
      <c r="J6712" s="56" t="s">
        <v>229</v>
      </c>
      <c r="K6712" s="57" t="s">
        <v>641</v>
      </c>
      <c r="L6712" s="57" t="s">
        <v>364</v>
      </c>
      <c r="M6712" s="3" t="s">
        <v>230</v>
      </c>
      <c r="N6712" s="8" t="s">
        <v>9479</v>
      </c>
      <c r="O6712" s="6" t="s">
        <v>365</v>
      </c>
      <c r="P6712" s="58" t="s">
        <v>241</v>
      </c>
      <c r="Q6712" s="27" t="s">
        <v>234</v>
      </c>
      <c r="R6712" s="27">
        <v>6</v>
      </c>
      <c r="S6712" s="59">
        <v>1800</v>
      </c>
      <c r="T6712" s="4">
        <v>0</v>
      </c>
      <c r="U6712" s="4">
        <f t="shared" si="303"/>
        <v>0</v>
      </c>
      <c r="V6712" s="3"/>
      <c r="W6712" s="3">
        <v>2014</v>
      </c>
      <c r="X6712" s="3">
        <v>11.12</v>
      </c>
    </row>
    <row r="6713" spans="1:24" ht="114.75">
      <c r="A6713" s="3" t="s">
        <v>13900</v>
      </c>
      <c r="B6713" s="6" t="s">
        <v>361</v>
      </c>
      <c r="C6713" s="6" t="s">
        <v>7093</v>
      </c>
      <c r="D6713" s="6" t="s">
        <v>7094</v>
      </c>
      <c r="E6713" s="6" t="s">
        <v>7095</v>
      </c>
      <c r="F6713" s="6" t="s">
        <v>7096</v>
      </c>
      <c r="G6713" s="57" t="s">
        <v>11449</v>
      </c>
      <c r="H6713" s="185">
        <v>0</v>
      </c>
      <c r="I6713" s="16">
        <v>470000000</v>
      </c>
      <c r="J6713" s="56" t="s">
        <v>229</v>
      </c>
      <c r="K6713" s="57" t="s">
        <v>642</v>
      </c>
      <c r="L6713" s="12" t="s">
        <v>404</v>
      </c>
      <c r="M6713" s="3" t="s">
        <v>230</v>
      </c>
      <c r="N6713" s="8" t="s">
        <v>9479</v>
      </c>
      <c r="O6713" s="6" t="s">
        <v>365</v>
      </c>
      <c r="P6713" s="58" t="s">
        <v>241</v>
      </c>
      <c r="Q6713" s="27" t="s">
        <v>234</v>
      </c>
      <c r="R6713" s="27">
        <v>6</v>
      </c>
      <c r="S6713" s="59">
        <v>1800</v>
      </c>
      <c r="T6713" s="4">
        <f>R6713*S6713</f>
        <v>10800</v>
      </c>
      <c r="U6713" s="4">
        <f>T6713*1.12</f>
        <v>12096.000000000002</v>
      </c>
      <c r="V6713" s="3"/>
      <c r="W6713" s="3">
        <v>2014</v>
      </c>
      <c r="X6713" s="3"/>
    </row>
    <row r="6714" spans="1:24" ht="114.75">
      <c r="A6714" s="3" t="s">
        <v>2798</v>
      </c>
      <c r="B6714" s="6" t="s">
        <v>361</v>
      </c>
      <c r="C6714" s="6" t="s">
        <v>11597</v>
      </c>
      <c r="D6714" s="6" t="s">
        <v>11598</v>
      </c>
      <c r="E6714" s="6" t="s">
        <v>11599</v>
      </c>
      <c r="F6714" s="6" t="s">
        <v>7097</v>
      </c>
      <c r="G6714" s="57" t="s">
        <v>11449</v>
      </c>
      <c r="H6714" s="185">
        <v>0</v>
      </c>
      <c r="I6714" s="16">
        <v>470000000</v>
      </c>
      <c r="J6714" s="56" t="s">
        <v>229</v>
      </c>
      <c r="K6714" s="57" t="s">
        <v>641</v>
      </c>
      <c r="L6714" s="57" t="s">
        <v>364</v>
      </c>
      <c r="M6714" s="3" t="s">
        <v>230</v>
      </c>
      <c r="N6714" s="8" t="s">
        <v>9479</v>
      </c>
      <c r="O6714" s="6" t="s">
        <v>365</v>
      </c>
      <c r="P6714" s="58" t="s">
        <v>241</v>
      </c>
      <c r="Q6714" s="27" t="s">
        <v>234</v>
      </c>
      <c r="R6714" s="27">
        <v>4</v>
      </c>
      <c r="S6714" s="59">
        <v>4400</v>
      </c>
      <c r="T6714" s="4">
        <v>0</v>
      </c>
      <c r="U6714" s="4">
        <f t="shared" si="303"/>
        <v>0</v>
      </c>
      <c r="V6714" s="3"/>
      <c r="W6714" s="3">
        <v>2014</v>
      </c>
      <c r="X6714" s="3">
        <v>11.12</v>
      </c>
    </row>
    <row r="6715" spans="1:24" ht="114.75">
      <c r="A6715" s="3" t="s">
        <v>13901</v>
      </c>
      <c r="B6715" s="6" t="s">
        <v>361</v>
      </c>
      <c r="C6715" s="6" t="s">
        <v>11597</v>
      </c>
      <c r="D6715" s="6" t="s">
        <v>11598</v>
      </c>
      <c r="E6715" s="6" t="s">
        <v>11599</v>
      </c>
      <c r="F6715" s="6" t="s">
        <v>7097</v>
      </c>
      <c r="G6715" s="57" t="s">
        <v>11449</v>
      </c>
      <c r="H6715" s="185">
        <v>0</v>
      </c>
      <c r="I6715" s="16">
        <v>470000000</v>
      </c>
      <c r="J6715" s="56" t="s">
        <v>229</v>
      </c>
      <c r="K6715" s="57" t="s">
        <v>642</v>
      </c>
      <c r="L6715" s="12" t="s">
        <v>404</v>
      </c>
      <c r="M6715" s="3" t="s">
        <v>230</v>
      </c>
      <c r="N6715" s="8" t="s">
        <v>9479</v>
      </c>
      <c r="O6715" s="6" t="s">
        <v>365</v>
      </c>
      <c r="P6715" s="58" t="s">
        <v>241</v>
      </c>
      <c r="Q6715" s="27" t="s">
        <v>234</v>
      </c>
      <c r="R6715" s="27">
        <v>4</v>
      </c>
      <c r="S6715" s="59">
        <v>4400</v>
      </c>
      <c r="T6715" s="4">
        <f>R6715*S6715</f>
        <v>17600</v>
      </c>
      <c r="U6715" s="4">
        <f>T6715*1.12</f>
        <v>19712.000000000004</v>
      </c>
      <c r="V6715" s="3"/>
      <c r="W6715" s="3">
        <v>2014</v>
      </c>
      <c r="X6715" s="3"/>
    </row>
    <row r="6716" spans="1:24" ht="114.75">
      <c r="A6716" s="3" t="s">
        <v>2799</v>
      </c>
      <c r="B6716" s="6" t="s">
        <v>361</v>
      </c>
      <c r="C6716" s="6" t="s">
        <v>7098</v>
      </c>
      <c r="D6716" s="6" t="s">
        <v>5587</v>
      </c>
      <c r="E6716" s="6" t="s">
        <v>5998</v>
      </c>
      <c r="F6716" s="6" t="s">
        <v>7099</v>
      </c>
      <c r="G6716" s="57" t="s">
        <v>11449</v>
      </c>
      <c r="H6716" s="185">
        <v>0</v>
      </c>
      <c r="I6716" s="16">
        <v>470000000</v>
      </c>
      <c r="J6716" s="56" t="s">
        <v>229</v>
      </c>
      <c r="K6716" s="57" t="s">
        <v>641</v>
      </c>
      <c r="L6716" s="57" t="s">
        <v>364</v>
      </c>
      <c r="M6716" s="3" t="s">
        <v>230</v>
      </c>
      <c r="N6716" s="8" t="s">
        <v>9479</v>
      </c>
      <c r="O6716" s="6" t="s">
        <v>365</v>
      </c>
      <c r="P6716" s="58" t="s">
        <v>242</v>
      </c>
      <c r="Q6716" s="27" t="s">
        <v>239</v>
      </c>
      <c r="R6716" s="27">
        <v>10</v>
      </c>
      <c r="S6716" s="59">
        <v>26000</v>
      </c>
      <c r="T6716" s="4">
        <v>0</v>
      </c>
      <c r="U6716" s="4">
        <f t="shared" si="303"/>
        <v>0</v>
      </c>
      <c r="V6716" s="3"/>
      <c r="W6716" s="3">
        <v>2014</v>
      </c>
      <c r="X6716" s="3">
        <v>11.12</v>
      </c>
    </row>
    <row r="6717" spans="1:24" ht="114.75">
      <c r="A6717" s="3" t="s">
        <v>13902</v>
      </c>
      <c r="B6717" s="6" t="s">
        <v>361</v>
      </c>
      <c r="C6717" s="6" t="s">
        <v>7098</v>
      </c>
      <c r="D6717" s="6" t="s">
        <v>5587</v>
      </c>
      <c r="E6717" s="6" t="s">
        <v>5998</v>
      </c>
      <c r="F6717" s="6" t="s">
        <v>7099</v>
      </c>
      <c r="G6717" s="57" t="s">
        <v>11449</v>
      </c>
      <c r="H6717" s="185">
        <v>0</v>
      </c>
      <c r="I6717" s="16">
        <v>470000000</v>
      </c>
      <c r="J6717" s="56" t="s">
        <v>229</v>
      </c>
      <c r="K6717" s="57" t="s">
        <v>642</v>
      </c>
      <c r="L6717" s="12" t="s">
        <v>404</v>
      </c>
      <c r="M6717" s="3" t="s">
        <v>230</v>
      </c>
      <c r="N6717" s="8" t="s">
        <v>9479</v>
      </c>
      <c r="O6717" s="6" t="s">
        <v>365</v>
      </c>
      <c r="P6717" s="58" t="s">
        <v>242</v>
      </c>
      <c r="Q6717" s="27" t="s">
        <v>239</v>
      </c>
      <c r="R6717" s="27">
        <v>10</v>
      </c>
      <c r="S6717" s="59">
        <v>26000</v>
      </c>
      <c r="T6717" s="4">
        <f>R6717*S6717</f>
        <v>260000</v>
      </c>
      <c r="U6717" s="4">
        <f>T6717*1.12</f>
        <v>291200</v>
      </c>
      <c r="V6717" s="3"/>
      <c r="W6717" s="3">
        <v>2014</v>
      </c>
      <c r="X6717" s="3"/>
    </row>
    <row r="6718" spans="1:24" ht="114.75">
      <c r="A6718" s="3" t="s">
        <v>2800</v>
      </c>
      <c r="B6718" s="6" t="s">
        <v>361</v>
      </c>
      <c r="C6718" s="6" t="s">
        <v>7100</v>
      </c>
      <c r="D6718" s="6" t="s">
        <v>455</v>
      </c>
      <c r="E6718" s="6" t="s">
        <v>7101</v>
      </c>
      <c r="F6718" s="6" t="s">
        <v>7102</v>
      </c>
      <c r="G6718" s="57" t="s">
        <v>11449</v>
      </c>
      <c r="H6718" s="185">
        <v>0</v>
      </c>
      <c r="I6718" s="16">
        <v>470000000</v>
      </c>
      <c r="J6718" s="56" t="s">
        <v>229</v>
      </c>
      <c r="K6718" s="57" t="s">
        <v>641</v>
      </c>
      <c r="L6718" s="57" t="s">
        <v>364</v>
      </c>
      <c r="M6718" s="3" t="s">
        <v>230</v>
      </c>
      <c r="N6718" s="8" t="s">
        <v>9479</v>
      </c>
      <c r="O6718" s="6" t="s">
        <v>365</v>
      </c>
      <c r="P6718" s="58" t="s">
        <v>241</v>
      </c>
      <c r="Q6718" s="27" t="s">
        <v>234</v>
      </c>
      <c r="R6718" s="27">
        <v>16</v>
      </c>
      <c r="S6718" s="59">
        <v>4500</v>
      </c>
      <c r="T6718" s="4">
        <v>0</v>
      </c>
      <c r="U6718" s="4">
        <f t="shared" si="303"/>
        <v>0</v>
      </c>
      <c r="V6718" s="3"/>
      <c r="W6718" s="3">
        <v>2014</v>
      </c>
      <c r="X6718" s="3">
        <v>11.12</v>
      </c>
    </row>
    <row r="6719" spans="1:24" ht="114.75">
      <c r="A6719" s="3" t="s">
        <v>13903</v>
      </c>
      <c r="B6719" s="6" t="s">
        <v>361</v>
      </c>
      <c r="C6719" s="6" t="s">
        <v>7100</v>
      </c>
      <c r="D6719" s="6" t="s">
        <v>455</v>
      </c>
      <c r="E6719" s="6" t="s">
        <v>7101</v>
      </c>
      <c r="F6719" s="6" t="s">
        <v>7102</v>
      </c>
      <c r="G6719" s="57" t="s">
        <v>11449</v>
      </c>
      <c r="H6719" s="185">
        <v>0</v>
      </c>
      <c r="I6719" s="16">
        <v>470000000</v>
      </c>
      <c r="J6719" s="56" t="s">
        <v>229</v>
      </c>
      <c r="K6719" s="57" t="s">
        <v>642</v>
      </c>
      <c r="L6719" s="12" t="s">
        <v>404</v>
      </c>
      <c r="M6719" s="3" t="s">
        <v>230</v>
      </c>
      <c r="N6719" s="8" t="s">
        <v>9479</v>
      </c>
      <c r="O6719" s="6" t="s">
        <v>365</v>
      </c>
      <c r="P6719" s="58" t="s">
        <v>241</v>
      </c>
      <c r="Q6719" s="27" t="s">
        <v>234</v>
      </c>
      <c r="R6719" s="27">
        <v>16</v>
      </c>
      <c r="S6719" s="59">
        <v>4500</v>
      </c>
      <c r="T6719" s="4">
        <f>R6719*S6719</f>
        <v>72000</v>
      </c>
      <c r="U6719" s="4">
        <f>T6719*1.12</f>
        <v>80640.000000000015</v>
      </c>
      <c r="V6719" s="3"/>
      <c r="W6719" s="3">
        <v>2014</v>
      </c>
      <c r="X6719" s="3"/>
    </row>
    <row r="6720" spans="1:24" ht="114.75">
      <c r="A6720" s="3" t="s">
        <v>2801</v>
      </c>
      <c r="B6720" s="6" t="s">
        <v>361</v>
      </c>
      <c r="C6720" s="6" t="s">
        <v>7371</v>
      </c>
      <c r="D6720" s="6" t="s">
        <v>11600</v>
      </c>
      <c r="E6720" s="6" t="s">
        <v>11601</v>
      </c>
      <c r="F6720" s="6" t="s">
        <v>7103</v>
      </c>
      <c r="G6720" s="57" t="s">
        <v>11449</v>
      </c>
      <c r="H6720" s="185">
        <v>0</v>
      </c>
      <c r="I6720" s="16">
        <v>470000000</v>
      </c>
      <c r="J6720" s="56" t="s">
        <v>229</v>
      </c>
      <c r="K6720" s="57" t="s">
        <v>641</v>
      </c>
      <c r="L6720" s="57" t="s">
        <v>364</v>
      </c>
      <c r="M6720" s="3" t="s">
        <v>230</v>
      </c>
      <c r="N6720" s="8" t="s">
        <v>9479</v>
      </c>
      <c r="O6720" s="6" t="s">
        <v>365</v>
      </c>
      <c r="P6720" s="58" t="s">
        <v>241</v>
      </c>
      <c r="Q6720" s="27" t="s">
        <v>234</v>
      </c>
      <c r="R6720" s="27">
        <v>40</v>
      </c>
      <c r="S6720" s="59">
        <v>150</v>
      </c>
      <c r="T6720" s="4">
        <v>0</v>
      </c>
      <c r="U6720" s="4">
        <f t="shared" si="303"/>
        <v>0</v>
      </c>
      <c r="V6720" s="3"/>
      <c r="W6720" s="3">
        <v>2014</v>
      </c>
      <c r="X6720" s="3">
        <v>11.12</v>
      </c>
    </row>
    <row r="6721" spans="1:24" ht="114.75">
      <c r="A6721" s="3" t="s">
        <v>13904</v>
      </c>
      <c r="B6721" s="6" t="s">
        <v>361</v>
      </c>
      <c r="C6721" s="6" t="s">
        <v>7371</v>
      </c>
      <c r="D6721" s="6" t="s">
        <v>11600</v>
      </c>
      <c r="E6721" s="6" t="s">
        <v>11601</v>
      </c>
      <c r="F6721" s="6" t="s">
        <v>7103</v>
      </c>
      <c r="G6721" s="57" t="s">
        <v>11449</v>
      </c>
      <c r="H6721" s="185">
        <v>0</v>
      </c>
      <c r="I6721" s="16">
        <v>470000000</v>
      </c>
      <c r="J6721" s="56" t="s">
        <v>229</v>
      </c>
      <c r="K6721" s="57" t="s">
        <v>642</v>
      </c>
      <c r="L6721" s="12" t="s">
        <v>404</v>
      </c>
      <c r="M6721" s="3" t="s">
        <v>230</v>
      </c>
      <c r="N6721" s="8" t="s">
        <v>9479</v>
      </c>
      <c r="O6721" s="6" t="s">
        <v>365</v>
      </c>
      <c r="P6721" s="58" t="s">
        <v>241</v>
      </c>
      <c r="Q6721" s="27" t="s">
        <v>234</v>
      </c>
      <c r="R6721" s="27">
        <v>40</v>
      </c>
      <c r="S6721" s="59">
        <v>150</v>
      </c>
      <c r="T6721" s="4">
        <f>R6721*S6721</f>
        <v>6000</v>
      </c>
      <c r="U6721" s="4">
        <f>T6721*1.12</f>
        <v>6720.0000000000009</v>
      </c>
      <c r="V6721" s="3"/>
      <c r="W6721" s="3">
        <v>2014</v>
      </c>
      <c r="X6721" s="3"/>
    </row>
    <row r="6722" spans="1:24" ht="114.75">
      <c r="A6722" s="3" t="s">
        <v>2802</v>
      </c>
      <c r="B6722" s="6" t="s">
        <v>361</v>
      </c>
      <c r="C6722" s="6" t="s">
        <v>7104</v>
      </c>
      <c r="D6722" s="6" t="s">
        <v>467</v>
      </c>
      <c r="E6722" s="6" t="s">
        <v>5332</v>
      </c>
      <c r="F6722" s="6" t="s">
        <v>7105</v>
      </c>
      <c r="G6722" s="57" t="s">
        <v>11449</v>
      </c>
      <c r="H6722" s="185">
        <v>0</v>
      </c>
      <c r="I6722" s="16">
        <v>470000000</v>
      </c>
      <c r="J6722" s="56" t="s">
        <v>229</v>
      </c>
      <c r="K6722" s="57" t="s">
        <v>641</v>
      </c>
      <c r="L6722" s="57" t="s">
        <v>364</v>
      </c>
      <c r="M6722" s="3" t="s">
        <v>230</v>
      </c>
      <c r="N6722" s="8" t="s">
        <v>9479</v>
      </c>
      <c r="O6722" s="6" t="s">
        <v>365</v>
      </c>
      <c r="P6722" s="58" t="s">
        <v>241</v>
      </c>
      <c r="Q6722" s="27" t="s">
        <v>234</v>
      </c>
      <c r="R6722" s="27">
        <v>10</v>
      </c>
      <c r="S6722" s="59">
        <v>1500</v>
      </c>
      <c r="T6722" s="4">
        <v>0</v>
      </c>
      <c r="U6722" s="4">
        <f t="shared" si="303"/>
        <v>0</v>
      </c>
      <c r="V6722" s="3"/>
      <c r="W6722" s="3">
        <v>2014</v>
      </c>
      <c r="X6722" s="3">
        <v>11.12</v>
      </c>
    </row>
    <row r="6723" spans="1:24" ht="114.75">
      <c r="A6723" s="3" t="s">
        <v>13905</v>
      </c>
      <c r="B6723" s="6" t="s">
        <v>361</v>
      </c>
      <c r="C6723" s="6" t="s">
        <v>7104</v>
      </c>
      <c r="D6723" s="6" t="s">
        <v>467</v>
      </c>
      <c r="E6723" s="6" t="s">
        <v>5332</v>
      </c>
      <c r="F6723" s="6" t="s">
        <v>7105</v>
      </c>
      <c r="G6723" s="57" t="s">
        <v>11449</v>
      </c>
      <c r="H6723" s="185">
        <v>0</v>
      </c>
      <c r="I6723" s="16">
        <v>470000000</v>
      </c>
      <c r="J6723" s="56" t="s">
        <v>229</v>
      </c>
      <c r="K6723" s="57" t="s">
        <v>642</v>
      </c>
      <c r="L6723" s="12" t="s">
        <v>404</v>
      </c>
      <c r="M6723" s="3" t="s">
        <v>230</v>
      </c>
      <c r="N6723" s="8" t="s">
        <v>9479</v>
      </c>
      <c r="O6723" s="6" t="s">
        <v>365</v>
      </c>
      <c r="P6723" s="58" t="s">
        <v>241</v>
      </c>
      <c r="Q6723" s="27" t="s">
        <v>234</v>
      </c>
      <c r="R6723" s="27">
        <v>10</v>
      </c>
      <c r="S6723" s="59">
        <v>1500</v>
      </c>
      <c r="T6723" s="4">
        <f>R6723*S6723</f>
        <v>15000</v>
      </c>
      <c r="U6723" s="4">
        <f>T6723*1.12</f>
        <v>16800</v>
      </c>
      <c r="V6723" s="3"/>
      <c r="W6723" s="3">
        <v>2014</v>
      </c>
      <c r="X6723" s="3"/>
    </row>
    <row r="6724" spans="1:24" ht="114.75">
      <c r="A6724" s="3" t="s">
        <v>2803</v>
      </c>
      <c r="B6724" s="6" t="s">
        <v>361</v>
      </c>
      <c r="C6724" s="6" t="s">
        <v>6019</v>
      </c>
      <c r="D6724" s="6" t="s">
        <v>439</v>
      </c>
      <c r="E6724" s="6" t="s">
        <v>5998</v>
      </c>
      <c r="F6724" s="6" t="s">
        <v>7106</v>
      </c>
      <c r="G6724" s="57" t="s">
        <v>11449</v>
      </c>
      <c r="H6724" s="185">
        <v>0</v>
      </c>
      <c r="I6724" s="16">
        <v>470000000</v>
      </c>
      <c r="J6724" s="56" t="s">
        <v>229</v>
      </c>
      <c r="K6724" s="57" t="s">
        <v>641</v>
      </c>
      <c r="L6724" s="57" t="s">
        <v>364</v>
      </c>
      <c r="M6724" s="3" t="s">
        <v>230</v>
      </c>
      <c r="N6724" s="8" t="s">
        <v>9479</v>
      </c>
      <c r="O6724" s="6" t="s">
        <v>365</v>
      </c>
      <c r="P6724" s="58" t="s">
        <v>241</v>
      </c>
      <c r="Q6724" s="27" t="s">
        <v>234</v>
      </c>
      <c r="R6724" s="27">
        <v>15</v>
      </c>
      <c r="S6724" s="59">
        <v>190</v>
      </c>
      <c r="T6724" s="4">
        <v>0</v>
      </c>
      <c r="U6724" s="4">
        <f t="shared" si="303"/>
        <v>0</v>
      </c>
      <c r="V6724" s="3"/>
      <c r="W6724" s="3">
        <v>2014</v>
      </c>
      <c r="X6724" s="3">
        <v>11.12</v>
      </c>
    </row>
    <row r="6725" spans="1:24" ht="114.75">
      <c r="A6725" s="3" t="s">
        <v>13906</v>
      </c>
      <c r="B6725" s="6" t="s">
        <v>361</v>
      </c>
      <c r="C6725" s="6" t="s">
        <v>6019</v>
      </c>
      <c r="D6725" s="6" t="s">
        <v>439</v>
      </c>
      <c r="E6725" s="6" t="s">
        <v>5998</v>
      </c>
      <c r="F6725" s="6" t="s">
        <v>7106</v>
      </c>
      <c r="G6725" s="57" t="s">
        <v>11449</v>
      </c>
      <c r="H6725" s="185">
        <v>0</v>
      </c>
      <c r="I6725" s="16">
        <v>470000000</v>
      </c>
      <c r="J6725" s="56" t="s">
        <v>229</v>
      </c>
      <c r="K6725" s="57" t="s">
        <v>642</v>
      </c>
      <c r="L6725" s="12" t="s">
        <v>404</v>
      </c>
      <c r="M6725" s="3" t="s">
        <v>230</v>
      </c>
      <c r="N6725" s="8" t="s">
        <v>9479</v>
      </c>
      <c r="O6725" s="6" t="s">
        <v>365</v>
      </c>
      <c r="P6725" s="58" t="s">
        <v>241</v>
      </c>
      <c r="Q6725" s="27" t="s">
        <v>234</v>
      </c>
      <c r="R6725" s="27">
        <v>15</v>
      </c>
      <c r="S6725" s="59">
        <v>190</v>
      </c>
      <c r="T6725" s="4">
        <v>0</v>
      </c>
      <c r="U6725" s="4">
        <f>T6725*1.12</f>
        <v>0</v>
      </c>
      <c r="V6725" s="3"/>
      <c r="W6725" s="3">
        <v>2014</v>
      </c>
      <c r="X6725" s="3" t="s">
        <v>14785</v>
      </c>
    </row>
    <row r="6726" spans="1:24" ht="114.75">
      <c r="A6726" s="3" t="s">
        <v>17099</v>
      </c>
      <c r="B6726" s="6" t="s">
        <v>361</v>
      </c>
      <c r="C6726" s="6" t="s">
        <v>6019</v>
      </c>
      <c r="D6726" s="6" t="s">
        <v>439</v>
      </c>
      <c r="E6726" s="6" t="s">
        <v>5998</v>
      </c>
      <c r="F6726" s="6" t="s">
        <v>7106</v>
      </c>
      <c r="G6726" s="3" t="s">
        <v>11449</v>
      </c>
      <c r="H6726" s="185">
        <v>0</v>
      </c>
      <c r="I6726" s="16">
        <v>470000000</v>
      </c>
      <c r="J6726" s="56" t="s">
        <v>229</v>
      </c>
      <c r="K6726" s="57" t="s">
        <v>8950</v>
      </c>
      <c r="L6726" s="12" t="s">
        <v>404</v>
      </c>
      <c r="M6726" s="3" t="s">
        <v>230</v>
      </c>
      <c r="N6726" s="8" t="s">
        <v>9479</v>
      </c>
      <c r="O6726" s="6" t="s">
        <v>365</v>
      </c>
      <c r="P6726" s="58" t="s">
        <v>241</v>
      </c>
      <c r="Q6726" s="27" t="s">
        <v>234</v>
      </c>
      <c r="R6726" s="27">
        <v>15</v>
      </c>
      <c r="S6726" s="59">
        <v>3000</v>
      </c>
      <c r="T6726" s="4">
        <v>0</v>
      </c>
      <c r="U6726" s="4">
        <f>T6726*1.12</f>
        <v>0</v>
      </c>
      <c r="V6726" s="3"/>
      <c r="W6726" s="3">
        <v>2014</v>
      </c>
      <c r="X6726" s="3">
        <v>11</v>
      </c>
    </row>
    <row r="6727" spans="1:24" ht="114.75">
      <c r="A6727" s="3" t="s">
        <v>19035</v>
      </c>
      <c r="B6727" s="6" t="s">
        <v>361</v>
      </c>
      <c r="C6727" s="6" t="s">
        <v>6019</v>
      </c>
      <c r="D6727" s="6" t="s">
        <v>439</v>
      </c>
      <c r="E6727" s="6" t="s">
        <v>5998</v>
      </c>
      <c r="F6727" s="6" t="s">
        <v>7106</v>
      </c>
      <c r="G6727" s="3" t="s">
        <v>11449</v>
      </c>
      <c r="H6727" s="185">
        <v>0</v>
      </c>
      <c r="I6727" s="16">
        <v>470000000</v>
      </c>
      <c r="J6727" s="56" t="s">
        <v>229</v>
      </c>
      <c r="K6727" s="57" t="s">
        <v>18437</v>
      </c>
      <c r="L6727" s="12" t="s">
        <v>404</v>
      </c>
      <c r="M6727" s="3" t="s">
        <v>230</v>
      </c>
      <c r="N6727" s="8" t="s">
        <v>9479</v>
      </c>
      <c r="O6727" s="6" t="s">
        <v>365</v>
      </c>
      <c r="P6727" s="58" t="s">
        <v>241</v>
      </c>
      <c r="Q6727" s="27" t="s">
        <v>234</v>
      </c>
      <c r="R6727" s="27">
        <v>15</v>
      </c>
      <c r="S6727" s="59">
        <v>3000</v>
      </c>
      <c r="T6727" s="4">
        <f>R6727*S6727</f>
        <v>45000</v>
      </c>
      <c r="U6727" s="4">
        <f>T6727*1.12</f>
        <v>50400.000000000007</v>
      </c>
      <c r="V6727" s="3"/>
      <c r="W6727" s="3">
        <v>2014</v>
      </c>
      <c r="X6727" s="3"/>
    </row>
    <row r="6728" spans="1:24" ht="114.75">
      <c r="A6728" s="3" t="s">
        <v>2804</v>
      </c>
      <c r="B6728" s="6" t="s">
        <v>361</v>
      </c>
      <c r="C6728" s="6" t="s">
        <v>6066</v>
      </c>
      <c r="D6728" s="6" t="s">
        <v>6067</v>
      </c>
      <c r="E6728" s="6" t="s">
        <v>6068</v>
      </c>
      <c r="F6728" s="6" t="s">
        <v>7107</v>
      </c>
      <c r="G6728" s="57" t="s">
        <v>11449</v>
      </c>
      <c r="H6728" s="185">
        <v>0</v>
      </c>
      <c r="I6728" s="16">
        <v>470000000</v>
      </c>
      <c r="J6728" s="56" t="s">
        <v>229</v>
      </c>
      <c r="K6728" s="57" t="s">
        <v>641</v>
      </c>
      <c r="L6728" s="57" t="s">
        <v>364</v>
      </c>
      <c r="M6728" s="3" t="s">
        <v>230</v>
      </c>
      <c r="N6728" s="8" t="s">
        <v>9479</v>
      </c>
      <c r="O6728" s="6" t="s">
        <v>365</v>
      </c>
      <c r="P6728" s="58" t="s">
        <v>242</v>
      </c>
      <c r="Q6728" s="27" t="s">
        <v>239</v>
      </c>
      <c r="R6728" s="27">
        <v>10</v>
      </c>
      <c r="S6728" s="59">
        <v>2770</v>
      </c>
      <c r="T6728" s="4">
        <v>0</v>
      </c>
      <c r="U6728" s="4">
        <f t="shared" si="303"/>
        <v>0</v>
      </c>
      <c r="V6728" s="3"/>
      <c r="W6728" s="3">
        <v>2014</v>
      </c>
      <c r="X6728" s="3">
        <v>11.12</v>
      </c>
    </row>
    <row r="6729" spans="1:24" ht="114.75">
      <c r="A6729" s="3" t="s">
        <v>13907</v>
      </c>
      <c r="B6729" s="6" t="s">
        <v>361</v>
      </c>
      <c r="C6729" s="6" t="s">
        <v>6066</v>
      </c>
      <c r="D6729" s="6" t="s">
        <v>6067</v>
      </c>
      <c r="E6729" s="6" t="s">
        <v>6068</v>
      </c>
      <c r="F6729" s="6" t="s">
        <v>7107</v>
      </c>
      <c r="G6729" s="57" t="s">
        <v>11449</v>
      </c>
      <c r="H6729" s="185">
        <v>0</v>
      </c>
      <c r="I6729" s="16">
        <v>470000000</v>
      </c>
      <c r="J6729" s="56" t="s">
        <v>229</v>
      </c>
      <c r="K6729" s="57" t="s">
        <v>642</v>
      </c>
      <c r="L6729" s="12" t="s">
        <v>404</v>
      </c>
      <c r="M6729" s="3" t="s">
        <v>230</v>
      </c>
      <c r="N6729" s="8" t="s">
        <v>9479</v>
      </c>
      <c r="O6729" s="6" t="s">
        <v>365</v>
      </c>
      <c r="P6729" s="58" t="s">
        <v>242</v>
      </c>
      <c r="Q6729" s="27" t="s">
        <v>239</v>
      </c>
      <c r="R6729" s="27">
        <v>10</v>
      </c>
      <c r="S6729" s="59">
        <v>2770</v>
      </c>
      <c r="T6729" s="4">
        <f>R6729*S6729</f>
        <v>27700</v>
      </c>
      <c r="U6729" s="4">
        <f>T6729*1.12</f>
        <v>31024.000000000004</v>
      </c>
      <c r="V6729" s="3"/>
      <c r="W6729" s="3">
        <v>2014</v>
      </c>
      <c r="X6729" s="3"/>
    </row>
    <row r="6730" spans="1:24" ht="114.75">
      <c r="A6730" s="3" t="s">
        <v>2805</v>
      </c>
      <c r="B6730" s="6" t="s">
        <v>361</v>
      </c>
      <c r="C6730" s="6" t="s">
        <v>11602</v>
      </c>
      <c r="D6730" s="6" t="s">
        <v>417</v>
      </c>
      <c r="E6730" s="6" t="s">
        <v>11603</v>
      </c>
      <c r="F6730" s="6" t="s">
        <v>7108</v>
      </c>
      <c r="G6730" s="57" t="s">
        <v>11449</v>
      </c>
      <c r="H6730" s="185">
        <v>0</v>
      </c>
      <c r="I6730" s="16">
        <v>470000000</v>
      </c>
      <c r="J6730" s="56" t="s">
        <v>229</v>
      </c>
      <c r="K6730" s="57" t="s">
        <v>641</v>
      </c>
      <c r="L6730" s="57" t="s">
        <v>364</v>
      </c>
      <c r="M6730" s="3" t="s">
        <v>230</v>
      </c>
      <c r="N6730" s="8" t="s">
        <v>9479</v>
      </c>
      <c r="O6730" s="6" t="s">
        <v>365</v>
      </c>
      <c r="P6730" s="58" t="s">
        <v>242</v>
      </c>
      <c r="Q6730" s="27" t="s">
        <v>239</v>
      </c>
      <c r="R6730" s="27">
        <v>10</v>
      </c>
      <c r="S6730" s="59">
        <v>650</v>
      </c>
      <c r="T6730" s="4">
        <v>0</v>
      </c>
      <c r="U6730" s="4">
        <f t="shared" si="303"/>
        <v>0</v>
      </c>
      <c r="V6730" s="3"/>
      <c r="W6730" s="3">
        <v>2014</v>
      </c>
      <c r="X6730" s="3">
        <v>11.12</v>
      </c>
    </row>
    <row r="6731" spans="1:24" ht="114.75">
      <c r="A6731" s="3" t="s">
        <v>13908</v>
      </c>
      <c r="B6731" s="6" t="s">
        <v>361</v>
      </c>
      <c r="C6731" s="6" t="s">
        <v>11602</v>
      </c>
      <c r="D6731" s="6" t="s">
        <v>417</v>
      </c>
      <c r="E6731" s="6" t="s">
        <v>11603</v>
      </c>
      <c r="F6731" s="6" t="s">
        <v>7108</v>
      </c>
      <c r="G6731" s="57" t="s">
        <v>11449</v>
      </c>
      <c r="H6731" s="185">
        <v>0</v>
      </c>
      <c r="I6731" s="16">
        <v>470000000</v>
      </c>
      <c r="J6731" s="56" t="s">
        <v>229</v>
      </c>
      <c r="K6731" s="57" t="s">
        <v>642</v>
      </c>
      <c r="L6731" s="12" t="s">
        <v>404</v>
      </c>
      <c r="M6731" s="3" t="s">
        <v>230</v>
      </c>
      <c r="N6731" s="8" t="s">
        <v>9479</v>
      </c>
      <c r="O6731" s="6" t="s">
        <v>365</v>
      </c>
      <c r="P6731" s="58" t="s">
        <v>242</v>
      </c>
      <c r="Q6731" s="27" t="s">
        <v>239</v>
      </c>
      <c r="R6731" s="27">
        <v>10</v>
      </c>
      <c r="S6731" s="59">
        <v>650</v>
      </c>
      <c r="T6731" s="4">
        <f>R6731*S6731</f>
        <v>6500</v>
      </c>
      <c r="U6731" s="4">
        <f>T6731*1.12</f>
        <v>7280.0000000000009</v>
      </c>
      <c r="V6731" s="3"/>
      <c r="W6731" s="3">
        <v>2014</v>
      </c>
      <c r="X6731" s="3"/>
    </row>
    <row r="6732" spans="1:24" ht="114.75">
      <c r="A6732" s="3" t="s">
        <v>2806</v>
      </c>
      <c r="B6732" s="6" t="s">
        <v>361</v>
      </c>
      <c r="C6732" s="6" t="s">
        <v>6118</v>
      </c>
      <c r="D6732" s="6" t="s">
        <v>6119</v>
      </c>
      <c r="E6732" s="6" t="s">
        <v>5998</v>
      </c>
      <c r="F6732" s="6" t="s">
        <v>7109</v>
      </c>
      <c r="G6732" s="57" t="s">
        <v>11449</v>
      </c>
      <c r="H6732" s="185">
        <v>0</v>
      </c>
      <c r="I6732" s="16">
        <v>470000000</v>
      </c>
      <c r="J6732" s="56" t="s">
        <v>229</v>
      </c>
      <c r="K6732" s="57" t="s">
        <v>641</v>
      </c>
      <c r="L6732" s="57" t="s">
        <v>364</v>
      </c>
      <c r="M6732" s="3" t="s">
        <v>230</v>
      </c>
      <c r="N6732" s="8" t="s">
        <v>9479</v>
      </c>
      <c r="O6732" s="6" t="s">
        <v>365</v>
      </c>
      <c r="P6732" s="58" t="s">
        <v>241</v>
      </c>
      <c r="Q6732" s="27" t="s">
        <v>234</v>
      </c>
      <c r="R6732" s="27">
        <v>20</v>
      </c>
      <c r="S6732" s="59">
        <v>3080</v>
      </c>
      <c r="T6732" s="4">
        <v>0</v>
      </c>
      <c r="U6732" s="4">
        <f t="shared" si="303"/>
        <v>0</v>
      </c>
      <c r="V6732" s="3"/>
      <c r="W6732" s="3">
        <v>2014</v>
      </c>
      <c r="X6732" s="3">
        <v>11.12</v>
      </c>
    </row>
    <row r="6733" spans="1:24" ht="114.75">
      <c r="A6733" s="3" t="s">
        <v>13909</v>
      </c>
      <c r="B6733" s="6" t="s">
        <v>361</v>
      </c>
      <c r="C6733" s="6" t="s">
        <v>6118</v>
      </c>
      <c r="D6733" s="6" t="s">
        <v>6119</v>
      </c>
      <c r="E6733" s="6" t="s">
        <v>5998</v>
      </c>
      <c r="F6733" s="6" t="s">
        <v>7109</v>
      </c>
      <c r="G6733" s="57" t="s">
        <v>11449</v>
      </c>
      <c r="H6733" s="185">
        <v>0</v>
      </c>
      <c r="I6733" s="16">
        <v>470000000</v>
      </c>
      <c r="J6733" s="56" t="s">
        <v>229</v>
      </c>
      <c r="K6733" s="57" t="s">
        <v>642</v>
      </c>
      <c r="L6733" s="12" t="s">
        <v>404</v>
      </c>
      <c r="M6733" s="3" t="s">
        <v>230</v>
      </c>
      <c r="N6733" s="8" t="s">
        <v>9479</v>
      </c>
      <c r="O6733" s="6" t="s">
        <v>365</v>
      </c>
      <c r="P6733" s="58" t="s">
        <v>241</v>
      </c>
      <c r="Q6733" s="27" t="s">
        <v>234</v>
      </c>
      <c r="R6733" s="27">
        <v>20</v>
      </c>
      <c r="S6733" s="59">
        <v>3080</v>
      </c>
      <c r="T6733" s="4">
        <f>R6733*S6733</f>
        <v>61600</v>
      </c>
      <c r="U6733" s="4">
        <f>T6733*1.12</f>
        <v>68992</v>
      </c>
      <c r="V6733" s="3"/>
      <c r="W6733" s="3">
        <v>2014</v>
      </c>
      <c r="X6733" s="3"/>
    </row>
    <row r="6734" spans="1:24" ht="114.75">
      <c r="A6734" s="3" t="s">
        <v>2807</v>
      </c>
      <c r="B6734" s="6" t="s">
        <v>361</v>
      </c>
      <c r="C6734" s="6" t="s">
        <v>6118</v>
      </c>
      <c r="D6734" s="6" t="s">
        <v>6119</v>
      </c>
      <c r="E6734" s="6" t="s">
        <v>5998</v>
      </c>
      <c r="F6734" s="6" t="s">
        <v>7110</v>
      </c>
      <c r="G6734" s="57" t="s">
        <v>11449</v>
      </c>
      <c r="H6734" s="185">
        <v>0</v>
      </c>
      <c r="I6734" s="16">
        <v>470000000</v>
      </c>
      <c r="J6734" s="56" t="s">
        <v>229</v>
      </c>
      <c r="K6734" s="57" t="s">
        <v>641</v>
      </c>
      <c r="L6734" s="57" t="s">
        <v>364</v>
      </c>
      <c r="M6734" s="3" t="s">
        <v>230</v>
      </c>
      <c r="N6734" s="8" t="s">
        <v>9479</v>
      </c>
      <c r="O6734" s="6" t="s">
        <v>365</v>
      </c>
      <c r="P6734" s="58" t="s">
        <v>241</v>
      </c>
      <c r="Q6734" s="27" t="s">
        <v>234</v>
      </c>
      <c r="R6734" s="27">
        <v>20</v>
      </c>
      <c r="S6734" s="59">
        <v>3080</v>
      </c>
      <c r="T6734" s="4">
        <v>0</v>
      </c>
      <c r="U6734" s="4">
        <f t="shared" si="303"/>
        <v>0</v>
      </c>
      <c r="V6734" s="3"/>
      <c r="W6734" s="3">
        <v>2014</v>
      </c>
      <c r="X6734" s="3">
        <v>11.12</v>
      </c>
    </row>
    <row r="6735" spans="1:24" ht="114.75">
      <c r="A6735" s="3" t="s">
        <v>13910</v>
      </c>
      <c r="B6735" s="6" t="s">
        <v>361</v>
      </c>
      <c r="C6735" s="6" t="s">
        <v>6118</v>
      </c>
      <c r="D6735" s="6" t="s">
        <v>6119</v>
      </c>
      <c r="E6735" s="6" t="s">
        <v>5998</v>
      </c>
      <c r="F6735" s="6" t="s">
        <v>7110</v>
      </c>
      <c r="G6735" s="57" t="s">
        <v>11449</v>
      </c>
      <c r="H6735" s="185">
        <v>0</v>
      </c>
      <c r="I6735" s="16">
        <v>470000000</v>
      </c>
      <c r="J6735" s="56" t="s">
        <v>229</v>
      </c>
      <c r="K6735" s="57" t="s">
        <v>642</v>
      </c>
      <c r="L6735" s="12" t="s">
        <v>404</v>
      </c>
      <c r="M6735" s="3" t="s">
        <v>230</v>
      </c>
      <c r="N6735" s="8" t="s">
        <v>9479</v>
      </c>
      <c r="O6735" s="6" t="s">
        <v>365</v>
      </c>
      <c r="P6735" s="58" t="s">
        <v>241</v>
      </c>
      <c r="Q6735" s="27" t="s">
        <v>234</v>
      </c>
      <c r="R6735" s="27">
        <v>20</v>
      </c>
      <c r="S6735" s="59">
        <v>3080</v>
      </c>
      <c r="T6735" s="4">
        <f>R6735*S6735</f>
        <v>61600</v>
      </c>
      <c r="U6735" s="4">
        <f>T6735*1.12</f>
        <v>68992</v>
      </c>
      <c r="V6735" s="3"/>
      <c r="W6735" s="3">
        <v>2014</v>
      </c>
      <c r="X6735" s="3"/>
    </row>
    <row r="6736" spans="1:24" ht="114.75">
      <c r="A6736" s="3" t="s">
        <v>2808</v>
      </c>
      <c r="B6736" s="6" t="s">
        <v>361</v>
      </c>
      <c r="C6736" s="6" t="s">
        <v>5943</v>
      </c>
      <c r="D6736" s="6" t="s">
        <v>482</v>
      </c>
      <c r="E6736" s="6" t="s">
        <v>5746</v>
      </c>
      <c r="F6736" s="6" t="s">
        <v>7111</v>
      </c>
      <c r="G6736" s="57" t="s">
        <v>11449</v>
      </c>
      <c r="H6736" s="185">
        <v>0</v>
      </c>
      <c r="I6736" s="16">
        <v>470000000</v>
      </c>
      <c r="J6736" s="56" t="s">
        <v>229</v>
      </c>
      <c r="K6736" s="57" t="s">
        <v>641</v>
      </c>
      <c r="L6736" s="57" t="s">
        <v>364</v>
      </c>
      <c r="M6736" s="3" t="s">
        <v>230</v>
      </c>
      <c r="N6736" s="8" t="s">
        <v>9479</v>
      </c>
      <c r="O6736" s="6" t="s">
        <v>365</v>
      </c>
      <c r="P6736" s="58" t="s">
        <v>241</v>
      </c>
      <c r="Q6736" s="27" t="s">
        <v>234</v>
      </c>
      <c r="R6736" s="27">
        <v>4</v>
      </c>
      <c r="S6736" s="59">
        <v>2380</v>
      </c>
      <c r="T6736" s="4">
        <v>0</v>
      </c>
      <c r="U6736" s="4">
        <f t="shared" si="303"/>
        <v>0</v>
      </c>
      <c r="V6736" s="3"/>
      <c r="W6736" s="3">
        <v>2014</v>
      </c>
      <c r="X6736" s="3">
        <v>11.12</v>
      </c>
    </row>
    <row r="6737" spans="1:24" ht="114.75">
      <c r="A6737" s="3" t="s">
        <v>13911</v>
      </c>
      <c r="B6737" s="6" t="s">
        <v>361</v>
      </c>
      <c r="C6737" s="6" t="s">
        <v>5943</v>
      </c>
      <c r="D6737" s="6" t="s">
        <v>482</v>
      </c>
      <c r="E6737" s="6" t="s">
        <v>5746</v>
      </c>
      <c r="F6737" s="6" t="s">
        <v>7111</v>
      </c>
      <c r="G6737" s="57" t="s">
        <v>11449</v>
      </c>
      <c r="H6737" s="185">
        <v>0</v>
      </c>
      <c r="I6737" s="16">
        <v>470000000</v>
      </c>
      <c r="J6737" s="56" t="s">
        <v>229</v>
      </c>
      <c r="K6737" s="57" t="s">
        <v>642</v>
      </c>
      <c r="L6737" s="12" t="s">
        <v>404</v>
      </c>
      <c r="M6737" s="3" t="s">
        <v>230</v>
      </c>
      <c r="N6737" s="8" t="s">
        <v>9479</v>
      </c>
      <c r="O6737" s="6" t="s">
        <v>365</v>
      </c>
      <c r="P6737" s="58" t="s">
        <v>241</v>
      </c>
      <c r="Q6737" s="27" t="s">
        <v>234</v>
      </c>
      <c r="R6737" s="27">
        <v>4</v>
      </c>
      <c r="S6737" s="59">
        <v>2380</v>
      </c>
      <c r="T6737" s="4">
        <f>R6737*S6737</f>
        <v>9520</v>
      </c>
      <c r="U6737" s="4">
        <f>T6737*1.12</f>
        <v>10662.400000000001</v>
      </c>
      <c r="V6737" s="3"/>
      <c r="W6737" s="3">
        <v>2014</v>
      </c>
      <c r="X6737" s="3"/>
    </row>
    <row r="6738" spans="1:24" ht="114.75">
      <c r="A6738" s="3" t="s">
        <v>2809</v>
      </c>
      <c r="B6738" s="6" t="s">
        <v>361</v>
      </c>
      <c r="C6738" s="6" t="s">
        <v>5943</v>
      </c>
      <c r="D6738" s="6" t="s">
        <v>482</v>
      </c>
      <c r="E6738" s="6" t="s">
        <v>5746</v>
      </c>
      <c r="F6738" s="6" t="s">
        <v>7112</v>
      </c>
      <c r="G6738" s="57" t="s">
        <v>11449</v>
      </c>
      <c r="H6738" s="185">
        <v>0</v>
      </c>
      <c r="I6738" s="16">
        <v>470000000</v>
      </c>
      <c r="J6738" s="56" t="s">
        <v>229</v>
      </c>
      <c r="K6738" s="57" t="s">
        <v>641</v>
      </c>
      <c r="L6738" s="57" t="s">
        <v>364</v>
      </c>
      <c r="M6738" s="3" t="s">
        <v>230</v>
      </c>
      <c r="N6738" s="8" t="s">
        <v>9479</v>
      </c>
      <c r="O6738" s="6" t="s">
        <v>365</v>
      </c>
      <c r="P6738" s="58" t="s">
        <v>241</v>
      </c>
      <c r="Q6738" s="27" t="s">
        <v>234</v>
      </c>
      <c r="R6738" s="27">
        <v>6</v>
      </c>
      <c r="S6738" s="59">
        <v>2450</v>
      </c>
      <c r="T6738" s="4">
        <v>0</v>
      </c>
      <c r="U6738" s="4">
        <f t="shared" si="303"/>
        <v>0</v>
      </c>
      <c r="V6738" s="3"/>
      <c r="W6738" s="3">
        <v>2014</v>
      </c>
      <c r="X6738" s="3">
        <v>11.12</v>
      </c>
    </row>
    <row r="6739" spans="1:24" ht="114.75">
      <c r="A6739" s="3" t="s">
        <v>13912</v>
      </c>
      <c r="B6739" s="6" t="s">
        <v>361</v>
      </c>
      <c r="C6739" s="6" t="s">
        <v>5943</v>
      </c>
      <c r="D6739" s="6" t="s">
        <v>482</v>
      </c>
      <c r="E6739" s="6" t="s">
        <v>5746</v>
      </c>
      <c r="F6739" s="6" t="s">
        <v>7112</v>
      </c>
      <c r="G6739" s="57" t="s">
        <v>11449</v>
      </c>
      <c r="H6739" s="185">
        <v>0</v>
      </c>
      <c r="I6739" s="16">
        <v>470000000</v>
      </c>
      <c r="J6739" s="56" t="s">
        <v>229</v>
      </c>
      <c r="K6739" s="57" t="s">
        <v>642</v>
      </c>
      <c r="L6739" s="12" t="s">
        <v>404</v>
      </c>
      <c r="M6739" s="3" t="s">
        <v>230</v>
      </c>
      <c r="N6739" s="8" t="s">
        <v>9479</v>
      </c>
      <c r="O6739" s="6" t="s">
        <v>365</v>
      </c>
      <c r="P6739" s="58" t="s">
        <v>241</v>
      </c>
      <c r="Q6739" s="27" t="s">
        <v>234</v>
      </c>
      <c r="R6739" s="27">
        <v>6</v>
      </c>
      <c r="S6739" s="59">
        <v>2450</v>
      </c>
      <c r="T6739" s="4">
        <f>R6739*S6739</f>
        <v>14700</v>
      </c>
      <c r="U6739" s="4">
        <f>T6739*1.12</f>
        <v>16464</v>
      </c>
      <c r="V6739" s="3"/>
      <c r="W6739" s="3">
        <v>2014</v>
      </c>
      <c r="X6739" s="3"/>
    </row>
    <row r="6740" spans="1:24" ht="114.75">
      <c r="A6740" s="3" t="s">
        <v>2810</v>
      </c>
      <c r="B6740" s="6" t="s">
        <v>361</v>
      </c>
      <c r="C6740" s="6" t="s">
        <v>7113</v>
      </c>
      <c r="D6740" s="6" t="s">
        <v>5637</v>
      </c>
      <c r="E6740" s="6" t="s">
        <v>5998</v>
      </c>
      <c r="F6740" s="6" t="s">
        <v>7114</v>
      </c>
      <c r="G6740" s="57" t="s">
        <v>11449</v>
      </c>
      <c r="H6740" s="185">
        <v>0</v>
      </c>
      <c r="I6740" s="16">
        <v>470000000</v>
      </c>
      <c r="J6740" s="56" t="s">
        <v>229</v>
      </c>
      <c r="K6740" s="57" t="s">
        <v>641</v>
      </c>
      <c r="L6740" s="57" t="s">
        <v>364</v>
      </c>
      <c r="M6740" s="3" t="s">
        <v>230</v>
      </c>
      <c r="N6740" s="8" t="s">
        <v>9479</v>
      </c>
      <c r="O6740" s="6" t="s">
        <v>365</v>
      </c>
      <c r="P6740" s="58" t="s">
        <v>241</v>
      </c>
      <c r="Q6740" s="27" t="s">
        <v>234</v>
      </c>
      <c r="R6740" s="27">
        <v>10</v>
      </c>
      <c r="S6740" s="59">
        <v>878</v>
      </c>
      <c r="T6740" s="4">
        <v>0</v>
      </c>
      <c r="U6740" s="4">
        <f t="shared" si="303"/>
        <v>0</v>
      </c>
      <c r="V6740" s="3"/>
      <c r="W6740" s="3">
        <v>2014</v>
      </c>
      <c r="X6740" s="3">
        <v>11.12</v>
      </c>
    </row>
    <row r="6741" spans="1:24" ht="114.75">
      <c r="A6741" s="3" t="s">
        <v>13913</v>
      </c>
      <c r="B6741" s="6" t="s">
        <v>361</v>
      </c>
      <c r="C6741" s="6" t="s">
        <v>7113</v>
      </c>
      <c r="D6741" s="6" t="s">
        <v>5637</v>
      </c>
      <c r="E6741" s="6" t="s">
        <v>5998</v>
      </c>
      <c r="F6741" s="6" t="s">
        <v>7114</v>
      </c>
      <c r="G6741" s="57" t="s">
        <v>11449</v>
      </c>
      <c r="H6741" s="185">
        <v>0</v>
      </c>
      <c r="I6741" s="16">
        <v>470000000</v>
      </c>
      <c r="J6741" s="56" t="s">
        <v>229</v>
      </c>
      <c r="K6741" s="57" t="s">
        <v>642</v>
      </c>
      <c r="L6741" s="12" t="s">
        <v>404</v>
      </c>
      <c r="M6741" s="3" t="s">
        <v>230</v>
      </c>
      <c r="N6741" s="8" t="s">
        <v>9479</v>
      </c>
      <c r="O6741" s="6" t="s">
        <v>365</v>
      </c>
      <c r="P6741" s="58" t="s">
        <v>241</v>
      </c>
      <c r="Q6741" s="27" t="s">
        <v>234</v>
      </c>
      <c r="R6741" s="27">
        <v>10</v>
      </c>
      <c r="S6741" s="59">
        <v>878</v>
      </c>
      <c r="T6741" s="4">
        <f>R6741*S6741</f>
        <v>8780</v>
      </c>
      <c r="U6741" s="4">
        <f>T6741*1.12</f>
        <v>9833.6</v>
      </c>
      <c r="V6741" s="3"/>
      <c r="W6741" s="3">
        <v>2014</v>
      </c>
      <c r="X6741" s="3"/>
    </row>
    <row r="6742" spans="1:24" ht="114.75">
      <c r="A6742" s="3" t="s">
        <v>2811</v>
      </c>
      <c r="B6742" s="6" t="s">
        <v>361</v>
      </c>
      <c r="C6742" s="6" t="s">
        <v>7113</v>
      </c>
      <c r="D6742" s="6" t="s">
        <v>5637</v>
      </c>
      <c r="E6742" s="6" t="s">
        <v>5998</v>
      </c>
      <c r="F6742" s="6" t="s">
        <v>506</v>
      </c>
      <c r="G6742" s="57" t="s">
        <v>11449</v>
      </c>
      <c r="H6742" s="185">
        <v>0</v>
      </c>
      <c r="I6742" s="16">
        <v>470000000</v>
      </c>
      <c r="J6742" s="56" t="s">
        <v>229</v>
      </c>
      <c r="K6742" s="57" t="s">
        <v>641</v>
      </c>
      <c r="L6742" s="57" t="s">
        <v>364</v>
      </c>
      <c r="M6742" s="3" t="s">
        <v>230</v>
      </c>
      <c r="N6742" s="8" t="s">
        <v>9479</v>
      </c>
      <c r="O6742" s="6" t="s">
        <v>365</v>
      </c>
      <c r="P6742" s="58" t="s">
        <v>242</v>
      </c>
      <c r="Q6742" s="27" t="s">
        <v>239</v>
      </c>
      <c r="R6742" s="27">
        <v>4</v>
      </c>
      <c r="S6742" s="59">
        <v>2980</v>
      </c>
      <c r="T6742" s="4">
        <v>0</v>
      </c>
      <c r="U6742" s="4">
        <f t="shared" si="303"/>
        <v>0</v>
      </c>
      <c r="V6742" s="3"/>
      <c r="W6742" s="3">
        <v>2014</v>
      </c>
      <c r="X6742" s="3">
        <v>11.12</v>
      </c>
    </row>
    <row r="6743" spans="1:24" ht="114.75">
      <c r="A6743" s="3" t="s">
        <v>13914</v>
      </c>
      <c r="B6743" s="6" t="s">
        <v>361</v>
      </c>
      <c r="C6743" s="6" t="s">
        <v>7113</v>
      </c>
      <c r="D6743" s="6" t="s">
        <v>5637</v>
      </c>
      <c r="E6743" s="6" t="s">
        <v>5998</v>
      </c>
      <c r="F6743" s="6" t="s">
        <v>506</v>
      </c>
      <c r="G6743" s="57" t="s">
        <v>11449</v>
      </c>
      <c r="H6743" s="185">
        <v>0</v>
      </c>
      <c r="I6743" s="16">
        <v>470000000</v>
      </c>
      <c r="J6743" s="56" t="s">
        <v>229</v>
      </c>
      <c r="K6743" s="57" t="s">
        <v>642</v>
      </c>
      <c r="L6743" s="12" t="s">
        <v>404</v>
      </c>
      <c r="M6743" s="3" t="s">
        <v>230</v>
      </c>
      <c r="N6743" s="8" t="s">
        <v>9479</v>
      </c>
      <c r="O6743" s="6" t="s">
        <v>365</v>
      </c>
      <c r="P6743" s="58" t="s">
        <v>242</v>
      </c>
      <c r="Q6743" s="27" t="s">
        <v>239</v>
      </c>
      <c r="R6743" s="27">
        <v>4</v>
      </c>
      <c r="S6743" s="59">
        <v>2980</v>
      </c>
      <c r="T6743" s="4">
        <f>R6743*S6743</f>
        <v>11920</v>
      </c>
      <c r="U6743" s="4">
        <f>T6743*1.12</f>
        <v>13350.400000000001</v>
      </c>
      <c r="V6743" s="3"/>
      <c r="W6743" s="3">
        <v>2014</v>
      </c>
      <c r="X6743" s="3"/>
    </row>
    <row r="6744" spans="1:24" ht="114.75">
      <c r="A6744" s="3" t="s">
        <v>2812</v>
      </c>
      <c r="B6744" s="6" t="s">
        <v>361</v>
      </c>
      <c r="C6744" s="6" t="s">
        <v>7115</v>
      </c>
      <c r="D6744" s="6" t="s">
        <v>7116</v>
      </c>
      <c r="E6744" s="6" t="s">
        <v>5332</v>
      </c>
      <c r="F6744" s="6" t="s">
        <v>7117</v>
      </c>
      <c r="G6744" s="57" t="s">
        <v>11449</v>
      </c>
      <c r="H6744" s="185">
        <v>0</v>
      </c>
      <c r="I6744" s="16">
        <v>470000000</v>
      </c>
      <c r="J6744" s="56" t="s">
        <v>229</v>
      </c>
      <c r="K6744" s="57" t="s">
        <v>641</v>
      </c>
      <c r="L6744" s="57" t="s">
        <v>364</v>
      </c>
      <c r="M6744" s="3" t="s">
        <v>230</v>
      </c>
      <c r="N6744" s="8" t="s">
        <v>9479</v>
      </c>
      <c r="O6744" s="6" t="s">
        <v>365</v>
      </c>
      <c r="P6744" s="58" t="s">
        <v>242</v>
      </c>
      <c r="Q6744" s="27" t="s">
        <v>239</v>
      </c>
      <c r="R6744" s="27">
        <v>10</v>
      </c>
      <c r="S6744" s="59">
        <v>1860</v>
      </c>
      <c r="T6744" s="4">
        <v>0</v>
      </c>
      <c r="U6744" s="4">
        <f t="shared" si="303"/>
        <v>0</v>
      </c>
      <c r="V6744" s="3"/>
      <c r="W6744" s="3">
        <v>2014</v>
      </c>
      <c r="X6744" s="3">
        <v>11.12</v>
      </c>
    </row>
    <row r="6745" spans="1:24" ht="114.75">
      <c r="A6745" s="3" t="s">
        <v>13915</v>
      </c>
      <c r="B6745" s="6" t="s">
        <v>361</v>
      </c>
      <c r="C6745" s="6" t="s">
        <v>7115</v>
      </c>
      <c r="D6745" s="6" t="s">
        <v>7116</v>
      </c>
      <c r="E6745" s="6" t="s">
        <v>5332</v>
      </c>
      <c r="F6745" s="6" t="s">
        <v>7117</v>
      </c>
      <c r="G6745" s="57" t="s">
        <v>11449</v>
      </c>
      <c r="H6745" s="185">
        <v>0</v>
      </c>
      <c r="I6745" s="16">
        <v>470000000</v>
      </c>
      <c r="J6745" s="56" t="s">
        <v>229</v>
      </c>
      <c r="K6745" s="57" t="s">
        <v>642</v>
      </c>
      <c r="L6745" s="12" t="s">
        <v>404</v>
      </c>
      <c r="M6745" s="3" t="s">
        <v>230</v>
      </c>
      <c r="N6745" s="8" t="s">
        <v>9479</v>
      </c>
      <c r="O6745" s="6" t="s">
        <v>365</v>
      </c>
      <c r="P6745" s="58" t="s">
        <v>242</v>
      </c>
      <c r="Q6745" s="27" t="s">
        <v>239</v>
      </c>
      <c r="R6745" s="27">
        <v>10</v>
      </c>
      <c r="S6745" s="59">
        <v>1860</v>
      </c>
      <c r="T6745" s="4">
        <f>R6745*S6745</f>
        <v>18600</v>
      </c>
      <c r="U6745" s="4">
        <f>T6745*1.12</f>
        <v>20832.000000000004</v>
      </c>
      <c r="V6745" s="3"/>
      <c r="W6745" s="3">
        <v>2014</v>
      </c>
      <c r="X6745" s="3"/>
    </row>
    <row r="6746" spans="1:24" ht="114.75">
      <c r="A6746" s="3" t="s">
        <v>2813</v>
      </c>
      <c r="B6746" s="6" t="s">
        <v>361</v>
      </c>
      <c r="C6746" s="6" t="s">
        <v>7115</v>
      </c>
      <c r="D6746" s="6" t="s">
        <v>7116</v>
      </c>
      <c r="E6746" s="6" t="s">
        <v>5332</v>
      </c>
      <c r="F6746" s="6" t="s">
        <v>7118</v>
      </c>
      <c r="G6746" s="57" t="s">
        <v>11449</v>
      </c>
      <c r="H6746" s="185">
        <v>0</v>
      </c>
      <c r="I6746" s="16">
        <v>470000000</v>
      </c>
      <c r="J6746" s="56" t="s">
        <v>229</v>
      </c>
      <c r="K6746" s="57" t="s">
        <v>641</v>
      </c>
      <c r="L6746" s="57" t="s">
        <v>364</v>
      </c>
      <c r="M6746" s="3" t="s">
        <v>230</v>
      </c>
      <c r="N6746" s="8" t="s">
        <v>9479</v>
      </c>
      <c r="O6746" s="6" t="s">
        <v>365</v>
      </c>
      <c r="P6746" s="58" t="s">
        <v>242</v>
      </c>
      <c r="Q6746" s="27" t="s">
        <v>239</v>
      </c>
      <c r="R6746" s="27">
        <v>10</v>
      </c>
      <c r="S6746" s="59">
        <v>3200</v>
      </c>
      <c r="T6746" s="4">
        <v>0</v>
      </c>
      <c r="U6746" s="4">
        <f t="shared" si="303"/>
        <v>0</v>
      </c>
      <c r="V6746" s="3"/>
      <c r="W6746" s="3">
        <v>2014</v>
      </c>
      <c r="X6746" s="3">
        <v>11.12</v>
      </c>
    </row>
    <row r="6747" spans="1:24" ht="114.75">
      <c r="A6747" s="3" t="s">
        <v>13916</v>
      </c>
      <c r="B6747" s="6" t="s">
        <v>361</v>
      </c>
      <c r="C6747" s="6" t="s">
        <v>7115</v>
      </c>
      <c r="D6747" s="6" t="s">
        <v>7116</v>
      </c>
      <c r="E6747" s="6" t="s">
        <v>5332</v>
      </c>
      <c r="F6747" s="6" t="s">
        <v>7118</v>
      </c>
      <c r="G6747" s="57" t="s">
        <v>11449</v>
      </c>
      <c r="H6747" s="185">
        <v>0</v>
      </c>
      <c r="I6747" s="16">
        <v>470000000</v>
      </c>
      <c r="J6747" s="56" t="s">
        <v>229</v>
      </c>
      <c r="K6747" s="57" t="s">
        <v>642</v>
      </c>
      <c r="L6747" s="12" t="s">
        <v>404</v>
      </c>
      <c r="M6747" s="3" t="s">
        <v>230</v>
      </c>
      <c r="N6747" s="8" t="s">
        <v>9479</v>
      </c>
      <c r="O6747" s="6" t="s">
        <v>365</v>
      </c>
      <c r="P6747" s="58" t="s">
        <v>242</v>
      </c>
      <c r="Q6747" s="27" t="s">
        <v>239</v>
      </c>
      <c r="R6747" s="27">
        <v>10</v>
      </c>
      <c r="S6747" s="59">
        <v>3200</v>
      </c>
      <c r="T6747" s="4">
        <f>R6747*S6747</f>
        <v>32000</v>
      </c>
      <c r="U6747" s="4">
        <f>T6747*1.12</f>
        <v>35840</v>
      </c>
      <c r="V6747" s="3"/>
      <c r="W6747" s="3">
        <v>2014</v>
      </c>
      <c r="X6747" s="3"/>
    </row>
    <row r="6748" spans="1:24" ht="114.75">
      <c r="A6748" s="3" t="s">
        <v>2814</v>
      </c>
      <c r="B6748" s="6" t="s">
        <v>361</v>
      </c>
      <c r="C6748" s="6" t="s">
        <v>5344</v>
      </c>
      <c r="D6748" s="6" t="s">
        <v>460</v>
      </c>
      <c r="E6748" s="6" t="s">
        <v>5345</v>
      </c>
      <c r="F6748" s="6" t="s">
        <v>7119</v>
      </c>
      <c r="G6748" s="57" t="s">
        <v>11449</v>
      </c>
      <c r="H6748" s="185">
        <v>0</v>
      </c>
      <c r="I6748" s="16">
        <v>470000000</v>
      </c>
      <c r="J6748" s="56" t="s">
        <v>229</v>
      </c>
      <c r="K6748" s="57" t="s">
        <v>641</v>
      </c>
      <c r="L6748" s="57" t="s">
        <v>364</v>
      </c>
      <c r="M6748" s="3" t="s">
        <v>230</v>
      </c>
      <c r="N6748" s="8" t="s">
        <v>9479</v>
      </c>
      <c r="O6748" s="6" t="s">
        <v>365</v>
      </c>
      <c r="P6748" s="58" t="s">
        <v>241</v>
      </c>
      <c r="Q6748" s="27" t="s">
        <v>234</v>
      </c>
      <c r="R6748" s="27">
        <v>50</v>
      </c>
      <c r="S6748" s="59">
        <v>1400</v>
      </c>
      <c r="T6748" s="4">
        <v>0</v>
      </c>
      <c r="U6748" s="4">
        <f t="shared" si="303"/>
        <v>0</v>
      </c>
      <c r="V6748" s="3"/>
      <c r="W6748" s="3">
        <v>2014</v>
      </c>
      <c r="X6748" s="3">
        <v>11.12</v>
      </c>
    </row>
    <row r="6749" spans="1:24" ht="114.75">
      <c r="A6749" s="3" t="s">
        <v>13917</v>
      </c>
      <c r="B6749" s="6" t="s">
        <v>361</v>
      </c>
      <c r="C6749" s="6" t="s">
        <v>5344</v>
      </c>
      <c r="D6749" s="6" t="s">
        <v>460</v>
      </c>
      <c r="E6749" s="6" t="s">
        <v>5345</v>
      </c>
      <c r="F6749" s="6" t="s">
        <v>7119</v>
      </c>
      <c r="G6749" s="57" t="s">
        <v>11449</v>
      </c>
      <c r="H6749" s="185">
        <v>0</v>
      </c>
      <c r="I6749" s="16">
        <v>470000000</v>
      </c>
      <c r="J6749" s="56" t="s">
        <v>229</v>
      </c>
      <c r="K6749" s="57" t="s">
        <v>642</v>
      </c>
      <c r="L6749" s="12" t="s">
        <v>404</v>
      </c>
      <c r="M6749" s="3" t="s">
        <v>230</v>
      </c>
      <c r="N6749" s="8" t="s">
        <v>9479</v>
      </c>
      <c r="O6749" s="6" t="s">
        <v>365</v>
      </c>
      <c r="P6749" s="58" t="s">
        <v>241</v>
      </c>
      <c r="Q6749" s="27" t="s">
        <v>234</v>
      </c>
      <c r="R6749" s="27">
        <v>50</v>
      </c>
      <c r="S6749" s="59">
        <v>1400</v>
      </c>
      <c r="T6749" s="4">
        <f>R6749*S6749</f>
        <v>70000</v>
      </c>
      <c r="U6749" s="4">
        <f>T6749*1.12</f>
        <v>78400.000000000015</v>
      </c>
      <c r="V6749" s="3"/>
      <c r="W6749" s="3">
        <v>2014</v>
      </c>
      <c r="X6749" s="3"/>
    </row>
    <row r="6750" spans="1:24" ht="114.75">
      <c r="A6750" s="3" t="s">
        <v>2815</v>
      </c>
      <c r="B6750" s="6" t="s">
        <v>361</v>
      </c>
      <c r="C6750" s="6" t="s">
        <v>6051</v>
      </c>
      <c r="D6750" s="6" t="s">
        <v>5416</v>
      </c>
      <c r="E6750" s="6" t="s">
        <v>5998</v>
      </c>
      <c r="F6750" s="6" t="s">
        <v>7120</v>
      </c>
      <c r="G6750" s="57" t="s">
        <v>11449</v>
      </c>
      <c r="H6750" s="185">
        <v>0</v>
      </c>
      <c r="I6750" s="16">
        <v>470000000</v>
      </c>
      <c r="J6750" s="56" t="s">
        <v>229</v>
      </c>
      <c r="K6750" s="57" t="s">
        <v>641</v>
      </c>
      <c r="L6750" s="57" t="s">
        <v>364</v>
      </c>
      <c r="M6750" s="3" t="s">
        <v>230</v>
      </c>
      <c r="N6750" s="8" t="s">
        <v>9479</v>
      </c>
      <c r="O6750" s="6" t="s">
        <v>365</v>
      </c>
      <c r="P6750" s="58" t="s">
        <v>241</v>
      </c>
      <c r="Q6750" s="27" t="s">
        <v>234</v>
      </c>
      <c r="R6750" s="3">
        <v>10</v>
      </c>
      <c r="S6750" s="134">
        <v>4553.57</v>
      </c>
      <c r="T6750" s="4">
        <v>0</v>
      </c>
      <c r="U6750" s="4">
        <f t="shared" si="303"/>
        <v>0</v>
      </c>
      <c r="V6750" s="3"/>
      <c r="W6750" s="3">
        <v>2014</v>
      </c>
      <c r="X6750" s="3">
        <v>11.12</v>
      </c>
    </row>
    <row r="6751" spans="1:24" ht="114.75">
      <c r="A6751" s="3" t="s">
        <v>13918</v>
      </c>
      <c r="B6751" s="6" t="s">
        <v>361</v>
      </c>
      <c r="C6751" s="6" t="s">
        <v>6051</v>
      </c>
      <c r="D6751" s="6" t="s">
        <v>5416</v>
      </c>
      <c r="E6751" s="6" t="s">
        <v>5998</v>
      </c>
      <c r="F6751" s="6" t="s">
        <v>7120</v>
      </c>
      <c r="G6751" s="57" t="s">
        <v>11449</v>
      </c>
      <c r="H6751" s="185">
        <v>0</v>
      </c>
      <c r="I6751" s="16">
        <v>470000000</v>
      </c>
      <c r="J6751" s="56" t="s">
        <v>229</v>
      </c>
      <c r="K6751" s="57" t="s">
        <v>642</v>
      </c>
      <c r="L6751" s="12" t="s">
        <v>404</v>
      </c>
      <c r="M6751" s="3" t="s">
        <v>230</v>
      </c>
      <c r="N6751" s="8" t="s">
        <v>9479</v>
      </c>
      <c r="O6751" s="6" t="s">
        <v>365</v>
      </c>
      <c r="P6751" s="58" t="s">
        <v>241</v>
      </c>
      <c r="Q6751" s="27" t="s">
        <v>234</v>
      </c>
      <c r="R6751" s="3">
        <v>10</v>
      </c>
      <c r="S6751" s="134">
        <v>4553.57</v>
      </c>
      <c r="T6751" s="4">
        <f>R6751*S6751</f>
        <v>45535.7</v>
      </c>
      <c r="U6751" s="4">
        <f>T6751*1.12</f>
        <v>50999.984000000004</v>
      </c>
      <c r="V6751" s="3"/>
      <c r="W6751" s="3">
        <v>2014</v>
      </c>
      <c r="X6751" s="3"/>
    </row>
    <row r="6752" spans="1:24" ht="114.75">
      <c r="A6752" s="3" t="s">
        <v>2816</v>
      </c>
      <c r="B6752" s="6" t="s">
        <v>361</v>
      </c>
      <c r="C6752" s="6" t="s">
        <v>6051</v>
      </c>
      <c r="D6752" s="6" t="s">
        <v>5416</v>
      </c>
      <c r="E6752" s="6" t="s">
        <v>5998</v>
      </c>
      <c r="F6752" s="6" t="s">
        <v>7121</v>
      </c>
      <c r="G6752" s="57" t="s">
        <v>11449</v>
      </c>
      <c r="H6752" s="185">
        <v>0</v>
      </c>
      <c r="I6752" s="16">
        <v>470000000</v>
      </c>
      <c r="J6752" s="56" t="s">
        <v>229</v>
      </c>
      <c r="K6752" s="57" t="s">
        <v>641</v>
      </c>
      <c r="L6752" s="57" t="s">
        <v>364</v>
      </c>
      <c r="M6752" s="3" t="s">
        <v>230</v>
      </c>
      <c r="N6752" s="8" t="s">
        <v>9479</v>
      </c>
      <c r="O6752" s="6" t="s">
        <v>365</v>
      </c>
      <c r="P6752" s="58" t="s">
        <v>241</v>
      </c>
      <c r="Q6752" s="27" t="s">
        <v>234</v>
      </c>
      <c r="R6752" s="3">
        <v>6</v>
      </c>
      <c r="S6752" s="134">
        <v>2723.21</v>
      </c>
      <c r="T6752" s="4">
        <v>0</v>
      </c>
      <c r="U6752" s="4">
        <f t="shared" si="303"/>
        <v>0</v>
      </c>
      <c r="V6752" s="3"/>
      <c r="W6752" s="3">
        <v>2014</v>
      </c>
      <c r="X6752" s="3">
        <v>11.12</v>
      </c>
    </row>
    <row r="6753" spans="1:24" ht="114.75">
      <c r="A6753" s="3" t="s">
        <v>13919</v>
      </c>
      <c r="B6753" s="6" t="s">
        <v>361</v>
      </c>
      <c r="C6753" s="6" t="s">
        <v>6051</v>
      </c>
      <c r="D6753" s="6" t="s">
        <v>5416</v>
      </c>
      <c r="E6753" s="6" t="s">
        <v>5998</v>
      </c>
      <c r="F6753" s="6" t="s">
        <v>7121</v>
      </c>
      <c r="G6753" s="57" t="s">
        <v>11449</v>
      </c>
      <c r="H6753" s="185">
        <v>0</v>
      </c>
      <c r="I6753" s="16">
        <v>470000000</v>
      </c>
      <c r="J6753" s="56" t="s">
        <v>229</v>
      </c>
      <c r="K6753" s="57" t="s">
        <v>642</v>
      </c>
      <c r="L6753" s="12" t="s">
        <v>404</v>
      </c>
      <c r="M6753" s="3" t="s">
        <v>230</v>
      </c>
      <c r="N6753" s="8" t="s">
        <v>9479</v>
      </c>
      <c r="O6753" s="6" t="s">
        <v>365</v>
      </c>
      <c r="P6753" s="58" t="s">
        <v>241</v>
      </c>
      <c r="Q6753" s="27" t="s">
        <v>234</v>
      </c>
      <c r="R6753" s="3">
        <v>6</v>
      </c>
      <c r="S6753" s="134">
        <v>2723.21</v>
      </c>
      <c r="T6753" s="4">
        <f>R6753*S6753</f>
        <v>16339.26</v>
      </c>
      <c r="U6753" s="4">
        <f>T6753*1.12</f>
        <v>18299.971200000004</v>
      </c>
      <c r="V6753" s="3"/>
      <c r="W6753" s="3">
        <v>2014</v>
      </c>
      <c r="X6753" s="3"/>
    </row>
    <row r="6754" spans="1:24" ht="114.75">
      <c r="A6754" s="3" t="s">
        <v>2817</v>
      </c>
      <c r="B6754" s="6" t="s">
        <v>361</v>
      </c>
      <c r="C6754" s="6" t="s">
        <v>7122</v>
      </c>
      <c r="D6754" s="6" t="s">
        <v>434</v>
      </c>
      <c r="E6754" s="6" t="s">
        <v>5998</v>
      </c>
      <c r="F6754" s="6" t="s">
        <v>7123</v>
      </c>
      <c r="G6754" s="57" t="s">
        <v>11449</v>
      </c>
      <c r="H6754" s="185">
        <v>0</v>
      </c>
      <c r="I6754" s="16">
        <v>470000000</v>
      </c>
      <c r="J6754" s="56" t="s">
        <v>229</v>
      </c>
      <c r="K6754" s="57" t="s">
        <v>641</v>
      </c>
      <c r="L6754" s="57" t="s">
        <v>364</v>
      </c>
      <c r="M6754" s="3" t="s">
        <v>230</v>
      </c>
      <c r="N6754" s="8" t="s">
        <v>9479</v>
      </c>
      <c r="O6754" s="6" t="s">
        <v>365</v>
      </c>
      <c r="P6754" s="58" t="s">
        <v>241</v>
      </c>
      <c r="Q6754" s="27" t="s">
        <v>234</v>
      </c>
      <c r="R6754" s="3">
        <v>2</v>
      </c>
      <c r="S6754" s="134">
        <v>52022.32</v>
      </c>
      <c r="T6754" s="4">
        <v>0</v>
      </c>
      <c r="U6754" s="4">
        <f t="shared" si="303"/>
        <v>0</v>
      </c>
      <c r="V6754" s="3"/>
      <c r="W6754" s="3">
        <v>2014</v>
      </c>
      <c r="X6754" s="3">
        <v>11.12</v>
      </c>
    </row>
    <row r="6755" spans="1:24" ht="114.75">
      <c r="A6755" s="3" t="s">
        <v>13920</v>
      </c>
      <c r="B6755" s="6" t="s">
        <v>361</v>
      </c>
      <c r="C6755" s="6" t="s">
        <v>7122</v>
      </c>
      <c r="D6755" s="6" t="s">
        <v>434</v>
      </c>
      <c r="E6755" s="6" t="s">
        <v>5998</v>
      </c>
      <c r="F6755" s="6" t="s">
        <v>7123</v>
      </c>
      <c r="G6755" s="57" t="s">
        <v>11449</v>
      </c>
      <c r="H6755" s="185">
        <v>0</v>
      </c>
      <c r="I6755" s="16">
        <v>470000000</v>
      </c>
      <c r="J6755" s="56" t="s">
        <v>229</v>
      </c>
      <c r="K6755" s="57" t="s">
        <v>642</v>
      </c>
      <c r="L6755" s="12" t="s">
        <v>404</v>
      </c>
      <c r="M6755" s="3" t="s">
        <v>230</v>
      </c>
      <c r="N6755" s="8" t="s">
        <v>9479</v>
      </c>
      <c r="O6755" s="6" t="s">
        <v>365</v>
      </c>
      <c r="P6755" s="58" t="s">
        <v>241</v>
      </c>
      <c r="Q6755" s="27" t="s">
        <v>234</v>
      </c>
      <c r="R6755" s="3">
        <v>2</v>
      </c>
      <c r="S6755" s="134">
        <v>52022.32</v>
      </c>
      <c r="T6755" s="4">
        <f>R6755*S6755</f>
        <v>104044.64</v>
      </c>
      <c r="U6755" s="4">
        <f>T6755*1.12</f>
        <v>116529.99680000001</v>
      </c>
      <c r="V6755" s="3"/>
      <c r="W6755" s="3">
        <v>2014</v>
      </c>
      <c r="X6755" s="3"/>
    </row>
    <row r="6756" spans="1:24" ht="114.75">
      <c r="A6756" s="3" t="s">
        <v>2818</v>
      </c>
      <c r="B6756" s="6" t="s">
        <v>361</v>
      </c>
      <c r="C6756" s="6" t="s">
        <v>6187</v>
      </c>
      <c r="D6756" s="6" t="s">
        <v>5536</v>
      </c>
      <c r="E6756" s="6" t="s">
        <v>6188</v>
      </c>
      <c r="F6756" s="6" t="s">
        <v>7124</v>
      </c>
      <c r="G6756" s="57" t="s">
        <v>11449</v>
      </c>
      <c r="H6756" s="185">
        <v>0</v>
      </c>
      <c r="I6756" s="16">
        <v>470000000</v>
      </c>
      <c r="J6756" s="56" t="s">
        <v>229</v>
      </c>
      <c r="K6756" s="57" t="s">
        <v>641</v>
      </c>
      <c r="L6756" s="57" t="s">
        <v>364</v>
      </c>
      <c r="M6756" s="3" t="s">
        <v>230</v>
      </c>
      <c r="N6756" s="8" t="s">
        <v>9479</v>
      </c>
      <c r="O6756" s="6" t="s">
        <v>365</v>
      </c>
      <c r="P6756" s="58" t="s">
        <v>241</v>
      </c>
      <c r="Q6756" s="27" t="s">
        <v>234</v>
      </c>
      <c r="R6756" s="3">
        <v>6</v>
      </c>
      <c r="S6756" s="134">
        <v>4861.6099999999997</v>
      </c>
      <c r="T6756" s="4">
        <v>0</v>
      </c>
      <c r="U6756" s="4">
        <f t="shared" si="303"/>
        <v>0</v>
      </c>
      <c r="V6756" s="3"/>
      <c r="W6756" s="3">
        <v>2014</v>
      </c>
      <c r="X6756" s="3">
        <v>11.12</v>
      </c>
    </row>
    <row r="6757" spans="1:24" ht="114.75">
      <c r="A6757" s="3" t="s">
        <v>13921</v>
      </c>
      <c r="B6757" s="6" t="s">
        <v>361</v>
      </c>
      <c r="C6757" s="6" t="s">
        <v>6187</v>
      </c>
      <c r="D6757" s="6" t="s">
        <v>5536</v>
      </c>
      <c r="E6757" s="6" t="s">
        <v>6188</v>
      </c>
      <c r="F6757" s="6" t="s">
        <v>7124</v>
      </c>
      <c r="G6757" s="57" t="s">
        <v>11449</v>
      </c>
      <c r="H6757" s="185">
        <v>0</v>
      </c>
      <c r="I6757" s="16">
        <v>470000000</v>
      </c>
      <c r="J6757" s="56" t="s">
        <v>229</v>
      </c>
      <c r="K6757" s="57" t="s">
        <v>642</v>
      </c>
      <c r="L6757" s="12" t="s">
        <v>404</v>
      </c>
      <c r="M6757" s="3" t="s">
        <v>230</v>
      </c>
      <c r="N6757" s="8" t="s">
        <v>9479</v>
      </c>
      <c r="O6757" s="6" t="s">
        <v>365</v>
      </c>
      <c r="P6757" s="58" t="s">
        <v>241</v>
      </c>
      <c r="Q6757" s="27" t="s">
        <v>234</v>
      </c>
      <c r="R6757" s="3">
        <v>6</v>
      </c>
      <c r="S6757" s="134">
        <v>4861.6099999999997</v>
      </c>
      <c r="T6757" s="4">
        <f>R6757*S6757</f>
        <v>29169.659999999996</v>
      </c>
      <c r="U6757" s="4">
        <f>T6757*1.12</f>
        <v>32670.019199999999</v>
      </c>
      <c r="V6757" s="3"/>
      <c r="W6757" s="3">
        <v>2014</v>
      </c>
      <c r="X6757" s="3"/>
    </row>
    <row r="6758" spans="1:24" ht="114.75">
      <c r="A6758" s="3" t="s">
        <v>2819</v>
      </c>
      <c r="B6758" s="6" t="s">
        <v>361</v>
      </c>
      <c r="C6758" s="6" t="s">
        <v>7125</v>
      </c>
      <c r="D6758" s="6" t="s">
        <v>5536</v>
      </c>
      <c r="E6758" s="6" t="s">
        <v>7126</v>
      </c>
      <c r="F6758" s="6" t="s">
        <v>7127</v>
      </c>
      <c r="G6758" s="57" t="s">
        <v>11449</v>
      </c>
      <c r="H6758" s="185">
        <v>0</v>
      </c>
      <c r="I6758" s="16">
        <v>470000000</v>
      </c>
      <c r="J6758" s="56" t="s">
        <v>229</v>
      </c>
      <c r="K6758" s="57" t="s">
        <v>641</v>
      </c>
      <c r="L6758" s="57" t="s">
        <v>364</v>
      </c>
      <c r="M6758" s="3" t="s">
        <v>230</v>
      </c>
      <c r="N6758" s="8" t="s">
        <v>9479</v>
      </c>
      <c r="O6758" s="6" t="s">
        <v>365</v>
      </c>
      <c r="P6758" s="58" t="s">
        <v>241</v>
      </c>
      <c r="Q6758" s="27" t="s">
        <v>234</v>
      </c>
      <c r="R6758" s="3">
        <v>6</v>
      </c>
      <c r="S6758" s="134">
        <v>5388.39</v>
      </c>
      <c r="T6758" s="4">
        <v>0</v>
      </c>
      <c r="U6758" s="4">
        <f t="shared" si="303"/>
        <v>0</v>
      </c>
      <c r="V6758" s="3"/>
      <c r="W6758" s="3">
        <v>2014</v>
      </c>
      <c r="X6758" s="3">
        <v>11.12</v>
      </c>
    </row>
    <row r="6759" spans="1:24" ht="114.75">
      <c r="A6759" s="3" t="s">
        <v>13922</v>
      </c>
      <c r="B6759" s="6" t="s">
        <v>361</v>
      </c>
      <c r="C6759" s="6" t="s">
        <v>7125</v>
      </c>
      <c r="D6759" s="6" t="s">
        <v>5536</v>
      </c>
      <c r="E6759" s="6" t="s">
        <v>7126</v>
      </c>
      <c r="F6759" s="6" t="s">
        <v>7127</v>
      </c>
      <c r="G6759" s="57" t="s">
        <v>11449</v>
      </c>
      <c r="H6759" s="185">
        <v>0</v>
      </c>
      <c r="I6759" s="16">
        <v>470000000</v>
      </c>
      <c r="J6759" s="56" t="s">
        <v>229</v>
      </c>
      <c r="K6759" s="57" t="s">
        <v>642</v>
      </c>
      <c r="L6759" s="12" t="s">
        <v>404</v>
      </c>
      <c r="M6759" s="3" t="s">
        <v>230</v>
      </c>
      <c r="N6759" s="8" t="s">
        <v>9479</v>
      </c>
      <c r="O6759" s="6" t="s">
        <v>365</v>
      </c>
      <c r="P6759" s="58" t="s">
        <v>241</v>
      </c>
      <c r="Q6759" s="27" t="s">
        <v>234</v>
      </c>
      <c r="R6759" s="3">
        <v>6</v>
      </c>
      <c r="S6759" s="134">
        <v>5388.39</v>
      </c>
      <c r="T6759" s="4">
        <f>R6759*S6759</f>
        <v>32330.340000000004</v>
      </c>
      <c r="U6759" s="4">
        <f>T6759*1.12</f>
        <v>36209.980800000005</v>
      </c>
      <c r="V6759" s="3"/>
      <c r="W6759" s="3">
        <v>2014</v>
      </c>
      <c r="X6759" s="3"/>
    </row>
    <row r="6760" spans="1:24" ht="114.75">
      <c r="A6760" s="3" t="s">
        <v>2820</v>
      </c>
      <c r="B6760" s="6" t="s">
        <v>361</v>
      </c>
      <c r="C6760" s="6" t="s">
        <v>7128</v>
      </c>
      <c r="D6760" s="6" t="s">
        <v>7129</v>
      </c>
      <c r="E6760" s="6" t="s">
        <v>7129</v>
      </c>
      <c r="F6760" s="6" t="s">
        <v>7130</v>
      </c>
      <c r="G6760" s="57" t="s">
        <v>11449</v>
      </c>
      <c r="H6760" s="185">
        <v>0</v>
      </c>
      <c r="I6760" s="16">
        <v>470000000</v>
      </c>
      <c r="J6760" s="56" t="s">
        <v>229</v>
      </c>
      <c r="K6760" s="57" t="s">
        <v>641</v>
      </c>
      <c r="L6760" s="57" t="s">
        <v>364</v>
      </c>
      <c r="M6760" s="3" t="s">
        <v>230</v>
      </c>
      <c r="N6760" s="8" t="s">
        <v>9479</v>
      </c>
      <c r="O6760" s="6" t="s">
        <v>365</v>
      </c>
      <c r="P6760" s="58" t="s">
        <v>241</v>
      </c>
      <c r="Q6760" s="27" t="s">
        <v>234</v>
      </c>
      <c r="R6760" s="3">
        <v>6</v>
      </c>
      <c r="S6760" s="134">
        <v>14910.71</v>
      </c>
      <c r="T6760" s="4">
        <v>0</v>
      </c>
      <c r="U6760" s="4">
        <f t="shared" si="303"/>
        <v>0</v>
      </c>
      <c r="V6760" s="3"/>
      <c r="W6760" s="3">
        <v>2014</v>
      </c>
      <c r="X6760" s="3">
        <v>11.12</v>
      </c>
    </row>
    <row r="6761" spans="1:24" ht="114.75">
      <c r="A6761" s="3" t="s">
        <v>13923</v>
      </c>
      <c r="B6761" s="6" t="s">
        <v>361</v>
      </c>
      <c r="C6761" s="6" t="s">
        <v>7128</v>
      </c>
      <c r="D6761" s="6" t="s">
        <v>7129</v>
      </c>
      <c r="E6761" s="6" t="s">
        <v>7129</v>
      </c>
      <c r="F6761" s="6" t="s">
        <v>7130</v>
      </c>
      <c r="G6761" s="57" t="s">
        <v>11449</v>
      </c>
      <c r="H6761" s="185">
        <v>0</v>
      </c>
      <c r="I6761" s="16">
        <v>470000000</v>
      </c>
      <c r="J6761" s="56" t="s">
        <v>229</v>
      </c>
      <c r="K6761" s="57" t="s">
        <v>642</v>
      </c>
      <c r="L6761" s="12" t="s">
        <v>404</v>
      </c>
      <c r="M6761" s="3" t="s">
        <v>230</v>
      </c>
      <c r="N6761" s="8" t="s">
        <v>9479</v>
      </c>
      <c r="O6761" s="6" t="s">
        <v>365</v>
      </c>
      <c r="P6761" s="58" t="s">
        <v>241</v>
      </c>
      <c r="Q6761" s="27" t="s">
        <v>234</v>
      </c>
      <c r="R6761" s="3">
        <v>6</v>
      </c>
      <c r="S6761" s="134">
        <v>14910.71</v>
      </c>
      <c r="T6761" s="4">
        <f>R6761*S6761</f>
        <v>89464.26</v>
      </c>
      <c r="U6761" s="4">
        <f>T6761*1.12</f>
        <v>100199.9712</v>
      </c>
      <c r="V6761" s="3"/>
      <c r="W6761" s="3">
        <v>2014</v>
      </c>
      <c r="X6761" s="3"/>
    </row>
    <row r="6762" spans="1:24" ht="114.75">
      <c r="A6762" s="3" t="s">
        <v>2821</v>
      </c>
      <c r="B6762" s="6" t="s">
        <v>361</v>
      </c>
      <c r="C6762" s="6" t="s">
        <v>6011</v>
      </c>
      <c r="D6762" s="6" t="s">
        <v>5614</v>
      </c>
      <c r="E6762" s="6" t="s">
        <v>5998</v>
      </c>
      <c r="F6762" s="6" t="s">
        <v>7131</v>
      </c>
      <c r="G6762" s="57" t="s">
        <v>11449</v>
      </c>
      <c r="H6762" s="185">
        <v>0</v>
      </c>
      <c r="I6762" s="16">
        <v>470000000</v>
      </c>
      <c r="J6762" s="56" t="s">
        <v>229</v>
      </c>
      <c r="K6762" s="57" t="s">
        <v>641</v>
      </c>
      <c r="L6762" s="57" t="s">
        <v>364</v>
      </c>
      <c r="M6762" s="3" t="s">
        <v>230</v>
      </c>
      <c r="N6762" s="8" t="s">
        <v>9479</v>
      </c>
      <c r="O6762" s="6" t="s">
        <v>365</v>
      </c>
      <c r="P6762" s="58" t="s">
        <v>241</v>
      </c>
      <c r="Q6762" s="27" t="s">
        <v>234</v>
      </c>
      <c r="R6762" s="3">
        <v>6</v>
      </c>
      <c r="S6762" s="134">
        <v>2767.86</v>
      </c>
      <c r="T6762" s="4">
        <v>0</v>
      </c>
      <c r="U6762" s="4">
        <f t="shared" si="303"/>
        <v>0</v>
      </c>
      <c r="V6762" s="3"/>
      <c r="W6762" s="3">
        <v>2014</v>
      </c>
      <c r="X6762" s="3">
        <v>11.12</v>
      </c>
    </row>
    <row r="6763" spans="1:24" ht="114.75">
      <c r="A6763" s="3" t="s">
        <v>13924</v>
      </c>
      <c r="B6763" s="6" t="s">
        <v>361</v>
      </c>
      <c r="C6763" s="6" t="s">
        <v>6011</v>
      </c>
      <c r="D6763" s="6" t="s">
        <v>5614</v>
      </c>
      <c r="E6763" s="6" t="s">
        <v>5998</v>
      </c>
      <c r="F6763" s="6" t="s">
        <v>7131</v>
      </c>
      <c r="G6763" s="57" t="s">
        <v>11449</v>
      </c>
      <c r="H6763" s="185">
        <v>0</v>
      </c>
      <c r="I6763" s="16">
        <v>470000000</v>
      </c>
      <c r="J6763" s="56" t="s">
        <v>229</v>
      </c>
      <c r="K6763" s="57" t="s">
        <v>642</v>
      </c>
      <c r="L6763" s="12" t="s">
        <v>404</v>
      </c>
      <c r="M6763" s="3" t="s">
        <v>230</v>
      </c>
      <c r="N6763" s="8" t="s">
        <v>9479</v>
      </c>
      <c r="O6763" s="6" t="s">
        <v>365</v>
      </c>
      <c r="P6763" s="58" t="s">
        <v>241</v>
      </c>
      <c r="Q6763" s="27" t="s">
        <v>234</v>
      </c>
      <c r="R6763" s="3">
        <v>6</v>
      </c>
      <c r="S6763" s="134">
        <v>2767.86</v>
      </c>
      <c r="T6763" s="4">
        <f>R6763*S6763</f>
        <v>16607.16</v>
      </c>
      <c r="U6763" s="4">
        <f>T6763*1.12</f>
        <v>18600.019200000002</v>
      </c>
      <c r="V6763" s="3"/>
      <c r="W6763" s="3">
        <v>2014</v>
      </c>
      <c r="X6763" s="3"/>
    </row>
    <row r="6764" spans="1:24" ht="114.75">
      <c r="A6764" s="3" t="s">
        <v>2822</v>
      </c>
      <c r="B6764" s="6" t="s">
        <v>361</v>
      </c>
      <c r="C6764" s="6" t="s">
        <v>7132</v>
      </c>
      <c r="D6764" s="6" t="s">
        <v>507</v>
      </c>
      <c r="E6764" s="6" t="s">
        <v>5985</v>
      </c>
      <c r="F6764" s="6" t="s">
        <v>7133</v>
      </c>
      <c r="G6764" s="57" t="s">
        <v>11449</v>
      </c>
      <c r="H6764" s="185">
        <v>0</v>
      </c>
      <c r="I6764" s="16">
        <v>470000000</v>
      </c>
      <c r="J6764" s="56" t="s">
        <v>229</v>
      </c>
      <c r="K6764" s="57" t="s">
        <v>641</v>
      </c>
      <c r="L6764" s="57" t="s">
        <v>364</v>
      </c>
      <c r="M6764" s="3" t="s">
        <v>230</v>
      </c>
      <c r="N6764" s="8" t="s">
        <v>9479</v>
      </c>
      <c r="O6764" s="6" t="s">
        <v>365</v>
      </c>
      <c r="P6764" s="58" t="s">
        <v>241</v>
      </c>
      <c r="Q6764" s="27" t="s">
        <v>234</v>
      </c>
      <c r="R6764" s="3">
        <v>3</v>
      </c>
      <c r="S6764" s="134">
        <v>40897.14</v>
      </c>
      <c r="T6764" s="4">
        <v>0</v>
      </c>
      <c r="U6764" s="4">
        <f t="shared" si="303"/>
        <v>0</v>
      </c>
      <c r="V6764" s="3"/>
      <c r="W6764" s="3">
        <v>2014</v>
      </c>
      <c r="X6764" s="3">
        <v>11.12</v>
      </c>
    </row>
    <row r="6765" spans="1:24" ht="114.75">
      <c r="A6765" s="3" t="s">
        <v>13925</v>
      </c>
      <c r="B6765" s="6" t="s">
        <v>361</v>
      </c>
      <c r="C6765" s="6" t="s">
        <v>7132</v>
      </c>
      <c r="D6765" s="6" t="s">
        <v>507</v>
      </c>
      <c r="E6765" s="6" t="s">
        <v>5985</v>
      </c>
      <c r="F6765" s="6" t="s">
        <v>7133</v>
      </c>
      <c r="G6765" s="57" t="s">
        <v>11449</v>
      </c>
      <c r="H6765" s="185">
        <v>0</v>
      </c>
      <c r="I6765" s="16">
        <v>470000000</v>
      </c>
      <c r="J6765" s="56" t="s">
        <v>229</v>
      </c>
      <c r="K6765" s="57" t="s">
        <v>642</v>
      </c>
      <c r="L6765" s="12" t="s">
        <v>404</v>
      </c>
      <c r="M6765" s="3" t="s">
        <v>230</v>
      </c>
      <c r="N6765" s="8" t="s">
        <v>9479</v>
      </c>
      <c r="O6765" s="6" t="s">
        <v>365</v>
      </c>
      <c r="P6765" s="58" t="s">
        <v>241</v>
      </c>
      <c r="Q6765" s="27" t="s">
        <v>234</v>
      </c>
      <c r="R6765" s="3">
        <v>3</v>
      </c>
      <c r="S6765" s="134">
        <v>40897.14</v>
      </c>
      <c r="T6765" s="4">
        <f>R6765*S6765</f>
        <v>122691.42</v>
      </c>
      <c r="U6765" s="4">
        <f>T6765*1.12</f>
        <v>137414.3904</v>
      </c>
      <c r="V6765" s="3"/>
      <c r="W6765" s="3">
        <v>2014</v>
      </c>
      <c r="X6765" s="3"/>
    </row>
    <row r="6766" spans="1:24" ht="114.75">
      <c r="A6766" s="3" t="s">
        <v>2823</v>
      </c>
      <c r="B6766" s="6" t="s">
        <v>361</v>
      </c>
      <c r="C6766" s="6" t="s">
        <v>7134</v>
      </c>
      <c r="D6766" s="6" t="s">
        <v>440</v>
      </c>
      <c r="E6766" s="6" t="s">
        <v>7135</v>
      </c>
      <c r="F6766" s="6" t="s">
        <v>7136</v>
      </c>
      <c r="G6766" s="57" t="s">
        <v>11449</v>
      </c>
      <c r="H6766" s="185">
        <v>0</v>
      </c>
      <c r="I6766" s="16">
        <v>470000000</v>
      </c>
      <c r="J6766" s="56" t="s">
        <v>229</v>
      </c>
      <c r="K6766" s="57" t="s">
        <v>641</v>
      </c>
      <c r="L6766" s="57" t="s">
        <v>364</v>
      </c>
      <c r="M6766" s="3" t="s">
        <v>230</v>
      </c>
      <c r="N6766" s="8" t="s">
        <v>9479</v>
      </c>
      <c r="O6766" s="6" t="s">
        <v>365</v>
      </c>
      <c r="P6766" s="58" t="s">
        <v>241</v>
      </c>
      <c r="Q6766" s="27" t="s">
        <v>234</v>
      </c>
      <c r="R6766" s="3">
        <v>12</v>
      </c>
      <c r="S6766" s="134">
        <v>17857.18</v>
      </c>
      <c r="T6766" s="4">
        <v>0</v>
      </c>
      <c r="U6766" s="4">
        <f t="shared" si="303"/>
        <v>0</v>
      </c>
      <c r="V6766" s="3"/>
      <c r="W6766" s="3">
        <v>2014</v>
      </c>
      <c r="X6766" s="3">
        <v>11.12</v>
      </c>
    </row>
    <row r="6767" spans="1:24" ht="114.75">
      <c r="A6767" s="3" t="s">
        <v>13926</v>
      </c>
      <c r="B6767" s="6" t="s">
        <v>361</v>
      </c>
      <c r="C6767" s="6" t="s">
        <v>7134</v>
      </c>
      <c r="D6767" s="6" t="s">
        <v>440</v>
      </c>
      <c r="E6767" s="6" t="s">
        <v>7135</v>
      </c>
      <c r="F6767" s="6" t="s">
        <v>7136</v>
      </c>
      <c r="G6767" s="57" t="s">
        <v>11449</v>
      </c>
      <c r="H6767" s="185">
        <v>0</v>
      </c>
      <c r="I6767" s="16">
        <v>470000000</v>
      </c>
      <c r="J6767" s="56" t="s">
        <v>229</v>
      </c>
      <c r="K6767" s="57" t="s">
        <v>642</v>
      </c>
      <c r="L6767" s="12" t="s">
        <v>404</v>
      </c>
      <c r="M6767" s="3" t="s">
        <v>230</v>
      </c>
      <c r="N6767" s="8" t="s">
        <v>9479</v>
      </c>
      <c r="O6767" s="6" t="s">
        <v>365</v>
      </c>
      <c r="P6767" s="58" t="s">
        <v>241</v>
      </c>
      <c r="Q6767" s="27" t="s">
        <v>234</v>
      </c>
      <c r="R6767" s="3">
        <v>12</v>
      </c>
      <c r="S6767" s="134">
        <v>17857.18</v>
      </c>
      <c r="T6767" s="4">
        <f>R6767*S6767</f>
        <v>214286.16</v>
      </c>
      <c r="U6767" s="4">
        <f>T6767*1.12</f>
        <v>240000.49920000002</v>
      </c>
      <c r="V6767" s="3"/>
      <c r="W6767" s="3">
        <v>2014</v>
      </c>
      <c r="X6767" s="3"/>
    </row>
    <row r="6768" spans="1:24" ht="114.75">
      <c r="A6768" s="3" t="s">
        <v>2824</v>
      </c>
      <c r="B6768" s="6" t="s">
        <v>361</v>
      </c>
      <c r="C6768" s="6" t="s">
        <v>6015</v>
      </c>
      <c r="D6768" s="6" t="s">
        <v>408</v>
      </c>
      <c r="E6768" s="6" t="s">
        <v>5998</v>
      </c>
      <c r="F6768" s="6" t="s">
        <v>7137</v>
      </c>
      <c r="G6768" s="57" t="s">
        <v>11449</v>
      </c>
      <c r="H6768" s="185">
        <v>0</v>
      </c>
      <c r="I6768" s="16">
        <v>470000000</v>
      </c>
      <c r="J6768" s="56" t="s">
        <v>229</v>
      </c>
      <c r="K6768" s="57" t="s">
        <v>641</v>
      </c>
      <c r="L6768" s="57" t="s">
        <v>364</v>
      </c>
      <c r="M6768" s="3" t="s">
        <v>230</v>
      </c>
      <c r="N6768" s="8" t="s">
        <v>9479</v>
      </c>
      <c r="O6768" s="6" t="s">
        <v>365</v>
      </c>
      <c r="P6768" s="58" t="s">
        <v>241</v>
      </c>
      <c r="Q6768" s="27" t="s">
        <v>234</v>
      </c>
      <c r="R6768" s="3">
        <v>4</v>
      </c>
      <c r="S6768" s="134">
        <v>3258.93</v>
      </c>
      <c r="T6768" s="4">
        <v>0</v>
      </c>
      <c r="U6768" s="4">
        <f t="shared" si="303"/>
        <v>0</v>
      </c>
      <c r="V6768" s="3"/>
      <c r="W6768" s="3">
        <v>2014</v>
      </c>
      <c r="X6768" s="3">
        <v>11.12</v>
      </c>
    </row>
    <row r="6769" spans="1:24" ht="114.75">
      <c r="A6769" s="3" t="s">
        <v>13927</v>
      </c>
      <c r="B6769" s="6" t="s">
        <v>361</v>
      </c>
      <c r="C6769" s="6" t="s">
        <v>6015</v>
      </c>
      <c r="D6769" s="6" t="s">
        <v>408</v>
      </c>
      <c r="E6769" s="6" t="s">
        <v>5998</v>
      </c>
      <c r="F6769" s="6" t="s">
        <v>7137</v>
      </c>
      <c r="G6769" s="57" t="s">
        <v>11449</v>
      </c>
      <c r="H6769" s="185">
        <v>0</v>
      </c>
      <c r="I6769" s="16">
        <v>470000000</v>
      </c>
      <c r="J6769" s="56" t="s">
        <v>229</v>
      </c>
      <c r="K6769" s="57" t="s">
        <v>642</v>
      </c>
      <c r="L6769" s="12" t="s">
        <v>404</v>
      </c>
      <c r="M6769" s="3" t="s">
        <v>230</v>
      </c>
      <c r="N6769" s="8" t="s">
        <v>9479</v>
      </c>
      <c r="O6769" s="6" t="s">
        <v>365</v>
      </c>
      <c r="P6769" s="58" t="s">
        <v>241</v>
      </c>
      <c r="Q6769" s="27" t="s">
        <v>234</v>
      </c>
      <c r="R6769" s="3">
        <v>4</v>
      </c>
      <c r="S6769" s="134">
        <v>3258.93</v>
      </c>
      <c r="T6769" s="4">
        <f>R6769*S6769</f>
        <v>13035.72</v>
      </c>
      <c r="U6769" s="4">
        <f>T6769*1.12</f>
        <v>14600.0064</v>
      </c>
      <c r="V6769" s="3"/>
      <c r="W6769" s="3">
        <v>2014</v>
      </c>
      <c r="X6769" s="3"/>
    </row>
    <row r="6770" spans="1:24" ht="114.75">
      <c r="A6770" s="3" t="s">
        <v>2825</v>
      </c>
      <c r="B6770" s="6" t="s">
        <v>361</v>
      </c>
      <c r="C6770" s="6" t="s">
        <v>6017</v>
      </c>
      <c r="D6770" s="6" t="s">
        <v>5388</v>
      </c>
      <c r="E6770" s="6" t="s">
        <v>5998</v>
      </c>
      <c r="F6770" s="6" t="s">
        <v>7138</v>
      </c>
      <c r="G6770" s="57" t="s">
        <v>11449</v>
      </c>
      <c r="H6770" s="185">
        <v>0</v>
      </c>
      <c r="I6770" s="16">
        <v>470000000</v>
      </c>
      <c r="J6770" s="56" t="s">
        <v>229</v>
      </c>
      <c r="K6770" s="57" t="s">
        <v>641</v>
      </c>
      <c r="L6770" s="57" t="s">
        <v>364</v>
      </c>
      <c r="M6770" s="3" t="s">
        <v>230</v>
      </c>
      <c r="N6770" s="8" t="s">
        <v>9479</v>
      </c>
      <c r="O6770" s="6" t="s">
        <v>365</v>
      </c>
      <c r="P6770" s="58" t="s">
        <v>241</v>
      </c>
      <c r="Q6770" s="27" t="s">
        <v>234</v>
      </c>
      <c r="R6770" s="3">
        <v>4</v>
      </c>
      <c r="S6770" s="134">
        <v>6607.14</v>
      </c>
      <c r="T6770" s="4">
        <v>0</v>
      </c>
      <c r="U6770" s="4">
        <f t="shared" si="303"/>
        <v>0</v>
      </c>
      <c r="V6770" s="3"/>
      <c r="W6770" s="3">
        <v>2014</v>
      </c>
      <c r="X6770" s="3">
        <v>11.12</v>
      </c>
    </row>
    <row r="6771" spans="1:24" ht="114.75">
      <c r="A6771" s="3" t="s">
        <v>13928</v>
      </c>
      <c r="B6771" s="6" t="s">
        <v>361</v>
      </c>
      <c r="C6771" s="6" t="s">
        <v>6017</v>
      </c>
      <c r="D6771" s="6" t="s">
        <v>5388</v>
      </c>
      <c r="E6771" s="6" t="s">
        <v>5998</v>
      </c>
      <c r="F6771" s="6" t="s">
        <v>7138</v>
      </c>
      <c r="G6771" s="57" t="s">
        <v>11449</v>
      </c>
      <c r="H6771" s="185">
        <v>0</v>
      </c>
      <c r="I6771" s="16">
        <v>470000000</v>
      </c>
      <c r="J6771" s="56" t="s">
        <v>229</v>
      </c>
      <c r="K6771" s="57" t="s">
        <v>642</v>
      </c>
      <c r="L6771" s="12" t="s">
        <v>404</v>
      </c>
      <c r="M6771" s="3" t="s">
        <v>230</v>
      </c>
      <c r="N6771" s="8" t="s">
        <v>9479</v>
      </c>
      <c r="O6771" s="6" t="s">
        <v>365</v>
      </c>
      <c r="P6771" s="58" t="s">
        <v>241</v>
      </c>
      <c r="Q6771" s="27" t="s">
        <v>234</v>
      </c>
      <c r="R6771" s="3">
        <v>4</v>
      </c>
      <c r="S6771" s="134">
        <v>6607.14</v>
      </c>
      <c r="T6771" s="4">
        <f>R6771*S6771</f>
        <v>26428.560000000001</v>
      </c>
      <c r="U6771" s="4">
        <f>T6771*1.12</f>
        <v>29599.987200000003</v>
      </c>
      <c r="V6771" s="3"/>
      <c r="W6771" s="3">
        <v>2014</v>
      </c>
      <c r="X6771" s="3"/>
    </row>
    <row r="6772" spans="1:24" ht="114.75">
      <c r="A6772" s="3" t="s">
        <v>2826</v>
      </c>
      <c r="B6772" s="6" t="s">
        <v>361</v>
      </c>
      <c r="C6772" s="6" t="s">
        <v>6998</v>
      </c>
      <c r="D6772" s="6" t="s">
        <v>427</v>
      </c>
      <c r="E6772" s="6" t="s">
        <v>5998</v>
      </c>
      <c r="F6772" s="6" t="s">
        <v>7139</v>
      </c>
      <c r="G6772" s="57" t="s">
        <v>11449</v>
      </c>
      <c r="H6772" s="185">
        <v>0</v>
      </c>
      <c r="I6772" s="16">
        <v>470000000</v>
      </c>
      <c r="J6772" s="56" t="s">
        <v>229</v>
      </c>
      <c r="K6772" s="57" t="s">
        <v>641</v>
      </c>
      <c r="L6772" s="57" t="s">
        <v>364</v>
      </c>
      <c r="M6772" s="3" t="s">
        <v>230</v>
      </c>
      <c r="N6772" s="8" t="s">
        <v>9479</v>
      </c>
      <c r="O6772" s="6" t="s">
        <v>365</v>
      </c>
      <c r="P6772" s="58" t="s">
        <v>241</v>
      </c>
      <c r="Q6772" s="27" t="s">
        <v>234</v>
      </c>
      <c r="R6772" s="3">
        <v>2</v>
      </c>
      <c r="S6772" s="134">
        <v>48718.75</v>
      </c>
      <c r="T6772" s="4">
        <v>0</v>
      </c>
      <c r="U6772" s="4">
        <f t="shared" si="303"/>
        <v>0</v>
      </c>
      <c r="V6772" s="3"/>
      <c r="W6772" s="3">
        <v>2014</v>
      </c>
      <c r="X6772" s="3">
        <v>11.12</v>
      </c>
    </row>
    <row r="6773" spans="1:24" ht="114.75">
      <c r="A6773" s="3" t="s">
        <v>13929</v>
      </c>
      <c r="B6773" s="6" t="s">
        <v>361</v>
      </c>
      <c r="C6773" s="6" t="s">
        <v>6998</v>
      </c>
      <c r="D6773" s="6" t="s">
        <v>427</v>
      </c>
      <c r="E6773" s="6" t="s">
        <v>5998</v>
      </c>
      <c r="F6773" s="6" t="s">
        <v>7139</v>
      </c>
      <c r="G6773" s="57" t="s">
        <v>11449</v>
      </c>
      <c r="H6773" s="185">
        <v>0</v>
      </c>
      <c r="I6773" s="16">
        <v>470000000</v>
      </c>
      <c r="J6773" s="56" t="s">
        <v>229</v>
      </c>
      <c r="K6773" s="57" t="s">
        <v>642</v>
      </c>
      <c r="L6773" s="12" t="s">
        <v>404</v>
      </c>
      <c r="M6773" s="3" t="s">
        <v>230</v>
      </c>
      <c r="N6773" s="8" t="s">
        <v>9479</v>
      </c>
      <c r="O6773" s="6" t="s">
        <v>365</v>
      </c>
      <c r="P6773" s="58" t="s">
        <v>241</v>
      </c>
      <c r="Q6773" s="27" t="s">
        <v>234</v>
      </c>
      <c r="R6773" s="3">
        <v>2</v>
      </c>
      <c r="S6773" s="134">
        <v>48718.75</v>
      </c>
      <c r="T6773" s="4">
        <f>R6773*S6773</f>
        <v>97437.5</v>
      </c>
      <c r="U6773" s="4">
        <f>T6773*1.12</f>
        <v>109130.00000000001</v>
      </c>
      <c r="V6773" s="3"/>
      <c r="W6773" s="3">
        <v>2014</v>
      </c>
      <c r="X6773" s="3"/>
    </row>
    <row r="6774" spans="1:24" ht="114.75">
      <c r="A6774" s="3" t="s">
        <v>2827</v>
      </c>
      <c r="B6774" s="6" t="s">
        <v>361</v>
      </c>
      <c r="C6774" s="6" t="s">
        <v>7140</v>
      </c>
      <c r="D6774" s="6" t="s">
        <v>7003</v>
      </c>
      <c r="E6774" s="6" t="s">
        <v>5998</v>
      </c>
      <c r="F6774" s="6" t="s">
        <v>7141</v>
      </c>
      <c r="G6774" s="57" t="s">
        <v>11449</v>
      </c>
      <c r="H6774" s="185">
        <v>0</v>
      </c>
      <c r="I6774" s="16">
        <v>470000000</v>
      </c>
      <c r="J6774" s="56" t="s">
        <v>229</v>
      </c>
      <c r="K6774" s="57" t="s">
        <v>641</v>
      </c>
      <c r="L6774" s="57" t="s">
        <v>364</v>
      </c>
      <c r="M6774" s="3" t="s">
        <v>230</v>
      </c>
      <c r="N6774" s="8" t="s">
        <v>9479</v>
      </c>
      <c r="O6774" s="6" t="s">
        <v>365</v>
      </c>
      <c r="P6774" s="58" t="s">
        <v>241</v>
      </c>
      <c r="Q6774" s="27" t="s">
        <v>234</v>
      </c>
      <c r="R6774" s="3">
        <v>2</v>
      </c>
      <c r="S6774" s="134">
        <v>9553.57</v>
      </c>
      <c r="T6774" s="4">
        <v>0</v>
      </c>
      <c r="U6774" s="4">
        <f t="shared" si="303"/>
        <v>0</v>
      </c>
      <c r="V6774" s="3"/>
      <c r="W6774" s="3">
        <v>2014</v>
      </c>
      <c r="X6774" s="3">
        <v>11.12</v>
      </c>
    </row>
    <row r="6775" spans="1:24" ht="114.75">
      <c r="A6775" s="3" t="s">
        <v>13930</v>
      </c>
      <c r="B6775" s="6" t="s">
        <v>361</v>
      </c>
      <c r="C6775" s="6" t="s">
        <v>7140</v>
      </c>
      <c r="D6775" s="6" t="s">
        <v>7003</v>
      </c>
      <c r="E6775" s="6" t="s">
        <v>5998</v>
      </c>
      <c r="F6775" s="6" t="s">
        <v>7141</v>
      </c>
      <c r="G6775" s="57" t="s">
        <v>11449</v>
      </c>
      <c r="H6775" s="185">
        <v>0</v>
      </c>
      <c r="I6775" s="16">
        <v>470000000</v>
      </c>
      <c r="J6775" s="56" t="s">
        <v>229</v>
      </c>
      <c r="K6775" s="57" t="s">
        <v>642</v>
      </c>
      <c r="L6775" s="12" t="s">
        <v>404</v>
      </c>
      <c r="M6775" s="3" t="s">
        <v>230</v>
      </c>
      <c r="N6775" s="8" t="s">
        <v>9479</v>
      </c>
      <c r="O6775" s="6" t="s">
        <v>365</v>
      </c>
      <c r="P6775" s="58" t="s">
        <v>241</v>
      </c>
      <c r="Q6775" s="27" t="s">
        <v>234</v>
      </c>
      <c r="R6775" s="3">
        <v>2</v>
      </c>
      <c r="S6775" s="134">
        <v>9553.57</v>
      </c>
      <c r="T6775" s="4">
        <f>R6775*S6775</f>
        <v>19107.14</v>
      </c>
      <c r="U6775" s="4">
        <f>T6775*1.12</f>
        <v>21399.996800000001</v>
      </c>
      <c r="V6775" s="3"/>
      <c r="W6775" s="3">
        <v>2014</v>
      </c>
      <c r="X6775" s="3"/>
    </row>
    <row r="6776" spans="1:24" ht="114.75">
      <c r="A6776" s="3" t="s">
        <v>2828</v>
      </c>
      <c r="B6776" s="6" t="s">
        <v>361</v>
      </c>
      <c r="C6776" s="6" t="s">
        <v>7142</v>
      </c>
      <c r="D6776" s="6" t="s">
        <v>7143</v>
      </c>
      <c r="E6776" s="6" t="s">
        <v>5998</v>
      </c>
      <c r="F6776" s="6" t="s">
        <v>7144</v>
      </c>
      <c r="G6776" s="57" t="s">
        <v>11449</v>
      </c>
      <c r="H6776" s="185">
        <v>0</v>
      </c>
      <c r="I6776" s="16">
        <v>470000000</v>
      </c>
      <c r="J6776" s="56" t="s">
        <v>229</v>
      </c>
      <c r="K6776" s="57" t="s">
        <v>641</v>
      </c>
      <c r="L6776" s="57" t="s">
        <v>364</v>
      </c>
      <c r="M6776" s="3" t="s">
        <v>230</v>
      </c>
      <c r="N6776" s="8" t="s">
        <v>9479</v>
      </c>
      <c r="O6776" s="6" t="s">
        <v>365</v>
      </c>
      <c r="P6776" s="58" t="s">
        <v>241</v>
      </c>
      <c r="Q6776" s="27" t="s">
        <v>234</v>
      </c>
      <c r="R6776" s="3">
        <v>2</v>
      </c>
      <c r="S6776" s="134">
        <v>9312.5</v>
      </c>
      <c r="T6776" s="4">
        <v>0</v>
      </c>
      <c r="U6776" s="4">
        <f t="shared" si="303"/>
        <v>0</v>
      </c>
      <c r="V6776" s="3"/>
      <c r="W6776" s="3">
        <v>2014</v>
      </c>
      <c r="X6776" s="3">
        <v>11.12</v>
      </c>
    </row>
    <row r="6777" spans="1:24" ht="114.75">
      <c r="A6777" s="3" t="s">
        <v>13931</v>
      </c>
      <c r="B6777" s="6" t="s">
        <v>361</v>
      </c>
      <c r="C6777" s="6" t="s">
        <v>7142</v>
      </c>
      <c r="D6777" s="6" t="s">
        <v>7143</v>
      </c>
      <c r="E6777" s="6" t="s">
        <v>5998</v>
      </c>
      <c r="F6777" s="6" t="s">
        <v>7144</v>
      </c>
      <c r="G6777" s="57" t="s">
        <v>11449</v>
      </c>
      <c r="H6777" s="185">
        <v>0</v>
      </c>
      <c r="I6777" s="16">
        <v>470000000</v>
      </c>
      <c r="J6777" s="56" t="s">
        <v>229</v>
      </c>
      <c r="K6777" s="57" t="s">
        <v>642</v>
      </c>
      <c r="L6777" s="12" t="s">
        <v>404</v>
      </c>
      <c r="M6777" s="3" t="s">
        <v>230</v>
      </c>
      <c r="N6777" s="8" t="s">
        <v>9479</v>
      </c>
      <c r="O6777" s="6" t="s">
        <v>365</v>
      </c>
      <c r="P6777" s="58" t="s">
        <v>241</v>
      </c>
      <c r="Q6777" s="27" t="s">
        <v>234</v>
      </c>
      <c r="R6777" s="3">
        <v>2</v>
      </c>
      <c r="S6777" s="134">
        <v>9312.5</v>
      </c>
      <c r="T6777" s="4">
        <f>R6777*S6777</f>
        <v>18625</v>
      </c>
      <c r="U6777" s="4">
        <f>T6777*1.12</f>
        <v>20860.000000000004</v>
      </c>
      <c r="V6777" s="3"/>
      <c r="W6777" s="3">
        <v>2014</v>
      </c>
      <c r="X6777" s="3"/>
    </row>
    <row r="6778" spans="1:24" ht="114.75">
      <c r="A6778" s="3" t="s">
        <v>2829</v>
      </c>
      <c r="B6778" s="6" t="s">
        <v>361</v>
      </c>
      <c r="C6778" s="6" t="s">
        <v>6042</v>
      </c>
      <c r="D6778" s="6" t="s">
        <v>508</v>
      </c>
      <c r="E6778" s="6" t="s">
        <v>5998</v>
      </c>
      <c r="F6778" s="6" t="s">
        <v>7145</v>
      </c>
      <c r="G6778" s="57" t="s">
        <v>11449</v>
      </c>
      <c r="H6778" s="185">
        <v>0</v>
      </c>
      <c r="I6778" s="16">
        <v>470000000</v>
      </c>
      <c r="J6778" s="56" t="s">
        <v>229</v>
      </c>
      <c r="K6778" s="57" t="s">
        <v>641</v>
      </c>
      <c r="L6778" s="57" t="s">
        <v>364</v>
      </c>
      <c r="M6778" s="3" t="s">
        <v>230</v>
      </c>
      <c r="N6778" s="8" t="s">
        <v>9479</v>
      </c>
      <c r="O6778" s="6" t="s">
        <v>365</v>
      </c>
      <c r="P6778" s="58" t="s">
        <v>241</v>
      </c>
      <c r="Q6778" s="27" t="s">
        <v>234</v>
      </c>
      <c r="R6778" s="3">
        <v>20</v>
      </c>
      <c r="S6778" s="134">
        <v>1071.43</v>
      </c>
      <c r="T6778" s="4">
        <v>0</v>
      </c>
      <c r="U6778" s="4">
        <f t="shared" si="303"/>
        <v>0</v>
      </c>
      <c r="V6778" s="3"/>
      <c r="W6778" s="3">
        <v>2014</v>
      </c>
      <c r="X6778" s="3">
        <v>11.12</v>
      </c>
    </row>
    <row r="6779" spans="1:24" ht="114.75">
      <c r="A6779" s="3" t="s">
        <v>13932</v>
      </c>
      <c r="B6779" s="6" t="s">
        <v>361</v>
      </c>
      <c r="C6779" s="6" t="s">
        <v>6042</v>
      </c>
      <c r="D6779" s="6" t="s">
        <v>508</v>
      </c>
      <c r="E6779" s="6" t="s">
        <v>5998</v>
      </c>
      <c r="F6779" s="6" t="s">
        <v>7145</v>
      </c>
      <c r="G6779" s="57" t="s">
        <v>11449</v>
      </c>
      <c r="H6779" s="185">
        <v>0</v>
      </c>
      <c r="I6779" s="16">
        <v>470000000</v>
      </c>
      <c r="J6779" s="56" t="s">
        <v>229</v>
      </c>
      <c r="K6779" s="57" t="s">
        <v>642</v>
      </c>
      <c r="L6779" s="12" t="s">
        <v>404</v>
      </c>
      <c r="M6779" s="3" t="s">
        <v>230</v>
      </c>
      <c r="N6779" s="8" t="s">
        <v>9479</v>
      </c>
      <c r="O6779" s="6" t="s">
        <v>365</v>
      </c>
      <c r="P6779" s="58" t="s">
        <v>241</v>
      </c>
      <c r="Q6779" s="27" t="s">
        <v>234</v>
      </c>
      <c r="R6779" s="3">
        <v>20</v>
      </c>
      <c r="S6779" s="134">
        <v>1071.43</v>
      </c>
      <c r="T6779" s="4">
        <f>R6779*S6779</f>
        <v>21428.600000000002</v>
      </c>
      <c r="U6779" s="4">
        <f>T6779*1.12</f>
        <v>24000.032000000007</v>
      </c>
      <c r="V6779" s="3"/>
      <c r="W6779" s="3">
        <v>2014</v>
      </c>
      <c r="X6779" s="3"/>
    </row>
    <row r="6780" spans="1:24" ht="114.75">
      <c r="A6780" s="3" t="s">
        <v>2830</v>
      </c>
      <c r="B6780" s="6" t="s">
        <v>361</v>
      </c>
      <c r="C6780" s="6" t="s">
        <v>7146</v>
      </c>
      <c r="D6780" s="6" t="s">
        <v>509</v>
      </c>
      <c r="E6780" s="6" t="s">
        <v>5332</v>
      </c>
      <c r="F6780" s="6" t="s">
        <v>7147</v>
      </c>
      <c r="G6780" s="57" t="s">
        <v>11449</v>
      </c>
      <c r="H6780" s="185">
        <v>0</v>
      </c>
      <c r="I6780" s="16">
        <v>470000000</v>
      </c>
      <c r="J6780" s="56" t="s">
        <v>229</v>
      </c>
      <c r="K6780" s="57" t="s">
        <v>641</v>
      </c>
      <c r="L6780" s="57" t="s">
        <v>364</v>
      </c>
      <c r="M6780" s="3" t="s">
        <v>230</v>
      </c>
      <c r="N6780" s="8" t="s">
        <v>9479</v>
      </c>
      <c r="O6780" s="6" t="s">
        <v>365</v>
      </c>
      <c r="P6780" s="58" t="s">
        <v>241</v>
      </c>
      <c r="Q6780" s="27" t="s">
        <v>234</v>
      </c>
      <c r="R6780" s="3">
        <v>2</v>
      </c>
      <c r="S6780" s="134">
        <v>4464</v>
      </c>
      <c r="T6780" s="4">
        <v>0</v>
      </c>
      <c r="U6780" s="4">
        <f t="shared" si="303"/>
        <v>0</v>
      </c>
      <c r="V6780" s="3"/>
      <c r="W6780" s="3">
        <v>2014</v>
      </c>
      <c r="X6780" s="3">
        <v>11.12</v>
      </c>
    </row>
    <row r="6781" spans="1:24" ht="114.75">
      <c r="A6781" s="3" t="s">
        <v>13933</v>
      </c>
      <c r="B6781" s="6" t="s">
        <v>361</v>
      </c>
      <c r="C6781" s="6" t="s">
        <v>7146</v>
      </c>
      <c r="D6781" s="6" t="s">
        <v>509</v>
      </c>
      <c r="E6781" s="6" t="s">
        <v>5332</v>
      </c>
      <c r="F6781" s="6" t="s">
        <v>7147</v>
      </c>
      <c r="G6781" s="57" t="s">
        <v>11449</v>
      </c>
      <c r="H6781" s="185">
        <v>0</v>
      </c>
      <c r="I6781" s="16">
        <v>470000000</v>
      </c>
      <c r="J6781" s="56" t="s">
        <v>229</v>
      </c>
      <c r="K6781" s="57" t="s">
        <v>642</v>
      </c>
      <c r="L6781" s="12" t="s">
        <v>404</v>
      </c>
      <c r="M6781" s="3" t="s">
        <v>230</v>
      </c>
      <c r="N6781" s="8" t="s">
        <v>9479</v>
      </c>
      <c r="O6781" s="6" t="s">
        <v>365</v>
      </c>
      <c r="P6781" s="58" t="s">
        <v>241</v>
      </c>
      <c r="Q6781" s="27" t="s">
        <v>234</v>
      </c>
      <c r="R6781" s="3">
        <v>2</v>
      </c>
      <c r="S6781" s="134">
        <v>4464</v>
      </c>
      <c r="T6781" s="4">
        <f>R6781*S6781</f>
        <v>8928</v>
      </c>
      <c r="U6781" s="4">
        <f>T6781*1.12</f>
        <v>9999.36</v>
      </c>
      <c r="V6781" s="3"/>
      <c r="W6781" s="3">
        <v>2014</v>
      </c>
      <c r="X6781" s="3"/>
    </row>
    <row r="6782" spans="1:24" ht="114.75">
      <c r="A6782" s="3" t="s">
        <v>2831</v>
      </c>
      <c r="B6782" s="6" t="s">
        <v>361</v>
      </c>
      <c r="C6782" s="6" t="s">
        <v>7148</v>
      </c>
      <c r="D6782" s="6" t="s">
        <v>5376</v>
      </c>
      <c r="E6782" s="6" t="s">
        <v>5985</v>
      </c>
      <c r="F6782" s="6" t="s">
        <v>7149</v>
      </c>
      <c r="G6782" s="57" t="s">
        <v>11449</v>
      </c>
      <c r="H6782" s="185">
        <v>0</v>
      </c>
      <c r="I6782" s="16">
        <v>470000000</v>
      </c>
      <c r="J6782" s="56" t="s">
        <v>229</v>
      </c>
      <c r="K6782" s="57" t="s">
        <v>641</v>
      </c>
      <c r="L6782" s="57" t="s">
        <v>364</v>
      </c>
      <c r="M6782" s="3" t="s">
        <v>230</v>
      </c>
      <c r="N6782" s="8" t="s">
        <v>9479</v>
      </c>
      <c r="O6782" s="6" t="s">
        <v>365</v>
      </c>
      <c r="P6782" s="58" t="s">
        <v>241</v>
      </c>
      <c r="Q6782" s="27" t="s">
        <v>234</v>
      </c>
      <c r="R6782" s="3">
        <v>6</v>
      </c>
      <c r="S6782" s="134">
        <v>6205.36</v>
      </c>
      <c r="T6782" s="4">
        <v>0</v>
      </c>
      <c r="U6782" s="4">
        <f t="shared" si="303"/>
        <v>0</v>
      </c>
      <c r="V6782" s="3"/>
      <c r="W6782" s="3">
        <v>2014</v>
      </c>
      <c r="X6782" s="3">
        <v>11.12</v>
      </c>
    </row>
    <row r="6783" spans="1:24" ht="114.75">
      <c r="A6783" s="3" t="s">
        <v>13934</v>
      </c>
      <c r="B6783" s="6" t="s">
        <v>361</v>
      </c>
      <c r="C6783" s="6" t="s">
        <v>7148</v>
      </c>
      <c r="D6783" s="6" t="s">
        <v>5376</v>
      </c>
      <c r="E6783" s="6" t="s">
        <v>5985</v>
      </c>
      <c r="F6783" s="6" t="s">
        <v>7149</v>
      </c>
      <c r="G6783" s="57" t="s">
        <v>11449</v>
      </c>
      <c r="H6783" s="185">
        <v>0</v>
      </c>
      <c r="I6783" s="16">
        <v>470000000</v>
      </c>
      <c r="J6783" s="56" t="s">
        <v>229</v>
      </c>
      <c r="K6783" s="57" t="s">
        <v>642</v>
      </c>
      <c r="L6783" s="12" t="s">
        <v>404</v>
      </c>
      <c r="M6783" s="3" t="s">
        <v>230</v>
      </c>
      <c r="N6783" s="8" t="s">
        <v>9479</v>
      </c>
      <c r="O6783" s="6" t="s">
        <v>365</v>
      </c>
      <c r="P6783" s="58" t="s">
        <v>241</v>
      </c>
      <c r="Q6783" s="27" t="s">
        <v>234</v>
      </c>
      <c r="R6783" s="3">
        <v>6</v>
      </c>
      <c r="S6783" s="134">
        <v>6205.36</v>
      </c>
      <c r="T6783" s="4">
        <f>R6783*S6783</f>
        <v>37232.159999999996</v>
      </c>
      <c r="U6783" s="4">
        <f>T6783*1.12</f>
        <v>41700.019200000002</v>
      </c>
      <c r="V6783" s="3"/>
      <c r="W6783" s="3">
        <v>2014</v>
      </c>
      <c r="X6783" s="3"/>
    </row>
    <row r="6784" spans="1:24" ht="114.75">
      <c r="A6784" s="3" t="s">
        <v>2832</v>
      </c>
      <c r="B6784" s="6" t="s">
        <v>361</v>
      </c>
      <c r="C6784" s="6" t="s">
        <v>6080</v>
      </c>
      <c r="D6784" s="6" t="s">
        <v>5477</v>
      </c>
      <c r="E6784" s="6" t="s">
        <v>6081</v>
      </c>
      <c r="F6784" s="6" t="s">
        <v>7150</v>
      </c>
      <c r="G6784" s="57" t="s">
        <v>11449</v>
      </c>
      <c r="H6784" s="185">
        <v>0</v>
      </c>
      <c r="I6784" s="16">
        <v>470000000</v>
      </c>
      <c r="J6784" s="56" t="s">
        <v>229</v>
      </c>
      <c r="K6784" s="57" t="s">
        <v>641</v>
      </c>
      <c r="L6784" s="57" t="s">
        <v>364</v>
      </c>
      <c r="M6784" s="3" t="s">
        <v>230</v>
      </c>
      <c r="N6784" s="8" t="s">
        <v>9479</v>
      </c>
      <c r="O6784" s="6" t="s">
        <v>365</v>
      </c>
      <c r="P6784" s="58" t="s">
        <v>241</v>
      </c>
      <c r="Q6784" s="27" t="s">
        <v>234</v>
      </c>
      <c r="R6784" s="3">
        <v>20</v>
      </c>
      <c r="S6784" s="134">
        <v>1696</v>
      </c>
      <c r="T6784" s="4">
        <v>0</v>
      </c>
      <c r="U6784" s="4">
        <f t="shared" si="303"/>
        <v>0</v>
      </c>
      <c r="V6784" s="3"/>
      <c r="W6784" s="3">
        <v>2014</v>
      </c>
      <c r="X6784" s="3">
        <v>11.12</v>
      </c>
    </row>
    <row r="6785" spans="1:24" ht="114.75">
      <c r="A6785" s="3" t="s">
        <v>13935</v>
      </c>
      <c r="B6785" s="6" t="s">
        <v>361</v>
      </c>
      <c r="C6785" s="6" t="s">
        <v>6080</v>
      </c>
      <c r="D6785" s="6" t="s">
        <v>5477</v>
      </c>
      <c r="E6785" s="6" t="s">
        <v>6081</v>
      </c>
      <c r="F6785" s="6" t="s">
        <v>7150</v>
      </c>
      <c r="G6785" s="57" t="s">
        <v>11449</v>
      </c>
      <c r="H6785" s="185">
        <v>0</v>
      </c>
      <c r="I6785" s="16">
        <v>470000000</v>
      </c>
      <c r="J6785" s="56" t="s">
        <v>229</v>
      </c>
      <c r="K6785" s="57" t="s">
        <v>642</v>
      </c>
      <c r="L6785" s="12" t="s">
        <v>404</v>
      </c>
      <c r="M6785" s="3" t="s">
        <v>230</v>
      </c>
      <c r="N6785" s="8" t="s">
        <v>9479</v>
      </c>
      <c r="O6785" s="6" t="s">
        <v>365</v>
      </c>
      <c r="P6785" s="58" t="s">
        <v>241</v>
      </c>
      <c r="Q6785" s="27" t="s">
        <v>234</v>
      </c>
      <c r="R6785" s="3">
        <v>20</v>
      </c>
      <c r="S6785" s="134">
        <v>1696</v>
      </c>
      <c r="T6785" s="4">
        <f>R6785*S6785</f>
        <v>33920</v>
      </c>
      <c r="U6785" s="4">
        <f>T6785*1.12</f>
        <v>37990.400000000001</v>
      </c>
      <c r="V6785" s="3"/>
      <c r="W6785" s="3">
        <v>2014</v>
      </c>
      <c r="X6785" s="3"/>
    </row>
    <row r="6786" spans="1:24" ht="114.75">
      <c r="A6786" s="3" t="s">
        <v>2833</v>
      </c>
      <c r="B6786" s="6" t="s">
        <v>361</v>
      </c>
      <c r="C6786" s="6" t="s">
        <v>5760</v>
      </c>
      <c r="D6786" s="6" t="s">
        <v>5761</v>
      </c>
      <c r="E6786" s="6" t="s">
        <v>5762</v>
      </c>
      <c r="F6786" s="6" t="s">
        <v>7151</v>
      </c>
      <c r="G6786" s="57" t="s">
        <v>11449</v>
      </c>
      <c r="H6786" s="185">
        <v>0</v>
      </c>
      <c r="I6786" s="16">
        <v>470000000</v>
      </c>
      <c r="J6786" s="56" t="s">
        <v>229</v>
      </c>
      <c r="K6786" s="57" t="s">
        <v>641</v>
      </c>
      <c r="L6786" s="57" t="s">
        <v>364</v>
      </c>
      <c r="M6786" s="3" t="s">
        <v>230</v>
      </c>
      <c r="N6786" s="8" t="s">
        <v>9479</v>
      </c>
      <c r="O6786" s="6" t="s">
        <v>365</v>
      </c>
      <c r="P6786" s="58" t="s">
        <v>241</v>
      </c>
      <c r="Q6786" s="27" t="s">
        <v>234</v>
      </c>
      <c r="R6786" s="3">
        <v>6</v>
      </c>
      <c r="S6786" s="134">
        <v>20000</v>
      </c>
      <c r="T6786" s="4">
        <v>0</v>
      </c>
      <c r="U6786" s="4">
        <f t="shared" si="303"/>
        <v>0</v>
      </c>
      <c r="V6786" s="3"/>
      <c r="W6786" s="3">
        <v>2014</v>
      </c>
      <c r="X6786" s="3">
        <v>11.12</v>
      </c>
    </row>
    <row r="6787" spans="1:24" ht="114.75">
      <c r="A6787" s="3" t="s">
        <v>13936</v>
      </c>
      <c r="B6787" s="6" t="s">
        <v>361</v>
      </c>
      <c r="C6787" s="6" t="s">
        <v>5760</v>
      </c>
      <c r="D6787" s="6" t="s">
        <v>5761</v>
      </c>
      <c r="E6787" s="6" t="s">
        <v>5762</v>
      </c>
      <c r="F6787" s="6" t="s">
        <v>7151</v>
      </c>
      <c r="G6787" s="57" t="s">
        <v>11449</v>
      </c>
      <c r="H6787" s="185">
        <v>0</v>
      </c>
      <c r="I6787" s="16">
        <v>470000000</v>
      </c>
      <c r="J6787" s="56" t="s">
        <v>229</v>
      </c>
      <c r="K6787" s="57" t="s">
        <v>642</v>
      </c>
      <c r="L6787" s="12" t="s">
        <v>404</v>
      </c>
      <c r="M6787" s="3" t="s">
        <v>230</v>
      </c>
      <c r="N6787" s="8" t="s">
        <v>9479</v>
      </c>
      <c r="O6787" s="6" t="s">
        <v>365</v>
      </c>
      <c r="P6787" s="58" t="s">
        <v>241</v>
      </c>
      <c r="Q6787" s="27" t="s">
        <v>234</v>
      </c>
      <c r="R6787" s="3">
        <v>6</v>
      </c>
      <c r="S6787" s="134">
        <v>20000</v>
      </c>
      <c r="T6787" s="4">
        <f>R6787*S6787</f>
        <v>120000</v>
      </c>
      <c r="U6787" s="4">
        <f>T6787*1.12</f>
        <v>134400</v>
      </c>
      <c r="V6787" s="3"/>
      <c r="W6787" s="3">
        <v>2014</v>
      </c>
      <c r="X6787" s="3"/>
    </row>
    <row r="6788" spans="1:24" ht="114.75">
      <c r="A6788" s="3" t="s">
        <v>2834</v>
      </c>
      <c r="B6788" s="6" t="s">
        <v>361</v>
      </c>
      <c r="C6788" s="6" t="s">
        <v>6263</v>
      </c>
      <c r="D6788" s="6" t="s">
        <v>441</v>
      </c>
      <c r="E6788" s="6" t="s">
        <v>6264</v>
      </c>
      <c r="F6788" s="6" t="s">
        <v>7152</v>
      </c>
      <c r="G6788" s="57" t="s">
        <v>11449</v>
      </c>
      <c r="H6788" s="185">
        <v>0</v>
      </c>
      <c r="I6788" s="16">
        <v>470000000</v>
      </c>
      <c r="J6788" s="56" t="s">
        <v>229</v>
      </c>
      <c r="K6788" s="57" t="s">
        <v>641</v>
      </c>
      <c r="L6788" s="57" t="s">
        <v>364</v>
      </c>
      <c r="M6788" s="3" t="s">
        <v>230</v>
      </c>
      <c r="N6788" s="8" t="s">
        <v>9479</v>
      </c>
      <c r="O6788" s="6" t="s">
        <v>365</v>
      </c>
      <c r="P6788" s="58" t="s">
        <v>241</v>
      </c>
      <c r="Q6788" s="27" t="s">
        <v>234</v>
      </c>
      <c r="R6788" s="3">
        <v>6</v>
      </c>
      <c r="S6788" s="134">
        <v>13392</v>
      </c>
      <c r="T6788" s="4">
        <v>0</v>
      </c>
      <c r="U6788" s="4">
        <f t="shared" si="303"/>
        <v>0</v>
      </c>
      <c r="V6788" s="3"/>
      <c r="W6788" s="3">
        <v>2014</v>
      </c>
      <c r="X6788" s="3">
        <v>11.12</v>
      </c>
    </row>
    <row r="6789" spans="1:24" ht="114.75">
      <c r="A6789" s="3" t="s">
        <v>13937</v>
      </c>
      <c r="B6789" s="6" t="s">
        <v>361</v>
      </c>
      <c r="C6789" s="6" t="s">
        <v>6263</v>
      </c>
      <c r="D6789" s="6" t="s">
        <v>441</v>
      </c>
      <c r="E6789" s="6" t="s">
        <v>6264</v>
      </c>
      <c r="F6789" s="6" t="s">
        <v>7152</v>
      </c>
      <c r="G6789" s="57" t="s">
        <v>11449</v>
      </c>
      <c r="H6789" s="185">
        <v>0</v>
      </c>
      <c r="I6789" s="16">
        <v>470000000</v>
      </c>
      <c r="J6789" s="56" t="s">
        <v>229</v>
      </c>
      <c r="K6789" s="57" t="s">
        <v>642</v>
      </c>
      <c r="L6789" s="12" t="s">
        <v>404</v>
      </c>
      <c r="M6789" s="3" t="s">
        <v>230</v>
      </c>
      <c r="N6789" s="8" t="s">
        <v>9479</v>
      </c>
      <c r="O6789" s="6" t="s">
        <v>365</v>
      </c>
      <c r="P6789" s="58" t="s">
        <v>241</v>
      </c>
      <c r="Q6789" s="27" t="s">
        <v>234</v>
      </c>
      <c r="R6789" s="3">
        <v>6</v>
      </c>
      <c r="S6789" s="134">
        <v>13392</v>
      </c>
      <c r="T6789" s="4">
        <f>R6789*S6789</f>
        <v>80352</v>
      </c>
      <c r="U6789" s="4">
        <f>T6789*1.12</f>
        <v>89994.240000000005</v>
      </c>
      <c r="V6789" s="3"/>
      <c r="W6789" s="3">
        <v>2014</v>
      </c>
      <c r="X6789" s="3"/>
    </row>
    <row r="6790" spans="1:24" ht="114.75">
      <c r="A6790" s="3" t="s">
        <v>2835</v>
      </c>
      <c r="B6790" s="6" t="s">
        <v>361</v>
      </c>
      <c r="C6790" s="6" t="s">
        <v>6015</v>
      </c>
      <c r="D6790" s="6" t="s">
        <v>408</v>
      </c>
      <c r="E6790" s="6" t="s">
        <v>5998</v>
      </c>
      <c r="F6790" s="6" t="s">
        <v>7153</v>
      </c>
      <c r="G6790" s="57" t="s">
        <v>11449</v>
      </c>
      <c r="H6790" s="185">
        <v>0</v>
      </c>
      <c r="I6790" s="16">
        <v>470000000</v>
      </c>
      <c r="J6790" s="56" t="s">
        <v>229</v>
      </c>
      <c r="K6790" s="57" t="s">
        <v>641</v>
      </c>
      <c r="L6790" s="57" t="s">
        <v>364</v>
      </c>
      <c r="M6790" s="3" t="s">
        <v>230</v>
      </c>
      <c r="N6790" s="8" t="s">
        <v>9479</v>
      </c>
      <c r="O6790" s="6" t="s">
        <v>365</v>
      </c>
      <c r="P6790" s="58" t="s">
        <v>241</v>
      </c>
      <c r="Q6790" s="27" t="s">
        <v>234</v>
      </c>
      <c r="R6790" s="3">
        <v>4</v>
      </c>
      <c r="S6790" s="134">
        <v>17187.5</v>
      </c>
      <c r="T6790" s="4">
        <v>0</v>
      </c>
      <c r="U6790" s="4">
        <f t="shared" si="303"/>
        <v>0</v>
      </c>
      <c r="V6790" s="3"/>
      <c r="W6790" s="3">
        <v>2014</v>
      </c>
      <c r="X6790" s="3">
        <v>11.12</v>
      </c>
    </row>
    <row r="6791" spans="1:24" ht="114.75">
      <c r="A6791" s="3" t="s">
        <v>13938</v>
      </c>
      <c r="B6791" s="6" t="s">
        <v>361</v>
      </c>
      <c r="C6791" s="6" t="s">
        <v>6015</v>
      </c>
      <c r="D6791" s="6" t="s">
        <v>408</v>
      </c>
      <c r="E6791" s="6" t="s">
        <v>5998</v>
      </c>
      <c r="F6791" s="6" t="s">
        <v>7153</v>
      </c>
      <c r="G6791" s="57" t="s">
        <v>11449</v>
      </c>
      <c r="H6791" s="185">
        <v>0</v>
      </c>
      <c r="I6791" s="16">
        <v>470000000</v>
      </c>
      <c r="J6791" s="56" t="s">
        <v>229</v>
      </c>
      <c r="K6791" s="57" t="s">
        <v>642</v>
      </c>
      <c r="L6791" s="12" t="s">
        <v>404</v>
      </c>
      <c r="M6791" s="3" t="s">
        <v>230</v>
      </c>
      <c r="N6791" s="8" t="s">
        <v>9479</v>
      </c>
      <c r="O6791" s="6" t="s">
        <v>365</v>
      </c>
      <c r="P6791" s="58" t="s">
        <v>241</v>
      </c>
      <c r="Q6791" s="27" t="s">
        <v>234</v>
      </c>
      <c r="R6791" s="3">
        <v>4</v>
      </c>
      <c r="S6791" s="134">
        <v>17187.5</v>
      </c>
      <c r="T6791" s="4">
        <f>R6791*S6791</f>
        <v>68750</v>
      </c>
      <c r="U6791" s="4">
        <f>T6791*1.12</f>
        <v>77000.000000000015</v>
      </c>
      <c r="V6791" s="3"/>
      <c r="W6791" s="3">
        <v>2014</v>
      </c>
      <c r="X6791" s="3"/>
    </row>
    <row r="6792" spans="1:24" ht="114.75">
      <c r="A6792" s="3" t="s">
        <v>2836</v>
      </c>
      <c r="B6792" s="6" t="s">
        <v>361</v>
      </c>
      <c r="C6792" s="6" t="s">
        <v>7154</v>
      </c>
      <c r="D6792" s="6" t="s">
        <v>7155</v>
      </c>
      <c r="E6792" s="6" t="s">
        <v>5998</v>
      </c>
      <c r="F6792" s="6" t="s">
        <v>7156</v>
      </c>
      <c r="G6792" s="57" t="s">
        <v>11449</v>
      </c>
      <c r="H6792" s="185">
        <v>0</v>
      </c>
      <c r="I6792" s="16">
        <v>470000000</v>
      </c>
      <c r="J6792" s="56" t="s">
        <v>229</v>
      </c>
      <c r="K6792" s="57" t="s">
        <v>641</v>
      </c>
      <c r="L6792" s="57" t="s">
        <v>364</v>
      </c>
      <c r="M6792" s="3" t="s">
        <v>230</v>
      </c>
      <c r="N6792" s="8" t="s">
        <v>9479</v>
      </c>
      <c r="O6792" s="6" t="s">
        <v>365</v>
      </c>
      <c r="P6792" s="58" t="s">
        <v>241</v>
      </c>
      <c r="Q6792" s="27" t="s">
        <v>234</v>
      </c>
      <c r="R6792" s="3">
        <v>4</v>
      </c>
      <c r="S6792" s="134">
        <v>17857</v>
      </c>
      <c r="T6792" s="4">
        <v>0</v>
      </c>
      <c r="U6792" s="4">
        <f t="shared" si="303"/>
        <v>0</v>
      </c>
      <c r="V6792" s="3"/>
      <c r="W6792" s="3">
        <v>2014</v>
      </c>
      <c r="X6792" s="3">
        <v>11.12</v>
      </c>
    </row>
    <row r="6793" spans="1:24" ht="114.75">
      <c r="A6793" s="3" t="s">
        <v>13939</v>
      </c>
      <c r="B6793" s="6" t="s">
        <v>361</v>
      </c>
      <c r="C6793" s="6" t="s">
        <v>7154</v>
      </c>
      <c r="D6793" s="6" t="s">
        <v>7155</v>
      </c>
      <c r="E6793" s="6" t="s">
        <v>5998</v>
      </c>
      <c r="F6793" s="6" t="s">
        <v>7156</v>
      </c>
      <c r="G6793" s="57" t="s">
        <v>11449</v>
      </c>
      <c r="H6793" s="185">
        <v>0</v>
      </c>
      <c r="I6793" s="16">
        <v>470000000</v>
      </c>
      <c r="J6793" s="56" t="s">
        <v>229</v>
      </c>
      <c r="K6793" s="57" t="s">
        <v>642</v>
      </c>
      <c r="L6793" s="12" t="s">
        <v>404</v>
      </c>
      <c r="M6793" s="3" t="s">
        <v>230</v>
      </c>
      <c r="N6793" s="8" t="s">
        <v>9479</v>
      </c>
      <c r="O6793" s="6" t="s">
        <v>365</v>
      </c>
      <c r="P6793" s="58" t="s">
        <v>241</v>
      </c>
      <c r="Q6793" s="27" t="s">
        <v>234</v>
      </c>
      <c r="R6793" s="3">
        <v>4</v>
      </c>
      <c r="S6793" s="134">
        <v>17857</v>
      </c>
      <c r="T6793" s="4">
        <v>0</v>
      </c>
      <c r="U6793" s="4">
        <f>T6793*1.12</f>
        <v>0</v>
      </c>
      <c r="V6793" s="3"/>
      <c r="W6793" s="3">
        <v>2014</v>
      </c>
      <c r="X6793" s="3" t="s">
        <v>14785</v>
      </c>
    </row>
    <row r="6794" spans="1:24" ht="114.75">
      <c r="A6794" s="3" t="s">
        <v>17100</v>
      </c>
      <c r="B6794" s="6" t="s">
        <v>361</v>
      </c>
      <c r="C6794" s="6" t="s">
        <v>7154</v>
      </c>
      <c r="D6794" s="6" t="s">
        <v>7155</v>
      </c>
      <c r="E6794" s="6" t="s">
        <v>5998</v>
      </c>
      <c r="F6794" s="6" t="s">
        <v>7156</v>
      </c>
      <c r="G6794" s="3" t="s">
        <v>11449</v>
      </c>
      <c r="H6794" s="185">
        <v>0</v>
      </c>
      <c r="I6794" s="16">
        <v>470000000</v>
      </c>
      <c r="J6794" s="56" t="s">
        <v>229</v>
      </c>
      <c r="K6794" s="57" t="s">
        <v>8950</v>
      </c>
      <c r="L6794" s="12" t="s">
        <v>404</v>
      </c>
      <c r="M6794" s="3" t="s">
        <v>230</v>
      </c>
      <c r="N6794" s="8" t="s">
        <v>9479</v>
      </c>
      <c r="O6794" s="6" t="s">
        <v>365</v>
      </c>
      <c r="P6794" s="58" t="s">
        <v>241</v>
      </c>
      <c r="Q6794" s="27" t="s">
        <v>234</v>
      </c>
      <c r="R6794" s="3">
        <v>4</v>
      </c>
      <c r="S6794" s="134">
        <v>21428.399999999998</v>
      </c>
      <c r="T6794" s="4">
        <v>0</v>
      </c>
      <c r="U6794" s="4">
        <f>T6794*1.12</f>
        <v>0</v>
      </c>
      <c r="V6794" s="3"/>
      <c r="W6794" s="3">
        <v>2014</v>
      </c>
      <c r="X6794" s="3">
        <v>11</v>
      </c>
    </row>
    <row r="6795" spans="1:24" ht="114.75">
      <c r="A6795" s="3" t="s">
        <v>19036</v>
      </c>
      <c r="B6795" s="6" t="s">
        <v>361</v>
      </c>
      <c r="C6795" s="6" t="s">
        <v>7154</v>
      </c>
      <c r="D6795" s="6" t="s">
        <v>7155</v>
      </c>
      <c r="E6795" s="6" t="s">
        <v>5998</v>
      </c>
      <c r="F6795" s="6" t="s">
        <v>7156</v>
      </c>
      <c r="G6795" s="3" t="s">
        <v>11449</v>
      </c>
      <c r="H6795" s="185">
        <v>0</v>
      </c>
      <c r="I6795" s="16">
        <v>470000000</v>
      </c>
      <c r="J6795" s="56" t="s">
        <v>229</v>
      </c>
      <c r="K6795" s="57" t="s">
        <v>18437</v>
      </c>
      <c r="L6795" s="12" t="s">
        <v>404</v>
      </c>
      <c r="M6795" s="3" t="s">
        <v>230</v>
      </c>
      <c r="N6795" s="8" t="s">
        <v>9479</v>
      </c>
      <c r="O6795" s="6" t="s">
        <v>365</v>
      </c>
      <c r="P6795" s="58" t="s">
        <v>241</v>
      </c>
      <c r="Q6795" s="27" t="s">
        <v>234</v>
      </c>
      <c r="R6795" s="3">
        <v>4</v>
      </c>
      <c r="S6795" s="134">
        <v>21428.399999999998</v>
      </c>
      <c r="T6795" s="4">
        <f>R6795*S6795</f>
        <v>85713.599999999991</v>
      </c>
      <c r="U6795" s="4">
        <f>T6795*1.12</f>
        <v>95999.232000000004</v>
      </c>
      <c r="V6795" s="3"/>
      <c r="W6795" s="3">
        <v>2014</v>
      </c>
      <c r="X6795" s="3"/>
    </row>
    <row r="6796" spans="1:24" ht="114.75">
      <c r="A6796" s="3" t="s">
        <v>2837</v>
      </c>
      <c r="B6796" s="6" t="s">
        <v>361</v>
      </c>
      <c r="C6796" s="6" t="s">
        <v>7154</v>
      </c>
      <c r="D6796" s="6" t="s">
        <v>7155</v>
      </c>
      <c r="E6796" s="6" t="s">
        <v>5998</v>
      </c>
      <c r="F6796" s="6" t="s">
        <v>7157</v>
      </c>
      <c r="G6796" s="57" t="s">
        <v>11449</v>
      </c>
      <c r="H6796" s="185">
        <v>0</v>
      </c>
      <c r="I6796" s="16">
        <v>470000000</v>
      </c>
      <c r="J6796" s="56" t="s">
        <v>229</v>
      </c>
      <c r="K6796" s="57" t="s">
        <v>641</v>
      </c>
      <c r="L6796" s="57" t="s">
        <v>364</v>
      </c>
      <c r="M6796" s="3" t="s">
        <v>230</v>
      </c>
      <c r="N6796" s="8" t="s">
        <v>9479</v>
      </c>
      <c r="O6796" s="6" t="s">
        <v>365</v>
      </c>
      <c r="P6796" s="58" t="s">
        <v>241</v>
      </c>
      <c r="Q6796" s="27" t="s">
        <v>234</v>
      </c>
      <c r="R6796" s="3">
        <v>4</v>
      </c>
      <c r="S6796" s="134">
        <v>19508</v>
      </c>
      <c r="T6796" s="4">
        <v>0</v>
      </c>
      <c r="U6796" s="4">
        <f t="shared" si="303"/>
        <v>0</v>
      </c>
      <c r="V6796" s="3"/>
      <c r="W6796" s="3">
        <v>2014</v>
      </c>
      <c r="X6796" s="3">
        <v>11.12</v>
      </c>
    </row>
    <row r="6797" spans="1:24" ht="114.75">
      <c r="A6797" s="3" t="s">
        <v>13940</v>
      </c>
      <c r="B6797" s="6" t="s">
        <v>361</v>
      </c>
      <c r="C6797" s="6" t="s">
        <v>7154</v>
      </c>
      <c r="D6797" s="6" t="s">
        <v>7155</v>
      </c>
      <c r="E6797" s="6" t="s">
        <v>5998</v>
      </c>
      <c r="F6797" s="6" t="s">
        <v>7157</v>
      </c>
      <c r="G6797" s="57" t="s">
        <v>11449</v>
      </c>
      <c r="H6797" s="185">
        <v>0</v>
      </c>
      <c r="I6797" s="16">
        <v>470000000</v>
      </c>
      <c r="J6797" s="56" t="s">
        <v>229</v>
      </c>
      <c r="K6797" s="57" t="s">
        <v>642</v>
      </c>
      <c r="L6797" s="12" t="s">
        <v>404</v>
      </c>
      <c r="M6797" s="3" t="s">
        <v>230</v>
      </c>
      <c r="N6797" s="8" t="s">
        <v>9479</v>
      </c>
      <c r="O6797" s="6" t="s">
        <v>365</v>
      </c>
      <c r="P6797" s="58" t="s">
        <v>241</v>
      </c>
      <c r="Q6797" s="27" t="s">
        <v>234</v>
      </c>
      <c r="R6797" s="3">
        <v>4</v>
      </c>
      <c r="S6797" s="134">
        <v>19508</v>
      </c>
      <c r="T6797" s="4">
        <v>0</v>
      </c>
      <c r="U6797" s="4">
        <f>T6797*1.12</f>
        <v>0</v>
      </c>
      <c r="V6797" s="3"/>
      <c r="W6797" s="3">
        <v>2014</v>
      </c>
      <c r="X6797" s="3" t="s">
        <v>14785</v>
      </c>
    </row>
    <row r="6798" spans="1:24" ht="114.75">
      <c r="A6798" s="3" t="s">
        <v>17101</v>
      </c>
      <c r="B6798" s="6" t="s">
        <v>361</v>
      </c>
      <c r="C6798" s="6" t="s">
        <v>7154</v>
      </c>
      <c r="D6798" s="6" t="s">
        <v>7155</v>
      </c>
      <c r="E6798" s="6" t="s">
        <v>5998</v>
      </c>
      <c r="F6798" s="6" t="s">
        <v>7157</v>
      </c>
      <c r="G6798" s="3" t="s">
        <v>11449</v>
      </c>
      <c r="H6798" s="185">
        <v>0</v>
      </c>
      <c r="I6798" s="16">
        <v>470000000</v>
      </c>
      <c r="J6798" s="56" t="s">
        <v>229</v>
      </c>
      <c r="K6798" s="57" t="s">
        <v>8950</v>
      </c>
      <c r="L6798" s="12" t="s">
        <v>404</v>
      </c>
      <c r="M6798" s="3" t="s">
        <v>230</v>
      </c>
      <c r="N6798" s="8" t="s">
        <v>9479</v>
      </c>
      <c r="O6798" s="6" t="s">
        <v>365</v>
      </c>
      <c r="P6798" s="58" t="s">
        <v>241</v>
      </c>
      <c r="Q6798" s="27" t="s">
        <v>234</v>
      </c>
      <c r="R6798" s="3">
        <v>4</v>
      </c>
      <c r="S6798" s="134">
        <v>23409.599999999999</v>
      </c>
      <c r="T6798" s="4">
        <v>0</v>
      </c>
      <c r="U6798" s="4">
        <f>T6798*1.12</f>
        <v>0</v>
      </c>
      <c r="V6798" s="3"/>
      <c r="W6798" s="3">
        <v>2014</v>
      </c>
      <c r="X6798" s="3">
        <v>11</v>
      </c>
    </row>
    <row r="6799" spans="1:24" ht="114.75">
      <c r="A6799" s="3" t="s">
        <v>19037</v>
      </c>
      <c r="B6799" s="6" t="s">
        <v>361</v>
      </c>
      <c r="C6799" s="6" t="s">
        <v>7154</v>
      </c>
      <c r="D6799" s="6" t="s">
        <v>7155</v>
      </c>
      <c r="E6799" s="6" t="s">
        <v>5998</v>
      </c>
      <c r="F6799" s="6" t="s">
        <v>7157</v>
      </c>
      <c r="G6799" s="3" t="s">
        <v>11449</v>
      </c>
      <c r="H6799" s="185">
        <v>0</v>
      </c>
      <c r="I6799" s="16">
        <v>470000000</v>
      </c>
      <c r="J6799" s="56" t="s">
        <v>229</v>
      </c>
      <c r="K6799" s="57" t="s">
        <v>18437</v>
      </c>
      <c r="L6799" s="12" t="s">
        <v>404</v>
      </c>
      <c r="M6799" s="3" t="s">
        <v>230</v>
      </c>
      <c r="N6799" s="8" t="s">
        <v>9479</v>
      </c>
      <c r="O6799" s="6" t="s">
        <v>365</v>
      </c>
      <c r="P6799" s="58" t="s">
        <v>241</v>
      </c>
      <c r="Q6799" s="27" t="s">
        <v>234</v>
      </c>
      <c r="R6799" s="3">
        <v>4</v>
      </c>
      <c r="S6799" s="134">
        <v>23409.599999999999</v>
      </c>
      <c r="T6799" s="4">
        <f>R6799*S6799</f>
        <v>93638.399999999994</v>
      </c>
      <c r="U6799" s="4">
        <f>T6799*1.12</f>
        <v>104875.008</v>
      </c>
      <c r="V6799" s="3"/>
      <c r="W6799" s="3">
        <v>2014</v>
      </c>
      <c r="X6799" s="3"/>
    </row>
    <row r="6800" spans="1:24" ht="114.75">
      <c r="A6800" s="3" t="s">
        <v>2838</v>
      </c>
      <c r="B6800" s="6" t="s">
        <v>361</v>
      </c>
      <c r="C6800" s="6" t="s">
        <v>7158</v>
      </c>
      <c r="D6800" s="6" t="s">
        <v>463</v>
      </c>
      <c r="E6800" s="6" t="s">
        <v>5332</v>
      </c>
      <c r="F6800" s="6" t="s">
        <v>7159</v>
      </c>
      <c r="G6800" s="57" t="s">
        <v>11449</v>
      </c>
      <c r="H6800" s="185">
        <v>0</v>
      </c>
      <c r="I6800" s="16">
        <v>470000000</v>
      </c>
      <c r="J6800" s="56" t="s">
        <v>229</v>
      </c>
      <c r="K6800" s="57" t="s">
        <v>641</v>
      </c>
      <c r="L6800" s="57" t="s">
        <v>364</v>
      </c>
      <c r="M6800" s="3" t="s">
        <v>230</v>
      </c>
      <c r="N6800" s="8" t="s">
        <v>9479</v>
      </c>
      <c r="O6800" s="6" t="s">
        <v>365</v>
      </c>
      <c r="P6800" s="58" t="s">
        <v>241</v>
      </c>
      <c r="Q6800" s="27" t="s">
        <v>234</v>
      </c>
      <c r="R6800" s="3">
        <v>24</v>
      </c>
      <c r="S6800" s="134">
        <v>3348.21</v>
      </c>
      <c r="T6800" s="4">
        <v>0</v>
      </c>
      <c r="U6800" s="4">
        <f t="shared" si="303"/>
        <v>0</v>
      </c>
      <c r="V6800" s="3"/>
      <c r="W6800" s="3">
        <v>2014</v>
      </c>
      <c r="X6800" s="3">
        <v>11.12</v>
      </c>
    </row>
    <row r="6801" spans="1:24" ht="114.75">
      <c r="A6801" s="3" t="s">
        <v>13942</v>
      </c>
      <c r="B6801" s="6" t="s">
        <v>361</v>
      </c>
      <c r="C6801" s="6" t="s">
        <v>7158</v>
      </c>
      <c r="D6801" s="6" t="s">
        <v>463</v>
      </c>
      <c r="E6801" s="6" t="s">
        <v>5332</v>
      </c>
      <c r="F6801" s="6" t="s">
        <v>7159</v>
      </c>
      <c r="G6801" s="57" t="s">
        <v>11449</v>
      </c>
      <c r="H6801" s="185">
        <v>0</v>
      </c>
      <c r="I6801" s="16">
        <v>470000000</v>
      </c>
      <c r="J6801" s="56" t="s">
        <v>229</v>
      </c>
      <c r="K6801" s="57" t="s">
        <v>642</v>
      </c>
      <c r="L6801" s="12" t="s">
        <v>404</v>
      </c>
      <c r="M6801" s="3" t="s">
        <v>230</v>
      </c>
      <c r="N6801" s="8" t="s">
        <v>9479</v>
      </c>
      <c r="O6801" s="6" t="s">
        <v>365</v>
      </c>
      <c r="P6801" s="58" t="s">
        <v>241</v>
      </c>
      <c r="Q6801" s="27" t="s">
        <v>234</v>
      </c>
      <c r="R6801" s="3">
        <v>24</v>
      </c>
      <c r="S6801" s="134">
        <v>3348.21</v>
      </c>
      <c r="T6801" s="4">
        <f>R6801*S6801</f>
        <v>80357.040000000008</v>
      </c>
      <c r="U6801" s="4">
        <f>T6801*1.12</f>
        <v>89999.884800000014</v>
      </c>
      <c r="V6801" s="3"/>
      <c r="W6801" s="3">
        <v>2014</v>
      </c>
      <c r="X6801" s="3"/>
    </row>
    <row r="6802" spans="1:24" ht="114.75">
      <c r="A6802" s="3" t="s">
        <v>2839</v>
      </c>
      <c r="B6802" s="6" t="s">
        <v>361</v>
      </c>
      <c r="C6802" s="6" t="s">
        <v>7160</v>
      </c>
      <c r="D6802" s="6" t="s">
        <v>5483</v>
      </c>
      <c r="E6802" s="6" t="s">
        <v>7161</v>
      </c>
      <c r="F6802" s="6" t="s">
        <v>7162</v>
      </c>
      <c r="G6802" s="57" t="s">
        <v>11449</v>
      </c>
      <c r="H6802" s="185">
        <v>0</v>
      </c>
      <c r="I6802" s="16">
        <v>470000000</v>
      </c>
      <c r="J6802" s="56" t="s">
        <v>229</v>
      </c>
      <c r="K6802" s="57" t="s">
        <v>641</v>
      </c>
      <c r="L6802" s="57" t="s">
        <v>364</v>
      </c>
      <c r="M6802" s="3" t="s">
        <v>230</v>
      </c>
      <c r="N6802" s="8" t="s">
        <v>9479</v>
      </c>
      <c r="O6802" s="6" t="s">
        <v>365</v>
      </c>
      <c r="P6802" s="58" t="s">
        <v>241</v>
      </c>
      <c r="Q6802" s="27" t="s">
        <v>234</v>
      </c>
      <c r="R6802" s="3">
        <v>12</v>
      </c>
      <c r="S6802" s="134">
        <v>3156.25</v>
      </c>
      <c r="T6802" s="4">
        <v>0</v>
      </c>
      <c r="U6802" s="4">
        <f t="shared" si="303"/>
        <v>0</v>
      </c>
      <c r="V6802" s="3"/>
      <c r="W6802" s="3">
        <v>2014</v>
      </c>
      <c r="X6802" s="3">
        <v>11.12</v>
      </c>
    </row>
    <row r="6803" spans="1:24" ht="114.75">
      <c r="A6803" s="3" t="s">
        <v>13941</v>
      </c>
      <c r="B6803" s="6" t="s">
        <v>361</v>
      </c>
      <c r="C6803" s="6" t="s">
        <v>7160</v>
      </c>
      <c r="D6803" s="6" t="s">
        <v>5483</v>
      </c>
      <c r="E6803" s="6" t="s">
        <v>7161</v>
      </c>
      <c r="F6803" s="6" t="s">
        <v>7162</v>
      </c>
      <c r="G6803" s="57" t="s">
        <v>11449</v>
      </c>
      <c r="H6803" s="185">
        <v>0</v>
      </c>
      <c r="I6803" s="16">
        <v>470000000</v>
      </c>
      <c r="J6803" s="56" t="s">
        <v>229</v>
      </c>
      <c r="K6803" s="57" t="s">
        <v>642</v>
      </c>
      <c r="L6803" s="12" t="s">
        <v>404</v>
      </c>
      <c r="M6803" s="3" t="s">
        <v>230</v>
      </c>
      <c r="N6803" s="8" t="s">
        <v>9479</v>
      </c>
      <c r="O6803" s="6" t="s">
        <v>365</v>
      </c>
      <c r="P6803" s="58" t="s">
        <v>241</v>
      </c>
      <c r="Q6803" s="27" t="s">
        <v>234</v>
      </c>
      <c r="R6803" s="3">
        <v>12</v>
      </c>
      <c r="S6803" s="134">
        <v>3156.25</v>
      </c>
      <c r="T6803" s="4">
        <f>R6803*S6803</f>
        <v>37875</v>
      </c>
      <c r="U6803" s="4">
        <f>T6803*1.12</f>
        <v>42420.000000000007</v>
      </c>
      <c r="V6803" s="3"/>
      <c r="W6803" s="3">
        <v>2014</v>
      </c>
      <c r="X6803" s="3"/>
    </row>
    <row r="6804" spans="1:24" ht="114.75">
      <c r="A6804" s="3" t="s">
        <v>2840</v>
      </c>
      <c r="B6804" s="6" t="s">
        <v>361</v>
      </c>
      <c r="C6804" s="6" t="s">
        <v>6051</v>
      </c>
      <c r="D6804" s="6" t="s">
        <v>5416</v>
      </c>
      <c r="E6804" s="6" t="s">
        <v>5998</v>
      </c>
      <c r="F6804" s="6" t="s">
        <v>7163</v>
      </c>
      <c r="G6804" s="57" t="s">
        <v>11449</v>
      </c>
      <c r="H6804" s="185">
        <v>0</v>
      </c>
      <c r="I6804" s="16">
        <v>470000000</v>
      </c>
      <c r="J6804" s="56" t="s">
        <v>229</v>
      </c>
      <c r="K6804" s="57" t="s">
        <v>641</v>
      </c>
      <c r="L6804" s="57" t="s">
        <v>364</v>
      </c>
      <c r="M6804" s="3" t="s">
        <v>230</v>
      </c>
      <c r="N6804" s="8" t="s">
        <v>9479</v>
      </c>
      <c r="O6804" s="6" t="s">
        <v>365</v>
      </c>
      <c r="P6804" s="58" t="s">
        <v>241</v>
      </c>
      <c r="Q6804" s="27" t="s">
        <v>234</v>
      </c>
      <c r="R6804" s="3">
        <v>12</v>
      </c>
      <c r="S6804" s="134">
        <v>2700</v>
      </c>
      <c r="T6804" s="4">
        <v>0</v>
      </c>
      <c r="U6804" s="4">
        <f t="shared" ref="U6804:U6872" si="304">T6804*1.12</f>
        <v>0</v>
      </c>
      <c r="V6804" s="3"/>
      <c r="W6804" s="3">
        <v>2014</v>
      </c>
      <c r="X6804" s="3">
        <v>11.12</v>
      </c>
    </row>
    <row r="6805" spans="1:24" ht="114.75">
      <c r="A6805" s="3" t="s">
        <v>13943</v>
      </c>
      <c r="B6805" s="6" t="s">
        <v>361</v>
      </c>
      <c r="C6805" s="6" t="s">
        <v>6051</v>
      </c>
      <c r="D6805" s="6" t="s">
        <v>5416</v>
      </c>
      <c r="E6805" s="6" t="s">
        <v>5998</v>
      </c>
      <c r="F6805" s="6" t="s">
        <v>7163</v>
      </c>
      <c r="G6805" s="57" t="s">
        <v>11449</v>
      </c>
      <c r="H6805" s="185">
        <v>0</v>
      </c>
      <c r="I6805" s="16">
        <v>470000000</v>
      </c>
      <c r="J6805" s="56" t="s">
        <v>229</v>
      </c>
      <c r="K6805" s="57" t="s">
        <v>642</v>
      </c>
      <c r="L6805" s="12" t="s">
        <v>404</v>
      </c>
      <c r="M6805" s="3" t="s">
        <v>230</v>
      </c>
      <c r="N6805" s="8" t="s">
        <v>9479</v>
      </c>
      <c r="O6805" s="6" t="s">
        <v>365</v>
      </c>
      <c r="P6805" s="58" t="s">
        <v>241</v>
      </c>
      <c r="Q6805" s="27" t="s">
        <v>234</v>
      </c>
      <c r="R6805" s="3">
        <v>12</v>
      </c>
      <c r="S6805" s="134">
        <v>2700</v>
      </c>
      <c r="T6805" s="4">
        <f>R6805*S6805</f>
        <v>32400</v>
      </c>
      <c r="U6805" s="4">
        <f>T6805*1.12</f>
        <v>36288</v>
      </c>
      <c r="V6805" s="3"/>
      <c r="W6805" s="3">
        <v>2014</v>
      </c>
      <c r="X6805" s="3"/>
    </row>
    <row r="6806" spans="1:24" ht="114.75">
      <c r="A6806" s="3" t="s">
        <v>2841</v>
      </c>
      <c r="B6806" s="6" t="s">
        <v>361</v>
      </c>
      <c r="C6806" s="6" t="s">
        <v>6051</v>
      </c>
      <c r="D6806" s="6" t="s">
        <v>5416</v>
      </c>
      <c r="E6806" s="6" t="s">
        <v>5998</v>
      </c>
      <c r="F6806" s="6" t="s">
        <v>7164</v>
      </c>
      <c r="G6806" s="57" t="s">
        <v>11449</v>
      </c>
      <c r="H6806" s="185">
        <v>0</v>
      </c>
      <c r="I6806" s="16">
        <v>470000000</v>
      </c>
      <c r="J6806" s="56" t="s">
        <v>229</v>
      </c>
      <c r="K6806" s="57" t="s">
        <v>641</v>
      </c>
      <c r="L6806" s="57" t="s">
        <v>364</v>
      </c>
      <c r="M6806" s="3" t="s">
        <v>230</v>
      </c>
      <c r="N6806" s="8" t="s">
        <v>9479</v>
      </c>
      <c r="O6806" s="6" t="s">
        <v>365</v>
      </c>
      <c r="P6806" s="58" t="s">
        <v>241</v>
      </c>
      <c r="Q6806" s="27" t="s">
        <v>234</v>
      </c>
      <c r="R6806" s="3">
        <v>12</v>
      </c>
      <c r="S6806" s="134">
        <v>2700</v>
      </c>
      <c r="T6806" s="4">
        <v>0</v>
      </c>
      <c r="U6806" s="4">
        <f t="shared" si="304"/>
        <v>0</v>
      </c>
      <c r="V6806" s="3"/>
      <c r="W6806" s="3">
        <v>2014</v>
      </c>
      <c r="X6806" s="3">
        <v>11.12</v>
      </c>
    </row>
    <row r="6807" spans="1:24" ht="114.75">
      <c r="A6807" s="3" t="s">
        <v>13944</v>
      </c>
      <c r="B6807" s="6" t="s">
        <v>361</v>
      </c>
      <c r="C6807" s="6" t="s">
        <v>6051</v>
      </c>
      <c r="D6807" s="6" t="s">
        <v>5416</v>
      </c>
      <c r="E6807" s="6" t="s">
        <v>5998</v>
      </c>
      <c r="F6807" s="6" t="s">
        <v>7164</v>
      </c>
      <c r="G6807" s="57" t="s">
        <v>11449</v>
      </c>
      <c r="H6807" s="185">
        <v>0</v>
      </c>
      <c r="I6807" s="16">
        <v>470000000</v>
      </c>
      <c r="J6807" s="56" t="s">
        <v>229</v>
      </c>
      <c r="K6807" s="57" t="s">
        <v>642</v>
      </c>
      <c r="L6807" s="12" t="s">
        <v>404</v>
      </c>
      <c r="M6807" s="3" t="s">
        <v>230</v>
      </c>
      <c r="N6807" s="8" t="s">
        <v>9479</v>
      </c>
      <c r="O6807" s="6" t="s">
        <v>365</v>
      </c>
      <c r="P6807" s="58" t="s">
        <v>241</v>
      </c>
      <c r="Q6807" s="27" t="s">
        <v>234</v>
      </c>
      <c r="R6807" s="3">
        <v>12</v>
      </c>
      <c r="S6807" s="134">
        <v>2700</v>
      </c>
      <c r="T6807" s="4">
        <f>R6807*S6807</f>
        <v>32400</v>
      </c>
      <c r="U6807" s="4">
        <f>T6807*1.12</f>
        <v>36288</v>
      </c>
      <c r="V6807" s="3"/>
      <c r="W6807" s="3">
        <v>2014</v>
      </c>
      <c r="X6807" s="3"/>
    </row>
    <row r="6808" spans="1:24" ht="114.75">
      <c r="A6808" s="3" t="s">
        <v>2842</v>
      </c>
      <c r="B6808" s="6" t="s">
        <v>361</v>
      </c>
      <c r="C6808" s="6" t="s">
        <v>6956</v>
      </c>
      <c r="D6808" s="6" t="s">
        <v>6957</v>
      </c>
      <c r="E6808" s="6" t="s">
        <v>5998</v>
      </c>
      <c r="F6808" s="6" t="s">
        <v>7165</v>
      </c>
      <c r="G6808" s="57" t="s">
        <v>11449</v>
      </c>
      <c r="H6808" s="185">
        <v>0</v>
      </c>
      <c r="I6808" s="16">
        <v>470000000</v>
      </c>
      <c r="J6808" s="56" t="s">
        <v>229</v>
      </c>
      <c r="K6808" s="57" t="s">
        <v>641</v>
      </c>
      <c r="L6808" s="57" t="s">
        <v>364</v>
      </c>
      <c r="M6808" s="3" t="s">
        <v>230</v>
      </c>
      <c r="N6808" s="8" t="s">
        <v>9479</v>
      </c>
      <c r="O6808" s="6" t="s">
        <v>365</v>
      </c>
      <c r="P6808" s="58" t="s">
        <v>241</v>
      </c>
      <c r="Q6808" s="27" t="s">
        <v>234</v>
      </c>
      <c r="R6808" s="3">
        <v>4</v>
      </c>
      <c r="S6808" s="134">
        <v>5500</v>
      </c>
      <c r="T6808" s="4">
        <v>0</v>
      </c>
      <c r="U6808" s="4">
        <f t="shared" si="304"/>
        <v>0</v>
      </c>
      <c r="V6808" s="3"/>
      <c r="W6808" s="3">
        <v>2014</v>
      </c>
      <c r="X6808" s="3">
        <v>11.12</v>
      </c>
    </row>
    <row r="6809" spans="1:24" ht="114.75">
      <c r="A6809" s="3" t="s">
        <v>13945</v>
      </c>
      <c r="B6809" s="6" t="s">
        <v>361</v>
      </c>
      <c r="C6809" s="6" t="s">
        <v>6956</v>
      </c>
      <c r="D6809" s="6" t="s">
        <v>6957</v>
      </c>
      <c r="E6809" s="6" t="s">
        <v>5998</v>
      </c>
      <c r="F6809" s="6" t="s">
        <v>7165</v>
      </c>
      <c r="G6809" s="57" t="s">
        <v>11449</v>
      </c>
      <c r="H6809" s="185">
        <v>0</v>
      </c>
      <c r="I6809" s="16">
        <v>470000000</v>
      </c>
      <c r="J6809" s="56" t="s">
        <v>229</v>
      </c>
      <c r="K6809" s="57" t="s">
        <v>642</v>
      </c>
      <c r="L6809" s="12" t="s">
        <v>404</v>
      </c>
      <c r="M6809" s="3" t="s">
        <v>230</v>
      </c>
      <c r="N6809" s="8" t="s">
        <v>9479</v>
      </c>
      <c r="O6809" s="6" t="s">
        <v>365</v>
      </c>
      <c r="P6809" s="58" t="s">
        <v>241</v>
      </c>
      <c r="Q6809" s="27" t="s">
        <v>234</v>
      </c>
      <c r="R6809" s="3">
        <v>4</v>
      </c>
      <c r="S6809" s="134">
        <v>5500</v>
      </c>
      <c r="T6809" s="4">
        <f>R6809*S6809</f>
        <v>22000</v>
      </c>
      <c r="U6809" s="4">
        <f>T6809*1.12</f>
        <v>24640.000000000004</v>
      </c>
      <c r="V6809" s="3"/>
      <c r="W6809" s="3">
        <v>2014</v>
      </c>
      <c r="X6809" s="3"/>
    </row>
    <row r="6810" spans="1:24" ht="114.75">
      <c r="A6810" s="3" t="s">
        <v>2843</v>
      </c>
      <c r="B6810" s="6" t="s">
        <v>361</v>
      </c>
      <c r="C6810" s="6" t="s">
        <v>6534</v>
      </c>
      <c r="D6810" s="6" t="s">
        <v>6535</v>
      </c>
      <c r="E6810" s="6" t="s">
        <v>6536</v>
      </c>
      <c r="F6810" s="6" t="s">
        <v>7166</v>
      </c>
      <c r="G6810" s="57" t="s">
        <v>11449</v>
      </c>
      <c r="H6810" s="185">
        <v>0</v>
      </c>
      <c r="I6810" s="16">
        <v>470000000</v>
      </c>
      <c r="J6810" s="56" t="s">
        <v>229</v>
      </c>
      <c r="K6810" s="57" t="s">
        <v>641</v>
      </c>
      <c r="L6810" s="57" t="s">
        <v>364</v>
      </c>
      <c r="M6810" s="3" t="s">
        <v>230</v>
      </c>
      <c r="N6810" s="8" t="s">
        <v>9479</v>
      </c>
      <c r="O6810" s="6" t="s">
        <v>365</v>
      </c>
      <c r="P6810" s="58" t="s">
        <v>242</v>
      </c>
      <c r="Q6810" s="3" t="s">
        <v>239</v>
      </c>
      <c r="R6810" s="3">
        <v>10</v>
      </c>
      <c r="S6810" s="134">
        <v>2000</v>
      </c>
      <c r="T6810" s="4">
        <v>0</v>
      </c>
      <c r="U6810" s="4">
        <f t="shared" si="304"/>
        <v>0</v>
      </c>
      <c r="V6810" s="3"/>
      <c r="W6810" s="3">
        <v>2014</v>
      </c>
      <c r="X6810" s="3">
        <v>11.12</v>
      </c>
    </row>
    <row r="6811" spans="1:24" ht="114.75">
      <c r="A6811" s="3" t="s">
        <v>13946</v>
      </c>
      <c r="B6811" s="6" t="s">
        <v>361</v>
      </c>
      <c r="C6811" s="6" t="s">
        <v>6534</v>
      </c>
      <c r="D6811" s="6" t="s">
        <v>6535</v>
      </c>
      <c r="E6811" s="6" t="s">
        <v>6536</v>
      </c>
      <c r="F6811" s="6" t="s">
        <v>7166</v>
      </c>
      <c r="G6811" s="57" t="s">
        <v>11449</v>
      </c>
      <c r="H6811" s="185">
        <v>0</v>
      </c>
      <c r="I6811" s="16">
        <v>470000000</v>
      </c>
      <c r="J6811" s="56" t="s">
        <v>229</v>
      </c>
      <c r="K6811" s="57" t="s">
        <v>642</v>
      </c>
      <c r="L6811" s="12" t="s">
        <v>404</v>
      </c>
      <c r="M6811" s="3" t="s">
        <v>230</v>
      </c>
      <c r="N6811" s="8" t="s">
        <v>9479</v>
      </c>
      <c r="O6811" s="6" t="s">
        <v>365</v>
      </c>
      <c r="P6811" s="58" t="s">
        <v>242</v>
      </c>
      <c r="Q6811" s="3" t="s">
        <v>239</v>
      </c>
      <c r="R6811" s="3">
        <v>10</v>
      </c>
      <c r="S6811" s="134">
        <v>2000</v>
      </c>
      <c r="T6811" s="4">
        <f>R6811*S6811</f>
        <v>20000</v>
      </c>
      <c r="U6811" s="4">
        <f>T6811*1.12</f>
        <v>22400.000000000004</v>
      </c>
      <c r="V6811" s="3"/>
      <c r="W6811" s="3">
        <v>2014</v>
      </c>
      <c r="X6811" s="3"/>
    </row>
    <row r="6812" spans="1:24" ht="114.75">
      <c r="A6812" s="3" t="s">
        <v>2844</v>
      </c>
      <c r="B6812" s="6" t="s">
        <v>361</v>
      </c>
      <c r="C6812" s="6" t="s">
        <v>6534</v>
      </c>
      <c r="D6812" s="6" t="s">
        <v>6535</v>
      </c>
      <c r="E6812" s="6" t="s">
        <v>6536</v>
      </c>
      <c r="F6812" s="6" t="s">
        <v>7167</v>
      </c>
      <c r="G6812" s="57" t="s">
        <v>11449</v>
      </c>
      <c r="H6812" s="185">
        <v>0</v>
      </c>
      <c r="I6812" s="16">
        <v>470000000</v>
      </c>
      <c r="J6812" s="56" t="s">
        <v>229</v>
      </c>
      <c r="K6812" s="57" t="s">
        <v>641</v>
      </c>
      <c r="L6812" s="57" t="s">
        <v>364</v>
      </c>
      <c r="M6812" s="3" t="s">
        <v>230</v>
      </c>
      <c r="N6812" s="8" t="s">
        <v>9479</v>
      </c>
      <c r="O6812" s="6" t="s">
        <v>365</v>
      </c>
      <c r="P6812" s="58" t="s">
        <v>242</v>
      </c>
      <c r="Q6812" s="3" t="s">
        <v>239</v>
      </c>
      <c r="R6812" s="3">
        <v>10</v>
      </c>
      <c r="S6812" s="134">
        <v>2000</v>
      </c>
      <c r="T6812" s="4">
        <v>0</v>
      </c>
      <c r="U6812" s="4">
        <f t="shared" si="304"/>
        <v>0</v>
      </c>
      <c r="V6812" s="3"/>
      <c r="W6812" s="3">
        <v>2014</v>
      </c>
      <c r="X6812" s="3">
        <v>11.12</v>
      </c>
    </row>
    <row r="6813" spans="1:24" ht="114.75">
      <c r="A6813" s="3" t="s">
        <v>13947</v>
      </c>
      <c r="B6813" s="6" t="s">
        <v>361</v>
      </c>
      <c r="C6813" s="6" t="s">
        <v>6534</v>
      </c>
      <c r="D6813" s="6" t="s">
        <v>6535</v>
      </c>
      <c r="E6813" s="6" t="s">
        <v>6536</v>
      </c>
      <c r="F6813" s="6" t="s">
        <v>7167</v>
      </c>
      <c r="G6813" s="57" t="s">
        <v>11449</v>
      </c>
      <c r="H6813" s="185">
        <v>0</v>
      </c>
      <c r="I6813" s="16">
        <v>470000000</v>
      </c>
      <c r="J6813" s="56" t="s">
        <v>229</v>
      </c>
      <c r="K6813" s="57" t="s">
        <v>642</v>
      </c>
      <c r="L6813" s="12" t="s">
        <v>404</v>
      </c>
      <c r="M6813" s="3" t="s">
        <v>230</v>
      </c>
      <c r="N6813" s="8" t="s">
        <v>9479</v>
      </c>
      <c r="O6813" s="6" t="s">
        <v>365</v>
      </c>
      <c r="P6813" s="58" t="s">
        <v>242</v>
      </c>
      <c r="Q6813" s="3" t="s">
        <v>239</v>
      </c>
      <c r="R6813" s="3">
        <v>10</v>
      </c>
      <c r="S6813" s="134">
        <v>2000</v>
      </c>
      <c r="T6813" s="4">
        <f>R6813*S6813</f>
        <v>20000</v>
      </c>
      <c r="U6813" s="4">
        <f>T6813*1.12</f>
        <v>22400.000000000004</v>
      </c>
      <c r="V6813" s="3"/>
      <c r="W6813" s="3">
        <v>2014</v>
      </c>
      <c r="X6813" s="3"/>
    </row>
    <row r="6814" spans="1:24" ht="114.75">
      <c r="A6814" s="3" t="s">
        <v>2845</v>
      </c>
      <c r="B6814" s="6" t="s">
        <v>361</v>
      </c>
      <c r="C6814" s="6" t="s">
        <v>6019</v>
      </c>
      <c r="D6814" s="6" t="s">
        <v>439</v>
      </c>
      <c r="E6814" s="6" t="s">
        <v>5998</v>
      </c>
      <c r="F6814" s="6" t="s">
        <v>7168</v>
      </c>
      <c r="G6814" s="57" t="s">
        <v>11449</v>
      </c>
      <c r="H6814" s="185">
        <v>0</v>
      </c>
      <c r="I6814" s="16">
        <v>470000000</v>
      </c>
      <c r="J6814" s="56" t="s">
        <v>229</v>
      </c>
      <c r="K6814" s="57" t="s">
        <v>641</v>
      </c>
      <c r="L6814" s="57" t="s">
        <v>364</v>
      </c>
      <c r="M6814" s="3" t="s">
        <v>230</v>
      </c>
      <c r="N6814" s="8" t="s">
        <v>9479</v>
      </c>
      <c r="O6814" s="6" t="s">
        <v>365</v>
      </c>
      <c r="P6814" s="58" t="s">
        <v>241</v>
      </c>
      <c r="Q6814" s="27" t="s">
        <v>234</v>
      </c>
      <c r="R6814" s="3">
        <v>4</v>
      </c>
      <c r="S6814" s="134">
        <v>3500</v>
      </c>
      <c r="T6814" s="4">
        <f t="shared" ref="T6814:T6877" si="305">R6814*S6814</f>
        <v>14000</v>
      </c>
      <c r="U6814" s="4">
        <f t="shared" si="304"/>
        <v>15680.000000000002</v>
      </c>
      <c r="V6814" s="3"/>
      <c r="W6814" s="3">
        <v>2014</v>
      </c>
      <c r="X6814" s="3"/>
    </row>
    <row r="6815" spans="1:24" ht="114.75">
      <c r="A6815" s="3" t="s">
        <v>2846</v>
      </c>
      <c r="B6815" s="6" t="s">
        <v>361</v>
      </c>
      <c r="C6815" s="6" t="s">
        <v>6064</v>
      </c>
      <c r="D6815" s="6" t="s">
        <v>5703</v>
      </c>
      <c r="E6815" s="6" t="s">
        <v>5998</v>
      </c>
      <c r="F6815" s="6" t="s">
        <v>7169</v>
      </c>
      <c r="G6815" s="57" t="s">
        <v>11449</v>
      </c>
      <c r="H6815" s="185">
        <v>0</v>
      </c>
      <c r="I6815" s="16">
        <v>470000000</v>
      </c>
      <c r="J6815" s="56" t="s">
        <v>229</v>
      </c>
      <c r="K6815" s="57" t="s">
        <v>641</v>
      </c>
      <c r="L6815" s="57" t="s">
        <v>364</v>
      </c>
      <c r="M6815" s="3" t="s">
        <v>230</v>
      </c>
      <c r="N6815" s="8" t="s">
        <v>9479</v>
      </c>
      <c r="O6815" s="6" t="s">
        <v>365</v>
      </c>
      <c r="P6815" s="58" t="s">
        <v>241</v>
      </c>
      <c r="Q6815" s="27" t="s">
        <v>234</v>
      </c>
      <c r="R6815" s="3">
        <v>4</v>
      </c>
      <c r="S6815" s="134">
        <v>3600</v>
      </c>
      <c r="T6815" s="4">
        <f t="shared" si="305"/>
        <v>14400</v>
      </c>
      <c r="U6815" s="4">
        <f t="shared" si="304"/>
        <v>16128.000000000002</v>
      </c>
      <c r="V6815" s="3"/>
      <c r="W6815" s="3">
        <v>2014</v>
      </c>
      <c r="X6815" s="3"/>
    </row>
    <row r="6816" spans="1:24" ht="114.75">
      <c r="A6816" s="3" t="s">
        <v>2847</v>
      </c>
      <c r="B6816" s="6" t="s">
        <v>361</v>
      </c>
      <c r="C6816" s="6" t="s">
        <v>6011</v>
      </c>
      <c r="D6816" s="6" t="s">
        <v>5614</v>
      </c>
      <c r="E6816" s="6" t="s">
        <v>5998</v>
      </c>
      <c r="F6816" s="6" t="s">
        <v>7170</v>
      </c>
      <c r="G6816" s="57" t="s">
        <v>11449</v>
      </c>
      <c r="H6816" s="185">
        <v>0</v>
      </c>
      <c r="I6816" s="16">
        <v>470000000</v>
      </c>
      <c r="J6816" s="56" t="s">
        <v>229</v>
      </c>
      <c r="K6816" s="57" t="s">
        <v>641</v>
      </c>
      <c r="L6816" s="57" t="s">
        <v>364</v>
      </c>
      <c r="M6816" s="3" t="s">
        <v>230</v>
      </c>
      <c r="N6816" s="8" t="s">
        <v>9479</v>
      </c>
      <c r="O6816" s="6" t="s">
        <v>365</v>
      </c>
      <c r="P6816" s="58" t="s">
        <v>242</v>
      </c>
      <c r="Q6816" s="3" t="s">
        <v>239</v>
      </c>
      <c r="R6816" s="3">
        <v>8</v>
      </c>
      <c r="S6816" s="134">
        <v>9000</v>
      </c>
      <c r="T6816" s="4">
        <f t="shared" si="305"/>
        <v>72000</v>
      </c>
      <c r="U6816" s="4">
        <f t="shared" si="304"/>
        <v>80640.000000000015</v>
      </c>
      <c r="V6816" s="3"/>
      <c r="W6816" s="3">
        <v>2014</v>
      </c>
      <c r="X6816" s="3"/>
    </row>
    <row r="6817" spans="1:24" ht="114.75">
      <c r="A6817" s="3" t="s">
        <v>2848</v>
      </c>
      <c r="B6817" s="6" t="s">
        <v>361</v>
      </c>
      <c r="C6817" s="6" t="s">
        <v>6015</v>
      </c>
      <c r="D6817" s="6" t="s">
        <v>408</v>
      </c>
      <c r="E6817" s="6" t="s">
        <v>5998</v>
      </c>
      <c r="F6817" s="6" t="s">
        <v>7171</v>
      </c>
      <c r="G6817" s="57" t="s">
        <v>11449</v>
      </c>
      <c r="H6817" s="185">
        <v>0</v>
      </c>
      <c r="I6817" s="16">
        <v>470000000</v>
      </c>
      <c r="J6817" s="56" t="s">
        <v>229</v>
      </c>
      <c r="K6817" s="57" t="s">
        <v>641</v>
      </c>
      <c r="L6817" s="57" t="s">
        <v>364</v>
      </c>
      <c r="M6817" s="3" t="s">
        <v>230</v>
      </c>
      <c r="N6817" s="8" t="s">
        <v>9479</v>
      </c>
      <c r="O6817" s="6" t="s">
        <v>365</v>
      </c>
      <c r="P6817" s="58" t="s">
        <v>241</v>
      </c>
      <c r="Q6817" s="27" t="s">
        <v>234</v>
      </c>
      <c r="R6817" s="3">
        <v>4</v>
      </c>
      <c r="S6817" s="134">
        <v>6300</v>
      </c>
      <c r="T6817" s="4">
        <f t="shared" si="305"/>
        <v>25200</v>
      </c>
      <c r="U6817" s="4">
        <f t="shared" si="304"/>
        <v>28224.000000000004</v>
      </c>
      <c r="V6817" s="3"/>
      <c r="W6817" s="3">
        <v>2014</v>
      </c>
      <c r="X6817" s="3"/>
    </row>
    <row r="6818" spans="1:24" ht="114.75">
      <c r="A6818" s="3" t="s">
        <v>2849</v>
      </c>
      <c r="B6818" s="6" t="s">
        <v>361</v>
      </c>
      <c r="C6818" s="6" t="s">
        <v>7172</v>
      </c>
      <c r="D6818" s="6" t="s">
        <v>7173</v>
      </c>
      <c r="E6818" s="6" t="s">
        <v>7174</v>
      </c>
      <c r="F6818" s="6" t="s">
        <v>7175</v>
      </c>
      <c r="G6818" s="57" t="s">
        <v>11449</v>
      </c>
      <c r="H6818" s="185">
        <v>0</v>
      </c>
      <c r="I6818" s="16">
        <v>470000000</v>
      </c>
      <c r="J6818" s="56" t="s">
        <v>229</v>
      </c>
      <c r="K6818" s="57" t="s">
        <v>641</v>
      </c>
      <c r="L6818" s="57" t="s">
        <v>364</v>
      </c>
      <c r="M6818" s="3" t="s">
        <v>230</v>
      </c>
      <c r="N6818" s="8" t="s">
        <v>9479</v>
      </c>
      <c r="O6818" s="6" t="s">
        <v>365</v>
      </c>
      <c r="P6818" s="58" t="s">
        <v>241</v>
      </c>
      <c r="Q6818" s="27" t="s">
        <v>234</v>
      </c>
      <c r="R6818" s="3">
        <v>12</v>
      </c>
      <c r="S6818" s="134">
        <v>200</v>
      </c>
      <c r="T6818" s="4">
        <f t="shared" si="305"/>
        <v>2400</v>
      </c>
      <c r="U6818" s="4">
        <f t="shared" si="304"/>
        <v>2688.0000000000005</v>
      </c>
      <c r="V6818" s="3"/>
      <c r="W6818" s="3">
        <v>2014</v>
      </c>
      <c r="X6818" s="3"/>
    </row>
    <row r="6819" spans="1:24" ht="114.75">
      <c r="A6819" s="3" t="s">
        <v>2850</v>
      </c>
      <c r="B6819" s="6" t="s">
        <v>361</v>
      </c>
      <c r="C6819" s="6" t="s">
        <v>6001</v>
      </c>
      <c r="D6819" s="6" t="s">
        <v>438</v>
      </c>
      <c r="E6819" s="6" t="s">
        <v>5998</v>
      </c>
      <c r="F6819" s="6" t="s">
        <v>7176</v>
      </c>
      <c r="G6819" s="57" t="s">
        <v>11449</v>
      </c>
      <c r="H6819" s="185">
        <v>0</v>
      </c>
      <c r="I6819" s="16">
        <v>470000000</v>
      </c>
      <c r="J6819" s="56" t="s">
        <v>229</v>
      </c>
      <c r="K6819" s="57" t="s">
        <v>641</v>
      </c>
      <c r="L6819" s="57" t="s">
        <v>364</v>
      </c>
      <c r="M6819" s="3" t="s">
        <v>230</v>
      </c>
      <c r="N6819" s="8" t="s">
        <v>9479</v>
      </c>
      <c r="O6819" s="6" t="s">
        <v>365</v>
      </c>
      <c r="P6819" s="58" t="s">
        <v>241</v>
      </c>
      <c r="Q6819" s="27" t="s">
        <v>234</v>
      </c>
      <c r="R6819" s="3">
        <v>4</v>
      </c>
      <c r="S6819" s="134">
        <v>21500</v>
      </c>
      <c r="T6819" s="4">
        <f t="shared" si="305"/>
        <v>86000</v>
      </c>
      <c r="U6819" s="4">
        <f t="shared" si="304"/>
        <v>96320.000000000015</v>
      </c>
      <c r="V6819" s="3"/>
      <c r="W6819" s="3">
        <v>2014</v>
      </c>
      <c r="X6819" s="3"/>
    </row>
    <row r="6820" spans="1:24" ht="114.75">
      <c r="A6820" s="3" t="s">
        <v>2851</v>
      </c>
      <c r="B6820" s="6" t="s">
        <v>361</v>
      </c>
      <c r="C6820" s="6" t="s">
        <v>7177</v>
      </c>
      <c r="D6820" s="6" t="s">
        <v>7178</v>
      </c>
      <c r="E6820" s="6" t="s">
        <v>7179</v>
      </c>
      <c r="F6820" s="6" t="s">
        <v>7180</v>
      </c>
      <c r="G6820" s="57" t="s">
        <v>11449</v>
      </c>
      <c r="H6820" s="185">
        <v>0</v>
      </c>
      <c r="I6820" s="16">
        <v>470000000</v>
      </c>
      <c r="J6820" s="56" t="s">
        <v>229</v>
      </c>
      <c r="K6820" s="57" t="s">
        <v>641</v>
      </c>
      <c r="L6820" s="57" t="s">
        <v>364</v>
      </c>
      <c r="M6820" s="3" t="s">
        <v>230</v>
      </c>
      <c r="N6820" s="8" t="s">
        <v>9479</v>
      </c>
      <c r="O6820" s="6" t="s">
        <v>365</v>
      </c>
      <c r="P6820" s="58" t="s">
        <v>241</v>
      </c>
      <c r="Q6820" s="27" t="s">
        <v>234</v>
      </c>
      <c r="R6820" s="3">
        <v>2</v>
      </c>
      <c r="S6820" s="134">
        <v>23100</v>
      </c>
      <c r="T6820" s="4">
        <f t="shared" si="305"/>
        <v>46200</v>
      </c>
      <c r="U6820" s="4">
        <f t="shared" si="304"/>
        <v>51744.000000000007</v>
      </c>
      <c r="V6820" s="3"/>
      <c r="W6820" s="3">
        <v>2014</v>
      </c>
      <c r="X6820" s="3"/>
    </row>
    <row r="6821" spans="1:24" ht="114.75">
      <c r="A6821" s="3" t="s">
        <v>2852</v>
      </c>
      <c r="B6821" s="6" t="s">
        <v>361</v>
      </c>
      <c r="C6821" s="6" t="s">
        <v>7181</v>
      </c>
      <c r="D6821" s="6" t="s">
        <v>7182</v>
      </c>
      <c r="E6821" s="6" t="s">
        <v>5743</v>
      </c>
      <c r="F6821" s="6" t="s">
        <v>7183</v>
      </c>
      <c r="G6821" s="57" t="s">
        <v>11449</v>
      </c>
      <c r="H6821" s="185">
        <v>0</v>
      </c>
      <c r="I6821" s="16">
        <v>470000000</v>
      </c>
      <c r="J6821" s="56" t="s">
        <v>229</v>
      </c>
      <c r="K6821" s="57" t="s">
        <v>641</v>
      </c>
      <c r="L6821" s="57" t="s">
        <v>364</v>
      </c>
      <c r="M6821" s="3" t="s">
        <v>230</v>
      </c>
      <c r="N6821" s="8" t="s">
        <v>9479</v>
      </c>
      <c r="O6821" s="6" t="s">
        <v>365</v>
      </c>
      <c r="P6821" s="58" t="s">
        <v>241</v>
      </c>
      <c r="Q6821" s="27" t="s">
        <v>234</v>
      </c>
      <c r="R6821" s="3">
        <v>12</v>
      </c>
      <c r="S6821" s="134">
        <v>1100</v>
      </c>
      <c r="T6821" s="4">
        <f t="shared" si="305"/>
        <v>13200</v>
      </c>
      <c r="U6821" s="4">
        <f t="shared" si="304"/>
        <v>14784.000000000002</v>
      </c>
      <c r="V6821" s="3"/>
      <c r="W6821" s="3">
        <v>2014</v>
      </c>
      <c r="X6821" s="3"/>
    </row>
    <row r="6822" spans="1:24" ht="114.75">
      <c r="A6822" s="3" t="s">
        <v>2853</v>
      </c>
      <c r="B6822" s="6" t="s">
        <v>361</v>
      </c>
      <c r="C6822" s="6" t="s">
        <v>7184</v>
      </c>
      <c r="D6822" s="6" t="s">
        <v>7185</v>
      </c>
      <c r="E6822" s="6" t="s">
        <v>5332</v>
      </c>
      <c r="F6822" s="6" t="s">
        <v>7186</v>
      </c>
      <c r="G6822" s="57" t="s">
        <v>11449</v>
      </c>
      <c r="H6822" s="185">
        <v>0</v>
      </c>
      <c r="I6822" s="16">
        <v>470000000</v>
      </c>
      <c r="J6822" s="56" t="s">
        <v>229</v>
      </c>
      <c r="K6822" s="57" t="s">
        <v>641</v>
      </c>
      <c r="L6822" s="57" t="s">
        <v>364</v>
      </c>
      <c r="M6822" s="3" t="s">
        <v>230</v>
      </c>
      <c r="N6822" s="8" t="s">
        <v>9479</v>
      </c>
      <c r="O6822" s="6" t="s">
        <v>365</v>
      </c>
      <c r="P6822" s="58" t="s">
        <v>241</v>
      </c>
      <c r="Q6822" s="27" t="s">
        <v>234</v>
      </c>
      <c r="R6822" s="3">
        <v>24</v>
      </c>
      <c r="S6822" s="134">
        <v>9200</v>
      </c>
      <c r="T6822" s="4">
        <f t="shared" si="305"/>
        <v>220800</v>
      </c>
      <c r="U6822" s="4">
        <f t="shared" si="304"/>
        <v>247296.00000000003</v>
      </c>
      <c r="V6822" s="3"/>
      <c r="W6822" s="3">
        <v>2014</v>
      </c>
      <c r="X6822" s="3"/>
    </row>
    <row r="6823" spans="1:24" ht="114.75">
      <c r="A6823" s="3" t="s">
        <v>2854</v>
      </c>
      <c r="B6823" s="6" t="s">
        <v>361</v>
      </c>
      <c r="C6823" s="6" t="s">
        <v>7187</v>
      </c>
      <c r="D6823" s="6" t="s">
        <v>5601</v>
      </c>
      <c r="E6823" s="6" t="s">
        <v>5743</v>
      </c>
      <c r="F6823" s="6" t="s">
        <v>7188</v>
      </c>
      <c r="G6823" s="57" t="s">
        <v>11449</v>
      </c>
      <c r="H6823" s="185">
        <v>0</v>
      </c>
      <c r="I6823" s="16">
        <v>470000000</v>
      </c>
      <c r="J6823" s="56" t="s">
        <v>229</v>
      </c>
      <c r="K6823" s="57" t="s">
        <v>641</v>
      </c>
      <c r="L6823" s="57" t="s">
        <v>364</v>
      </c>
      <c r="M6823" s="3" t="s">
        <v>230</v>
      </c>
      <c r="N6823" s="8" t="s">
        <v>9479</v>
      </c>
      <c r="O6823" s="6" t="s">
        <v>365</v>
      </c>
      <c r="P6823" s="58" t="s">
        <v>241</v>
      </c>
      <c r="Q6823" s="27" t="s">
        <v>234</v>
      </c>
      <c r="R6823" s="3">
        <v>2</v>
      </c>
      <c r="S6823" s="134">
        <f>30000*1.07</f>
        <v>32100.000000000004</v>
      </c>
      <c r="T6823" s="4">
        <f t="shared" si="305"/>
        <v>64200.000000000007</v>
      </c>
      <c r="U6823" s="4">
        <f t="shared" si="304"/>
        <v>71904.000000000015</v>
      </c>
      <c r="V6823" s="3"/>
      <c r="W6823" s="3">
        <v>2014</v>
      </c>
      <c r="X6823" s="3"/>
    </row>
    <row r="6824" spans="1:24" ht="114.75">
      <c r="A6824" s="3" t="s">
        <v>2855</v>
      </c>
      <c r="B6824" s="6" t="s">
        <v>361</v>
      </c>
      <c r="C6824" s="6" t="s">
        <v>7089</v>
      </c>
      <c r="D6824" s="6" t="s">
        <v>7090</v>
      </c>
      <c r="E6824" s="6" t="s">
        <v>7091</v>
      </c>
      <c r="F6824" s="6" t="s">
        <v>7189</v>
      </c>
      <c r="G6824" s="57" t="s">
        <v>11449</v>
      </c>
      <c r="H6824" s="185">
        <v>0</v>
      </c>
      <c r="I6824" s="16">
        <v>470000000</v>
      </c>
      <c r="J6824" s="56" t="s">
        <v>229</v>
      </c>
      <c r="K6824" s="57" t="s">
        <v>641</v>
      </c>
      <c r="L6824" s="57" t="s">
        <v>364</v>
      </c>
      <c r="M6824" s="3" t="s">
        <v>230</v>
      </c>
      <c r="N6824" s="8" t="s">
        <v>9479</v>
      </c>
      <c r="O6824" s="6" t="s">
        <v>365</v>
      </c>
      <c r="P6824" s="58" t="s">
        <v>241</v>
      </c>
      <c r="Q6824" s="27" t="s">
        <v>234</v>
      </c>
      <c r="R6824" s="3">
        <v>48</v>
      </c>
      <c r="S6824" s="134">
        <v>2700</v>
      </c>
      <c r="T6824" s="4">
        <f t="shared" si="305"/>
        <v>129600</v>
      </c>
      <c r="U6824" s="4">
        <f t="shared" si="304"/>
        <v>145152</v>
      </c>
      <c r="V6824" s="3"/>
      <c r="W6824" s="3">
        <v>2014</v>
      </c>
      <c r="X6824" s="3"/>
    </row>
    <row r="6825" spans="1:24" ht="114.75">
      <c r="A6825" s="3" t="s">
        <v>2856</v>
      </c>
      <c r="B6825" s="6" t="s">
        <v>361</v>
      </c>
      <c r="C6825" s="6" t="s">
        <v>7368</v>
      </c>
      <c r="D6825" s="6" t="s">
        <v>7369</v>
      </c>
      <c r="E6825" s="6" t="s">
        <v>7370</v>
      </c>
      <c r="F6825" s="6" t="s">
        <v>7190</v>
      </c>
      <c r="G6825" s="57" t="s">
        <v>11449</v>
      </c>
      <c r="H6825" s="185">
        <v>0</v>
      </c>
      <c r="I6825" s="16">
        <v>470000000</v>
      </c>
      <c r="J6825" s="56" t="s">
        <v>229</v>
      </c>
      <c r="K6825" s="57" t="s">
        <v>641</v>
      </c>
      <c r="L6825" s="57" t="s">
        <v>364</v>
      </c>
      <c r="M6825" s="3" t="s">
        <v>230</v>
      </c>
      <c r="N6825" s="8" t="s">
        <v>9479</v>
      </c>
      <c r="O6825" s="6" t="s">
        <v>365</v>
      </c>
      <c r="P6825" s="58" t="s">
        <v>241</v>
      </c>
      <c r="Q6825" s="27" t="s">
        <v>234</v>
      </c>
      <c r="R6825" s="3">
        <v>48</v>
      </c>
      <c r="S6825" s="134">
        <v>425</v>
      </c>
      <c r="T6825" s="4">
        <f t="shared" si="305"/>
        <v>20400</v>
      </c>
      <c r="U6825" s="4">
        <f t="shared" si="304"/>
        <v>22848.000000000004</v>
      </c>
      <c r="V6825" s="3"/>
      <c r="W6825" s="3">
        <v>2014</v>
      </c>
      <c r="X6825" s="3"/>
    </row>
    <row r="6826" spans="1:24" ht="114.75">
      <c r="A6826" s="3" t="s">
        <v>2857</v>
      </c>
      <c r="B6826" s="6" t="s">
        <v>361</v>
      </c>
      <c r="C6826" s="6" t="s">
        <v>5990</v>
      </c>
      <c r="D6826" s="6" t="s">
        <v>387</v>
      </c>
      <c r="E6826" s="6" t="s">
        <v>5991</v>
      </c>
      <c r="F6826" s="6" t="s">
        <v>7191</v>
      </c>
      <c r="G6826" s="57" t="s">
        <v>11449</v>
      </c>
      <c r="H6826" s="185">
        <v>0</v>
      </c>
      <c r="I6826" s="16">
        <v>470000000</v>
      </c>
      <c r="J6826" s="56" t="s">
        <v>229</v>
      </c>
      <c r="K6826" s="57" t="s">
        <v>641</v>
      </c>
      <c r="L6826" s="57" t="s">
        <v>364</v>
      </c>
      <c r="M6826" s="3" t="s">
        <v>230</v>
      </c>
      <c r="N6826" s="8" t="s">
        <v>9479</v>
      </c>
      <c r="O6826" s="6" t="s">
        <v>365</v>
      </c>
      <c r="P6826" s="58" t="s">
        <v>241</v>
      </c>
      <c r="Q6826" s="27" t="s">
        <v>234</v>
      </c>
      <c r="R6826" s="3">
        <v>10</v>
      </c>
      <c r="S6826" s="134">
        <v>1900</v>
      </c>
      <c r="T6826" s="4">
        <f t="shared" si="305"/>
        <v>19000</v>
      </c>
      <c r="U6826" s="4">
        <f t="shared" si="304"/>
        <v>21280.000000000004</v>
      </c>
      <c r="V6826" s="3"/>
      <c r="W6826" s="3">
        <v>2014</v>
      </c>
      <c r="X6826" s="3"/>
    </row>
    <row r="6827" spans="1:24" ht="114.75">
      <c r="A6827" s="3" t="s">
        <v>2858</v>
      </c>
      <c r="B6827" s="6" t="s">
        <v>361</v>
      </c>
      <c r="C6827" s="6" t="s">
        <v>7038</v>
      </c>
      <c r="D6827" s="6" t="s">
        <v>504</v>
      </c>
      <c r="E6827" s="6" t="s">
        <v>5998</v>
      </c>
      <c r="F6827" s="6" t="s">
        <v>11799</v>
      </c>
      <c r="G6827" s="57" t="s">
        <v>11449</v>
      </c>
      <c r="H6827" s="185">
        <v>0</v>
      </c>
      <c r="I6827" s="16">
        <v>470000000</v>
      </c>
      <c r="J6827" s="56" t="s">
        <v>229</v>
      </c>
      <c r="K6827" s="57" t="s">
        <v>641</v>
      </c>
      <c r="L6827" s="57" t="s">
        <v>364</v>
      </c>
      <c r="M6827" s="3" t="s">
        <v>230</v>
      </c>
      <c r="N6827" s="8" t="s">
        <v>9479</v>
      </c>
      <c r="O6827" s="6" t="s">
        <v>365</v>
      </c>
      <c r="P6827" s="58" t="s">
        <v>241</v>
      </c>
      <c r="Q6827" s="27" t="s">
        <v>234</v>
      </c>
      <c r="R6827" s="3">
        <v>3</v>
      </c>
      <c r="S6827" s="134">
        <v>4000</v>
      </c>
      <c r="T6827" s="4">
        <f t="shared" si="305"/>
        <v>12000</v>
      </c>
      <c r="U6827" s="4">
        <f t="shared" si="304"/>
        <v>13440.000000000002</v>
      </c>
      <c r="V6827" s="3"/>
      <c r="W6827" s="3">
        <v>2014</v>
      </c>
      <c r="X6827" s="3"/>
    </row>
    <row r="6828" spans="1:24" ht="114.75">
      <c r="A6828" s="3" t="s">
        <v>2859</v>
      </c>
      <c r="B6828" s="6" t="s">
        <v>361</v>
      </c>
      <c r="C6828" s="6" t="s">
        <v>5764</v>
      </c>
      <c r="D6828" s="6" t="s">
        <v>5376</v>
      </c>
      <c r="E6828" s="6" t="s">
        <v>5743</v>
      </c>
      <c r="F6828" s="6" t="s">
        <v>7192</v>
      </c>
      <c r="G6828" s="57" t="s">
        <v>11449</v>
      </c>
      <c r="H6828" s="185">
        <v>0</v>
      </c>
      <c r="I6828" s="16">
        <v>470000000</v>
      </c>
      <c r="J6828" s="56" t="s">
        <v>229</v>
      </c>
      <c r="K6828" s="57" t="s">
        <v>641</v>
      </c>
      <c r="L6828" s="57" t="s">
        <v>364</v>
      </c>
      <c r="M6828" s="3" t="s">
        <v>230</v>
      </c>
      <c r="N6828" s="8" t="s">
        <v>9479</v>
      </c>
      <c r="O6828" s="6" t="s">
        <v>365</v>
      </c>
      <c r="P6828" s="58" t="s">
        <v>241</v>
      </c>
      <c r="Q6828" s="27" t="s">
        <v>234</v>
      </c>
      <c r="R6828" s="3">
        <v>3</v>
      </c>
      <c r="S6828" s="134">
        <v>2500</v>
      </c>
      <c r="T6828" s="4">
        <f t="shared" si="305"/>
        <v>7500</v>
      </c>
      <c r="U6828" s="4">
        <f t="shared" si="304"/>
        <v>8400</v>
      </c>
      <c r="V6828" s="3"/>
      <c r="W6828" s="3">
        <v>2014</v>
      </c>
      <c r="X6828" s="3"/>
    </row>
    <row r="6829" spans="1:24" ht="114.75">
      <c r="A6829" s="3" t="s">
        <v>2860</v>
      </c>
      <c r="B6829" s="6" t="s">
        <v>361</v>
      </c>
      <c r="C6829" s="6" t="s">
        <v>7193</v>
      </c>
      <c r="D6829" s="6" t="s">
        <v>5342</v>
      </c>
      <c r="E6829" s="6" t="s">
        <v>5752</v>
      </c>
      <c r="F6829" s="6" t="s">
        <v>7194</v>
      </c>
      <c r="G6829" s="57" t="s">
        <v>11449</v>
      </c>
      <c r="H6829" s="185">
        <v>0</v>
      </c>
      <c r="I6829" s="16">
        <v>470000000</v>
      </c>
      <c r="J6829" s="56" t="s">
        <v>229</v>
      </c>
      <c r="K6829" s="57" t="s">
        <v>641</v>
      </c>
      <c r="L6829" s="57" t="s">
        <v>364</v>
      </c>
      <c r="M6829" s="3" t="s">
        <v>230</v>
      </c>
      <c r="N6829" s="8" t="s">
        <v>9479</v>
      </c>
      <c r="O6829" s="6" t="s">
        <v>365</v>
      </c>
      <c r="P6829" s="58" t="s">
        <v>241</v>
      </c>
      <c r="Q6829" s="27" t="s">
        <v>234</v>
      </c>
      <c r="R6829" s="3">
        <v>2</v>
      </c>
      <c r="S6829" s="134">
        <v>3500</v>
      </c>
      <c r="T6829" s="4">
        <f t="shared" si="305"/>
        <v>7000</v>
      </c>
      <c r="U6829" s="4">
        <f t="shared" si="304"/>
        <v>7840.0000000000009</v>
      </c>
      <c r="V6829" s="3"/>
      <c r="W6829" s="3">
        <v>2014</v>
      </c>
      <c r="X6829" s="3"/>
    </row>
    <row r="6830" spans="1:24" ht="114.75">
      <c r="A6830" s="3" t="s">
        <v>2861</v>
      </c>
      <c r="B6830" s="6" t="s">
        <v>361</v>
      </c>
      <c r="C6830" s="6" t="s">
        <v>7195</v>
      </c>
      <c r="D6830" s="6" t="s">
        <v>510</v>
      </c>
      <c r="E6830" s="6" t="s">
        <v>7196</v>
      </c>
      <c r="F6830" s="6" t="s">
        <v>7197</v>
      </c>
      <c r="G6830" s="57" t="s">
        <v>11449</v>
      </c>
      <c r="H6830" s="185">
        <v>0</v>
      </c>
      <c r="I6830" s="16">
        <v>470000000</v>
      </c>
      <c r="J6830" s="56" t="s">
        <v>229</v>
      </c>
      <c r="K6830" s="57" t="s">
        <v>641</v>
      </c>
      <c r="L6830" s="57" t="s">
        <v>364</v>
      </c>
      <c r="M6830" s="3" t="s">
        <v>230</v>
      </c>
      <c r="N6830" s="8" t="s">
        <v>9479</v>
      </c>
      <c r="O6830" s="6" t="s">
        <v>365</v>
      </c>
      <c r="P6830" s="58" t="s">
        <v>241</v>
      </c>
      <c r="Q6830" s="27" t="s">
        <v>234</v>
      </c>
      <c r="R6830" s="3">
        <v>3</v>
      </c>
      <c r="S6830" s="134">
        <v>3000</v>
      </c>
      <c r="T6830" s="4">
        <f t="shared" si="305"/>
        <v>9000</v>
      </c>
      <c r="U6830" s="4">
        <f t="shared" si="304"/>
        <v>10080.000000000002</v>
      </c>
      <c r="V6830" s="3"/>
      <c r="W6830" s="3">
        <v>2014</v>
      </c>
      <c r="X6830" s="3"/>
    </row>
    <row r="6831" spans="1:24" ht="114.75">
      <c r="A6831" s="3" t="s">
        <v>2862</v>
      </c>
      <c r="B6831" s="6" t="s">
        <v>361</v>
      </c>
      <c r="C6831" s="6" t="s">
        <v>7198</v>
      </c>
      <c r="D6831" s="6" t="s">
        <v>7199</v>
      </c>
      <c r="E6831" s="6" t="s">
        <v>7200</v>
      </c>
      <c r="F6831" s="6" t="s">
        <v>7201</v>
      </c>
      <c r="G6831" s="57" t="s">
        <v>11449</v>
      </c>
      <c r="H6831" s="185">
        <v>0</v>
      </c>
      <c r="I6831" s="16">
        <v>470000000</v>
      </c>
      <c r="J6831" s="56" t="s">
        <v>229</v>
      </c>
      <c r="K6831" s="57" t="s">
        <v>641</v>
      </c>
      <c r="L6831" s="57" t="s">
        <v>364</v>
      </c>
      <c r="M6831" s="3" t="s">
        <v>230</v>
      </c>
      <c r="N6831" s="8" t="s">
        <v>9479</v>
      </c>
      <c r="O6831" s="6" t="s">
        <v>365</v>
      </c>
      <c r="P6831" s="58" t="s">
        <v>241</v>
      </c>
      <c r="Q6831" s="27" t="s">
        <v>234</v>
      </c>
      <c r="R6831" s="3">
        <v>5</v>
      </c>
      <c r="S6831" s="134">
        <f>18000*1.07</f>
        <v>19260</v>
      </c>
      <c r="T6831" s="4">
        <f t="shared" si="305"/>
        <v>96300</v>
      </c>
      <c r="U6831" s="4">
        <f t="shared" si="304"/>
        <v>107856.00000000001</v>
      </c>
      <c r="V6831" s="3"/>
      <c r="W6831" s="3">
        <v>2014</v>
      </c>
      <c r="X6831" s="3"/>
    </row>
    <row r="6832" spans="1:24" ht="114.75">
      <c r="A6832" s="3" t="s">
        <v>2863</v>
      </c>
      <c r="B6832" s="6" t="s">
        <v>361</v>
      </c>
      <c r="C6832" s="6" t="s">
        <v>7202</v>
      </c>
      <c r="D6832" s="6" t="s">
        <v>7203</v>
      </c>
      <c r="E6832" s="6" t="s">
        <v>7204</v>
      </c>
      <c r="F6832" s="6" t="s">
        <v>7205</v>
      </c>
      <c r="G6832" s="57" t="s">
        <v>11449</v>
      </c>
      <c r="H6832" s="185">
        <v>0</v>
      </c>
      <c r="I6832" s="16">
        <v>470000000</v>
      </c>
      <c r="J6832" s="56" t="s">
        <v>229</v>
      </c>
      <c r="K6832" s="57" t="s">
        <v>641</v>
      </c>
      <c r="L6832" s="57" t="s">
        <v>364</v>
      </c>
      <c r="M6832" s="3" t="s">
        <v>230</v>
      </c>
      <c r="N6832" s="8" t="s">
        <v>9479</v>
      </c>
      <c r="O6832" s="6" t="s">
        <v>365</v>
      </c>
      <c r="P6832" s="58" t="s">
        <v>241</v>
      </c>
      <c r="Q6832" s="27" t="s">
        <v>234</v>
      </c>
      <c r="R6832" s="3">
        <v>2</v>
      </c>
      <c r="S6832" s="134">
        <v>5500</v>
      </c>
      <c r="T6832" s="4">
        <f t="shared" si="305"/>
        <v>11000</v>
      </c>
      <c r="U6832" s="4">
        <f t="shared" si="304"/>
        <v>12320.000000000002</v>
      </c>
      <c r="V6832" s="3"/>
      <c r="W6832" s="3">
        <v>2014</v>
      </c>
      <c r="X6832" s="3"/>
    </row>
    <row r="6833" spans="1:24" ht="114.75">
      <c r="A6833" s="3" t="s">
        <v>2864</v>
      </c>
      <c r="B6833" s="6" t="s">
        <v>361</v>
      </c>
      <c r="C6833" s="6" t="s">
        <v>7202</v>
      </c>
      <c r="D6833" s="6" t="s">
        <v>7203</v>
      </c>
      <c r="E6833" s="6" t="s">
        <v>7204</v>
      </c>
      <c r="F6833" s="6" t="s">
        <v>7206</v>
      </c>
      <c r="G6833" s="57" t="s">
        <v>11449</v>
      </c>
      <c r="H6833" s="185">
        <v>0</v>
      </c>
      <c r="I6833" s="16">
        <v>470000000</v>
      </c>
      <c r="J6833" s="56" t="s">
        <v>229</v>
      </c>
      <c r="K6833" s="57" t="s">
        <v>641</v>
      </c>
      <c r="L6833" s="57" t="s">
        <v>364</v>
      </c>
      <c r="M6833" s="3" t="s">
        <v>230</v>
      </c>
      <c r="N6833" s="8" t="s">
        <v>9479</v>
      </c>
      <c r="O6833" s="6" t="s">
        <v>365</v>
      </c>
      <c r="P6833" s="58" t="s">
        <v>241</v>
      </c>
      <c r="Q6833" s="27" t="s">
        <v>234</v>
      </c>
      <c r="R6833" s="3">
        <v>2</v>
      </c>
      <c r="S6833" s="134">
        <v>5500</v>
      </c>
      <c r="T6833" s="4">
        <f t="shared" si="305"/>
        <v>11000</v>
      </c>
      <c r="U6833" s="4">
        <f t="shared" si="304"/>
        <v>12320.000000000002</v>
      </c>
      <c r="V6833" s="3"/>
      <c r="W6833" s="3">
        <v>2014</v>
      </c>
      <c r="X6833" s="3"/>
    </row>
    <row r="6834" spans="1:24" ht="114.75">
      <c r="A6834" s="3" t="s">
        <v>2865</v>
      </c>
      <c r="B6834" s="6" t="s">
        <v>361</v>
      </c>
      <c r="C6834" s="6" t="s">
        <v>7372</v>
      </c>
      <c r="D6834" s="6" t="s">
        <v>5803</v>
      </c>
      <c r="E6834" s="6" t="s">
        <v>11604</v>
      </c>
      <c r="F6834" s="6" t="s">
        <v>7207</v>
      </c>
      <c r="G6834" s="57" t="s">
        <v>11449</v>
      </c>
      <c r="H6834" s="185">
        <v>0</v>
      </c>
      <c r="I6834" s="16">
        <v>470000000</v>
      </c>
      <c r="J6834" s="56" t="s">
        <v>229</v>
      </c>
      <c r="K6834" s="57" t="s">
        <v>641</v>
      </c>
      <c r="L6834" s="57" t="s">
        <v>364</v>
      </c>
      <c r="M6834" s="3" t="s">
        <v>230</v>
      </c>
      <c r="N6834" s="8" t="s">
        <v>9479</v>
      </c>
      <c r="O6834" s="6" t="s">
        <v>365</v>
      </c>
      <c r="P6834" s="58" t="s">
        <v>241</v>
      </c>
      <c r="Q6834" s="27" t="s">
        <v>234</v>
      </c>
      <c r="R6834" s="3">
        <v>2</v>
      </c>
      <c r="S6834" s="134">
        <v>13100</v>
      </c>
      <c r="T6834" s="4">
        <f t="shared" si="305"/>
        <v>26200</v>
      </c>
      <c r="U6834" s="4">
        <f t="shared" si="304"/>
        <v>29344.000000000004</v>
      </c>
      <c r="V6834" s="3"/>
      <c r="W6834" s="3">
        <v>2014</v>
      </c>
      <c r="X6834" s="3"/>
    </row>
    <row r="6835" spans="1:24" ht="114.75">
      <c r="A6835" s="3" t="s">
        <v>2866</v>
      </c>
      <c r="B6835" s="6" t="s">
        <v>361</v>
      </c>
      <c r="C6835" s="6" t="s">
        <v>7208</v>
      </c>
      <c r="D6835" s="6" t="s">
        <v>387</v>
      </c>
      <c r="E6835" s="6" t="s">
        <v>7209</v>
      </c>
      <c r="F6835" s="6" t="s">
        <v>7210</v>
      </c>
      <c r="G6835" s="57" t="s">
        <v>11449</v>
      </c>
      <c r="H6835" s="185">
        <v>0</v>
      </c>
      <c r="I6835" s="16">
        <v>470000000</v>
      </c>
      <c r="J6835" s="56" t="s">
        <v>229</v>
      </c>
      <c r="K6835" s="57" t="s">
        <v>641</v>
      </c>
      <c r="L6835" s="57" t="s">
        <v>364</v>
      </c>
      <c r="M6835" s="3" t="s">
        <v>230</v>
      </c>
      <c r="N6835" s="8" t="s">
        <v>9479</v>
      </c>
      <c r="O6835" s="6" t="s">
        <v>365</v>
      </c>
      <c r="P6835" s="58" t="s">
        <v>241</v>
      </c>
      <c r="Q6835" s="27" t="s">
        <v>234</v>
      </c>
      <c r="R6835" s="3">
        <v>6</v>
      </c>
      <c r="S6835" s="134">
        <v>550</v>
      </c>
      <c r="T6835" s="4">
        <f t="shared" si="305"/>
        <v>3300</v>
      </c>
      <c r="U6835" s="4">
        <f t="shared" si="304"/>
        <v>3696.0000000000005</v>
      </c>
      <c r="V6835" s="3"/>
      <c r="W6835" s="3">
        <v>2014</v>
      </c>
      <c r="X6835" s="3"/>
    </row>
    <row r="6836" spans="1:24" ht="114.75">
      <c r="A6836" s="3" t="s">
        <v>2867</v>
      </c>
      <c r="B6836" s="6" t="s">
        <v>361</v>
      </c>
      <c r="C6836" s="6" t="s">
        <v>7030</v>
      </c>
      <c r="D6836" s="6" t="s">
        <v>5907</v>
      </c>
      <c r="E6836" s="6" t="s">
        <v>5998</v>
      </c>
      <c r="F6836" s="6" t="s">
        <v>7211</v>
      </c>
      <c r="G6836" s="57" t="s">
        <v>11449</v>
      </c>
      <c r="H6836" s="185">
        <v>0</v>
      </c>
      <c r="I6836" s="16">
        <v>470000000</v>
      </c>
      <c r="J6836" s="56" t="s">
        <v>229</v>
      </c>
      <c r="K6836" s="57" t="s">
        <v>641</v>
      </c>
      <c r="L6836" s="57" t="s">
        <v>364</v>
      </c>
      <c r="M6836" s="3" t="s">
        <v>230</v>
      </c>
      <c r="N6836" s="8" t="s">
        <v>9479</v>
      </c>
      <c r="O6836" s="6" t="s">
        <v>365</v>
      </c>
      <c r="P6836" s="58" t="s">
        <v>241</v>
      </c>
      <c r="Q6836" s="27" t="s">
        <v>234</v>
      </c>
      <c r="R6836" s="3">
        <v>4</v>
      </c>
      <c r="S6836" s="134">
        <v>3500</v>
      </c>
      <c r="T6836" s="4">
        <f t="shared" si="305"/>
        <v>14000</v>
      </c>
      <c r="U6836" s="4">
        <f t="shared" si="304"/>
        <v>15680.000000000002</v>
      </c>
      <c r="V6836" s="3"/>
      <c r="W6836" s="3">
        <v>2014</v>
      </c>
      <c r="X6836" s="3"/>
    </row>
    <row r="6837" spans="1:24" ht="114.75">
      <c r="A6837" s="3" t="s">
        <v>2868</v>
      </c>
      <c r="B6837" s="6" t="s">
        <v>361</v>
      </c>
      <c r="C6837" s="6" t="s">
        <v>7212</v>
      </c>
      <c r="D6837" s="6" t="s">
        <v>5441</v>
      </c>
      <c r="E6837" s="6" t="s">
        <v>5998</v>
      </c>
      <c r="F6837" s="6" t="s">
        <v>7213</v>
      </c>
      <c r="G6837" s="57" t="s">
        <v>11449</v>
      </c>
      <c r="H6837" s="185">
        <v>0</v>
      </c>
      <c r="I6837" s="16">
        <v>470000000</v>
      </c>
      <c r="J6837" s="56" t="s">
        <v>229</v>
      </c>
      <c r="K6837" s="57" t="s">
        <v>641</v>
      </c>
      <c r="L6837" s="57" t="s">
        <v>364</v>
      </c>
      <c r="M6837" s="3" t="s">
        <v>230</v>
      </c>
      <c r="N6837" s="8" t="s">
        <v>9479</v>
      </c>
      <c r="O6837" s="6" t="s">
        <v>365</v>
      </c>
      <c r="P6837" s="58" t="s">
        <v>241</v>
      </c>
      <c r="Q6837" s="27" t="s">
        <v>234</v>
      </c>
      <c r="R6837" s="3">
        <v>4</v>
      </c>
      <c r="S6837" s="134">
        <v>5500</v>
      </c>
      <c r="T6837" s="4">
        <f t="shared" si="305"/>
        <v>22000</v>
      </c>
      <c r="U6837" s="4">
        <f t="shared" si="304"/>
        <v>24640.000000000004</v>
      </c>
      <c r="V6837" s="3"/>
      <c r="W6837" s="3">
        <v>2014</v>
      </c>
      <c r="X6837" s="3"/>
    </row>
    <row r="6838" spans="1:24" ht="114.75">
      <c r="A6838" s="3" t="s">
        <v>2869</v>
      </c>
      <c r="B6838" s="6" t="s">
        <v>361</v>
      </c>
      <c r="C6838" s="6" t="s">
        <v>7042</v>
      </c>
      <c r="D6838" s="6" t="s">
        <v>5369</v>
      </c>
      <c r="E6838" s="6" t="s">
        <v>5998</v>
      </c>
      <c r="F6838" s="6" t="s">
        <v>7214</v>
      </c>
      <c r="G6838" s="57" t="s">
        <v>11449</v>
      </c>
      <c r="H6838" s="185">
        <v>0</v>
      </c>
      <c r="I6838" s="16">
        <v>470000000</v>
      </c>
      <c r="J6838" s="56" t="s">
        <v>229</v>
      </c>
      <c r="K6838" s="57" t="s">
        <v>641</v>
      </c>
      <c r="L6838" s="57" t="s">
        <v>364</v>
      </c>
      <c r="M6838" s="3" t="s">
        <v>230</v>
      </c>
      <c r="N6838" s="8" t="s">
        <v>9479</v>
      </c>
      <c r="O6838" s="6" t="s">
        <v>365</v>
      </c>
      <c r="P6838" s="58" t="s">
        <v>241</v>
      </c>
      <c r="Q6838" s="27" t="s">
        <v>234</v>
      </c>
      <c r="R6838" s="3">
        <v>3</v>
      </c>
      <c r="S6838" s="134">
        <f>17000*1.07</f>
        <v>18190</v>
      </c>
      <c r="T6838" s="4">
        <f t="shared" si="305"/>
        <v>54570</v>
      </c>
      <c r="U6838" s="4">
        <f t="shared" si="304"/>
        <v>61118.400000000009</v>
      </c>
      <c r="V6838" s="3"/>
      <c r="W6838" s="3">
        <v>2014</v>
      </c>
      <c r="X6838" s="3"/>
    </row>
    <row r="6839" spans="1:24" ht="114.75">
      <c r="A6839" s="3" t="s">
        <v>2870</v>
      </c>
      <c r="B6839" s="6" t="s">
        <v>361</v>
      </c>
      <c r="C6839" s="6" t="s">
        <v>5554</v>
      </c>
      <c r="D6839" s="6" t="s">
        <v>417</v>
      </c>
      <c r="E6839" s="6" t="s">
        <v>5332</v>
      </c>
      <c r="F6839" s="6" t="s">
        <v>511</v>
      </c>
      <c r="G6839" s="57" t="s">
        <v>11449</v>
      </c>
      <c r="H6839" s="185">
        <v>0</v>
      </c>
      <c r="I6839" s="16">
        <v>470000000</v>
      </c>
      <c r="J6839" s="56" t="s">
        <v>229</v>
      </c>
      <c r="K6839" s="57" t="s">
        <v>641</v>
      </c>
      <c r="L6839" s="57" t="s">
        <v>364</v>
      </c>
      <c r="M6839" s="3" t="s">
        <v>230</v>
      </c>
      <c r="N6839" s="8" t="s">
        <v>9479</v>
      </c>
      <c r="O6839" s="6" t="s">
        <v>365</v>
      </c>
      <c r="P6839" s="58" t="s">
        <v>241</v>
      </c>
      <c r="Q6839" s="27" t="s">
        <v>234</v>
      </c>
      <c r="R6839" s="3">
        <v>2</v>
      </c>
      <c r="S6839" s="134">
        <v>2000</v>
      </c>
      <c r="T6839" s="4">
        <f t="shared" si="305"/>
        <v>4000</v>
      </c>
      <c r="U6839" s="4">
        <f t="shared" si="304"/>
        <v>4480</v>
      </c>
      <c r="V6839" s="3"/>
      <c r="W6839" s="3">
        <v>2014</v>
      </c>
      <c r="X6839" s="3"/>
    </row>
    <row r="6840" spans="1:24" ht="114.75">
      <c r="A6840" s="3" t="s">
        <v>2871</v>
      </c>
      <c r="B6840" s="6" t="s">
        <v>361</v>
      </c>
      <c r="C6840" s="6" t="s">
        <v>7058</v>
      </c>
      <c r="D6840" s="6" t="s">
        <v>7059</v>
      </c>
      <c r="E6840" s="6" t="s">
        <v>7060</v>
      </c>
      <c r="F6840" s="6" t="s">
        <v>505</v>
      </c>
      <c r="G6840" s="57" t="s">
        <v>11449</v>
      </c>
      <c r="H6840" s="185">
        <v>0</v>
      </c>
      <c r="I6840" s="16">
        <v>470000000</v>
      </c>
      <c r="J6840" s="56" t="s">
        <v>229</v>
      </c>
      <c r="K6840" s="57" t="s">
        <v>641</v>
      </c>
      <c r="L6840" s="57" t="s">
        <v>364</v>
      </c>
      <c r="M6840" s="3" t="s">
        <v>230</v>
      </c>
      <c r="N6840" s="8" t="s">
        <v>9479</v>
      </c>
      <c r="O6840" s="6" t="s">
        <v>365</v>
      </c>
      <c r="P6840" s="58" t="s">
        <v>241</v>
      </c>
      <c r="Q6840" s="27" t="s">
        <v>234</v>
      </c>
      <c r="R6840" s="3">
        <v>2</v>
      </c>
      <c r="S6840" s="134">
        <v>2500</v>
      </c>
      <c r="T6840" s="4">
        <f t="shared" si="305"/>
        <v>5000</v>
      </c>
      <c r="U6840" s="4">
        <f t="shared" si="304"/>
        <v>5600.0000000000009</v>
      </c>
      <c r="V6840" s="3"/>
      <c r="W6840" s="3">
        <v>2014</v>
      </c>
      <c r="X6840" s="3"/>
    </row>
    <row r="6841" spans="1:24" ht="114.75">
      <c r="A6841" s="3" t="s">
        <v>2872</v>
      </c>
      <c r="B6841" s="6" t="s">
        <v>361</v>
      </c>
      <c r="C6841" s="6" t="s">
        <v>7215</v>
      </c>
      <c r="D6841" s="6" t="s">
        <v>7216</v>
      </c>
      <c r="E6841" s="6" t="s">
        <v>7217</v>
      </c>
      <c r="F6841" s="6" t="s">
        <v>7218</v>
      </c>
      <c r="G6841" s="57" t="s">
        <v>11449</v>
      </c>
      <c r="H6841" s="185">
        <v>0</v>
      </c>
      <c r="I6841" s="16">
        <v>470000000</v>
      </c>
      <c r="J6841" s="56" t="s">
        <v>229</v>
      </c>
      <c r="K6841" s="57" t="s">
        <v>641</v>
      </c>
      <c r="L6841" s="57" t="s">
        <v>364</v>
      </c>
      <c r="M6841" s="3" t="s">
        <v>230</v>
      </c>
      <c r="N6841" s="8" t="s">
        <v>9479</v>
      </c>
      <c r="O6841" s="6" t="s">
        <v>365</v>
      </c>
      <c r="P6841" s="58" t="s">
        <v>241</v>
      </c>
      <c r="Q6841" s="27" t="s">
        <v>234</v>
      </c>
      <c r="R6841" s="3">
        <v>40</v>
      </c>
      <c r="S6841" s="134">
        <v>5250</v>
      </c>
      <c r="T6841" s="4">
        <f t="shared" si="305"/>
        <v>210000</v>
      </c>
      <c r="U6841" s="4">
        <f t="shared" si="304"/>
        <v>235200.00000000003</v>
      </c>
      <c r="V6841" s="3"/>
      <c r="W6841" s="3">
        <v>2014</v>
      </c>
      <c r="X6841" s="3"/>
    </row>
    <row r="6842" spans="1:24" ht="114.75">
      <c r="A6842" s="3" t="s">
        <v>2873</v>
      </c>
      <c r="B6842" s="6" t="s">
        <v>361</v>
      </c>
      <c r="C6842" s="6" t="s">
        <v>6112</v>
      </c>
      <c r="D6842" s="6" t="s">
        <v>398</v>
      </c>
      <c r="E6842" s="6" t="s">
        <v>6113</v>
      </c>
      <c r="F6842" s="6" t="s">
        <v>7219</v>
      </c>
      <c r="G6842" s="57" t="s">
        <v>11449</v>
      </c>
      <c r="H6842" s="185">
        <v>0</v>
      </c>
      <c r="I6842" s="16">
        <v>470000000</v>
      </c>
      <c r="J6842" s="56" t="s">
        <v>229</v>
      </c>
      <c r="K6842" s="57" t="s">
        <v>641</v>
      </c>
      <c r="L6842" s="57" t="s">
        <v>364</v>
      </c>
      <c r="M6842" s="3" t="s">
        <v>230</v>
      </c>
      <c r="N6842" s="8" t="s">
        <v>9479</v>
      </c>
      <c r="O6842" s="6" t="s">
        <v>365</v>
      </c>
      <c r="P6842" s="58" t="s">
        <v>241</v>
      </c>
      <c r="Q6842" s="27" t="s">
        <v>234</v>
      </c>
      <c r="R6842" s="3">
        <v>10</v>
      </c>
      <c r="S6842" s="134">
        <v>600</v>
      </c>
      <c r="T6842" s="4">
        <f t="shared" si="305"/>
        <v>6000</v>
      </c>
      <c r="U6842" s="4">
        <f t="shared" si="304"/>
        <v>6720.0000000000009</v>
      </c>
      <c r="V6842" s="3"/>
      <c r="W6842" s="3">
        <v>2014</v>
      </c>
      <c r="X6842" s="3"/>
    </row>
    <row r="6843" spans="1:24" ht="114.75">
      <c r="A6843" s="3" t="s">
        <v>2874</v>
      </c>
      <c r="B6843" s="6" t="s">
        <v>361</v>
      </c>
      <c r="C6843" s="6" t="s">
        <v>6112</v>
      </c>
      <c r="D6843" s="6" t="s">
        <v>398</v>
      </c>
      <c r="E6843" s="6" t="s">
        <v>6113</v>
      </c>
      <c r="F6843" s="6" t="s">
        <v>7220</v>
      </c>
      <c r="G6843" s="57" t="s">
        <v>11449</v>
      </c>
      <c r="H6843" s="185">
        <v>0</v>
      </c>
      <c r="I6843" s="16">
        <v>470000000</v>
      </c>
      <c r="J6843" s="56" t="s">
        <v>229</v>
      </c>
      <c r="K6843" s="57" t="s">
        <v>641</v>
      </c>
      <c r="L6843" s="57" t="s">
        <v>364</v>
      </c>
      <c r="M6843" s="3" t="s">
        <v>230</v>
      </c>
      <c r="N6843" s="8" t="s">
        <v>9479</v>
      </c>
      <c r="O6843" s="6" t="s">
        <v>365</v>
      </c>
      <c r="P6843" s="58" t="s">
        <v>241</v>
      </c>
      <c r="Q6843" s="27" t="s">
        <v>234</v>
      </c>
      <c r="R6843" s="3">
        <v>10</v>
      </c>
      <c r="S6843" s="134">
        <v>400</v>
      </c>
      <c r="T6843" s="4">
        <f t="shared" si="305"/>
        <v>4000</v>
      </c>
      <c r="U6843" s="4">
        <f t="shared" si="304"/>
        <v>4480</v>
      </c>
      <c r="V6843" s="3"/>
      <c r="W6843" s="3">
        <v>2014</v>
      </c>
      <c r="X6843" s="3"/>
    </row>
    <row r="6844" spans="1:24" ht="114.75">
      <c r="A6844" s="3" t="s">
        <v>2875</v>
      </c>
      <c r="B6844" s="6" t="s">
        <v>361</v>
      </c>
      <c r="C6844" s="6" t="s">
        <v>7221</v>
      </c>
      <c r="D6844" s="6" t="s">
        <v>7222</v>
      </c>
      <c r="E6844" s="6" t="s">
        <v>5743</v>
      </c>
      <c r="F6844" s="6" t="s">
        <v>7223</v>
      </c>
      <c r="G6844" s="57" t="s">
        <v>11449</v>
      </c>
      <c r="H6844" s="185">
        <v>0</v>
      </c>
      <c r="I6844" s="16">
        <v>470000000</v>
      </c>
      <c r="J6844" s="56" t="s">
        <v>229</v>
      </c>
      <c r="K6844" s="57" t="s">
        <v>641</v>
      </c>
      <c r="L6844" s="57" t="s">
        <v>364</v>
      </c>
      <c r="M6844" s="3" t="s">
        <v>230</v>
      </c>
      <c r="N6844" s="8" t="s">
        <v>9479</v>
      </c>
      <c r="O6844" s="6" t="s">
        <v>365</v>
      </c>
      <c r="P6844" s="58" t="s">
        <v>242</v>
      </c>
      <c r="Q6844" s="3" t="s">
        <v>239</v>
      </c>
      <c r="R6844" s="3">
        <v>10</v>
      </c>
      <c r="S6844" s="134">
        <v>1500</v>
      </c>
      <c r="T6844" s="4">
        <f t="shared" si="305"/>
        <v>15000</v>
      </c>
      <c r="U6844" s="4">
        <f t="shared" si="304"/>
        <v>16800</v>
      </c>
      <c r="V6844" s="3"/>
      <c r="W6844" s="3">
        <v>2014</v>
      </c>
      <c r="X6844" s="3"/>
    </row>
    <row r="6845" spans="1:24" ht="114.75">
      <c r="A6845" s="3" t="s">
        <v>2876</v>
      </c>
      <c r="B6845" s="6" t="s">
        <v>361</v>
      </c>
      <c r="C6845" s="6" t="s">
        <v>6077</v>
      </c>
      <c r="D6845" s="6" t="s">
        <v>441</v>
      </c>
      <c r="E6845" s="6" t="s">
        <v>6078</v>
      </c>
      <c r="F6845" s="6" t="s">
        <v>7224</v>
      </c>
      <c r="G6845" s="57" t="s">
        <v>11449</v>
      </c>
      <c r="H6845" s="185">
        <v>0</v>
      </c>
      <c r="I6845" s="16">
        <v>470000000</v>
      </c>
      <c r="J6845" s="56" t="s">
        <v>229</v>
      </c>
      <c r="K6845" s="57" t="s">
        <v>641</v>
      </c>
      <c r="L6845" s="57" t="s">
        <v>364</v>
      </c>
      <c r="M6845" s="3" t="s">
        <v>230</v>
      </c>
      <c r="N6845" s="8" t="s">
        <v>9479</v>
      </c>
      <c r="O6845" s="6" t="s">
        <v>365</v>
      </c>
      <c r="P6845" s="58" t="s">
        <v>241</v>
      </c>
      <c r="Q6845" s="27" t="s">
        <v>234</v>
      </c>
      <c r="R6845" s="3">
        <v>3</v>
      </c>
      <c r="S6845" s="134">
        <v>17000</v>
      </c>
      <c r="T6845" s="4">
        <f t="shared" si="305"/>
        <v>51000</v>
      </c>
      <c r="U6845" s="4">
        <f t="shared" si="304"/>
        <v>57120.000000000007</v>
      </c>
      <c r="V6845" s="3"/>
      <c r="W6845" s="3">
        <v>2014</v>
      </c>
      <c r="X6845" s="3"/>
    </row>
    <row r="6846" spans="1:24" ht="114.75">
      <c r="A6846" s="3" t="s">
        <v>2877</v>
      </c>
      <c r="B6846" s="6" t="s">
        <v>361</v>
      </c>
      <c r="C6846" s="6" t="s">
        <v>7098</v>
      </c>
      <c r="D6846" s="6" t="s">
        <v>5587</v>
      </c>
      <c r="E6846" s="6" t="s">
        <v>5998</v>
      </c>
      <c r="F6846" s="6" t="s">
        <v>7225</v>
      </c>
      <c r="G6846" s="57" t="s">
        <v>11449</v>
      </c>
      <c r="H6846" s="185">
        <v>0</v>
      </c>
      <c r="I6846" s="16">
        <v>470000000</v>
      </c>
      <c r="J6846" s="56" t="s">
        <v>229</v>
      </c>
      <c r="K6846" s="57" t="s">
        <v>641</v>
      </c>
      <c r="L6846" s="57" t="s">
        <v>364</v>
      </c>
      <c r="M6846" s="3" t="s">
        <v>230</v>
      </c>
      <c r="N6846" s="8" t="s">
        <v>9479</v>
      </c>
      <c r="O6846" s="6" t="s">
        <v>365</v>
      </c>
      <c r="P6846" s="58" t="s">
        <v>242</v>
      </c>
      <c r="Q6846" s="3" t="s">
        <v>239</v>
      </c>
      <c r="R6846" s="3">
        <v>10</v>
      </c>
      <c r="S6846" s="134">
        <v>8000</v>
      </c>
      <c r="T6846" s="4">
        <f t="shared" si="305"/>
        <v>80000</v>
      </c>
      <c r="U6846" s="4">
        <f t="shared" si="304"/>
        <v>89600.000000000015</v>
      </c>
      <c r="V6846" s="3"/>
      <c r="W6846" s="3">
        <v>2014</v>
      </c>
      <c r="X6846" s="3"/>
    </row>
    <row r="6847" spans="1:24" ht="114.75">
      <c r="A6847" s="3" t="s">
        <v>2878</v>
      </c>
      <c r="B6847" s="6" t="s">
        <v>361</v>
      </c>
      <c r="C6847" s="6" t="s">
        <v>7226</v>
      </c>
      <c r="D6847" s="6" t="s">
        <v>7227</v>
      </c>
      <c r="E6847" s="6" t="s">
        <v>7228</v>
      </c>
      <c r="F6847" s="6" t="s">
        <v>7229</v>
      </c>
      <c r="G6847" s="57" t="s">
        <v>11449</v>
      </c>
      <c r="H6847" s="185">
        <v>0</v>
      </c>
      <c r="I6847" s="16">
        <v>470000000</v>
      </c>
      <c r="J6847" s="56" t="s">
        <v>229</v>
      </c>
      <c r="K6847" s="57" t="s">
        <v>641</v>
      </c>
      <c r="L6847" s="57" t="s">
        <v>364</v>
      </c>
      <c r="M6847" s="3" t="s">
        <v>230</v>
      </c>
      <c r="N6847" s="8" t="s">
        <v>9479</v>
      </c>
      <c r="O6847" s="6" t="s">
        <v>365</v>
      </c>
      <c r="P6847" s="58" t="s">
        <v>241</v>
      </c>
      <c r="Q6847" s="27" t="s">
        <v>234</v>
      </c>
      <c r="R6847" s="3">
        <v>5</v>
      </c>
      <c r="S6847" s="134">
        <v>3400</v>
      </c>
      <c r="T6847" s="4">
        <f t="shared" si="305"/>
        <v>17000</v>
      </c>
      <c r="U6847" s="4">
        <f t="shared" si="304"/>
        <v>19040</v>
      </c>
      <c r="V6847" s="3"/>
      <c r="W6847" s="3">
        <v>2014</v>
      </c>
      <c r="X6847" s="3"/>
    </row>
    <row r="6848" spans="1:24" ht="114.75">
      <c r="A6848" s="3" t="s">
        <v>2879</v>
      </c>
      <c r="B6848" s="6" t="s">
        <v>361</v>
      </c>
      <c r="C6848" s="6" t="s">
        <v>11605</v>
      </c>
      <c r="D6848" s="6" t="s">
        <v>6624</v>
      </c>
      <c r="E6848" s="6" t="s">
        <v>5998</v>
      </c>
      <c r="F6848" s="6" t="s">
        <v>7230</v>
      </c>
      <c r="G6848" s="57" t="s">
        <v>11449</v>
      </c>
      <c r="H6848" s="185">
        <v>0</v>
      </c>
      <c r="I6848" s="16">
        <v>470000000</v>
      </c>
      <c r="J6848" s="56" t="s">
        <v>229</v>
      </c>
      <c r="K6848" s="57" t="s">
        <v>641</v>
      </c>
      <c r="L6848" s="57" t="s">
        <v>364</v>
      </c>
      <c r="M6848" s="3" t="s">
        <v>230</v>
      </c>
      <c r="N6848" s="8" t="s">
        <v>9479</v>
      </c>
      <c r="O6848" s="6" t="s">
        <v>365</v>
      </c>
      <c r="P6848" s="58" t="s">
        <v>242</v>
      </c>
      <c r="Q6848" s="3" t="s">
        <v>239</v>
      </c>
      <c r="R6848" s="3">
        <v>5</v>
      </c>
      <c r="S6848" s="134">
        <v>3000</v>
      </c>
      <c r="T6848" s="4">
        <f t="shared" si="305"/>
        <v>15000</v>
      </c>
      <c r="U6848" s="4">
        <f t="shared" si="304"/>
        <v>16800</v>
      </c>
      <c r="V6848" s="3"/>
      <c r="W6848" s="3">
        <v>2014</v>
      </c>
      <c r="X6848" s="3"/>
    </row>
    <row r="6849" spans="1:24" ht="114.75">
      <c r="A6849" s="3" t="s">
        <v>2880</v>
      </c>
      <c r="B6849" s="6" t="s">
        <v>361</v>
      </c>
      <c r="C6849" s="6" t="s">
        <v>7231</v>
      </c>
      <c r="D6849" s="6" t="s">
        <v>5320</v>
      </c>
      <c r="E6849" s="6" t="s">
        <v>5743</v>
      </c>
      <c r="F6849" s="6" t="s">
        <v>7232</v>
      </c>
      <c r="G6849" s="57" t="s">
        <v>11449</v>
      </c>
      <c r="H6849" s="185">
        <v>0</v>
      </c>
      <c r="I6849" s="16">
        <v>470000000</v>
      </c>
      <c r="J6849" s="56" t="s">
        <v>229</v>
      </c>
      <c r="K6849" s="57" t="s">
        <v>641</v>
      </c>
      <c r="L6849" s="57" t="s">
        <v>364</v>
      </c>
      <c r="M6849" s="3" t="s">
        <v>230</v>
      </c>
      <c r="N6849" s="8" t="s">
        <v>9479</v>
      </c>
      <c r="O6849" s="6" t="s">
        <v>365</v>
      </c>
      <c r="P6849" s="58" t="s">
        <v>241</v>
      </c>
      <c r="Q6849" s="27" t="s">
        <v>234</v>
      </c>
      <c r="R6849" s="3">
        <v>6</v>
      </c>
      <c r="S6849" s="134">
        <v>1700</v>
      </c>
      <c r="T6849" s="4">
        <f t="shared" si="305"/>
        <v>10200</v>
      </c>
      <c r="U6849" s="4">
        <f t="shared" si="304"/>
        <v>11424.000000000002</v>
      </c>
      <c r="V6849" s="3"/>
      <c r="W6849" s="3">
        <v>2014</v>
      </c>
      <c r="X6849" s="3"/>
    </row>
    <row r="6850" spans="1:24" ht="114.75">
      <c r="A6850" s="3" t="s">
        <v>2881</v>
      </c>
      <c r="B6850" s="6" t="s">
        <v>361</v>
      </c>
      <c r="C6850" s="6" t="s">
        <v>5389</v>
      </c>
      <c r="D6850" s="6" t="s">
        <v>5390</v>
      </c>
      <c r="E6850" s="6" t="s">
        <v>5391</v>
      </c>
      <c r="F6850" s="6" t="s">
        <v>7233</v>
      </c>
      <c r="G6850" s="57" t="s">
        <v>11449</v>
      </c>
      <c r="H6850" s="185">
        <v>0</v>
      </c>
      <c r="I6850" s="16">
        <v>470000000</v>
      </c>
      <c r="J6850" s="56" t="s">
        <v>229</v>
      </c>
      <c r="K6850" s="57" t="s">
        <v>641</v>
      </c>
      <c r="L6850" s="57" t="s">
        <v>364</v>
      </c>
      <c r="M6850" s="3" t="s">
        <v>230</v>
      </c>
      <c r="N6850" s="8" t="s">
        <v>9479</v>
      </c>
      <c r="O6850" s="6" t="s">
        <v>365</v>
      </c>
      <c r="P6850" s="58" t="s">
        <v>241</v>
      </c>
      <c r="Q6850" s="27" t="s">
        <v>234</v>
      </c>
      <c r="R6850" s="3">
        <v>3</v>
      </c>
      <c r="S6850" s="134">
        <v>4196.43</v>
      </c>
      <c r="T6850" s="4">
        <f t="shared" si="305"/>
        <v>12589.29</v>
      </c>
      <c r="U6850" s="4">
        <f t="shared" si="304"/>
        <v>14100.004800000002</v>
      </c>
      <c r="V6850" s="3"/>
      <c r="W6850" s="3">
        <v>2014</v>
      </c>
      <c r="X6850" s="3"/>
    </row>
    <row r="6851" spans="1:24" ht="114.75">
      <c r="A6851" s="3" t="s">
        <v>2882</v>
      </c>
      <c r="B6851" s="6" t="s">
        <v>361</v>
      </c>
      <c r="C6851" s="6" t="s">
        <v>6015</v>
      </c>
      <c r="D6851" s="6" t="s">
        <v>408</v>
      </c>
      <c r="E6851" s="6" t="s">
        <v>5998</v>
      </c>
      <c r="F6851" s="6" t="s">
        <v>7234</v>
      </c>
      <c r="G6851" s="57" t="s">
        <v>11449</v>
      </c>
      <c r="H6851" s="185">
        <v>0</v>
      </c>
      <c r="I6851" s="16">
        <v>470000000</v>
      </c>
      <c r="J6851" s="56" t="s">
        <v>229</v>
      </c>
      <c r="K6851" s="57" t="s">
        <v>641</v>
      </c>
      <c r="L6851" s="57" t="s">
        <v>364</v>
      </c>
      <c r="M6851" s="3" t="s">
        <v>230</v>
      </c>
      <c r="N6851" s="8" t="s">
        <v>9479</v>
      </c>
      <c r="O6851" s="6" t="s">
        <v>365</v>
      </c>
      <c r="P6851" s="58" t="s">
        <v>241</v>
      </c>
      <c r="Q6851" s="27" t="s">
        <v>234</v>
      </c>
      <c r="R6851" s="3">
        <v>3</v>
      </c>
      <c r="S6851" s="134">
        <v>6607.14</v>
      </c>
      <c r="T6851" s="4">
        <f t="shared" si="305"/>
        <v>19821.420000000002</v>
      </c>
      <c r="U6851" s="4">
        <f t="shared" si="304"/>
        <v>22199.990400000006</v>
      </c>
      <c r="V6851" s="3"/>
      <c r="W6851" s="3">
        <v>2014</v>
      </c>
      <c r="X6851" s="3"/>
    </row>
    <row r="6852" spans="1:24" ht="114.75">
      <c r="A6852" s="3" t="s">
        <v>2883</v>
      </c>
      <c r="B6852" s="6" t="s">
        <v>361</v>
      </c>
      <c r="C6852" s="6" t="s">
        <v>7235</v>
      </c>
      <c r="D6852" s="6" t="s">
        <v>5583</v>
      </c>
      <c r="E6852" s="6" t="s">
        <v>5998</v>
      </c>
      <c r="F6852" s="6" t="s">
        <v>7236</v>
      </c>
      <c r="G6852" s="57" t="s">
        <v>11449</v>
      </c>
      <c r="H6852" s="185">
        <v>0</v>
      </c>
      <c r="I6852" s="16">
        <v>470000000</v>
      </c>
      <c r="J6852" s="56" t="s">
        <v>229</v>
      </c>
      <c r="K6852" s="57" t="s">
        <v>641</v>
      </c>
      <c r="L6852" s="57" t="s">
        <v>364</v>
      </c>
      <c r="M6852" s="3" t="s">
        <v>230</v>
      </c>
      <c r="N6852" s="8" t="s">
        <v>9479</v>
      </c>
      <c r="O6852" s="6" t="s">
        <v>365</v>
      </c>
      <c r="P6852" s="58" t="s">
        <v>241</v>
      </c>
      <c r="Q6852" s="27" t="s">
        <v>234</v>
      </c>
      <c r="R6852" s="3">
        <v>6</v>
      </c>
      <c r="S6852" s="134">
        <v>1071</v>
      </c>
      <c r="T6852" s="4">
        <f t="shared" si="305"/>
        <v>6426</v>
      </c>
      <c r="U6852" s="4">
        <f t="shared" si="304"/>
        <v>7197.1200000000008</v>
      </c>
      <c r="V6852" s="3"/>
      <c r="W6852" s="3">
        <v>2014</v>
      </c>
      <c r="X6852" s="3"/>
    </row>
    <row r="6853" spans="1:24" ht="114.75">
      <c r="A6853" s="3" t="s">
        <v>2884</v>
      </c>
      <c r="B6853" s="6" t="s">
        <v>361</v>
      </c>
      <c r="C6853" s="6" t="s">
        <v>6019</v>
      </c>
      <c r="D6853" s="6" t="s">
        <v>439</v>
      </c>
      <c r="E6853" s="6" t="s">
        <v>5998</v>
      </c>
      <c r="F6853" s="6" t="s">
        <v>7237</v>
      </c>
      <c r="G6853" s="57" t="s">
        <v>11449</v>
      </c>
      <c r="H6853" s="185">
        <v>0</v>
      </c>
      <c r="I6853" s="16">
        <v>470000000</v>
      </c>
      <c r="J6853" s="56" t="s">
        <v>229</v>
      </c>
      <c r="K6853" s="57" t="s">
        <v>641</v>
      </c>
      <c r="L6853" s="57" t="s">
        <v>364</v>
      </c>
      <c r="M6853" s="3" t="s">
        <v>230</v>
      </c>
      <c r="N6853" s="8" t="s">
        <v>9479</v>
      </c>
      <c r="O6853" s="6" t="s">
        <v>365</v>
      </c>
      <c r="P6853" s="58" t="s">
        <v>241</v>
      </c>
      <c r="Q6853" s="27" t="s">
        <v>234</v>
      </c>
      <c r="R6853" s="3">
        <v>6</v>
      </c>
      <c r="S6853" s="134">
        <v>1607</v>
      </c>
      <c r="T6853" s="4">
        <f t="shared" si="305"/>
        <v>9642</v>
      </c>
      <c r="U6853" s="4">
        <f t="shared" si="304"/>
        <v>10799.04</v>
      </c>
      <c r="V6853" s="3"/>
      <c r="W6853" s="3">
        <v>2014</v>
      </c>
      <c r="X6853" s="3"/>
    </row>
    <row r="6854" spans="1:24" ht="114.75">
      <c r="A6854" s="3" t="s">
        <v>2885</v>
      </c>
      <c r="B6854" s="6" t="s">
        <v>361</v>
      </c>
      <c r="C6854" s="6" t="s">
        <v>5627</v>
      </c>
      <c r="D6854" s="6" t="s">
        <v>5628</v>
      </c>
      <c r="E6854" s="6" t="s">
        <v>5629</v>
      </c>
      <c r="F6854" s="6" t="s">
        <v>7238</v>
      </c>
      <c r="G6854" s="57" t="s">
        <v>11449</v>
      </c>
      <c r="H6854" s="185">
        <v>0</v>
      </c>
      <c r="I6854" s="16">
        <v>470000000</v>
      </c>
      <c r="J6854" s="56" t="s">
        <v>229</v>
      </c>
      <c r="K6854" s="57" t="s">
        <v>641</v>
      </c>
      <c r="L6854" s="57" t="s">
        <v>364</v>
      </c>
      <c r="M6854" s="3" t="s">
        <v>230</v>
      </c>
      <c r="N6854" s="8" t="s">
        <v>9479</v>
      </c>
      <c r="O6854" s="6" t="s">
        <v>365</v>
      </c>
      <c r="P6854" s="58" t="s">
        <v>241</v>
      </c>
      <c r="Q6854" s="27" t="s">
        <v>234</v>
      </c>
      <c r="R6854" s="3">
        <v>4</v>
      </c>
      <c r="S6854" s="134">
        <v>13839.29</v>
      </c>
      <c r="T6854" s="4">
        <f t="shared" si="305"/>
        <v>55357.16</v>
      </c>
      <c r="U6854" s="4">
        <f t="shared" si="304"/>
        <v>62000.01920000001</v>
      </c>
      <c r="V6854" s="3"/>
      <c r="W6854" s="3">
        <v>2014</v>
      </c>
      <c r="X6854" s="3"/>
    </row>
    <row r="6855" spans="1:24" ht="114.75">
      <c r="A6855" s="3" t="s">
        <v>2886</v>
      </c>
      <c r="B6855" s="6" t="s">
        <v>361</v>
      </c>
      <c r="C6855" s="6" t="s">
        <v>7378</v>
      </c>
      <c r="D6855" s="6" t="s">
        <v>7379</v>
      </c>
      <c r="E6855" s="6" t="s">
        <v>7380</v>
      </c>
      <c r="F6855" s="6" t="s">
        <v>7239</v>
      </c>
      <c r="G6855" s="57" t="s">
        <v>11449</v>
      </c>
      <c r="H6855" s="185">
        <v>0</v>
      </c>
      <c r="I6855" s="16">
        <v>470000000</v>
      </c>
      <c r="J6855" s="56" t="s">
        <v>229</v>
      </c>
      <c r="K6855" s="57" t="s">
        <v>641</v>
      </c>
      <c r="L6855" s="57" t="s">
        <v>364</v>
      </c>
      <c r="M6855" s="3" t="s">
        <v>230</v>
      </c>
      <c r="N6855" s="8" t="s">
        <v>9479</v>
      </c>
      <c r="O6855" s="6" t="s">
        <v>365</v>
      </c>
      <c r="P6855" s="58" t="s">
        <v>241</v>
      </c>
      <c r="Q6855" s="27" t="s">
        <v>234</v>
      </c>
      <c r="R6855" s="3">
        <v>1</v>
      </c>
      <c r="S6855" s="134">
        <v>6696.43</v>
      </c>
      <c r="T6855" s="4">
        <f t="shared" si="305"/>
        <v>6696.43</v>
      </c>
      <c r="U6855" s="4">
        <f t="shared" si="304"/>
        <v>7500.0016000000014</v>
      </c>
      <c r="V6855" s="3"/>
      <c r="W6855" s="3">
        <v>2014</v>
      </c>
      <c r="X6855" s="3"/>
    </row>
    <row r="6856" spans="1:24" ht="114.75">
      <c r="A6856" s="3" t="s">
        <v>2887</v>
      </c>
      <c r="B6856" s="6" t="s">
        <v>361</v>
      </c>
      <c r="C6856" s="6" t="s">
        <v>7378</v>
      </c>
      <c r="D6856" s="6" t="s">
        <v>7379</v>
      </c>
      <c r="E6856" s="6" t="s">
        <v>7380</v>
      </c>
      <c r="F6856" s="6" t="s">
        <v>7240</v>
      </c>
      <c r="G6856" s="57" t="s">
        <v>11449</v>
      </c>
      <c r="H6856" s="185">
        <v>0</v>
      </c>
      <c r="I6856" s="16">
        <v>470000000</v>
      </c>
      <c r="J6856" s="56" t="s">
        <v>229</v>
      </c>
      <c r="K6856" s="57" t="s">
        <v>641</v>
      </c>
      <c r="L6856" s="57" t="s">
        <v>364</v>
      </c>
      <c r="M6856" s="3" t="s">
        <v>230</v>
      </c>
      <c r="N6856" s="8" t="s">
        <v>9479</v>
      </c>
      <c r="O6856" s="6" t="s">
        <v>365</v>
      </c>
      <c r="P6856" s="58" t="s">
        <v>241</v>
      </c>
      <c r="Q6856" s="27" t="s">
        <v>234</v>
      </c>
      <c r="R6856" s="3">
        <v>1</v>
      </c>
      <c r="S6856" s="134">
        <v>6696.43</v>
      </c>
      <c r="T6856" s="4">
        <f t="shared" si="305"/>
        <v>6696.43</v>
      </c>
      <c r="U6856" s="4">
        <f t="shared" si="304"/>
        <v>7500.0016000000014</v>
      </c>
      <c r="V6856" s="3"/>
      <c r="W6856" s="3">
        <v>2014</v>
      </c>
      <c r="X6856" s="3"/>
    </row>
    <row r="6857" spans="1:24" ht="114.75">
      <c r="A6857" s="3" t="s">
        <v>2888</v>
      </c>
      <c r="B6857" s="6" t="s">
        <v>361</v>
      </c>
      <c r="C6857" s="6" t="s">
        <v>7241</v>
      </c>
      <c r="D6857" s="6" t="s">
        <v>7242</v>
      </c>
      <c r="E6857" s="6" t="s">
        <v>5998</v>
      </c>
      <c r="F6857" s="6" t="s">
        <v>7243</v>
      </c>
      <c r="G6857" s="57" t="s">
        <v>11449</v>
      </c>
      <c r="H6857" s="185">
        <v>0</v>
      </c>
      <c r="I6857" s="16">
        <v>470000000</v>
      </c>
      <c r="J6857" s="56" t="s">
        <v>229</v>
      </c>
      <c r="K6857" s="57" t="s">
        <v>641</v>
      </c>
      <c r="L6857" s="57" t="s">
        <v>364</v>
      </c>
      <c r="M6857" s="3" t="s">
        <v>230</v>
      </c>
      <c r="N6857" s="8" t="s">
        <v>9479</v>
      </c>
      <c r="O6857" s="6" t="s">
        <v>365</v>
      </c>
      <c r="P6857" s="58" t="s">
        <v>241</v>
      </c>
      <c r="Q6857" s="27" t="s">
        <v>234</v>
      </c>
      <c r="R6857" s="3">
        <v>1</v>
      </c>
      <c r="S6857" s="134">
        <v>33683</v>
      </c>
      <c r="T6857" s="4">
        <f t="shared" si="305"/>
        <v>33683</v>
      </c>
      <c r="U6857" s="4">
        <f t="shared" si="304"/>
        <v>37724.960000000006</v>
      </c>
      <c r="V6857" s="3"/>
      <c r="W6857" s="3">
        <v>2014</v>
      </c>
      <c r="X6857" s="3"/>
    </row>
    <row r="6858" spans="1:24" ht="114.75">
      <c r="A6858" s="3" t="s">
        <v>2889</v>
      </c>
      <c r="B6858" s="6" t="s">
        <v>361</v>
      </c>
      <c r="C6858" s="6" t="s">
        <v>7202</v>
      </c>
      <c r="D6858" s="6" t="s">
        <v>7203</v>
      </c>
      <c r="E6858" s="6" t="s">
        <v>7204</v>
      </c>
      <c r="F6858" s="6" t="s">
        <v>7244</v>
      </c>
      <c r="G6858" s="57" t="s">
        <v>11449</v>
      </c>
      <c r="H6858" s="185">
        <v>0</v>
      </c>
      <c r="I6858" s="16">
        <v>470000000</v>
      </c>
      <c r="J6858" s="56" t="s">
        <v>229</v>
      </c>
      <c r="K6858" s="57" t="s">
        <v>641</v>
      </c>
      <c r="L6858" s="57" t="s">
        <v>364</v>
      </c>
      <c r="M6858" s="3" t="s">
        <v>230</v>
      </c>
      <c r="N6858" s="8" t="s">
        <v>9479</v>
      </c>
      <c r="O6858" s="6" t="s">
        <v>365</v>
      </c>
      <c r="P6858" s="58" t="s">
        <v>241</v>
      </c>
      <c r="Q6858" s="27" t="s">
        <v>234</v>
      </c>
      <c r="R6858" s="3">
        <v>4</v>
      </c>
      <c r="S6858" s="134">
        <v>12276.79</v>
      </c>
      <c r="T6858" s="4">
        <f t="shared" si="305"/>
        <v>49107.16</v>
      </c>
      <c r="U6858" s="4">
        <f t="shared" si="304"/>
        <v>55000.01920000001</v>
      </c>
      <c r="V6858" s="3"/>
      <c r="W6858" s="3">
        <v>2014</v>
      </c>
      <c r="X6858" s="3"/>
    </row>
    <row r="6859" spans="1:24" ht="114.75">
      <c r="A6859" s="3" t="s">
        <v>2890</v>
      </c>
      <c r="B6859" s="6" t="s">
        <v>361</v>
      </c>
      <c r="C6859" s="6" t="s">
        <v>7245</v>
      </c>
      <c r="D6859" s="6" t="s">
        <v>5413</v>
      </c>
      <c r="E6859" s="6" t="s">
        <v>5998</v>
      </c>
      <c r="F6859" s="6" t="s">
        <v>7246</v>
      </c>
      <c r="G6859" s="57" t="s">
        <v>11449</v>
      </c>
      <c r="H6859" s="185">
        <v>0</v>
      </c>
      <c r="I6859" s="16">
        <v>470000000</v>
      </c>
      <c r="J6859" s="56" t="s">
        <v>229</v>
      </c>
      <c r="K6859" s="57" t="s">
        <v>641</v>
      </c>
      <c r="L6859" s="57" t="s">
        <v>364</v>
      </c>
      <c r="M6859" s="3" t="s">
        <v>230</v>
      </c>
      <c r="N6859" s="8" t="s">
        <v>9479</v>
      </c>
      <c r="O6859" s="6" t="s">
        <v>365</v>
      </c>
      <c r="P6859" s="58" t="s">
        <v>241</v>
      </c>
      <c r="Q6859" s="27" t="s">
        <v>234</v>
      </c>
      <c r="R6859" s="3">
        <v>2</v>
      </c>
      <c r="S6859" s="134">
        <v>24553.57</v>
      </c>
      <c r="T6859" s="4">
        <f t="shared" si="305"/>
        <v>49107.14</v>
      </c>
      <c r="U6859" s="4">
        <f t="shared" si="304"/>
        <v>54999.996800000008</v>
      </c>
      <c r="V6859" s="3"/>
      <c r="W6859" s="3">
        <v>2014</v>
      </c>
      <c r="X6859" s="3"/>
    </row>
    <row r="6860" spans="1:24" ht="114.75">
      <c r="A6860" s="3" t="s">
        <v>2891</v>
      </c>
      <c r="B6860" s="6" t="s">
        <v>361</v>
      </c>
      <c r="C6860" s="6" t="s">
        <v>7247</v>
      </c>
      <c r="D6860" s="6" t="s">
        <v>7248</v>
      </c>
      <c r="E6860" s="6" t="s">
        <v>7249</v>
      </c>
      <c r="F6860" s="6" t="s">
        <v>7250</v>
      </c>
      <c r="G6860" s="57" t="s">
        <v>11449</v>
      </c>
      <c r="H6860" s="185">
        <v>0</v>
      </c>
      <c r="I6860" s="16">
        <v>470000000</v>
      </c>
      <c r="J6860" s="56" t="s">
        <v>229</v>
      </c>
      <c r="K6860" s="57" t="s">
        <v>641</v>
      </c>
      <c r="L6860" s="57" t="s">
        <v>364</v>
      </c>
      <c r="M6860" s="3" t="s">
        <v>230</v>
      </c>
      <c r="N6860" s="8" t="s">
        <v>9479</v>
      </c>
      <c r="O6860" s="6" t="s">
        <v>365</v>
      </c>
      <c r="P6860" s="58" t="s">
        <v>241</v>
      </c>
      <c r="Q6860" s="27" t="s">
        <v>234</v>
      </c>
      <c r="R6860" s="3">
        <v>2</v>
      </c>
      <c r="S6860" s="134">
        <v>24553.57</v>
      </c>
      <c r="T6860" s="4">
        <f t="shared" si="305"/>
        <v>49107.14</v>
      </c>
      <c r="U6860" s="4">
        <f t="shared" si="304"/>
        <v>54999.996800000008</v>
      </c>
      <c r="V6860" s="3"/>
      <c r="W6860" s="3">
        <v>2014</v>
      </c>
      <c r="X6860" s="3"/>
    </row>
    <row r="6861" spans="1:24" ht="114.75">
      <c r="A6861" s="3" t="s">
        <v>2892</v>
      </c>
      <c r="B6861" s="6" t="s">
        <v>361</v>
      </c>
      <c r="C6861" s="6" t="s">
        <v>6118</v>
      </c>
      <c r="D6861" s="6" t="s">
        <v>6119</v>
      </c>
      <c r="E6861" s="6" t="s">
        <v>5998</v>
      </c>
      <c r="F6861" s="6" t="s">
        <v>7251</v>
      </c>
      <c r="G6861" s="57" t="s">
        <v>11449</v>
      </c>
      <c r="H6861" s="185">
        <v>0</v>
      </c>
      <c r="I6861" s="16">
        <v>470000000</v>
      </c>
      <c r="J6861" s="56" t="s">
        <v>229</v>
      </c>
      <c r="K6861" s="57" t="s">
        <v>641</v>
      </c>
      <c r="L6861" s="57" t="s">
        <v>364</v>
      </c>
      <c r="M6861" s="3" t="s">
        <v>230</v>
      </c>
      <c r="N6861" s="8" t="s">
        <v>9479</v>
      </c>
      <c r="O6861" s="6" t="s">
        <v>365</v>
      </c>
      <c r="P6861" s="58" t="s">
        <v>241</v>
      </c>
      <c r="Q6861" s="27" t="s">
        <v>234</v>
      </c>
      <c r="R6861" s="3">
        <v>6</v>
      </c>
      <c r="S6861" s="134">
        <v>1339.29</v>
      </c>
      <c r="T6861" s="4">
        <f t="shared" si="305"/>
        <v>8035.74</v>
      </c>
      <c r="U6861" s="4">
        <f t="shared" si="304"/>
        <v>9000.0288</v>
      </c>
      <c r="V6861" s="3"/>
      <c r="W6861" s="3">
        <v>2014</v>
      </c>
      <c r="X6861" s="3"/>
    </row>
    <row r="6862" spans="1:24" ht="114.75">
      <c r="A6862" s="3" t="s">
        <v>2893</v>
      </c>
      <c r="B6862" s="6" t="s">
        <v>361</v>
      </c>
      <c r="C6862" s="6" t="s">
        <v>7098</v>
      </c>
      <c r="D6862" s="6" t="s">
        <v>5587</v>
      </c>
      <c r="E6862" s="6" t="s">
        <v>5998</v>
      </c>
      <c r="F6862" s="6" t="s">
        <v>7252</v>
      </c>
      <c r="G6862" s="57" t="s">
        <v>11449</v>
      </c>
      <c r="H6862" s="185">
        <v>0</v>
      </c>
      <c r="I6862" s="16">
        <v>470000000</v>
      </c>
      <c r="J6862" s="56" t="s">
        <v>229</v>
      </c>
      <c r="K6862" s="57" t="s">
        <v>641</v>
      </c>
      <c r="L6862" s="57" t="s">
        <v>364</v>
      </c>
      <c r="M6862" s="3" t="s">
        <v>230</v>
      </c>
      <c r="N6862" s="8" t="s">
        <v>9479</v>
      </c>
      <c r="O6862" s="6" t="s">
        <v>365</v>
      </c>
      <c r="P6862" s="58" t="s">
        <v>241</v>
      </c>
      <c r="Q6862" s="27" t="s">
        <v>234</v>
      </c>
      <c r="R6862" s="3">
        <v>6</v>
      </c>
      <c r="S6862" s="134">
        <v>1964</v>
      </c>
      <c r="T6862" s="4">
        <f t="shared" si="305"/>
        <v>11784</v>
      </c>
      <c r="U6862" s="4">
        <f t="shared" si="304"/>
        <v>13198.080000000002</v>
      </c>
      <c r="V6862" s="3"/>
      <c r="W6862" s="3">
        <v>2014</v>
      </c>
      <c r="X6862" s="3"/>
    </row>
    <row r="6863" spans="1:24" ht="114.75">
      <c r="A6863" s="3" t="s">
        <v>2894</v>
      </c>
      <c r="B6863" s="6" t="s">
        <v>361</v>
      </c>
      <c r="C6863" s="6" t="s">
        <v>7098</v>
      </c>
      <c r="D6863" s="6" t="s">
        <v>5587</v>
      </c>
      <c r="E6863" s="6" t="s">
        <v>5998</v>
      </c>
      <c r="F6863" s="6" t="s">
        <v>7253</v>
      </c>
      <c r="G6863" s="57" t="s">
        <v>11449</v>
      </c>
      <c r="H6863" s="185">
        <v>0</v>
      </c>
      <c r="I6863" s="16">
        <v>470000000</v>
      </c>
      <c r="J6863" s="56" t="s">
        <v>229</v>
      </c>
      <c r="K6863" s="57" t="s">
        <v>641</v>
      </c>
      <c r="L6863" s="57" t="s">
        <v>364</v>
      </c>
      <c r="M6863" s="3" t="s">
        <v>230</v>
      </c>
      <c r="N6863" s="8" t="s">
        <v>9479</v>
      </c>
      <c r="O6863" s="6" t="s">
        <v>365</v>
      </c>
      <c r="P6863" s="58" t="s">
        <v>241</v>
      </c>
      <c r="Q6863" s="27" t="s">
        <v>234</v>
      </c>
      <c r="R6863" s="3">
        <v>6</v>
      </c>
      <c r="S6863" s="134">
        <v>1964</v>
      </c>
      <c r="T6863" s="4">
        <f t="shared" si="305"/>
        <v>11784</v>
      </c>
      <c r="U6863" s="4">
        <f t="shared" si="304"/>
        <v>13198.080000000002</v>
      </c>
      <c r="V6863" s="3"/>
      <c r="W6863" s="3">
        <v>2014</v>
      </c>
      <c r="X6863" s="3"/>
    </row>
    <row r="6864" spans="1:24" ht="114.75">
      <c r="A6864" s="3" t="s">
        <v>2895</v>
      </c>
      <c r="B6864" s="6" t="s">
        <v>361</v>
      </c>
      <c r="C6864" s="6" t="s">
        <v>7098</v>
      </c>
      <c r="D6864" s="6" t="s">
        <v>5587</v>
      </c>
      <c r="E6864" s="6" t="s">
        <v>5998</v>
      </c>
      <c r="F6864" s="6" t="s">
        <v>7254</v>
      </c>
      <c r="G6864" s="57" t="s">
        <v>11449</v>
      </c>
      <c r="H6864" s="185">
        <v>0</v>
      </c>
      <c r="I6864" s="16">
        <v>470000000</v>
      </c>
      <c r="J6864" s="56" t="s">
        <v>229</v>
      </c>
      <c r="K6864" s="57" t="s">
        <v>641</v>
      </c>
      <c r="L6864" s="57" t="s">
        <v>364</v>
      </c>
      <c r="M6864" s="3" t="s">
        <v>230</v>
      </c>
      <c r="N6864" s="8" t="s">
        <v>9479</v>
      </c>
      <c r="O6864" s="6" t="s">
        <v>365</v>
      </c>
      <c r="P6864" s="58" t="s">
        <v>241</v>
      </c>
      <c r="Q6864" s="27" t="s">
        <v>234</v>
      </c>
      <c r="R6864" s="3">
        <v>6</v>
      </c>
      <c r="S6864" s="134">
        <v>7231.43</v>
      </c>
      <c r="T6864" s="4">
        <f t="shared" si="305"/>
        <v>43388.58</v>
      </c>
      <c r="U6864" s="4">
        <f t="shared" si="304"/>
        <v>48595.209600000009</v>
      </c>
      <c r="V6864" s="3"/>
      <c r="W6864" s="3">
        <v>2014</v>
      </c>
      <c r="X6864" s="3"/>
    </row>
    <row r="6865" spans="1:24" ht="114.75">
      <c r="A6865" s="3" t="s">
        <v>2896</v>
      </c>
      <c r="B6865" s="6" t="s">
        <v>361</v>
      </c>
      <c r="C6865" s="6" t="s">
        <v>6051</v>
      </c>
      <c r="D6865" s="6" t="s">
        <v>5416</v>
      </c>
      <c r="E6865" s="6" t="s">
        <v>5998</v>
      </c>
      <c r="F6865" s="6" t="s">
        <v>513</v>
      </c>
      <c r="G6865" s="57" t="s">
        <v>11449</v>
      </c>
      <c r="H6865" s="185">
        <v>0</v>
      </c>
      <c r="I6865" s="16">
        <v>470000000</v>
      </c>
      <c r="J6865" s="56" t="s">
        <v>229</v>
      </c>
      <c r="K6865" s="57" t="s">
        <v>641</v>
      </c>
      <c r="L6865" s="57" t="s">
        <v>364</v>
      </c>
      <c r="M6865" s="3" t="s">
        <v>230</v>
      </c>
      <c r="N6865" s="8" t="s">
        <v>9479</v>
      </c>
      <c r="O6865" s="6" t="s">
        <v>365</v>
      </c>
      <c r="P6865" s="58" t="s">
        <v>241</v>
      </c>
      <c r="Q6865" s="27" t="s">
        <v>234</v>
      </c>
      <c r="R6865" s="3">
        <v>6</v>
      </c>
      <c r="S6865" s="134">
        <v>4464.29</v>
      </c>
      <c r="T6865" s="4">
        <f t="shared" si="305"/>
        <v>26785.739999999998</v>
      </c>
      <c r="U6865" s="4">
        <f t="shared" si="304"/>
        <v>30000.0288</v>
      </c>
      <c r="V6865" s="3"/>
      <c r="W6865" s="3">
        <v>2014</v>
      </c>
      <c r="X6865" s="3"/>
    </row>
    <row r="6866" spans="1:24" ht="114.75">
      <c r="A6866" s="3" t="s">
        <v>2897</v>
      </c>
      <c r="B6866" s="6" t="s">
        <v>361</v>
      </c>
      <c r="C6866" s="6" t="s">
        <v>7255</v>
      </c>
      <c r="D6866" s="6" t="s">
        <v>7256</v>
      </c>
      <c r="E6866" s="6" t="s">
        <v>5998</v>
      </c>
      <c r="F6866" s="6" t="s">
        <v>7257</v>
      </c>
      <c r="G6866" s="57" t="s">
        <v>11449</v>
      </c>
      <c r="H6866" s="185">
        <v>0</v>
      </c>
      <c r="I6866" s="16">
        <v>470000000</v>
      </c>
      <c r="J6866" s="56" t="s">
        <v>229</v>
      </c>
      <c r="K6866" s="57" t="s">
        <v>641</v>
      </c>
      <c r="L6866" s="57" t="s">
        <v>364</v>
      </c>
      <c r="M6866" s="3" t="s">
        <v>230</v>
      </c>
      <c r="N6866" s="8" t="s">
        <v>9479</v>
      </c>
      <c r="O6866" s="6" t="s">
        <v>365</v>
      </c>
      <c r="P6866" s="58" t="s">
        <v>241</v>
      </c>
      <c r="Q6866" s="27" t="s">
        <v>234</v>
      </c>
      <c r="R6866" s="3">
        <v>6</v>
      </c>
      <c r="S6866" s="134">
        <v>2678.57</v>
      </c>
      <c r="T6866" s="4">
        <f t="shared" si="305"/>
        <v>16071.420000000002</v>
      </c>
      <c r="U6866" s="4">
        <f t="shared" si="304"/>
        <v>17999.990400000002</v>
      </c>
      <c r="V6866" s="3"/>
      <c r="W6866" s="3">
        <v>2014</v>
      </c>
      <c r="X6866" s="3"/>
    </row>
    <row r="6867" spans="1:24" ht="114.75">
      <c r="A6867" s="3" t="s">
        <v>2898</v>
      </c>
      <c r="B6867" s="6" t="s">
        <v>361</v>
      </c>
      <c r="C6867" s="6" t="s">
        <v>7258</v>
      </c>
      <c r="D6867" s="6" t="s">
        <v>514</v>
      </c>
      <c r="E6867" s="6" t="s">
        <v>5332</v>
      </c>
      <c r="F6867" s="6" t="s">
        <v>7259</v>
      </c>
      <c r="G6867" s="57" t="s">
        <v>11449</v>
      </c>
      <c r="H6867" s="185">
        <v>0</v>
      </c>
      <c r="I6867" s="16">
        <v>470000000</v>
      </c>
      <c r="J6867" s="56" t="s">
        <v>229</v>
      </c>
      <c r="K6867" s="57" t="s">
        <v>641</v>
      </c>
      <c r="L6867" s="57" t="s">
        <v>364</v>
      </c>
      <c r="M6867" s="3" t="s">
        <v>230</v>
      </c>
      <c r="N6867" s="8" t="s">
        <v>9479</v>
      </c>
      <c r="O6867" s="6" t="s">
        <v>365</v>
      </c>
      <c r="P6867" s="58" t="s">
        <v>241</v>
      </c>
      <c r="Q6867" s="27" t="s">
        <v>234</v>
      </c>
      <c r="R6867" s="3">
        <v>6</v>
      </c>
      <c r="S6867" s="134">
        <v>4464</v>
      </c>
      <c r="T6867" s="4">
        <f t="shared" si="305"/>
        <v>26784</v>
      </c>
      <c r="U6867" s="4">
        <f t="shared" si="304"/>
        <v>29998.080000000002</v>
      </c>
      <c r="V6867" s="3"/>
      <c r="W6867" s="3">
        <v>2014</v>
      </c>
      <c r="X6867" s="3"/>
    </row>
    <row r="6868" spans="1:24" ht="114.75">
      <c r="A6868" s="3" t="s">
        <v>2899</v>
      </c>
      <c r="B6868" s="6" t="s">
        <v>361</v>
      </c>
      <c r="C6868" s="6" t="s">
        <v>7260</v>
      </c>
      <c r="D6868" s="6" t="s">
        <v>515</v>
      </c>
      <c r="E6868" s="6" t="s">
        <v>6188</v>
      </c>
      <c r="F6868" s="6" t="s">
        <v>7261</v>
      </c>
      <c r="G6868" s="57" t="s">
        <v>11449</v>
      </c>
      <c r="H6868" s="185">
        <v>0</v>
      </c>
      <c r="I6868" s="16">
        <v>470000000</v>
      </c>
      <c r="J6868" s="56" t="s">
        <v>229</v>
      </c>
      <c r="K6868" s="57" t="s">
        <v>641</v>
      </c>
      <c r="L6868" s="57" t="s">
        <v>364</v>
      </c>
      <c r="M6868" s="3" t="s">
        <v>230</v>
      </c>
      <c r="N6868" s="8" t="s">
        <v>9479</v>
      </c>
      <c r="O6868" s="6" t="s">
        <v>365</v>
      </c>
      <c r="P6868" s="58" t="s">
        <v>241</v>
      </c>
      <c r="Q6868" s="27" t="s">
        <v>234</v>
      </c>
      <c r="R6868" s="3">
        <v>6</v>
      </c>
      <c r="S6868" s="134">
        <v>8928.57</v>
      </c>
      <c r="T6868" s="4">
        <f t="shared" si="305"/>
        <v>53571.42</v>
      </c>
      <c r="U6868" s="4">
        <f t="shared" si="304"/>
        <v>59999.990400000002</v>
      </c>
      <c r="V6868" s="3"/>
      <c r="W6868" s="3">
        <v>2014</v>
      </c>
      <c r="X6868" s="3"/>
    </row>
    <row r="6869" spans="1:24" ht="114.75">
      <c r="A6869" s="3" t="s">
        <v>2900</v>
      </c>
      <c r="B6869" s="6" t="s">
        <v>361</v>
      </c>
      <c r="C6869" s="6" t="s">
        <v>7098</v>
      </c>
      <c r="D6869" s="6" t="s">
        <v>5587</v>
      </c>
      <c r="E6869" s="6" t="s">
        <v>5998</v>
      </c>
      <c r="F6869" s="6" t="s">
        <v>7262</v>
      </c>
      <c r="G6869" s="57" t="s">
        <v>11449</v>
      </c>
      <c r="H6869" s="185">
        <v>0</v>
      </c>
      <c r="I6869" s="16">
        <v>470000000</v>
      </c>
      <c r="J6869" s="56" t="s">
        <v>229</v>
      </c>
      <c r="K6869" s="57" t="s">
        <v>641</v>
      </c>
      <c r="L6869" s="57" t="s">
        <v>364</v>
      </c>
      <c r="M6869" s="3" t="s">
        <v>230</v>
      </c>
      <c r="N6869" s="8" t="s">
        <v>9479</v>
      </c>
      <c r="O6869" s="6" t="s">
        <v>365</v>
      </c>
      <c r="P6869" s="58" t="s">
        <v>241</v>
      </c>
      <c r="Q6869" s="27" t="s">
        <v>234</v>
      </c>
      <c r="R6869" s="3">
        <v>2</v>
      </c>
      <c r="S6869" s="134">
        <v>8750</v>
      </c>
      <c r="T6869" s="4">
        <f t="shared" si="305"/>
        <v>17500</v>
      </c>
      <c r="U6869" s="4">
        <f t="shared" si="304"/>
        <v>19600.000000000004</v>
      </c>
      <c r="V6869" s="3"/>
      <c r="W6869" s="3">
        <v>2014</v>
      </c>
      <c r="X6869" s="3"/>
    </row>
    <row r="6870" spans="1:24" ht="114.75">
      <c r="A6870" s="3" t="s">
        <v>2901</v>
      </c>
      <c r="B6870" s="6" t="s">
        <v>361</v>
      </c>
      <c r="C6870" s="6" t="s">
        <v>7098</v>
      </c>
      <c r="D6870" s="6" t="s">
        <v>5587</v>
      </c>
      <c r="E6870" s="6" t="s">
        <v>5998</v>
      </c>
      <c r="F6870" s="6" t="s">
        <v>7263</v>
      </c>
      <c r="G6870" s="57" t="s">
        <v>11449</v>
      </c>
      <c r="H6870" s="185">
        <v>0</v>
      </c>
      <c r="I6870" s="16">
        <v>470000000</v>
      </c>
      <c r="J6870" s="56" t="s">
        <v>229</v>
      </c>
      <c r="K6870" s="57" t="s">
        <v>641</v>
      </c>
      <c r="L6870" s="57" t="s">
        <v>364</v>
      </c>
      <c r="M6870" s="3" t="s">
        <v>230</v>
      </c>
      <c r="N6870" s="8" t="s">
        <v>9479</v>
      </c>
      <c r="O6870" s="6" t="s">
        <v>365</v>
      </c>
      <c r="P6870" s="58" t="s">
        <v>241</v>
      </c>
      <c r="Q6870" s="27" t="s">
        <v>234</v>
      </c>
      <c r="R6870" s="3">
        <v>2</v>
      </c>
      <c r="S6870" s="134">
        <v>8750</v>
      </c>
      <c r="T6870" s="4">
        <f t="shared" si="305"/>
        <v>17500</v>
      </c>
      <c r="U6870" s="4">
        <f t="shared" si="304"/>
        <v>19600.000000000004</v>
      </c>
      <c r="V6870" s="3"/>
      <c r="W6870" s="3">
        <v>2014</v>
      </c>
      <c r="X6870" s="3"/>
    </row>
    <row r="6871" spans="1:24" ht="114.75">
      <c r="A6871" s="3" t="s">
        <v>2902</v>
      </c>
      <c r="B6871" s="6" t="s">
        <v>361</v>
      </c>
      <c r="C6871" s="6" t="s">
        <v>7098</v>
      </c>
      <c r="D6871" s="6" t="s">
        <v>5587</v>
      </c>
      <c r="E6871" s="6" t="s">
        <v>5998</v>
      </c>
      <c r="F6871" s="6" t="s">
        <v>7264</v>
      </c>
      <c r="G6871" s="57" t="s">
        <v>11449</v>
      </c>
      <c r="H6871" s="185">
        <v>0</v>
      </c>
      <c r="I6871" s="16">
        <v>470000000</v>
      </c>
      <c r="J6871" s="56" t="s">
        <v>229</v>
      </c>
      <c r="K6871" s="57" t="s">
        <v>641</v>
      </c>
      <c r="L6871" s="57" t="s">
        <v>364</v>
      </c>
      <c r="M6871" s="3" t="s">
        <v>230</v>
      </c>
      <c r="N6871" s="8" t="s">
        <v>9479</v>
      </c>
      <c r="O6871" s="6" t="s">
        <v>365</v>
      </c>
      <c r="P6871" s="58" t="s">
        <v>241</v>
      </c>
      <c r="Q6871" s="27" t="s">
        <v>234</v>
      </c>
      <c r="R6871" s="3">
        <v>2</v>
      </c>
      <c r="S6871" s="134">
        <v>8928.57</v>
      </c>
      <c r="T6871" s="4">
        <f t="shared" si="305"/>
        <v>17857.14</v>
      </c>
      <c r="U6871" s="4">
        <f t="shared" si="304"/>
        <v>19999.996800000001</v>
      </c>
      <c r="V6871" s="3"/>
      <c r="W6871" s="3">
        <v>2014</v>
      </c>
      <c r="X6871" s="3"/>
    </row>
    <row r="6872" spans="1:24" ht="114.75">
      <c r="A6872" s="3" t="s">
        <v>2903</v>
      </c>
      <c r="B6872" s="6" t="s">
        <v>361</v>
      </c>
      <c r="C6872" s="6" t="s">
        <v>7098</v>
      </c>
      <c r="D6872" s="6" t="s">
        <v>5587</v>
      </c>
      <c r="E6872" s="6" t="s">
        <v>5998</v>
      </c>
      <c r="F6872" s="6" t="s">
        <v>7265</v>
      </c>
      <c r="G6872" s="57" t="s">
        <v>11449</v>
      </c>
      <c r="H6872" s="185">
        <v>0</v>
      </c>
      <c r="I6872" s="16">
        <v>470000000</v>
      </c>
      <c r="J6872" s="56" t="s">
        <v>229</v>
      </c>
      <c r="K6872" s="57" t="s">
        <v>641</v>
      </c>
      <c r="L6872" s="57" t="s">
        <v>364</v>
      </c>
      <c r="M6872" s="3" t="s">
        <v>230</v>
      </c>
      <c r="N6872" s="8" t="s">
        <v>9479</v>
      </c>
      <c r="O6872" s="6" t="s">
        <v>365</v>
      </c>
      <c r="P6872" s="58" t="s">
        <v>241</v>
      </c>
      <c r="Q6872" s="27" t="s">
        <v>234</v>
      </c>
      <c r="R6872" s="3">
        <v>2</v>
      </c>
      <c r="S6872" s="134">
        <v>8928.57</v>
      </c>
      <c r="T6872" s="4">
        <f t="shared" si="305"/>
        <v>17857.14</v>
      </c>
      <c r="U6872" s="4">
        <f t="shared" si="304"/>
        <v>19999.996800000001</v>
      </c>
      <c r="V6872" s="3"/>
      <c r="W6872" s="3">
        <v>2014</v>
      </c>
      <c r="X6872" s="3"/>
    </row>
    <row r="6873" spans="1:24" ht="114.75">
      <c r="A6873" s="3" t="s">
        <v>2904</v>
      </c>
      <c r="B6873" s="6" t="s">
        <v>361</v>
      </c>
      <c r="C6873" s="6" t="s">
        <v>7266</v>
      </c>
      <c r="D6873" s="6" t="s">
        <v>7267</v>
      </c>
      <c r="E6873" s="6" t="s">
        <v>5998</v>
      </c>
      <c r="F6873" s="6" t="s">
        <v>7268</v>
      </c>
      <c r="G6873" s="57" t="s">
        <v>11449</v>
      </c>
      <c r="H6873" s="185">
        <v>0</v>
      </c>
      <c r="I6873" s="16">
        <v>470000000</v>
      </c>
      <c r="J6873" s="56" t="s">
        <v>229</v>
      </c>
      <c r="K6873" s="57" t="s">
        <v>641</v>
      </c>
      <c r="L6873" s="57" t="s">
        <v>364</v>
      </c>
      <c r="M6873" s="3" t="s">
        <v>230</v>
      </c>
      <c r="N6873" s="8" t="s">
        <v>9479</v>
      </c>
      <c r="O6873" s="6" t="s">
        <v>365</v>
      </c>
      <c r="P6873" s="58" t="s">
        <v>241</v>
      </c>
      <c r="Q6873" s="27" t="s">
        <v>234</v>
      </c>
      <c r="R6873" s="3">
        <v>2</v>
      </c>
      <c r="S6873" s="134">
        <v>5178</v>
      </c>
      <c r="T6873" s="4">
        <f t="shared" si="305"/>
        <v>10356</v>
      </c>
      <c r="U6873" s="4">
        <f t="shared" ref="U6873:U6891" si="306">T6873*1.12</f>
        <v>11598.720000000001</v>
      </c>
      <c r="V6873" s="3"/>
      <c r="W6873" s="3">
        <v>2014</v>
      </c>
      <c r="X6873" s="3"/>
    </row>
    <row r="6874" spans="1:24" ht="114.75">
      <c r="A6874" s="3" t="s">
        <v>2905</v>
      </c>
      <c r="B6874" s="6" t="s">
        <v>361</v>
      </c>
      <c r="C6874" s="6" t="s">
        <v>7266</v>
      </c>
      <c r="D6874" s="6" t="s">
        <v>7267</v>
      </c>
      <c r="E6874" s="6" t="s">
        <v>5998</v>
      </c>
      <c r="F6874" s="6" t="s">
        <v>7269</v>
      </c>
      <c r="G6874" s="57" t="s">
        <v>11449</v>
      </c>
      <c r="H6874" s="185">
        <v>0</v>
      </c>
      <c r="I6874" s="16">
        <v>470000000</v>
      </c>
      <c r="J6874" s="56" t="s">
        <v>229</v>
      </c>
      <c r="K6874" s="57" t="s">
        <v>641</v>
      </c>
      <c r="L6874" s="57" t="s">
        <v>364</v>
      </c>
      <c r="M6874" s="3" t="s">
        <v>230</v>
      </c>
      <c r="N6874" s="8" t="s">
        <v>9479</v>
      </c>
      <c r="O6874" s="6" t="s">
        <v>365</v>
      </c>
      <c r="P6874" s="58" t="s">
        <v>241</v>
      </c>
      <c r="Q6874" s="27" t="s">
        <v>234</v>
      </c>
      <c r="R6874" s="3">
        <v>2</v>
      </c>
      <c r="S6874" s="134">
        <v>5178</v>
      </c>
      <c r="T6874" s="4">
        <f t="shared" si="305"/>
        <v>10356</v>
      </c>
      <c r="U6874" s="4">
        <f t="shared" si="306"/>
        <v>11598.720000000001</v>
      </c>
      <c r="V6874" s="3"/>
      <c r="W6874" s="3">
        <v>2014</v>
      </c>
      <c r="X6874" s="3"/>
    </row>
    <row r="6875" spans="1:24" ht="114.75">
      <c r="A6875" s="3" t="s">
        <v>2906</v>
      </c>
      <c r="B6875" s="6" t="s">
        <v>361</v>
      </c>
      <c r="C6875" s="6" t="s">
        <v>7270</v>
      </c>
      <c r="D6875" s="6" t="s">
        <v>7271</v>
      </c>
      <c r="E6875" s="6" t="s">
        <v>5998</v>
      </c>
      <c r="F6875" s="6" t="s">
        <v>7272</v>
      </c>
      <c r="G6875" s="57" t="s">
        <v>11449</v>
      </c>
      <c r="H6875" s="185">
        <v>0</v>
      </c>
      <c r="I6875" s="16">
        <v>470000000</v>
      </c>
      <c r="J6875" s="56" t="s">
        <v>229</v>
      </c>
      <c r="K6875" s="57" t="s">
        <v>641</v>
      </c>
      <c r="L6875" s="57" t="s">
        <v>364</v>
      </c>
      <c r="M6875" s="3" t="s">
        <v>230</v>
      </c>
      <c r="N6875" s="8" t="s">
        <v>9479</v>
      </c>
      <c r="O6875" s="6" t="s">
        <v>365</v>
      </c>
      <c r="P6875" s="58" t="s">
        <v>241</v>
      </c>
      <c r="Q6875" s="27" t="s">
        <v>234</v>
      </c>
      <c r="R6875" s="3">
        <v>2</v>
      </c>
      <c r="S6875" s="134">
        <v>4821.43</v>
      </c>
      <c r="T6875" s="4">
        <f t="shared" si="305"/>
        <v>9642.86</v>
      </c>
      <c r="U6875" s="4">
        <f t="shared" si="306"/>
        <v>10800.003200000001</v>
      </c>
      <c r="V6875" s="3"/>
      <c r="W6875" s="3">
        <v>2014</v>
      </c>
      <c r="X6875" s="3"/>
    </row>
    <row r="6876" spans="1:24" ht="114.75">
      <c r="A6876" s="3" t="s">
        <v>2907</v>
      </c>
      <c r="B6876" s="6" t="s">
        <v>361</v>
      </c>
      <c r="C6876" s="6" t="s">
        <v>6001</v>
      </c>
      <c r="D6876" s="6" t="s">
        <v>438</v>
      </c>
      <c r="E6876" s="6" t="s">
        <v>5998</v>
      </c>
      <c r="F6876" s="6" t="s">
        <v>7273</v>
      </c>
      <c r="G6876" s="57" t="s">
        <v>11449</v>
      </c>
      <c r="H6876" s="185">
        <v>0</v>
      </c>
      <c r="I6876" s="16">
        <v>470000000</v>
      </c>
      <c r="J6876" s="56" t="s">
        <v>229</v>
      </c>
      <c r="K6876" s="57" t="s">
        <v>641</v>
      </c>
      <c r="L6876" s="57" t="s">
        <v>364</v>
      </c>
      <c r="M6876" s="3" t="s">
        <v>230</v>
      </c>
      <c r="N6876" s="8" t="s">
        <v>9479</v>
      </c>
      <c r="O6876" s="6" t="s">
        <v>365</v>
      </c>
      <c r="P6876" s="58" t="s">
        <v>241</v>
      </c>
      <c r="Q6876" s="27" t="s">
        <v>234</v>
      </c>
      <c r="R6876" s="3">
        <v>4</v>
      </c>
      <c r="S6876" s="134">
        <v>16071.35</v>
      </c>
      <c r="T6876" s="4">
        <f t="shared" si="305"/>
        <v>64285.4</v>
      </c>
      <c r="U6876" s="4">
        <f t="shared" si="306"/>
        <v>71999.648000000016</v>
      </c>
      <c r="V6876" s="3"/>
      <c r="W6876" s="3">
        <v>2014</v>
      </c>
      <c r="X6876" s="3"/>
    </row>
    <row r="6877" spans="1:24" ht="114.75">
      <c r="A6877" s="3" t="s">
        <v>2908</v>
      </c>
      <c r="B6877" s="6" t="s">
        <v>361</v>
      </c>
      <c r="C6877" s="6" t="s">
        <v>7274</v>
      </c>
      <c r="D6877" s="6" t="s">
        <v>7275</v>
      </c>
      <c r="E6877" s="6" t="s">
        <v>5998</v>
      </c>
      <c r="F6877" s="6" t="s">
        <v>7276</v>
      </c>
      <c r="G6877" s="57" t="s">
        <v>11449</v>
      </c>
      <c r="H6877" s="185">
        <v>0</v>
      </c>
      <c r="I6877" s="16">
        <v>470000000</v>
      </c>
      <c r="J6877" s="56" t="s">
        <v>229</v>
      </c>
      <c r="K6877" s="57" t="s">
        <v>641</v>
      </c>
      <c r="L6877" s="57" t="s">
        <v>364</v>
      </c>
      <c r="M6877" s="3" t="s">
        <v>230</v>
      </c>
      <c r="N6877" s="8" t="s">
        <v>9479</v>
      </c>
      <c r="O6877" s="6" t="s">
        <v>365</v>
      </c>
      <c r="P6877" s="58" t="s">
        <v>241</v>
      </c>
      <c r="Q6877" s="27" t="s">
        <v>234</v>
      </c>
      <c r="R6877" s="3">
        <v>1</v>
      </c>
      <c r="S6877" s="134">
        <v>12500</v>
      </c>
      <c r="T6877" s="4">
        <f t="shared" si="305"/>
        <v>12500</v>
      </c>
      <c r="U6877" s="4">
        <f t="shared" si="306"/>
        <v>14000.000000000002</v>
      </c>
      <c r="V6877" s="3"/>
      <c r="W6877" s="3">
        <v>2014</v>
      </c>
      <c r="X6877" s="3"/>
    </row>
    <row r="6878" spans="1:24" ht="114.75">
      <c r="A6878" s="3" t="s">
        <v>2909</v>
      </c>
      <c r="B6878" s="6" t="s">
        <v>361</v>
      </c>
      <c r="C6878" s="6" t="s">
        <v>6976</v>
      </c>
      <c r="D6878" s="6" t="s">
        <v>507</v>
      </c>
      <c r="E6878" s="6" t="s">
        <v>5743</v>
      </c>
      <c r="F6878" s="6" t="s">
        <v>7277</v>
      </c>
      <c r="G6878" s="57" t="s">
        <v>11449</v>
      </c>
      <c r="H6878" s="185">
        <v>0</v>
      </c>
      <c r="I6878" s="16">
        <v>470000000</v>
      </c>
      <c r="J6878" s="56" t="s">
        <v>229</v>
      </c>
      <c r="K6878" s="57" t="s">
        <v>641</v>
      </c>
      <c r="L6878" s="57" t="s">
        <v>364</v>
      </c>
      <c r="M6878" s="3" t="s">
        <v>230</v>
      </c>
      <c r="N6878" s="8" t="s">
        <v>9479</v>
      </c>
      <c r="O6878" s="6" t="s">
        <v>365</v>
      </c>
      <c r="P6878" s="58" t="s">
        <v>241</v>
      </c>
      <c r="Q6878" s="27" t="s">
        <v>234</v>
      </c>
      <c r="R6878" s="3">
        <v>4</v>
      </c>
      <c r="S6878" s="134">
        <v>30357.31</v>
      </c>
      <c r="T6878" s="4">
        <f t="shared" ref="T6878:T6960" si="307">R6878*S6878</f>
        <v>121429.24</v>
      </c>
      <c r="U6878" s="4">
        <f t="shared" si="306"/>
        <v>136000.74880000003</v>
      </c>
      <c r="V6878" s="3"/>
      <c r="W6878" s="3">
        <v>2014</v>
      </c>
      <c r="X6878" s="3"/>
    </row>
    <row r="6879" spans="1:24" ht="114.75">
      <c r="A6879" s="3" t="s">
        <v>2910</v>
      </c>
      <c r="B6879" s="6" t="s">
        <v>361</v>
      </c>
      <c r="C6879" s="6" t="s">
        <v>7278</v>
      </c>
      <c r="D6879" s="6" t="s">
        <v>390</v>
      </c>
      <c r="E6879" s="6" t="s">
        <v>7279</v>
      </c>
      <c r="F6879" s="6" t="s">
        <v>7280</v>
      </c>
      <c r="G6879" s="57" t="s">
        <v>11449</v>
      </c>
      <c r="H6879" s="185">
        <v>0</v>
      </c>
      <c r="I6879" s="16">
        <v>470000000</v>
      </c>
      <c r="J6879" s="56" t="s">
        <v>229</v>
      </c>
      <c r="K6879" s="57" t="s">
        <v>641</v>
      </c>
      <c r="L6879" s="57" t="s">
        <v>364</v>
      </c>
      <c r="M6879" s="3" t="s">
        <v>230</v>
      </c>
      <c r="N6879" s="8" t="s">
        <v>8898</v>
      </c>
      <c r="O6879" s="6" t="s">
        <v>365</v>
      </c>
      <c r="P6879" s="58" t="s">
        <v>241</v>
      </c>
      <c r="Q6879" s="27" t="s">
        <v>234</v>
      </c>
      <c r="R6879" s="3">
        <v>2</v>
      </c>
      <c r="S6879" s="134">
        <v>15850</v>
      </c>
      <c r="T6879" s="4">
        <v>0</v>
      </c>
      <c r="U6879" s="4">
        <f t="shared" si="306"/>
        <v>0</v>
      </c>
      <c r="V6879" s="3"/>
      <c r="W6879" s="3">
        <v>2014</v>
      </c>
      <c r="X6879" s="3" t="s">
        <v>11817</v>
      </c>
    </row>
    <row r="6880" spans="1:24" ht="114.75">
      <c r="A6880" s="3" t="s">
        <v>13526</v>
      </c>
      <c r="B6880" s="6" t="s">
        <v>361</v>
      </c>
      <c r="C6880" s="6" t="s">
        <v>7278</v>
      </c>
      <c r="D6880" s="6" t="s">
        <v>390</v>
      </c>
      <c r="E6880" s="6" t="s">
        <v>7279</v>
      </c>
      <c r="F6880" s="6" t="s">
        <v>7280</v>
      </c>
      <c r="G6880" s="57" t="s">
        <v>11450</v>
      </c>
      <c r="H6880" s="185">
        <v>0</v>
      </c>
      <c r="I6880" s="16">
        <v>470000000</v>
      </c>
      <c r="J6880" s="56" t="s">
        <v>229</v>
      </c>
      <c r="K6880" s="57" t="s">
        <v>9453</v>
      </c>
      <c r="L6880" s="12" t="s">
        <v>404</v>
      </c>
      <c r="M6880" s="3" t="s">
        <v>230</v>
      </c>
      <c r="N6880" s="8" t="s">
        <v>8898</v>
      </c>
      <c r="O6880" s="6" t="s">
        <v>365</v>
      </c>
      <c r="P6880" s="58" t="s">
        <v>241</v>
      </c>
      <c r="Q6880" s="27" t="s">
        <v>234</v>
      </c>
      <c r="R6880" s="3">
        <v>2</v>
      </c>
      <c r="S6880" s="134">
        <v>15850</v>
      </c>
      <c r="T6880" s="4">
        <f>R6880*S6880</f>
        <v>31700</v>
      </c>
      <c r="U6880" s="4">
        <f>T6880*1.12</f>
        <v>35504</v>
      </c>
      <c r="V6880" s="3"/>
      <c r="W6880" s="3">
        <v>2014</v>
      </c>
      <c r="X6880" s="3"/>
    </row>
    <row r="6881" spans="1:24" ht="114.75">
      <c r="A6881" s="3" t="s">
        <v>2911</v>
      </c>
      <c r="B6881" s="6" t="s">
        <v>361</v>
      </c>
      <c r="C6881" s="6" t="s">
        <v>6697</v>
      </c>
      <c r="D6881" s="6" t="s">
        <v>495</v>
      </c>
      <c r="E6881" s="6" t="s">
        <v>5332</v>
      </c>
      <c r="F6881" s="3" t="s">
        <v>7281</v>
      </c>
      <c r="G6881" s="57" t="s">
        <v>11449</v>
      </c>
      <c r="H6881" s="185">
        <v>0</v>
      </c>
      <c r="I6881" s="16">
        <v>470000000</v>
      </c>
      <c r="J6881" s="56" t="s">
        <v>229</v>
      </c>
      <c r="K6881" s="57" t="s">
        <v>641</v>
      </c>
      <c r="L6881" s="57" t="s">
        <v>364</v>
      </c>
      <c r="M6881" s="3" t="s">
        <v>230</v>
      </c>
      <c r="N6881" s="8" t="s">
        <v>8898</v>
      </c>
      <c r="O6881" s="6" t="s">
        <v>365</v>
      </c>
      <c r="P6881" s="58" t="s">
        <v>241</v>
      </c>
      <c r="Q6881" s="27" t="s">
        <v>234</v>
      </c>
      <c r="R6881" s="3">
        <v>2</v>
      </c>
      <c r="S6881" s="134">
        <v>12115</v>
      </c>
      <c r="T6881" s="4">
        <v>0</v>
      </c>
      <c r="U6881" s="4">
        <f t="shared" si="306"/>
        <v>0</v>
      </c>
      <c r="V6881" s="3"/>
      <c r="W6881" s="3">
        <v>2014</v>
      </c>
      <c r="X6881" s="3" t="s">
        <v>11817</v>
      </c>
    </row>
    <row r="6882" spans="1:24" ht="114.75">
      <c r="A6882" s="3" t="s">
        <v>13527</v>
      </c>
      <c r="B6882" s="6" t="s">
        <v>361</v>
      </c>
      <c r="C6882" s="6" t="s">
        <v>6697</v>
      </c>
      <c r="D6882" s="6" t="s">
        <v>495</v>
      </c>
      <c r="E6882" s="6" t="s">
        <v>5332</v>
      </c>
      <c r="F6882" s="3" t="s">
        <v>7281</v>
      </c>
      <c r="G6882" s="57" t="s">
        <v>11450</v>
      </c>
      <c r="H6882" s="185">
        <v>0</v>
      </c>
      <c r="I6882" s="16">
        <v>470000000</v>
      </c>
      <c r="J6882" s="56" t="s">
        <v>229</v>
      </c>
      <c r="K6882" s="57" t="s">
        <v>9453</v>
      </c>
      <c r="L6882" s="12" t="s">
        <v>404</v>
      </c>
      <c r="M6882" s="3" t="s">
        <v>230</v>
      </c>
      <c r="N6882" s="8" t="s">
        <v>8898</v>
      </c>
      <c r="O6882" s="6" t="s">
        <v>365</v>
      </c>
      <c r="P6882" s="58" t="s">
        <v>241</v>
      </c>
      <c r="Q6882" s="27" t="s">
        <v>234</v>
      </c>
      <c r="R6882" s="3">
        <v>2</v>
      </c>
      <c r="S6882" s="134">
        <v>12115</v>
      </c>
      <c r="T6882" s="4">
        <f>R6882*S6882</f>
        <v>24230</v>
      </c>
      <c r="U6882" s="4">
        <f>T6882*1.12</f>
        <v>27137.600000000002</v>
      </c>
      <c r="V6882" s="3"/>
      <c r="W6882" s="3">
        <v>2014</v>
      </c>
      <c r="X6882" s="3"/>
    </row>
    <row r="6883" spans="1:24" ht="114.75">
      <c r="A6883" s="3" t="s">
        <v>2912</v>
      </c>
      <c r="B6883" s="6" t="s">
        <v>361</v>
      </c>
      <c r="C6883" s="6" t="s">
        <v>6697</v>
      </c>
      <c r="D6883" s="6" t="s">
        <v>495</v>
      </c>
      <c r="E6883" s="6" t="s">
        <v>5332</v>
      </c>
      <c r="F6883" s="3" t="s">
        <v>7282</v>
      </c>
      <c r="G6883" s="57" t="s">
        <v>11449</v>
      </c>
      <c r="H6883" s="185">
        <v>0</v>
      </c>
      <c r="I6883" s="16">
        <v>470000000</v>
      </c>
      <c r="J6883" s="56" t="s">
        <v>229</v>
      </c>
      <c r="K6883" s="57" t="s">
        <v>641</v>
      </c>
      <c r="L6883" s="57" t="s">
        <v>364</v>
      </c>
      <c r="M6883" s="3" t="s">
        <v>230</v>
      </c>
      <c r="N6883" s="8" t="s">
        <v>8898</v>
      </c>
      <c r="O6883" s="6" t="s">
        <v>365</v>
      </c>
      <c r="P6883" s="58" t="s">
        <v>241</v>
      </c>
      <c r="Q6883" s="27" t="s">
        <v>234</v>
      </c>
      <c r="R6883" s="3">
        <v>2</v>
      </c>
      <c r="S6883" s="134">
        <v>7950</v>
      </c>
      <c r="T6883" s="4">
        <v>0</v>
      </c>
      <c r="U6883" s="4">
        <f t="shared" si="306"/>
        <v>0</v>
      </c>
      <c r="V6883" s="3"/>
      <c r="W6883" s="3">
        <v>2014</v>
      </c>
      <c r="X6883" s="3" t="s">
        <v>11817</v>
      </c>
    </row>
    <row r="6884" spans="1:24" ht="114.75">
      <c r="A6884" s="3" t="s">
        <v>13528</v>
      </c>
      <c r="B6884" s="6" t="s">
        <v>361</v>
      </c>
      <c r="C6884" s="6" t="s">
        <v>6697</v>
      </c>
      <c r="D6884" s="6" t="s">
        <v>495</v>
      </c>
      <c r="E6884" s="6" t="s">
        <v>5332</v>
      </c>
      <c r="F6884" s="3" t="s">
        <v>7282</v>
      </c>
      <c r="G6884" s="57" t="s">
        <v>11450</v>
      </c>
      <c r="H6884" s="185">
        <v>0</v>
      </c>
      <c r="I6884" s="16">
        <v>470000000</v>
      </c>
      <c r="J6884" s="56" t="s">
        <v>229</v>
      </c>
      <c r="K6884" s="57" t="s">
        <v>9453</v>
      </c>
      <c r="L6884" s="12" t="s">
        <v>404</v>
      </c>
      <c r="M6884" s="3" t="s">
        <v>230</v>
      </c>
      <c r="N6884" s="8" t="s">
        <v>8898</v>
      </c>
      <c r="O6884" s="6" t="s">
        <v>365</v>
      </c>
      <c r="P6884" s="58" t="s">
        <v>241</v>
      </c>
      <c r="Q6884" s="27" t="s">
        <v>234</v>
      </c>
      <c r="R6884" s="3">
        <v>2</v>
      </c>
      <c r="S6884" s="134">
        <v>7950</v>
      </c>
      <c r="T6884" s="4">
        <f>R6884*S6884</f>
        <v>15900</v>
      </c>
      <c r="U6884" s="4">
        <f>T6884*1.12</f>
        <v>17808</v>
      </c>
      <c r="V6884" s="3"/>
      <c r="W6884" s="3">
        <v>2014</v>
      </c>
      <c r="X6884" s="3"/>
    </row>
    <row r="6885" spans="1:24" ht="114.75">
      <c r="A6885" s="3" t="s">
        <v>2913</v>
      </c>
      <c r="B6885" s="6" t="s">
        <v>361</v>
      </c>
      <c r="C6885" s="6" t="s">
        <v>6694</v>
      </c>
      <c r="D6885" s="6" t="s">
        <v>5892</v>
      </c>
      <c r="E6885" s="6" t="s">
        <v>6695</v>
      </c>
      <c r="F6885" s="3" t="s">
        <v>7283</v>
      </c>
      <c r="G6885" s="57" t="s">
        <v>11449</v>
      </c>
      <c r="H6885" s="185">
        <v>0</v>
      </c>
      <c r="I6885" s="16">
        <v>470000000</v>
      </c>
      <c r="J6885" s="56" t="s">
        <v>229</v>
      </c>
      <c r="K6885" s="57" t="s">
        <v>641</v>
      </c>
      <c r="L6885" s="57" t="s">
        <v>364</v>
      </c>
      <c r="M6885" s="3" t="s">
        <v>230</v>
      </c>
      <c r="N6885" s="8" t="s">
        <v>8898</v>
      </c>
      <c r="O6885" s="6" t="s">
        <v>365</v>
      </c>
      <c r="P6885" s="58" t="s">
        <v>241</v>
      </c>
      <c r="Q6885" s="27" t="s">
        <v>234</v>
      </c>
      <c r="R6885" s="3">
        <v>2</v>
      </c>
      <c r="S6885" s="134">
        <v>9350</v>
      </c>
      <c r="T6885" s="4">
        <v>0</v>
      </c>
      <c r="U6885" s="4">
        <f t="shared" si="306"/>
        <v>0</v>
      </c>
      <c r="V6885" s="3"/>
      <c r="W6885" s="3">
        <v>2014</v>
      </c>
      <c r="X6885" s="3" t="s">
        <v>11817</v>
      </c>
    </row>
    <row r="6886" spans="1:24" ht="114.75">
      <c r="A6886" s="3" t="s">
        <v>13529</v>
      </c>
      <c r="B6886" s="6" t="s">
        <v>361</v>
      </c>
      <c r="C6886" s="6" t="s">
        <v>6694</v>
      </c>
      <c r="D6886" s="6" t="s">
        <v>5892</v>
      </c>
      <c r="E6886" s="6" t="s">
        <v>6695</v>
      </c>
      <c r="F6886" s="3" t="s">
        <v>7283</v>
      </c>
      <c r="G6886" s="57" t="s">
        <v>11450</v>
      </c>
      <c r="H6886" s="185">
        <v>0</v>
      </c>
      <c r="I6886" s="16">
        <v>470000000</v>
      </c>
      <c r="J6886" s="56" t="s">
        <v>229</v>
      </c>
      <c r="K6886" s="57" t="s">
        <v>9453</v>
      </c>
      <c r="L6886" s="12" t="s">
        <v>404</v>
      </c>
      <c r="M6886" s="3" t="s">
        <v>230</v>
      </c>
      <c r="N6886" s="8" t="s">
        <v>8898</v>
      </c>
      <c r="O6886" s="6" t="s">
        <v>365</v>
      </c>
      <c r="P6886" s="58" t="s">
        <v>241</v>
      </c>
      <c r="Q6886" s="27" t="s">
        <v>234</v>
      </c>
      <c r="R6886" s="3">
        <v>2</v>
      </c>
      <c r="S6886" s="134">
        <v>9350</v>
      </c>
      <c r="T6886" s="4">
        <f>R6886*S6886</f>
        <v>18700</v>
      </c>
      <c r="U6886" s="4">
        <f>T6886*1.12</f>
        <v>20944.000000000004</v>
      </c>
      <c r="V6886" s="3"/>
      <c r="W6886" s="3">
        <v>2014</v>
      </c>
      <c r="X6886" s="3"/>
    </row>
    <row r="6887" spans="1:24" ht="114.75">
      <c r="A6887" s="3" t="s">
        <v>2914</v>
      </c>
      <c r="B6887" s="6" t="s">
        <v>361</v>
      </c>
      <c r="C6887" s="6" t="s">
        <v>7284</v>
      </c>
      <c r="D6887" s="6" t="s">
        <v>494</v>
      </c>
      <c r="E6887" s="6" t="s">
        <v>7285</v>
      </c>
      <c r="F6887" s="3" t="s">
        <v>7286</v>
      </c>
      <c r="G6887" s="57" t="s">
        <v>11449</v>
      </c>
      <c r="H6887" s="185">
        <v>0</v>
      </c>
      <c r="I6887" s="16">
        <v>470000000</v>
      </c>
      <c r="J6887" s="56" t="s">
        <v>229</v>
      </c>
      <c r="K6887" s="57" t="s">
        <v>641</v>
      </c>
      <c r="L6887" s="57" t="s">
        <v>364</v>
      </c>
      <c r="M6887" s="3" t="s">
        <v>230</v>
      </c>
      <c r="N6887" s="8" t="s">
        <v>8898</v>
      </c>
      <c r="O6887" s="6" t="s">
        <v>365</v>
      </c>
      <c r="P6887" s="58" t="s">
        <v>241</v>
      </c>
      <c r="Q6887" s="27" t="s">
        <v>234</v>
      </c>
      <c r="R6887" s="3">
        <v>2</v>
      </c>
      <c r="S6887" s="134">
        <v>28270</v>
      </c>
      <c r="T6887" s="4">
        <v>0</v>
      </c>
      <c r="U6887" s="4">
        <f t="shared" si="306"/>
        <v>0</v>
      </c>
      <c r="V6887" s="3"/>
      <c r="W6887" s="3">
        <v>2014</v>
      </c>
      <c r="X6887" s="3" t="s">
        <v>11817</v>
      </c>
    </row>
    <row r="6888" spans="1:24" ht="114.75">
      <c r="A6888" s="3" t="s">
        <v>13530</v>
      </c>
      <c r="B6888" s="6" t="s">
        <v>361</v>
      </c>
      <c r="C6888" s="6" t="s">
        <v>7284</v>
      </c>
      <c r="D6888" s="6" t="s">
        <v>494</v>
      </c>
      <c r="E6888" s="6" t="s">
        <v>7285</v>
      </c>
      <c r="F6888" s="3" t="s">
        <v>7286</v>
      </c>
      <c r="G6888" s="57" t="s">
        <v>11450</v>
      </c>
      <c r="H6888" s="185">
        <v>0</v>
      </c>
      <c r="I6888" s="16">
        <v>470000000</v>
      </c>
      <c r="J6888" s="56" t="s">
        <v>229</v>
      </c>
      <c r="K6888" s="57" t="s">
        <v>9453</v>
      </c>
      <c r="L6888" s="12" t="s">
        <v>404</v>
      </c>
      <c r="M6888" s="3" t="s">
        <v>230</v>
      </c>
      <c r="N6888" s="8" t="s">
        <v>8898</v>
      </c>
      <c r="O6888" s="6" t="s">
        <v>365</v>
      </c>
      <c r="P6888" s="58" t="s">
        <v>241</v>
      </c>
      <c r="Q6888" s="27" t="s">
        <v>234</v>
      </c>
      <c r="R6888" s="3">
        <v>2</v>
      </c>
      <c r="S6888" s="134">
        <v>28270</v>
      </c>
      <c r="T6888" s="4">
        <f>R6888*S6888</f>
        <v>56540</v>
      </c>
      <c r="U6888" s="4">
        <f>T6888*1.12</f>
        <v>63324.800000000003</v>
      </c>
      <c r="V6888" s="3"/>
      <c r="W6888" s="3">
        <v>2014</v>
      </c>
      <c r="X6888" s="3"/>
    </row>
    <row r="6889" spans="1:24" ht="114.75">
      <c r="A6889" s="3" t="s">
        <v>2915</v>
      </c>
      <c r="B6889" s="6" t="s">
        <v>361</v>
      </c>
      <c r="C6889" s="6" t="s">
        <v>7284</v>
      </c>
      <c r="D6889" s="6" t="s">
        <v>494</v>
      </c>
      <c r="E6889" s="6" t="s">
        <v>7285</v>
      </c>
      <c r="F6889" s="3" t="s">
        <v>7287</v>
      </c>
      <c r="G6889" s="57" t="s">
        <v>11449</v>
      </c>
      <c r="H6889" s="185">
        <v>0</v>
      </c>
      <c r="I6889" s="16">
        <v>470000000</v>
      </c>
      <c r="J6889" s="56" t="s">
        <v>229</v>
      </c>
      <c r="K6889" s="57" t="s">
        <v>641</v>
      </c>
      <c r="L6889" s="57" t="s">
        <v>364</v>
      </c>
      <c r="M6889" s="3" t="s">
        <v>230</v>
      </c>
      <c r="N6889" s="8" t="s">
        <v>8898</v>
      </c>
      <c r="O6889" s="6" t="s">
        <v>365</v>
      </c>
      <c r="P6889" s="58" t="s">
        <v>241</v>
      </c>
      <c r="Q6889" s="27" t="s">
        <v>234</v>
      </c>
      <c r="R6889" s="3">
        <v>2</v>
      </c>
      <c r="S6889" s="134">
        <v>23800</v>
      </c>
      <c r="T6889" s="4">
        <v>0</v>
      </c>
      <c r="U6889" s="4">
        <f t="shared" si="306"/>
        <v>0</v>
      </c>
      <c r="V6889" s="3"/>
      <c r="W6889" s="3">
        <v>2014</v>
      </c>
      <c r="X6889" s="3" t="s">
        <v>11817</v>
      </c>
    </row>
    <row r="6890" spans="1:24" ht="114.75">
      <c r="A6890" s="3" t="s">
        <v>13531</v>
      </c>
      <c r="B6890" s="6" t="s">
        <v>361</v>
      </c>
      <c r="C6890" s="6" t="s">
        <v>7284</v>
      </c>
      <c r="D6890" s="6" t="s">
        <v>494</v>
      </c>
      <c r="E6890" s="6" t="s">
        <v>7285</v>
      </c>
      <c r="F6890" s="3" t="s">
        <v>7287</v>
      </c>
      <c r="G6890" s="57" t="s">
        <v>11450</v>
      </c>
      <c r="H6890" s="185">
        <v>0</v>
      </c>
      <c r="I6890" s="16">
        <v>470000000</v>
      </c>
      <c r="J6890" s="56" t="s">
        <v>229</v>
      </c>
      <c r="K6890" s="57" t="s">
        <v>9453</v>
      </c>
      <c r="L6890" s="12" t="s">
        <v>404</v>
      </c>
      <c r="M6890" s="3" t="s">
        <v>230</v>
      </c>
      <c r="N6890" s="8" t="s">
        <v>8898</v>
      </c>
      <c r="O6890" s="6" t="s">
        <v>365</v>
      </c>
      <c r="P6890" s="58" t="s">
        <v>241</v>
      </c>
      <c r="Q6890" s="27" t="s">
        <v>234</v>
      </c>
      <c r="R6890" s="3">
        <v>2</v>
      </c>
      <c r="S6890" s="134">
        <v>23800</v>
      </c>
      <c r="T6890" s="4">
        <f>R6890*S6890</f>
        <v>47600</v>
      </c>
      <c r="U6890" s="4">
        <f>T6890*1.12</f>
        <v>53312.000000000007</v>
      </c>
      <c r="V6890" s="3"/>
      <c r="W6890" s="3">
        <v>2014</v>
      </c>
      <c r="X6890" s="3"/>
    </row>
    <row r="6891" spans="1:24" ht="114.75">
      <c r="A6891" s="3" t="s">
        <v>2916</v>
      </c>
      <c r="B6891" s="6" t="s">
        <v>361</v>
      </c>
      <c r="C6891" s="6" t="s">
        <v>7284</v>
      </c>
      <c r="D6891" s="6" t="s">
        <v>494</v>
      </c>
      <c r="E6891" s="6" t="s">
        <v>7285</v>
      </c>
      <c r="F6891" s="3" t="s">
        <v>7288</v>
      </c>
      <c r="G6891" s="57" t="s">
        <v>11449</v>
      </c>
      <c r="H6891" s="185">
        <v>0</v>
      </c>
      <c r="I6891" s="16">
        <v>470000000</v>
      </c>
      <c r="J6891" s="56" t="s">
        <v>229</v>
      </c>
      <c r="K6891" s="57" t="s">
        <v>641</v>
      </c>
      <c r="L6891" s="57" t="s">
        <v>364</v>
      </c>
      <c r="M6891" s="3" t="s">
        <v>230</v>
      </c>
      <c r="N6891" s="8" t="s">
        <v>8898</v>
      </c>
      <c r="O6891" s="6" t="s">
        <v>365</v>
      </c>
      <c r="P6891" s="58" t="s">
        <v>241</v>
      </c>
      <c r="Q6891" s="27" t="s">
        <v>234</v>
      </c>
      <c r="R6891" s="3">
        <v>2</v>
      </c>
      <c r="S6891" s="134">
        <v>7044.5</v>
      </c>
      <c r="T6891" s="4">
        <v>0</v>
      </c>
      <c r="U6891" s="4">
        <f t="shared" si="306"/>
        <v>0</v>
      </c>
      <c r="V6891" s="3"/>
      <c r="W6891" s="3">
        <v>2014</v>
      </c>
      <c r="X6891" s="3" t="s">
        <v>11817</v>
      </c>
    </row>
    <row r="6892" spans="1:24" ht="114.75">
      <c r="A6892" s="3" t="s">
        <v>13532</v>
      </c>
      <c r="B6892" s="6" t="s">
        <v>361</v>
      </c>
      <c r="C6892" s="6" t="s">
        <v>7284</v>
      </c>
      <c r="D6892" s="6" t="s">
        <v>494</v>
      </c>
      <c r="E6892" s="6" t="s">
        <v>7285</v>
      </c>
      <c r="F6892" s="3" t="s">
        <v>7288</v>
      </c>
      <c r="G6892" s="57" t="s">
        <v>11450</v>
      </c>
      <c r="H6892" s="185">
        <v>0</v>
      </c>
      <c r="I6892" s="16">
        <v>470000000</v>
      </c>
      <c r="J6892" s="56" t="s">
        <v>229</v>
      </c>
      <c r="K6892" s="57" t="s">
        <v>9453</v>
      </c>
      <c r="L6892" s="12" t="s">
        <v>404</v>
      </c>
      <c r="M6892" s="3" t="s">
        <v>230</v>
      </c>
      <c r="N6892" s="8" t="s">
        <v>8898</v>
      </c>
      <c r="O6892" s="6" t="s">
        <v>365</v>
      </c>
      <c r="P6892" s="58" t="s">
        <v>241</v>
      </c>
      <c r="Q6892" s="27" t="s">
        <v>234</v>
      </c>
      <c r="R6892" s="3">
        <v>2</v>
      </c>
      <c r="S6892" s="134">
        <v>7044.5</v>
      </c>
      <c r="T6892" s="4">
        <f>R6892*S6892</f>
        <v>14089</v>
      </c>
      <c r="U6892" s="4">
        <f>T6892*1.12</f>
        <v>15779.680000000002</v>
      </c>
      <c r="V6892" s="3"/>
      <c r="W6892" s="3">
        <v>2014</v>
      </c>
      <c r="X6892" s="3"/>
    </row>
    <row r="6893" spans="1:24" ht="127.5">
      <c r="A6893" s="3" t="s">
        <v>2917</v>
      </c>
      <c r="B6893" s="6" t="s">
        <v>361</v>
      </c>
      <c r="C6893" s="55" t="s">
        <v>8909</v>
      </c>
      <c r="D6893" s="55" t="s">
        <v>8910</v>
      </c>
      <c r="E6893" s="55" t="s">
        <v>8911</v>
      </c>
      <c r="F6893" s="6" t="s">
        <v>8912</v>
      </c>
      <c r="G6893" s="57" t="s">
        <v>11449</v>
      </c>
      <c r="H6893" s="67">
        <v>0.75</v>
      </c>
      <c r="I6893" s="16">
        <v>470000000</v>
      </c>
      <c r="J6893" s="56" t="s">
        <v>229</v>
      </c>
      <c r="K6893" s="6" t="s">
        <v>8901</v>
      </c>
      <c r="L6893" s="6" t="s">
        <v>8913</v>
      </c>
      <c r="M6893" s="162" t="s">
        <v>230</v>
      </c>
      <c r="N6893" s="65" t="s">
        <v>8914</v>
      </c>
      <c r="O6893" s="16" t="s">
        <v>8915</v>
      </c>
      <c r="P6893" s="58" t="s">
        <v>242</v>
      </c>
      <c r="Q6893" s="6" t="s">
        <v>239</v>
      </c>
      <c r="R6893" s="5">
        <v>1938</v>
      </c>
      <c r="S6893" s="63">
        <v>6000</v>
      </c>
      <c r="T6893" s="4">
        <f t="shared" si="307"/>
        <v>11628000</v>
      </c>
      <c r="U6893" s="1">
        <f t="shared" ref="U6893:U7000" si="308">T6893*1.12</f>
        <v>13023360.000000002</v>
      </c>
      <c r="V6893" s="3" t="s">
        <v>362</v>
      </c>
      <c r="W6893" s="3">
        <v>2014</v>
      </c>
      <c r="X6893" s="3"/>
    </row>
    <row r="6894" spans="1:24" ht="127.5">
      <c r="A6894" s="3" t="s">
        <v>2918</v>
      </c>
      <c r="B6894" s="6" t="s">
        <v>361</v>
      </c>
      <c r="C6894" s="55" t="s">
        <v>8916</v>
      </c>
      <c r="D6894" s="55" t="s">
        <v>8910</v>
      </c>
      <c r="E6894" s="55" t="s">
        <v>8917</v>
      </c>
      <c r="F6894" s="6" t="s">
        <v>8918</v>
      </c>
      <c r="G6894" s="57" t="s">
        <v>11449</v>
      </c>
      <c r="H6894" s="67">
        <v>0.75</v>
      </c>
      <c r="I6894" s="16">
        <v>470000000</v>
      </c>
      <c r="J6894" s="56" t="s">
        <v>229</v>
      </c>
      <c r="K6894" s="6" t="s">
        <v>8901</v>
      </c>
      <c r="L6894" s="6" t="s">
        <v>8913</v>
      </c>
      <c r="M6894" s="162" t="s">
        <v>230</v>
      </c>
      <c r="N6894" s="65" t="s">
        <v>8914</v>
      </c>
      <c r="O6894" s="16" t="s">
        <v>8915</v>
      </c>
      <c r="P6894" s="58" t="s">
        <v>242</v>
      </c>
      <c r="Q6894" s="6" t="s">
        <v>239</v>
      </c>
      <c r="R6894" s="6">
        <v>766</v>
      </c>
      <c r="S6894" s="63">
        <v>10500</v>
      </c>
      <c r="T6894" s="4">
        <v>0</v>
      </c>
      <c r="U6894" s="4">
        <f t="shared" si="308"/>
        <v>0</v>
      </c>
      <c r="V6894" s="3" t="s">
        <v>362</v>
      </c>
      <c r="W6894" s="3">
        <v>2014</v>
      </c>
      <c r="X6894" s="3" t="s">
        <v>12051</v>
      </c>
    </row>
    <row r="6895" spans="1:24" ht="127.5">
      <c r="A6895" s="3" t="s">
        <v>19225</v>
      </c>
      <c r="B6895" s="6" t="s">
        <v>361</v>
      </c>
      <c r="C6895" s="55" t="s">
        <v>8916</v>
      </c>
      <c r="D6895" s="55" t="s">
        <v>8910</v>
      </c>
      <c r="E6895" s="55" t="s">
        <v>8917</v>
      </c>
      <c r="F6895" s="6" t="s">
        <v>8918</v>
      </c>
      <c r="G6895" s="57" t="s">
        <v>11449</v>
      </c>
      <c r="H6895" s="67">
        <v>0.75</v>
      </c>
      <c r="I6895" s="16">
        <v>470000000</v>
      </c>
      <c r="J6895" s="56" t="s">
        <v>229</v>
      </c>
      <c r="K6895" s="6" t="s">
        <v>19226</v>
      </c>
      <c r="L6895" s="6" t="s">
        <v>8913</v>
      </c>
      <c r="M6895" s="162" t="s">
        <v>230</v>
      </c>
      <c r="N6895" s="65" t="s">
        <v>8914</v>
      </c>
      <c r="O6895" s="16" t="s">
        <v>8915</v>
      </c>
      <c r="P6895" s="58" t="s">
        <v>242</v>
      </c>
      <c r="Q6895" s="6" t="s">
        <v>239</v>
      </c>
      <c r="R6895" s="6">
        <v>954</v>
      </c>
      <c r="S6895" s="63">
        <v>8780</v>
      </c>
      <c r="T6895" s="4">
        <f t="shared" ref="T6895" si="309">R6895*S6895</f>
        <v>8376120</v>
      </c>
      <c r="U6895" s="1">
        <f t="shared" ref="U6895" si="310">T6895*1.12</f>
        <v>9381254.4000000004</v>
      </c>
      <c r="V6895" s="3" t="s">
        <v>362</v>
      </c>
      <c r="W6895" s="3">
        <v>2014</v>
      </c>
      <c r="X6895" s="3"/>
    </row>
    <row r="6896" spans="1:24" ht="127.5">
      <c r="A6896" s="3" t="s">
        <v>2919</v>
      </c>
      <c r="B6896" s="6" t="s">
        <v>361</v>
      </c>
      <c r="C6896" s="55" t="s">
        <v>8909</v>
      </c>
      <c r="D6896" s="55" t="s">
        <v>8910</v>
      </c>
      <c r="E6896" s="55" t="s">
        <v>8911</v>
      </c>
      <c r="F6896" s="6" t="s">
        <v>8919</v>
      </c>
      <c r="G6896" s="57" t="s">
        <v>11449</v>
      </c>
      <c r="H6896" s="67">
        <v>0.75</v>
      </c>
      <c r="I6896" s="16">
        <v>470000000</v>
      </c>
      <c r="J6896" s="56" t="s">
        <v>229</v>
      </c>
      <c r="K6896" s="6" t="s">
        <v>8920</v>
      </c>
      <c r="L6896" s="6" t="s">
        <v>8913</v>
      </c>
      <c r="M6896" s="162" t="s">
        <v>230</v>
      </c>
      <c r="N6896" s="65" t="s">
        <v>8914</v>
      </c>
      <c r="O6896" s="16" t="s">
        <v>8915</v>
      </c>
      <c r="P6896" s="58" t="s">
        <v>242</v>
      </c>
      <c r="Q6896" s="6" t="s">
        <v>239</v>
      </c>
      <c r="R6896" s="6">
        <v>217</v>
      </c>
      <c r="S6896" s="63">
        <v>6800</v>
      </c>
      <c r="T6896" s="4">
        <f t="shared" si="307"/>
        <v>1475600</v>
      </c>
      <c r="U6896" s="1">
        <f t="shared" si="308"/>
        <v>1652672.0000000002</v>
      </c>
      <c r="V6896" s="3" t="s">
        <v>362</v>
      </c>
      <c r="W6896" s="3">
        <v>2014</v>
      </c>
      <c r="X6896" s="3"/>
    </row>
    <row r="6897" spans="1:24" ht="127.5">
      <c r="A6897" s="3" t="s">
        <v>2920</v>
      </c>
      <c r="B6897" s="6" t="s">
        <v>361</v>
      </c>
      <c r="C6897" s="55" t="s">
        <v>8916</v>
      </c>
      <c r="D6897" s="55" t="s">
        <v>8910</v>
      </c>
      <c r="E6897" s="55" t="s">
        <v>8917</v>
      </c>
      <c r="F6897" s="6" t="s">
        <v>8921</v>
      </c>
      <c r="G6897" s="57" t="s">
        <v>11449</v>
      </c>
      <c r="H6897" s="67">
        <v>0.75</v>
      </c>
      <c r="I6897" s="16">
        <v>470000000</v>
      </c>
      <c r="J6897" s="56" t="s">
        <v>229</v>
      </c>
      <c r="K6897" s="6" t="s">
        <v>8920</v>
      </c>
      <c r="L6897" s="6" t="s">
        <v>8913</v>
      </c>
      <c r="M6897" s="162" t="s">
        <v>230</v>
      </c>
      <c r="N6897" s="65" t="s">
        <v>8914</v>
      </c>
      <c r="O6897" s="16" t="s">
        <v>8915</v>
      </c>
      <c r="P6897" s="58" t="s">
        <v>242</v>
      </c>
      <c r="Q6897" s="6" t="s">
        <v>239</v>
      </c>
      <c r="R6897" s="6">
        <v>83</v>
      </c>
      <c r="S6897" s="63">
        <v>12000</v>
      </c>
      <c r="T6897" s="4">
        <f t="shared" si="307"/>
        <v>996000</v>
      </c>
      <c r="U6897" s="1">
        <f t="shared" si="308"/>
        <v>1115520</v>
      </c>
      <c r="V6897" s="3" t="s">
        <v>362</v>
      </c>
      <c r="W6897" s="3">
        <v>2014</v>
      </c>
      <c r="X6897" s="3"/>
    </row>
    <row r="6898" spans="1:24" ht="89.25">
      <c r="A6898" s="3" t="s">
        <v>2921</v>
      </c>
      <c r="B6898" s="6" t="s">
        <v>361</v>
      </c>
      <c r="C6898" s="55" t="s">
        <v>8922</v>
      </c>
      <c r="D6898" s="55" t="s">
        <v>8923</v>
      </c>
      <c r="E6898" s="55" t="s">
        <v>8924</v>
      </c>
      <c r="F6898" s="6" t="s">
        <v>8925</v>
      </c>
      <c r="G6898" s="57" t="s">
        <v>11449</v>
      </c>
      <c r="H6898" s="67">
        <v>0.75</v>
      </c>
      <c r="I6898" s="16">
        <v>470000000</v>
      </c>
      <c r="J6898" s="56" t="s">
        <v>229</v>
      </c>
      <c r="K6898" s="6" t="s">
        <v>633</v>
      </c>
      <c r="L6898" s="6" t="s">
        <v>8913</v>
      </c>
      <c r="M6898" s="162" t="s">
        <v>230</v>
      </c>
      <c r="N6898" s="65" t="s">
        <v>8914</v>
      </c>
      <c r="O6898" s="16" t="s">
        <v>8915</v>
      </c>
      <c r="P6898" s="58" t="s">
        <v>242</v>
      </c>
      <c r="Q6898" s="6" t="s">
        <v>239</v>
      </c>
      <c r="R6898" s="6">
        <v>268</v>
      </c>
      <c r="S6898" s="63">
        <v>7800</v>
      </c>
      <c r="T6898" s="4">
        <v>0</v>
      </c>
      <c r="U6898" s="4">
        <f t="shared" si="308"/>
        <v>0</v>
      </c>
      <c r="V6898" s="3" t="s">
        <v>362</v>
      </c>
      <c r="W6898" s="3">
        <v>2014</v>
      </c>
      <c r="X6898" s="3">
        <v>11</v>
      </c>
    </row>
    <row r="6899" spans="1:24" ht="89.25">
      <c r="A6899" s="3" t="s">
        <v>14037</v>
      </c>
      <c r="B6899" s="6" t="s">
        <v>361</v>
      </c>
      <c r="C6899" s="55" t="s">
        <v>8922</v>
      </c>
      <c r="D6899" s="55" t="s">
        <v>8923</v>
      </c>
      <c r="E6899" s="55" t="s">
        <v>8924</v>
      </c>
      <c r="F6899" s="6" t="s">
        <v>8925</v>
      </c>
      <c r="G6899" s="57" t="s">
        <v>11449</v>
      </c>
      <c r="H6899" s="67">
        <v>0.75</v>
      </c>
      <c r="I6899" s="16">
        <v>470000000</v>
      </c>
      <c r="J6899" s="56" t="s">
        <v>229</v>
      </c>
      <c r="K6899" s="6" t="s">
        <v>9453</v>
      </c>
      <c r="L6899" s="6" t="s">
        <v>8913</v>
      </c>
      <c r="M6899" s="162" t="s">
        <v>230</v>
      </c>
      <c r="N6899" s="65" t="s">
        <v>8914</v>
      </c>
      <c r="O6899" s="16" t="s">
        <v>8915</v>
      </c>
      <c r="P6899" s="58" t="s">
        <v>242</v>
      </c>
      <c r="Q6899" s="6" t="s">
        <v>239</v>
      </c>
      <c r="R6899" s="6">
        <v>268</v>
      </c>
      <c r="S6899" s="63">
        <v>7800</v>
      </c>
      <c r="T6899" s="4">
        <v>0</v>
      </c>
      <c r="U6899" s="4">
        <f>T6899*1.12</f>
        <v>0</v>
      </c>
      <c r="V6899" s="3" t="s">
        <v>362</v>
      </c>
      <c r="W6899" s="3">
        <v>2014</v>
      </c>
      <c r="X6899" s="3" t="s">
        <v>14785</v>
      </c>
    </row>
    <row r="6900" spans="1:24" ht="89.25">
      <c r="A6900" s="3" t="s">
        <v>16439</v>
      </c>
      <c r="B6900" s="6" t="s">
        <v>361</v>
      </c>
      <c r="C6900" s="55" t="s">
        <v>8922</v>
      </c>
      <c r="D6900" s="55" t="s">
        <v>8923</v>
      </c>
      <c r="E6900" s="55" t="s">
        <v>8924</v>
      </c>
      <c r="F6900" s="6" t="s">
        <v>8925</v>
      </c>
      <c r="G6900" s="57" t="s">
        <v>11449</v>
      </c>
      <c r="H6900" s="67">
        <v>0.75</v>
      </c>
      <c r="I6900" s="16">
        <v>470000000</v>
      </c>
      <c r="J6900" s="56" t="s">
        <v>229</v>
      </c>
      <c r="K6900" s="6" t="s">
        <v>8950</v>
      </c>
      <c r="L6900" s="6" t="s">
        <v>8913</v>
      </c>
      <c r="M6900" s="162" t="s">
        <v>230</v>
      </c>
      <c r="N6900" s="65" t="s">
        <v>8914</v>
      </c>
      <c r="O6900" s="16" t="s">
        <v>8915</v>
      </c>
      <c r="P6900" s="58" t="s">
        <v>242</v>
      </c>
      <c r="Q6900" s="6" t="s">
        <v>239</v>
      </c>
      <c r="R6900" s="6">
        <v>268</v>
      </c>
      <c r="S6900" s="63">
        <v>9360</v>
      </c>
      <c r="T6900" s="4">
        <v>0</v>
      </c>
      <c r="U6900" s="4">
        <f>T6900*1.12</f>
        <v>0</v>
      </c>
      <c r="V6900" s="3" t="s">
        <v>362</v>
      </c>
      <c r="W6900" s="3">
        <v>2014</v>
      </c>
      <c r="X6900" s="3" t="s">
        <v>19353</v>
      </c>
    </row>
    <row r="6901" spans="1:24" ht="76.5">
      <c r="A6901" s="3" t="s">
        <v>19354</v>
      </c>
      <c r="B6901" s="6" t="s">
        <v>361</v>
      </c>
      <c r="C6901" s="55" t="s">
        <v>8922</v>
      </c>
      <c r="D6901" s="55" t="s">
        <v>8923</v>
      </c>
      <c r="E6901" s="55" t="s">
        <v>8924</v>
      </c>
      <c r="F6901" s="6" t="s">
        <v>8925</v>
      </c>
      <c r="G6901" s="57" t="s">
        <v>11449</v>
      </c>
      <c r="H6901" s="67">
        <v>0</v>
      </c>
      <c r="I6901" s="16">
        <v>470000000</v>
      </c>
      <c r="J6901" s="56" t="s">
        <v>229</v>
      </c>
      <c r="K6901" s="6" t="s">
        <v>18437</v>
      </c>
      <c r="L6901" s="6" t="s">
        <v>8913</v>
      </c>
      <c r="M6901" s="162" t="s">
        <v>230</v>
      </c>
      <c r="N6901" s="65" t="s">
        <v>8914</v>
      </c>
      <c r="O6901" s="6" t="s">
        <v>19407</v>
      </c>
      <c r="P6901" s="58" t="s">
        <v>242</v>
      </c>
      <c r="Q6901" s="6" t="s">
        <v>239</v>
      </c>
      <c r="R6901" s="6">
        <v>268</v>
      </c>
      <c r="S6901" s="63">
        <v>9360</v>
      </c>
      <c r="T6901" s="4">
        <f>R6901*S6901</f>
        <v>2508480</v>
      </c>
      <c r="U6901" s="1">
        <f>T6901*1.12</f>
        <v>2809497.6000000001</v>
      </c>
      <c r="V6901" s="3"/>
      <c r="W6901" s="3">
        <v>2014</v>
      </c>
      <c r="X6901" s="3"/>
    </row>
    <row r="6902" spans="1:24" ht="89.25">
      <c r="A6902" s="3" t="s">
        <v>2922</v>
      </c>
      <c r="B6902" s="6" t="s">
        <v>361</v>
      </c>
      <c r="C6902" s="55" t="s">
        <v>8922</v>
      </c>
      <c r="D6902" s="55" t="s">
        <v>8923</v>
      </c>
      <c r="E6902" s="55" t="s">
        <v>8924</v>
      </c>
      <c r="F6902" s="6" t="s">
        <v>8926</v>
      </c>
      <c r="G6902" s="57" t="s">
        <v>11449</v>
      </c>
      <c r="H6902" s="67">
        <v>0.75</v>
      </c>
      <c r="I6902" s="16">
        <v>470000000</v>
      </c>
      <c r="J6902" s="56" t="s">
        <v>229</v>
      </c>
      <c r="K6902" s="6" t="s">
        <v>8901</v>
      </c>
      <c r="L6902" s="6" t="s">
        <v>8913</v>
      </c>
      <c r="M6902" s="162" t="s">
        <v>230</v>
      </c>
      <c r="N6902" s="65" t="s">
        <v>8914</v>
      </c>
      <c r="O6902" s="16" t="s">
        <v>8915</v>
      </c>
      <c r="P6902" s="58" t="s">
        <v>242</v>
      </c>
      <c r="Q6902" s="6" t="s">
        <v>239</v>
      </c>
      <c r="R6902" s="6">
        <v>53</v>
      </c>
      <c r="S6902" s="63">
        <v>10800</v>
      </c>
      <c r="T6902" s="4">
        <v>0</v>
      </c>
      <c r="U6902" s="4">
        <f t="shared" si="308"/>
        <v>0</v>
      </c>
      <c r="V6902" s="3" t="s">
        <v>362</v>
      </c>
      <c r="W6902" s="3">
        <v>2014</v>
      </c>
      <c r="X6902" s="3" t="s">
        <v>12051</v>
      </c>
    </row>
    <row r="6903" spans="1:24" ht="89.25">
      <c r="A6903" s="3" t="s">
        <v>19223</v>
      </c>
      <c r="B6903" s="6" t="s">
        <v>361</v>
      </c>
      <c r="C6903" s="55" t="s">
        <v>8922</v>
      </c>
      <c r="D6903" s="55" t="s">
        <v>8923</v>
      </c>
      <c r="E6903" s="55" t="s">
        <v>8924</v>
      </c>
      <c r="F6903" s="6" t="s">
        <v>8926</v>
      </c>
      <c r="G6903" s="57" t="s">
        <v>11449</v>
      </c>
      <c r="H6903" s="67">
        <v>0.75</v>
      </c>
      <c r="I6903" s="16">
        <v>470000000</v>
      </c>
      <c r="J6903" s="56" t="s">
        <v>229</v>
      </c>
      <c r="K6903" s="6" t="s">
        <v>19224</v>
      </c>
      <c r="L6903" s="6" t="s">
        <v>8913</v>
      </c>
      <c r="M6903" s="162" t="s">
        <v>230</v>
      </c>
      <c r="N6903" s="65" t="s">
        <v>8914</v>
      </c>
      <c r="O6903" s="16" t="s">
        <v>8915</v>
      </c>
      <c r="P6903" s="58" t="s">
        <v>242</v>
      </c>
      <c r="Q6903" s="6" t="s">
        <v>239</v>
      </c>
      <c r="R6903" s="6">
        <v>123</v>
      </c>
      <c r="S6903" s="63">
        <v>10000</v>
      </c>
      <c r="T6903" s="4">
        <f t="shared" ref="T6903" si="311">R6903*S6903</f>
        <v>1230000</v>
      </c>
      <c r="U6903" s="1">
        <f t="shared" ref="U6903" si="312">T6903*1.12</f>
        <v>1377600.0000000002</v>
      </c>
      <c r="V6903" s="3" t="s">
        <v>362</v>
      </c>
      <c r="W6903" s="3">
        <v>2014</v>
      </c>
      <c r="X6903" s="3"/>
    </row>
    <row r="6904" spans="1:24" ht="89.25">
      <c r="A6904" s="3" t="s">
        <v>2923</v>
      </c>
      <c r="B6904" s="6" t="s">
        <v>361</v>
      </c>
      <c r="C6904" s="55" t="s">
        <v>8927</v>
      </c>
      <c r="D6904" s="55" t="s">
        <v>8928</v>
      </c>
      <c r="E6904" s="55" t="s">
        <v>8929</v>
      </c>
      <c r="F6904" s="6" t="s">
        <v>8930</v>
      </c>
      <c r="G6904" s="57" t="s">
        <v>11449</v>
      </c>
      <c r="H6904" s="67">
        <v>0.75</v>
      </c>
      <c r="I6904" s="16">
        <v>470000000</v>
      </c>
      <c r="J6904" s="56" t="s">
        <v>229</v>
      </c>
      <c r="K6904" s="6" t="s">
        <v>633</v>
      </c>
      <c r="L6904" s="6" t="s">
        <v>8913</v>
      </c>
      <c r="M6904" s="162" t="s">
        <v>230</v>
      </c>
      <c r="N6904" s="65" t="s">
        <v>8914</v>
      </c>
      <c r="O6904" s="16" t="s">
        <v>8915</v>
      </c>
      <c r="P6904" s="58" t="s">
        <v>242</v>
      </c>
      <c r="Q6904" s="6" t="s">
        <v>239</v>
      </c>
      <c r="R6904" s="6">
        <v>102</v>
      </c>
      <c r="S6904" s="63">
        <v>6000</v>
      </c>
      <c r="T6904" s="4">
        <v>0</v>
      </c>
      <c r="U6904" s="4">
        <f t="shared" si="308"/>
        <v>0</v>
      </c>
      <c r="V6904" s="3" t="s">
        <v>362</v>
      </c>
      <c r="W6904" s="3">
        <v>2014</v>
      </c>
      <c r="X6904" s="3">
        <v>11</v>
      </c>
    </row>
    <row r="6905" spans="1:24" ht="89.25">
      <c r="A6905" s="3" t="s">
        <v>14038</v>
      </c>
      <c r="B6905" s="6" t="s">
        <v>361</v>
      </c>
      <c r="C6905" s="55" t="s">
        <v>8927</v>
      </c>
      <c r="D6905" s="55" t="s">
        <v>8928</v>
      </c>
      <c r="E6905" s="55" t="s">
        <v>8929</v>
      </c>
      <c r="F6905" s="6" t="s">
        <v>8930</v>
      </c>
      <c r="G6905" s="57" t="s">
        <v>11449</v>
      </c>
      <c r="H6905" s="67">
        <v>0.75</v>
      </c>
      <c r="I6905" s="16">
        <v>470000000</v>
      </c>
      <c r="J6905" s="56" t="s">
        <v>229</v>
      </c>
      <c r="K6905" s="6" t="s">
        <v>9453</v>
      </c>
      <c r="L6905" s="6" t="s">
        <v>8913</v>
      </c>
      <c r="M6905" s="162" t="s">
        <v>230</v>
      </c>
      <c r="N6905" s="65" t="s">
        <v>8914</v>
      </c>
      <c r="O6905" s="16" t="s">
        <v>8915</v>
      </c>
      <c r="P6905" s="58" t="s">
        <v>242</v>
      </c>
      <c r="Q6905" s="6" t="s">
        <v>239</v>
      </c>
      <c r="R6905" s="6">
        <v>102</v>
      </c>
      <c r="S6905" s="63">
        <v>6000</v>
      </c>
      <c r="T6905" s="4">
        <v>0</v>
      </c>
      <c r="U6905" s="4">
        <f>T6905*1.12</f>
        <v>0</v>
      </c>
      <c r="V6905" s="3" t="s">
        <v>362</v>
      </c>
      <c r="W6905" s="3">
        <v>2014</v>
      </c>
      <c r="X6905" s="3" t="s">
        <v>14785</v>
      </c>
    </row>
    <row r="6906" spans="1:24" ht="89.25">
      <c r="A6906" s="3" t="s">
        <v>16440</v>
      </c>
      <c r="B6906" s="6" t="s">
        <v>361</v>
      </c>
      <c r="C6906" s="55" t="s">
        <v>8927</v>
      </c>
      <c r="D6906" s="55" t="s">
        <v>8928</v>
      </c>
      <c r="E6906" s="55" t="s">
        <v>8929</v>
      </c>
      <c r="F6906" s="6" t="s">
        <v>8930</v>
      </c>
      <c r="G6906" s="57" t="s">
        <v>11449</v>
      </c>
      <c r="H6906" s="67">
        <v>0.75</v>
      </c>
      <c r="I6906" s="16">
        <v>470000000</v>
      </c>
      <c r="J6906" s="56" t="s">
        <v>229</v>
      </c>
      <c r="K6906" s="6" t="s">
        <v>8950</v>
      </c>
      <c r="L6906" s="6" t="s">
        <v>8913</v>
      </c>
      <c r="M6906" s="162" t="s">
        <v>230</v>
      </c>
      <c r="N6906" s="65" t="s">
        <v>8914</v>
      </c>
      <c r="O6906" s="16" t="s">
        <v>8915</v>
      </c>
      <c r="P6906" s="58" t="s">
        <v>242</v>
      </c>
      <c r="Q6906" s="6" t="s">
        <v>239</v>
      </c>
      <c r="R6906" s="6">
        <v>102</v>
      </c>
      <c r="S6906" s="63">
        <v>7200</v>
      </c>
      <c r="T6906" s="4">
        <v>0</v>
      </c>
      <c r="U6906" s="4">
        <f>T6906*1.12</f>
        <v>0</v>
      </c>
      <c r="V6906" s="3" t="s">
        <v>362</v>
      </c>
      <c r="W6906" s="3">
        <v>2014</v>
      </c>
      <c r="X6906" s="3" t="s">
        <v>19353</v>
      </c>
    </row>
    <row r="6907" spans="1:24" ht="76.5">
      <c r="A6907" s="3" t="s">
        <v>19355</v>
      </c>
      <c r="B6907" s="6" t="s">
        <v>361</v>
      </c>
      <c r="C6907" s="55" t="s">
        <v>8927</v>
      </c>
      <c r="D6907" s="55" t="s">
        <v>8928</v>
      </c>
      <c r="E6907" s="55" t="s">
        <v>8929</v>
      </c>
      <c r="F6907" s="6" t="s">
        <v>8930</v>
      </c>
      <c r="G6907" s="57" t="s">
        <v>11449</v>
      </c>
      <c r="H6907" s="67">
        <v>0</v>
      </c>
      <c r="I6907" s="16">
        <v>470000000</v>
      </c>
      <c r="J6907" s="56" t="s">
        <v>229</v>
      </c>
      <c r="K6907" s="6" t="s">
        <v>18437</v>
      </c>
      <c r="L6907" s="6" t="s">
        <v>8913</v>
      </c>
      <c r="M6907" s="162" t="s">
        <v>230</v>
      </c>
      <c r="N6907" s="65" t="s">
        <v>8914</v>
      </c>
      <c r="O6907" s="6" t="s">
        <v>19407</v>
      </c>
      <c r="P6907" s="58" t="s">
        <v>242</v>
      </c>
      <c r="Q6907" s="6" t="s">
        <v>239</v>
      </c>
      <c r="R6907" s="6">
        <v>102</v>
      </c>
      <c r="S6907" s="63">
        <v>7200</v>
      </c>
      <c r="T6907" s="4">
        <f>R6907*S6907</f>
        <v>734400</v>
      </c>
      <c r="U6907" s="1">
        <f>T6907*1.12</f>
        <v>822528.00000000012</v>
      </c>
      <c r="V6907" s="3"/>
      <c r="W6907" s="3">
        <v>2014</v>
      </c>
      <c r="X6907" s="3"/>
    </row>
    <row r="6908" spans="1:24" ht="89.25">
      <c r="A6908" s="3" t="s">
        <v>2924</v>
      </c>
      <c r="B6908" s="6" t="s">
        <v>361</v>
      </c>
      <c r="C6908" s="55" t="s">
        <v>8931</v>
      </c>
      <c r="D6908" s="55" t="s">
        <v>8928</v>
      </c>
      <c r="E6908" s="55" t="s">
        <v>8932</v>
      </c>
      <c r="F6908" s="6" t="s">
        <v>8933</v>
      </c>
      <c r="G6908" s="57" t="s">
        <v>11449</v>
      </c>
      <c r="H6908" s="67">
        <v>0.75</v>
      </c>
      <c r="I6908" s="16">
        <v>470000000</v>
      </c>
      <c r="J6908" s="56" t="s">
        <v>229</v>
      </c>
      <c r="K6908" s="6" t="s">
        <v>8901</v>
      </c>
      <c r="L6908" s="6" t="s">
        <v>8913</v>
      </c>
      <c r="M6908" s="162" t="s">
        <v>230</v>
      </c>
      <c r="N6908" s="65" t="s">
        <v>8914</v>
      </c>
      <c r="O6908" s="16" t="s">
        <v>8915</v>
      </c>
      <c r="P6908" s="58" t="s">
        <v>242</v>
      </c>
      <c r="Q6908" s="6" t="s">
        <v>239</v>
      </c>
      <c r="R6908" s="6">
        <v>40</v>
      </c>
      <c r="S6908" s="63">
        <v>10500</v>
      </c>
      <c r="T6908" s="4">
        <f t="shared" si="307"/>
        <v>420000</v>
      </c>
      <c r="U6908" s="1">
        <f t="shared" si="308"/>
        <v>470400.00000000006</v>
      </c>
      <c r="V6908" s="3" t="s">
        <v>362</v>
      </c>
      <c r="W6908" s="3">
        <v>2014</v>
      </c>
      <c r="X6908" s="3"/>
    </row>
    <row r="6909" spans="1:24" ht="127.5">
      <c r="A6909" s="3" t="s">
        <v>2925</v>
      </c>
      <c r="B6909" s="6" t="s">
        <v>361</v>
      </c>
      <c r="C6909" s="55" t="s">
        <v>8934</v>
      </c>
      <c r="D6909" s="55" t="s">
        <v>8935</v>
      </c>
      <c r="E6909" s="55" t="s">
        <v>8936</v>
      </c>
      <c r="F6909" s="6" t="s">
        <v>8937</v>
      </c>
      <c r="G6909" s="57" t="s">
        <v>11449</v>
      </c>
      <c r="H6909" s="67">
        <v>0.75</v>
      </c>
      <c r="I6909" s="16">
        <v>470000000</v>
      </c>
      <c r="J6909" s="56" t="s">
        <v>229</v>
      </c>
      <c r="K6909" s="6" t="s">
        <v>642</v>
      </c>
      <c r="L6909" s="6" t="s">
        <v>8913</v>
      </c>
      <c r="M6909" s="162" t="s">
        <v>230</v>
      </c>
      <c r="N6909" s="65" t="s">
        <v>8914</v>
      </c>
      <c r="O6909" s="16" t="s">
        <v>8915</v>
      </c>
      <c r="P6909" s="79">
        <v>715</v>
      </c>
      <c r="Q6909" s="79" t="s">
        <v>8938</v>
      </c>
      <c r="R6909" s="6">
        <v>1778</v>
      </c>
      <c r="S6909" s="63">
        <v>5804</v>
      </c>
      <c r="T6909" s="4">
        <v>0</v>
      </c>
      <c r="U6909" s="4">
        <f t="shared" si="308"/>
        <v>0</v>
      </c>
      <c r="V6909" s="3" t="s">
        <v>362</v>
      </c>
      <c r="W6909" s="3">
        <v>2014</v>
      </c>
      <c r="X6909" s="3">
        <v>11</v>
      </c>
    </row>
    <row r="6910" spans="1:24" ht="127.5">
      <c r="A6910" s="3" t="s">
        <v>14039</v>
      </c>
      <c r="B6910" s="6" t="s">
        <v>361</v>
      </c>
      <c r="C6910" s="55" t="s">
        <v>8934</v>
      </c>
      <c r="D6910" s="55" t="s">
        <v>8935</v>
      </c>
      <c r="E6910" s="55" t="s">
        <v>8936</v>
      </c>
      <c r="F6910" s="6" t="s">
        <v>8937</v>
      </c>
      <c r="G6910" s="57" t="s">
        <v>11449</v>
      </c>
      <c r="H6910" s="67">
        <v>0.75</v>
      </c>
      <c r="I6910" s="16">
        <v>470000000</v>
      </c>
      <c r="J6910" s="56" t="s">
        <v>229</v>
      </c>
      <c r="K6910" s="6" t="s">
        <v>9453</v>
      </c>
      <c r="L6910" s="6" t="s">
        <v>8913</v>
      </c>
      <c r="M6910" s="162" t="s">
        <v>230</v>
      </c>
      <c r="N6910" s="65" t="s">
        <v>8914</v>
      </c>
      <c r="O6910" s="16" t="s">
        <v>8915</v>
      </c>
      <c r="P6910" s="79">
        <v>715</v>
      </c>
      <c r="Q6910" s="79" t="s">
        <v>8938</v>
      </c>
      <c r="R6910" s="6">
        <v>1778</v>
      </c>
      <c r="S6910" s="63">
        <v>5804</v>
      </c>
      <c r="T6910" s="4">
        <v>0</v>
      </c>
      <c r="U6910" s="4">
        <f>T6910*1.12</f>
        <v>0</v>
      </c>
      <c r="V6910" s="3" t="s">
        <v>362</v>
      </c>
      <c r="W6910" s="3">
        <v>2014</v>
      </c>
      <c r="X6910" s="3" t="s">
        <v>14785</v>
      </c>
    </row>
    <row r="6911" spans="1:24" ht="127.5">
      <c r="A6911" s="3" t="s">
        <v>16441</v>
      </c>
      <c r="B6911" s="6" t="s">
        <v>361</v>
      </c>
      <c r="C6911" s="55" t="s">
        <v>8934</v>
      </c>
      <c r="D6911" s="55" t="s">
        <v>8935</v>
      </c>
      <c r="E6911" s="55" t="s">
        <v>8936</v>
      </c>
      <c r="F6911" s="6" t="s">
        <v>8937</v>
      </c>
      <c r="G6911" s="3" t="s">
        <v>11449</v>
      </c>
      <c r="H6911" s="67">
        <v>0.75</v>
      </c>
      <c r="I6911" s="16">
        <v>470000000</v>
      </c>
      <c r="J6911" s="56" t="s">
        <v>229</v>
      </c>
      <c r="K6911" s="6" t="s">
        <v>16442</v>
      </c>
      <c r="L6911" s="6" t="s">
        <v>8913</v>
      </c>
      <c r="M6911" s="162" t="s">
        <v>230</v>
      </c>
      <c r="N6911" s="65" t="s">
        <v>8914</v>
      </c>
      <c r="O6911" s="16" t="s">
        <v>8915</v>
      </c>
      <c r="P6911" s="79">
        <v>715</v>
      </c>
      <c r="Q6911" s="79" t="s">
        <v>8938</v>
      </c>
      <c r="R6911" s="6">
        <v>1778</v>
      </c>
      <c r="S6911" s="63">
        <v>6964.8</v>
      </c>
      <c r="T6911" s="4">
        <v>0</v>
      </c>
      <c r="U6911" s="4">
        <f>T6911*1.12</f>
        <v>0</v>
      </c>
      <c r="V6911" s="3" t="s">
        <v>362</v>
      </c>
      <c r="W6911" s="3">
        <v>2014</v>
      </c>
      <c r="X6911" s="3">
        <v>11</v>
      </c>
    </row>
    <row r="6912" spans="1:24" ht="127.5">
      <c r="A6912" s="3" t="s">
        <v>18764</v>
      </c>
      <c r="B6912" s="6" t="s">
        <v>361</v>
      </c>
      <c r="C6912" s="55" t="s">
        <v>8934</v>
      </c>
      <c r="D6912" s="55" t="s">
        <v>8935</v>
      </c>
      <c r="E6912" s="55" t="s">
        <v>8936</v>
      </c>
      <c r="F6912" s="6" t="s">
        <v>8937</v>
      </c>
      <c r="G6912" s="3" t="s">
        <v>11449</v>
      </c>
      <c r="H6912" s="67">
        <v>0.75</v>
      </c>
      <c r="I6912" s="16">
        <v>470000000</v>
      </c>
      <c r="J6912" s="56" t="s">
        <v>229</v>
      </c>
      <c r="K6912" s="6" t="s">
        <v>15646</v>
      </c>
      <c r="L6912" s="6" t="s">
        <v>8913</v>
      </c>
      <c r="M6912" s="162" t="s">
        <v>230</v>
      </c>
      <c r="N6912" s="65" t="s">
        <v>8914</v>
      </c>
      <c r="O6912" s="16" t="s">
        <v>8915</v>
      </c>
      <c r="P6912" s="79">
        <v>715</v>
      </c>
      <c r="Q6912" s="79" t="s">
        <v>8938</v>
      </c>
      <c r="R6912" s="6">
        <v>1778</v>
      </c>
      <c r="S6912" s="63">
        <v>6964.8</v>
      </c>
      <c r="T6912" s="4">
        <v>0</v>
      </c>
      <c r="U6912" s="4">
        <f>T6912*1.12</f>
        <v>0</v>
      </c>
      <c r="V6912" s="3" t="s">
        <v>362</v>
      </c>
      <c r="W6912" s="3">
        <v>2014</v>
      </c>
      <c r="X6912" s="3" t="s">
        <v>19353</v>
      </c>
    </row>
    <row r="6913" spans="1:24" ht="127.5">
      <c r="A6913" s="3" t="s">
        <v>19352</v>
      </c>
      <c r="B6913" s="6" t="s">
        <v>361</v>
      </c>
      <c r="C6913" s="55" t="s">
        <v>8934</v>
      </c>
      <c r="D6913" s="55" t="s">
        <v>8935</v>
      </c>
      <c r="E6913" s="55" t="s">
        <v>8936</v>
      </c>
      <c r="F6913" s="6" t="s">
        <v>8937</v>
      </c>
      <c r="G6913" s="3" t="s">
        <v>11449</v>
      </c>
      <c r="H6913" s="67">
        <v>0</v>
      </c>
      <c r="I6913" s="16">
        <v>470000000</v>
      </c>
      <c r="J6913" s="56" t="s">
        <v>229</v>
      </c>
      <c r="K6913" s="6" t="s">
        <v>18437</v>
      </c>
      <c r="L6913" s="6" t="s">
        <v>8913</v>
      </c>
      <c r="M6913" s="162" t="s">
        <v>230</v>
      </c>
      <c r="N6913" s="65" t="s">
        <v>8914</v>
      </c>
      <c r="O6913" s="6" t="s">
        <v>19407</v>
      </c>
      <c r="P6913" s="79">
        <v>715</v>
      </c>
      <c r="Q6913" s="79" t="s">
        <v>8938</v>
      </c>
      <c r="R6913" s="6">
        <v>1778</v>
      </c>
      <c r="S6913" s="63">
        <v>6964.8</v>
      </c>
      <c r="T6913" s="4">
        <f>R6913*S6913</f>
        <v>12383414.4</v>
      </c>
      <c r="U6913" s="1">
        <f>T6913*1.12</f>
        <v>13869424.128000002</v>
      </c>
      <c r="V6913" s="3"/>
      <c r="W6913" s="3">
        <v>2014</v>
      </c>
      <c r="X6913" s="3"/>
    </row>
    <row r="6914" spans="1:24" ht="89.25">
      <c r="A6914" s="3" t="s">
        <v>2926</v>
      </c>
      <c r="B6914" s="6" t="s">
        <v>361</v>
      </c>
      <c r="C6914" s="55" t="s">
        <v>8939</v>
      </c>
      <c r="D6914" s="55" t="s">
        <v>8940</v>
      </c>
      <c r="E6914" s="55" t="s">
        <v>8941</v>
      </c>
      <c r="F6914" s="6" t="s">
        <v>8942</v>
      </c>
      <c r="G6914" s="6" t="s">
        <v>11450</v>
      </c>
      <c r="H6914" s="67">
        <v>0.5</v>
      </c>
      <c r="I6914" s="16">
        <v>470000000</v>
      </c>
      <c r="J6914" s="56" t="s">
        <v>229</v>
      </c>
      <c r="K6914" s="6" t="s">
        <v>642</v>
      </c>
      <c r="L6914" s="6" t="s">
        <v>8913</v>
      </c>
      <c r="M6914" s="162" t="s">
        <v>230</v>
      </c>
      <c r="N6914" s="65" t="s">
        <v>8914</v>
      </c>
      <c r="O6914" s="16" t="s">
        <v>8915</v>
      </c>
      <c r="P6914" s="79">
        <v>715</v>
      </c>
      <c r="Q6914" s="79" t="s">
        <v>8938</v>
      </c>
      <c r="R6914" s="6">
        <v>754</v>
      </c>
      <c r="S6914" s="63">
        <v>2000</v>
      </c>
      <c r="T6914" s="4">
        <f t="shared" si="307"/>
        <v>1508000</v>
      </c>
      <c r="U6914" s="1">
        <f t="shared" si="308"/>
        <v>1688960.0000000002</v>
      </c>
      <c r="V6914" s="3" t="s">
        <v>362</v>
      </c>
      <c r="W6914" s="3">
        <v>2014</v>
      </c>
      <c r="X6914" s="3"/>
    </row>
    <row r="6915" spans="1:24" ht="114.75">
      <c r="A6915" s="3" t="s">
        <v>2927</v>
      </c>
      <c r="B6915" s="6" t="s">
        <v>361</v>
      </c>
      <c r="C6915" s="55" t="s">
        <v>8943</v>
      </c>
      <c r="D6915" s="55" t="s">
        <v>8944</v>
      </c>
      <c r="E6915" s="55" t="s">
        <v>8945</v>
      </c>
      <c r="F6915" s="6" t="s">
        <v>8946</v>
      </c>
      <c r="G6915" s="6" t="s">
        <v>11450</v>
      </c>
      <c r="H6915" s="67">
        <v>0.75</v>
      </c>
      <c r="I6915" s="16">
        <v>470000000</v>
      </c>
      <c r="J6915" s="56" t="s">
        <v>229</v>
      </c>
      <c r="K6915" s="6" t="s">
        <v>642</v>
      </c>
      <c r="L6915" s="6" t="s">
        <v>8913</v>
      </c>
      <c r="M6915" s="162" t="s">
        <v>230</v>
      </c>
      <c r="N6915" s="65" t="s">
        <v>8914</v>
      </c>
      <c r="O6915" s="16" t="s">
        <v>8915</v>
      </c>
      <c r="P6915" s="79">
        <v>715</v>
      </c>
      <c r="Q6915" s="79" t="s">
        <v>8938</v>
      </c>
      <c r="R6915" s="6">
        <v>381</v>
      </c>
      <c r="S6915" s="63">
        <v>5134</v>
      </c>
      <c r="T6915" s="4">
        <v>0</v>
      </c>
      <c r="U6915" s="4">
        <f t="shared" si="308"/>
        <v>0</v>
      </c>
      <c r="V6915" s="3" t="s">
        <v>362</v>
      </c>
      <c r="W6915" s="3">
        <v>2014</v>
      </c>
      <c r="X6915" s="3">
        <v>11</v>
      </c>
    </row>
    <row r="6916" spans="1:24" ht="114.75">
      <c r="A6916" s="3" t="s">
        <v>14040</v>
      </c>
      <c r="B6916" s="6" t="s">
        <v>361</v>
      </c>
      <c r="C6916" s="55" t="s">
        <v>8943</v>
      </c>
      <c r="D6916" s="55" t="s">
        <v>8944</v>
      </c>
      <c r="E6916" s="55" t="s">
        <v>8945</v>
      </c>
      <c r="F6916" s="6" t="s">
        <v>8946</v>
      </c>
      <c r="G6916" s="6" t="s">
        <v>11450</v>
      </c>
      <c r="H6916" s="67">
        <v>0.75</v>
      </c>
      <c r="I6916" s="16">
        <v>470000000</v>
      </c>
      <c r="J6916" s="56" t="s">
        <v>229</v>
      </c>
      <c r="K6916" s="6" t="s">
        <v>9453</v>
      </c>
      <c r="L6916" s="6" t="s">
        <v>8913</v>
      </c>
      <c r="M6916" s="162" t="s">
        <v>230</v>
      </c>
      <c r="N6916" s="65" t="s">
        <v>8914</v>
      </c>
      <c r="O6916" s="16" t="s">
        <v>8915</v>
      </c>
      <c r="P6916" s="79">
        <v>715</v>
      </c>
      <c r="Q6916" s="79" t="s">
        <v>8938</v>
      </c>
      <c r="R6916" s="6">
        <v>381</v>
      </c>
      <c r="S6916" s="63">
        <v>5134</v>
      </c>
      <c r="T6916" s="4">
        <v>0</v>
      </c>
      <c r="U6916" s="4">
        <f t="shared" si="308"/>
        <v>0</v>
      </c>
      <c r="V6916" s="3" t="s">
        <v>362</v>
      </c>
      <c r="W6916" s="3">
        <v>2014</v>
      </c>
      <c r="X6916" s="3" t="s">
        <v>14785</v>
      </c>
    </row>
    <row r="6917" spans="1:24" ht="114.75">
      <c r="A6917" s="3" t="s">
        <v>16443</v>
      </c>
      <c r="B6917" s="6" t="s">
        <v>361</v>
      </c>
      <c r="C6917" s="55" t="s">
        <v>8943</v>
      </c>
      <c r="D6917" s="55" t="s">
        <v>8944</v>
      </c>
      <c r="E6917" s="55" t="s">
        <v>8945</v>
      </c>
      <c r="F6917" s="6" t="s">
        <v>8946</v>
      </c>
      <c r="G6917" s="3" t="s">
        <v>11450</v>
      </c>
      <c r="H6917" s="67">
        <v>0.75</v>
      </c>
      <c r="I6917" s="16">
        <v>470000000</v>
      </c>
      <c r="J6917" s="56" t="s">
        <v>229</v>
      </c>
      <c r="K6917" s="6" t="s">
        <v>16442</v>
      </c>
      <c r="L6917" s="6" t="s">
        <v>8913</v>
      </c>
      <c r="M6917" s="162" t="s">
        <v>230</v>
      </c>
      <c r="N6917" s="65" t="s">
        <v>8914</v>
      </c>
      <c r="O6917" s="16" t="s">
        <v>8915</v>
      </c>
      <c r="P6917" s="79">
        <v>715</v>
      </c>
      <c r="Q6917" s="79" t="s">
        <v>8938</v>
      </c>
      <c r="R6917" s="6">
        <v>381</v>
      </c>
      <c r="S6917" s="63">
        <v>6160.8</v>
      </c>
      <c r="T6917" s="4">
        <f>R6917*S6917</f>
        <v>2347264.8000000003</v>
      </c>
      <c r="U6917" s="1">
        <f t="shared" si="308"/>
        <v>2628936.5760000004</v>
      </c>
      <c r="V6917" s="3" t="s">
        <v>362</v>
      </c>
      <c r="W6917" s="3">
        <v>2014</v>
      </c>
      <c r="X6917" s="3"/>
    </row>
    <row r="6918" spans="1:24" ht="140.25">
      <c r="A6918" s="3" t="s">
        <v>2928</v>
      </c>
      <c r="B6918" s="6" t="s">
        <v>361</v>
      </c>
      <c r="C6918" s="55" t="s">
        <v>8947</v>
      </c>
      <c r="D6918" s="55" t="s">
        <v>8935</v>
      </c>
      <c r="E6918" s="55" t="s">
        <v>8948</v>
      </c>
      <c r="F6918" s="64" t="s">
        <v>8949</v>
      </c>
      <c r="G6918" s="6" t="s">
        <v>11450</v>
      </c>
      <c r="H6918" s="67">
        <v>0.75</v>
      </c>
      <c r="I6918" s="16">
        <v>470000000</v>
      </c>
      <c r="J6918" s="56" t="s">
        <v>229</v>
      </c>
      <c r="K6918" s="6" t="s">
        <v>8950</v>
      </c>
      <c r="L6918" s="6" t="s">
        <v>8913</v>
      </c>
      <c r="M6918" s="162" t="s">
        <v>230</v>
      </c>
      <c r="N6918" s="65" t="s">
        <v>8914</v>
      </c>
      <c r="O6918" s="16" t="s">
        <v>8915</v>
      </c>
      <c r="P6918" s="79">
        <v>715</v>
      </c>
      <c r="Q6918" s="79" t="s">
        <v>8938</v>
      </c>
      <c r="R6918" s="6">
        <v>711</v>
      </c>
      <c r="S6918" s="63">
        <v>6071</v>
      </c>
      <c r="T6918" s="4">
        <v>0</v>
      </c>
      <c r="U6918" s="4">
        <f t="shared" si="308"/>
        <v>0</v>
      </c>
      <c r="V6918" s="3" t="s">
        <v>362</v>
      </c>
      <c r="W6918" s="3">
        <v>2014</v>
      </c>
      <c r="X6918" s="3" t="s">
        <v>14230</v>
      </c>
    </row>
    <row r="6919" spans="1:24" ht="140.25">
      <c r="A6919" s="3" t="s">
        <v>16444</v>
      </c>
      <c r="B6919" s="6" t="s">
        <v>361</v>
      </c>
      <c r="C6919" s="55" t="s">
        <v>8947</v>
      </c>
      <c r="D6919" s="55" t="s">
        <v>8935</v>
      </c>
      <c r="E6919" s="55" t="s">
        <v>8948</v>
      </c>
      <c r="F6919" s="64" t="s">
        <v>8949</v>
      </c>
      <c r="G6919" s="3" t="s">
        <v>11450</v>
      </c>
      <c r="H6919" s="67">
        <v>0.75</v>
      </c>
      <c r="I6919" s="16">
        <v>470000000</v>
      </c>
      <c r="J6919" s="56" t="s">
        <v>229</v>
      </c>
      <c r="K6919" s="6" t="s">
        <v>8950</v>
      </c>
      <c r="L6919" s="6" t="s">
        <v>8913</v>
      </c>
      <c r="M6919" s="162" t="s">
        <v>230</v>
      </c>
      <c r="N6919" s="65" t="s">
        <v>8914</v>
      </c>
      <c r="O6919" s="16" t="s">
        <v>8915</v>
      </c>
      <c r="P6919" s="79">
        <v>715</v>
      </c>
      <c r="Q6919" s="79" t="s">
        <v>8938</v>
      </c>
      <c r="R6919" s="6">
        <v>711</v>
      </c>
      <c r="S6919" s="63">
        <v>7285.2</v>
      </c>
      <c r="T6919" s="4">
        <f t="shared" ref="T6919" si="313">R6919*S6919</f>
        <v>5179777.2</v>
      </c>
      <c r="U6919" s="1">
        <f t="shared" si="308"/>
        <v>5801350.4640000006</v>
      </c>
      <c r="V6919" s="3" t="s">
        <v>362</v>
      </c>
      <c r="W6919" s="3">
        <v>2014</v>
      </c>
      <c r="X6919" s="3"/>
    </row>
    <row r="6920" spans="1:24" ht="127.5">
      <c r="A6920" s="3" t="s">
        <v>2929</v>
      </c>
      <c r="B6920" s="6" t="s">
        <v>361</v>
      </c>
      <c r="C6920" s="55" t="s">
        <v>8951</v>
      </c>
      <c r="D6920" s="55" t="s">
        <v>8944</v>
      </c>
      <c r="E6920" s="55" t="s">
        <v>8952</v>
      </c>
      <c r="F6920" s="64" t="s">
        <v>8953</v>
      </c>
      <c r="G6920" s="6" t="s">
        <v>11450</v>
      </c>
      <c r="H6920" s="67">
        <v>0.75</v>
      </c>
      <c r="I6920" s="16">
        <v>470000000</v>
      </c>
      <c r="J6920" s="56" t="s">
        <v>229</v>
      </c>
      <c r="K6920" s="6" t="s">
        <v>8950</v>
      </c>
      <c r="L6920" s="6" t="s">
        <v>8913</v>
      </c>
      <c r="M6920" s="162" t="s">
        <v>230</v>
      </c>
      <c r="N6920" s="65" t="s">
        <v>8914</v>
      </c>
      <c r="O6920" s="16" t="s">
        <v>8915</v>
      </c>
      <c r="P6920" s="79">
        <v>715</v>
      </c>
      <c r="Q6920" s="79" t="s">
        <v>8938</v>
      </c>
      <c r="R6920" s="6">
        <v>158</v>
      </c>
      <c r="S6920" s="63">
        <v>5536</v>
      </c>
      <c r="T6920" s="4">
        <v>0</v>
      </c>
      <c r="U6920" s="4">
        <f t="shared" si="308"/>
        <v>0</v>
      </c>
      <c r="V6920" s="3" t="s">
        <v>362</v>
      </c>
      <c r="W6920" s="3">
        <v>2014</v>
      </c>
      <c r="X6920" s="3" t="s">
        <v>14230</v>
      </c>
    </row>
    <row r="6921" spans="1:24" ht="127.5">
      <c r="A6921" s="3" t="s">
        <v>16445</v>
      </c>
      <c r="B6921" s="6" t="s">
        <v>361</v>
      </c>
      <c r="C6921" s="55" t="s">
        <v>8951</v>
      </c>
      <c r="D6921" s="55" t="s">
        <v>8944</v>
      </c>
      <c r="E6921" s="55" t="s">
        <v>8952</v>
      </c>
      <c r="F6921" s="64" t="s">
        <v>8953</v>
      </c>
      <c r="G6921" s="3" t="s">
        <v>11450</v>
      </c>
      <c r="H6921" s="67">
        <v>0.75</v>
      </c>
      <c r="I6921" s="16">
        <v>470000000</v>
      </c>
      <c r="J6921" s="56" t="s">
        <v>229</v>
      </c>
      <c r="K6921" s="6" t="s">
        <v>8950</v>
      </c>
      <c r="L6921" s="6" t="s">
        <v>8913</v>
      </c>
      <c r="M6921" s="162" t="s">
        <v>230</v>
      </c>
      <c r="N6921" s="65" t="s">
        <v>8914</v>
      </c>
      <c r="O6921" s="16" t="s">
        <v>8915</v>
      </c>
      <c r="P6921" s="79">
        <v>715</v>
      </c>
      <c r="Q6921" s="79" t="s">
        <v>8938</v>
      </c>
      <c r="R6921" s="6">
        <v>158</v>
      </c>
      <c r="S6921" s="63">
        <v>6643.2</v>
      </c>
      <c r="T6921" s="4">
        <f t="shared" ref="T6921" si="314">R6921*S6921</f>
        <v>1049625.5999999999</v>
      </c>
      <c r="U6921" s="1">
        <f t="shared" si="308"/>
        <v>1175580.672</v>
      </c>
      <c r="V6921" s="3" t="s">
        <v>362</v>
      </c>
      <c r="W6921" s="3">
        <v>2014</v>
      </c>
      <c r="X6921" s="3"/>
    </row>
    <row r="6922" spans="1:24" ht="89.25">
      <c r="A6922" s="3" t="s">
        <v>2930</v>
      </c>
      <c r="B6922" s="6" t="s">
        <v>361</v>
      </c>
      <c r="C6922" s="55" t="s">
        <v>8954</v>
      </c>
      <c r="D6922" s="55" t="s">
        <v>8955</v>
      </c>
      <c r="E6922" s="55" t="s">
        <v>8956</v>
      </c>
      <c r="F6922" s="6" t="s">
        <v>8957</v>
      </c>
      <c r="G6922" s="6" t="s">
        <v>11449</v>
      </c>
      <c r="H6922" s="67">
        <v>0.75</v>
      </c>
      <c r="I6922" s="16">
        <v>470000000</v>
      </c>
      <c r="J6922" s="56" t="s">
        <v>229</v>
      </c>
      <c r="K6922" s="6" t="s">
        <v>8958</v>
      </c>
      <c r="L6922" s="6" t="s">
        <v>8913</v>
      </c>
      <c r="M6922" s="162" t="s">
        <v>230</v>
      </c>
      <c r="N6922" s="65" t="s">
        <v>8914</v>
      </c>
      <c r="O6922" s="16" t="s">
        <v>8915</v>
      </c>
      <c r="P6922" s="79">
        <v>715</v>
      </c>
      <c r="Q6922" s="79" t="s">
        <v>8938</v>
      </c>
      <c r="R6922" s="6">
        <v>10058</v>
      </c>
      <c r="S6922" s="63">
        <v>150</v>
      </c>
      <c r="T6922" s="4">
        <v>0</v>
      </c>
      <c r="U6922" s="4">
        <f t="shared" si="308"/>
        <v>0</v>
      </c>
      <c r="V6922" s="3" t="s">
        <v>362</v>
      </c>
      <c r="W6922" s="3">
        <v>2014</v>
      </c>
      <c r="X6922" s="3" t="s">
        <v>14785</v>
      </c>
    </row>
    <row r="6923" spans="1:24" ht="89.25">
      <c r="A6923" s="3" t="s">
        <v>16446</v>
      </c>
      <c r="B6923" s="6" t="s">
        <v>361</v>
      </c>
      <c r="C6923" s="55" t="s">
        <v>8954</v>
      </c>
      <c r="D6923" s="55" t="s">
        <v>8955</v>
      </c>
      <c r="E6923" s="55" t="s">
        <v>8956</v>
      </c>
      <c r="F6923" s="6" t="s">
        <v>8957</v>
      </c>
      <c r="G6923" s="3" t="s">
        <v>11449</v>
      </c>
      <c r="H6923" s="67">
        <v>0.75</v>
      </c>
      <c r="I6923" s="16">
        <v>470000000</v>
      </c>
      <c r="J6923" s="56" t="s">
        <v>229</v>
      </c>
      <c r="K6923" s="6" t="s">
        <v>16447</v>
      </c>
      <c r="L6923" s="6" t="s">
        <v>8913</v>
      </c>
      <c r="M6923" s="162" t="s">
        <v>230</v>
      </c>
      <c r="N6923" s="65" t="s">
        <v>8914</v>
      </c>
      <c r="O6923" s="16" t="s">
        <v>8915</v>
      </c>
      <c r="P6923" s="79">
        <v>715</v>
      </c>
      <c r="Q6923" s="79" t="s">
        <v>8938</v>
      </c>
      <c r="R6923" s="6">
        <v>10058</v>
      </c>
      <c r="S6923" s="63">
        <v>660</v>
      </c>
      <c r="T6923" s="4">
        <f t="shared" ref="T6923" si="315">R6923*S6923</f>
        <v>6638280</v>
      </c>
      <c r="U6923" s="1">
        <f t="shared" si="308"/>
        <v>7434873.6000000006</v>
      </c>
      <c r="V6923" s="3" t="s">
        <v>362</v>
      </c>
      <c r="W6923" s="3">
        <v>2014</v>
      </c>
      <c r="X6923" s="3"/>
    </row>
    <row r="6924" spans="1:24" ht="89.25">
      <c r="A6924" s="3" t="s">
        <v>2931</v>
      </c>
      <c r="B6924" s="6" t="s">
        <v>361</v>
      </c>
      <c r="C6924" s="55" t="s">
        <v>8959</v>
      </c>
      <c r="D6924" s="55" t="s">
        <v>8960</v>
      </c>
      <c r="E6924" s="55" t="s">
        <v>8961</v>
      </c>
      <c r="F6924" s="6" t="s">
        <v>8962</v>
      </c>
      <c r="G6924" s="6" t="s">
        <v>11449</v>
      </c>
      <c r="H6924" s="67">
        <v>0.75</v>
      </c>
      <c r="I6924" s="16">
        <v>470000000</v>
      </c>
      <c r="J6924" s="56" t="s">
        <v>229</v>
      </c>
      <c r="K6924" s="6" t="s">
        <v>8958</v>
      </c>
      <c r="L6924" s="6" t="s">
        <v>8913</v>
      </c>
      <c r="M6924" s="162" t="s">
        <v>230</v>
      </c>
      <c r="N6924" s="65" t="s">
        <v>8914</v>
      </c>
      <c r="O6924" s="16" t="s">
        <v>8915</v>
      </c>
      <c r="P6924" s="79">
        <v>715</v>
      </c>
      <c r="Q6924" s="79" t="s">
        <v>8938</v>
      </c>
      <c r="R6924" s="6">
        <v>18968</v>
      </c>
      <c r="S6924" s="63">
        <v>539</v>
      </c>
      <c r="T6924" s="4">
        <v>0</v>
      </c>
      <c r="U6924" s="4">
        <f t="shared" si="308"/>
        <v>0</v>
      </c>
      <c r="V6924" s="3" t="s">
        <v>362</v>
      </c>
      <c r="W6924" s="3">
        <v>2014</v>
      </c>
      <c r="X6924" s="3">
        <v>11</v>
      </c>
    </row>
    <row r="6925" spans="1:24" ht="89.25">
      <c r="A6925" s="3" t="s">
        <v>11813</v>
      </c>
      <c r="B6925" s="6" t="s">
        <v>361</v>
      </c>
      <c r="C6925" s="55" t="s">
        <v>8959</v>
      </c>
      <c r="D6925" s="55" t="s">
        <v>8960</v>
      </c>
      <c r="E6925" s="55" t="s">
        <v>8961</v>
      </c>
      <c r="F6925" s="6" t="s">
        <v>8962</v>
      </c>
      <c r="G6925" s="6" t="s">
        <v>11449</v>
      </c>
      <c r="H6925" s="67">
        <v>0.75</v>
      </c>
      <c r="I6925" s="16">
        <v>470000000</v>
      </c>
      <c r="J6925" s="56" t="s">
        <v>229</v>
      </c>
      <c r="K6925" s="6" t="s">
        <v>11814</v>
      </c>
      <c r="L6925" s="6" t="s">
        <v>8913</v>
      </c>
      <c r="M6925" s="162" t="s">
        <v>230</v>
      </c>
      <c r="N6925" s="65" t="s">
        <v>8914</v>
      </c>
      <c r="O6925" s="16" t="s">
        <v>8915</v>
      </c>
      <c r="P6925" s="79">
        <v>715</v>
      </c>
      <c r="Q6925" s="79" t="s">
        <v>8938</v>
      </c>
      <c r="R6925" s="6">
        <v>18968</v>
      </c>
      <c r="S6925" s="63">
        <v>539</v>
      </c>
      <c r="T6925" s="4">
        <v>0</v>
      </c>
      <c r="U6925" s="4">
        <f>T6925*1.12</f>
        <v>0</v>
      </c>
      <c r="V6925" s="3" t="s">
        <v>362</v>
      </c>
      <c r="W6925" s="3">
        <v>2014</v>
      </c>
      <c r="X6925" s="3">
        <v>11</v>
      </c>
    </row>
    <row r="6926" spans="1:24" ht="89.25">
      <c r="A6926" s="3" t="s">
        <v>16448</v>
      </c>
      <c r="B6926" s="6" t="s">
        <v>361</v>
      </c>
      <c r="C6926" s="55" t="s">
        <v>8959</v>
      </c>
      <c r="D6926" s="55" t="s">
        <v>8960</v>
      </c>
      <c r="E6926" s="55" t="s">
        <v>8961</v>
      </c>
      <c r="F6926" s="6" t="s">
        <v>8962</v>
      </c>
      <c r="G6926" s="6" t="s">
        <v>11449</v>
      </c>
      <c r="H6926" s="67">
        <v>0.75</v>
      </c>
      <c r="I6926" s="16">
        <v>470000000</v>
      </c>
      <c r="J6926" s="56" t="s">
        <v>229</v>
      </c>
      <c r="K6926" s="6" t="s">
        <v>17248</v>
      </c>
      <c r="L6926" s="6" t="s">
        <v>8913</v>
      </c>
      <c r="M6926" s="162" t="s">
        <v>230</v>
      </c>
      <c r="N6926" s="65" t="s">
        <v>8914</v>
      </c>
      <c r="O6926" s="16" t="s">
        <v>8915</v>
      </c>
      <c r="P6926" s="79">
        <v>715</v>
      </c>
      <c r="Q6926" s="79" t="s">
        <v>8938</v>
      </c>
      <c r="R6926" s="6">
        <v>18968</v>
      </c>
      <c r="S6926" s="63">
        <v>539</v>
      </c>
      <c r="T6926" s="4">
        <f t="shared" ref="T6926" si="316">R6926*S6926</f>
        <v>10223752</v>
      </c>
      <c r="U6926" s="1">
        <f>T6926*1.12</f>
        <v>11450602.24</v>
      </c>
      <c r="V6926" s="3" t="s">
        <v>362</v>
      </c>
      <c r="W6926" s="3">
        <v>2014</v>
      </c>
      <c r="X6926" s="3"/>
    </row>
    <row r="6927" spans="1:24" ht="89.25">
      <c r="A6927" s="3" t="s">
        <v>2932</v>
      </c>
      <c r="B6927" s="6" t="s">
        <v>361</v>
      </c>
      <c r="C6927" s="55" t="s">
        <v>8963</v>
      </c>
      <c r="D6927" s="55" t="s">
        <v>8960</v>
      </c>
      <c r="E6927" s="55" t="s">
        <v>8964</v>
      </c>
      <c r="F6927" s="64"/>
      <c r="G6927" s="6" t="s">
        <v>11449</v>
      </c>
      <c r="H6927" s="67">
        <v>0.75</v>
      </c>
      <c r="I6927" s="16">
        <v>470000000</v>
      </c>
      <c r="J6927" s="56" t="s">
        <v>229</v>
      </c>
      <c r="K6927" s="6" t="s">
        <v>8958</v>
      </c>
      <c r="L6927" s="6" t="s">
        <v>8913</v>
      </c>
      <c r="M6927" s="162" t="s">
        <v>230</v>
      </c>
      <c r="N6927" s="65" t="s">
        <v>8914</v>
      </c>
      <c r="O6927" s="16" t="s">
        <v>8915</v>
      </c>
      <c r="P6927" s="79">
        <v>715</v>
      </c>
      <c r="Q6927" s="79" t="s">
        <v>8938</v>
      </c>
      <c r="R6927" s="6">
        <v>1610</v>
      </c>
      <c r="S6927" s="63">
        <v>170</v>
      </c>
      <c r="T6927" s="4">
        <v>0</v>
      </c>
      <c r="U6927" s="4">
        <f t="shared" si="308"/>
        <v>0</v>
      </c>
      <c r="V6927" s="3" t="s">
        <v>362</v>
      </c>
      <c r="W6927" s="3">
        <v>2014</v>
      </c>
      <c r="X6927" s="3">
        <v>11.22</v>
      </c>
    </row>
    <row r="6928" spans="1:24" ht="89.25">
      <c r="A6928" s="3" t="s">
        <v>13960</v>
      </c>
      <c r="B6928" s="6" t="s">
        <v>361</v>
      </c>
      <c r="C6928" s="55" t="s">
        <v>8963</v>
      </c>
      <c r="D6928" s="55" t="s">
        <v>8960</v>
      </c>
      <c r="E6928" s="55" t="s">
        <v>8964</v>
      </c>
      <c r="F6928" s="64"/>
      <c r="G6928" s="6" t="s">
        <v>11449</v>
      </c>
      <c r="H6928" s="67">
        <v>0.75</v>
      </c>
      <c r="I6928" s="16">
        <v>470000000</v>
      </c>
      <c r="J6928" s="56" t="s">
        <v>229</v>
      </c>
      <c r="K6928" s="6" t="s">
        <v>642</v>
      </c>
      <c r="L6928" s="6" t="s">
        <v>8913</v>
      </c>
      <c r="M6928" s="162" t="s">
        <v>230</v>
      </c>
      <c r="N6928" s="65" t="s">
        <v>8914</v>
      </c>
      <c r="O6928" s="16" t="s">
        <v>8915</v>
      </c>
      <c r="P6928" s="79">
        <v>715</v>
      </c>
      <c r="Q6928" s="79" t="s">
        <v>8938</v>
      </c>
      <c r="R6928" s="6">
        <v>1610</v>
      </c>
      <c r="S6928" s="63">
        <v>170</v>
      </c>
      <c r="T6928" s="4">
        <v>0</v>
      </c>
      <c r="U6928" s="4">
        <f>T6928*1.12</f>
        <v>0</v>
      </c>
      <c r="V6928" s="3"/>
      <c r="W6928" s="3">
        <v>2014</v>
      </c>
      <c r="X6928" s="3">
        <v>11</v>
      </c>
    </row>
    <row r="6929" spans="1:24" ht="89.25">
      <c r="A6929" s="3" t="s">
        <v>16449</v>
      </c>
      <c r="B6929" s="6" t="s">
        <v>361</v>
      </c>
      <c r="C6929" s="55" t="s">
        <v>8963</v>
      </c>
      <c r="D6929" s="55" t="s">
        <v>8960</v>
      </c>
      <c r="E6929" s="55" t="s">
        <v>8964</v>
      </c>
      <c r="F6929" s="64"/>
      <c r="G6929" s="6" t="s">
        <v>11449</v>
      </c>
      <c r="H6929" s="67">
        <v>0.75</v>
      </c>
      <c r="I6929" s="16">
        <v>470000000</v>
      </c>
      <c r="J6929" s="56" t="s">
        <v>229</v>
      </c>
      <c r="K6929" s="6" t="s">
        <v>16447</v>
      </c>
      <c r="L6929" s="6" t="s">
        <v>8913</v>
      </c>
      <c r="M6929" s="162" t="s">
        <v>230</v>
      </c>
      <c r="N6929" s="65" t="s">
        <v>8914</v>
      </c>
      <c r="O6929" s="16" t="s">
        <v>8915</v>
      </c>
      <c r="P6929" s="79">
        <v>715</v>
      </c>
      <c r="Q6929" s="79" t="s">
        <v>8938</v>
      </c>
      <c r="R6929" s="6">
        <v>1610</v>
      </c>
      <c r="S6929" s="63">
        <v>170</v>
      </c>
      <c r="T6929" s="4">
        <f>R6929*S6929</f>
        <v>273700</v>
      </c>
      <c r="U6929" s="1">
        <f>T6929*1.12</f>
        <v>306544.00000000006</v>
      </c>
      <c r="V6929" s="3"/>
      <c r="W6929" s="3">
        <v>2014</v>
      </c>
      <c r="X6929" s="3"/>
    </row>
    <row r="6930" spans="1:24" ht="89.25">
      <c r="A6930" s="3" t="s">
        <v>2933</v>
      </c>
      <c r="B6930" s="6" t="s">
        <v>361</v>
      </c>
      <c r="C6930" s="55" t="s">
        <v>8965</v>
      </c>
      <c r="D6930" s="55" t="s">
        <v>8955</v>
      </c>
      <c r="E6930" s="55" t="s">
        <v>8966</v>
      </c>
      <c r="F6930" s="6" t="s">
        <v>8967</v>
      </c>
      <c r="G6930" s="6" t="s">
        <v>11449</v>
      </c>
      <c r="H6930" s="67">
        <v>0.75</v>
      </c>
      <c r="I6930" s="16">
        <v>470000000</v>
      </c>
      <c r="J6930" s="56" t="s">
        <v>229</v>
      </c>
      <c r="K6930" s="6" t="s">
        <v>8958</v>
      </c>
      <c r="L6930" s="6" t="s">
        <v>8913</v>
      </c>
      <c r="M6930" s="162" t="s">
        <v>230</v>
      </c>
      <c r="N6930" s="65" t="s">
        <v>8914</v>
      </c>
      <c r="O6930" s="16" t="s">
        <v>8915</v>
      </c>
      <c r="P6930" s="79">
        <v>715</v>
      </c>
      <c r="Q6930" s="79" t="s">
        <v>8938</v>
      </c>
      <c r="R6930" s="6">
        <v>5824</v>
      </c>
      <c r="S6930" s="63">
        <v>580</v>
      </c>
      <c r="T6930" s="4">
        <v>0</v>
      </c>
      <c r="U6930" s="4">
        <f t="shared" si="308"/>
        <v>0</v>
      </c>
      <c r="V6930" s="3" t="s">
        <v>362</v>
      </c>
      <c r="W6930" s="3">
        <v>2014</v>
      </c>
      <c r="X6930" s="3">
        <v>11</v>
      </c>
    </row>
    <row r="6931" spans="1:24" ht="89.25">
      <c r="A6931" s="3" t="s">
        <v>11812</v>
      </c>
      <c r="B6931" s="6" t="s">
        <v>361</v>
      </c>
      <c r="C6931" s="55" t="s">
        <v>8965</v>
      </c>
      <c r="D6931" s="55" t="s">
        <v>8955</v>
      </c>
      <c r="E6931" s="55" t="s">
        <v>8966</v>
      </c>
      <c r="F6931" s="6" t="s">
        <v>8967</v>
      </c>
      <c r="G6931" s="6" t="s">
        <v>11449</v>
      </c>
      <c r="H6931" s="67">
        <v>0.75</v>
      </c>
      <c r="I6931" s="16">
        <v>470000000</v>
      </c>
      <c r="J6931" s="56" t="s">
        <v>229</v>
      </c>
      <c r="K6931" s="6" t="s">
        <v>7699</v>
      </c>
      <c r="L6931" s="6" t="s">
        <v>8913</v>
      </c>
      <c r="M6931" s="162" t="s">
        <v>230</v>
      </c>
      <c r="N6931" s="65" t="s">
        <v>8914</v>
      </c>
      <c r="O6931" s="16" t="s">
        <v>8915</v>
      </c>
      <c r="P6931" s="79">
        <v>715</v>
      </c>
      <c r="Q6931" s="79" t="s">
        <v>8938</v>
      </c>
      <c r="R6931" s="6">
        <v>5824</v>
      </c>
      <c r="S6931" s="63">
        <v>580</v>
      </c>
      <c r="T6931" s="4">
        <v>0</v>
      </c>
      <c r="U6931" s="4">
        <f>T6931*1.12</f>
        <v>0</v>
      </c>
      <c r="V6931" s="3" t="s">
        <v>362</v>
      </c>
      <c r="W6931" s="3">
        <v>2014</v>
      </c>
      <c r="X6931" s="3" t="s">
        <v>14785</v>
      </c>
    </row>
    <row r="6932" spans="1:24" ht="89.25">
      <c r="A6932" s="3" t="s">
        <v>16450</v>
      </c>
      <c r="B6932" s="6" t="s">
        <v>361</v>
      </c>
      <c r="C6932" s="55" t="s">
        <v>8965</v>
      </c>
      <c r="D6932" s="55" t="s">
        <v>8955</v>
      </c>
      <c r="E6932" s="55" t="s">
        <v>8966</v>
      </c>
      <c r="F6932" s="6" t="s">
        <v>8967</v>
      </c>
      <c r="G6932" s="3" t="s">
        <v>11449</v>
      </c>
      <c r="H6932" s="67">
        <v>0.75</v>
      </c>
      <c r="I6932" s="16">
        <v>470000000</v>
      </c>
      <c r="J6932" s="56" t="s">
        <v>229</v>
      </c>
      <c r="K6932" s="6" t="s">
        <v>16447</v>
      </c>
      <c r="L6932" s="6" t="s">
        <v>8913</v>
      </c>
      <c r="M6932" s="162" t="s">
        <v>230</v>
      </c>
      <c r="N6932" s="65" t="s">
        <v>8914</v>
      </c>
      <c r="O6932" s="16" t="s">
        <v>8915</v>
      </c>
      <c r="P6932" s="79">
        <v>715</v>
      </c>
      <c r="Q6932" s="79" t="s">
        <v>8938</v>
      </c>
      <c r="R6932" s="6">
        <v>5824</v>
      </c>
      <c r="S6932" s="63">
        <v>696</v>
      </c>
      <c r="T6932" s="4">
        <v>0</v>
      </c>
      <c r="U6932" s="4">
        <f>T6932*1.12</f>
        <v>0</v>
      </c>
      <c r="V6932" s="3" t="s">
        <v>362</v>
      </c>
      <c r="W6932" s="3">
        <v>2014</v>
      </c>
      <c r="X6932" s="3">
        <v>11.22</v>
      </c>
    </row>
    <row r="6933" spans="1:24" ht="89.25">
      <c r="A6933" s="3" t="s">
        <v>19064</v>
      </c>
      <c r="B6933" s="6" t="s">
        <v>361</v>
      </c>
      <c r="C6933" s="55" t="s">
        <v>8965</v>
      </c>
      <c r="D6933" s="55" t="s">
        <v>8955</v>
      </c>
      <c r="E6933" s="55" t="s">
        <v>8966</v>
      </c>
      <c r="F6933" s="6" t="s">
        <v>8967</v>
      </c>
      <c r="G6933" s="3" t="s">
        <v>11449</v>
      </c>
      <c r="H6933" s="67">
        <v>0.75</v>
      </c>
      <c r="I6933" s="16">
        <v>470000000</v>
      </c>
      <c r="J6933" s="56" t="s">
        <v>229</v>
      </c>
      <c r="K6933" s="6" t="s">
        <v>18748</v>
      </c>
      <c r="L6933" s="6" t="s">
        <v>8913</v>
      </c>
      <c r="M6933" s="162" t="s">
        <v>230</v>
      </c>
      <c r="N6933" s="65" t="s">
        <v>8914</v>
      </c>
      <c r="O6933" s="16" t="s">
        <v>8915</v>
      </c>
      <c r="P6933" s="79">
        <v>715</v>
      </c>
      <c r="Q6933" s="79" t="s">
        <v>8938</v>
      </c>
      <c r="R6933" s="6">
        <v>5824</v>
      </c>
      <c r="S6933" s="63">
        <v>696</v>
      </c>
      <c r="T6933" s="4">
        <v>0</v>
      </c>
      <c r="U6933" s="4">
        <f>T6933*1.12</f>
        <v>0</v>
      </c>
      <c r="V6933" s="3"/>
      <c r="W6933" s="3">
        <v>2014</v>
      </c>
      <c r="X6933" s="3">
        <v>14.15</v>
      </c>
    </row>
    <row r="6934" spans="1:24" ht="89.25">
      <c r="A6934" s="3" t="s">
        <v>19523</v>
      </c>
      <c r="B6934" s="6" t="s">
        <v>361</v>
      </c>
      <c r="C6934" s="55" t="s">
        <v>8965</v>
      </c>
      <c r="D6934" s="55" t="s">
        <v>8955</v>
      </c>
      <c r="E6934" s="55" t="s">
        <v>8966</v>
      </c>
      <c r="F6934" s="6" t="s">
        <v>8967</v>
      </c>
      <c r="G6934" s="3" t="s">
        <v>11449</v>
      </c>
      <c r="H6934" s="67">
        <v>0.75</v>
      </c>
      <c r="I6934" s="16">
        <v>470000000</v>
      </c>
      <c r="J6934" s="56" t="s">
        <v>229</v>
      </c>
      <c r="K6934" s="6" t="s">
        <v>18748</v>
      </c>
      <c r="L6934" s="6" t="s">
        <v>8913</v>
      </c>
      <c r="M6934" s="162" t="s">
        <v>230</v>
      </c>
      <c r="N6934" s="65" t="s">
        <v>19398</v>
      </c>
      <c r="O6934" s="16" t="s">
        <v>19399</v>
      </c>
      <c r="P6934" s="79">
        <v>715</v>
      </c>
      <c r="Q6934" s="79" t="s">
        <v>8938</v>
      </c>
      <c r="R6934" s="6">
        <v>5824</v>
      </c>
      <c r="S6934" s="63">
        <v>696</v>
      </c>
      <c r="T6934" s="4">
        <f t="shared" ref="T6934" si="317">R6934*S6934</f>
        <v>4053504</v>
      </c>
      <c r="U6934" s="1">
        <f>T6934*1.12</f>
        <v>4539924.4800000004</v>
      </c>
      <c r="V6934" s="3"/>
      <c r="W6934" s="3">
        <v>2014</v>
      </c>
      <c r="X6934" s="3"/>
    </row>
    <row r="6935" spans="1:24" ht="89.25">
      <c r="A6935" s="3" t="s">
        <v>2934</v>
      </c>
      <c r="B6935" s="6" t="s">
        <v>361</v>
      </c>
      <c r="C6935" s="55" t="s">
        <v>8968</v>
      </c>
      <c r="D6935" s="55" t="s">
        <v>8969</v>
      </c>
      <c r="E6935" s="55" t="s">
        <v>8970</v>
      </c>
      <c r="F6935" s="64" t="s">
        <v>8971</v>
      </c>
      <c r="G6935" s="6" t="s">
        <v>11449</v>
      </c>
      <c r="H6935" s="67">
        <v>0.75</v>
      </c>
      <c r="I6935" s="16">
        <v>470000000</v>
      </c>
      <c r="J6935" s="56" t="s">
        <v>229</v>
      </c>
      <c r="K6935" s="6" t="s">
        <v>8958</v>
      </c>
      <c r="L6935" s="6" t="s">
        <v>8913</v>
      </c>
      <c r="M6935" s="162" t="s">
        <v>230</v>
      </c>
      <c r="N6935" s="65" t="s">
        <v>8914</v>
      </c>
      <c r="O6935" s="16" t="s">
        <v>8915</v>
      </c>
      <c r="P6935" s="79">
        <v>715</v>
      </c>
      <c r="Q6935" s="79" t="s">
        <v>8938</v>
      </c>
      <c r="R6935" s="6">
        <v>1610</v>
      </c>
      <c r="S6935" s="63">
        <v>920</v>
      </c>
      <c r="T6935" s="4">
        <v>0</v>
      </c>
      <c r="U6935" s="4">
        <f t="shared" si="308"/>
        <v>0</v>
      </c>
      <c r="V6935" s="3" t="s">
        <v>362</v>
      </c>
      <c r="W6935" s="3">
        <v>2014</v>
      </c>
      <c r="X6935" s="3">
        <v>11.22</v>
      </c>
    </row>
    <row r="6936" spans="1:24" ht="89.25">
      <c r="A6936" s="3" t="s">
        <v>13961</v>
      </c>
      <c r="B6936" s="6" t="s">
        <v>361</v>
      </c>
      <c r="C6936" s="55" t="s">
        <v>8968</v>
      </c>
      <c r="D6936" s="55" t="s">
        <v>8969</v>
      </c>
      <c r="E6936" s="55" t="s">
        <v>8970</v>
      </c>
      <c r="F6936" s="64" t="s">
        <v>8971</v>
      </c>
      <c r="G6936" s="6" t="s">
        <v>11449</v>
      </c>
      <c r="H6936" s="67">
        <v>0.75</v>
      </c>
      <c r="I6936" s="16">
        <v>470000000</v>
      </c>
      <c r="J6936" s="56" t="s">
        <v>229</v>
      </c>
      <c r="K6936" s="6" t="s">
        <v>642</v>
      </c>
      <c r="L6936" s="6" t="s">
        <v>8913</v>
      </c>
      <c r="M6936" s="162" t="s">
        <v>230</v>
      </c>
      <c r="N6936" s="65" t="s">
        <v>8914</v>
      </c>
      <c r="O6936" s="16" t="s">
        <v>8915</v>
      </c>
      <c r="P6936" s="79">
        <v>715</v>
      </c>
      <c r="Q6936" s="79" t="s">
        <v>8938</v>
      </c>
      <c r="R6936" s="6">
        <v>1610</v>
      </c>
      <c r="S6936" s="63">
        <v>920</v>
      </c>
      <c r="T6936" s="4">
        <f>R6936*S6936</f>
        <v>1481200</v>
      </c>
      <c r="U6936" s="1">
        <f>T6936*1.12</f>
        <v>1658944.0000000002</v>
      </c>
      <c r="V6936" s="3"/>
      <c r="W6936" s="3">
        <v>2014</v>
      </c>
      <c r="X6936" s="3"/>
    </row>
    <row r="6937" spans="1:24" ht="102">
      <c r="A6937" s="3" t="s">
        <v>2935</v>
      </c>
      <c r="B6937" s="6" t="s">
        <v>361</v>
      </c>
      <c r="C6937" s="55" t="s">
        <v>8972</v>
      </c>
      <c r="D6937" s="55" t="s">
        <v>8973</v>
      </c>
      <c r="E6937" s="55" t="s">
        <v>8974</v>
      </c>
      <c r="F6937" s="6" t="s">
        <v>8975</v>
      </c>
      <c r="G6937" s="6" t="s">
        <v>11450</v>
      </c>
      <c r="H6937" s="67">
        <v>0</v>
      </c>
      <c r="I6937" s="16">
        <v>470000000</v>
      </c>
      <c r="J6937" s="56" t="s">
        <v>229</v>
      </c>
      <c r="K6937" s="6" t="s">
        <v>7699</v>
      </c>
      <c r="L6937" s="6" t="s">
        <v>8913</v>
      </c>
      <c r="M6937" s="162" t="s">
        <v>230</v>
      </c>
      <c r="N6937" s="65" t="s">
        <v>8914</v>
      </c>
      <c r="O6937" s="6" t="s">
        <v>8976</v>
      </c>
      <c r="P6937" s="58" t="s">
        <v>241</v>
      </c>
      <c r="Q6937" s="6" t="s">
        <v>234</v>
      </c>
      <c r="R6937" s="6">
        <v>2719</v>
      </c>
      <c r="S6937" s="63">
        <v>60</v>
      </c>
      <c r="T6937" s="4">
        <v>0</v>
      </c>
      <c r="U6937" s="4">
        <f t="shared" ref="U6937:U6940" si="318">T6937*1.12</f>
        <v>0</v>
      </c>
      <c r="V6937" s="3"/>
      <c r="W6937" s="3">
        <v>2014</v>
      </c>
      <c r="X6937" s="3" t="s">
        <v>14785</v>
      </c>
    </row>
    <row r="6938" spans="1:24" ht="102">
      <c r="A6938" s="3" t="s">
        <v>16451</v>
      </c>
      <c r="B6938" s="6" t="s">
        <v>361</v>
      </c>
      <c r="C6938" s="55" t="s">
        <v>8972</v>
      </c>
      <c r="D6938" s="55" t="s">
        <v>8973</v>
      </c>
      <c r="E6938" s="55" t="s">
        <v>8974</v>
      </c>
      <c r="F6938" s="6" t="s">
        <v>8975</v>
      </c>
      <c r="G6938" s="3" t="s">
        <v>11450</v>
      </c>
      <c r="H6938" s="67">
        <v>0</v>
      </c>
      <c r="I6938" s="16">
        <v>470000000</v>
      </c>
      <c r="J6938" s="56" t="s">
        <v>229</v>
      </c>
      <c r="K6938" s="6" t="s">
        <v>10120</v>
      </c>
      <c r="L6938" s="6" t="s">
        <v>8913</v>
      </c>
      <c r="M6938" s="162" t="s">
        <v>230</v>
      </c>
      <c r="N6938" s="65" t="s">
        <v>8914</v>
      </c>
      <c r="O6938" s="6" t="s">
        <v>8976</v>
      </c>
      <c r="P6938" s="58" t="s">
        <v>241</v>
      </c>
      <c r="Q6938" s="6" t="s">
        <v>234</v>
      </c>
      <c r="R6938" s="6">
        <v>2719</v>
      </c>
      <c r="S6938" s="63">
        <v>72</v>
      </c>
      <c r="T6938" s="4">
        <v>0</v>
      </c>
      <c r="U6938" s="4">
        <f t="shared" si="318"/>
        <v>0</v>
      </c>
      <c r="V6938" s="3"/>
      <c r="W6938" s="3">
        <v>2014</v>
      </c>
      <c r="X6938" s="3" t="s">
        <v>12076</v>
      </c>
    </row>
    <row r="6939" spans="1:24" ht="102">
      <c r="A6939" s="3" t="s">
        <v>2936</v>
      </c>
      <c r="B6939" s="6" t="s">
        <v>361</v>
      </c>
      <c r="C6939" s="55" t="s">
        <v>8977</v>
      </c>
      <c r="D6939" s="55" t="s">
        <v>8973</v>
      </c>
      <c r="E6939" s="55" t="s">
        <v>8978</v>
      </c>
      <c r="F6939" s="64"/>
      <c r="G6939" s="6" t="s">
        <v>11450</v>
      </c>
      <c r="H6939" s="67">
        <v>0</v>
      </c>
      <c r="I6939" s="16">
        <v>470000000</v>
      </c>
      <c r="J6939" s="56" t="s">
        <v>229</v>
      </c>
      <c r="K6939" s="6" t="s">
        <v>7699</v>
      </c>
      <c r="L6939" s="6" t="s">
        <v>8913</v>
      </c>
      <c r="M6939" s="162" t="s">
        <v>230</v>
      </c>
      <c r="N6939" s="65" t="s">
        <v>8914</v>
      </c>
      <c r="O6939" s="6" t="s">
        <v>8976</v>
      </c>
      <c r="P6939" s="58" t="s">
        <v>241</v>
      </c>
      <c r="Q6939" s="6" t="s">
        <v>234</v>
      </c>
      <c r="R6939" s="6">
        <v>138</v>
      </c>
      <c r="S6939" s="63">
        <v>2980</v>
      </c>
      <c r="T6939" s="4">
        <v>0</v>
      </c>
      <c r="U6939" s="4">
        <f t="shared" si="318"/>
        <v>0</v>
      </c>
      <c r="V6939" s="3"/>
      <c r="W6939" s="3">
        <v>2014</v>
      </c>
      <c r="X6939" s="3" t="s">
        <v>14785</v>
      </c>
    </row>
    <row r="6940" spans="1:24" ht="102">
      <c r="A6940" s="3" t="s">
        <v>16452</v>
      </c>
      <c r="B6940" s="6" t="s">
        <v>361</v>
      </c>
      <c r="C6940" s="55" t="s">
        <v>8977</v>
      </c>
      <c r="D6940" s="55" t="s">
        <v>8973</v>
      </c>
      <c r="E6940" s="55" t="s">
        <v>8978</v>
      </c>
      <c r="F6940" s="64"/>
      <c r="G6940" s="3" t="s">
        <v>11450</v>
      </c>
      <c r="H6940" s="67">
        <v>0</v>
      </c>
      <c r="I6940" s="16">
        <v>470000000</v>
      </c>
      <c r="J6940" s="56" t="s">
        <v>229</v>
      </c>
      <c r="K6940" s="6" t="s">
        <v>10120</v>
      </c>
      <c r="L6940" s="6" t="s">
        <v>8913</v>
      </c>
      <c r="M6940" s="162" t="s">
        <v>230</v>
      </c>
      <c r="N6940" s="65" t="s">
        <v>8914</v>
      </c>
      <c r="O6940" s="6" t="s">
        <v>8976</v>
      </c>
      <c r="P6940" s="58" t="s">
        <v>241</v>
      </c>
      <c r="Q6940" s="6" t="s">
        <v>234</v>
      </c>
      <c r="R6940" s="6">
        <v>138</v>
      </c>
      <c r="S6940" s="63">
        <v>3576</v>
      </c>
      <c r="T6940" s="4">
        <f t="shared" ref="T6940" si="319">R6940*S6940</f>
        <v>493488</v>
      </c>
      <c r="U6940" s="1">
        <f t="shared" si="318"/>
        <v>552706.56000000006</v>
      </c>
      <c r="V6940" s="3"/>
      <c r="W6940" s="3">
        <v>2014</v>
      </c>
      <c r="X6940" s="3"/>
    </row>
    <row r="6941" spans="1:24" ht="89.25">
      <c r="A6941" s="3" t="s">
        <v>2937</v>
      </c>
      <c r="B6941" s="6" t="s">
        <v>361</v>
      </c>
      <c r="C6941" s="55" t="s">
        <v>8979</v>
      </c>
      <c r="D6941" s="55" t="s">
        <v>8980</v>
      </c>
      <c r="E6941" s="55" t="s">
        <v>8981</v>
      </c>
      <c r="F6941" s="6" t="s">
        <v>8982</v>
      </c>
      <c r="G6941" s="6" t="s">
        <v>11450</v>
      </c>
      <c r="H6941" s="67">
        <v>0.75</v>
      </c>
      <c r="I6941" s="16">
        <v>470000000</v>
      </c>
      <c r="J6941" s="56" t="s">
        <v>229</v>
      </c>
      <c r="K6941" s="6" t="s">
        <v>7699</v>
      </c>
      <c r="L6941" s="6" t="s">
        <v>8913</v>
      </c>
      <c r="M6941" s="162" t="s">
        <v>230</v>
      </c>
      <c r="N6941" s="65" t="s">
        <v>8914</v>
      </c>
      <c r="O6941" s="16" t="s">
        <v>8915</v>
      </c>
      <c r="P6941" s="58" t="s">
        <v>241</v>
      </c>
      <c r="Q6941" s="6" t="s">
        <v>234</v>
      </c>
      <c r="R6941" s="6">
        <v>102</v>
      </c>
      <c r="S6941" s="63">
        <v>2800</v>
      </c>
      <c r="T6941" s="4">
        <v>0</v>
      </c>
      <c r="U6941" s="4">
        <f t="shared" si="308"/>
        <v>0</v>
      </c>
      <c r="V6941" s="3" t="s">
        <v>362</v>
      </c>
      <c r="W6941" s="3">
        <v>2014</v>
      </c>
      <c r="X6941" s="3" t="s">
        <v>12076</v>
      </c>
    </row>
    <row r="6942" spans="1:24" ht="102">
      <c r="A6942" s="3" t="s">
        <v>2938</v>
      </c>
      <c r="B6942" s="6" t="s">
        <v>361</v>
      </c>
      <c r="C6942" s="55" t="s">
        <v>8983</v>
      </c>
      <c r="D6942" s="55" t="s">
        <v>8984</v>
      </c>
      <c r="E6942" s="55" t="s">
        <v>8985</v>
      </c>
      <c r="F6942" s="6"/>
      <c r="G6942" s="6" t="s">
        <v>11450</v>
      </c>
      <c r="H6942" s="67">
        <v>0.75</v>
      </c>
      <c r="I6942" s="16">
        <v>470000000</v>
      </c>
      <c r="J6942" s="56" t="s">
        <v>229</v>
      </c>
      <c r="K6942" s="6" t="s">
        <v>7699</v>
      </c>
      <c r="L6942" s="6" t="s">
        <v>8913</v>
      </c>
      <c r="M6942" s="162" t="s">
        <v>230</v>
      </c>
      <c r="N6942" s="65" t="s">
        <v>8914</v>
      </c>
      <c r="O6942" s="16" t="s">
        <v>8915</v>
      </c>
      <c r="P6942" s="58" t="s">
        <v>241</v>
      </c>
      <c r="Q6942" s="6" t="s">
        <v>234</v>
      </c>
      <c r="R6942" s="6">
        <v>82</v>
      </c>
      <c r="S6942" s="63">
        <v>1670</v>
      </c>
      <c r="T6942" s="4">
        <v>0</v>
      </c>
      <c r="U6942" s="4">
        <f t="shared" si="308"/>
        <v>0</v>
      </c>
      <c r="V6942" s="3" t="s">
        <v>362</v>
      </c>
      <c r="W6942" s="3">
        <v>2014</v>
      </c>
      <c r="X6942" s="3" t="s">
        <v>14785</v>
      </c>
    </row>
    <row r="6943" spans="1:24" ht="102">
      <c r="A6943" s="3" t="s">
        <v>16453</v>
      </c>
      <c r="B6943" s="6" t="s">
        <v>361</v>
      </c>
      <c r="C6943" s="55" t="s">
        <v>8983</v>
      </c>
      <c r="D6943" s="55" t="s">
        <v>8984</v>
      </c>
      <c r="E6943" s="55" t="s">
        <v>8985</v>
      </c>
      <c r="F6943" s="6"/>
      <c r="G6943" s="3" t="s">
        <v>11450</v>
      </c>
      <c r="H6943" s="67">
        <v>0.75</v>
      </c>
      <c r="I6943" s="16">
        <v>470000000</v>
      </c>
      <c r="J6943" s="56" t="s">
        <v>229</v>
      </c>
      <c r="K6943" s="6" t="s">
        <v>16447</v>
      </c>
      <c r="L6943" s="6" t="s">
        <v>8913</v>
      </c>
      <c r="M6943" s="162" t="s">
        <v>230</v>
      </c>
      <c r="N6943" s="65" t="s">
        <v>8914</v>
      </c>
      <c r="O6943" s="16" t="s">
        <v>8915</v>
      </c>
      <c r="P6943" s="58" t="s">
        <v>241</v>
      </c>
      <c r="Q6943" s="6" t="s">
        <v>234</v>
      </c>
      <c r="R6943" s="6">
        <v>82</v>
      </c>
      <c r="S6943" s="63">
        <v>2004</v>
      </c>
      <c r="T6943" s="4">
        <f t="shared" ref="T6943" si="320">R6943*S6943</f>
        <v>164328</v>
      </c>
      <c r="U6943" s="1">
        <f t="shared" si="308"/>
        <v>184047.36000000002</v>
      </c>
      <c r="V6943" s="3" t="s">
        <v>362</v>
      </c>
      <c r="W6943" s="3">
        <v>2014</v>
      </c>
      <c r="X6943" s="3"/>
    </row>
    <row r="6944" spans="1:24" ht="102">
      <c r="A6944" s="3" t="s">
        <v>2939</v>
      </c>
      <c r="B6944" s="6" t="s">
        <v>361</v>
      </c>
      <c r="C6944" s="55" t="s">
        <v>8986</v>
      </c>
      <c r="D6944" s="55" t="s">
        <v>8987</v>
      </c>
      <c r="E6944" s="55" t="s">
        <v>8988</v>
      </c>
      <c r="F6944" s="64" t="s">
        <v>8989</v>
      </c>
      <c r="G6944" s="6" t="s">
        <v>11450</v>
      </c>
      <c r="H6944" s="67">
        <v>0</v>
      </c>
      <c r="I6944" s="16">
        <v>470000000</v>
      </c>
      <c r="J6944" s="56" t="s">
        <v>229</v>
      </c>
      <c r="K6944" s="6" t="s">
        <v>633</v>
      </c>
      <c r="L6944" s="6" t="s">
        <v>8913</v>
      </c>
      <c r="M6944" s="162" t="s">
        <v>230</v>
      </c>
      <c r="N6944" s="65" t="s">
        <v>8914</v>
      </c>
      <c r="O6944" s="6" t="s">
        <v>8976</v>
      </c>
      <c r="P6944" s="58" t="s">
        <v>241</v>
      </c>
      <c r="Q6944" s="6" t="s">
        <v>234</v>
      </c>
      <c r="R6944" s="6">
        <v>134</v>
      </c>
      <c r="S6944" s="63">
        <v>970</v>
      </c>
      <c r="T6944" s="4">
        <v>0</v>
      </c>
      <c r="U6944" s="4">
        <f t="shared" si="308"/>
        <v>0</v>
      </c>
      <c r="V6944" s="3"/>
      <c r="W6944" s="3">
        <v>2014</v>
      </c>
      <c r="X6944" s="3">
        <v>11</v>
      </c>
    </row>
    <row r="6945" spans="1:24" ht="102">
      <c r="A6945" s="3" t="s">
        <v>14036</v>
      </c>
      <c r="B6945" s="6" t="s">
        <v>361</v>
      </c>
      <c r="C6945" s="55" t="s">
        <v>8986</v>
      </c>
      <c r="D6945" s="55" t="s">
        <v>8987</v>
      </c>
      <c r="E6945" s="55" t="s">
        <v>8988</v>
      </c>
      <c r="F6945" s="64" t="s">
        <v>8989</v>
      </c>
      <c r="G6945" s="6" t="s">
        <v>11450</v>
      </c>
      <c r="H6945" s="67">
        <v>0</v>
      </c>
      <c r="I6945" s="16">
        <v>470000000</v>
      </c>
      <c r="J6945" s="56" t="s">
        <v>229</v>
      </c>
      <c r="K6945" s="6" t="s">
        <v>9453</v>
      </c>
      <c r="L6945" s="6" t="s">
        <v>8913</v>
      </c>
      <c r="M6945" s="162" t="s">
        <v>230</v>
      </c>
      <c r="N6945" s="65" t="s">
        <v>8914</v>
      </c>
      <c r="O6945" s="6" t="s">
        <v>8976</v>
      </c>
      <c r="P6945" s="58" t="s">
        <v>241</v>
      </c>
      <c r="Q6945" s="6" t="s">
        <v>234</v>
      </c>
      <c r="R6945" s="6">
        <v>134</v>
      </c>
      <c r="S6945" s="63">
        <v>970</v>
      </c>
      <c r="T6945" s="4">
        <f>R6945*S6945</f>
        <v>129980</v>
      </c>
      <c r="U6945" s="1">
        <f>T6945*1.12</f>
        <v>145577.60000000001</v>
      </c>
      <c r="V6945" s="3"/>
      <c r="W6945" s="3">
        <v>2014</v>
      </c>
      <c r="X6945" s="3"/>
    </row>
    <row r="6946" spans="1:24" ht="89.25">
      <c r="A6946" s="3" t="s">
        <v>2940</v>
      </c>
      <c r="B6946" s="6" t="s">
        <v>361</v>
      </c>
      <c r="C6946" s="55" t="s">
        <v>8990</v>
      </c>
      <c r="D6946" s="55" t="s">
        <v>8991</v>
      </c>
      <c r="E6946" s="55" t="s">
        <v>8992</v>
      </c>
      <c r="F6946" s="6"/>
      <c r="G6946" s="6" t="s">
        <v>11450</v>
      </c>
      <c r="H6946" s="67">
        <v>0.75</v>
      </c>
      <c r="I6946" s="16">
        <v>470000000</v>
      </c>
      <c r="J6946" s="56" t="s">
        <v>229</v>
      </c>
      <c r="K6946" s="6" t="s">
        <v>7699</v>
      </c>
      <c r="L6946" s="6" t="s">
        <v>8913</v>
      </c>
      <c r="M6946" s="162" t="s">
        <v>230</v>
      </c>
      <c r="N6946" s="65" t="s">
        <v>8914</v>
      </c>
      <c r="O6946" s="16" t="s">
        <v>8915</v>
      </c>
      <c r="P6946" s="58" t="s">
        <v>241</v>
      </c>
      <c r="Q6946" s="6" t="s">
        <v>234</v>
      </c>
      <c r="R6946" s="6">
        <v>600</v>
      </c>
      <c r="S6946" s="63">
        <v>1468.22</v>
      </c>
      <c r="T6946" s="4">
        <v>0</v>
      </c>
      <c r="U6946" s="4">
        <f t="shared" ref="U6946:U6947" si="321">T6946*1.12</f>
        <v>0</v>
      </c>
      <c r="V6946" s="3" t="s">
        <v>362</v>
      </c>
      <c r="W6946" s="3">
        <v>2014</v>
      </c>
      <c r="X6946" s="3" t="s">
        <v>14785</v>
      </c>
    </row>
    <row r="6947" spans="1:24" ht="89.25">
      <c r="A6947" s="3" t="s">
        <v>16454</v>
      </c>
      <c r="B6947" s="6" t="s">
        <v>361</v>
      </c>
      <c r="C6947" s="55" t="s">
        <v>8990</v>
      </c>
      <c r="D6947" s="55" t="s">
        <v>8991</v>
      </c>
      <c r="E6947" s="55" t="s">
        <v>8992</v>
      </c>
      <c r="F6947" s="6"/>
      <c r="G6947" s="3" t="s">
        <v>11450</v>
      </c>
      <c r="H6947" s="67">
        <v>0.75</v>
      </c>
      <c r="I6947" s="16">
        <v>470000000</v>
      </c>
      <c r="J6947" s="56" t="s">
        <v>229</v>
      </c>
      <c r="K6947" s="6" t="s">
        <v>15646</v>
      </c>
      <c r="L6947" s="6" t="s">
        <v>8913</v>
      </c>
      <c r="M6947" s="162" t="s">
        <v>230</v>
      </c>
      <c r="N6947" s="65" t="s">
        <v>8914</v>
      </c>
      <c r="O6947" s="16" t="s">
        <v>8915</v>
      </c>
      <c r="P6947" s="58" t="s">
        <v>241</v>
      </c>
      <c r="Q6947" s="6" t="s">
        <v>234</v>
      </c>
      <c r="R6947" s="6">
        <v>600</v>
      </c>
      <c r="S6947" s="63">
        <v>1800</v>
      </c>
      <c r="T6947" s="4">
        <f t="shared" ref="T6947" si="322">R6947*S6947</f>
        <v>1080000</v>
      </c>
      <c r="U6947" s="1">
        <f t="shared" si="321"/>
        <v>1209600</v>
      </c>
      <c r="V6947" s="3" t="s">
        <v>362</v>
      </c>
      <c r="W6947" s="3">
        <v>2014</v>
      </c>
      <c r="X6947" s="3"/>
    </row>
    <row r="6948" spans="1:24" ht="89.25">
      <c r="A6948" s="3" t="s">
        <v>2941</v>
      </c>
      <c r="B6948" s="6" t="s">
        <v>361</v>
      </c>
      <c r="C6948" s="55" t="s">
        <v>8993</v>
      </c>
      <c r="D6948" s="55" t="s">
        <v>8994</v>
      </c>
      <c r="E6948" s="55" t="s">
        <v>8995</v>
      </c>
      <c r="F6948" s="64"/>
      <c r="G6948" s="6" t="s">
        <v>11449</v>
      </c>
      <c r="H6948" s="67">
        <v>0.75</v>
      </c>
      <c r="I6948" s="16">
        <v>470000000</v>
      </c>
      <c r="J6948" s="56" t="s">
        <v>229</v>
      </c>
      <c r="K6948" s="6" t="s">
        <v>641</v>
      </c>
      <c r="L6948" s="6" t="s">
        <v>8913</v>
      </c>
      <c r="M6948" s="162" t="s">
        <v>230</v>
      </c>
      <c r="N6948" s="65" t="s">
        <v>11427</v>
      </c>
      <c r="O6948" s="16" t="s">
        <v>8915</v>
      </c>
      <c r="P6948" s="58" t="s">
        <v>241</v>
      </c>
      <c r="Q6948" s="6" t="s">
        <v>234</v>
      </c>
      <c r="R6948" s="6">
        <v>113610</v>
      </c>
      <c r="S6948" s="63">
        <v>63</v>
      </c>
      <c r="T6948" s="4">
        <v>0</v>
      </c>
      <c r="U6948" s="4">
        <f t="shared" si="308"/>
        <v>0</v>
      </c>
      <c r="V6948" s="3" t="s">
        <v>362</v>
      </c>
      <c r="W6948" s="3">
        <v>2014</v>
      </c>
      <c r="X6948" s="3">
        <v>11</v>
      </c>
    </row>
    <row r="6949" spans="1:24" ht="89.25">
      <c r="A6949" s="3" t="s">
        <v>11815</v>
      </c>
      <c r="B6949" s="6" t="s">
        <v>361</v>
      </c>
      <c r="C6949" s="55" t="s">
        <v>8993</v>
      </c>
      <c r="D6949" s="55" t="s">
        <v>8994</v>
      </c>
      <c r="E6949" s="55" t="s">
        <v>8995</v>
      </c>
      <c r="F6949" s="64"/>
      <c r="G6949" s="6" t="s">
        <v>11449</v>
      </c>
      <c r="H6949" s="67">
        <v>0.75</v>
      </c>
      <c r="I6949" s="16">
        <v>470000000</v>
      </c>
      <c r="J6949" s="56" t="s">
        <v>229</v>
      </c>
      <c r="K6949" s="6" t="s">
        <v>642</v>
      </c>
      <c r="L6949" s="6" t="s">
        <v>8913</v>
      </c>
      <c r="M6949" s="162" t="s">
        <v>230</v>
      </c>
      <c r="N6949" s="65" t="s">
        <v>11427</v>
      </c>
      <c r="O6949" s="16" t="s">
        <v>8915</v>
      </c>
      <c r="P6949" s="58" t="s">
        <v>241</v>
      </c>
      <c r="Q6949" s="6" t="s">
        <v>234</v>
      </c>
      <c r="R6949" s="6">
        <v>113610</v>
      </c>
      <c r="S6949" s="63">
        <v>63</v>
      </c>
      <c r="T6949" s="4">
        <v>0</v>
      </c>
      <c r="U6949" s="1">
        <f>T6949*1.12</f>
        <v>0</v>
      </c>
      <c r="V6949" s="3" t="s">
        <v>362</v>
      </c>
      <c r="W6949" s="3">
        <v>2014</v>
      </c>
      <c r="X6949" s="3">
        <v>11</v>
      </c>
    </row>
    <row r="6950" spans="1:24" ht="89.25">
      <c r="A6950" s="3" t="s">
        <v>16356</v>
      </c>
      <c r="B6950" s="6" t="s">
        <v>361</v>
      </c>
      <c r="C6950" s="55" t="s">
        <v>8993</v>
      </c>
      <c r="D6950" s="55" t="s">
        <v>8994</v>
      </c>
      <c r="E6950" s="55" t="s">
        <v>8995</v>
      </c>
      <c r="F6950" s="64"/>
      <c r="G6950" s="6" t="s">
        <v>11449</v>
      </c>
      <c r="H6950" s="67">
        <v>0.75</v>
      </c>
      <c r="I6950" s="16">
        <v>470000000</v>
      </c>
      <c r="J6950" s="56" t="s">
        <v>229</v>
      </c>
      <c r="K6950" s="6" t="s">
        <v>9453</v>
      </c>
      <c r="L6950" s="6" t="s">
        <v>8913</v>
      </c>
      <c r="M6950" s="162" t="s">
        <v>230</v>
      </c>
      <c r="N6950" s="65" t="s">
        <v>11427</v>
      </c>
      <c r="O6950" s="16" t="s">
        <v>8915</v>
      </c>
      <c r="P6950" s="58" t="s">
        <v>241</v>
      </c>
      <c r="Q6950" s="6" t="s">
        <v>234</v>
      </c>
      <c r="R6950" s="6">
        <v>113610</v>
      </c>
      <c r="S6950" s="63">
        <v>63</v>
      </c>
      <c r="T6950" s="4">
        <v>0</v>
      </c>
      <c r="U6950" s="4">
        <f>T6950*1.12</f>
        <v>0</v>
      </c>
      <c r="V6950" s="3" t="s">
        <v>362</v>
      </c>
      <c r="W6950" s="3">
        <v>2014</v>
      </c>
      <c r="X6950" s="3" t="s">
        <v>16467</v>
      </c>
    </row>
    <row r="6951" spans="1:24" ht="89.25">
      <c r="A6951" s="3" t="s">
        <v>16466</v>
      </c>
      <c r="B6951" s="6" t="s">
        <v>361</v>
      </c>
      <c r="C6951" s="55" t="s">
        <v>8993</v>
      </c>
      <c r="D6951" s="55" t="s">
        <v>8994</v>
      </c>
      <c r="E6951" s="55" t="s">
        <v>8995</v>
      </c>
      <c r="F6951" s="64"/>
      <c r="G6951" s="6" t="s">
        <v>11450</v>
      </c>
      <c r="H6951" s="67">
        <v>0.75</v>
      </c>
      <c r="I6951" s="16">
        <v>470000000</v>
      </c>
      <c r="J6951" s="56" t="s">
        <v>229</v>
      </c>
      <c r="K6951" s="6" t="s">
        <v>9453</v>
      </c>
      <c r="L6951" s="6" t="s">
        <v>8913</v>
      </c>
      <c r="M6951" s="162" t="s">
        <v>230</v>
      </c>
      <c r="N6951" s="65" t="s">
        <v>11427</v>
      </c>
      <c r="O6951" s="16" t="s">
        <v>8915</v>
      </c>
      <c r="P6951" s="58" t="s">
        <v>241</v>
      </c>
      <c r="Q6951" s="6" t="s">
        <v>234</v>
      </c>
      <c r="R6951" s="6">
        <v>22000</v>
      </c>
      <c r="S6951" s="63">
        <v>63</v>
      </c>
      <c r="T6951" s="4">
        <f>R6951*S6951</f>
        <v>1386000</v>
      </c>
      <c r="U6951" s="4">
        <f>T6951*1.12</f>
        <v>1552320.0000000002</v>
      </c>
      <c r="V6951" s="3" t="s">
        <v>362</v>
      </c>
      <c r="W6951" s="3">
        <v>2014</v>
      </c>
      <c r="X6951" s="3"/>
    </row>
    <row r="6952" spans="1:24" ht="102">
      <c r="A6952" s="3" t="s">
        <v>2942</v>
      </c>
      <c r="B6952" s="6" t="s">
        <v>361</v>
      </c>
      <c r="C6952" s="55" t="s">
        <v>8996</v>
      </c>
      <c r="D6952" s="55" t="s">
        <v>8997</v>
      </c>
      <c r="E6952" s="55" t="s">
        <v>8998</v>
      </c>
      <c r="F6952" s="6" t="s">
        <v>8999</v>
      </c>
      <c r="G6952" s="6" t="s">
        <v>11450</v>
      </c>
      <c r="H6952" s="67">
        <v>0</v>
      </c>
      <c r="I6952" s="16">
        <v>470000000</v>
      </c>
      <c r="J6952" s="56" t="s">
        <v>229</v>
      </c>
      <c r="K6952" s="6" t="s">
        <v>8950</v>
      </c>
      <c r="L6952" s="6" t="s">
        <v>8913</v>
      </c>
      <c r="M6952" s="162" t="s">
        <v>230</v>
      </c>
      <c r="N6952" s="65" t="s">
        <v>8914</v>
      </c>
      <c r="O6952" s="6" t="s">
        <v>8976</v>
      </c>
      <c r="P6952" s="58" t="s">
        <v>241</v>
      </c>
      <c r="Q6952" s="6" t="s">
        <v>234</v>
      </c>
      <c r="R6952" s="6">
        <v>2014</v>
      </c>
      <c r="S6952" s="63">
        <v>795</v>
      </c>
      <c r="T6952" s="4">
        <v>0</v>
      </c>
      <c r="U6952" s="4">
        <f t="shared" ref="U6952:U6953" si="323">T6952*1.12</f>
        <v>0</v>
      </c>
      <c r="V6952" s="3"/>
      <c r="W6952" s="3">
        <v>2014</v>
      </c>
      <c r="X6952" s="3" t="s">
        <v>14785</v>
      </c>
    </row>
    <row r="6953" spans="1:24" ht="102">
      <c r="A6953" s="3" t="s">
        <v>16455</v>
      </c>
      <c r="B6953" s="6" t="s">
        <v>361</v>
      </c>
      <c r="C6953" s="55" t="s">
        <v>8996</v>
      </c>
      <c r="D6953" s="55" t="s">
        <v>8997</v>
      </c>
      <c r="E6953" s="55" t="s">
        <v>8998</v>
      </c>
      <c r="F6953" s="6" t="s">
        <v>8999</v>
      </c>
      <c r="G6953" s="3" t="s">
        <v>11450</v>
      </c>
      <c r="H6953" s="67">
        <v>0</v>
      </c>
      <c r="I6953" s="16">
        <v>470000000</v>
      </c>
      <c r="J6953" s="56" t="s">
        <v>229</v>
      </c>
      <c r="K6953" s="6" t="s">
        <v>16447</v>
      </c>
      <c r="L6953" s="6" t="s">
        <v>8913</v>
      </c>
      <c r="M6953" s="162" t="s">
        <v>230</v>
      </c>
      <c r="N6953" s="65" t="s">
        <v>8914</v>
      </c>
      <c r="O6953" s="6" t="s">
        <v>8976</v>
      </c>
      <c r="P6953" s="58" t="s">
        <v>241</v>
      </c>
      <c r="Q6953" s="6" t="s">
        <v>234</v>
      </c>
      <c r="R6953" s="6">
        <v>2014</v>
      </c>
      <c r="S6953" s="63">
        <v>954</v>
      </c>
      <c r="T6953" s="4">
        <v>0</v>
      </c>
      <c r="U6953" s="4">
        <f t="shared" si="323"/>
        <v>0</v>
      </c>
      <c r="V6953" s="3"/>
      <c r="W6953" s="3">
        <v>2014</v>
      </c>
      <c r="X6953" s="3" t="s">
        <v>12076</v>
      </c>
    </row>
    <row r="6954" spans="1:24" ht="102">
      <c r="A6954" s="3" t="s">
        <v>2943</v>
      </c>
      <c r="B6954" s="6" t="s">
        <v>361</v>
      </c>
      <c r="C6954" s="55" t="s">
        <v>9000</v>
      </c>
      <c r="D6954" s="55" t="s">
        <v>8997</v>
      </c>
      <c r="E6954" s="55" t="s">
        <v>9001</v>
      </c>
      <c r="F6954" s="64"/>
      <c r="G6954" s="6" t="s">
        <v>11450</v>
      </c>
      <c r="H6954" s="67">
        <v>0</v>
      </c>
      <c r="I6954" s="16">
        <v>470000000</v>
      </c>
      <c r="J6954" s="56" t="s">
        <v>229</v>
      </c>
      <c r="K6954" s="6" t="s">
        <v>641</v>
      </c>
      <c r="L6954" s="6" t="s">
        <v>8913</v>
      </c>
      <c r="M6954" s="162" t="s">
        <v>230</v>
      </c>
      <c r="N6954" s="65" t="s">
        <v>8914</v>
      </c>
      <c r="O6954" s="6" t="s">
        <v>8976</v>
      </c>
      <c r="P6954" s="58" t="s">
        <v>241</v>
      </c>
      <c r="Q6954" s="6" t="s">
        <v>234</v>
      </c>
      <c r="R6954" s="6">
        <v>134</v>
      </c>
      <c r="S6954" s="63">
        <v>700</v>
      </c>
      <c r="T6954" s="4">
        <f t="shared" si="307"/>
        <v>93800</v>
      </c>
      <c r="U6954" s="1">
        <f t="shared" si="308"/>
        <v>105056.00000000001</v>
      </c>
      <c r="V6954" s="3"/>
      <c r="W6954" s="3">
        <v>2014</v>
      </c>
      <c r="X6954" s="3"/>
    </row>
    <row r="6955" spans="1:24" ht="102">
      <c r="A6955" s="3" t="s">
        <v>2944</v>
      </c>
      <c r="B6955" s="6" t="s">
        <v>361</v>
      </c>
      <c r="C6955" s="55" t="s">
        <v>9002</v>
      </c>
      <c r="D6955" s="55" t="s">
        <v>9003</v>
      </c>
      <c r="E6955" s="55" t="s">
        <v>9004</v>
      </c>
      <c r="F6955" s="6" t="s">
        <v>9005</v>
      </c>
      <c r="G6955" s="6" t="s">
        <v>11450</v>
      </c>
      <c r="H6955" s="67">
        <v>0</v>
      </c>
      <c r="I6955" s="16">
        <v>470000000</v>
      </c>
      <c r="J6955" s="56" t="s">
        <v>229</v>
      </c>
      <c r="K6955" s="6" t="s">
        <v>8901</v>
      </c>
      <c r="L6955" s="6" t="s">
        <v>8913</v>
      </c>
      <c r="M6955" s="162" t="s">
        <v>230</v>
      </c>
      <c r="N6955" s="65" t="s">
        <v>8914</v>
      </c>
      <c r="O6955" s="6" t="s">
        <v>8976</v>
      </c>
      <c r="P6955" s="58" t="s">
        <v>241</v>
      </c>
      <c r="Q6955" s="6" t="s">
        <v>234</v>
      </c>
      <c r="R6955" s="5">
        <v>1802</v>
      </c>
      <c r="S6955" s="63">
        <v>700</v>
      </c>
      <c r="T6955" s="4">
        <f t="shared" si="307"/>
        <v>1261400</v>
      </c>
      <c r="U6955" s="1">
        <f t="shared" si="308"/>
        <v>1412768.0000000002</v>
      </c>
      <c r="V6955" s="3"/>
      <c r="W6955" s="3">
        <v>2014</v>
      </c>
      <c r="X6955" s="3"/>
    </row>
    <row r="6956" spans="1:24" ht="102">
      <c r="A6956" s="3" t="s">
        <v>2945</v>
      </c>
      <c r="B6956" s="6" t="s">
        <v>361</v>
      </c>
      <c r="C6956" s="55" t="s">
        <v>9002</v>
      </c>
      <c r="D6956" s="55" t="s">
        <v>9003</v>
      </c>
      <c r="E6956" s="55" t="s">
        <v>9004</v>
      </c>
      <c r="F6956" s="6" t="s">
        <v>9006</v>
      </c>
      <c r="G6956" s="6" t="s">
        <v>11450</v>
      </c>
      <c r="H6956" s="67">
        <v>0</v>
      </c>
      <c r="I6956" s="16">
        <v>470000000</v>
      </c>
      <c r="J6956" s="56" t="s">
        <v>229</v>
      </c>
      <c r="K6956" s="6" t="s">
        <v>9007</v>
      </c>
      <c r="L6956" s="6" t="s">
        <v>8913</v>
      </c>
      <c r="M6956" s="162" t="s">
        <v>230</v>
      </c>
      <c r="N6956" s="65" t="s">
        <v>8914</v>
      </c>
      <c r="O6956" s="6" t="s">
        <v>8976</v>
      </c>
      <c r="P6956" s="58" t="s">
        <v>241</v>
      </c>
      <c r="Q6956" s="6" t="s">
        <v>234</v>
      </c>
      <c r="R6956" s="6">
        <v>212</v>
      </c>
      <c r="S6956" s="63">
        <v>700</v>
      </c>
      <c r="T6956" s="4">
        <f t="shared" si="307"/>
        <v>148400</v>
      </c>
      <c r="U6956" s="1">
        <f t="shared" si="308"/>
        <v>166208.00000000003</v>
      </c>
      <c r="V6956" s="3"/>
      <c r="W6956" s="3">
        <v>2014</v>
      </c>
      <c r="X6956" s="3"/>
    </row>
    <row r="6957" spans="1:24" ht="102">
      <c r="A6957" s="3" t="s">
        <v>2946</v>
      </c>
      <c r="B6957" s="6" t="s">
        <v>361</v>
      </c>
      <c r="C6957" s="55" t="s">
        <v>9008</v>
      </c>
      <c r="D6957" s="55" t="s">
        <v>9009</v>
      </c>
      <c r="E6957" s="55" t="s">
        <v>9010</v>
      </c>
      <c r="F6957" s="66" t="s">
        <v>9011</v>
      </c>
      <c r="G6957" s="6" t="s">
        <v>11450</v>
      </c>
      <c r="H6957" s="67">
        <v>0</v>
      </c>
      <c r="I6957" s="16">
        <v>470000000</v>
      </c>
      <c r="J6957" s="56" t="s">
        <v>229</v>
      </c>
      <c r="K6957" s="6" t="s">
        <v>7699</v>
      </c>
      <c r="L6957" s="6" t="s">
        <v>8913</v>
      </c>
      <c r="M6957" s="162" t="s">
        <v>230</v>
      </c>
      <c r="N6957" s="65" t="s">
        <v>8914</v>
      </c>
      <c r="O6957" s="6" t="s">
        <v>8976</v>
      </c>
      <c r="P6957" s="58" t="s">
        <v>241</v>
      </c>
      <c r="Q6957" s="6" t="s">
        <v>234</v>
      </c>
      <c r="R6957" s="6">
        <v>1977</v>
      </c>
      <c r="S6957" s="63">
        <v>600</v>
      </c>
      <c r="T6957" s="4">
        <v>0</v>
      </c>
      <c r="U6957" s="4">
        <f t="shared" si="308"/>
        <v>0</v>
      </c>
      <c r="V6957" s="3"/>
      <c r="W6957" s="3">
        <v>2014</v>
      </c>
      <c r="X6957" s="3" t="s">
        <v>14785</v>
      </c>
    </row>
    <row r="6958" spans="1:24" ht="102">
      <c r="A6958" s="3" t="s">
        <v>16456</v>
      </c>
      <c r="B6958" s="6" t="s">
        <v>361</v>
      </c>
      <c r="C6958" s="55" t="s">
        <v>9008</v>
      </c>
      <c r="D6958" s="55" t="s">
        <v>9009</v>
      </c>
      <c r="E6958" s="55" t="s">
        <v>9010</v>
      </c>
      <c r="F6958" s="66" t="s">
        <v>9011</v>
      </c>
      <c r="G6958" s="3" t="s">
        <v>11450</v>
      </c>
      <c r="H6958" s="67">
        <v>0</v>
      </c>
      <c r="I6958" s="16">
        <v>470000000</v>
      </c>
      <c r="J6958" s="56" t="s">
        <v>229</v>
      </c>
      <c r="K6958" s="6" t="s">
        <v>16447</v>
      </c>
      <c r="L6958" s="6" t="s">
        <v>8913</v>
      </c>
      <c r="M6958" s="162" t="s">
        <v>230</v>
      </c>
      <c r="N6958" s="65" t="s">
        <v>8914</v>
      </c>
      <c r="O6958" s="6" t="s">
        <v>8976</v>
      </c>
      <c r="P6958" s="58" t="s">
        <v>241</v>
      </c>
      <c r="Q6958" s="6" t="s">
        <v>234</v>
      </c>
      <c r="R6958" s="6">
        <v>1977</v>
      </c>
      <c r="S6958" s="63">
        <v>958.8</v>
      </c>
      <c r="T6958" s="4">
        <f t="shared" ref="T6958" si="324">R6958*S6958</f>
        <v>1895547.5999999999</v>
      </c>
      <c r="U6958" s="1">
        <f t="shared" si="308"/>
        <v>2123013.3119999999</v>
      </c>
      <c r="V6958" s="3"/>
      <c r="W6958" s="3">
        <v>2014</v>
      </c>
      <c r="X6958" s="3"/>
    </row>
    <row r="6959" spans="1:24" ht="204">
      <c r="A6959" s="3" t="s">
        <v>2947</v>
      </c>
      <c r="B6959" s="6" t="s">
        <v>361</v>
      </c>
      <c r="C6959" s="55" t="s">
        <v>9012</v>
      </c>
      <c r="D6959" s="55" t="s">
        <v>9013</v>
      </c>
      <c r="E6959" s="55" t="s">
        <v>9014</v>
      </c>
      <c r="F6959" s="6" t="s">
        <v>9015</v>
      </c>
      <c r="G6959" s="6" t="s">
        <v>11450</v>
      </c>
      <c r="H6959" s="67">
        <v>0</v>
      </c>
      <c r="I6959" s="16">
        <v>470000000</v>
      </c>
      <c r="J6959" s="56" t="s">
        <v>229</v>
      </c>
      <c r="K6959" s="6" t="s">
        <v>9016</v>
      </c>
      <c r="L6959" s="6" t="s">
        <v>8913</v>
      </c>
      <c r="M6959" s="162" t="s">
        <v>230</v>
      </c>
      <c r="N6959" s="65" t="s">
        <v>8914</v>
      </c>
      <c r="O6959" s="6" t="s">
        <v>8976</v>
      </c>
      <c r="P6959" s="58" t="s">
        <v>241</v>
      </c>
      <c r="Q6959" s="6" t="s">
        <v>234</v>
      </c>
      <c r="R6959" s="6">
        <v>99</v>
      </c>
      <c r="S6959" s="63">
        <v>9500</v>
      </c>
      <c r="T6959" s="4">
        <f t="shared" si="307"/>
        <v>940500</v>
      </c>
      <c r="U6959" s="1">
        <f t="shared" si="308"/>
        <v>1053360</v>
      </c>
      <c r="V6959" s="3"/>
      <c r="W6959" s="3">
        <v>2014</v>
      </c>
      <c r="X6959" s="3"/>
    </row>
    <row r="6960" spans="1:24" ht="102">
      <c r="A6960" s="3" t="s">
        <v>2948</v>
      </c>
      <c r="B6960" s="6" t="s">
        <v>361</v>
      </c>
      <c r="C6960" s="55" t="s">
        <v>9017</v>
      </c>
      <c r="D6960" s="55" t="s">
        <v>9013</v>
      </c>
      <c r="E6960" s="55" t="s">
        <v>11606</v>
      </c>
      <c r="F6960" s="6" t="s">
        <v>9018</v>
      </c>
      <c r="G6960" s="6" t="s">
        <v>11450</v>
      </c>
      <c r="H6960" s="67">
        <v>0</v>
      </c>
      <c r="I6960" s="16">
        <v>470000000</v>
      </c>
      <c r="J6960" s="56" t="s">
        <v>229</v>
      </c>
      <c r="K6960" s="6" t="s">
        <v>9016</v>
      </c>
      <c r="L6960" s="6" t="s">
        <v>8913</v>
      </c>
      <c r="M6960" s="162" t="s">
        <v>230</v>
      </c>
      <c r="N6960" s="65" t="s">
        <v>8914</v>
      </c>
      <c r="O6960" s="6" t="s">
        <v>8976</v>
      </c>
      <c r="P6960" s="58" t="s">
        <v>241</v>
      </c>
      <c r="Q6960" s="6" t="s">
        <v>234</v>
      </c>
      <c r="R6960" s="6">
        <v>50</v>
      </c>
      <c r="S6960" s="63">
        <v>15500</v>
      </c>
      <c r="T6960" s="4">
        <f t="shared" si="307"/>
        <v>775000</v>
      </c>
      <c r="U6960" s="1">
        <f t="shared" si="308"/>
        <v>868000.00000000012</v>
      </c>
      <c r="V6960" s="3"/>
      <c r="W6960" s="3">
        <v>2014</v>
      </c>
      <c r="X6960" s="3"/>
    </row>
    <row r="6961" spans="1:24" ht="102">
      <c r="A6961" s="3" t="s">
        <v>2949</v>
      </c>
      <c r="B6961" s="6" t="s">
        <v>361</v>
      </c>
      <c r="C6961" s="55" t="s">
        <v>9019</v>
      </c>
      <c r="D6961" s="55" t="s">
        <v>9020</v>
      </c>
      <c r="E6961" s="55" t="s">
        <v>9021</v>
      </c>
      <c r="F6961" s="6" t="s">
        <v>9022</v>
      </c>
      <c r="G6961" s="6" t="s">
        <v>11450</v>
      </c>
      <c r="H6961" s="67">
        <v>0</v>
      </c>
      <c r="I6961" s="16">
        <v>470000000</v>
      </c>
      <c r="J6961" s="56" t="s">
        <v>229</v>
      </c>
      <c r="K6961" s="6" t="s">
        <v>8950</v>
      </c>
      <c r="L6961" s="6" t="s">
        <v>8913</v>
      </c>
      <c r="M6961" s="162" t="s">
        <v>230</v>
      </c>
      <c r="N6961" s="65" t="s">
        <v>8914</v>
      </c>
      <c r="O6961" s="6" t="s">
        <v>8976</v>
      </c>
      <c r="P6961" s="58" t="s">
        <v>241</v>
      </c>
      <c r="Q6961" s="6" t="s">
        <v>234</v>
      </c>
      <c r="R6961" s="6">
        <v>3436</v>
      </c>
      <c r="S6961" s="63">
        <v>950</v>
      </c>
      <c r="T6961" s="4">
        <v>0</v>
      </c>
      <c r="U6961" s="4">
        <f t="shared" si="308"/>
        <v>0</v>
      </c>
      <c r="V6961" s="3"/>
      <c r="W6961" s="3">
        <v>2014</v>
      </c>
      <c r="X6961" s="3" t="s">
        <v>14785</v>
      </c>
    </row>
    <row r="6962" spans="1:24" ht="102">
      <c r="A6962" s="3" t="s">
        <v>16457</v>
      </c>
      <c r="B6962" s="6" t="s">
        <v>361</v>
      </c>
      <c r="C6962" s="55" t="s">
        <v>9019</v>
      </c>
      <c r="D6962" s="55" t="s">
        <v>9020</v>
      </c>
      <c r="E6962" s="55" t="s">
        <v>9021</v>
      </c>
      <c r="F6962" s="6" t="s">
        <v>9022</v>
      </c>
      <c r="G6962" s="3" t="s">
        <v>11450</v>
      </c>
      <c r="H6962" s="67">
        <v>0</v>
      </c>
      <c r="I6962" s="16">
        <v>470000000</v>
      </c>
      <c r="J6962" s="56" t="s">
        <v>229</v>
      </c>
      <c r="K6962" s="6" t="s">
        <v>16447</v>
      </c>
      <c r="L6962" s="6" t="s">
        <v>8913</v>
      </c>
      <c r="M6962" s="162" t="s">
        <v>230</v>
      </c>
      <c r="N6962" s="65" t="s">
        <v>8914</v>
      </c>
      <c r="O6962" s="6" t="s">
        <v>8976</v>
      </c>
      <c r="P6962" s="58" t="s">
        <v>241</v>
      </c>
      <c r="Q6962" s="6" t="s">
        <v>234</v>
      </c>
      <c r="R6962" s="6">
        <v>3436</v>
      </c>
      <c r="S6962" s="63">
        <v>1140</v>
      </c>
      <c r="T6962" s="4">
        <f t="shared" ref="T6962" si="325">R6962*S6962</f>
        <v>3917040</v>
      </c>
      <c r="U6962" s="1">
        <f t="shared" si="308"/>
        <v>4387084.8000000007</v>
      </c>
      <c r="V6962" s="3"/>
      <c r="W6962" s="3">
        <v>2014</v>
      </c>
      <c r="X6962" s="3"/>
    </row>
    <row r="6963" spans="1:24" ht="102">
      <c r="A6963" s="3" t="s">
        <v>2950</v>
      </c>
      <c r="B6963" s="6" t="s">
        <v>361</v>
      </c>
      <c r="C6963" s="16" t="s">
        <v>9023</v>
      </c>
      <c r="D6963" s="16" t="s">
        <v>9024</v>
      </c>
      <c r="E6963" s="16" t="s">
        <v>9025</v>
      </c>
      <c r="F6963" s="6" t="s">
        <v>9026</v>
      </c>
      <c r="G6963" s="6" t="s">
        <v>11450</v>
      </c>
      <c r="H6963" s="67">
        <v>0</v>
      </c>
      <c r="I6963" s="16">
        <v>470000000</v>
      </c>
      <c r="J6963" s="56" t="s">
        <v>229</v>
      </c>
      <c r="K6963" s="6" t="s">
        <v>8950</v>
      </c>
      <c r="L6963" s="6" t="s">
        <v>8913</v>
      </c>
      <c r="M6963" s="162" t="s">
        <v>230</v>
      </c>
      <c r="N6963" s="65" t="s">
        <v>8914</v>
      </c>
      <c r="O6963" s="6" t="s">
        <v>8976</v>
      </c>
      <c r="P6963" s="58" t="s">
        <v>241</v>
      </c>
      <c r="Q6963" s="6" t="s">
        <v>234</v>
      </c>
      <c r="R6963" s="6">
        <v>68</v>
      </c>
      <c r="S6963" s="63">
        <v>3845</v>
      </c>
      <c r="T6963" s="4">
        <v>0</v>
      </c>
      <c r="U6963" s="4">
        <f t="shared" si="308"/>
        <v>0</v>
      </c>
      <c r="V6963" s="3"/>
      <c r="W6963" s="3">
        <v>2014</v>
      </c>
      <c r="X6963" s="3" t="s">
        <v>14230</v>
      </c>
    </row>
    <row r="6964" spans="1:24" ht="102">
      <c r="A6964" s="3" t="s">
        <v>16458</v>
      </c>
      <c r="B6964" s="6" t="s">
        <v>361</v>
      </c>
      <c r="C6964" s="16" t="s">
        <v>9023</v>
      </c>
      <c r="D6964" s="16" t="s">
        <v>9024</v>
      </c>
      <c r="E6964" s="16" t="s">
        <v>9025</v>
      </c>
      <c r="F6964" s="6" t="s">
        <v>9026</v>
      </c>
      <c r="G6964" s="3" t="s">
        <v>11450</v>
      </c>
      <c r="H6964" s="67">
        <v>0</v>
      </c>
      <c r="I6964" s="16">
        <v>470000000</v>
      </c>
      <c r="J6964" s="56" t="s">
        <v>229</v>
      </c>
      <c r="K6964" s="6" t="s">
        <v>8950</v>
      </c>
      <c r="L6964" s="6" t="s">
        <v>8913</v>
      </c>
      <c r="M6964" s="162" t="s">
        <v>230</v>
      </c>
      <c r="N6964" s="65" t="s">
        <v>8914</v>
      </c>
      <c r="O6964" s="6" t="s">
        <v>8976</v>
      </c>
      <c r="P6964" s="58" t="s">
        <v>241</v>
      </c>
      <c r="Q6964" s="6" t="s">
        <v>234</v>
      </c>
      <c r="R6964" s="6">
        <v>68</v>
      </c>
      <c r="S6964" s="63">
        <v>4614</v>
      </c>
      <c r="T6964" s="4">
        <f t="shared" ref="T6964" si="326">R6964*S6964</f>
        <v>313752</v>
      </c>
      <c r="U6964" s="1">
        <f t="shared" si="308"/>
        <v>351402.24000000005</v>
      </c>
      <c r="V6964" s="3"/>
      <c r="W6964" s="3">
        <v>2014</v>
      </c>
      <c r="X6964" s="3"/>
    </row>
    <row r="6965" spans="1:24" ht="102">
      <c r="A6965" s="3" t="s">
        <v>2951</v>
      </c>
      <c r="B6965" s="6" t="s">
        <v>361</v>
      </c>
      <c r="C6965" s="16" t="s">
        <v>9023</v>
      </c>
      <c r="D6965" s="16" t="s">
        <v>9024</v>
      </c>
      <c r="E6965" s="16" t="s">
        <v>9025</v>
      </c>
      <c r="F6965" s="6" t="s">
        <v>9027</v>
      </c>
      <c r="G6965" s="6" t="s">
        <v>11450</v>
      </c>
      <c r="H6965" s="67">
        <v>0</v>
      </c>
      <c r="I6965" s="16">
        <v>470000000</v>
      </c>
      <c r="J6965" s="56" t="s">
        <v>229</v>
      </c>
      <c r="K6965" s="6" t="s">
        <v>8950</v>
      </c>
      <c r="L6965" s="6" t="s">
        <v>8913</v>
      </c>
      <c r="M6965" s="162" t="s">
        <v>230</v>
      </c>
      <c r="N6965" s="65" t="s">
        <v>8914</v>
      </c>
      <c r="O6965" s="6" t="s">
        <v>8976</v>
      </c>
      <c r="P6965" s="58" t="s">
        <v>241</v>
      </c>
      <c r="Q6965" s="6" t="s">
        <v>234</v>
      </c>
      <c r="R6965" s="6">
        <v>68</v>
      </c>
      <c r="S6965" s="63">
        <v>5520</v>
      </c>
      <c r="T6965" s="4">
        <v>0</v>
      </c>
      <c r="U6965" s="4">
        <f t="shared" si="308"/>
        <v>0</v>
      </c>
      <c r="V6965" s="3"/>
      <c r="W6965" s="3">
        <v>2014</v>
      </c>
      <c r="X6965" s="3" t="s">
        <v>14230</v>
      </c>
    </row>
    <row r="6966" spans="1:24" ht="102">
      <c r="A6966" s="3" t="s">
        <v>16459</v>
      </c>
      <c r="B6966" s="6" t="s">
        <v>361</v>
      </c>
      <c r="C6966" s="16" t="s">
        <v>9023</v>
      </c>
      <c r="D6966" s="16" t="s">
        <v>9024</v>
      </c>
      <c r="E6966" s="16" t="s">
        <v>9025</v>
      </c>
      <c r="F6966" s="6" t="s">
        <v>9027</v>
      </c>
      <c r="G6966" s="3" t="s">
        <v>11450</v>
      </c>
      <c r="H6966" s="67">
        <v>0</v>
      </c>
      <c r="I6966" s="16">
        <v>470000000</v>
      </c>
      <c r="J6966" s="56" t="s">
        <v>229</v>
      </c>
      <c r="K6966" s="6" t="s">
        <v>8950</v>
      </c>
      <c r="L6966" s="6" t="s">
        <v>8913</v>
      </c>
      <c r="M6966" s="162" t="s">
        <v>230</v>
      </c>
      <c r="N6966" s="65" t="s">
        <v>8914</v>
      </c>
      <c r="O6966" s="6" t="s">
        <v>8976</v>
      </c>
      <c r="P6966" s="58" t="s">
        <v>241</v>
      </c>
      <c r="Q6966" s="6" t="s">
        <v>234</v>
      </c>
      <c r="R6966" s="6">
        <v>68</v>
      </c>
      <c r="S6966" s="63">
        <v>6624</v>
      </c>
      <c r="T6966" s="4">
        <f t="shared" ref="T6966" si="327">R6966*S6966</f>
        <v>450432</v>
      </c>
      <c r="U6966" s="1">
        <f t="shared" si="308"/>
        <v>504483.84000000003</v>
      </c>
      <c r="V6966" s="3"/>
      <c r="W6966" s="3">
        <v>2014</v>
      </c>
      <c r="X6966" s="3"/>
    </row>
    <row r="6967" spans="1:24" ht="102">
      <c r="A6967" s="3" t="s">
        <v>2952</v>
      </c>
      <c r="B6967" s="6" t="s">
        <v>361</v>
      </c>
      <c r="C6967" s="16" t="s">
        <v>9023</v>
      </c>
      <c r="D6967" s="16" t="s">
        <v>9024</v>
      </c>
      <c r="E6967" s="16" t="s">
        <v>9025</v>
      </c>
      <c r="F6967" s="6" t="s">
        <v>9028</v>
      </c>
      <c r="G6967" s="6" t="s">
        <v>11450</v>
      </c>
      <c r="H6967" s="67">
        <v>0</v>
      </c>
      <c r="I6967" s="16">
        <v>470000000</v>
      </c>
      <c r="J6967" s="56" t="s">
        <v>229</v>
      </c>
      <c r="K6967" s="6" t="s">
        <v>8950</v>
      </c>
      <c r="L6967" s="6" t="s">
        <v>8913</v>
      </c>
      <c r="M6967" s="162" t="s">
        <v>230</v>
      </c>
      <c r="N6967" s="65" t="s">
        <v>8914</v>
      </c>
      <c r="O6967" s="6" t="s">
        <v>8976</v>
      </c>
      <c r="P6967" s="58" t="s">
        <v>241</v>
      </c>
      <c r="Q6967" s="6" t="s">
        <v>234</v>
      </c>
      <c r="R6967" s="6">
        <v>400</v>
      </c>
      <c r="S6967" s="63">
        <v>1921</v>
      </c>
      <c r="T6967" s="4">
        <v>0</v>
      </c>
      <c r="U6967" s="4">
        <f t="shared" si="308"/>
        <v>0</v>
      </c>
      <c r="V6967" s="3"/>
      <c r="W6967" s="3">
        <v>2014</v>
      </c>
      <c r="X6967" s="3" t="s">
        <v>14230</v>
      </c>
    </row>
    <row r="6968" spans="1:24" ht="102">
      <c r="A6968" s="3" t="s">
        <v>16460</v>
      </c>
      <c r="B6968" s="6" t="s">
        <v>361</v>
      </c>
      <c r="C6968" s="16" t="s">
        <v>9023</v>
      </c>
      <c r="D6968" s="16" t="s">
        <v>9024</v>
      </c>
      <c r="E6968" s="16" t="s">
        <v>9025</v>
      </c>
      <c r="F6968" s="6" t="s">
        <v>9028</v>
      </c>
      <c r="G6968" s="3" t="s">
        <v>11450</v>
      </c>
      <c r="H6968" s="67">
        <v>0</v>
      </c>
      <c r="I6968" s="16">
        <v>470000000</v>
      </c>
      <c r="J6968" s="56" t="s">
        <v>229</v>
      </c>
      <c r="K6968" s="6" t="s">
        <v>8950</v>
      </c>
      <c r="L6968" s="6" t="s">
        <v>8913</v>
      </c>
      <c r="M6968" s="162" t="s">
        <v>230</v>
      </c>
      <c r="N6968" s="65" t="s">
        <v>8914</v>
      </c>
      <c r="O6968" s="6" t="s">
        <v>8976</v>
      </c>
      <c r="P6968" s="58" t="s">
        <v>241</v>
      </c>
      <c r="Q6968" s="6" t="s">
        <v>234</v>
      </c>
      <c r="R6968" s="6">
        <v>400</v>
      </c>
      <c r="S6968" s="63">
        <v>2305.1999999999998</v>
      </c>
      <c r="T6968" s="4">
        <v>0</v>
      </c>
      <c r="U6968" s="4">
        <f t="shared" si="308"/>
        <v>0</v>
      </c>
      <c r="V6968" s="3"/>
      <c r="W6968" s="3">
        <v>2014</v>
      </c>
      <c r="X6968" s="3" t="s">
        <v>12076</v>
      </c>
    </row>
    <row r="6969" spans="1:24" ht="89.25">
      <c r="A6969" s="3" t="s">
        <v>2953</v>
      </c>
      <c r="B6969" s="6" t="s">
        <v>361</v>
      </c>
      <c r="C6969" s="55" t="s">
        <v>9029</v>
      </c>
      <c r="D6969" s="55" t="s">
        <v>9030</v>
      </c>
      <c r="E6969" s="55" t="s">
        <v>9031</v>
      </c>
      <c r="F6969" s="6"/>
      <c r="G6969" s="6" t="s">
        <v>11450</v>
      </c>
      <c r="H6969" s="67">
        <v>1</v>
      </c>
      <c r="I6969" s="16">
        <v>470000000</v>
      </c>
      <c r="J6969" s="56" t="s">
        <v>229</v>
      </c>
      <c r="K6969" s="6" t="s">
        <v>8901</v>
      </c>
      <c r="L6969" s="6" t="s">
        <v>8913</v>
      </c>
      <c r="M6969" s="162" t="s">
        <v>230</v>
      </c>
      <c r="N6969" s="65" t="s">
        <v>8914</v>
      </c>
      <c r="O6969" s="16" t="s">
        <v>8915</v>
      </c>
      <c r="P6969" s="58" t="s">
        <v>248</v>
      </c>
      <c r="Q6969" s="6" t="s">
        <v>9032</v>
      </c>
      <c r="R6969" s="6">
        <v>400</v>
      </c>
      <c r="S6969" s="63">
        <v>600</v>
      </c>
      <c r="T6969" s="4">
        <v>0</v>
      </c>
      <c r="U6969" s="4">
        <f t="shared" si="308"/>
        <v>0</v>
      </c>
      <c r="V6969" s="3" t="s">
        <v>362</v>
      </c>
      <c r="W6969" s="3">
        <v>2014</v>
      </c>
      <c r="X6969" s="3" t="s">
        <v>14751</v>
      </c>
    </row>
    <row r="6970" spans="1:24" ht="89.25">
      <c r="A6970" s="3" t="s">
        <v>16461</v>
      </c>
      <c r="B6970" s="6" t="s">
        <v>361</v>
      </c>
      <c r="C6970" s="55" t="s">
        <v>9029</v>
      </c>
      <c r="D6970" s="55" t="s">
        <v>9030</v>
      </c>
      <c r="E6970" s="55" t="s">
        <v>9031</v>
      </c>
      <c r="F6970" s="6"/>
      <c r="G6970" s="6" t="s">
        <v>11450</v>
      </c>
      <c r="H6970" s="67">
        <v>1</v>
      </c>
      <c r="I6970" s="16">
        <v>470000000</v>
      </c>
      <c r="J6970" s="56" t="s">
        <v>229</v>
      </c>
      <c r="K6970" s="6" t="s">
        <v>8950</v>
      </c>
      <c r="L6970" s="17" t="s">
        <v>11411</v>
      </c>
      <c r="M6970" s="162" t="s">
        <v>230</v>
      </c>
      <c r="N6970" s="65" t="s">
        <v>8914</v>
      </c>
      <c r="O6970" s="16" t="s">
        <v>8915</v>
      </c>
      <c r="P6970" s="58" t="s">
        <v>248</v>
      </c>
      <c r="Q6970" s="6" t="s">
        <v>9032</v>
      </c>
      <c r="R6970" s="6">
        <v>280</v>
      </c>
      <c r="S6970" s="63">
        <v>2666.66</v>
      </c>
      <c r="T6970" s="4">
        <f t="shared" ref="T6970:T6972" si="328">R6970*S6970</f>
        <v>746664.79999999993</v>
      </c>
      <c r="U6970" s="1">
        <f t="shared" si="308"/>
        <v>836264.576</v>
      </c>
      <c r="V6970" s="3" t="s">
        <v>362</v>
      </c>
      <c r="W6970" s="3">
        <v>2014</v>
      </c>
      <c r="X6970" s="3"/>
    </row>
    <row r="6971" spans="1:24" ht="140.25">
      <c r="A6971" s="3" t="s">
        <v>2954</v>
      </c>
      <c r="B6971" s="6" t="s">
        <v>361</v>
      </c>
      <c r="C6971" s="16" t="s">
        <v>9033</v>
      </c>
      <c r="D6971" s="16" t="s">
        <v>9034</v>
      </c>
      <c r="E6971" s="16" t="s">
        <v>9035</v>
      </c>
      <c r="F6971" s="6" t="s">
        <v>9036</v>
      </c>
      <c r="G6971" s="6" t="s">
        <v>11450</v>
      </c>
      <c r="H6971" s="67">
        <v>0</v>
      </c>
      <c r="I6971" s="16">
        <v>470000000</v>
      </c>
      <c r="J6971" s="56" t="s">
        <v>229</v>
      </c>
      <c r="K6971" s="6" t="s">
        <v>8950</v>
      </c>
      <c r="L6971" s="6" t="s">
        <v>8913</v>
      </c>
      <c r="M6971" s="162" t="s">
        <v>230</v>
      </c>
      <c r="N6971" s="65" t="s">
        <v>8914</v>
      </c>
      <c r="O6971" s="6" t="s">
        <v>8976</v>
      </c>
      <c r="P6971" s="79">
        <v>715</v>
      </c>
      <c r="Q6971" s="6" t="s">
        <v>8938</v>
      </c>
      <c r="R6971" s="6">
        <v>754</v>
      </c>
      <c r="S6971" s="63">
        <v>1172</v>
      </c>
      <c r="T6971" s="4">
        <v>0</v>
      </c>
      <c r="U6971" s="4">
        <f t="shared" si="308"/>
        <v>0</v>
      </c>
      <c r="V6971" s="3"/>
      <c r="W6971" s="3">
        <v>2014</v>
      </c>
      <c r="X6971" s="3" t="s">
        <v>14785</v>
      </c>
    </row>
    <row r="6972" spans="1:24" ht="140.25">
      <c r="A6972" s="3" t="s">
        <v>16462</v>
      </c>
      <c r="B6972" s="6" t="s">
        <v>361</v>
      </c>
      <c r="C6972" s="16" t="s">
        <v>9033</v>
      </c>
      <c r="D6972" s="16" t="s">
        <v>9034</v>
      </c>
      <c r="E6972" s="16" t="s">
        <v>9035</v>
      </c>
      <c r="F6972" s="6" t="s">
        <v>9036</v>
      </c>
      <c r="G6972" s="3" t="s">
        <v>11450</v>
      </c>
      <c r="H6972" s="67">
        <v>0</v>
      </c>
      <c r="I6972" s="16">
        <v>470000000</v>
      </c>
      <c r="J6972" s="56" t="s">
        <v>229</v>
      </c>
      <c r="K6972" s="6" t="s">
        <v>9041</v>
      </c>
      <c r="L6972" s="6" t="s">
        <v>8913</v>
      </c>
      <c r="M6972" s="162" t="s">
        <v>230</v>
      </c>
      <c r="N6972" s="65" t="s">
        <v>8914</v>
      </c>
      <c r="O6972" s="6" t="s">
        <v>8976</v>
      </c>
      <c r="P6972" s="79">
        <v>715</v>
      </c>
      <c r="Q6972" s="6" t="s">
        <v>8938</v>
      </c>
      <c r="R6972" s="6">
        <v>754</v>
      </c>
      <c r="S6972" s="63">
        <v>1406.4</v>
      </c>
      <c r="T6972" s="4">
        <f t="shared" si="328"/>
        <v>1060425.6000000001</v>
      </c>
      <c r="U6972" s="1">
        <f t="shared" si="308"/>
        <v>1187676.6720000003</v>
      </c>
      <c r="V6972" s="3"/>
      <c r="W6972" s="3">
        <v>2014</v>
      </c>
      <c r="X6972" s="3"/>
    </row>
    <row r="6973" spans="1:24" ht="102">
      <c r="A6973" s="3" t="s">
        <v>2955</v>
      </c>
      <c r="B6973" s="6" t="s">
        <v>361</v>
      </c>
      <c r="C6973" s="16" t="s">
        <v>9037</v>
      </c>
      <c r="D6973" s="16" t="s">
        <v>9038</v>
      </c>
      <c r="E6973" s="16" t="s">
        <v>9039</v>
      </c>
      <c r="F6973" s="6" t="s">
        <v>9040</v>
      </c>
      <c r="G6973" s="6" t="s">
        <v>11450</v>
      </c>
      <c r="H6973" s="67">
        <v>0</v>
      </c>
      <c r="I6973" s="16">
        <v>470000000</v>
      </c>
      <c r="J6973" s="56" t="s">
        <v>229</v>
      </c>
      <c r="K6973" s="6" t="s">
        <v>9041</v>
      </c>
      <c r="L6973" s="6" t="s">
        <v>8913</v>
      </c>
      <c r="M6973" s="162" t="s">
        <v>230</v>
      </c>
      <c r="N6973" s="65" t="s">
        <v>8914</v>
      </c>
      <c r="O6973" s="6" t="s">
        <v>8976</v>
      </c>
      <c r="P6973" s="58" t="s">
        <v>242</v>
      </c>
      <c r="Q6973" s="6" t="s">
        <v>239</v>
      </c>
      <c r="R6973" s="6">
        <v>2173</v>
      </c>
      <c r="S6973" s="63">
        <v>2000</v>
      </c>
      <c r="T6973" s="4">
        <v>0</v>
      </c>
      <c r="U6973" s="4">
        <f t="shared" si="308"/>
        <v>0</v>
      </c>
      <c r="V6973" s="3"/>
      <c r="W6973" s="3">
        <v>2014</v>
      </c>
      <c r="X6973" s="3" t="s">
        <v>14230</v>
      </c>
    </row>
    <row r="6974" spans="1:24" ht="102">
      <c r="A6974" s="3" t="s">
        <v>16464</v>
      </c>
      <c r="B6974" s="6" t="s">
        <v>361</v>
      </c>
      <c r="C6974" s="16" t="s">
        <v>9037</v>
      </c>
      <c r="D6974" s="16" t="s">
        <v>9038</v>
      </c>
      <c r="E6974" s="16" t="s">
        <v>9039</v>
      </c>
      <c r="F6974" s="6" t="s">
        <v>9040</v>
      </c>
      <c r="G6974" s="3" t="s">
        <v>11450</v>
      </c>
      <c r="H6974" s="67">
        <v>0</v>
      </c>
      <c r="I6974" s="16">
        <v>470000000</v>
      </c>
      <c r="J6974" s="56" t="s">
        <v>229</v>
      </c>
      <c r="K6974" s="6" t="s">
        <v>9041</v>
      </c>
      <c r="L6974" s="6" t="s">
        <v>8913</v>
      </c>
      <c r="M6974" s="162" t="s">
        <v>230</v>
      </c>
      <c r="N6974" s="65" t="s">
        <v>8914</v>
      </c>
      <c r="O6974" s="6" t="s">
        <v>8976</v>
      </c>
      <c r="P6974" s="58" t="s">
        <v>242</v>
      </c>
      <c r="Q6974" s="6" t="s">
        <v>239</v>
      </c>
      <c r="R6974" s="6">
        <v>2173</v>
      </c>
      <c r="S6974" s="63">
        <v>2400</v>
      </c>
      <c r="T6974" s="4">
        <f t="shared" ref="T6974" si="329">R6974*S6974</f>
        <v>5215200</v>
      </c>
      <c r="U6974" s="1">
        <f t="shared" si="308"/>
        <v>5841024.0000000009</v>
      </c>
      <c r="V6974" s="3"/>
      <c r="W6974" s="3">
        <v>2014</v>
      </c>
      <c r="X6974" s="3"/>
    </row>
    <row r="6975" spans="1:24" ht="114.75">
      <c r="A6975" s="3" t="s">
        <v>2956</v>
      </c>
      <c r="B6975" s="6" t="s">
        <v>361</v>
      </c>
      <c r="C6975" s="16" t="s">
        <v>9042</v>
      </c>
      <c r="D6975" s="16" t="s">
        <v>9043</v>
      </c>
      <c r="E6975" s="16" t="s">
        <v>9044</v>
      </c>
      <c r="F6975" s="6" t="s">
        <v>9045</v>
      </c>
      <c r="G6975" s="6" t="s">
        <v>11450</v>
      </c>
      <c r="H6975" s="67">
        <v>0</v>
      </c>
      <c r="I6975" s="16">
        <v>470000000</v>
      </c>
      <c r="J6975" s="56" t="s">
        <v>229</v>
      </c>
      <c r="K6975" s="6" t="s">
        <v>9041</v>
      </c>
      <c r="L6975" s="6" t="s">
        <v>8913</v>
      </c>
      <c r="M6975" s="162" t="s">
        <v>230</v>
      </c>
      <c r="N6975" s="65" t="s">
        <v>8914</v>
      </c>
      <c r="O6975" s="6" t="s">
        <v>8976</v>
      </c>
      <c r="P6975" s="58" t="s">
        <v>241</v>
      </c>
      <c r="Q6975" s="6" t="s">
        <v>234</v>
      </c>
      <c r="R6975" s="6">
        <v>248</v>
      </c>
      <c r="S6975" s="63">
        <v>995</v>
      </c>
      <c r="T6975" s="4">
        <v>0</v>
      </c>
      <c r="U6975" s="4">
        <f t="shared" si="308"/>
        <v>0</v>
      </c>
      <c r="V6975" s="3"/>
      <c r="W6975" s="3">
        <v>2014</v>
      </c>
      <c r="X6975" s="3" t="s">
        <v>14230</v>
      </c>
    </row>
    <row r="6976" spans="1:24" ht="114.75">
      <c r="A6976" s="3" t="s">
        <v>16463</v>
      </c>
      <c r="B6976" s="6" t="s">
        <v>361</v>
      </c>
      <c r="C6976" s="16" t="s">
        <v>9042</v>
      </c>
      <c r="D6976" s="16" t="s">
        <v>9043</v>
      </c>
      <c r="E6976" s="16" t="s">
        <v>9044</v>
      </c>
      <c r="F6976" s="6" t="s">
        <v>9045</v>
      </c>
      <c r="G6976" s="3" t="s">
        <v>11450</v>
      </c>
      <c r="H6976" s="67">
        <v>0</v>
      </c>
      <c r="I6976" s="16">
        <v>470000000</v>
      </c>
      <c r="J6976" s="56" t="s">
        <v>229</v>
      </c>
      <c r="K6976" s="6" t="s">
        <v>9041</v>
      </c>
      <c r="L6976" s="6" t="s">
        <v>8913</v>
      </c>
      <c r="M6976" s="162" t="s">
        <v>230</v>
      </c>
      <c r="N6976" s="65" t="s">
        <v>8914</v>
      </c>
      <c r="O6976" s="6" t="s">
        <v>8976</v>
      </c>
      <c r="P6976" s="58" t="s">
        <v>241</v>
      </c>
      <c r="Q6976" s="6" t="s">
        <v>234</v>
      </c>
      <c r="R6976" s="6">
        <v>248</v>
      </c>
      <c r="S6976" s="63">
        <v>1194</v>
      </c>
      <c r="T6976" s="4">
        <f t="shared" ref="T6976:T7039" si="330">R6976*S6976</f>
        <v>296112</v>
      </c>
      <c r="U6976" s="1">
        <f t="shared" si="308"/>
        <v>331645.44000000006</v>
      </c>
      <c r="V6976" s="3"/>
      <c r="W6976" s="3">
        <v>2014</v>
      </c>
      <c r="X6976" s="3"/>
    </row>
    <row r="6977" spans="1:24" ht="102">
      <c r="A6977" s="3" t="s">
        <v>2957</v>
      </c>
      <c r="B6977" s="6" t="s">
        <v>361</v>
      </c>
      <c r="C6977" s="16" t="s">
        <v>9046</v>
      </c>
      <c r="D6977" s="16" t="s">
        <v>9047</v>
      </c>
      <c r="E6977" s="16" t="s">
        <v>9048</v>
      </c>
      <c r="F6977" s="6" t="s">
        <v>9049</v>
      </c>
      <c r="G6977" s="6" t="s">
        <v>11450</v>
      </c>
      <c r="H6977" s="67">
        <v>0</v>
      </c>
      <c r="I6977" s="16">
        <v>470000000</v>
      </c>
      <c r="J6977" s="56" t="s">
        <v>229</v>
      </c>
      <c r="K6977" s="6" t="s">
        <v>641</v>
      </c>
      <c r="L6977" s="6" t="s">
        <v>8913</v>
      </c>
      <c r="M6977" s="162" t="s">
        <v>230</v>
      </c>
      <c r="N6977" s="65" t="s">
        <v>8914</v>
      </c>
      <c r="O6977" s="6" t="s">
        <v>8976</v>
      </c>
      <c r="P6977" s="58" t="s">
        <v>241</v>
      </c>
      <c r="Q6977" s="6" t="s">
        <v>234</v>
      </c>
      <c r="R6977" s="6">
        <v>30</v>
      </c>
      <c r="S6977" s="63">
        <v>18500</v>
      </c>
      <c r="T6977" s="4">
        <f t="shared" si="330"/>
        <v>555000</v>
      </c>
      <c r="U6977" s="1">
        <f t="shared" si="308"/>
        <v>621600.00000000012</v>
      </c>
      <c r="V6977" s="3"/>
      <c r="W6977" s="3">
        <v>2014</v>
      </c>
      <c r="X6977" s="3"/>
    </row>
    <row r="6978" spans="1:24" ht="102">
      <c r="A6978" s="3" t="s">
        <v>2958</v>
      </c>
      <c r="B6978" s="6" t="s">
        <v>361</v>
      </c>
      <c r="C6978" s="16" t="s">
        <v>9050</v>
      </c>
      <c r="D6978" s="16" t="s">
        <v>9051</v>
      </c>
      <c r="E6978" s="16" t="s">
        <v>9052</v>
      </c>
      <c r="F6978" s="6" t="s">
        <v>9053</v>
      </c>
      <c r="G6978" s="6" t="s">
        <v>11450</v>
      </c>
      <c r="H6978" s="186">
        <v>0</v>
      </c>
      <c r="I6978" s="16">
        <v>470000000</v>
      </c>
      <c r="J6978" s="187" t="s">
        <v>229</v>
      </c>
      <c r="K6978" s="6" t="s">
        <v>8901</v>
      </c>
      <c r="L6978" s="188" t="s">
        <v>9054</v>
      </c>
      <c r="M6978" s="162" t="s">
        <v>230</v>
      </c>
      <c r="N6978" s="6" t="s">
        <v>8914</v>
      </c>
      <c r="O6978" s="6" t="s">
        <v>8906</v>
      </c>
      <c r="P6978" s="189">
        <v>5111</v>
      </c>
      <c r="Q6978" s="70" t="s">
        <v>9055</v>
      </c>
      <c r="R6978" s="3">
        <v>4512</v>
      </c>
      <c r="S6978" s="1">
        <v>571.42999999999995</v>
      </c>
      <c r="T6978" s="4">
        <f t="shared" si="330"/>
        <v>2578292.1599999997</v>
      </c>
      <c r="U6978" s="4">
        <f t="shared" si="308"/>
        <v>2887687.2191999997</v>
      </c>
      <c r="V6978" s="4"/>
      <c r="W6978" s="3">
        <v>2014</v>
      </c>
      <c r="X6978" s="190"/>
    </row>
    <row r="6979" spans="1:24" ht="102">
      <c r="A6979" s="3" t="s">
        <v>2959</v>
      </c>
      <c r="B6979" s="6" t="s">
        <v>361</v>
      </c>
      <c r="C6979" s="16" t="s">
        <v>9056</v>
      </c>
      <c r="D6979" s="16" t="s">
        <v>9051</v>
      </c>
      <c r="E6979" s="16" t="s">
        <v>9057</v>
      </c>
      <c r="F6979" s="6" t="s">
        <v>9058</v>
      </c>
      <c r="G6979" s="6" t="s">
        <v>11450</v>
      </c>
      <c r="H6979" s="186">
        <v>0</v>
      </c>
      <c r="I6979" s="16">
        <v>470000000</v>
      </c>
      <c r="J6979" s="187" t="s">
        <v>229</v>
      </c>
      <c r="K6979" s="6" t="s">
        <v>8901</v>
      </c>
      <c r="L6979" s="188" t="s">
        <v>9054</v>
      </c>
      <c r="M6979" s="162" t="s">
        <v>230</v>
      </c>
      <c r="N6979" s="6" t="s">
        <v>8914</v>
      </c>
      <c r="O6979" s="6" t="s">
        <v>8906</v>
      </c>
      <c r="P6979" s="189">
        <v>5111</v>
      </c>
      <c r="Q6979" s="70" t="s">
        <v>9055</v>
      </c>
      <c r="R6979" s="3">
        <v>40</v>
      </c>
      <c r="S6979" s="1">
        <v>1071</v>
      </c>
      <c r="T6979" s="4">
        <f t="shared" si="330"/>
        <v>42840</v>
      </c>
      <c r="U6979" s="4">
        <f t="shared" si="308"/>
        <v>47980.800000000003</v>
      </c>
      <c r="V6979" s="4"/>
      <c r="W6979" s="3">
        <v>2014</v>
      </c>
      <c r="X6979" s="190"/>
    </row>
    <row r="6980" spans="1:24" ht="102">
      <c r="A6980" s="3" t="s">
        <v>2960</v>
      </c>
      <c r="B6980" s="6" t="s">
        <v>361</v>
      </c>
      <c r="C6980" s="16" t="s">
        <v>9059</v>
      </c>
      <c r="D6980" s="16" t="s">
        <v>9060</v>
      </c>
      <c r="E6980" s="16" t="s">
        <v>9061</v>
      </c>
      <c r="F6980" s="6"/>
      <c r="G6980" s="6" t="s">
        <v>11450</v>
      </c>
      <c r="H6980" s="186">
        <v>0</v>
      </c>
      <c r="I6980" s="16">
        <v>470000000</v>
      </c>
      <c r="J6980" s="187" t="s">
        <v>229</v>
      </c>
      <c r="K6980" s="6" t="s">
        <v>8901</v>
      </c>
      <c r="L6980" s="188" t="s">
        <v>9054</v>
      </c>
      <c r="M6980" s="162" t="s">
        <v>230</v>
      </c>
      <c r="N6980" s="6" t="s">
        <v>8914</v>
      </c>
      <c r="O6980" s="6" t="s">
        <v>8906</v>
      </c>
      <c r="P6980" s="3">
        <v>736</v>
      </c>
      <c r="Q6980" s="3" t="s">
        <v>9062</v>
      </c>
      <c r="R6980" s="3">
        <v>628</v>
      </c>
      <c r="S6980" s="1">
        <v>259</v>
      </c>
      <c r="T6980" s="4">
        <f t="shared" si="330"/>
        <v>162652</v>
      </c>
      <c r="U6980" s="4">
        <f t="shared" si="308"/>
        <v>182170.24000000002</v>
      </c>
      <c r="V6980" s="4"/>
      <c r="W6980" s="3">
        <v>2014</v>
      </c>
      <c r="X6980" s="190"/>
    </row>
    <row r="6981" spans="1:24" ht="102">
      <c r="A6981" s="3" t="s">
        <v>2961</v>
      </c>
      <c r="B6981" s="6" t="s">
        <v>361</v>
      </c>
      <c r="C6981" s="16" t="s">
        <v>9063</v>
      </c>
      <c r="D6981" s="16" t="s">
        <v>9064</v>
      </c>
      <c r="E6981" s="16" t="s">
        <v>9065</v>
      </c>
      <c r="F6981" s="69" t="s">
        <v>9066</v>
      </c>
      <c r="G6981" s="6" t="s">
        <v>11450</v>
      </c>
      <c r="H6981" s="186">
        <v>0</v>
      </c>
      <c r="I6981" s="16">
        <v>470000000</v>
      </c>
      <c r="J6981" s="187" t="s">
        <v>229</v>
      </c>
      <c r="K6981" s="6" t="s">
        <v>8901</v>
      </c>
      <c r="L6981" s="188" t="s">
        <v>9054</v>
      </c>
      <c r="M6981" s="162" t="s">
        <v>230</v>
      </c>
      <c r="N6981" s="6" t="s">
        <v>8914</v>
      </c>
      <c r="O6981" s="6" t="s">
        <v>8906</v>
      </c>
      <c r="P6981" s="58" t="s">
        <v>241</v>
      </c>
      <c r="Q6981" s="6" t="s">
        <v>234</v>
      </c>
      <c r="R6981" s="3">
        <v>175</v>
      </c>
      <c r="S6981" s="1">
        <v>382.13</v>
      </c>
      <c r="T6981" s="4">
        <f t="shared" si="330"/>
        <v>66872.75</v>
      </c>
      <c r="U6981" s="4">
        <f t="shared" si="308"/>
        <v>74897.48000000001</v>
      </c>
      <c r="V6981" s="4"/>
      <c r="W6981" s="3">
        <v>2014</v>
      </c>
      <c r="X6981" s="190"/>
    </row>
    <row r="6982" spans="1:24" ht="102">
      <c r="A6982" s="3" t="s">
        <v>2962</v>
      </c>
      <c r="B6982" s="6" t="s">
        <v>361</v>
      </c>
      <c r="C6982" s="16" t="s">
        <v>9067</v>
      </c>
      <c r="D6982" s="16" t="s">
        <v>9068</v>
      </c>
      <c r="E6982" s="16" t="s">
        <v>9069</v>
      </c>
      <c r="F6982" s="6" t="s">
        <v>9070</v>
      </c>
      <c r="G6982" s="6" t="s">
        <v>11450</v>
      </c>
      <c r="H6982" s="186">
        <v>0</v>
      </c>
      <c r="I6982" s="16">
        <v>470000000</v>
      </c>
      <c r="J6982" s="187" t="s">
        <v>229</v>
      </c>
      <c r="K6982" s="6" t="s">
        <v>8901</v>
      </c>
      <c r="L6982" s="188" t="s">
        <v>9054</v>
      </c>
      <c r="M6982" s="162" t="s">
        <v>230</v>
      </c>
      <c r="N6982" s="6" t="s">
        <v>8914</v>
      </c>
      <c r="O6982" s="6" t="s">
        <v>8906</v>
      </c>
      <c r="P6982" s="58" t="s">
        <v>241</v>
      </c>
      <c r="Q6982" s="6" t="s">
        <v>234</v>
      </c>
      <c r="R6982" s="3">
        <v>2256</v>
      </c>
      <c r="S6982" s="1">
        <v>31</v>
      </c>
      <c r="T6982" s="4">
        <f t="shared" si="330"/>
        <v>69936</v>
      </c>
      <c r="U6982" s="4">
        <f t="shared" si="308"/>
        <v>78328.320000000007</v>
      </c>
      <c r="V6982" s="4"/>
      <c r="W6982" s="3">
        <v>2014</v>
      </c>
      <c r="X6982" s="190"/>
    </row>
    <row r="6983" spans="1:24" ht="102">
      <c r="A6983" s="3" t="s">
        <v>2963</v>
      </c>
      <c r="B6983" s="6" t="s">
        <v>361</v>
      </c>
      <c r="C6983" s="16" t="s">
        <v>9071</v>
      </c>
      <c r="D6983" s="16" t="s">
        <v>9072</v>
      </c>
      <c r="E6983" s="16" t="s">
        <v>9073</v>
      </c>
      <c r="F6983" s="6" t="s">
        <v>9074</v>
      </c>
      <c r="G6983" s="6" t="s">
        <v>11450</v>
      </c>
      <c r="H6983" s="186">
        <v>0</v>
      </c>
      <c r="I6983" s="16">
        <v>470000000</v>
      </c>
      <c r="J6983" s="187" t="s">
        <v>229</v>
      </c>
      <c r="K6983" s="6" t="s">
        <v>8901</v>
      </c>
      <c r="L6983" s="188" t="s">
        <v>9054</v>
      </c>
      <c r="M6983" s="162" t="s">
        <v>230</v>
      </c>
      <c r="N6983" s="6" t="s">
        <v>8914</v>
      </c>
      <c r="O6983" s="6" t="s">
        <v>8906</v>
      </c>
      <c r="P6983" s="58" t="s">
        <v>241</v>
      </c>
      <c r="Q6983" s="6" t="s">
        <v>234</v>
      </c>
      <c r="R6983" s="3">
        <v>728</v>
      </c>
      <c r="S6983" s="1">
        <v>263</v>
      </c>
      <c r="T6983" s="4">
        <f t="shared" si="330"/>
        <v>191464</v>
      </c>
      <c r="U6983" s="4">
        <f t="shared" si="308"/>
        <v>214439.68000000002</v>
      </c>
      <c r="V6983" s="4"/>
      <c r="W6983" s="3">
        <v>2014</v>
      </c>
      <c r="X6983" s="190"/>
    </row>
    <row r="6984" spans="1:24" ht="102">
      <c r="A6984" s="3" t="s">
        <v>2964</v>
      </c>
      <c r="B6984" s="6" t="s">
        <v>361</v>
      </c>
      <c r="C6984" s="16" t="s">
        <v>9075</v>
      </c>
      <c r="D6984" s="16" t="s">
        <v>9076</v>
      </c>
      <c r="E6984" s="16" t="s">
        <v>9077</v>
      </c>
      <c r="F6984" s="6" t="s">
        <v>9078</v>
      </c>
      <c r="G6984" s="6" t="s">
        <v>11450</v>
      </c>
      <c r="H6984" s="186">
        <v>0</v>
      </c>
      <c r="I6984" s="16">
        <v>470000000</v>
      </c>
      <c r="J6984" s="187" t="s">
        <v>229</v>
      </c>
      <c r="K6984" s="6" t="s">
        <v>8901</v>
      </c>
      <c r="L6984" s="188" t="s">
        <v>9054</v>
      </c>
      <c r="M6984" s="162" t="s">
        <v>230</v>
      </c>
      <c r="N6984" s="6" t="s">
        <v>8914</v>
      </c>
      <c r="O6984" s="6" t="s">
        <v>8906</v>
      </c>
      <c r="P6984" s="58" t="s">
        <v>241</v>
      </c>
      <c r="Q6984" s="6" t="s">
        <v>234</v>
      </c>
      <c r="R6984" s="3">
        <v>50</v>
      </c>
      <c r="S6984" s="1">
        <v>53.57</v>
      </c>
      <c r="T6984" s="4">
        <f t="shared" si="330"/>
        <v>2678.5</v>
      </c>
      <c r="U6984" s="4">
        <f t="shared" si="308"/>
        <v>2999.92</v>
      </c>
      <c r="V6984" s="4"/>
      <c r="W6984" s="3">
        <v>2014</v>
      </c>
      <c r="X6984" s="190"/>
    </row>
    <row r="6985" spans="1:24" ht="102">
      <c r="A6985" s="3" t="s">
        <v>2965</v>
      </c>
      <c r="B6985" s="6" t="s">
        <v>361</v>
      </c>
      <c r="C6985" s="16" t="s">
        <v>9079</v>
      </c>
      <c r="D6985" s="16" t="s">
        <v>9080</v>
      </c>
      <c r="E6985" s="16" t="s">
        <v>9081</v>
      </c>
      <c r="F6985" s="6" t="s">
        <v>9082</v>
      </c>
      <c r="G6985" s="6" t="s">
        <v>11450</v>
      </c>
      <c r="H6985" s="186">
        <v>0</v>
      </c>
      <c r="I6985" s="16">
        <v>470000000</v>
      </c>
      <c r="J6985" s="187" t="s">
        <v>229</v>
      </c>
      <c r="K6985" s="6" t="s">
        <v>8901</v>
      </c>
      <c r="L6985" s="188" t="s">
        <v>9054</v>
      </c>
      <c r="M6985" s="162" t="s">
        <v>230</v>
      </c>
      <c r="N6985" s="6" t="s">
        <v>8914</v>
      </c>
      <c r="O6985" s="6" t="s">
        <v>8906</v>
      </c>
      <c r="P6985" s="3">
        <v>778</v>
      </c>
      <c r="Q6985" s="3" t="s">
        <v>246</v>
      </c>
      <c r="R6985" s="3">
        <v>200</v>
      </c>
      <c r="S6985" s="1">
        <v>187.5</v>
      </c>
      <c r="T6985" s="4">
        <f t="shared" si="330"/>
        <v>37500</v>
      </c>
      <c r="U6985" s="4">
        <f t="shared" si="308"/>
        <v>42000.000000000007</v>
      </c>
      <c r="V6985" s="4"/>
      <c r="W6985" s="3">
        <v>2014</v>
      </c>
      <c r="X6985" s="190"/>
    </row>
    <row r="6986" spans="1:24" ht="102">
      <c r="A6986" s="3" t="s">
        <v>2966</v>
      </c>
      <c r="B6986" s="6" t="s">
        <v>361</v>
      </c>
      <c r="C6986" s="16" t="s">
        <v>9083</v>
      </c>
      <c r="D6986" s="16" t="s">
        <v>9084</v>
      </c>
      <c r="E6986" s="16" t="s">
        <v>9085</v>
      </c>
      <c r="F6986" s="6" t="s">
        <v>9086</v>
      </c>
      <c r="G6986" s="6" t="s">
        <v>11450</v>
      </c>
      <c r="H6986" s="186">
        <v>0</v>
      </c>
      <c r="I6986" s="16">
        <v>470000000</v>
      </c>
      <c r="J6986" s="187" t="s">
        <v>229</v>
      </c>
      <c r="K6986" s="6" t="s">
        <v>8901</v>
      </c>
      <c r="L6986" s="188" t="s">
        <v>9054</v>
      </c>
      <c r="M6986" s="162" t="s">
        <v>230</v>
      </c>
      <c r="N6986" s="6" t="s">
        <v>8914</v>
      </c>
      <c r="O6986" s="6" t="s">
        <v>8906</v>
      </c>
      <c r="P6986" s="58" t="s">
        <v>241</v>
      </c>
      <c r="Q6986" s="6" t="s">
        <v>234</v>
      </c>
      <c r="R6986" s="3">
        <v>6000</v>
      </c>
      <c r="S6986" s="1">
        <v>17.86</v>
      </c>
      <c r="T6986" s="4">
        <f t="shared" si="330"/>
        <v>107160</v>
      </c>
      <c r="U6986" s="4">
        <f t="shared" si="308"/>
        <v>120019.20000000001</v>
      </c>
      <c r="V6986" s="4"/>
      <c r="W6986" s="3">
        <v>2014</v>
      </c>
      <c r="X6986" s="190"/>
    </row>
    <row r="6987" spans="1:24" ht="102">
      <c r="A6987" s="3" t="s">
        <v>2967</v>
      </c>
      <c r="B6987" s="6" t="s">
        <v>361</v>
      </c>
      <c r="C6987" s="16" t="s">
        <v>9087</v>
      </c>
      <c r="D6987" s="16" t="s">
        <v>9088</v>
      </c>
      <c r="E6987" s="16" t="s">
        <v>9089</v>
      </c>
      <c r="F6987" s="6" t="s">
        <v>9090</v>
      </c>
      <c r="G6987" s="6" t="s">
        <v>11450</v>
      </c>
      <c r="H6987" s="186">
        <v>0</v>
      </c>
      <c r="I6987" s="16">
        <v>470000000</v>
      </c>
      <c r="J6987" s="187" t="s">
        <v>229</v>
      </c>
      <c r="K6987" s="6" t="s">
        <v>8901</v>
      </c>
      <c r="L6987" s="188" t="s">
        <v>9054</v>
      </c>
      <c r="M6987" s="162" t="s">
        <v>230</v>
      </c>
      <c r="N6987" s="6" t="s">
        <v>8914</v>
      </c>
      <c r="O6987" s="6" t="s">
        <v>8906</v>
      </c>
      <c r="P6987" s="189">
        <v>5111</v>
      </c>
      <c r="Q6987" s="70" t="s">
        <v>9055</v>
      </c>
      <c r="R6987" s="3">
        <v>200</v>
      </c>
      <c r="S6987" s="1">
        <v>133.93</v>
      </c>
      <c r="T6987" s="4">
        <f t="shared" si="330"/>
        <v>26786</v>
      </c>
      <c r="U6987" s="4">
        <f t="shared" si="308"/>
        <v>30000.320000000003</v>
      </c>
      <c r="V6987" s="4"/>
      <c r="W6987" s="3">
        <v>2014</v>
      </c>
      <c r="X6987" s="190"/>
    </row>
    <row r="6988" spans="1:24" ht="140.25">
      <c r="A6988" s="3" t="s">
        <v>2968</v>
      </c>
      <c r="B6988" s="6" t="s">
        <v>361</v>
      </c>
      <c r="C6988" s="16" t="s">
        <v>9091</v>
      </c>
      <c r="D6988" s="16" t="s">
        <v>9092</v>
      </c>
      <c r="E6988" s="16" t="s">
        <v>9093</v>
      </c>
      <c r="F6988" s="6" t="s">
        <v>9094</v>
      </c>
      <c r="G6988" s="6" t="s">
        <v>11450</v>
      </c>
      <c r="H6988" s="186">
        <v>0</v>
      </c>
      <c r="I6988" s="16">
        <v>470000000</v>
      </c>
      <c r="J6988" s="187" t="s">
        <v>229</v>
      </c>
      <c r="K6988" s="6" t="s">
        <v>8901</v>
      </c>
      <c r="L6988" s="188" t="s">
        <v>9054</v>
      </c>
      <c r="M6988" s="162" t="s">
        <v>230</v>
      </c>
      <c r="N6988" s="6" t="s">
        <v>8914</v>
      </c>
      <c r="O6988" s="6" t="s">
        <v>8906</v>
      </c>
      <c r="P6988" s="58" t="s">
        <v>241</v>
      </c>
      <c r="Q6988" s="6" t="s">
        <v>234</v>
      </c>
      <c r="R6988" s="3">
        <v>564</v>
      </c>
      <c r="S6988" s="1">
        <v>56</v>
      </c>
      <c r="T6988" s="4">
        <f t="shared" si="330"/>
        <v>31584</v>
      </c>
      <c r="U6988" s="4">
        <f t="shared" si="308"/>
        <v>35374.080000000002</v>
      </c>
      <c r="V6988" s="4"/>
      <c r="W6988" s="3">
        <v>2014</v>
      </c>
      <c r="X6988" s="190"/>
    </row>
    <row r="6989" spans="1:24" ht="102">
      <c r="A6989" s="3" t="s">
        <v>2969</v>
      </c>
      <c r="B6989" s="6" t="s">
        <v>361</v>
      </c>
      <c r="C6989" s="16" t="s">
        <v>9095</v>
      </c>
      <c r="D6989" s="16" t="s">
        <v>9096</v>
      </c>
      <c r="E6989" s="16" t="s">
        <v>9097</v>
      </c>
      <c r="F6989" s="6" t="s">
        <v>9098</v>
      </c>
      <c r="G6989" s="6" t="s">
        <v>11450</v>
      </c>
      <c r="H6989" s="186">
        <v>0</v>
      </c>
      <c r="I6989" s="16">
        <v>470000000</v>
      </c>
      <c r="J6989" s="187" t="s">
        <v>229</v>
      </c>
      <c r="K6989" s="6" t="s">
        <v>8901</v>
      </c>
      <c r="L6989" s="188" t="s">
        <v>9054</v>
      </c>
      <c r="M6989" s="162" t="s">
        <v>230</v>
      </c>
      <c r="N6989" s="6" t="s">
        <v>8914</v>
      </c>
      <c r="O6989" s="6" t="s">
        <v>8906</v>
      </c>
      <c r="P6989" s="58" t="s">
        <v>241</v>
      </c>
      <c r="Q6989" s="6" t="s">
        <v>234</v>
      </c>
      <c r="R6989" s="3">
        <v>564</v>
      </c>
      <c r="S6989" s="1">
        <v>169.64</v>
      </c>
      <c r="T6989" s="4">
        <f t="shared" si="330"/>
        <v>95676.959999999992</v>
      </c>
      <c r="U6989" s="4">
        <f t="shared" si="308"/>
        <v>107158.1952</v>
      </c>
      <c r="V6989" s="4"/>
      <c r="W6989" s="3">
        <v>2014</v>
      </c>
      <c r="X6989" s="190"/>
    </row>
    <row r="6990" spans="1:24" ht="102">
      <c r="A6990" s="3" t="s">
        <v>2970</v>
      </c>
      <c r="B6990" s="6" t="s">
        <v>361</v>
      </c>
      <c r="C6990" s="16" t="s">
        <v>9099</v>
      </c>
      <c r="D6990" s="16" t="s">
        <v>9100</v>
      </c>
      <c r="E6990" s="16" t="s">
        <v>9101</v>
      </c>
      <c r="F6990" s="6" t="s">
        <v>9102</v>
      </c>
      <c r="G6990" s="6" t="s">
        <v>11450</v>
      </c>
      <c r="H6990" s="186">
        <v>0</v>
      </c>
      <c r="I6990" s="16">
        <v>470000000</v>
      </c>
      <c r="J6990" s="187" t="s">
        <v>229</v>
      </c>
      <c r="K6990" s="6" t="s">
        <v>8901</v>
      </c>
      <c r="L6990" s="188" t="s">
        <v>9054</v>
      </c>
      <c r="M6990" s="162" t="s">
        <v>230</v>
      </c>
      <c r="N6990" s="6" t="s">
        <v>8914</v>
      </c>
      <c r="O6990" s="6" t="s">
        <v>8906</v>
      </c>
      <c r="P6990" s="58" t="s">
        <v>241</v>
      </c>
      <c r="Q6990" s="6" t="s">
        <v>234</v>
      </c>
      <c r="R6990" s="3">
        <v>817</v>
      </c>
      <c r="S6990" s="1">
        <v>40.18</v>
      </c>
      <c r="T6990" s="4">
        <f t="shared" si="330"/>
        <v>32827.06</v>
      </c>
      <c r="U6990" s="4">
        <f t="shared" si="308"/>
        <v>36766.307200000003</v>
      </c>
      <c r="V6990" s="4"/>
      <c r="W6990" s="3">
        <v>2014</v>
      </c>
      <c r="X6990" s="190"/>
    </row>
    <row r="6991" spans="1:24" ht="102">
      <c r="A6991" s="3" t="s">
        <v>2971</v>
      </c>
      <c r="B6991" s="6" t="s">
        <v>361</v>
      </c>
      <c r="C6991" s="16" t="s">
        <v>9103</v>
      </c>
      <c r="D6991" s="16" t="s">
        <v>9104</v>
      </c>
      <c r="E6991" s="16" t="s">
        <v>9104</v>
      </c>
      <c r="F6991" s="6" t="s">
        <v>9105</v>
      </c>
      <c r="G6991" s="6" t="s">
        <v>11450</v>
      </c>
      <c r="H6991" s="186">
        <v>0</v>
      </c>
      <c r="I6991" s="16">
        <v>470000000</v>
      </c>
      <c r="J6991" s="187" t="s">
        <v>229</v>
      </c>
      <c r="K6991" s="6" t="s">
        <v>8901</v>
      </c>
      <c r="L6991" s="188" t="s">
        <v>9054</v>
      </c>
      <c r="M6991" s="162" t="s">
        <v>230</v>
      </c>
      <c r="N6991" s="6" t="s">
        <v>8914</v>
      </c>
      <c r="O6991" s="6" t="s">
        <v>8906</v>
      </c>
      <c r="P6991" s="58" t="s">
        <v>241</v>
      </c>
      <c r="Q6991" s="6" t="s">
        <v>234</v>
      </c>
      <c r="R6991" s="3">
        <v>914</v>
      </c>
      <c r="S6991" s="1">
        <v>15</v>
      </c>
      <c r="T6991" s="4">
        <f t="shared" si="330"/>
        <v>13710</v>
      </c>
      <c r="U6991" s="4">
        <f t="shared" si="308"/>
        <v>15355.2</v>
      </c>
      <c r="V6991" s="4"/>
      <c r="W6991" s="3">
        <v>2014</v>
      </c>
      <c r="X6991" s="190"/>
    </row>
    <row r="6992" spans="1:24" ht="102">
      <c r="A6992" s="3" t="s">
        <v>2972</v>
      </c>
      <c r="B6992" s="6" t="s">
        <v>361</v>
      </c>
      <c r="C6992" s="16" t="s">
        <v>9106</v>
      </c>
      <c r="D6992" s="16" t="s">
        <v>9107</v>
      </c>
      <c r="E6992" s="16" t="s">
        <v>9108</v>
      </c>
      <c r="F6992" s="6" t="s">
        <v>9109</v>
      </c>
      <c r="G6992" s="6" t="s">
        <v>11450</v>
      </c>
      <c r="H6992" s="186">
        <v>0</v>
      </c>
      <c r="I6992" s="16">
        <v>470000000</v>
      </c>
      <c r="J6992" s="187" t="s">
        <v>229</v>
      </c>
      <c r="K6992" s="6" t="s">
        <v>8901</v>
      </c>
      <c r="L6992" s="188" t="s">
        <v>9054</v>
      </c>
      <c r="M6992" s="162" t="s">
        <v>230</v>
      </c>
      <c r="N6992" s="6" t="s">
        <v>8914</v>
      </c>
      <c r="O6992" s="6" t="s">
        <v>8906</v>
      </c>
      <c r="P6992" s="58" t="s">
        <v>241</v>
      </c>
      <c r="Q6992" s="6" t="s">
        <v>234</v>
      </c>
      <c r="R6992" s="3">
        <v>214</v>
      </c>
      <c r="S6992" s="1">
        <v>179</v>
      </c>
      <c r="T6992" s="4">
        <f t="shared" si="330"/>
        <v>38306</v>
      </c>
      <c r="U6992" s="4">
        <f t="shared" si="308"/>
        <v>42902.720000000001</v>
      </c>
      <c r="V6992" s="4"/>
      <c r="W6992" s="3">
        <v>2014</v>
      </c>
      <c r="X6992" s="190"/>
    </row>
    <row r="6993" spans="1:24" ht="102">
      <c r="A6993" s="3" t="s">
        <v>2973</v>
      </c>
      <c r="B6993" s="6" t="s">
        <v>361</v>
      </c>
      <c r="C6993" s="16" t="s">
        <v>9106</v>
      </c>
      <c r="D6993" s="16" t="s">
        <v>9107</v>
      </c>
      <c r="E6993" s="16" t="s">
        <v>9108</v>
      </c>
      <c r="F6993" s="6" t="s">
        <v>9110</v>
      </c>
      <c r="G6993" s="6" t="s">
        <v>11450</v>
      </c>
      <c r="H6993" s="186">
        <v>0</v>
      </c>
      <c r="I6993" s="16">
        <v>470000000</v>
      </c>
      <c r="J6993" s="187" t="s">
        <v>229</v>
      </c>
      <c r="K6993" s="6" t="s">
        <v>8901</v>
      </c>
      <c r="L6993" s="188" t="s">
        <v>9054</v>
      </c>
      <c r="M6993" s="162" t="s">
        <v>230</v>
      </c>
      <c r="N6993" s="6" t="s">
        <v>8914</v>
      </c>
      <c r="O6993" s="6" t="s">
        <v>8906</v>
      </c>
      <c r="P6993" s="58" t="s">
        <v>241</v>
      </c>
      <c r="Q6993" s="6" t="s">
        <v>234</v>
      </c>
      <c r="R6993" s="3">
        <v>5</v>
      </c>
      <c r="S6993" s="1">
        <v>4285.71</v>
      </c>
      <c r="T6993" s="4">
        <f t="shared" si="330"/>
        <v>21428.55</v>
      </c>
      <c r="U6993" s="4">
        <f t="shared" si="308"/>
        <v>23999.976000000002</v>
      </c>
      <c r="V6993" s="4"/>
      <c r="W6993" s="3">
        <v>2014</v>
      </c>
      <c r="X6993" s="190"/>
    </row>
    <row r="6994" spans="1:24" ht="102">
      <c r="A6994" s="3" t="s">
        <v>2974</v>
      </c>
      <c r="B6994" s="6" t="s">
        <v>361</v>
      </c>
      <c r="C6994" s="16" t="s">
        <v>9111</v>
      </c>
      <c r="D6994" s="16" t="s">
        <v>640</v>
      </c>
      <c r="E6994" s="16" t="s">
        <v>9112</v>
      </c>
      <c r="F6994" s="6" t="s">
        <v>9113</v>
      </c>
      <c r="G6994" s="6" t="s">
        <v>11450</v>
      </c>
      <c r="H6994" s="186">
        <v>0</v>
      </c>
      <c r="I6994" s="16">
        <v>470000000</v>
      </c>
      <c r="J6994" s="187" t="s">
        <v>229</v>
      </c>
      <c r="K6994" s="6" t="s">
        <v>8901</v>
      </c>
      <c r="L6994" s="188" t="s">
        <v>9054</v>
      </c>
      <c r="M6994" s="162" t="s">
        <v>230</v>
      </c>
      <c r="N6994" s="6" t="s">
        <v>8914</v>
      </c>
      <c r="O6994" s="6" t="s">
        <v>8906</v>
      </c>
      <c r="P6994" s="58" t="s">
        <v>241</v>
      </c>
      <c r="Q6994" s="6" t="s">
        <v>234</v>
      </c>
      <c r="R6994" s="3">
        <v>564</v>
      </c>
      <c r="S6994" s="1">
        <v>62.5</v>
      </c>
      <c r="T6994" s="4">
        <f t="shared" si="330"/>
        <v>35250</v>
      </c>
      <c r="U6994" s="4">
        <f t="shared" si="308"/>
        <v>39480.000000000007</v>
      </c>
      <c r="V6994" s="4"/>
      <c r="W6994" s="3">
        <v>2014</v>
      </c>
      <c r="X6994" s="190"/>
    </row>
    <row r="6995" spans="1:24" ht="102">
      <c r="A6995" s="3" t="s">
        <v>2975</v>
      </c>
      <c r="B6995" s="6" t="s">
        <v>361</v>
      </c>
      <c r="C6995" s="16" t="s">
        <v>9114</v>
      </c>
      <c r="D6995" s="16" t="s">
        <v>9115</v>
      </c>
      <c r="E6995" s="16" t="s">
        <v>9116</v>
      </c>
      <c r="F6995" s="6" t="s">
        <v>9117</v>
      </c>
      <c r="G6995" s="6" t="s">
        <v>11450</v>
      </c>
      <c r="H6995" s="186">
        <v>0</v>
      </c>
      <c r="I6995" s="16">
        <v>470000000</v>
      </c>
      <c r="J6995" s="187" t="s">
        <v>229</v>
      </c>
      <c r="K6995" s="6" t="s">
        <v>8901</v>
      </c>
      <c r="L6995" s="188" t="s">
        <v>9054</v>
      </c>
      <c r="M6995" s="162" t="s">
        <v>230</v>
      </c>
      <c r="N6995" s="6" t="s">
        <v>8914</v>
      </c>
      <c r="O6995" s="6" t="s">
        <v>8906</v>
      </c>
      <c r="P6995" s="58" t="s">
        <v>241</v>
      </c>
      <c r="Q6995" s="6" t="s">
        <v>234</v>
      </c>
      <c r="R6995" s="3">
        <v>100</v>
      </c>
      <c r="S6995" s="1">
        <v>60</v>
      </c>
      <c r="T6995" s="4">
        <f t="shared" si="330"/>
        <v>6000</v>
      </c>
      <c r="U6995" s="4">
        <f t="shared" si="308"/>
        <v>6720.0000000000009</v>
      </c>
      <c r="V6995" s="4"/>
      <c r="W6995" s="3">
        <v>2014</v>
      </c>
      <c r="X6995" s="190"/>
    </row>
    <row r="6996" spans="1:24" ht="102">
      <c r="A6996" s="3" t="s">
        <v>10725</v>
      </c>
      <c r="B6996" s="6" t="s">
        <v>361</v>
      </c>
      <c r="C6996" s="16" t="s">
        <v>9118</v>
      </c>
      <c r="D6996" s="16" t="s">
        <v>9119</v>
      </c>
      <c r="E6996" s="16" t="s">
        <v>9120</v>
      </c>
      <c r="F6996" s="6" t="s">
        <v>9121</v>
      </c>
      <c r="G6996" s="6" t="s">
        <v>11450</v>
      </c>
      <c r="H6996" s="186">
        <v>0</v>
      </c>
      <c r="I6996" s="16">
        <v>470000000</v>
      </c>
      <c r="J6996" s="187" t="s">
        <v>229</v>
      </c>
      <c r="K6996" s="6" t="s">
        <v>8901</v>
      </c>
      <c r="L6996" s="188" t="s">
        <v>9054</v>
      </c>
      <c r="M6996" s="162" t="s">
        <v>230</v>
      </c>
      <c r="N6996" s="6" t="s">
        <v>8914</v>
      </c>
      <c r="O6996" s="6" t="s">
        <v>8906</v>
      </c>
      <c r="P6996" s="3">
        <v>778</v>
      </c>
      <c r="Q6996" s="3" t="s">
        <v>246</v>
      </c>
      <c r="R6996" s="3">
        <v>914</v>
      </c>
      <c r="S6996" s="1">
        <v>50.4</v>
      </c>
      <c r="T6996" s="4">
        <f t="shared" si="330"/>
        <v>46065.599999999999</v>
      </c>
      <c r="U6996" s="4">
        <f t="shared" si="308"/>
        <v>51593.472000000002</v>
      </c>
      <c r="V6996" s="4"/>
      <c r="W6996" s="3">
        <v>2014</v>
      </c>
      <c r="X6996" s="190"/>
    </row>
    <row r="6997" spans="1:24" ht="102">
      <c r="A6997" s="3" t="s">
        <v>10726</v>
      </c>
      <c r="B6997" s="6" t="s">
        <v>361</v>
      </c>
      <c r="C6997" s="16" t="s">
        <v>9122</v>
      </c>
      <c r="D6997" s="16" t="s">
        <v>346</v>
      </c>
      <c r="E6997" s="16" t="s">
        <v>9123</v>
      </c>
      <c r="F6997" s="6" t="s">
        <v>9124</v>
      </c>
      <c r="G6997" s="6" t="s">
        <v>11450</v>
      </c>
      <c r="H6997" s="186">
        <v>0</v>
      </c>
      <c r="I6997" s="16">
        <v>470000000</v>
      </c>
      <c r="J6997" s="187" t="s">
        <v>229</v>
      </c>
      <c r="K6997" s="6" t="s">
        <v>8901</v>
      </c>
      <c r="L6997" s="188" t="s">
        <v>9054</v>
      </c>
      <c r="M6997" s="162" t="s">
        <v>230</v>
      </c>
      <c r="N6997" s="6" t="s">
        <v>8914</v>
      </c>
      <c r="O6997" s="6" t="s">
        <v>8906</v>
      </c>
      <c r="P6997" s="58" t="s">
        <v>241</v>
      </c>
      <c r="Q6997" s="6" t="s">
        <v>234</v>
      </c>
      <c r="R6997" s="3">
        <v>914</v>
      </c>
      <c r="S6997" s="1">
        <v>35.71</v>
      </c>
      <c r="T6997" s="4">
        <f t="shared" si="330"/>
        <v>32638.940000000002</v>
      </c>
      <c r="U6997" s="4">
        <f t="shared" si="308"/>
        <v>36555.612800000003</v>
      </c>
      <c r="V6997" s="4"/>
      <c r="W6997" s="3">
        <v>2014</v>
      </c>
      <c r="X6997" s="190"/>
    </row>
    <row r="6998" spans="1:24" ht="102">
      <c r="A6998" s="3" t="s">
        <v>10727</v>
      </c>
      <c r="B6998" s="6" t="s">
        <v>361</v>
      </c>
      <c r="C6998" s="16" t="s">
        <v>9125</v>
      </c>
      <c r="D6998" s="16" t="s">
        <v>9126</v>
      </c>
      <c r="E6998" s="16" t="s">
        <v>9127</v>
      </c>
      <c r="F6998" s="6" t="s">
        <v>9128</v>
      </c>
      <c r="G6998" s="6" t="s">
        <v>11450</v>
      </c>
      <c r="H6998" s="186">
        <v>0</v>
      </c>
      <c r="I6998" s="16">
        <v>470000000</v>
      </c>
      <c r="J6998" s="187" t="s">
        <v>229</v>
      </c>
      <c r="K6998" s="6" t="s">
        <v>8901</v>
      </c>
      <c r="L6998" s="188" t="s">
        <v>9054</v>
      </c>
      <c r="M6998" s="162" t="s">
        <v>230</v>
      </c>
      <c r="N6998" s="6" t="s">
        <v>8914</v>
      </c>
      <c r="O6998" s="6" t="s">
        <v>8906</v>
      </c>
      <c r="P6998" s="58" t="s">
        <v>241</v>
      </c>
      <c r="Q6998" s="6" t="s">
        <v>234</v>
      </c>
      <c r="R6998" s="3">
        <v>50</v>
      </c>
      <c r="S6998" s="1">
        <v>2500</v>
      </c>
      <c r="T6998" s="4">
        <f t="shared" si="330"/>
        <v>125000</v>
      </c>
      <c r="U6998" s="4">
        <f t="shared" si="308"/>
        <v>140000</v>
      </c>
      <c r="V6998" s="4"/>
      <c r="W6998" s="3">
        <v>2014</v>
      </c>
      <c r="X6998" s="190"/>
    </row>
    <row r="6999" spans="1:24" ht="102">
      <c r="A6999" s="3" t="s">
        <v>10728</v>
      </c>
      <c r="B6999" s="6" t="s">
        <v>361</v>
      </c>
      <c r="C6999" s="16" t="s">
        <v>9129</v>
      </c>
      <c r="D6999" s="16" t="s">
        <v>9130</v>
      </c>
      <c r="E6999" s="16" t="s">
        <v>9131</v>
      </c>
      <c r="F6999" s="6" t="s">
        <v>9132</v>
      </c>
      <c r="G6999" s="6" t="s">
        <v>11450</v>
      </c>
      <c r="H6999" s="186">
        <v>0</v>
      </c>
      <c r="I6999" s="16">
        <v>470000000</v>
      </c>
      <c r="J6999" s="187" t="s">
        <v>229</v>
      </c>
      <c r="K6999" s="6" t="s">
        <v>8901</v>
      </c>
      <c r="L6999" s="188" t="s">
        <v>9054</v>
      </c>
      <c r="M6999" s="162" t="s">
        <v>230</v>
      </c>
      <c r="N6999" s="6" t="s">
        <v>8914</v>
      </c>
      <c r="O6999" s="6" t="s">
        <v>8906</v>
      </c>
      <c r="P6999" s="58" t="s">
        <v>241</v>
      </c>
      <c r="Q6999" s="6" t="s">
        <v>234</v>
      </c>
      <c r="R6999" s="3">
        <v>50</v>
      </c>
      <c r="S6999" s="1">
        <v>401.79</v>
      </c>
      <c r="T6999" s="4">
        <f t="shared" si="330"/>
        <v>20089.5</v>
      </c>
      <c r="U6999" s="4">
        <f t="shared" si="308"/>
        <v>22500.240000000002</v>
      </c>
      <c r="V6999" s="4"/>
      <c r="W6999" s="3">
        <v>2014</v>
      </c>
      <c r="X6999" s="190"/>
    </row>
    <row r="7000" spans="1:24" ht="102">
      <c r="A7000" s="3" t="s">
        <v>10729</v>
      </c>
      <c r="B7000" s="6" t="s">
        <v>361</v>
      </c>
      <c r="C7000" s="16" t="s">
        <v>9133</v>
      </c>
      <c r="D7000" s="16" t="s">
        <v>9134</v>
      </c>
      <c r="E7000" s="16" t="s">
        <v>9135</v>
      </c>
      <c r="F7000" s="6" t="s">
        <v>9136</v>
      </c>
      <c r="G7000" s="6" t="s">
        <v>11450</v>
      </c>
      <c r="H7000" s="186">
        <v>0</v>
      </c>
      <c r="I7000" s="16">
        <v>470000000</v>
      </c>
      <c r="J7000" s="187" t="s">
        <v>229</v>
      </c>
      <c r="K7000" s="6" t="s">
        <v>8901</v>
      </c>
      <c r="L7000" s="188" t="s">
        <v>9054</v>
      </c>
      <c r="M7000" s="162" t="s">
        <v>230</v>
      </c>
      <c r="N7000" s="6" t="s">
        <v>8914</v>
      </c>
      <c r="O7000" s="6" t="s">
        <v>8906</v>
      </c>
      <c r="P7000" s="58" t="s">
        <v>241</v>
      </c>
      <c r="Q7000" s="6" t="s">
        <v>234</v>
      </c>
      <c r="R7000" s="3">
        <v>50</v>
      </c>
      <c r="S7000" s="1">
        <v>352.68</v>
      </c>
      <c r="T7000" s="4">
        <f t="shared" si="330"/>
        <v>17634</v>
      </c>
      <c r="U7000" s="4">
        <f t="shared" si="308"/>
        <v>19750.080000000002</v>
      </c>
      <c r="V7000" s="4"/>
      <c r="W7000" s="3">
        <v>2014</v>
      </c>
      <c r="X7000" s="190"/>
    </row>
    <row r="7001" spans="1:24" ht="102">
      <c r="A7001" s="3" t="s">
        <v>10730</v>
      </c>
      <c r="B7001" s="6" t="s">
        <v>361</v>
      </c>
      <c r="C7001" s="16" t="s">
        <v>9137</v>
      </c>
      <c r="D7001" s="16" t="s">
        <v>8633</v>
      </c>
      <c r="E7001" s="16" t="s">
        <v>9138</v>
      </c>
      <c r="F7001" s="6" t="s">
        <v>9139</v>
      </c>
      <c r="G7001" s="6" t="s">
        <v>11450</v>
      </c>
      <c r="H7001" s="186">
        <v>0</v>
      </c>
      <c r="I7001" s="16">
        <v>470000000</v>
      </c>
      <c r="J7001" s="187" t="s">
        <v>229</v>
      </c>
      <c r="K7001" s="6" t="s">
        <v>8901</v>
      </c>
      <c r="L7001" s="188" t="s">
        <v>9054</v>
      </c>
      <c r="M7001" s="162" t="s">
        <v>230</v>
      </c>
      <c r="N7001" s="6" t="s">
        <v>8914</v>
      </c>
      <c r="O7001" s="6" t="s">
        <v>8906</v>
      </c>
      <c r="P7001" s="58" t="s">
        <v>241</v>
      </c>
      <c r="Q7001" s="6" t="s">
        <v>234</v>
      </c>
      <c r="R7001" s="3">
        <v>100</v>
      </c>
      <c r="S7001" s="1">
        <v>642.86</v>
      </c>
      <c r="T7001" s="4">
        <f t="shared" si="330"/>
        <v>64286</v>
      </c>
      <c r="U7001" s="4">
        <f t="shared" ref="U7001:U7073" si="331">T7001*1.12</f>
        <v>72000.320000000007</v>
      </c>
      <c r="V7001" s="4"/>
      <c r="W7001" s="3">
        <v>2014</v>
      </c>
      <c r="X7001" s="190"/>
    </row>
    <row r="7002" spans="1:24" ht="102">
      <c r="A7002" s="3" t="s">
        <v>10731</v>
      </c>
      <c r="B7002" s="6" t="s">
        <v>361</v>
      </c>
      <c r="C7002" s="16" t="s">
        <v>9140</v>
      </c>
      <c r="D7002" s="16" t="s">
        <v>9141</v>
      </c>
      <c r="E7002" s="16" t="s">
        <v>9142</v>
      </c>
      <c r="F7002" s="6" t="s">
        <v>9143</v>
      </c>
      <c r="G7002" s="6" t="s">
        <v>11450</v>
      </c>
      <c r="H7002" s="186">
        <v>0</v>
      </c>
      <c r="I7002" s="16">
        <v>470000000</v>
      </c>
      <c r="J7002" s="187" t="s">
        <v>229</v>
      </c>
      <c r="K7002" s="6" t="s">
        <v>8901</v>
      </c>
      <c r="L7002" s="188" t="s">
        <v>9054</v>
      </c>
      <c r="M7002" s="162" t="s">
        <v>230</v>
      </c>
      <c r="N7002" s="6" t="s">
        <v>8914</v>
      </c>
      <c r="O7002" s="6" t="s">
        <v>8906</v>
      </c>
      <c r="P7002" s="58" t="s">
        <v>241</v>
      </c>
      <c r="Q7002" s="6" t="s">
        <v>234</v>
      </c>
      <c r="R7002" s="3">
        <v>50</v>
      </c>
      <c r="S7002" s="1">
        <v>31</v>
      </c>
      <c r="T7002" s="4">
        <f t="shared" si="330"/>
        <v>1550</v>
      </c>
      <c r="U7002" s="4">
        <f t="shared" si="331"/>
        <v>1736.0000000000002</v>
      </c>
      <c r="V7002" s="4"/>
      <c r="W7002" s="3">
        <v>2014</v>
      </c>
      <c r="X7002" s="190"/>
    </row>
    <row r="7003" spans="1:24" ht="102">
      <c r="A7003" s="3" t="s">
        <v>10732</v>
      </c>
      <c r="B7003" s="6" t="s">
        <v>361</v>
      </c>
      <c r="C7003" s="16" t="s">
        <v>9144</v>
      </c>
      <c r="D7003" s="16" t="s">
        <v>9134</v>
      </c>
      <c r="E7003" s="16" t="s">
        <v>9145</v>
      </c>
      <c r="F7003" s="3" t="s">
        <v>9146</v>
      </c>
      <c r="G7003" s="6" t="s">
        <v>11450</v>
      </c>
      <c r="H7003" s="186">
        <v>0</v>
      </c>
      <c r="I7003" s="16">
        <v>470000000</v>
      </c>
      <c r="J7003" s="187" t="s">
        <v>229</v>
      </c>
      <c r="K7003" s="6" t="s">
        <v>8901</v>
      </c>
      <c r="L7003" s="188" t="s">
        <v>9054</v>
      </c>
      <c r="M7003" s="162" t="s">
        <v>230</v>
      </c>
      <c r="N7003" s="6" t="s">
        <v>8914</v>
      </c>
      <c r="O7003" s="6" t="s">
        <v>8906</v>
      </c>
      <c r="P7003" s="58" t="s">
        <v>241</v>
      </c>
      <c r="Q7003" s="6" t="s">
        <v>234</v>
      </c>
      <c r="R7003" s="3">
        <v>214</v>
      </c>
      <c r="S7003" s="1">
        <v>53.57</v>
      </c>
      <c r="T7003" s="4">
        <f t="shared" si="330"/>
        <v>11463.98</v>
      </c>
      <c r="U7003" s="4">
        <f t="shared" si="331"/>
        <v>12839.6576</v>
      </c>
      <c r="V7003" s="4"/>
      <c r="W7003" s="3">
        <v>2014</v>
      </c>
      <c r="X7003" s="190"/>
    </row>
    <row r="7004" spans="1:24" ht="127.5">
      <c r="A7004" s="3" t="s">
        <v>10733</v>
      </c>
      <c r="B7004" s="6" t="s">
        <v>361</v>
      </c>
      <c r="C7004" s="16" t="s">
        <v>9147</v>
      </c>
      <c r="D7004" s="16" t="s">
        <v>8660</v>
      </c>
      <c r="E7004" s="16" t="s">
        <v>9148</v>
      </c>
      <c r="F7004" s="6" t="s">
        <v>9149</v>
      </c>
      <c r="G7004" s="6" t="s">
        <v>11450</v>
      </c>
      <c r="H7004" s="186">
        <v>0</v>
      </c>
      <c r="I7004" s="16">
        <v>470000000</v>
      </c>
      <c r="J7004" s="187" t="s">
        <v>229</v>
      </c>
      <c r="K7004" s="6" t="s">
        <v>8901</v>
      </c>
      <c r="L7004" s="188" t="s">
        <v>9054</v>
      </c>
      <c r="M7004" s="162" t="s">
        <v>230</v>
      </c>
      <c r="N7004" s="6" t="s">
        <v>8914</v>
      </c>
      <c r="O7004" s="6" t="s">
        <v>8906</v>
      </c>
      <c r="P7004" s="58" t="s">
        <v>241</v>
      </c>
      <c r="Q7004" s="6" t="s">
        <v>234</v>
      </c>
      <c r="R7004" s="3">
        <v>428</v>
      </c>
      <c r="S7004" s="1">
        <v>116.07</v>
      </c>
      <c r="T7004" s="4">
        <f t="shared" si="330"/>
        <v>49677.96</v>
      </c>
      <c r="U7004" s="4">
        <f t="shared" si="331"/>
        <v>55639.315200000005</v>
      </c>
      <c r="V7004" s="4"/>
      <c r="W7004" s="3">
        <v>2014</v>
      </c>
      <c r="X7004" s="190"/>
    </row>
    <row r="7005" spans="1:24" ht="102">
      <c r="A7005" s="3" t="s">
        <v>10734</v>
      </c>
      <c r="B7005" s="6" t="s">
        <v>361</v>
      </c>
      <c r="C7005" s="16" t="s">
        <v>9150</v>
      </c>
      <c r="D7005" s="16" t="s">
        <v>9151</v>
      </c>
      <c r="E7005" s="16" t="s">
        <v>9152</v>
      </c>
      <c r="F7005" s="6" t="s">
        <v>9153</v>
      </c>
      <c r="G7005" s="6" t="s">
        <v>11450</v>
      </c>
      <c r="H7005" s="186">
        <v>0</v>
      </c>
      <c r="I7005" s="16">
        <v>470000000</v>
      </c>
      <c r="J7005" s="187" t="s">
        <v>229</v>
      </c>
      <c r="K7005" s="6" t="s">
        <v>8901</v>
      </c>
      <c r="L7005" s="188" t="s">
        <v>9054</v>
      </c>
      <c r="M7005" s="162" t="s">
        <v>230</v>
      </c>
      <c r="N7005" s="6" t="s">
        <v>8914</v>
      </c>
      <c r="O7005" s="6" t="s">
        <v>8906</v>
      </c>
      <c r="P7005" s="58" t="s">
        <v>241</v>
      </c>
      <c r="Q7005" s="6" t="s">
        <v>234</v>
      </c>
      <c r="R7005" s="3">
        <v>214</v>
      </c>
      <c r="S7005" s="1">
        <v>31.25</v>
      </c>
      <c r="T7005" s="4">
        <f t="shared" si="330"/>
        <v>6687.5</v>
      </c>
      <c r="U7005" s="4">
        <f t="shared" si="331"/>
        <v>7490.0000000000009</v>
      </c>
      <c r="V7005" s="4"/>
      <c r="W7005" s="3">
        <v>2014</v>
      </c>
      <c r="X7005" s="190"/>
    </row>
    <row r="7006" spans="1:24" ht="102">
      <c r="A7006" s="3" t="s">
        <v>10735</v>
      </c>
      <c r="B7006" s="6" t="s">
        <v>361</v>
      </c>
      <c r="C7006" s="16" t="s">
        <v>9154</v>
      </c>
      <c r="D7006" s="16" t="s">
        <v>9155</v>
      </c>
      <c r="E7006" s="16" t="s">
        <v>9156</v>
      </c>
      <c r="F7006" s="6" t="s">
        <v>9157</v>
      </c>
      <c r="G7006" s="6" t="s">
        <v>11450</v>
      </c>
      <c r="H7006" s="186">
        <v>0</v>
      </c>
      <c r="I7006" s="16">
        <v>470000000</v>
      </c>
      <c r="J7006" s="187" t="s">
        <v>229</v>
      </c>
      <c r="K7006" s="6" t="s">
        <v>8901</v>
      </c>
      <c r="L7006" s="188" t="s">
        <v>9054</v>
      </c>
      <c r="M7006" s="162" t="s">
        <v>230</v>
      </c>
      <c r="N7006" s="6" t="s">
        <v>8914</v>
      </c>
      <c r="O7006" s="6" t="s">
        <v>8906</v>
      </c>
      <c r="P7006" s="58" t="s">
        <v>241</v>
      </c>
      <c r="Q7006" s="6" t="s">
        <v>234</v>
      </c>
      <c r="R7006" s="3">
        <v>107</v>
      </c>
      <c r="S7006" s="1">
        <v>55</v>
      </c>
      <c r="T7006" s="4">
        <f t="shared" si="330"/>
        <v>5885</v>
      </c>
      <c r="U7006" s="4">
        <f t="shared" si="331"/>
        <v>6591.2000000000007</v>
      </c>
      <c r="V7006" s="4"/>
      <c r="W7006" s="3">
        <v>2014</v>
      </c>
      <c r="X7006" s="190"/>
    </row>
    <row r="7007" spans="1:24" ht="102">
      <c r="A7007" s="3" t="s">
        <v>10736</v>
      </c>
      <c r="B7007" s="6" t="s">
        <v>361</v>
      </c>
      <c r="C7007" s="16" t="s">
        <v>9158</v>
      </c>
      <c r="D7007" s="16" t="s">
        <v>9159</v>
      </c>
      <c r="E7007" s="16" t="s">
        <v>9160</v>
      </c>
      <c r="F7007" s="6" t="s">
        <v>9161</v>
      </c>
      <c r="G7007" s="6" t="s">
        <v>11450</v>
      </c>
      <c r="H7007" s="186">
        <v>0</v>
      </c>
      <c r="I7007" s="16">
        <v>470000000</v>
      </c>
      <c r="J7007" s="187" t="s">
        <v>229</v>
      </c>
      <c r="K7007" s="6" t="s">
        <v>8901</v>
      </c>
      <c r="L7007" s="188" t="s">
        <v>9054</v>
      </c>
      <c r="M7007" s="162" t="s">
        <v>230</v>
      </c>
      <c r="N7007" s="6" t="s">
        <v>8914</v>
      </c>
      <c r="O7007" s="6" t="s">
        <v>8906</v>
      </c>
      <c r="P7007" s="58" t="s">
        <v>241</v>
      </c>
      <c r="Q7007" s="6" t="s">
        <v>234</v>
      </c>
      <c r="R7007" s="3">
        <v>50</v>
      </c>
      <c r="S7007" s="1">
        <v>473.21</v>
      </c>
      <c r="T7007" s="4">
        <f t="shared" si="330"/>
        <v>23660.5</v>
      </c>
      <c r="U7007" s="4">
        <f t="shared" si="331"/>
        <v>26499.760000000002</v>
      </c>
      <c r="V7007" s="4"/>
      <c r="W7007" s="3">
        <v>2014</v>
      </c>
      <c r="X7007" s="190"/>
    </row>
    <row r="7008" spans="1:24" ht="216.75">
      <c r="A7008" s="3" t="s">
        <v>10737</v>
      </c>
      <c r="B7008" s="6" t="s">
        <v>361</v>
      </c>
      <c r="C7008" s="16" t="s">
        <v>9162</v>
      </c>
      <c r="D7008" s="16" t="s">
        <v>9163</v>
      </c>
      <c r="E7008" s="16" t="s">
        <v>9164</v>
      </c>
      <c r="F7008" s="6" t="s">
        <v>9165</v>
      </c>
      <c r="G7008" s="6" t="s">
        <v>11450</v>
      </c>
      <c r="H7008" s="186">
        <v>0</v>
      </c>
      <c r="I7008" s="16">
        <v>470000000</v>
      </c>
      <c r="J7008" s="187" t="s">
        <v>229</v>
      </c>
      <c r="K7008" s="6" t="s">
        <v>8901</v>
      </c>
      <c r="L7008" s="188" t="s">
        <v>9054</v>
      </c>
      <c r="M7008" s="162" t="s">
        <v>230</v>
      </c>
      <c r="N7008" s="6" t="s">
        <v>8914</v>
      </c>
      <c r="O7008" s="6" t="s">
        <v>8906</v>
      </c>
      <c r="P7008" s="58" t="s">
        <v>241</v>
      </c>
      <c r="Q7008" s="6" t="s">
        <v>234</v>
      </c>
      <c r="R7008" s="3">
        <v>60</v>
      </c>
      <c r="S7008" s="1">
        <v>1550</v>
      </c>
      <c r="T7008" s="4">
        <f t="shared" si="330"/>
        <v>93000</v>
      </c>
      <c r="U7008" s="4">
        <f t="shared" si="331"/>
        <v>104160.00000000001</v>
      </c>
      <c r="V7008" s="4"/>
      <c r="W7008" s="3">
        <v>2014</v>
      </c>
      <c r="X7008" s="190"/>
    </row>
    <row r="7009" spans="1:24" ht="102">
      <c r="A7009" s="3" t="s">
        <v>10738</v>
      </c>
      <c r="B7009" s="56" t="s">
        <v>9166</v>
      </c>
      <c r="C7009" s="16" t="s">
        <v>9167</v>
      </c>
      <c r="D7009" s="16" t="s">
        <v>9168</v>
      </c>
      <c r="E7009" s="16" t="s">
        <v>9169</v>
      </c>
      <c r="F7009" s="79"/>
      <c r="G7009" s="6" t="s">
        <v>11450</v>
      </c>
      <c r="H7009" s="67">
        <v>0.1</v>
      </c>
      <c r="I7009" s="16">
        <v>470000000</v>
      </c>
      <c r="J7009" s="56" t="s">
        <v>229</v>
      </c>
      <c r="K7009" s="56" t="s">
        <v>9170</v>
      </c>
      <c r="L7009" s="16" t="s">
        <v>9171</v>
      </c>
      <c r="M7009" s="162" t="s">
        <v>230</v>
      </c>
      <c r="N7009" s="65" t="s">
        <v>11427</v>
      </c>
      <c r="O7009" s="6" t="s">
        <v>8906</v>
      </c>
      <c r="P7009" s="79">
        <v>5111</v>
      </c>
      <c r="Q7009" s="70" t="s">
        <v>9055</v>
      </c>
      <c r="R7009" s="70">
        <v>1040</v>
      </c>
      <c r="S7009" s="71">
        <v>179</v>
      </c>
      <c r="T7009" s="4">
        <v>0</v>
      </c>
      <c r="U7009" s="4">
        <f t="shared" si="331"/>
        <v>0</v>
      </c>
      <c r="V7009" s="3"/>
      <c r="W7009" s="3">
        <v>2014</v>
      </c>
      <c r="X7009" s="3">
        <v>11.12</v>
      </c>
    </row>
    <row r="7010" spans="1:24" ht="102">
      <c r="A7010" s="3" t="s">
        <v>14016</v>
      </c>
      <c r="B7010" s="56" t="s">
        <v>9166</v>
      </c>
      <c r="C7010" s="16" t="s">
        <v>9167</v>
      </c>
      <c r="D7010" s="16" t="s">
        <v>9168</v>
      </c>
      <c r="E7010" s="16" t="s">
        <v>9169</v>
      </c>
      <c r="F7010" s="79"/>
      <c r="G7010" s="6" t="s">
        <v>11450</v>
      </c>
      <c r="H7010" s="67">
        <v>0.1</v>
      </c>
      <c r="I7010" s="16">
        <v>470000000</v>
      </c>
      <c r="J7010" s="56" t="s">
        <v>229</v>
      </c>
      <c r="K7010" s="56" t="s">
        <v>642</v>
      </c>
      <c r="L7010" s="65" t="s">
        <v>8913</v>
      </c>
      <c r="M7010" s="162" t="s">
        <v>230</v>
      </c>
      <c r="N7010" s="65" t="s">
        <v>11427</v>
      </c>
      <c r="O7010" s="6" t="s">
        <v>8906</v>
      </c>
      <c r="P7010" s="79">
        <v>5111</v>
      </c>
      <c r="Q7010" s="70" t="s">
        <v>9055</v>
      </c>
      <c r="R7010" s="70">
        <v>1040</v>
      </c>
      <c r="S7010" s="71">
        <v>179</v>
      </c>
      <c r="T7010" s="4">
        <v>0</v>
      </c>
      <c r="U7010" s="4">
        <f>T7010*1.12</f>
        <v>0</v>
      </c>
      <c r="V7010" s="3"/>
      <c r="W7010" s="3">
        <v>2014</v>
      </c>
      <c r="X7010" s="3" t="s">
        <v>14785</v>
      </c>
    </row>
    <row r="7011" spans="1:24" ht="102">
      <c r="A7011" s="3" t="s">
        <v>16465</v>
      </c>
      <c r="B7011" s="56" t="s">
        <v>9166</v>
      </c>
      <c r="C7011" s="16" t="s">
        <v>9167</v>
      </c>
      <c r="D7011" s="16" t="s">
        <v>9168</v>
      </c>
      <c r="E7011" s="16" t="s">
        <v>9169</v>
      </c>
      <c r="F7011" s="79"/>
      <c r="G7011" s="3" t="s">
        <v>11450</v>
      </c>
      <c r="H7011" s="67">
        <v>0.1</v>
      </c>
      <c r="I7011" s="16">
        <v>470000000</v>
      </c>
      <c r="J7011" s="56" t="s">
        <v>229</v>
      </c>
      <c r="K7011" s="56" t="s">
        <v>8950</v>
      </c>
      <c r="L7011" s="65" t="s">
        <v>8913</v>
      </c>
      <c r="M7011" s="162" t="s">
        <v>230</v>
      </c>
      <c r="N7011" s="65" t="s">
        <v>11427</v>
      </c>
      <c r="O7011" s="6" t="s">
        <v>8906</v>
      </c>
      <c r="P7011" s="79">
        <v>5111</v>
      </c>
      <c r="Q7011" s="70" t="s">
        <v>9055</v>
      </c>
      <c r="R7011" s="70">
        <v>1040</v>
      </c>
      <c r="S7011" s="71">
        <v>214.79999999999998</v>
      </c>
      <c r="T7011" s="4">
        <f>R7011*S7011</f>
        <v>223391.99999999997</v>
      </c>
      <c r="U7011" s="1">
        <f>T7011*1.12</f>
        <v>250199.03999999998</v>
      </c>
      <c r="V7011" s="3"/>
      <c r="W7011" s="3">
        <v>2014</v>
      </c>
      <c r="X7011" s="3"/>
    </row>
    <row r="7012" spans="1:24" ht="89.25">
      <c r="A7012" s="3" t="s">
        <v>10739</v>
      </c>
      <c r="B7012" s="56" t="s">
        <v>9166</v>
      </c>
      <c r="C7012" s="16" t="s">
        <v>9172</v>
      </c>
      <c r="D7012" s="16" t="s">
        <v>9173</v>
      </c>
      <c r="E7012" s="16" t="s">
        <v>9174</v>
      </c>
      <c r="F7012" s="6"/>
      <c r="G7012" s="6" t="s">
        <v>11450</v>
      </c>
      <c r="H7012" s="67">
        <v>0</v>
      </c>
      <c r="I7012" s="16">
        <v>470000000</v>
      </c>
      <c r="J7012" s="56" t="s">
        <v>229</v>
      </c>
      <c r="K7012" s="56" t="s">
        <v>641</v>
      </c>
      <c r="L7012" s="16" t="s">
        <v>9171</v>
      </c>
      <c r="M7012" s="162" t="s">
        <v>230</v>
      </c>
      <c r="N7012" s="65" t="s">
        <v>11427</v>
      </c>
      <c r="O7012" s="6" t="s">
        <v>9175</v>
      </c>
      <c r="P7012" s="79">
        <v>5111</v>
      </c>
      <c r="Q7012" s="70" t="s">
        <v>9055</v>
      </c>
      <c r="R7012" s="70">
        <v>200</v>
      </c>
      <c r="S7012" s="71">
        <v>187.5</v>
      </c>
      <c r="T7012" s="4">
        <f t="shared" si="330"/>
        <v>37500</v>
      </c>
      <c r="U7012" s="1">
        <f t="shared" si="331"/>
        <v>42000.000000000007</v>
      </c>
      <c r="V7012" s="3"/>
      <c r="W7012" s="3">
        <v>2014</v>
      </c>
      <c r="X7012" s="3"/>
    </row>
    <row r="7013" spans="1:24" ht="89.25">
      <c r="A7013" s="3" t="s">
        <v>10740</v>
      </c>
      <c r="B7013" s="56" t="s">
        <v>9166</v>
      </c>
      <c r="C7013" s="16" t="s">
        <v>9176</v>
      </c>
      <c r="D7013" s="16" t="s">
        <v>9173</v>
      </c>
      <c r="E7013" s="16" t="s">
        <v>9177</v>
      </c>
      <c r="F7013" s="16" t="s">
        <v>9178</v>
      </c>
      <c r="G7013" s="6" t="s">
        <v>11450</v>
      </c>
      <c r="H7013" s="67">
        <v>0</v>
      </c>
      <c r="I7013" s="16">
        <v>470000000</v>
      </c>
      <c r="J7013" s="56" t="s">
        <v>229</v>
      </c>
      <c r="K7013" s="56" t="s">
        <v>641</v>
      </c>
      <c r="L7013" s="16" t="s">
        <v>9171</v>
      </c>
      <c r="M7013" s="162" t="s">
        <v>230</v>
      </c>
      <c r="N7013" s="65" t="s">
        <v>11427</v>
      </c>
      <c r="O7013" s="6" t="s">
        <v>9175</v>
      </c>
      <c r="P7013" s="58" t="s">
        <v>241</v>
      </c>
      <c r="Q7013" s="6" t="s">
        <v>234</v>
      </c>
      <c r="R7013" s="70">
        <v>400</v>
      </c>
      <c r="S7013" s="71">
        <v>375</v>
      </c>
      <c r="T7013" s="4">
        <f t="shared" si="330"/>
        <v>150000</v>
      </c>
      <c r="U7013" s="1">
        <f t="shared" si="331"/>
        <v>168000.00000000003</v>
      </c>
      <c r="V7013" s="3"/>
      <c r="W7013" s="3">
        <v>2014</v>
      </c>
      <c r="X7013" s="3"/>
    </row>
    <row r="7014" spans="1:24" ht="102">
      <c r="A7014" s="3" t="s">
        <v>10741</v>
      </c>
      <c r="B7014" s="56" t="s">
        <v>9166</v>
      </c>
      <c r="C7014" s="16" t="s">
        <v>9179</v>
      </c>
      <c r="D7014" s="16" t="s">
        <v>9180</v>
      </c>
      <c r="E7014" s="16" t="s">
        <v>9181</v>
      </c>
      <c r="F7014" s="16" t="s">
        <v>9182</v>
      </c>
      <c r="G7014" s="6" t="s">
        <v>11450</v>
      </c>
      <c r="H7014" s="67">
        <v>0</v>
      </c>
      <c r="I7014" s="16">
        <v>470000000</v>
      </c>
      <c r="J7014" s="56" t="s">
        <v>229</v>
      </c>
      <c r="K7014" s="56" t="s">
        <v>641</v>
      </c>
      <c r="L7014" s="16" t="s">
        <v>9171</v>
      </c>
      <c r="M7014" s="162" t="s">
        <v>230</v>
      </c>
      <c r="N7014" s="65" t="s">
        <v>11427</v>
      </c>
      <c r="O7014" s="6" t="s">
        <v>9175</v>
      </c>
      <c r="P7014" s="58" t="s">
        <v>241</v>
      </c>
      <c r="Q7014" s="6" t="s">
        <v>234</v>
      </c>
      <c r="R7014" s="70">
        <v>200</v>
      </c>
      <c r="S7014" s="71">
        <v>380</v>
      </c>
      <c r="T7014" s="4">
        <f t="shared" si="330"/>
        <v>76000</v>
      </c>
      <c r="U7014" s="1">
        <f t="shared" si="331"/>
        <v>85120.000000000015</v>
      </c>
      <c r="V7014" s="3"/>
      <c r="W7014" s="3">
        <v>2014</v>
      </c>
      <c r="X7014" s="3"/>
    </row>
    <row r="7015" spans="1:24" ht="89.25">
      <c r="A7015" s="3" t="s">
        <v>10742</v>
      </c>
      <c r="B7015" s="56" t="s">
        <v>9166</v>
      </c>
      <c r="C7015" s="16" t="s">
        <v>9183</v>
      </c>
      <c r="D7015" s="16" t="s">
        <v>9184</v>
      </c>
      <c r="E7015" s="16" t="s">
        <v>9185</v>
      </c>
      <c r="F7015" s="6"/>
      <c r="G7015" s="6" t="s">
        <v>11450</v>
      </c>
      <c r="H7015" s="67">
        <v>0</v>
      </c>
      <c r="I7015" s="16">
        <v>470000000</v>
      </c>
      <c r="J7015" s="56" t="s">
        <v>229</v>
      </c>
      <c r="K7015" s="56" t="s">
        <v>641</v>
      </c>
      <c r="L7015" s="16" t="s">
        <v>9171</v>
      </c>
      <c r="M7015" s="162" t="s">
        <v>230</v>
      </c>
      <c r="N7015" s="65" t="s">
        <v>11427</v>
      </c>
      <c r="O7015" s="6" t="s">
        <v>9175</v>
      </c>
      <c r="P7015" s="58" t="s">
        <v>241</v>
      </c>
      <c r="Q7015" s="6" t="s">
        <v>234</v>
      </c>
      <c r="R7015" s="70">
        <v>100</v>
      </c>
      <c r="S7015" s="71">
        <v>437.5</v>
      </c>
      <c r="T7015" s="4">
        <f t="shared" si="330"/>
        <v>43750</v>
      </c>
      <c r="U7015" s="1">
        <f t="shared" si="331"/>
        <v>49000.000000000007</v>
      </c>
      <c r="V7015" s="3"/>
      <c r="W7015" s="3">
        <v>2014</v>
      </c>
      <c r="X7015" s="3"/>
    </row>
    <row r="7016" spans="1:24" ht="89.25">
      <c r="A7016" s="3" t="s">
        <v>10743</v>
      </c>
      <c r="B7016" s="56" t="s">
        <v>9166</v>
      </c>
      <c r="C7016" s="16" t="s">
        <v>9186</v>
      </c>
      <c r="D7016" s="16" t="s">
        <v>9187</v>
      </c>
      <c r="E7016" s="16" t="s">
        <v>9188</v>
      </c>
      <c r="F7016" s="6"/>
      <c r="G7016" s="6" t="s">
        <v>11450</v>
      </c>
      <c r="H7016" s="67">
        <v>0</v>
      </c>
      <c r="I7016" s="16">
        <v>470000000</v>
      </c>
      <c r="J7016" s="56" t="s">
        <v>229</v>
      </c>
      <c r="K7016" s="56" t="s">
        <v>641</v>
      </c>
      <c r="L7016" s="16" t="s">
        <v>9171</v>
      </c>
      <c r="M7016" s="162" t="s">
        <v>230</v>
      </c>
      <c r="N7016" s="65" t="s">
        <v>11427</v>
      </c>
      <c r="O7016" s="6" t="s">
        <v>9175</v>
      </c>
      <c r="P7016" s="58" t="s">
        <v>241</v>
      </c>
      <c r="Q7016" s="6" t="s">
        <v>234</v>
      </c>
      <c r="R7016" s="70">
        <v>50</v>
      </c>
      <c r="S7016" s="71">
        <v>558.33000000000004</v>
      </c>
      <c r="T7016" s="4">
        <f t="shared" si="330"/>
        <v>27916.500000000004</v>
      </c>
      <c r="U7016" s="1">
        <f t="shared" si="331"/>
        <v>31266.480000000007</v>
      </c>
      <c r="V7016" s="3"/>
      <c r="W7016" s="3">
        <v>2014</v>
      </c>
      <c r="X7016" s="3"/>
    </row>
    <row r="7017" spans="1:24" ht="89.25">
      <c r="A7017" s="3" t="s">
        <v>10744</v>
      </c>
      <c r="B7017" s="56" t="s">
        <v>9166</v>
      </c>
      <c r="C7017" s="16" t="s">
        <v>9189</v>
      </c>
      <c r="D7017" s="16" t="s">
        <v>9190</v>
      </c>
      <c r="E7017" s="16" t="s">
        <v>9191</v>
      </c>
      <c r="F7017" s="16" t="s">
        <v>9192</v>
      </c>
      <c r="G7017" s="6" t="s">
        <v>11450</v>
      </c>
      <c r="H7017" s="67">
        <v>0</v>
      </c>
      <c r="I7017" s="16">
        <v>470000000</v>
      </c>
      <c r="J7017" s="56" t="s">
        <v>229</v>
      </c>
      <c r="K7017" s="56" t="s">
        <v>641</v>
      </c>
      <c r="L7017" s="16" t="s">
        <v>9171</v>
      </c>
      <c r="M7017" s="162" t="s">
        <v>230</v>
      </c>
      <c r="N7017" s="65" t="s">
        <v>11427</v>
      </c>
      <c r="O7017" s="6" t="s">
        <v>9175</v>
      </c>
      <c r="P7017" s="58" t="s">
        <v>237</v>
      </c>
      <c r="Q7017" s="6" t="s">
        <v>238</v>
      </c>
      <c r="R7017" s="70">
        <v>1320</v>
      </c>
      <c r="S7017" s="71">
        <v>161</v>
      </c>
      <c r="T7017" s="4">
        <v>0</v>
      </c>
      <c r="U7017" s="1">
        <f t="shared" si="331"/>
        <v>0</v>
      </c>
      <c r="V7017" s="3"/>
      <c r="W7017" s="3">
        <v>2014</v>
      </c>
      <c r="X7017" s="3" t="s">
        <v>12051</v>
      </c>
    </row>
    <row r="7018" spans="1:24" ht="89.25">
      <c r="A7018" s="3" t="s">
        <v>15871</v>
      </c>
      <c r="B7018" s="56" t="s">
        <v>9166</v>
      </c>
      <c r="C7018" s="16" t="s">
        <v>9189</v>
      </c>
      <c r="D7018" s="16" t="s">
        <v>9190</v>
      </c>
      <c r="E7018" s="16" t="s">
        <v>9191</v>
      </c>
      <c r="F7018" s="16" t="s">
        <v>9192</v>
      </c>
      <c r="G7018" s="6" t="s">
        <v>11450</v>
      </c>
      <c r="H7018" s="67">
        <v>0</v>
      </c>
      <c r="I7018" s="16">
        <v>470000000</v>
      </c>
      <c r="J7018" s="56" t="s">
        <v>229</v>
      </c>
      <c r="K7018" s="56" t="s">
        <v>7699</v>
      </c>
      <c r="L7018" s="16" t="s">
        <v>9171</v>
      </c>
      <c r="M7018" s="162" t="s">
        <v>230</v>
      </c>
      <c r="N7018" s="65" t="s">
        <v>11427</v>
      </c>
      <c r="O7018" s="6" t="s">
        <v>9175</v>
      </c>
      <c r="P7018" s="58" t="s">
        <v>237</v>
      </c>
      <c r="Q7018" s="6" t="s">
        <v>238</v>
      </c>
      <c r="R7018" s="70">
        <v>1133</v>
      </c>
      <c r="S7018" s="71">
        <v>187.5</v>
      </c>
      <c r="T7018" s="4">
        <f t="shared" si="330"/>
        <v>212437.5</v>
      </c>
      <c r="U7018" s="1">
        <f t="shared" si="331"/>
        <v>237930.00000000003</v>
      </c>
      <c r="V7018" s="3"/>
      <c r="W7018" s="3">
        <v>2014</v>
      </c>
      <c r="X7018" s="3"/>
    </row>
    <row r="7019" spans="1:24" ht="89.25">
      <c r="A7019" s="3" t="s">
        <v>10745</v>
      </c>
      <c r="B7019" s="56" t="s">
        <v>9166</v>
      </c>
      <c r="C7019" s="16" t="s">
        <v>9193</v>
      </c>
      <c r="D7019" s="16" t="s">
        <v>575</v>
      </c>
      <c r="E7019" s="16" t="s">
        <v>9194</v>
      </c>
      <c r="F7019" s="6"/>
      <c r="G7019" s="6" t="s">
        <v>11450</v>
      </c>
      <c r="H7019" s="67">
        <v>0.2</v>
      </c>
      <c r="I7019" s="16">
        <v>470000000</v>
      </c>
      <c r="J7019" s="56" t="s">
        <v>229</v>
      </c>
      <c r="K7019" s="56" t="s">
        <v>641</v>
      </c>
      <c r="L7019" s="16" t="s">
        <v>9171</v>
      </c>
      <c r="M7019" s="162" t="s">
        <v>230</v>
      </c>
      <c r="N7019" s="65" t="s">
        <v>11427</v>
      </c>
      <c r="O7019" s="6" t="s">
        <v>9175</v>
      </c>
      <c r="P7019" s="58" t="s">
        <v>241</v>
      </c>
      <c r="Q7019" s="6" t="s">
        <v>234</v>
      </c>
      <c r="R7019" s="70">
        <v>100</v>
      </c>
      <c r="S7019" s="71">
        <v>500</v>
      </c>
      <c r="T7019" s="4">
        <f t="shared" si="330"/>
        <v>50000</v>
      </c>
      <c r="U7019" s="1">
        <f t="shared" si="331"/>
        <v>56000.000000000007</v>
      </c>
      <c r="V7019" s="3"/>
      <c r="W7019" s="3">
        <v>2014</v>
      </c>
      <c r="X7019" s="3"/>
    </row>
    <row r="7020" spans="1:24" ht="89.25">
      <c r="A7020" s="3" t="s">
        <v>10746</v>
      </c>
      <c r="B7020" s="56" t="s">
        <v>9166</v>
      </c>
      <c r="C7020" s="55" t="s">
        <v>9195</v>
      </c>
      <c r="D7020" s="55" t="s">
        <v>8955</v>
      </c>
      <c r="E7020" s="55" t="s">
        <v>9196</v>
      </c>
      <c r="F7020" s="64"/>
      <c r="G7020" s="6" t="s">
        <v>11450</v>
      </c>
      <c r="H7020" s="67">
        <v>0</v>
      </c>
      <c r="I7020" s="16">
        <v>470000000</v>
      </c>
      <c r="J7020" s="56" t="s">
        <v>229</v>
      </c>
      <c r="K7020" s="56" t="s">
        <v>641</v>
      </c>
      <c r="L7020" s="16" t="s">
        <v>9171</v>
      </c>
      <c r="M7020" s="162" t="s">
        <v>230</v>
      </c>
      <c r="N7020" s="65" t="s">
        <v>11427</v>
      </c>
      <c r="O7020" s="6" t="s">
        <v>9175</v>
      </c>
      <c r="P7020" s="79">
        <v>715</v>
      </c>
      <c r="Q7020" s="79" t="s">
        <v>8938</v>
      </c>
      <c r="R7020" s="72">
        <v>500</v>
      </c>
      <c r="S7020" s="73">
        <v>143</v>
      </c>
      <c r="T7020" s="4">
        <f t="shared" si="330"/>
        <v>71500</v>
      </c>
      <c r="U7020" s="1">
        <f t="shared" si="331"/>
        <v>80080.000000000015</v>
      </c>
      <c r="V7020" s="3"/>
      <c r="W7020" s="3">
        <v>2014</v>
      </c>
      <c r="X7020" s="3"/>
    </row>
    <row r="7021" spans="1:24" ht="89.25">
      <c r="A7021" s="3" t="s">
        <v>10747</v>
      </c>
      <c r="B7021" s="56" t="s">
        <v>9166</v>
      </c>
      <c r="C7021" s="16" t="s">
        <v>9197</v>
      </c>
      <c r="D7021" s="16" t="s">
        <v>9198</v>
      </c>
      <c r="E7021" s="16" t="s">
        <v>9199</v>
      </c>
      <c r="F7021" s="79"/>
      <c r="G7021" s="6" t="s">
        <v>11450</v>
      </c>
      <c r="H7021" s="67">
        <v>0</v>
      </c>
      <c r="I7021" s="16">
        <v>470000000</v>
      </c>
      <c r="J7021" s="56" t="s">
        <v>229</v>
      </c>
      <c r="K7021" s="56" t="s">
        <v>641</v>
      </c>
      <c r="L7021" s="16" t="s">
        <v>9171</v>
      </c>
      <c r="M7021" s="162" t="s">
        <v>230</v>
      </c>
      <c r="N7021" s="65" t="s">
        <v>11427</v>
      </c>
      <c r="O7021" s="6" t="s">
        <v>9175</v>
      </c>
      <c r="P7021" s="58" t="s">
        <v>241</v>
      </c>
      <c r="Q7021" s="6" t="s">
        <v>234</v>
      </c>
      <c r="R7021" s="70">
        <v>50</v>
      </c>
      <c r="S7021" s="71">
        <v>428.57</v>
      </c>
      <c r="T7021" s="4">
        <f t="shared" si="330"/>
        <v>21428.5</v>
      </c>
      <c r="U7021" s="1">
        <f t="shared" si="331"/>
        <v>23999.920000000002</v>
      </c>
      <c r="V7021" s="3"/>
      <c r="W7021" s="3">
        <v>2014</v>
      </c>
      <c r="X7021" s="3"/>
    </row>
    <row r="7022" spans="1:24" ht="89.25">
      <c r="A7022" s="3" t="s">
        <v>10748</v>
      </c>
      <c r="B7022" s="56" t="s">
        <v>9166</v>
      </c>
      <c r="C7022" s="16" t="s">
        <v>9200</v>
      </c>
      <c r="D7022" s="16" t="s">
        <v>9201</v>
      </c>
      <c r="E7022" s="16" t="s">
        <v>9202</v>
      </c>
      <c r="F7022" s="6"/>
      <c r="G7022" s="6" t="s">
        <v>11450</v>
      </c>
      <c r="H7022" s="67">
        <v>0</v>
      </c>
      <c r="I7022" s="16">
        <v>470000000</v>
      </c>
      <c r="J7022" s="56" t="s">
        <v>229</v>
      </c>
      <c r="K7022" s="56" t="s">
        <v>641</v>
      </c>
      <c r="L7022" s="16" t="s">
        <v>9171</v>
      </c>
      <c r="M7022" s="162" t="s">
        <v>230</v>
      </c>
      <c r="N7022" s="65" t="s">
        <v>11427</v>
      </c>
      <c r="O7022" s="6" t="s">
        <v>9175</v>
      </c>
      <c r="P7022" s="58" t="s">
        <v>241</v>
      </c>
      <c r="Q7022" s="6" t="s">
        <v>234</v>
      </c>
      <c r="R7022" s="70">
        <v>50</v>
      </c>
      <c r="S7022" s="71">
        <v>313</v>
      </c>
      <c r="T7022" s="4">
        <f t="shared" si="330"/>
        <v>15650</v>
      </c>
      <c r="U7022" s="1">
        <f t="shared" si="331"/>
        <v>17528</v>
      </c>
      <c r="V7022" s="3"/>
      <c r="W7022" s="3">
        <v>2014</v>
      </c>
      <c r="X7022" s="3"/>
    </row>
    <row r="7023" spans="1:24" ht="89.25">
      <c r="A7023" s="3" t="s">
        <v>10749</v>
      </c>
      <c r="B7023" s="56" t="s">
        <v>9166</v>
      </c>
      <c r="C7023" s="16" t="s">
        <v>9203</v>
      </c>
      <c r="D7023" s="16" t="s">
        <v>9204</v>
      </c>
      <c r="E7023" s="16" t="s">
        <v>9205</v>
      </c>
      <c r="F7023" s="6"/>
      <c r="G7023" s="6" t="s">
        <v>11450</v>
      </c>
      <c r="H7023" s="67">
        <v>0.4</v>
      </c>
      <c r="I7023" s="16">
        <v>470000000</v>
      </c>
      <c r="J7023" s="56" t="s">
        <v>229</v>
      </c>
      <c r="K7023" s="56" t="s">
        <v>641</v>
      </c>
      <c r="L7023" s="16" t="s">
        <v>9171</v>
      </c>
      <c r="M7023" s="162" t="s">
        <v>230</v>
      </c>
      <c r="N7023" s="65" t="s">
        <v>11427</v>
      </c>
      <c r="O7023" s="6" t="s">
        <v>9175</v>
      </c>
      <c r="P7023" s="58" t="s">
        <v>241</v>
      </c>
      <c r="Q7023" s="6" t="s">
        <v>234</v>
      </c>
      <c r="R7023" s="70">
        <v>50</v>
      </c>
      <c r="S7023" s="71">
        <v>45</v>
      </c>
      <c r="T7023" s="4">
        <f t="shared" si="330"/>
        <v>2250</v>
      </c>
      <c r="U7023" s="1">
        <f t="shared" si="331"/>
        <v>2520.0000000000005</v>
      </c>
      <c r="V7023" s="3" t="s">
        <v>362</v>
      </c>
      <c r="W7023" s="3">
        <v>2014</v>
      </c>
      <c r="X7023" s="3"/>
    </row>
    <row r="7024" spans="1:24" ht="89.25">
      <c r="A7024" s="3" t="s">
        <v>10750</v>
      </c>
      <c r="B7024" s="56" t="s">
        <v>9166</v>
      </c>
      <c r="C7024" s="16" t="s">
        <v>9206</v>
      </c>
      <c r="D7024" s="16" t="s">
        <v>9207</v>
      </c>
      <c r="E7024" s="16" t="s">
        <v>9208</v>
      </c>
      <c r="F7024" s="6"/>
      <c r="G7024" s="6" t="s">
        <v>11450</v>
      </c>
      <c r="H7024" s="67">
        <v>0</v>
      </c>
      <c r="I7024" s="16">
        <v>470000000</v>
      </c>
      <c r="J7024" s="56" t="s">
        <v>229</v>
      </c>
      <c r="K7024" s="56" t="s">
        <v>641</v>
      </c>
      <c r="L7024" s="16" t="s">
        <v>9171</v>
      </c>
      <c r="M7024" s="162" t="s">
        <v>230</v>
      </c>
      <c r="N7024" s="65" t="s">
        <v>11427</v>
      </c>
      <c r="O7024" s="6" t="s">
        <v>9175</v>
      </c>
      <c r="P7024" s="58" t="s">
        <v>241</v>
      </c>
      <c r="Q7024" s="6" t="s">
        <v>234</v>
      </c>
      <c r="R7024" s="70">
        <v>40</v>
      </c>
      <c r="S7024" s="71">
        <v>520</v>
      </c>
      <c r="T7024" s="4">
        <f t="shared" si="330"/>
        <v>20800</v>
      </c>
      <c r="U7024" s="1">
        <f t="shared" si="331"/>
        <v>23296.000000000004</v>
      </c>
      <c r="V7024" s="3"/>
      <c r="W7024" s="3">
        <v>2014</v>
      </c>
      <c r="X7024" s="3"/>
    </row>
    <row r="7025" spans="1:24" ht="89.25">
      <c r="A7025" s="3" t="s">
        <v>10751</v>
      </c>
      <c r="B7025" s="56" t="s">
        <v>9166</v>
      </c>
      <c r="C7025" s="16" t="s">
        <v>9209</v>
      </c>
      <c r="D7025" s="16" t="s">
        <v>9210</v>
      </c>
      <c r="E7025" s="16" t="s">
        <v>9211</v>
      </c>
      <c r="F7025" s="6"/>
      <c r="G7025" s="6" t="s">
        <v>11450</v>
      </c>
      <c r="H7025" s="67">
        <v>0.4</v>
      </c>
      <c r="I7025" s="16">
        <v>470000000</v>
      </c>
      <c r="J7025" s="56" t="s">
        <v>229</v>
      </c>
      <c r="K7025" s="56" t="s">
        <v>641</v>
      </c>
      <c r="L7025" s="16" t="s">
        <v>9171</v>
      </c>
      <c r="M7025" s="162" t="s">
        <v>230</v>
      </c>
      <c r="N7025" s="65" t="s">
        <v>11427</v>
      </c>
      <c r="O7025" s="6" t="s">
        <v>9175</v>
      </c>
      <c r="P7025" s="58" t="s">
        <v>241</v>
      </c>
      <c r="Q7025" s="6" t="s">
        <v>234</v>
      </c>
      <c r="R7025" s="70">
        <v>220</v>
      </c>
      <c r="S7025" s="71">
        <v>376</v>
      </c>
      <c r="T7025" s="4">
        <f t="shared" si="330"/>
        <v>82720</v>
      </c>
      <c r="U7025" s="1">
        <f t="shared" si="331"/>
        <v>92646.400000000009</v>
      </c>
      <c r="V7025" s="3"/>
      <c r="W7025" s="3">
        <v>2014</v>
      </c>
      <c r="X7025" s="3"/>
    </row>
    <row r="7026" spans="1:24" ht="76.5">
      <c r="A7026" s="3" t="s">
        <v>10752</v>
      </c>
      <c r="B7026" s="56" t="s">
        <v>9166</v>
      </c>
      <c r="C7026" s="16" t="s">
        <v>9212</v>
      </c>
      <c r="D7026" s="16" t="s">
        <v>9213</v>
      </c>
      <c r="E7026" s="16" t="s">
        <v>9214</v>
      </c>
      <c r="F7026" s="6"/>
      <c r="G7026" s="16" t="s">
        <v>605</v>
      </c>
      <c r="H7026" s="54">
        <v>0</v>
      </c>
      <c r="I7026" s="191">
        <v>470000000</v>
      </c>
      <c r="J7026" s="56" t="s">
        <v>229</v>
      </c>
      <c r="K7026" s="192" t="s">
        <v>641</v>
      </c>
      <c r="L7026" s="16" t="s">
        <v>9171</v>
      </c>
      <c r="M7026" s="162" t="s">
        <v>230</v>
      </c>
      <c r="N7026" s="65" t="s">
        <v>528</v>
      </c>
      <c r="O7026" s="6" t="s">
        <v>9175</v>
      </c>
      <c r="P7026" s="58" t="s">
        <v>248</v>
      </c>
      <c r="Q7026" s="6" t="s">
        <v>9032</v>
      </c>
      <c r="R7026" s="6">
        <v>100</v>
      </c>
      <c r="S7026" s="74"/>
      <c r="T7026" s="4">
        <f t="shared" si="330"/>
        <v>0</v>
      </c>
      <c r="U7026" s="1">
        <f t="shared" si="331"/>
        <v>0</v>
      </c>
      <c r="V7026" s="3"/>
      <c r="W7026" s="3">
        <v>2014</v>
      </c>
      <c r="X7026" s="3">
        <v>11</v>
      </c>
    </row>
    <row r="7027" spans="1:24" ht="76.5">
      <c r="A7027" s="3" t="s">
        <v>14343</v>
      </c>
      <c r="B7027" s="56" t="s">
        <v>9166</v>
      </c>
      <c r="C7027" s="16" t="s">
        <v>9212</v>
      </c>
      <c r="D7027" s="16" t="s">
        <v>9213</v>
      </c>
      <c r="E7027" s="16" t="s">
        <v>9214</v>
      </c>
      <c r="F7027" s="6"/>
      <c r="G7027" s="16" t="s">
        <v>605</v>
      </c>
      <c r="H7027" s="54">
        <v>0</v>
      </c>
      <c r="I7027" s="191">
        <v>470000000</v>
      </c>
      <c r="J7027" s="56" t="s">
        <v>229</v>
      </c>
      <c r="K7027" s="192" t="s">
        <v>7699</v>
      </c>
      <c r="L7027" s="16" t="s">
        <v>9171</v>
      </c>
      <c r="M7027" s="162" t="s">
        <v>230</v>
      </c>
      <c r="N7027" s="65" t="s">
        <v>528</v>
      </c>
      <c r="O7027" s="6" t="s">
        <v>9175</v>
      </c>
      <c r="P7027" s="58" t="s">
        <v>248</v>
      </c>
      <c r="Q7027" s="6" t="s">
        <v>9032</v>
      </c>
      <c r="R7027" s="6">
        <v>100</v>
      </c>
      <c r="S7027" s="74">
        <v>2321.42</v>
      </c>
      <c r="T7027" s="4">
        <f>R7027*S7027</f>
        <v>232142</v>
      </c>
      <c r="U7027" s="1">
        <f>T7027*1.12</f>
        <v>259999.04000000004</v>
      </c>
      <c r="V7027" s="3"/>
      <c r="W7027" s="3">
        <v>2014</v>
      </c>
      <c r="X7027" s="3"/>
    </row>
    <row r="7028" spans="1:24" ht="89.25">
      <c r="A7028" s="3" t="s">
        <v>10753</v>
      </c>
      <c r="B7028" s="15" t="s">
        <v>361</v>
      </c>
      <c r="C7028" s="16" t="s">
        <v>9215</v>
      </c>
      <c r="D7028" s="16" t="s">
        <v>340</v>
      </c>
      <c r="E7028" s="16" t="s">
        <v>9216</v>
      </c>
      <c r="F7028" s="16" t="s">
        <v>9217</v>
      </c>
      <c r="G7028" s="16" t="s">
        <v>605</v>
      </c>
      <c r="H7028" s="67">
        <v>0</v>
      </c>
      <c r="I7028" s="16">
        <v>470000000</v>
      </c>
      <c r="J7028" s="56" t="s">
        <v>229</v>
      </c>
      <c r="K7028" s="61" t="s">
        <v>633</v>
      </c>
      <c r="L7028" s="16" t="s">
        <v>9171</v>
      </c>
      <c r="M7028" s="162" t="s">
        <v>230</v>
      </c>
      <c r="N7028" s="65" t="s">
        <v>528</v>
      </c>
      <c r="O7028" s="6" t="s">
        <v>9175</v>
      </c>
      <c r="P7028" s="58" t="s">
        <v>241</v>
      </c>
      <c r="Q7028" s="6" t="s">
        <v>234</v>
      </c>
      <c r="R7028" s="70">
        <v>10</v>
      </c>
      <c r="S7028" s="71">
        <v>5000</v>
      </c>
      <c r="T7028" s="4">
        <v>0</v>
      </c>
      <c r="U7028" s="4">
        <f t="shared" si="331"/>
        <v>0</v>
      </c>
      <c r="V7028" s="79"/>
      <c r="W7028" s="3">
        <v>2014</v>
      </c>
      <c r="X7028" s="3">
        <v>7.11</v>
      </c>
    </row>
    <row r="7029" spans="1:24" ht="89.25">
      <c r="A7029" s="3" t="s">
        <v>12662</v>
      </c>
      <c r="B7029" s="15" t="s">
        <v>361</v>
      </c>
      <c r="C7029" s="16" t="s">
        <v>9215</v>
      </c>
      <c r="D7029" s="16" t="s">
        <v>340</v>
      </c>
      <c r="E7029" s="16" t="s">
        <v>9216</v>
      </c>
      <c r="F7029" s="16" t="s">
        <v>9217</v>
      </c>
      <c r="G7029" s="3" t="s">
        <v>11450</v>
      </c>
      <c r="H7029" s="67">
        <v>0</v>
      </c>
      <c r="I7029" s="16">
        <v>470000000</v>
      </c>
      <c r="J7029" s="56" t="s">
        <v>229</v>
      </c>
      <c r="K7029" s="61" t="s">
        <v>12663</v>
      </c>
      <c r="L7029" s="16" t="s">
        <v>9171</v>
      </c>
      <c r="M7029" s="162" t="s">
        <v>230</v>
      </c>
      <c r="N7029" s="65" t="s">
        <v>528</v>
      </c>
      <c r="O7029" s="6" t="s">
        <v>9175</v>
      </c>
      <c r="P7029" s="58" t="s">
        <v>241</v>
      </c>
      <c r="Q7029" s="6" t="s">
        <v>234</v>
      </c>
      <c r="R7029" s="70">
        <v>10</v>
      </c>
      <c r="S7029" s="71">
        <v>5000</v>
      </c>
      <c r="T7029" s="4">
        <v>0</v>
      </c>
      <c r="U7029" s="4">
        <f>T7029*1.12</f>
        <v>0</v>
      </c>
      <c r="V7029" s="79"/>
      <c r="W7029" s="3">
        <v>2014</v>
      </c>
      <c r="X7029" s="3" t="s">
        <v>16431</v>
      </c>
    </row>
    <row r="7030" spans="1:24" ht="89.25">
      <c r="A7030" s="3" t="s">
        <v>16429</v>
      </c>
      <c r="B7030" s="15" t="s">
        <v>361</v>
      </c>
      <c r="C7030" s="16" t="s">
        <v>9215</v>
      </c>
      <c r="D7030" s="16" t="s">
        <v>340</v>
      </c>
      <c r="E7030" s="16" t="s">
        <v>9216</v>
      </c>
      <c r="F7030" s="16" t="s">
        <v>9217</v>
      </c>
      <c r="G7030" s="3" t="s">
        <v>605</v>
      </c>
      <c r="H7030" s="67">
        <v>0</v>
      </c>
      <c r="I7030" s="16">
        <v>470000000</v>
      </c>
      <c r="J7030" s="56" t="s">
        <v>229</v>
      </c>
      <c r="K7030" s="61" t="s">
        <v>8950</v>
      </c>
      <c r="L7030" s="16" t="s">
        <v>9171</v>
      </c>
      <c r="M7030" s="162" t="s">
        <v>230</v>
      </c>
      <c r="N7030" s="65" t="s">
        <v>528</v>
      </c>
      <c r="O7030" s="6" t="s">
        <v>9175</v>
      </c>
      <c r="P7030" s="58" t="s">
        <v>241</v>
      </c>
      <c r="Q7030" s="6" t="s">
        <v>234</v>
      </c>
      <c r="R7030" s="70">
        <v>10</v>
      </c>
      <c r="S7030" s="71">
        <v>6000</v>
      </c>
      <c r="T7030" s="4">
        <f>R7030*S7030</f>
        <v>60000</v>
      </c>
      <c r="U7030" s="1">
        <f>T7030*1.12</f>
        <v>67200</v>
      </c>
      <c r="V7030" s="79"/>
      <c r="W7030" s="3">
        <v>2014</v>
      </c>
      <c r="X7030" s="3"/>
    </row>
    <row r="7031" spans="1:24" ht="76.5">
      <c r="A7031" s="3" t="s">
        <v>10754</v>
      </c>
      <c r="B7031" s="15" t="s">
        <v>361</v>
      </c>
      <c r="C7031" s="16" t="s">
        <v>9218</v>
      </c>
      <c r="D7031" s="16" t="s">
        <v>9219</v>
      </c>
      <c r="E7031" s="16" t="s">
        <v>9220</v>
      </c>
      <c r="F7031" s="16" t="s">
        <v>9221</v>
      </c>
      <c r="G7031" s="16" t="s">
        <v>605</v>
      </c>
      <c r="H7031" s="67">
        <v>0</v>
      </c>
      <c r="I7031" s="16">
        <v>470000000</v>
      </c>
      <c r="J7031" s="56" t="s">
        <v>229</v>
      </c>
      <c r="K7031" s="61" t="s">
        <v>642</v>
      </c>
      <c r="L7031" s="16" t="s">
        <v>9171</v>
      </c>
      <c r="M7031" s="162" t="s">
        <v>230</v>
      </c>
      <c r="N7031" s="65" t="s">
        <v>528</v>
      </c>
      <c r="O7031" s="6" t="s">
        <v>9175</v>
      </c>
      <c r="P7031" s="58" t="s">
        <v>241</v>
      </c>
      <c r="Q7031" s="6" t="s">
        <v>234</v>
      </c>
      <c r="R7031" s="70">
        <v>50</v>
      </c>
      <c r="S7031" s="71">
        <v>2679</v>
      </c>
      <c r="T7031" s="4">
        <v>0</v>
      </c>
      <c r="U7031" s="4">
        <f t="shared" si="331"/>
        <v>0</v>
      </c>
      <c r="V7031" s="79"/>
      <c r="W7031" s="3">
        <v>2014</v>
      </c>
      <c r="X7031" s="3" t="s">
        <v>14785</v>
      </c>
    </row>
    <row r="7032" spans="1:24" ht="76.5">
      <c r="A7032" s="3" t="s">
        <v>16430</v>
      </c>
      <c r="B7032" s="15" t="s">
        <v>361</v>
      </c>
      <c r="C7032" s="16" t="s">
        <v>9218</v>
      </c>
      <c r="D7032" s="16" t="s">
        <v>9219</v>
      </c>
      <c r="E7032" s="16" t="s">
        <v>9220</v>
      </c>
      <c r="F7032" s="16" t="s">
        <v>9221</v>
      </c>
      <c r="G7032" s="3" t="s">
        <v>605</v>
      </c>
      <c r="H7032" s="67">
        <v>0</v>
      </c>
      <c r="I7032" s="16">
        <v>470000000</v>
      </c>
      <c r="J7032" s="56" t="s">
        <v>229</v>
      </c>
      <c r="K7032" s="61" t="s">
        <v>8950</v>
      </c>
      <c r="L7032" s="16" t="s">
        <v>9171</v>
      </c>
      <c r="M7032" s="162" t="s">
        <v>230</v>
      </c>
      <c r="N7032" s="65" t="s">
        <v>528</v>
      </c>
      <c r="O7032" s="6" t="s">
        <v>9175</v>
      </c>
      <c r="P7032" s="58" t="s">
        <v>241</v>
      </c>
      <c r="Q7032" s="6" t="s">
        <v>234</v>
      </c>
      <c r="R7032" s="70">
        <v>50</v>
      </c>
      <c r="S7032" s="71">
        <v>3214.7999999999997</v>
      </c>
      <c r="T7032" s="4">
        <f t="shared" ref="T7032" si="332">R7032*S7032</f>
        <v>160740</v>
      </c>
      <c r="U7032" s="1">
        <f t="shared" si="331"/>
        <v>180028.80000000002</v>
      </c>
      <c r="V7032" s="79"/>
      <c r="W7032" s="3">
        <v>2014</v>
      </c>
      <c r="X7032" s="3"/>
    </row>
    <row r="7033" spans="1:24" ht="140.25">
      <c r="A7033" s="3" t="s">
        <v>10755</v>
      </c>
      <c r="B7033" s="15" t="s">
        <v>361</v>
      </c>
      <c r="C7033" s="16" t="s">
        <v>9222</v>
      </c>
      <c r="D7033" s="16" t="s">
        <v>9223</v>
      </c>
      <c r="E7033" s="16" t="s">
        <v>11607</v>
      </c>
      <c r="F7033" s="16" t="s">
        <v>9224</v>
      </c>
      <c r="G7033" s="79" t="s">
        <v>11449</v>
      </c>
      <c r="H7033" s="67">
        <v>0.4</v>
      </c>
      <c r="I7033" s="16">
        <v>470000000</v>
      </c>
      <c r="J7033" s="56" t="s">
        <v>229</v>
      </c>
      <c r="K7033" s="61" t="s">
        <v>633</v>
      </c>
      <c r="L7033" s="16" t="s">
        <v>9171</v>
      </c>
      <c r="M7033" s="162" t="s">
        <v>230</v>
      </c>
      <c r="N7033" s="65" t="s">
        <v>524</v>
      </c>
      <c r="O7033" s="6" t="s">
        <v>9225</v>
      </c>
      <c r="P7033" s="58" t="s">
        <v>242</v>
      </c>
      <c r="Q7033" s="6" t="s">
        <v>239</v>
      </c>
      <c r="R7033" s="70">
        <v>1200</v>
      </c>
      <c r="S7033" s="71">
        <v>5732</v>
      </c>
      <c r="T7033" s="4">
        <v>0</v>
      </c>
      <c r="U7033" s="4">
        <f t="shared" si="331"/>
        <v>0</v>
      </c>
      <c r="V7033" s="79" t="s">
        <v>362</v>
      </c>
      <c r="W7033" s="3">
        <v>2014</v>
      </c>
      <c r="X7033" s="3">
        <v>11</v>
      </c>
    </row>
    <row r="7034" spans="1:24" ht="140.25">
      <c r="A7034" s="3" t="s">
        <v>14227</v>
      </c>
      <c r="B7034" s="15" t="s">
        <v>361</v>
      </c>
      <c r="C7034" s="16" t="s">
        <v>9222</v>
      </c>
      <c r="D7034" s="16" t="s">
        <v>9223</v>
      </c>
      <c r="E7034" s="16" t="s">
        <v>11607</v>
      </c>
      <c r="F7034" s="16" t="s">
        <v>9224</v>
      </c>
      <c r="G7034" s="79" t="s">
        <v>11449</v>
      </c>
      <c r="H7034" s="67">
        <v>0.4</v>
      </c>
      <c r="I7034" s="16">
        <v>470000000</v>
      </c>
      <c r="J7034" s="56" t="s">
        <v>229</v>
      </c>
      <c r="K7034" s="61" t="s">
        <v>14590</v>
      </c>
      <c r="L7034" s="16" t="s">
        <v>9171</v>
      </c>
      <c r="M7034" s="162" t="s">
        <v>230</v>
      </c>
      <c r="N7034" s="65" t="s">
        <v>524</v>
      </c>
      <c r="O7034" s="6" t="s">
        <v>9225</v>
      </c>
      <c r="P7034" s="58" t="s">
        <v>242</v>
      </c>
      <c r="Q7034" s="6" t="s">
        <v>239</v>
      </c>
      <c r="R7034" s="70">
        <v>1200</v>
      </c>
      <c r="S7034" s="71">
        <v>5732</v>
      </c>
      <c r="T7034" s="4">
        <f>R7034*S7034</f>
        <v>6878400</v>
      </c>
      <c r="U7034" s="1">
        <f>T7034*1.12</f>
        <v>7703808.0000000009</v>
      </c>
      <c r="V7034" s="79" t="s">
        <v>362</v>
      </c>
      <c r="W7034" s="3">
        <v>2014</v>
      </c>
      <c r="X7034" s="3"/>
    </row>
    <row r="7035" spans="1:24" ht="76.5">
      <c r="A7035" s="3" t="s">
        <v>10756</v>
      </c>
      <c r="B7035" s="15" t="s">
        <v>361</v>
      </c>
      <c r="C7035" s="16" t="s">
        <v>8402</v>
      </c>
      <c r="D7035" s="16" t="s">
        <v>8403</v>
      </c>
      <c r="E7035" s="16" t="s">
        <v>8404</v>
      </c>
      <c r="F7035" s="6"/>
      <c r="G7035" s="16" t="s">
        <v>605</v>
      </c>
      <c r="H7035" s="67">
        <v>0</v>
      </c>
      <c r="I7035" s="16">
        <v>470000000</v>
      </c>
      <c r="J7035" s="56" t="s">
        <v>229</v>
      </c>
      <c r="K7035" s="61" t="s">
        <v>633</v>
      </c>
      <c r="L7035" s="16" t="s">
        <v>9171</v>
      </c>
      <c r="M7035" s="162" t="s">
        <v>230</v>
      </c>
      <c r="N7035" s="65" t="s">
        <v>528</v>
      </c>
      <c r="O7035" s="6" t="s">
        <v>9175</v>
      </c>
      <c r="P7035" s="58" t="s">
        <v>241</v>
      </c>
      <c r="Q7035" s="6" t="s">
        <v>234</v>
      </c>
      <c r="R7035" s="70">
        <v>50</v>
      </c>
      <c r="S7035" s="71">
        <v>1785.72</v>
      </c>
      <c r="T7035" s="4">
        <v>0</v>
      </c>
      <c r="U7035" s="4">
        <f t="shared" si="331"/>
        <v>0</v>
      </c>
      <c r="V7035" s="3"/>
      <c r="W7035" s="3">
        <v>2014</v>
      </c>
      <c r="X7035" s="3" t="s">
        <v>14785</v>
      </c>
    </row>
    <row r="7036" spans="1:24" ht="76.5">
      <c r="A7036" s="3" t="s">
        <v>16427</v>
      </c>
      <c r="B7036" s="15" t="s">
        <v>361</v>
      </c>
      <c r="C7036" s="16" t="s">
        <v>8402</v>
      </c>
      <c r="D7036" s="16" t="s">
        <v>8403</v>
      </c>
      <c r="E7036" s="16" t="s">
        <v>8404</v>
      </c>
      <c r="F7036" s="6"/>
      <c r="G7036" s="16" t="s">
        <v>605</v>
      </c>
      <c r="H7036" s="67">
        <v>0</v>
      </c>
      <c r="I7036" s="16">
        <v>470000000</v>
      </c>
      <c r="J7036" s="56" t="s">
        <v>229</v>
      </c>
      <c r="K7036" s="61" t="s">
        <v>16428</v>
      </c>
      <c r="L7036" s="16" t="s">
        <v>9171</v>
      </c>
      <c r="M7036" s="162" t="s">
        <v>230</v>
      </c>
      <c r="N7036" s="65" t="s">
        <v>528</v>
      </c>
      <c r="O7036" s="6" t="s">
        <v>9175</v>
      </c>
      <c r="P7036" s="58" t="s">
        <v>241</v>
      </c>
      <c r="Q7036" s="6" t="s">
        <v>234</v>
      </c>
      <c r="R7036" s="70">
        <v>50</v>
      </c>
      <c r="S7036" s="71">
        <v>2142.864</v>
      </c>
      <c r="T7036" s="4">
        <f t="shared" ref="T7036" si="333">R7036*S7036</f>
        <v>107143.2</v>
      </c>
      <c r="U7036" s="1">
        <f t="shared" si="331"/>
        <v>120000.38400000001</v>
      </c>
      <c r="V7036" s="3"/>
      <c r="W7036" s="3">
        <v>2014</v>
      </c>
      <c r="X7036" s="3"/>
    </row>
    <row r="7037" spans="1:24" ht="76.5">
      <c r="A7037" s="3" t="s">
        <v>10757</v>
      </c>
      <c r="B7037" s="15" t="s">
        <v>361</v>
      </c>
      <c r="C7037" s="16" t="s">
        <v>9226</v>
      </c>
      <c r="D7037" s="16" t="s">
        <v>9227</v>
      </c>
      <c r="E7037" s="16" t="s">
        <v>9228</v>
      </c>
      <c r="F7037" s="6" t="s">
        <v>9229</v>
      </c>
      <c r="G7037" s="16" t="s">
        <v>605</v>
      </c>
      <c r="H7037" s="67">
        <v>0</v>
      </c>
      <c r="I7037" s="16">
        <v>470000000</v>
      </c>
      <c r="J7037" s="56" t="s">
        <v>229</v>
      </c>
      <c r="K7037" s="61" t="s">
        <v>633</v>
      </c>
      <c r="L7037" s="16" t="s">
        <v>9171</v>
      </c>
      <c r="M7037" s="162" t="s">
        <v>230</v>
      </c>
      <c r="N7037" s="65" t="s">
        <v>8914</v>
      </c>
      <c r="O7037" s="6" t="s">
        <v>9175</v>
      </c>
      <c r="P7037" s="58" t="s">
        <v>241</v>
      </c>
      <c r="Q7037" s="6" t="s">
        <v>234</v>
      </c>
      <c r="R7037" s="70">
        <v>1</v>
      </c>
      <c r="S7037" s="71">
        <v>38000</v>
      </c>
      <c r="T7037" s="4">
        <f t="shared" si="330"/>
        <v>38000</v>
      </c>
      <c r="U7037" s="1">
        <f t="shared" si="331"/>
        <v>42560.000000000007</v>
      </c>
      <c r="V7037" s="3"/>
      <c r="W7037" s="3">
        <v>2014</v>
      </c>
      <c r="X7037" s="3"/>
    </row>
    <row r="7038" spans="1:24" ht="76.5">
      <c r="A7038" s="3" t="s">
        <v>10758</v>
      </c>
      <c r="B7038" s="15" t="s">
        <v>361</v>
      </c>
      <c r="C7038" s="16" t="s">
        <v>9230</v>
      </c>
      <c r="D7038" s="16" t="s">
        <v>9231</v>
      </c>
      <c r="E7038" s="16" t="s">
        <v>9231</v>
      </c>
      <c r="F7038" s="137" t="s">
        <v>9232</v>
      </c>
      <c r="G7038" s="16" t="s">
        <v>605</v>
      </c>
      <c r="H7038" s="67">
        <v>0</v>
      </c>
      <c r="I7038" s="16">
        <v>470000000</v>
      </c>
      <c r="J7038" s="56" t="s">
        <v>229</v>
      </c>
      <c r="K7038" s="61" t="s">
        <v>633</v>
      </c>
      <c r="L7038" s="16" t="s">
        <v>9171</v>
      </c>
      <c r="M7038" s="162" t="s">
        <v>230</v>
      </c>
      <c r="N7038" s="65" t="s">
        <v>8914</v>
      </c>
      <c r="O7038" s="6" t="s">
        <v>9175</v>
      </c>
      <c r="P7038" s="58" t="s">
        <v>550</v>
      </c>
      <c r="Q7038" s="6" t="s">
        <v>551</v>
      </c>
      <c r="R7038" s="70">
        <v>1</v>
      </c>
      <c r="S7038" s="71">
        <v>16500</v>
      </c>
      <c r="T7038" s="4">
        <f t="shared" si="330"/>
        <v>16500</v>
      </c>
      <c r="U7038" s="1">
        <f t="shared" si="331"/>
        <v>18480</v>
      </c>
      <c r="V7038" s="3"/>
      <c r="W7038" s="3">
        <v>2014</v>
      </c>
      <c r="X7038" s="3"/>
    </row>
    <row r="7039" spans="1:24" ht="76.5">
      <c r="A7039" s="3" t="s">
        <v>10759</v>
      </c>
      <c r="B7039" s="15" t="s">
        <v>361</v>
      </c>
      <c r="C7039" s="16" t="s">
        <v>9233</v>
      </c>
      <c r="D7039" s="16" t="s">
        <v>9234</v>
      </c>
      <c r="E7039" s="16" t="s">
        <v>9235</v>
      </c>
      <c r="F7039" s="137" t="s">
        <v>9234</v>
      </c>
      <c r="G7039" s="16" t="s">
        <v>605</v>
      </c>
      <c r="H7039" s="67">
        <v>0</v>
      </c>
      <c r="I7039" s="16">
        <v>470000000</v>
      </c>
      <c r="J7039" s="56" t="s">
        <v>229</v>
      </c>
      <c r="K7039" s="61" t="s">
        <v>633</v>
      </c>
      <c r="L7039" s="16" t="s">
        <v>9171</v>
      </c>
      <c r="M7039" s="162" t="s">
        <v>230</v>
      </c>
      <c r="N7039" s="65" t="s">
        <v>8914</v>
      </c>
      <c r="O7039" s="6" t="s">
        <v>9175</v>
      </c>
      <c r="P7039" s="58" t="s">
        <v>241</v>
      </c>
      <c r="Q7039" s="6" t="s">
        <v>234</v>
      </c>
      <c r="R7039" s="70">
        <v>1</v>
      </c>
      <c r="S7039" s="71">
        <v>12000</v>
      </c>
      <c r="T7039" s="4">
        <f t="shared" si="330"/>
        <v>12000</v>
      </c>
      <c r="U7039" s="1">
        <f t="shared" si="331"/>
        <v>13440.000000000002</v>
      </c>
      <c r="V7039" s="3"/>
      <c r="W7039" s="3">
        <v>2014</v>
      </c>
      <c r="X7039" s="3"/>
    </row>
    <row r="7040" spans="1:24" ht="76.5">
      <c r="A7040" s="3" t="s">
        <v>10760</v>
      </c>
      <c r="B7040" s="15" t="s">
        <v>361</v>
      </c>
      <c r="C7040" s="16" t="s">
        <v>4961</v>
      </c>
      <c r="D7040" s="16" t="s">
        <v>4962</v>
      </c>
      <c r="E7040" s="16" t="s">
        <v>4963</v>
      </c>
      <c r="F7040" s="137" t="s">
        <v>9236</v>
      </c>
      <c r="G7040" s="16" t="s">
        <v>605</v>
      </c>
      <c r="H7040" s="67">
        <v>0</v>
      </c>
      <c r="I7040" s="16">
        <v>470000000</v>
      </c>
      <c r="J7040" s="56" t="s">
        <v>229</v>
      </c>
      <c r="K7040" s="61" t="s">
        <v>633</v>
      </c>
      <c r="L7040" s="16" t="s">
        <v>9171</v>
      </c>
      <c r="M7040" s="162" t="s">
        <v>230</v>
      </c>
      <c r="N7040" s="65" t="s">
        <v>8914</v>
      </c>
      <c r="O7040" s="6" t="s">
        <v>9175</v>
      </c>
      <c r="P7040" s="58" t="s">
        <v>241</v>
      </c>
      <c r="Q7040" s="6" t="s">
        <v>234</v>
      </c>
      <c r="R7040" s="70">
        <v>1</v>
      </c>
      <c r="S7040" s="71">
        <v>60000</v>
      </c>
      <c r="T7040" s="4">
        <f t="shared" ref="T7040:T7103" si="334">R7040*S7040</f>
        <v>60000</v>
      </c>
      <c r="U7040" s="1">
        <f t="shared" si="331"/>
        <v>67200</v>
      </c>
      <c r="V7040" s="3"/>
      <c r="W7040" s="3">
        <v>2014</v>
      </c>
      <c r="X7040" s="3"/>
    </row>
    <row r="7041" spans="1:24" ht="76.5">
      <c r="A7041" s="3" t="s">
        <v>10761</v>
      </c>
      <c r="B7041" s="15" t="s">
        <v>361</v>
      </c>
      <c r="C7041" s="16" t="s">
        <v>9237</v>
      </c>
      <c r="D7041" s="16" t="s">
        <v>9238</v>
      </c>
      <c r="E7041" s="16" t="s">
        <v>9239</v>
      </c>
      <c r="F7041" s="137" t="s">
        <v>9240</v>
      </c>
      <c r="G7041" s="16" t="s">
        <v>605</v>
      </c>
      <c r="H7041" s="67">
        <v>0</v>
      </c>
      <c r="I7041" s="16">
        <v>470000000</v>
      </c>
      <c r="J7041" s="56" t="s">
        <v>229</v>
      </c>
      <c r="K7041" s="61" t="s">
        <v>633</v>
      </c>
      <c r="L7041" s="16" t="s">
        <v>9171</v>
      </c>
      <c r="M7041" s="162" t="s">
        <v>230</v>
      </c>
      <c r="N7041" s="65" t="s">
        <v>8914</v>
      </c>
      <c r="O7041" s="6" t="s">
        <v>9175</v>
      </c>
      <c r="P7041" s="58" t="s">
        <v>241</v>
      </c>
      <c r="Q7041" s="6" t="s">
        <v>234</v>
      </c>
      <c r="R7041" s="70">
        <v>1</v>
      </c>
      <c r="S7041" s="71">
        <v>155000</v>
      </c>
      <c r="T7041" s="4">
        <f t="shared" si="334"/>
        <v>155000</v>
      </c>
      <c r="U7041" s="1">
        <f t="shared" si="331"/>
        <v>173600.00000000003</v>
      </c>
      <c r="V7041" s="3"/>
      <c r="W7041" s="3">
        <v>2014</v>
      </c>
      <c r="X7041" s="3"/>
    </row>
    <row r="7042" spans="1:24" ht="76.5">
      <c r="A7042" s="3" t="s">
        <v>10762</v>
      </c>
      <c r="B7042" s="15" t="s">
        <v>361</v>
      </c>
      <c r="C7042" s="16" t="s">
        <v>9241</v>
      </c>
      <c r="D7042" s="16" t="s">
        <v>9242</v>
      </c>
      <c r="E7042" s="16" t="s">
        <v>9243</v>
      </c>
      <c r="F7042" s="137" t="s">
        <v>9244</v>
      </c>
      <c r="G7042" s="16" t="s">
        <v>605</v>
      </c>
      <c r="H7042" s="67">
        <v>0</v>
      </c>
      <c r="I7042" s="16">
        <v>470000000</v>
      </c>
      <c r="J7042" s="56" t="s">
        <v>229</v>
      </c>
      <c r="K7042" s="61" t="s">
        <v>633</v>
      </c>
      <c r="L7042" s="16" t="s">
        <v>9171</v>
      </c>
      <c r="M7042" s="162" t="s">
        <v>230</v>
      </c>
      <c r="N7042" s="65" t="s">
        <v>8914</v>
      </c>
      <c r="O7042" s="6" t="s">
        <v>9175</v>
      </c>
      <c r="P7042" s="58" t="s">
        <v>241</v>
      </c>
      <c r="Q7042" s="6" t="s">
        <v>234</v>
      </c>
      <c r="R7042" s="137">
        <v>50</v>
      </c>
      <c r="S7042" s="138">
        <v>300</v>
      </c>
      <c r="T7042" s="4">
        <f t="shared" si="334"/>
        <v>15000</v>
      </c>
      <c r="U7042" s="1">
        <f t="shared" si="331"/>
        <v>16800</v>
      </c>
      <c r="V7042" s="3"/>
      <c r="W7042" s="3">
        <v>2014</v>
      </c>
      <c r="X7042" s="3"/>
    </row>
    <row r="7043" spans="1:24" ht="102">
      <c r="A7043" s="3" t="s">
        <v>10763</v>
      </c>
      <c r="B7043" s="15" t="s">
        <v>361</v>
      </c>
      <c r="C7043" s="16" t="s">
        <v>9245</v>
      </c>
      <c r="D7043" s="16" t="s">
        <v>9246</v>
      </c>
      <c r="E7043" s="16" t="s">
        <v>9247</v>
      </c>
      <c r="F7043" s="137" t="s">
        <v>9248</v>
      </c>
      <c r="G7043" s="16" t="s">
        <v>605</v>
      </c>
      <c r="H7043" s="67">
        <v>0</v>
      </c>
      <c r="I7043" s="16">
        <v>470000000</v>
      </c>
      <c r="J7043" s="56" t="s">
        <v>229</v>
      </c>
      <c r="K7043" s="61" t="s">
        <v>633</v>
      </c>
      <c r="L7043" s="16" t="s">
        <v>9171</v>
      </c>
      <c r="M7043" s="162" t="s">
        <v>230</v>
      </c>
      <c r="N7043" s="65" t="s">
        <v>8914</v>
      </c>
      <c r="O7043" s="6" t="s">
        <v>9175</v>
      </c>
      <c r="P7043" s="58" t="s">
        <v>241</v>
      </c>
      <c r="Q7043" s="6" t="s">
        <v>234</v>
      </c>
      <c r="R7043" s="137">
        <v>50</v>
      </c>
      <c r="S7043" s="138">
        <v>300</v>
      </c>
      <c r="T7043" s="4">
        <f t="shared" si="334"/>
        <v>15000</v>
      </c>
      <c r="U7043" s="1">
        <f t="shared" si="331"/>
        <v>16800</v>
      </c>
      <c r="V7043" s="3"/>
      <c r="W7043" s="3">
        <v>2014</v>
      </c>
      <c r="X7043" s="3"/>
    </row>
    <row r="7044" spans="1:24" ht="76.5">
      <c r="A7044" s="3" t="s">
        <v>10764</v>
      </c>
      <c r="B7044" s="15" t="s">
        <v>361</v>
      </c>
      <c r="C7044" s="16" t="s">
        <v>9249</v>
      </c>
      <c r="D7044" s="16" t="s">
        <v>377</v>
      </c>
      <c r="E7044" s="16" t="s">
        <v>9250</v>
      </c>
      <c r="F7044" s="261" t="s">
        <v>9251</v>
      </c>
      <c r="G7044" s="16" t="s">
        <v>605</v>
      </c>
      <c r="H7044" s="67">
        <v>0</v>
      </c>
      <c r="I7044" s="16">
        <v>470000000</v>
      </c>
      <c r="J7044" s="56" t="s">
        <v>229</v>
      </c>
      <c r="K7044" s="61" t="s">
        <v>633</v>
      </c>
      <c r="L7044" s="16" t="s">
        <v>9171</v>
      </c>
      <c r="M7044" s="162" t="s">
        <v>230</v>
      </c>
      <c r="N7044" s="65" t="s">
        <v>8914</v>
      </c>
      <c r="O7044" s="6" t="s">
        <v>9175</v>
      </c>
      <c r="P7044" s="58" t="s">
        <v>241</v>
      </c>
      <c r="Q7044" s="6" t="s">
        <v>234</v>
      </c>
      <c r="R7044" s="137">
        <v>30</v>
      </c>
      <c r="S7044" s="138">
        <v>150</v>
      </c>
      <c r="T7044" s="4">
        <f t="shared" si="334"/>
        <v>4500</v>
      </c>
      <c r="U7044" s="1">
        <f t="shared" si="331"/>
        <v>5040.0000000000009</v>
      </c>
      <c r="V7044" s="3"/>
      <c r="W7044" s="3">
        <v>2014</v>
      </c>
      <c r="X7044" s="3"/>
    </row>
    <row r="7045" spans="1:24" ht="76.5">
      <c r="A7045" s="3" t="s">
        <v>10765</v>
      </c>
      <c r="B7045" s="15" t="s">
        <v>361</v>
      </c>
      <c r="C7045" s="16" t="s">
        <v>9249</v>
      </c>
      <c r="D7045" s="16" t="s">
        <v>377</v>
      </c>
      <c r="E7045" s="16" t="s">
        <v>9250</v>
      </c>
      <c r="F7045" s="261" t="s">
        <v>9252</v>
      </c>
      <c r="G7045" s="16" t="s">
        <v>605</v>
      </c>
      <c r="H7045" s="67">
        <v>0</v>
      </c>
      <c r="I7045" s="16">
        <v>470000000</v>
      </c>
      <c r="J7045" s="56" t="s">
        <v>229</v>
      </c>
      <c r="K7045" s="61" t="s">
        <v>633</v>
      </c>
      <c r="L7045" s="16" t="s">
        <v>9171</v>
      </c>
      <c r="M7045" s="162" t="s">
        <v>230</v>
      </c>
      <c r="N7045" s="65" t="s">
        <v>8914</v>
      </c>
      <c r="O7045" s="6" t="s">
        <v>9175</v>
      </c>
      <c r="P7045" s="58" t="s">
        <v>241</v>
      </c>
      <c r="Q7045" s="6" t="s">
        <v>234</v>
      </c>
      <c r="R7045" s="137">
        <v>30</v>
      </c>
      <c r="S7045" s="138">
        <v>800</v>
      </c>
      <c r="T7045" s="4">
        <f t="shared" si="334"/>
        <v>24000</v>
      </c>
      <c r="U7045" s="1">
        <f t="shared" si="331"/>
        <v>26880.000000000004</v>
      </c>
      <c r="V7045" s="3"/>
      <c r="W7045" s="3">
        <v>2014</v>
      </c>
      <c r="X7045" s="3"/>
    </row>
    <row r="7046" spans="1:24" ht="76.5">
      <c r="A7046" s="3" t="s">
        <v>10766</v>
      </c>
      <c r="B7046" s="15" t="s">
        <v>361</v>
      </c>
      <c r="C7046" s="16" t="s">
        <v>9253</v>
      </c>
      <c r="D7046" s="16" t="s">
        <v>9254</v>
      </c>
      <c r="E7046" s="16" t="s">
        <v>9255</v>
      </c>
      <c r="F7046" s="261" t="s">
        <v>9256</v>
      </c>
      <c r="G7046" s="16" t="s">
        <v>605</v>
      </c>
      <c r="H7046" s="67">
        <v>0</v>
      </c>
      <c r="I7046" s="16">
        <v>470000000</v>
      </c>
      <c r="J7046" s="56" t="s">
        <v>229</v>
      </c>
      <c r="K7046" s="61" t="s">
        <v>633</v>
      </c>
      <c r="L7046" s="16" t="s">
        <v>9171</v>
      </c>
      <c r="M7046" s="162" t="s">
        <v>230</v>
      </c>
      <c r="N7046" s="65" t="s">
        <v>8914</v>
      </c>
      <c r="O7046" s="6" t="s">
        <v>9175</v>
      </c>
      <c r="P7046" s="58" t="s">
        <v>241</v>
      </c>
      <c r="Q7046" s="6" t="s">
        <v>234</v>
      </c>
      <c r="R7046" s="137">
        <v>1</v>
      </c>
      <c r="S7046" s="138">
        <v>28000</v>
      </c>
      <c r="T7046" s="4">
        <f t="shared" si="334"/>
        <v>28000</v>
      </c>
      <c r="U7046" s="1">
        <f t="shared" si="331"/>
        <v>31360.000000000004</v>
      </c>
      <c r="V7046" s="3"/>
      <c r="W7046" s="3">
        <v>2014</v>
      </c>
      <c r="X7046" s="3"/>
    </row>
    <row r="7047" spans="1:24" ht="76.5">
      <c r="A7047" s="3" t="s">
        <v>10767</v>
      </c>
      <c r="B7047" s="15" t="s">
        <v>361</v>
      </c>
      <c r="C7047" s="16" t="s">
        <v>9257</v>
      </c>
      <c r="D7047" s="16" t="s">
        <v>9258</v>
      </c>
      <c r="E7047" s="16" t="s">
        <v>9259</v>
      </c>
      <c r="F7047" s="261" t="s">
        <v>9260</v>
      </c>
      <c r="G7047" s="16" t="s">
        <v>605</v>
      </c>
      <c r="H7047" s="67">
        <v>0</v>
      </c>
      <c r="I7047" s="16">
        <v>470000000</v>
      </c>
      <c r="J7047" s="56" t="s">
        <v>229</v>
      </c>
      <c r="K7047" s="61" t="s">
        <v>633</v>
      </c>
      <c r="L7047" s="16" t="s">
        <v>9171</v>
      </c>
      <c r="M7047" s="162" t="s">
        <v>230</v>
      </c>
      <c r="N7047" s="65" t="s">
        <v>8914</v>
      </c>
      <c r="O7047" s="6" t="s">
        <v>9175</v>
      </c>
      <c r="P7047" s="58" t="s">
        <v>241</v>
      </c>
      <c r="Q7047" s="6" t="s">
        <v>234</v>
      </c>
      <c r="R7047" s="137">
        <v>1</v>
      </c>
      <c r="S7047" s="138">
        <v>15000</v>
      </c>
      <c r="T7047" s="4">
        <f t="shared" si="334"/>
        <v>15000</v>
      </c>
      <c r="U7047" s="1">
        <f t="shared" si="331"/>
        <v>16800</v>
      </c>
      <c r="V7047" s="3"/>
      <c r="W7047" s="3">
        <v>2014</v>
      </c>
      <c r="X7047" s="3"/>
    </row>
    <row r="7048" spans="1:24" ht="191.25">
      <c r="A7048" s="3" t="s">
        <v>10768</v>
      </c>
      <c r="B7048" s="15" t="s">
        <v>361</v>
      </c>
      <c r="C7048" s="16" t="s">
        <v>9261</v>
      </c>
      <c r="D7048" s="16" t="s">
        <v>9262</v>
      </c>
      <c r="E7048" s="16" t="s">
        <v>9263</v>
      </c>
      <c r="F7048" s="137" t="s">
        <v>9264</v>
      </c>
      <c r="G7048" s="16" t="s">
        <v>605</v>
      </c>
      <c r="H7048" s="67">
        <v>0</v>
      </c>
      <c r="I7048" s="16">
        <v>470000000</v>
      </c>
      <c r="J7048" s="56" t="s">
        <v>229</v>
      </c>
      <c r="K7048" s="61" t="s">
        <v>633</v>
      </c>
      <c r="L7048" s="16" t="s">
        <v>9171</v>
      </c>
      <c r="M7048" s="162" t="s">
        <v>230</v>
      </c>
      <c r="N7048" s="65" t="s">
        <v>8914</v>
      </c>
      <c r="O7048" s="6" t="s">
        <v>9175</v>
      </c>
      <c r="P7048" s="58">
        <v>5108</v>
      </c>
      <c r="Q7048" s="6" t="s">
        <v>9265</v>
      </c>
      <c r="R7048" s="137">
        <v>3</v>
      </c>
      <c r="S7048" s="138">
        <v>24000</v>
      </c>
      <c r="T7048" s="4">
        <f t="shared" si="334"/>
        <v>72000</v>
      </c>
      <c r="U7048" s="1">
        <f t="shared" si="331"/>
        <v>80640.000000000015</v>
      </c>
      <c r="V7048" s="3"/>
      <c r="W7048" s="3">
        <v>2014</v>
      </c>
      <c r="X7048" s="3"/>
    </row>
    <row r="7049" spans="1:24" ht="153">
      <c r="A7049" s="3" t="s">
        <v>10769</v>
      </c>
      <c r="B7049" s="15" t="s">
        <v>361</v>
      </c>
      <c r="C7049" s="16" t="s">
        <v>9266</v>
      </c>
      <c r="D7049" s="16" t="s">
        <v>9267</v>
      </c>
      <c r="E7049" s="16" t="s">
        <v>9268</v>
      </c>
      <c r="F7049" s="137" t="s">
        <v>9269</v>
      </c>
      <c r="G7049" s="16" t="s">
        <v>605</v>
      </c>
      <c r="H7049" s="67">
        <v>0</v>
      </c>
      <c r="I7049" s="16">
        <v>470000000</v>
      </c>
      <c r="J7049" s="56" t="s">
        <v>229</v>
      </c>
      <c r="K7049" s="61" t="s">
        <v>633</v>
      </c>
      <c r="L7049" s="16" t="s">
        <v>9171</v>
      </c>
      <c r="M7049" s="162" t="s">
        <v>230</v>
      </c>
      <c r="N7049" s="65" t="s">
        <v>8914</v>
      </c>
      <c r="O7049" s="6" t="s">
        <v>9175</v>
      </c>
      <c r="P7049" s="58">
        <v>5108</v>
      </c>
      <c r="Q7049" s="6" t="s">
        <v>9265</v>
      </c>
      <c r="R7049" s="137">
        <v>2</v>
      </c>
      <c r="S7049" s="138">
        <v>38000</v>
      </c>
      <c r="T7049" s="4">
        <f t="shared" si="334"/>
        <v>76000</v>
      </c>
      <c r="U7049" s="1">
        <f t="shared" si="331"/>
        <v>85120.000000000015</v>
      </c>
      <c r="V7049" s="3"/>
      <c r="W7049" s="3">
        <v>2014</v>
      </c>
      <c r="X7049" s="3"/>
    </row>
    <row r="7050" spans="1:24" ht="76.5">
      <c r="A7050" s="3" t="s">
        <v>10770</v>
      </c>
      <c r="B7050" s="15" t="s">
        <v>361</v>
      </c>
      <c r="C7050" s="16" t="s">
        <v>9270</v>
      </c>
      <c r="D7050" s="16" t="s">
        <v>643</v>
      </c>
      <c r="E7050" s="16" t="s">
        <v>9271</v>
      </c>
      <c r="F7050" s="137" t="s">
        <v>643</v>
      </c>
      <c r="G7050" s="16" t="s">
        <v>605</v>
      </c>
      <c r="H7050" s="67">
        <v>0</v>
      </c>
      <c r="I7050" s="16">
        <v>470000000</v>
      </c>
      <c r="J7050" s="56" t="s">
        <v>229</v>
      </c>
      <c r="K7050" s="61" t="s">
        <v>633</v>
      </c>
      <c r="L7050" s="16" t="s">
        <v>9171</v>
      </c>
      <c r="M7050" s="162" t="s">
        <v>230</v>
      </c>
      <c r="N7050" s="65" t="s">
        <v>8914</v>
      </c>
      <c r="O7050" s="6" t="s">
        <v>9175</v>
      </c>
      <c r="P7050" s="58" t="s">
        <v>241</v>
      </c>
      <c r="Q7050" s="6" t="s">
        <v>234</v>
      </c>
      <c r="R7050" s="137">
        <v>2</v>
      </c>
      <c r="S7050" s="138">
        <v>3500</v>
      </c>
      <c r="T7050" s="4">
        <f t="shared" si="334"/>
        <v>7000</v>
      </c>
      <c r="U7050" s="1">
        <f t="shared" si="331"/>
        <v>7840.0000000000009</v>
      </c>
      <c r="V7050" s="3"/>
      <c r="W7050" s="3">
        <v>2014</v>
      </c>
      <c r="X7050" s="3"/>
    </row>
    <row r="7051" spans="1:24" ht="76.5">
      <c r="A7051" s="3" t="s">
        <v>10771</v>
      </c>
      <c r="B7051" s="15" t="s">
        <v>361</v>
      </c>
      <c r="C7051" s="16" t="s">
        <v>9272</v>
      </c>
      <c r="D7051" s="16" t="s">
        <v>9273</v>
      </c>
      <c r="E7051" s="16" t="s">
        <v>9274</v>
      </c>
      <c r="F7051" s="137" t="s">
        <v>9273</v>
      </c>
      <c r="G7051" s="16" t="s">
        <v>605</v>
      </c>
      <c r="H7051" s="67">
        <v>0</v>
      </c>
      <c r="I7051" s="16">
        <v>470000000</v>
      </c>
      <c r="J7051" s="56" t="s">
        <v>229</v>
      </c>
      <c r="K7051" s="61" t="s">
        <v>633</v>
      </c>
      <c r="L7051" s="16" t="s">
        <v>9171</v>
      </c>
      <c r="M7051" s="162" t="s">
        <v>230</v>
      </c>
      <c r="N7051" s="65" t="s">
        <v>8914</v>
      </c>
      <c r="O7051" s="6" t="s">
        <v>9175</v>
      </c>
      <c r="P7051" s="58" t="s">
        <v>241</v>
      </c>
      <c r="Q7051" s="6" t="s">
        <v>234</v>
      </c>
      <c r="R7051" s="137">
        <v>2</v>
      </c>
      <c r="S7051" s="138">
        <v>2000</v>
      </c>
      <c r="T7051" s="4">
        <f t="shared" si="334"/>
        <v>4000</v>
      </c>
      <c r="U7051" s="1">
        <f t="shared" si="331"/>
        <v>4480</v>
      </c>
      <c r="V7051" s="3"/>
      <c r="W7051" s="3">
        <v>2014</v>
      </c>
      <c r="X7051" s="3"/>
    </row>
    <row r="7052" spans="1:24" ht="76.5">
      <c r="A7052" s="3" t="s">
        <v>10772</v>
      </c>
      <c r="B7052" s="15" t="s">
        <v>361</v>
      </c>
      <c r="C7052" s="16" t="s">
        <v>9275</v>
      </c>
      <c r="D7052" s="16" t="s">
        <v>454</v>
      </c>
      <c r="E7052" s="16" t="s">
        <v>9276</v>
      </c>
      <c r="F7052" s="137" t="s">
        <v>9277</v>
      </c>
      <c r="G7052" s="16" t="s">
        <v>605</v>
      </c>
      <c r="H7052" s="67">
        <v>0</v>
      </c>
      <c r="I7052" s="16">
        <v>470000000</v>
      </c>
      <c r="J7052" s="56" t="s">
        <v>229</v>
      </c>
      <c r="K7052" s="61" t="s">
        <v>633</v>
      </c>
      <c r="L7052" s="16" t="s">
        <v>9171</v>
      </c>
      <c r="M7052" s="162" t="s">
        <v>230</v>
      </c>
      <c r="N7052" s="65" t="s">
        <v>8914</v>
      </c>
      <c r="O7052" s="6" t="s">
        <v>9175</v>
      </c>
      <c r="P7052" s="58" t="s">
        <v>241</v>
      </c>
      <c r="Q7052" s="6" t="s">
        <v>234</v>
      </c>
      <c r="R7052" s="137">
        <v>1</v>
      </c>
      <c r="S7052" s="138">
        <v>3000</v>
      </c>
      <c r="T7052" s="4">
        <f t="shared" si="334"/>
        <v>3000</v>
      </c>
      <c r="U7052" s="1">
        <f t="shared" si="331"/>
        <v>3360.0000000000005</v>
      </c>
      <c r="V7052" s="3"/>
      <c r="W7052" s="3">
        <v>2014</v>
      </c>
      <c r="X7052" s="3"/>
    </row>
    <row r="7053" spans="1:24" ht="76.5">
      <c r="A7053" s="3" t="s">
        <v>10773</v>
      </c>
      <c r="B7053" s="15" t="s">
        <v>361</v>
      </c>
      <c r="C7053" s="16" t="s">
        <v>9278</v>
      </c>
      <c r="D7053" s="16" t="s">
        <v>9279</v>
      </c>
      <c r="E7053" s="16" t="s">
        <v>9280</v>
      </c>
      <c r="F7053" s="137" t="s">
        <v>9279</v>
      </c>
      <c r="G7053" s="16" t="s">
        <v>605</v>
      </c>
      <c r="H7053" s="67">
        <v>0</v>
      </c>
      <c r="I7053" s="16">
        <v>470000000</v>
      </c>
      <c r="J7053" s="56" t="s">
        <v>229</v>
      </c>
      <c r="K7053" s="61" t="s">
        <v>633</v>
      </c>
      <c r="L7053" s="16" t="s">
        <v>9171</v>
      </c>
      <c r="M7053" s="162" t="s">
        <v>230</v>
      </c>
      <c r="N7053" s="65" t="s">
        <v>8914</v>
      </c>
      <c r="O7053" s="6" t="s">
        <v>9175</v>
      </c>
      <c r="P7053" s="58" t="s">
        <v>241</v>
      </c>
      <c r="Q7053" s="6" t="s">
        <v>234</v>
      </c>
      <c r="R7053" s="137">
        <v>1</v>
      </c>
      <c r="S7053" s="138">
        <v>10000</v>
      </c>
      <c r="T7053" s="4">
        <f t="shared" si="334"/>
        <v>10000</v>
      </c>
      <c r="U7053" s="1">
        <f t="shared" si="331"/>
        <v>11200.000000000002</v>
      </c>
      <c r="V7053" s="3"/>
      <c r="W7053" s="3">
        <v>2014</v>
      </c>
      <c r="X7053" s="3"/>
    </row>
    <row r="7054" spans="1:24" ht="76.5">
      <c r="A7054" s="3" t="s">
        <v>10774</v>
      </c>
      <c r="B7054" s="15" t="s">
        <v>361</v>
      </c>
      <c r="C7054" s="16" t="s">
        <v>9281</v>
      </c>
      <c r="D7054" s="16" t="s">
        <v>9282</v>
      </c>
      <c r="E7054" s="16" t="s">
        <v>9282</v>
      </c>
      <c r="F7054" s="137" t="s">
        <v>9283</v>
      </c>
      <c r="G7054" s="16" t="s">
        <v>605</v>
      </c>
      <c r="H7054" s="67">
        <v>0</v>
      </c>
      <c r="I7054" s="16">
        <v>470000000</v>
      </c>
      <c r="J7054" s="56" t="s">
        <v>229</v>
      </c>
      <c r="K7054" s="61" t="s">
        <v>633</v>
      </c>
      <c r="L7054" s="16" t="s">
        <v>9171</v>
      </c>
      <c r="M7054" s="162" t="s">
        <v>230</v>
      </c>
      <c r="N7054" s="65" t="s">
        <v>8914</v>
      </c>
      <c r="O7054" s="6" t="s">
        <v>9175</v>
      </c>
      <c r="P7054" s="58" t="s">
        <v>241</v>
      </c>
      <c r="Q7054" s="6" t="s">
        <v>234</v>
      </c>
      <c r="R7054" s="137">
        <v>10</v>
      </c>
      <c r="S7054" s="138">
        <v>1500</v>
      </c>
      <c r="T7054" s="4">
        <f t="shared" si="334"/>
        <v>15000</v>
      </c>
      <c r="U7054" s="1">
        <f t="shared" si="331"/>
        <v>16800</v>
      </c>
      <c r="V7054" s="3"/>
      <c r="W7054" s="3">
        <v>2014</v>
      </c>
      <c r="X7054" s="3"/>
    </row>
    <row r="7055" spans="1:24" ht="76.5">
      <c r="A7055" s="3" t="s">
        <v>10775</v>
      </c>
      <c r="B7055" s="15" t="s">
        <v>361</v>
      </c>
      <c r="C7055" s="16" t="s">
        <v>9281</v>
      </c>
      <c r="D7055" s="16" t="s">
        <v>9282</v>
      </c>
      <c r="E7055" s="16" t="s">
        <v>9282</v>
      </c>
      <c r="F7055" s="137" t="s">
        <v>9284</v>
      </c>
      <c r="G7055" s="16" t="s">
        <v>605</v>
      </c>
      <c r="H7055" s="67">
        <v>0</v>
      </c>
      <c r="I7055" s="16">
        <v>470000000</v>
      </c>
      <c r="J7055" s="56" t="s">
        <v>229</v>
      </c>
      <c r="K7055" s="61" t="s">
        <v>633</v>
      </c>
      <c r="L7055" s="16" t="s">
        <v>9171</v>
      </c>
      <c r="M7055" s="162" t="s">
        <v>230</v>
      </c>
      <c r="N7055" s="65" t="s">
        <v>8914</v>
      </c>
      <c r="O7055" s="6" t="s">
        <v>9175</v>
      </c>
      <c r="P7055" s="58" t="s">
        <v>241</v>
      </c>
      <c r="Q7055" s="6" t="s">
        <v>234</v>
      </c>
      <c r="R7055" s="137">
        <v>10</v>
      </c>
      <c r="S7055" s="138">
        <v>4000</v>
      </c>
      <c r="T7055" s="4">
        <f t="shared" si="334"/>
        <v>40000</v>
      </c>
      <c r="U7055" s="1">
        <f t="shared" si="331"/>
        <v>44800.000000000007</v>
      </c>
      <c r="V7055" s="3"/>
      <c r="W7055" s="3">
        <v>2014</v>
      </c>
      <c r="X7055" s="3"/>
    </row>
    <row r="7056" spans="1:24" ht="76.5">
      <c r="A7056" s="3" t="s">
        <v>10776</v>
      </c>
      <c r="B7056" s="15" t="s">
        <v>361</v>
      </c>
      <c r="C7056" s="16" t="s">
        <v>9285</v>
      </c>
      <c r="D7056" s="16" t="s">
        <v>430</v>
      </c>
      <c r="E7056" s="16" t="s">
        <v>9286</v>
      </c>
      <c r="F7056" s="261" t="s">
        <v>9287</v>
      </c>
      <c r="G7056" s="16" t="s">
        <v>605</v>
      </c>
      <c r="H7056" s="67">
        <v>0</v>
      </c>
      <c r="I7056" s="16">
        <v>470000000</v>
      </c>
      <c r="J7056" s="56" t="s">
        <v>229</v>
      </c>
      <c r="K7056" s="61" t="s">
        <v>633</v>
      </c>
      <c r="L7056" s="16" t="s">
        <v>9171</v>
      </c>
      <c r="M7056" s="162" t="s">
        <v>230</v>
      </c>
      <c r="N7056" s="65" t="s">
        <v>8914</v>
      </c>
      <c r="O7056" s="6" t="s">
        <v>9175</v>
      </c>
      <c r="P7056" s="58" t="s">
        <v>241</v>
      </c>
      <c r="Q7056" s="6" t="s">
        <v>234</v>
      </c>
      <c r="R7056" s="137">
        <v>5</v>
      </c>
      <c r="S7056" s="138">
        <v>15000</v>
      </c>
      <c r="T7056" s="4">
        <f t="shared" si="334"/>
        <v>75000</v>
      </c>
      <c r="U7056" s="1">
        <f t="shared" si="331"/>
        <v>84000.000000000015</v>
      </c>
      <c r="V7056" s="3"/>
      <c r="W7056" s="3">
        <v>2014</v>
      </c>
      <c r="X7056" s="3"/>
    </row>
    <row r="7057" spans="1:24" ht="76.5">
      <c r="A7057" s="3" t="s">
        <v>10777</v>
      </c>
      <c r="B7057" s="15" t="s">
        <v>361</v>
      </c>
      <c r="C7057" s="16" t="s">
        <v>9285</v>
      </c>
      <c r="D7057" s="16" t="s">
        <v>430</v>
      </c>
      <c r="E7057" s="16" t="s">
        <v>9286</v>
      </c>
      <c r="F7057" s="261" t="s">
        <v>9288</v>
      </c>
      <c r="G7057" s="16" t="s">
        <v>605</v>
      </c>
      <c r="H7057" s="67">
        <v>0</v>
      </c>
      <c r="I7057" s="16">
        <v>470000000</v>
      </c>
      <c r="J7057" s="56" t="s">
        <v>229</v>
      </c>
      <c r="K7057" s="61" t="s">
        <v>633</v>
      </c>
      <c r="L7057" s="16" t="s">
        <v>9171</v>
      </c>
      <c r="M7057" s="162" t="s">
        <v>230</v>
      </c>
      <c r="N7057" s="65" t="s">
        <v>8914</v>
      </c>
      <c r="O7057" s="6" t="s">
        <v>9175</v>
      </c>
      <c r="P7057" s="58" t="s">
        <v>241</v>
      </c>
      <c r="Q7057" s="6" t="s">
        <v>234</v>
      </c>
      <c r="R7057" s="137">
        <v>5</v>
      </c>
      <c r="S7057" s="138">
        <v>12500</v>
      </c>
      <c r="T7057" s="4">
        <f t="shared" si="334"/>
        <v>62500</v>
      </c>
      <c r="U7057" s="1">
        <f t="shared" si="331"/>
        <v>70000</v>
      </c>
      <c r="V7057" s="3"/>
      <c r="W7057" s="3">
        <v>2014</v>
      </c>
      <c r="X7057" s="3"/>
    </row>
    <row r="7058" spans="1:24" ht="89.25">
      <c r="A7058" s="3" t="s">
        <v>10778</v>
      </c>
      <c r="B7058" s="15" t="s">
        <v>361</v>
      </c>
      <c r="C7058" s="16" t="s">
        <v>9289</v>
      </c>
      <c r="D7058" s="16" t="s">
        <v>9290</v>
      </c>
      <c r="E7058" s="16" t="s">
        <v>9291</v>
      </c>
      <c r="F7058" s="261" t="s">
        <v>9292</v>
      </c>
      <c r="G7058" s="16" t="s">
        <v>605</v>
      </c>
      <c r="H7058" s="67">
        <v>0</v>
      </c>
      <c r="I7058" s="16">
        <v>470000000</v>
      </c>
      <c r="J7058" s="56" t="s">
        <v>229</v>
      </c>
      <c r="K7058" s="61" t="s">
        <v>633</v>
      </c>
      <c r="L7058" s="16" t="s">
        <v>9171</v>
      </c>
      <c r="M7058" s="162" t="s">
        <v>230</v>
      </c>
      <c r="N7058" s="65" t="s">
        <v>8914</v>
      </c>
      <c r="O7058" s="6" t="s">
        <v>9175</v>
      </c>
      <c r="P7058" s="58" t="s">
        <v>241</v>
      </c>
      <c r="Q7058" s="6" t="s">
        <v>234</v>
      </c>
      <c r="R7058" s="137">
        <v>30</v>
      </c>
      <c r="S7058" s="138">
        <v>2000</v>
      </c>
      <c r="T7058" s="4">
        <f t="shared" si="334"/>
        <v>60000</v>
      </c>
      <c r="U7058" s="1">
        <f t="shared" si="331"/>
        <v>67200</v>
      </c>
      <c r="V7058" s="3"/>
      <c r="W7058" s="3">
        <v>2014</v>
      </c>
      <c r="X7058" s="3"/>
    </row>
    <row r="7059" spans="1:24" ht="89.25">
      <c r="A7059" s="3" t="s">
        <v>10779</v>
      </c>
      <c r="B7059" s="15" t="s">
        <v>361</v>
      </c>
      <c r="C7059" s="16" t="s">
        <v>9289</v>
      </c>
      <c r="D7059" s="16" t="s">
        <v>9290</v>
      </c>
      <c r="E7059" s="16" t="s">
        <v>9291</v>
      </c>
      <c r="F7059" s="261" t="s">
        <v>9293</v>
      </c>
      <c r="G7059" s="16" t="s">
        <v>605</v>
      </c>
      <c r="H7059" s="67">
        <v>0</v>
      </c>
      <c r="I7059" s="16">
        <v>470000000</v>
      </c>
      <c r="J7059" s="56" t="s">
        <v>229</v>
      </c>
      <c r="K7059" s="61" t="s">
        <v>633</v>
      </c>
      <c r="L7059" s="16" t="s">
        <v>9171</v>
      </c>
      <c r="M7059" s="162" t="s">
        <v>230</v>
      </c>
      <c r="N7059" s="65" t="s">
        <v>8914</v>
      </c>
      <c r="O7059" s="6" t="s">
        <v>9175</v>
      </c>
      <c r="P7059" s="58" t="s">
        <v>241</v>
      </c>
      <c r="Q7059" s="6" t="s">
        <v>234</v>
      </c>
      <c r="R7059" s="137">
        <v>20</v>
      </c>
      <c r="S7059" s="138">
        <v>1000</v>
      </c>
      <c r="T7059" s="4">
        <f t="shared" si="334"/>
        <v>20000</v>
      </c>
      <c r="U7059" s="1">
        <f t="shared" si="331"/>
        <v>22400.000000000004</v>
      </c>
      <c r="V7059" s="3"/>
      <c r="W7059" s="3">
        <v>2014</v>
      </c>
      <c r="X7059" s="3"/>
    </row>
    <row r="7060" spans="1:24" ht="76.5">
      <c r="A7060" s="3" t="s">
        <v>10780</v>
      </c>
      <c r="B7060" s="15" t="s">
        <v>361</v>
      </c>
      <c r="C7060" s="14" t="s">
        <v>9294</v>
      </c>
      <c r="D7060" s="194" t="s">
        <v>9295</v>
      </c>
      <c r="E7060" s="194" t="s">
        <v>9296</v>
      </c>
      <c r="F7060" s="193" t="s">
        <v>9297</v>
      </c>
      <c r="G7060" s="16" t="s">
        <v>605</v>
      </c>
      <c r="H7060" s="67">
        <v>0</v>
      </c>
      <c r="I7060" s="16">
        <v>470000000</v>
      </c>
      <c r="J7060" s="56" t="s">
        <v>229</v>
      </c>
      <c r="K7060" s="61" t="s">
        <v>633</v>
      </c>
      <c r="L7060" s="16" t="s">
        <v>9171</v>
      </c>
      <c r="M7060" s="162" t="s">
        <v>230</v>
      </c>
      <c r="N7060" s="65" t="s">
        <v>528</v>
      </c>
      <c r="O7060" s="6" t="s">
        <v>9175</v>
      </c>
      <c r="P7060" s="58" t="s">
        <v>241</v>
      </c>
      <c r="Q7060" s="6" t="s">
        <v>234</v>
      </c>
      <c r="R7060" s="193">
        <v>1</v>
      </c>
      <c r="S7060" s="193">
        <v>1000</v>
      </c>
      <c r="T7060" s="4">
        <f t="shared" si="334"/>
        <v>1000</v>
      </c>
      <c r="U7060" s="1">
        <f t="shared" si="331"/>
        <v>1120</v>
      </c>
      <c r="V7060" s="3"/>
      <c r="W7060" s="3">
        <v>2014</v>
      </c>
      <c r="X7060" s="3"/>
    </row>
    <row r="7061" spans="1:24" ht="76.5">
      <c r="A7061" s="3" t="s">
        <v>10781</v>
      </c>
      <c r="B7061" s="15" t="s">
        <v>361</v>
      </c>
      <c r="C7061" s="14" t="s">
        <v>9294</v>
      </c>
      <c r="D7061" s="194" t="s">
        <v>9295</v>
      </c>
      <c r="E7061" s="194" t="s">
        <v>9296</v>
      </c>
      <c r="F7061" s="193" t="s">
        <v>9298</v>
      </c>
      <c r="G7061" s="16" t="s">
        <v>605</v>
      </c>
      <c r="H7061" s="67">
        <v>0</v>
      </c>
      <c r="I7061" s="16">
        <v>470000000</v>
      </c>
      <c r="J7061" s="56" t="s">
        <v>229</v>
      </c>
      <c r="K7061" s="61" t="s">
        <v>633</v>
      </c>
      <c r="L7061" s="16" t="s">
        <v>9171</v>
      </c>
      <c r="M7061" s="162" t="s">
        <v>230</v>
      </c>
      <c r="N7061" s="65" t="s">
        <v>528</v>
      </c>
      <c r="O7061" s="6" t="s">
        <v>9175</v>
      </c>
      <c r="P7061" s="58" t="s">
        <v>241</v>
      </c>
      <c r="Q7061" s="6" t="s">
        <v>234</v>
      </c>
      <c r="R7061" s="193">
        <v>1</v>
      </c>
      <c r="S7061" s="193">
        <v>6000</v>
      </c>
      <c r="T7061" s="4">
        <f t="shared" si="334"/>
        <v>6000</v>
      </c>
      <c r="U7061" s="1">
        <f t="shared" si="331"/>
        <v>6720.0000000000009</v>
      </c>
      <c r="V7061" s="3"/>
      <c r="W7061" s="3">
        <v>2014</v>
      </c>
      <c r="X7061" s="3"/>
    </row>
    <row r="7062" spans="1:24" ht="76.5">
      <c r="A7062" s="3" t="s">
        <v>10782</v>
      </c>
      <c r="B7062" s="15" t="s">
        <v>361</v>
      </c>
      <c r="C7062" s="14" t="s">
        <v>9299</v>
      </c>
      <c r="D7062" s="194" t="s">
        <v>4971</v>
      </c>
      <c r="E7062" s="194" t="s">
        <v>9300</v>
      </c>
      <c r="F7062" s="193" t="s">
        <v>9301</v>
      </c>
      <c r="G7062" s="16" t="s">
        <v>605</v>
      </c>
      <c r="H7062" s="67">
        <v>0</v>
      </c>
      <c r="I7062" s="16">
        <v>470000000</v>
      </c>
      <c r="J7062" s="56" t="s">
        <v>229</v>
      </c>
      <c r="K7062" s="61" t="s">
        <v>633</v>
      </c>
      <c r="L7062" s="16" t="s">
        <v>9171</v>
      </c>
      <c r="M7062" s="162" t="s">
        <v>230</v>
      </c>
      <c r="N7062" s="65" t="s">
        <v>528</v>
      </c>
      <c r="O7062" s="6" t="s">
        <v>9175</v>
      </c>
      <c r="P7062" s="58" t="s">
        <v>237</v>
      </c>
      <c r="Q7062" s="6" t="s">
        <v>238</v>
      </c>
      <c r="R7062" s="193">
        <v>100</v>
      </c>
      <c r="S7062" s="193">
        <v>300</v>
      </c>
      <c r="T7062" s="4">
        <f t="shared" si="334"/>
        <v>30000</v>
      </c>
      <c r="U7062" s="1">
        <f t="shared" si="331"/>
        <v>33600</v>
      </c>
      <c r="V7062" s="3"/>
      <c r="W7062" s="3">
        <v>2014</v>
      </c>
      <c r="X7062" s="3"/>
    </row>
    <row r="7063" spans="1:24" ht="127.5">
      <c r="A7063" s="3" t="s">
        <v>10783</v>
      </c>
      <c r="B7063" s="15" t="s">
        <v>361</v>
      </c>
      <c r="C7063" s="14" t="s">
        <v>9302</v>
      </c>
      <c r="D7063" s="194" t="s">
        <v>9303</v>
      </c>
      <c r="E7063" s="194" t="s">
        <v>9304</v>
      </c>
      <c r="F7063" s="6" t="s">
        <v>9305</v>
      </c>
      <c r="G7063" s="16" t="s">
        <v>605</v>
      </c>
      <c r="H7063" s="67">
        <v>0</v>
      </c>
      <c r="I7063" s="16">
        <v>470000000</v>
      </c>
      <c r="J7063" s="56" t="s">
        <v>229</v>
      </c>
      <c r="K7063" s="61" t="s">
        <v>633</v>
      </c>
      <c r="L7063" s="16" t="s">
        <v>9171</v>
      </c>
      <c r="M7063" s="162" t="s">
        <v>230</v>
      </c>
      <c r="N7063" s="65" t="s">
        <v>528</v>
      </c>
      <c r="O7063" s="6" t="s">
        <v>9175</v>
      </c>
      <c r="P7063" s="58" t="s">
        <v>241</v>
      </c>
      <c r="Q7063" s="6" t="s">
        <v>234</v>
      </c>
      <c r="R7063" s="193">
        <v>1</v>
      </c>
      <c r="S7063" s="193">
        <v>1300</v>
      </c>
      <c r="T7063" s="4">
        <f t="shared" si="334"/>
        <v>1300</v>
      </c>
      <c r="U7063" s="1">
        <f t="shared" si="331"/>
        <v>1456.0000000000002</v>
      </c>
      <c r="V7063" s="3"/>
      <c r="W7063" s="3">
        <v>2014</v>
      </c>
      <c r="X7063" s="3"/>
    </row>
    <row r="7064" spans="1:24" ht="76.5">
      <c r="A7064" s="3" t="s">
        <v>10784</v>
      </c>
      <c r="B7064" s="15" t="s">
        <v>361</v>
      </c>
      <c r="C7064" s="14" t="s">
        <v>9306</v>
      </c>
      <c r="D7064" s="194" t="s">
        <v>45</v>
      </c>
      <c r="E7064" s="194" t="s">
        <v>9307</v>
      </c>
      <c r="F7064" s="6" t="s">
        <v>9308</v>
      </c>
      <c r="G7064" s="16" t="s">
        <v>605</v>
      </c>
      <c r="H7064" s="67">
        <v>0</v>
      </c>
      <c r="I7064" s="16">
        <v>470000000</v>
      </c>
      <c r="J7064" s="56" t="s">
        <v>229</v>
      </c>
      <c r="K7064" s="61" t="s">
        <v>633</v>
      </c>
      <c r="L7064" s="16" t="s">
        <v>9171</v>
      </c>
      <c r="M7064" s="162" t="s">
        <v>230</v>
      </c>
      <c r="N7064" s="65" t="s">
        <v>528</v>
      </c>
      <c r="O7064" s="6" t="s">
        <v>9175</v>
      </c>
      <c r="P7064" s="58" t="s">
        <v>241</v>
      </c>
      <c r="Q7064" s="6" t="s">
        <v>234</v>
      </c>
      <c r="R7064" s="193">
        <v>1</v>
      </c>
      <c r="S7064" s="193">
        <v>8000</v>
      </c>
      <c r="T7064" s="4">
        <f t="shared" si="334"/>
        <v>8000</v>
      </c>
      <c r="U7064" s="1">
        <f t="shared" si="331"/>
        <v>8960</v>
      </c>
      <c r="V7064" s="3"/>
      <c r="W7064" s="3">
        <v>2014</v>
      </c>
      <c r="X7064" s="3"/>
    </row>
    <row r="7065" spans="1:24" ht="76.5">
      <c r="A7065" s="3" t="s">
        <v>10785</v>
      </c>
      <c r="B7065" s="15" t="s">
        <v>361</v>
      </c>
      <c r="C7065" s="14" t="s">
        <v>9309</v>
      </c>
      <c r="D7065" s="194" t="s">
        <v>538</v>
      </c>
      <c r="E7065" s="194" t="s">
        <v>9310</v>
      </c>
      <c r="F7065" s="6" t="s">
        <v>9311</v>
      </c>
      <c r="G7065" s="16" t="s">
        <v>605</v>
      </c>
      <c r="H7065" s="67">
        <v>0</v>
      </c>
      <c r="I7065" s="16">
        <v>470000000</v>
      </c>
      <c r="J7065" s="56" t="s">
        <v>229</v>
      </c>
      <c r="K7065" s="61" t="s">
        <v>633</v>
      </c>
      <c r="L7065" s="16" t="s">
        <v>9171</v>
      </c>
      <c r="M7065" s="162" t="s">
        <v>230</v>
      </c>
      <c r="N7065" s="65" t="s">
        <v>528</v>
      </c>
      <c r="O7065" s="6" t="s">
        <v>9175</v>
      </c>
      <c r="P7065" s="58" t="s">
        <v>241</v>
      </c>
      <c r="Q7065" s="6" t="s">
        <v>234</v>
      </c>
      <c r="R7065" s="193">
        <v>1</v>
      </c>
      <c r="S7065" s="193">
        <v>800</v>
      </c>
      <c r="T7065" s="4">
        <f t="shared" si="334"/>
        <v>800</v>
      </c>
      <c r="U7065" s="1">
        <f t="shared" si="331"/>
        <v>896.00000000000011</v>
      </c>
      <c r="V7065" s="3"/>
      <c r="W7065" s="3">
        <v>2014</v>
      </c>
      <c r="X7065" s="3"/>
    </row>
    <row r="7066" spans="1:24" ht="76.5">
      <c r="A7066" s="3" t="s">
        <v>10786</v>
      </c>
      <c r="B7066" s="15" t="s">
        <v>361</v>
      </c>
      <c r="C7066" s="14" t="s">
        <v>9312</v>
      </c>
      <c r="D7066" s="194" t="s">
        <v>9313</v>
      </c>
      <c r="E7066" s="194" t="s">
        <v>9314</v>
      </c>
      <c r="F7066" s="6" t="s">
        <v>9315</v>
      </c>
      <c r="G7066" s="16" t="s">
        <v>605</v>
      </c>
      <c r="H7066" s="67">
        <v>0</v>
      </c>
      <c r="I7066" s="16">
        <v>470000000</v>
      </c>
      <c r="J7066" s="56" t="s">
        <v>229</v>
      </c>
      <c r="K7066" s="61" t="s">
        <v>633</v>
      </c>
      <c r="L7066" s="16" t="s">
        <v>9171</v>
      </c>
      <c r="M7066" s="162" t="s">
        <v>230</v>
      </c>
      <c r="N7066" s="65" t="s">
        <v>528</v>
      </c>
      <c r="O7066" s="6" t="s">
        <v>9175</v>
      </c>
      <c r="P7066" s="58" t="s">
        <v>241</v>
      </c>
      <c r="Q7066" s="6" t="s">
        <v>234</v>
      </c>
      <c r="R7066" s="193">
        <v>1</v>
      </c>
      <c r="S7066" s="193">
        <v>6200</v>
      </c>
      <c r="T7066" s="4">
        <f t="shared" si="334"/>
        <v>6200</v>
      </c>
      <c r="U7066" s="1">
        <f t="shared" si="331"/>
        <v>6944.0000000000009</v>
      </c>
      <c r="V7066" s="3"/>
      <c r="W7066" s="3">
        <v>2014</v>
      </c>
      <c r="X7066" s="3"/>
    </row>
    <row r="7067" spans="1:24" ht="76.5">
      <c r="A7067" s="3" t="s">
        <v>10787</v>
      </c>
      <c r="B7067" s="15" t="s">
        <v>361</v>
      </c>
      <c r="C7067" s="14" t="s">
        <v>9316</v>
      </c>
      <c r="D7067" s="194" t="s">
        <v>9317</v>
      </c>
      <c r="E7067" s="194" t="s">
        <v>9317</v>
      </c>
      <c r="F7067" s="6" t="s">
        <v>9318</v>
      </c>
      <c r="G7067" s="16" t="s">
        <v>605</v>
      </c>
      <c r="H7067" s="67">
        <v>0</v>
      </c>
      <c r="I7067" s="16">
        <v>470000000</v>
      </c>
      <c r="J7067" s="56" t="s">
        <v>229</v>
      </c>
      <c r="K7067" s="61" t="s">
        <v>633</v>
      </c>
      <c r="L7067" s="16" t="s">
        <v>9171</v>
      </c>
      <c r="M7067" s="162" t="s">
        <v>230</v>
      </c>
      <c r="N7067" s="65" t="s">
        <v>528</v>
      </c>
      <c r="O7067" s="6" t="s">
        <v>9175</v>
      </c>
      <c r="P7067" s="58" t="s">
        <v>241</v>
      </c>
      <c r="Q7067" s="6" t="s">
        <v>234</v>
      </c>
      <c r="R7067" s="193">
        <v>1</v>
      </c>
      <c r="S7067" s="193">
        <v>2500</v>
      </c>
      <c r="T7067" s="4">
        <f t="shared" si="334"/>
        <v>2500</v>
      </c>
      <c r="U7067" s="1">
        <f t="shared" si="331"/>
        <v>2800.0000000000005</v>
      </c>
      <c r="V7067" s="3"/>
      <c r="W7067" s="3">
        <v>2014</v>
      </c>
      <c r="X7067" s="3"/>
    </row>
    <row r="7068" spans="1:24" ht="76.5">
      <c r="A7068" s="3" t="s">
        <v>10788</v>
      </c>
      <c r="B7068" s="15" t="s">
        <v>361</v>
      </c>
      <c r="C7068" s="65" t="s">
        <v>9319</v>
      </c>
      <c r="D7068" s="65" t="s">
        <v>9320</v>
      </c>
      <c r="E7068" s="65" t="s">
        <v>9321</v>
      </c>
      <c r="F7068" s="6" t="s">
        <v>9322</v>
      </c>
      <c r="G7068" s="16" t="s">
        <v>605</v>
      </c>
      <c r="H7068" s="67">
        <v>0</v>
      </c>
      <c r="I7068" s="16">
        <v>470000000</v>
      </c>
      <c r="J7068" s="56" t="s">
        <v>229</v>
      </c>
      <c r="K7068" s="61" t="s">
        <v>633</v>
      </c>
      <c r="L7068" s="16" t="s">
        <v>9171</v>
      </c>
      <c r="M7068" s="162" t="s">
        <v>230</v>
      </c>
      <c r="N7068" s="65" t="s">
        <v>528</v>
      </c>
      <c r="O7068" s="6" t="s">
        <v>9175</v>
      </c>
      <c r="P7068" s="58" t="s">
        <v>241</v>
      </c>
      <c r="Q7068" s="6" t="s">
        <v>246</v>
      </c>
      <c r="R7068" s="193">
        <v>15</v>
      </c>
      <c r="S7068" s="193">
        <v>550</v>
      </c>
      <c r="T7068" s="4">
        <f t="shared" si="334"/>
        <v>8250</v>
      </c>
      <c r="U7068" s="1">
        <f t="shared" si="331"/>
        <v>9240</v>
      </c>
      <c r="V7068" s="3"/>
      <c r="W7068" s="3">
        <v>2014</v>
      </c>
      <c r="X7068" s="3"/>
    </row>
    <row r="7069" spans="1:24" ht="76.5">
      <c r="A7069" s="3" t="s">
        <v>10789</v>
      </c>
      <c r="B7069" s="15" t="s">
        <v>361</v>
      </c>
      <c r="C7069" s="65" t="s">
        <v>9319</v>
      </c>
      <c r="D7069" s="65" t="s">
        <v>9320</v>
      </c>
      <c r="E7069" s="65" t="s">
        <v>9321</v>
      </c>
      <c r="F7069" s="6" t="s">
        <v>9323</v>
      </c>
      <c r="G7069" s="16" t="s">
        <v>605</v>
      </c>
      <c r="H7069" s="67">
        <v>0</v>
      </c>
      <c r="I7069" s="16">
        <v>470000000</v>
      </c>
      <c r="J7069" s="56" t="s">
        <v>229</v>
      </c>
      <c r="K7069" s="61" t="s">
        <v>633</v>
      </c>
      <c r="L7069" s="16" t="s">
        <v>9171</v>
      </c>
      <c r="M7069" s="162" t="s">
        <v>230</v>
      </c>
      <c r="N7069" s="65" t="s">
        <v>528</v>
      </c>
      <c r="O7069" s="6" t="s">
        <v>9175</v>
      </c>
      <c r="P7069" s="58" t="s">
        <v>241</v>
      </c>
      <c r="Q7069" s="6" t="s">
        <v>246</v>
      </c>
      <c r="R7069" s="193">
        <v>15</v>
      </c>
      <c r="S7069" s="193">
        <v>750</v>
      </c>
      <c r="T7069" s="4">
        <f t="shared" si="334"/>
        <v>11250</v>
      </c>
      <c r="U7069" s="1">
        <f t="shared" si="331"/>
        <v>12600.000000000002</v>
      </c>
      <c r="V7069" s="3"/>
      <c r="W7069" s="3">
        <v>2014</v>
      </c>
      <c r="X7069" s="3"/>
    </row>
    <row r="7070" spans="1:24" ht="76.5">
      <c r="A7070" s="3" t="s">
        <v>10790</v>
      </c>
      <c r="B7070" s="15" t="s">
        <v>361</v>
      </c>
      <c r="C7070" s="14" t="s">
        <v>9319</v>
      </c>
      <c r="D7070" s="194" t="s">
        <v>9320</v>
      </c>
      <c r="E7070" s="194" t="s">
        <v>9321</v>
      </c>
      <c r="F7070" s="193" t="s">
        <v>9324</v>
      </c>
      <c r="G7070" s="16" t="s">
        <v>605</v>
      </c>
      <c r="H7070" s="67">
        <v>0</v>
      </c>
      <c r="I7070" s="16">
        <v>470000000</v>
      </c>
      <c r="J7070" s="56" t="s">
        <v>229</v>
      </c>
      <c r="K7070" s="61" t="s">
        <v>633</v>
      </c>
      <c r="L7070" s="16" t="s">
        <v>9171</v>
      </c>
      <c r="M7070" s="162" t="s">
        <v>230</v>
      </c>
      <c r="N7070" s="65" t="s">
        <v>528</v>
      </c>
      <c r="O7070" s="6" t="s">
        <v>9175</v>
      </c>
      <c r="P7070" s="58" t="s">
        <v>241</v>
      </c>
      <c r="Q7070" s="6" t="s">
        <v>246</v>
      </c>
      <c r="R7070" s="193">
        <v>15</v>
      </c>
      <c r="S7070" s="193">
        <v>150</v>
      </c>
      <c r="T7070" s="4">
        <f t="shared" si="334"/>
        <v>2250</v>
      </c>
      <c r="U7070" s="1">
        <f t="shared" si="331"/>
        <v>2520.0000000000005</v>
      </c>
      <c r="V7070" s="3"/>
      <c r="W7070" s="3">
        <v>2014</v>
      </c>
      <c r="X7070" s="3"/>
    </row>
    <row r="7071" spans="1:24" ht="76.5">
      <c r="A7071" s="3" t="s">
        <v>10791</v>
      </c>
      <c r="B7071" s="15" t="s">
        <v>361</v>
      </c>
      <c r="C7071" s="14" t="s">
        <v>9319</v>
      </c>
      <c r="D7071" s="194" t="s">
        <v>9320</v>
      </c>
      <c r="E7071" s="194" t="s">
        <v>9321</v>
      </c>
      <c r="F7071" s="6" t="s">
        <v>9325</v>
      </c>
      <c r="G7071" s="16" t="s">
        <v>605</v>
      </c>
      <c r="H7071" s="67">
        <v>0</v>
      </c>
      <c r="I7071" s="16">
        <v>470000000</v>
      </c>
      <c r="J7071" s="56" t="s">
        <v>229</v>
      </c>
      <c r="K7071" s="61" t="s">
        <v>633</v>
      </c>
      <c r="L7071" s="16" t="s">
        <v>9171</v>
      </c>
      <c r="M7071" s="162" t="s">
        <v>230</v>
      </c>
      <c r="N7071" s="65" t="s">
        <v>528</v>
      </c>
      <c r="O7071" s="6" t="s">
        <v>9175</v>
      </c>
      <c r="P7071" s="58" t="s">
        <v>241</v>
      </c>
      <c r="Q7071" s="6" t="s">
        <v>246</v>
      </c>
      <c r="R7071" s="193">
        <v>15</v>
      </c>
      <c r="S7071" s="193">
        <v>85</v>
      </c>
      <c r="T7071" s="4">
        <f t="shared" si="334"/>
        <v>1275</v>
      </c>
      <c r="U7071" s="1">
        <f t="shared" si="331"/>
        <v>1428.0000000000002</v>
      </c>
      <c r="V7071" s="3"/>
      <c r="W7071" s="3">
        <v>2014</v>
      </c>
      <c r="X7071" s="3"/>
    </row>
    <row r="7072" spans="1:24" ht="76.5">
      <c r="A7072" s="3" t="s">
        <v>10792</v>
      </c>
      <c r="B7072" s="15" t="s">
        <v>361</v>
      </c>
      <c r="C7072" s="14" t="s">
        <v>9319</v>
      </c>
      <c r="D7072" s="194" t="s">
        <v>9320</v>
      </c>
      <c r="E7072" s="194" t="s">
        <v>9321</v>
      </c>
      <c r="F7072" s="6" t="s">
        <v>9326</v>
      </c>
      <c r="G7072" s="16" t="s">
        <v>605</v>
      </c>
      <c r="H7072" s="67">
        <v>0</v>
      </c>
      <c r="I7072" s="16">
        <v>470000000</v>
      </c>
      <c r="J7072" s="56" t="s">
        <v>229</v>
      </c>
      <c r="K7072" s="61" t="s">
        <v>633</v>
      </c>
      <c r="L7072" s="16" t="s">
        <v>9171</v>
      </c>
      <c r="M7072" s="162" t="s">
        <v>230</v>
      </c>
      <c r="N7072" s="65" t="s">
        <v>528</v>
      </c>
      <c r="O7072" s="6" t="s">
        <v>9175</v>
      </c>
      <c r="P7072" s="58" t="s">
        <v>241</v>
      </c>
      <c r="Q7072" s="6" t="s">
        <v>246</v>
      </c>
      <c r="R7072" s="193">
        <v>10</v>
      </c>
      <c r="S7072" s="193">
        <v>1650</v>
      </c>
      <c r="T7072" s="4">
        <f t="shared" si="334"/>
        <v>16500</v>
      </c>
      <c r="U7072" s="1">
        <f t="shared" si="331"/>
        <v>18480</v>
      </c>
      <c r="V7072" s="3"/>
      <c r="W7072" s="3">
        <v>2014</v>
      </c>
      <c r="X7072" s="3"/>
    </row>
    <row r="7073" spans="1:24" ht="76.5">
      <c r="A7073" s="3" t="s">
        <v>10793</v>
      </c>
      <c r="B7073" s="15" t="s">
        <v>361</v>
      </c>
      <c r="C7073" s="14" t="s">
        <v>9319</v>
      </c>
      <c r="D7073" s="194" t="s">
        <v>9320</v>
      </c>
      <c r="E7073" s="194" t="s">
        <v>9321</v>
      </c>
      <c r="F7073" s="193" t="s">
        <v>9327</v>
      </c>
      <c r="G7073" s="16" t="s">
        <v>605</v>
      </c>
      <c r="H7073" s="67">
        <v>0</v>
      </c>
      <c r="I7073" s="16">
        <v>470000000</v>
      </c>
      <c r="J7073" s="56" t="s">
        <v>229</v>
      </c>
      <c r="K7073" s="61" t="s">
        <v>633</v>
      </c>
      <c r="L7073" s="16" t="s">
        <v>9171</v>
      </c>
      <c r="M7073" s="162" t="s">
        <v>230</v>
      </c>
      <c r="N7073" s="65" t="s">
        <v>528</v>
      </c>
      <c r="O7073" s="6" t="s">
        <v>9175</v>
      </c>
      <c r="P7073" s="58" t="s">
        <v>241</v>
      </c>
      <c r="Q7073" s="6" t="s">
        <v>246</v>
      </c>
      <c r="R7073" s="193">
        <v>10</v>
      </c>
      <c r="S7073" s="193">
        <v>3000</v>
      </c>
      <c r="T7073" s="4">
        <f t="shared" si="334"/>
        <v>30000</v>
      </c>
      <c r="U7073" s="1">
        <f t="shared" si="331"/>
        <v>33600</v>
      </c>
      <c r="V7073" s="3"/>
      <c r="W7073" s="3">
        <v>2014</v>
      </c>
      <c r="X7073" s="3"/>
    </row>
    <row r="7074" spans="1:24" ht="76.5">
      <c r="A7074" s="3" t="s">
        <v>10794</v>
      </c>
      <c r="B7074" s="15" t="s">
        <v>361</v>
      </c>
      <c r="C7074" s="14" t="s">
        <v>9328</v>
      </c>
      <c r="D7074" s="194" t="s">
        <v>9329</v>
      </c>
      <c r="E7074" s="194" t="s">
        <v>9330</v>
      </c>
      <c r="F7074" s="193" t="s">
        <v>9331</v>
      </c>
      <c r="G7074" s="16" t="s">
        <v>605</v>
      </c>
      <c r="H7074" s="67">
        <v>0</v>
      </c>
      <c r="I7074" s="16">
        <v>470000000</v>
      </c>
      <c r="J7074" s="56" t="s">
        <v>229</v>
      </c>
      <c r="K7074" s="61" t="s">
        <v>633</v>
      </c>
      <c r="L7074" s="16" t="s">
        <v>9171</v>
      </c>
      <c r="M7074" s="162" t="s">
        <v>230</v>
      </c>
      <c r="N7074" s="65" t="s">
        <v>528</v>
      </c>
      <c r="O7074" s="6" t="s">
        <v>9175</v>
      </c>
      <c r="P7074" s="58" t="s">
        <v>243</v>
      </c>
      <c r="Q7074" s="6" t="s">
        <v>244</v>
      </c>
      <c r="R7074" s="195">
        <v>0.02</v>
      </c>
      <c r="S7074" s="193">
        <v>200000</v>
      </c>
      <c r="T7074" s="4">
        <f t="shared" si="334"/>
        <v>4000</v>
      </c>
      <c r="U7074" s="1">
        <f t="shared" ref="U7074:U7160" si="335">T7074*1.12</f>
        <v>4480</v>
      </c>
      <c r="V7074" s="3"/>
      <c r="W7074" s="3">
        <v>2014</v>
      </c>
      <c r="X7074" s="3"/>
    </row>
    <row r="7075" spans="1:24" ht="76.5">
      <c r="A7075" s="3" t="s">
        <v>10795</v>
      </c>
      <c r="B7075" s="15" t="s">
        <v>361</v>
      </c>
      <c r="C7075" s="14" t="s">
        <v>11440</v>
      </c>
      <c r="D7075" s="194" t="s">
        <v>9320</v>
      </c>
      <c r="E7075" s="194" t="s">
        <v>9321</v>
      </c>
      <c r="F7075" s="6" t="s">
        <v>9332</v>
      </c>
      <c r="G7075" s="16" t="s">
        <v>605</v>
      </c>
      <c r="H7075" s="67">
        <v>0</v>
      </c>
      <c r="I7075" s="16">
        <v>470000000</v>
      </c>
      <c r="J7075" s="56" t="s">
        <v>229</v>
      </c>
      <c r="K7075" s="61" t="s">
        <v>633</v>
      </c>
      <c r="L7075" s="16" t="s">
        <v>9171</v>
      </c>
      <c r="M7075" s="162" t="s">
        <v>230</v>
      </c>
      <c r="N7075" s="65" t="s">
        <v>528</v>
      </c>
      <c r="O7075" s="6" t="s">
        <v>9175</v>
      </c>
      <c r="P7075" s="58" t="s">
        <v>243</v>
      </c>
      <c r="Q7075" s="6" t="s">
        <v>244</v>
      </c>
      <c r="R7075" s="4">
        <v>12000</v>
      </c>
      <c r="S7075" s="3">
        <v>7.57</v>
      </c>
      <c r="T7075" s="4">
        <v>0</v>
      </c>
      <c r="U7075" s="4">
        <f t="shared" si="335"/>
        <v>0</v>
      </c>
      <c r="V7075" s="3"/>
      <c r="W7075" s="3">
        <v>2014</v>
      </c>
      <c r="X7075" s="6">
        <v>11</v>
      </c>
    </row>
    <row r="7076" spans="1:24" ht="76.5">
      <c r="A7076" s="3" t="s">
        <v>16415</v>
      </c>
      <c r="B7076" s="15" t="s">
        <v>361</v>
      </c>
      <c r="C7076" s="14" t="s">
        <v>11440</v>
      </c>
      <c r="D7076" s="194" t="s">
        <v>9320</v>
      </c>
      <c r="E7076" s="194" t="s">
        <v>9321</v>
      </c>
      <c r="F7076" s="6" t="s">
        <v>9332</v>
      </c>
      <c r="G7076" s="16" t="s">
        <v>605</v>
      </c>
      <c r="H7076" s="67">
        <v>0</v>
      </c>
      <c r="I7076" s="16">
        <v>470000000</v>
      </c>
      <c r="J7076" s="56" t="s">
        <v>229</v>
      </c>
      <c r="K7076" s="61" t="s">
        <v>9369</v>
      </c>
      <c r="L7076" s="16" t="s">
        <v>9171</v>
      </c>
      <c r="M7076" s="162" t="s">
        <v>230</v>
      </c>
      <c r="N7076" s="65" t="s">
        <v>528</v>
      </c>
      <c r="O7076" s="6" t="s">
        <v>9175</v>
      </c>
      <c r="P7076" s="58" t="s">
        <v>243</v>
      </c>
      <c r="Q7076" s="6" t="s">
        <v>244</v>
      </c>
      <c r="R7076" s="4">
        <v>12000</v>
      </c>
      <c r="S7076" s="3">
        <v>7.57</v>
      </c>
      <c r="T7076" s="4">
        <f>R7076*S7076</f>
        <v>90840</v>
      </c>
      <c r="U7076" s="1">
        <f>T7076*1.12</f>
        <v>101740.8</v>
      </c>
      <c r="V7076" s="3"/>
      <c r="W7076" s="3">
        <v>2014</v>
      </c>
      <c r="X7076" s="6"/>
    </row>
    <row r="7077" spans="1:24" ht="127.5">
      <c r="A7077" s="3" t="s">
        <v>10796</v>
      </c>
      <c r="B7077" s="15" t="s">
        <v>361</v>
      </c>
      <c r="C7077" s="14" t="s">
        <v>9333</v>
      </c>
      <c r="D7077" s="194" t="s">
        <v>9334</v>
      </c>
      <c r="E7077" s="194" t="s">
        <v>9335</v>
      </c>
      <c r="F7077" s="6" t="s">
        <v>9336</v>
      </c>
      <c r="G7077" s="16" t="s">
        <v>605</v>
      </c>
      <c r="H7077" s="67">
        <v>0</v>
      </c>
      <c r="I7077" s="16">
        <v>470000000</v>
      </c>
      <c r="J7077" s="56" t="s">
        <v>229</v>
      </c>
      <c r="K7077" s="61" t="s">
        <v>633</v>
      </c>
      <c r="L7077" s="16" t="s">
        <v>9171</v>
      </c>
      <c r="M7077" s="162" t="s">
        <v>230</v>
      </c>
      <c r="N7077" s="65" t="s">
        <v>528</v>
      </c>
      <c r="O7077" s="6" t="s">
        <v>9175</v>
      </c>
      <c r="P7077" s="58" t="s">
        <v>241</v>
      </c>
      <c r="Q7077" s="6" t="s">
        <v>234</v>
      </c>
      <c r="R7077" s="6">
        <v>1</v>
      </c>
      <c r="S7077" s="6">
        <v>7200</v>
      </c>
      <c r="T7077" s="4">
        <f t="shared" si="334"/>
        <v>7200</v>
      </c>
      <c r="U7077" s="1">
        <f t="shared" si="335"/>
        <v>8064.0000000000009</v>
      </c>
      <c r="V7077" s="3"/>
      <c r="W7077" s="3">
        <v>2014</v>
      </c>
      <c r="X7077" s="3"/>
    </row>
    <row r="7078" spans="1:24" ht="127.5">
      <c r="A7078" s="3" t="s">
        <v>10797</v>
      </c>
      <c r="B7078" s="15" t="s">
        <v>361</v>
      </c>
      <c r="C7078" s="14" t="s">
        <v>9333</v>
      </c>
      <c r="D7078" s="194" t="s">
        <v>9334</v>
      </c>
      <c r="E7078" s="194" t="s">
        <v>9335</v>
      </c>
      <c r="F7078" s="6" t="s">
        <v>9337</v>
      </c>
      <c r="G7078" s="16" t="s">
        <v>605</v>
      </c>
      <c r="H7078" s="67">
        <v>0</v>
      </c>
      <c r="I7078" s="16">
        <v>470000000</v>
      </c>
      <c r="J7078" s="56" t="s">
        <v>229</v>
      </c>
      <c r="K7078" s="61" t="s">
        <v>633</v>
      </c>
      <c r="L7078" s="16" t="s">
        <v>9171</v>
      </c>
      <c r="M7078" s="162" t="s">
        <v>230</v>
      </c>
      <c r="N7078" s="65" t="s">
        <v>528</v>
      </c>
      <c r="O7078" s="6" t="s">
        <v>9175</v>
      </c>
      <c r="P7078" s="58" t="s">
        <v>241</v>
      </c>
      <c r="Q7078" s="6" t="s">
        <v>234</v>
      </c>
      <c r="R7078" s="6">
        <v>1</v>
      </c>
      <c r="S7078" s="6">
        <v>3600</v>
      </c>
      <c r="T7078" s="4">
        <f t="shared" si="334"/>
        <v>3600</v>
      </c>
      <c r="U7078" s="1">
        <f t="shared" si="335"/>
        <v>4032.0000000000005</v>
      </c>
      <c r="V7078" s="3"/>
      <c r="W7078" s="3">
        <v>2014</v>
      </c>
      <c r="X7078" s="3"/>
    </row>
    <row r="7079" spans="1:24" ht="127.5">
      <c r="A7079" s="3" t="s">
        <v>10798</v>
      </c>
      <c r="B7079" s="15" t="s">
        <v>361</v>
      </c>
      <c r="C7079" s="14" t="s">
        <v>9333</v>
      </c>
      <c r="D7079" s="194" t="s">
        <v>9334</v>
      </c>
      <c r="E7079" s="194" t="s">
        <v>9335</v>
      </c>
      <c r="F7079" s="6" t="s">
        <v>9338</v>
      </c>
      <c r="G7079" s="16" t="s">
        <v>605</v>
      </c>
      <c r="H7079" s="67">
        <v>0</v>
      </c>
      <c r="I7079" s="16">
        <v>470000000</v>
      </c>
      <c r="J7079" s="56" t="s">
        <v>229</v>
      </c>
      <c r="K7079" s="61" t="s">
        <v>633</v>
      </c>
      <c r="L7079" s="16" t="s">
        <v>9171</v>
      </c>
      <c r="M7079" s="162" t="s">
        <v>230</v>
      </c>
      <c r="N7079" s="65" t="s">
        <v>528</v>
      </c>
      <c r="O7079" s="6" t="s">
        <v>9175</v>
      </c>
      <c r="P7079" s="58" t="s">
        <v>241</v>
      </c>
      <c r="Q7079" s="6" t="s">
        <v>234</v>
      </c>
      <c r="R7079" s="6">
        <v>1</v>
      </c>
      <c r="S7079" s="6">
        <v>8100</v>
      </c>
      <c r="T7079" s="4">
        <f t="shared" si="334"/>
        <v>8100</v>
      </c>
      <c r="U7079" s="1">
        <f t="shared" si="335"/>
        <v>9072</v>
      </c>
      <c r="V7079" s="3"/>
      <c r="W7079" s="3">
        <v>2014</v>
      </c>
      <c r="X7079" s="3"/>
    </row>
    <row r="7080" spans="1:24" ht="127.5">
      <c r="A7080" s="3" t="s">
        <v>10799</v>
      </c>
      <c r="B7080" s="15" t="s">
        <v>361</v>
      </c>
      <c r="C7080" s="14" t="s">
        <v>9333</v>
      </c>
      <c r="D7080" s="194" t="s">
        <v>9334</v>
      </c>
      <c r="E7080" s="194" t="s">
        <v>9335</v>
      </c>
      <c r="F7080" s="6" t="s">
        <v>9339</v>
      </c>
      <c r="G7080" s="16" t="s">
        <v>605</v>
      </c>
      <c r="H7080" s="67">
        <v>0</v>
      </c>
      <c r="I7080" s="16">
        <v>470000000</v>
      </c>
      <c r="J7080" s="56" t="s">
        <v>229</v>
      </c>
      <c r="K7080" s="61" t="s">
        <v>633</v>
      </c>
      <c r="L7080" s="16" t="s">
        <v>9171</v>
      </c>
      <c r="M7080" s="162" t="s">
        <v>230</v>
      </c>
      <c r="N7080" s="65" t="s">
        <v>528</v>
      </c>
      <c r="O7080" s="6" t="s">
        <v>9175</v>
      </c>
      <c r="P7080" s="58" t="s">
        <v>241</v>
      </c>
      <c r="Q7080" s="6" t="s">
        <v>234</v>
      </c>
      <c r="R7080" s="6">
        <v>1</v>
      </c>
      <c r="S7080" s="6">
        <v>5000</v>
      </c>
      <c r="T7080" s="4">
        <f t="shared" si="334"/>
        <v>5000</v>
      </c>
      <c r="U7080" s="1">
        <f t="shared" si="335"/>
        <v>5600.0000000000009</v>
      </c>
      <c r="V7080" s="3"/>
      <c r="W7080" s="3">
        <v>2014</v>
      </c>
      <c r="X7080" s="3"/>
    </row>
    <row r="7081" spans="1:24" ht="127.5">
      <c r="A7081" s="3" t="s">
        <v>10800</v>
      </c>
      <c r="B7081" s="15" t="s">
        <v>361</v>
      </c>
      <c r="C7081" s="14" t="s">
        <v>9333</v>
      </c>
      <c r="D7081" s="194" t="s">
        <v>9334</v>
      </c>
      <c r="E7081" s="194" t="s">
        <v>9335</v>
      </c>
      <c r="F7081" s="6" t="s">
        <v>9340</v>
      </c>
      <c r="G7081" s="16" t="s">
        <v>605</v>
      </c>
      <c r="H7081" s="67">
        <v>0</v>
      </c>
      <c r="I7081" s="16">
        <v>470000000</v>
      </c>
      <c r="J7081" s="56" t="s">
        <v>229</v>
      </c>
      <c r="K7081" s="61" t="s">
        <v>633</v>
      </c>
      <c r="L7081" s="16" t="s">
        <v>9171</v>
      </c>
      <c r="M7081" s="162" t="s">
        <v>230</v>
      </c>
      <c r="N7081" s="65" t="s">
        <v>528</v>
      </c>
      <c r="O7081" s="6" t="s">
        <v>9175</v>
      </c>
      <c r="P7081" s="58" t="s">
        <v>241</v>
      </c>
      <c r="Q7081" s="6" t="s">
        <v>234</v>
      </c>
      <c r="R7081" s="6">
        <v>1</v>
      </c>
      <c r="S7081" s="6">
        <v>9000</v>
      </c>
      <c r="T7081" s="4">
        <f t="shared" si="334"/>
        <v>9000</v>
      </c>
      <c r="U7081" s="1">
        <f t="shared" si="335"/>
        <v>10080.000000000002</v>
      </c>
      <c r="V7081" s="3"/>
      <c r="W7081" s="3">
        <v>2014</v>
      </c>
      <c r="X7081" s="3"/>
    </row>
    <row r="7082" spans="1:24" ht="127.5">
      <c r="A7082" s="3" t="s">
        <v>10801</v>
      </c>
      <c r="B7082" s="15" t="s">
        <v>361</v>
      </c>
      <c r="C7082" s="14" t="s">
        <v>9333</v>
      </c>
      <c r="D7082" s="194" t="s">
        <v>9334</v>
      </c>
      <c r="E7082" s="194" t="s">
        <v>9335</v>
      </c>
      <c r="F7082" s="6" t="s">
        <v>9341</v>
      </c>
      <c r="G7082" s="16" t="s">
        <v>605</v>
      </c>
      <c r="H7082" s="67">
        <v>0</v>
      </c>
      <c r="I7082" s="16">
        <v>470000000</v>
      </c>
      <c r="J7082" s="56" t="s">
        <v>229</v>
      </c>
      <c r="K7082" s="61" t="s">
        <v>633</v>
      </c>
      <c r="L7082" s="16" t="s">
        <v>9171</v>
      </c>
      <c r="M7082" s="162" t="s">
        <v>230</v>
      </c>
      <c r="N7082" s="65" t="s">
        <v>528</v>
      </c>
      <c r="O7082" s="6" t="s">
        <v>9175</v>
      </c>
      <c r="P7082" s="58" t="s">
        <v>241</v>
      </c>
      <c r="Q7082" s="6" t="s">
        <v>234</v>
      </c>
      <c r="R7082" s="6">
        <v>1</v>
      </c>
      <c r="S7082" s="6">
        <v>9000</v>
      </c>
      <c r="T7082" s="4">
        <f t="shared" si="334"/>
        <v>9000</v>
      </c>
      <c r="U7082" s="1">
        <f t="shared" si="335"/>
        <v>10080.000000000002</v>
      </c>
      <c r="V7082" s="3"/>
      <c r="W7082" s="3">
        <v>2014</v>
      </c>
      <c r="X7082" s="3"/>
    </row>
    <row r="7083" spans="1:24" ht="127.5">
      <c r="A7083" s="3" t="s">
        <v>10802</v>
      </c>
      <c r="B7083" s="15" t="s">
        <v>361</v>
      </c>
      <c r="C7083" s="14" t="s">
        <v>9333</v>
      </c>
      <c r="D7083" s="194" t="s">
        <v>9334</v>
      </c>
      <c r="E7083" s="194" t="s">
        <v>9335</v>
      </c>
      <c r="F7083" s="6" t="s">
        <v>9342</v>
      </c>
      <c r="G7083" s="16" t="s">
        <v>605</v>
      </c>
      <c r="H7083" s="67">
        <v>0</v>
      </c>
      <c r="I7083" s="16">
        <v>470000000</v>
      </c>
      <c r="J7083" s="56" t="s">
        <v>229</v>
      </c>
      <c r="K7083" s="61" t="s">
        <v>633</v>
      </c>
      <c r="L7083" s="16" t="s">
        <v>9171</v>
      </c>
      <c r="M7083" s="162" t="s">
        <v>230</v>
      </c>
      <c r="N7083" s="65" t="s">
        <v>528</v>
      </c>
      <c r="O7083" s="6" t="s">
        <v>9175</v>
      </c>
      <c r="P7083" s="58" t="s">
        <v>241</v>
      </c>
      <c r="Q7083" s="6" t="s">
        <v>234</v>
      </c>
      <c r="R7083" s="6">
        <v>1</v>
      </c>
      <c r="S7083" s="6">
        <v>10000</v>
      </c>
      <c r="T7083" s="4">
        <f t="shared" si="334"/>
        <v>10000</v>
      </c>
      <c r="U7083" s="1">
        <f t="shared" si="335"/>
        <v>11200.000000000002</v>
      </c>
      <c r="V7083" s="3"/>
      <c r="W7083" s="3">
        <v>2014</v>
      </c>
      <c r="X7083" s="3"/>
    </row>
    <row r="7084" spans="1:24" ht="127.5">
      <c r="A7084" s="3" t="s">
        <v>10803</v>
      </c>
      <c r="B7084" s="15" t="s">
        <v>361</v>
      </c>
      <c r="C7084" s="14" t="s">
        <v>9333</v>
      </c>
      <c r="D7084" s="194" t="s">
        <v>9334</v>
      </c>
      <c r="E7084" s="194" t="s">
        <v>9335</v>
      </c>
      <c r="F7084" s="6" t="s">
        <v>9343</v>
      </c>
      <c r="G7084" s="16" t="s">
        <v>605</v>
      </c>
      <c r="H7084" s="67">
        <v>0</v>
      </c>
      <c r="I7084" s="16">
        <v>470000000</v>
      </c>
      <c r="J7084" s="56" t="s">
        <v>229</v>
      </c>
      <c r="K7084" s="61" t="s">
        <v>633</v>
      </c>
      <c r="L7084" s="16" t="s">
        <v>9171</v>
      </c>
      <c r="M7084" s="162" t="s">
        <v>230</v>
      </c>
      <c r="N7084" s="65" t="s">
        <v>528</v>
      </c>
      <c r="O7084" s="6" t="s">
        <v>9175</v>
      </c>
      <c r="P7084" s="58" t="s">
        <v>241</v>
      </c>
      <c r="Q7084" s="6" t="s">
        <v>234</v>
      </c>
      <c r="R7084" s="6">
        <v>1</v>
      </c>
      <c r="S7084" s="6">
        <v>3600</v>
      </c>
      <c r="T7084" s="4">
        <f t="shared" si="334"/>
        <v>3600</v>
      </c>
      <c r="U7084" s="1">
        <f t="shared" si="335"/>
        <v>4032.0000000000005</v>
      </c>
      <c r="V7084" s="3"/>
      <c r="W7084" s="3">
        <v>2014</v>
      </c>
      <c r="X7084" s="3"/>
    </row>
    <row r="7085" spans="1:24" ht="127.5">
      <c r="A7085" s="3" t="s">
        <v>10804</v>
      </c>
      <c r="B7085" s="15" t="s">
        <v>361</v>
      </c>
      <c r="C7085" s="14" t="s">
        <v>9333</v>
      </c>
      <c r="D7085" s="194" t="s">
        <v>9334</v>
      </c>
      <c r="E7085" s="194" t="s">
        <v>9335</v>
      </c>
      <c r="F7085" s="6" t="s">
        <v>9344</v>
      </c>
      <c r="G7085" s="16" t="s">
        <v>605</v>
      </c>
      <c r="H7085" s="67">
        <v>0</v>
      </c>
      <c r="I7085" s="16">
        <v>470000000</v>
      </c>
      <c r="J7085" s="56" t="s">
        <v>229</v>
      </c>
      <c r="K7085" s="61" t="s">
        <v>633</v>
      </c>
      <c r="L7085" s="16" t="s">
        <v>9171</v>
      </c>
      <c r="M7085" s="162" t="s">
        <v>230</v>
      </c>
      <c r="N7085" s="65" t="s">
        <v>528</v>
      </c>
      <c r="O7085" s="6" t="s">
        <v>9175</v>
      </c>
      <c r="P7085" s="58" t="s">
        <v>241</v>
      </c>
      <c r="Q7085" s="6" t="s">
        <v>234</v>
      </c>
      <c r="R7085" s="6">
        <v>1</v>
      </c>
      <c r="S7085" s="6">
        <v>4500</v>
      </c>
      <c r="T7085" s="4">
        <f t="shared" si="334"/>
        <v>4500</v>
      </c>
      <c r="U7085" s="1">
        <f t="shared" si="335"/>
        <v>5040.0000000000009</v>
      </c>
      <c r="V7085" s="3"/>
      <c r="W7085" s="3">
        <v>2014</v>
      </c>
      <c r="X7085" s="3"/>
    </row>
    <row r="7086" spans="1:24" ht="127.5">
      <c r="A7086" s="3" t="s">
        <v>10805</v>
      </c>
      <c r="B7086" s="15" t="s">
        <v>361</v>
      </c>
      <c r="C7086" s="14" t="s">
        <v>9333</v>
      </c>
      <c r="D7086" s="194" t="s">
        <v>9334</v>
      </c>
      <c r="E7086" s="194" t="s">
        <v>9335</v>
      </c>
      <c r="F7086" s="6" t="s">
        <v>9345</v>
      </c>
      <c r="G7086" s="16" t="s">
        <v>605</v>
      </c>
      <c r="H7086" s="67">
        <v>0</v>
      </c>
      <c r="I7086" s="16">
        <v>470000000</v>
      </c>
      <c r="J7086" s="56" t="s">
        <v>229</v>
      </c>
      <c r="K7086" s="61" t="s">
        <v>633</v>
      </c>
      <c r="L7086" s="16" t="s">
        <v>9171</v>
      </c>
      <c r="M7086" s="162" t="s">
        <v>230</v>
      </c>
      <c r="N7086" s="65" t="s">
        <v>528</v>
      </c>
      <c r="O7086" s="6" t="s">
        <v>9175</v>
      </c>
      <c r="P7086" s="58" t="s">
        <v>241</v>
      </c>
      <c r="Q7086" s="6" t="s">
        <v>234</v>
      </c>
      <c r="R7086" s="6">
        <v>1</v>
      </c>
      <c r="S7086" s="6">
        <v>11000</v>
      </c>
      <c r="T7086" s="4">
        <f t="shared" si="334"/>
        <v>11000</v>
      </c>
      <c r="U7086" s="1">
        <f t="shared" si="335"/>
        <v>12320.000000000002</v>
      </c>
      <c r="V7086" s="3"/>
      <c r="W7086" s="3">
        <v>2014</v>
      </c>
      <c r="X7086" s="3"/>
    </row>
    <row r="7087" spans="1:24" ht="127.5">
      <c r="A7087" s="3" t="s">
        <v>10806</v>
      </c>
      <c r="B7087" s="15" t="s">
        <v>361</v>
      </c>
      <c r="C7087" s="14" t="s">
        <v>9333</v>
      </c>
      <c r="D7087" s="194" t="s">
        <v>9334</v>
      </c>
      <c r="E7087" s="194" t="s">
        <v>9335</v>
      </c>
      <c r="F7087" s="6" t="s">
        <v>9346</v>
      </c>
      <c r="G7087" s="16" t="s">
        <v>605</v>
      </c>
      <c r="H7087" s="67">
        <v>0</v>
      </c>
      <c r="I7087" s="16">
        <v>470000000</v>
      </c>
      <c r="J7087" s="56" t="s">
        <v>229</v>
      </c>
      <c r="K7087" s="61" t="s">
        <v>633</v>
      </c>
      <c r="L7087" s="16" t="s">
        <v>9171</v>
      </c>
      <c r="M7087" s="162" t="s">
        <v>230</v>
      </c>
      <c r="N7087" s="65" t="s">
        <v>528</v>
      </c>
      <c r="O7087" s="6" t="s">
        <v>9175</v>
      </c>
      <c r="P7087" s="58" t="s">
        <v>241</v>
      </c>
      <c r="Q7087" s="6" t="s">
        <v>234</v>
      </c>
      <c r="R7087" s="6">
        <v>1</v>
      </c>
      <c r="S7087" s="6">
        <v>2800</v>
      </c>
      <c r="T7087" s="4">
        <f t="shared" si="334"/>
        <v>2800</v>
      </c>
      <c r="U7087" s="1">
        <f t="shared" si="335"/>
        <v>3136.0000000000005</v>
      </c>
      <c r="V7087" s="3"/>
      <c r="W7087" s="3">
        <v>2014</v>
      </c>
      <c r="X7087" s="3"/>
    </row>
    <row r="7088" spans="1:24" ht="127.5">
      <c r="A7088" s="3" t="s">
        <v>10807</v>
      </c>
      <c r="B7088" s="15" t="s">
        <v>361</v>
      </c>
      <c r="C7088" s="14" t="s">
        <v>9333</v>
      </c>
      <c r="D7088" s="194" t="s">
        <v>9334</v>
      </c>
      <c r="E7088" s="194" t="s">
        <v>9335</v>
      </c>
      <c r="F7088" s="6" t="s">
        <v>9347</v>
      </c>
      <c r="G7088" s="16" t="s">
        <v>605</v>
      </c>
      <c r="H7088" s="67">
        <v>0</v>
      </c>
      <c r="I7088" s="16">
        <v>470000000</v>
      </c>
      <c r="J7088" s="56" t="s">
        <v>229</v>
      </c>
      <c r="K7088" s="61" t="s">
        <v>633</v>
      </c>
      <c r="L7088" s="16" t="s">
        <v>9171</v>
      </c>
      <c r="M7088" s="162" t="s">
        <v>230</v>
      </c>
      <c r="N7088" s="65" t="s">
        <v>528</v>
      </c>
      <c r="O7088" s="6" t="s">
        <v>9175</v>
      </c>
      <c r="P7088" s="58" t="s">
        <v>241</v>
      </c>
      <c r="Q7088" s="6" t="s">
        <v>234</v>
      </c>
      <c r="R7088" s="6">
        <v>1</v>
      </c>
      <c r="S7088" s="6">
        <v>900</v>
      </c>
      <c r="T7088" s="4">
        <f t="shared" si="334"/>
        <v>900</v>
      </c>
      <c r="U7088" s="1">
        <f t="shared" si="335"/>
        <v>1008.0000000000001</v>
      </c>
      <c r="V7088" s="3"/>
      <c r="W7088" s="3">
        <v>2014</v>
      </c>
      <c r="X7088" s="3"/>
    </row>
    <row r="7089" spans="1:24" ht="127.5">
      <c r="A7089" s="3" t="s">
        <v>10808</v>
      </c>
      <c r="B7089" s="15" t="s">
        <v>361</v>
      </c>
      <c r="C7089" s="14" t="s">
        <v>9333</v>
      </c>
      <c r="D7089" s="194" t="s">
        <v>9334</v>
      </c>
      <c r="E7089" s="194" t="s">
        <v>9335</v>
      </c>
      <c r="F7089" s="6" t="s">
        <v>9348</v>
      </c>
      <c r="G7089" s="16" t="s">
        <v>605</v>
      </c>
      <c r="H7089" s="67">
        <v>0</v>
      </c>
      <c r="I7089" s="16">
        <v>470000000</v>
      </c>
      <c r="J7089" s="56" t="s">
        <v>229</v>
      </c>
      <c r="K7089" s="61" t="s">
        <v>633</v>
      </c>
      <c r="L7089" s="16" t="s">
        <v>9171</v>
      </c>
      <c r="M7089" s="162" t="s">
        <v>230</v>
      </c>
      <c r="N7089" s="65" t="s">
        <v>528</v>
      </c>
      <c r="O7089" s="6" t="s">
        <v>9175</v>
      </c>
      <c r="P7089" s="58" t="s">
        <v>241</v>
      </c>
      <c r="Q7089" s="6" t="s">
        <v>234</v>
      </c>
      <c r="R7089" s="6">
        <v>1</v>
      </c>
      <c r="S7089" s="6">
        <v>1400</v>
      </c>
      <c r="T7089" s="4">
        <f t="shared" si="334"/>
        <v>1400</v>
      </c>
      <c r="U7089" s="1">
        <f t="shared" si="335"/>
        <v>1568.0000000000002</v>
      </c>
      <c r="V7089" s="3"/>
      <c r="W7089" s="3">
        <v>2014</v>
      </c>
      <c r="X7089" s="3"/>
    </row>
    <row r="7090" spans="1:24" ht="127.5">
      <c r="A7090" s="3" t="s">
        <v>10809</v>
      </c>
      <c r="B7090" s="15" t="s">
        <v>361</v>
      </c>
      <c r="C7090" s="14" t="s">
        <v>9333</v>
      </c>
      <c r="D7090" s="194" t="s">
        <v>9334</v>
      </c>
      <c r="E7090" s="194" t="s">
        <v>9335</v>
      </c>
      <c r="F7090" s="6" t="s">
        <v>9349</v>
      </c>
      <c r="G7090" s="16" t="s">
        <v>605</v>
      </c>
      <c r="H7090" s="67">
        <v>0</v>
      </c>
      <c r="I7090" s="16">
        <v>470000000</v>
      </c>
      <c r="J7090" s="56" t="s">
        <v>229</v>
      </c>
      <c r="K7090" s="61" t="s">
        <v>633</v>
      </c>
      <c r="L7090" s="16" t="s">
        <v>9171</v>
      </c>
      <c r="M7090" s="162" t="s">
        <v>230</v>
      </c>
      <c r="N7090" s="65" t="s">
        <v>528</v>
      </c>
      <c r="O7090" s="6" t="s">
        <v>9175</v>
      </c>
      <c r="P7090" s="58" t="s">
        <v>241</v>
      </c>
      <c r="Q7090" s="6" t="s">
        <v>234</v>
      </c>
      <c r="R7090" s="6">
        <v>1</v>
      </c>
      <c r="S7090" s="6">
        <v>2500</v>
      </c>
      <c r="T7090" s="4">
        <f t="shared" si="334"/>
        <v>2500</v>
      </c>
      <c r="U7090" s="1">
        <f t="shared" si="335"/>
        <v>2800.0000000000005</v>
      </c>
      <c r="V7090" s="3"/>
      <c r="W7090" s="3">
        <v>2014</v>
      </c>
      <c r="X7090" s="3"/>
    </row>
    <row r="7091" spans="1:24" ht="127.5">
      <c r="A7091" s="3" t="s">
        <v>10810</v>
      </c>
      <c r="B7091" s="15" t="s">
        <v>361</v>
      </c>
      <c r="C7091" s="14" t="s">
        <v>9333</v>
      </c>
      <c r="D7091" s="194" t="s">
        <v>9334</v>
      </c>
      <c r="E7091" s="194" t="s">
        <v>9335</v>
      </c>
      <c r="F7091" s="6" t="s">
        <v>9350</v>
      </c>
      <c r="G7091" s="16" t="s">
        <v>605</v>
      </c>
      <c r="H7091" s="67">
        <v>0</v>
      </c>
      <c r="I7091" s="16">
        <v>470000000</v>
      </c>
      <c r="J7091" s="56" t="s">
        <v>229</v>
      </c>
      <c r="K7091" s="61" t="s">
        <v>633</v>
      </c>
      <c r="L7091" s="16" t="s">
        <v>9171</v>
      </c>
      <c r="M7091" s="162" t="s">
        <v>230</v>
      </c>
      <c r="N7091" s="65" t="s">
        <v>528</v>
      </c>
      <c r="O7091" s="6" t="s">
        <v>9175</v>
      </c>
      <c r="P7091" s="58" t="s">
        <v>241</v>
      </c>
      <c r="Q7091" s="6" t="s">
        <v>234</v>
      </c>
      <c r="R7091" s="6">
        <v>1</v>
      </c>
      <c r="S7091" s="6">
        <v>6300</v>
      </c>
      <c r="T7091" s="4">
        <f t="shared" si="334"/>
        <v>6300</v>
      </c>
      <c r="U7091" s="1">
        <f t="shared" si="335"/>
        <v>7056.0000000000009</v>
      </c>
      <c r="V7091" s="3"/>
      <c r="W7091" s="3">
        <v>2014</v>
      </c>
      <c r="X7091" s="3"/>
    </row>
    <row r="7092" spans="1:24" ht="127.5">
      <c r="A7092" s="3" t="s">
        <v>10811</v>
      </c>
      <c r="B7092" s="15" t="s">
        <v>361</v>
      </c>
      <c r="C7092" s="14" t="s">
        <v>9333</v>
      </c>
      <c r="D7092" s="194" t="s">
        <v>9334</v>
      </c>
      <c r="E7092" s="194" t="s">
        <v>9335</v>
      </c>
      <c r="F7092" s="6" t="s">
        <v>9351</v>
      </c>
      <c r="G7092" s="16" t="s">
        <v>605</v>
      </c>
      <c r="H7092" s="67">
        <v>0</v>
      </c>
      <c r="I7092" s="16">
        <v>470000000</v>
      </c>
      <c r="J7092" s="56" t="s">
        <v>229</v>
      </c>
      <c r="K7092" s="61" t="s">
        <v>633</v>
      </c>
      <c r="L7092" s="16" t="s">
        <v>9171</v>
      </c>
      <c r="M7092" s="162" t="s">
        <v>230</v>
      </c>
      <c r="N7092" s="65" t="s">
        <v>528</v>
      </c>
      <c r="O7092" s="6" t="s">
        <v>9175</v>
      </c>
      <c r="P7092" s="58" t="s">
        <v>241</v>
      </c>
      <c r="Q7092" s="6" t="s">
        <v>234</v>
      </c>
      <c r="R7092" s="6">
        <v>1</v>
      </c>
      <c r="S7092" s="6">
        <v>14400</v>
      </c>
      <c r="T7092" s="4">
        <f t="shared" si="334"/>
        <v>14400</v>
      </c>
      <c r="U7092" s="1">
        <f t="shared" si="335"/>
        <v>16128.000000000002</v>
      </c>
      <c r="V7092" s="3"/>
      <c r="W7092" s="3">
        <v>2014</v>
      </c>
      <c r="X7092" s="3"/>
    </row>
    <row r="7093" spans="1:24" ht="127.5">
      <c r="A7093" s="3" t="s">
        <v>10812</v>
      </c>
      <c r="B7093" s="15" t="s">
        <v>361</v>
      </c>
      <c r="C7093" s="14" t="s">
        <v>9333</v>
      </c>
      <c r="D7093" s="194" t="s">
        <v>9334</v>
      </c>
      <c r="E7093" s="194" t="s">
        <v>9335</v>
      </c>
      <c r="F7093" s="6" t="s">
        <v>9352</v>
      </c>
      <c r="G7093" s="16" t="s">
        <v>605</v>
      </c>
      <c r="H7093" s="67">
        <v>0</v>
      </c>
      <c r="I7093" s="16">
        <v>470000000</v>
      </c>
      <c r="J7093" s="56" t="s">
        <v>229</v>
      </c>
      <c r="K7093" s="61" t="s">
        <v>633</v>
      </c>
      <c r="L7093" s="16" t="s">
        <v>9171</v>
      </c>
      <c r="M7093" s="162" t="s">
        <v>230</v>
      </c>
      <c r="N7093" s="65" t="s">
        <v>528</v>
      </c>
      <c r="O7093" s="6" t="s">
        <v>9175</v>
      </c>
      <c r="P7093" s="58" t="s">
        <v>241</v>
      </c>
      <c r="Q7093" s="6" t="s">
        <v>234</v>
      </c>
      <c r="R7093" s="6">
        <v>1</v>
      </c>
      <c r="S7093" s="6">
        <v>13000</v>
      </c>
      <c r="T7093" s="4">
        <f t="shared" si="334"/>
        <v>13000</v>
      </c>
      <c r="U7093" s="1">
        <f t="shared" si="335"/>
        <v>14560.000000000002</v>
      </c>
      <c r="V7093" s="3"/>
      <c r="W7093" s="3">
        <v>2014</v>
      </c>
      <c r="X7093" s="3"/>
    </row>
    <row r="7094" spans="1:24" ht="127.5">
      <c r="A7094" s="3" t="s">
        <v>10813</v>
      </c>
      <c r="B7094" s="15" t="s">
        <v>361</v>
      </c>
      <c r="C7094" s="14" t="s">
        <v>9333</v>
      </c>
      <c r="D7094" s="194" t="s">
        <v>9334</v>
      </c>
      <c r="E7094" s="194" t="s">
        <v>9335</v>
      </c>
      <c r="F7094" s="6" t="s">
        <v>9353</v>
      </c>
      <c r="G7094" s="16" t="s">
        <v>605</v>
      </c>
      <c r="H7094" s="67">
        <v>0</v>
      </c>
      <c r="I7094" s="16">
        <v>470000000</v>
      </c>
      <c r="J7094" s="56" t="s">
        <v>229</v>
      </c>
      <c r="K7094" s="61" t="s">
        <v>633</v>
      </c>
      <c r="L7094" s="16" t="s">
        <v>9171</v>
      </c>
      <c r="M7094" s="162" t="s">
        <v>230</v>
      </c>
      <c r="N7094" s="65" t="s">
        <v>528</v>
      </c>
      <c r="O7094" s="6" t="s">
        <v>9175</v>
      </c>
      <c r="P7094" s="58" t="s">
        <v>241</v>
      </c>
      <c r="Q7094" s="6" t="s">
        <v>234</v>
      </c>
      <c r="R7094" s="6">
        <v>1</v>
      </c>
      <c r="S7094" s="6">
        <v>4500</v>
      </c>
      <c r="T7094" s="4">
        <f t="shared" si="334"/>
        <v>4500</v>
      </c>
      <c r="U7094" s="1">
        <f t="shared" si="335"/>
        <v>5040.0000000000009</v>
      </c>
      <c r="V7094" s="3"/>
      <c r="W7094" s="3">
        <v>2014</v>
      </c>
      <c r="X7094" s="3"/>
    </row>
    <row r="7095" spans="1:24" ht="127.5">
      <c r="A7095" s="3" t="s">
        <v>10814</v>
      </c>
      <c r="B7095" s="15" t="s">
        <v>361</v>
      </c>
      <c r="C7095" s="14" t="s">
        <v>9333</v>
      </c>
      <c r="D7095" s="194" t="s">
        <v>9334</v>
      </c>
      <c r="E7095" s="194" t="s">
        <v>9335</v>
      </c>
      <c r="F7095" s="6" t="s">
        <v>9354</v>
      </c>
      <c r="G7095" s="16" t="s">
        <v>605</v>
      </c>
      <c r="H7095" s="67">
        <v>0</v>
      </c>
      <c r="I7095" s="16">
        <v>470000000</v>
      </c>
      <c r="J7095" s="56" t="s">
        <v>229</v>
      </c>
      <c r="K7095" s="61" t="s">
        <v>633</v>
      </c>
      <c r="L7095" s="16" t="s">
        <v>9171</v>
      </c>
      <c r="M7095" s="162" t="s">
        <v>230</v>
      </c>
      <c r="N7095" s="65" t="s">
        <v>528</v>
      </c>
      <c r="O7095" s="6" t="s">
        <v>9175</v>
      </c>
      <c r="P7095" s="58" t="s">
        <v>241</v>
      </c>
      <c r="Q7095" s="6" t="s">
        <v>234</v>
      </c>
      <c r="R7095" s="6">
        <v>1</v>
      </c>
      <c r="S7095" s="6">
        <v>4500</v>
      </c>
      <c r="T7095" s="4">
        <f t="shared" si="334"/>
        <v>4500</v>
      </c>
      <c r="U7095" s="1">
        <f t="shared" si="335"/>
        <v>5040.0000000000009</v>
      </c>
      <c r="V7095" s="3"/>
      <c r="W7095" s="3">
        <v>2014</v>
      </c>
      <c r="X7095" s="3"/>
    </row>
    <row r="7096" spans="1:24" ht="127.5">
      <c r="A7096" s="3" t="s">
        <v>10815</v>
      </c>
      <c r="B7096" s="15" t="s">
        <v>361</v>
      </c>
      <c r="C7096" s="14" t="s">
        <v>9333</v>
      </c>
      <c r="D7096" s="194" t="s">
        <v>9334</v>
      </c>
      <c r="E7096" s="194" t="s">
        <v>9335</v>
      </c>
      <c r="F7096" s="6" t="s">
        <v>9355</v>
      </c>
      <c r="G7096" s="16" t="s">
        <v>605</v>
      </c>
      <c r="H7096" s="67">
        <v>0</v>
      </c>
      <c r="I7096" s="16">
        <v>470000000</v>
      </c>
      <c r="J7096" s="56" t="s">
        <v>229</v>
      </c>
      <c r="K7096" s="61" t="s">
        <v>633</v>
      </c>
      <c r="L7096" s="16" t="s">
        <v>9171</v>
      </c>
      <c r="M7096" s="162" t="s">
        <v>230</v>
      </c>
      <c r="N7096" s="65" t="s">
        <v>528</v>
      </c>
      <c r="O7096" s="6" t="s">
        <v>9175</v>
      </c>
      <c r="P7096" s="58" t="s">
        <v>241</v>
      </c>
      <c r="Q7096" s="6" t="s">
        <v>234</v>
      </c>
      <c r="R7096" s="6">
        <v>1</v>
      </c>
      <c r="S7096" s="6">
        <v>4500</v>
      </c>
      <c r="T7096" s="4">
        <f t="shared" si="334"/>
        <v>4500</v>
      </c>
      <c r="U7096" s="1">
        <f t="shared" si="335"/>
        <v>5040.0000000000009</v>
      </c>
      <c r="V7096" s="3"/>
      <c r="W7096" s="3">
        <v>2014</v>
      </c>
      <c r="X7096" s="3"/>
    </row>
    <row r="7097" spans="1:24" ht="127.5">
      <c r="A7097" s="3" t="s">
        <v>10816</v>
      </c>
      <c r="B7097" s="15" t="s">
        <v>361</v>
      </c>
      <c r="C7097" s="14" t="s">
        <v>9333</v>
      </c>
      <c r="D7097" s="194" t="s">
        <v>9334</v>
      </c>
      <c r="E7097" s="194" t="s">
        <v>9335</v>
      </c>
      <c r="F7097" s="6" t="s">
        <v>9356</v>
      </c>
      <c r="G7097" s="16" t="s">
        <v>605</v>
      </c>
      <c r="H7097" s="67">
        <v>0</v>
      </c>
      <c r="I7097" s="16">
        <v>470000000</v>
      </c>
      <c r="J7097" s="56" t="s">
        <v>229</v>
      </c>
      <c r="K7097" s="61" t="s">
        <v>633</v>
      </c>
      <c r="L7097" s="16" t="s">
        <v>9171</v>
      </c>
      <c r="M7097" s="162" t="s">
        <v>230</v>
      </c>
      <c r="N7097" s="65" t="s">
        <v>528</v>
      </c>
      <c r="O7097" s="6" t="s">
        <v>9175</v>
      </c>
      <c r="P7097" s="58" t="s">
        <v>241</v>
      </c>
      <c r="Q7097" s="6" t="s">
        <v>234</v>
      </c>
      <c r="R7097" s="6">
        <v>1</v>
      </c>
      <c r="S7097" s="6">
        <v>4500</v>
      </c>
      <c r="T7097" s="4">
        <f t="shared" si="334"/>
        <v>4500</v>
      </c>
      <c r="U7097" s="1">
        <f t="shared" si="335"/>
        <v>5040.0000000000009</v>
      </c>
      <c r="V7097" s="3"/>
      <c r="W7097" s="3">
        <v>2014</v>
      </c>
      <c r="X7097" s="3"/>
    </row>
    <row r="7098" spans="1:24" ht="127.5">
      <c r="A7098" s="3" t="s">
        <v>10817</v>
      </c>
      <c r="B7098" s="15" t="s">
        <v>361</v>
      </c>
      <c r="C7098" s="14" t="s">
        <v>9333</v>
      </c>
      <c r="D7098" s="194" t="s">
        <v>9334</v>
      </c>
      <c r="E7098" s="194" t="s">
        <v>9335</v>
      </c>
      <c r="F7098" s="6" t="s">
        <v>9357</v>
      </c>
      <c r="G7098" s="16" t="s">
        <v>605</v>
      </c>
      <c r="H7098" s="67">
        <v>0</v>
      </c>
      <c r="I7098" s="16">
        <v>470000000</v>
      </c>
      <c r="J7098" s="56" t="s">
        <v>229</v>
      </c>
      <c r="K7098" s="61" t="s">
        <v>633</v>
      </c>
      <c r="L7098" s="16" t="s">
        <v>9171</v>
      </c>
      <c r="M7098" s="162" t="s">
        <v>230</v>
      </c>
      <c r="N7098" s="65" t="s">
        <v>528</v>
      </c>
      <c r="O7098" s="6" t="s">
        <v>9175</v>
      </c>
      <c r="P7098" s="58" t="s">
        <v>241</v>
      </c>
      <c r="Q7098" s="6" t="s">
        <v>234</v>
      </c>
      <c r="R7098" s="6">
        <v>1</v>
      </c>
      <c r="S7098" s="6">
        <v>4500</v>
      </c>
      <c r="T7098" s="4">
        <f t="shared" si="334"/>
        <v>4500</v>
      </c>
      <c r="U7098" s="1">
        <f t="shared" si="335"/>
        <v>5040.0000000000009</v>
      </c>
      <c r="V7098" s="3"/>
      <c r="W7098" s="3">
        <v>2014</v>
      </c>
      <c r="X7098" s="3"/>
    </row>
    <row r="7099" spans="1:24" ht="127.5">
      <c r="A7099" s="3" t="s">
        <v>10818</v>
      </c>
      <c r="B7099" s="15" t="s">
        <v>361</v>
      </c>
      <c r="C7099" s="14" t="s">
        <v>9333</v>
      </c>
      <c r="D7099" s="194" t="s">
        <v>9334</v>
      </c>
      <c r="E7099" s="194" t="s">
        <v>9335</v>
      </c>
      <c r="F7099" s="6" t="s">
        <v>9358</v>
      </c>
      <c r="G7099" s="16" t="s">
        <v>605</v>
      </c>
      <c r="H7099" s="67">
        <v>0</v>
      </c>
      <c r="I7099" s="16">
        <v>470000000</v>
      </c>
      <c r="J7099" s="56" t="s">
        <v>229</v>
      </c>
      <c r="K7099" s="61" t="s">
        <v>633</v>
      </c>
      <c r="L7099" s="16" t="s">
        <v>9171</v>
      </c>
      <c r="M7099" s="162" t="s">
        <v>230</v>
      </c>
      <c r="N7099" s="65" t="s">
        <v>528</v>
      </c>
      <c r="O7099" s="6" t="s">
        <v>9175</v>
      </c>
      <c r="P7099" s="58" t="s">
        <v>241</v>
      </c>
      <c r="Q7099" s="6" t="s">
        <v>234</v>
      </c>
      <c r="R7099" s="6">
        <v>1</v>
      </c>
      <c r="S7099" s="6">
        <v>4500</v>
      </c>
      <c r="T7099" s="4">
        <f t="shared" si="334"/>
        <v>4500</v>
      </c>
      <c r="U7099" s="1">
        <f t="shared" si="335"/>
        <v>5040.0000000000009</v>
      </c>
      <c r="V7099" s="3"/>
      <c r="W7099" s="3">
        <v>2014</v>
      </c>
      <c r="X7099" s="3"/>
    </row>
    <row r="7100" spans="1:24" ht="127.5">
      <c r="A7100" s="3" t="s">
        <v>10819</v>
      </c>
      <c r="B7100" s="15" t="s">
        <v>361</v>
      </c>
      <c r="C7100" s="14" t="s">
        <v>9333</v>
      </c>
      <c r="D7100" s="194" t="s">
        <v>9334</v>
      </c>
      <c r="E7100" s="194" t="s">
        <v>9335</v>
      </c>
      <c r="F7100" s="6" t="s">
        <v>9359</v>
      </c>
      <c r="G7100" s="16" t="s">
        <v>605</v>
      </c>
      <c r="H7100" s="67">
        <v>0</v>
      </c>
      <c r="I7100" s="16">
        <v>470000000</v>
      </c>
      <c r="J7100" s="56" t="s">
        <v>229</v>
      </c>
      <c r="K7100" s="61" t="s">
        <v>633</v>
      </c>
      <c r="L7100" s="16" t="s">
        <v>9171</v>
      </c>
      <c r="M7100" s="162" t="s">
        <v>230</v>
      </c>
      <c r="N7100" s="65" t="s">
        <v>528</v>
      </c>
      <c r="O7100" s="6" t="s">
        <v>9175</v>
      </c>
      <c r="P7100" s="58" t="s">
        <v>241</v>
      </c>
      <c r="Q7100" s="6" t="s">
        <v>234</v>
      </c>
      <c r="R7100" s="6">
        <v>1</v>
      </c>
      <c r="S7100" s="6">
        <v>4500</v>
      </c>
      <c r="T7100" s="4">
        <f t="shared" si="334"/>
        <v>4500</v>
      </c>
      <c r="U7100" s="1">
        <f t="shared" si="335"/>
        <v>5040.0000000000009</v>
      </c>
      <c r="V7100" s="3"/>
      <c r="W7100" s="3">
        <v>2014</v>
      </c>
      <c r="X7100" s="3"/>
    </row>
    <row r="7101" spans="1:24" ht="127.5">
      <c r="A7101" s="3" t="s">
        <v>10820</v>
      </c>
      <c r="B7101" s="15" t="s">
        <v>361</v>
      </c>
      <c r="C7101" s="14" t="s">
        <v>9333</v>
      </c>
      <c r="D7101" s="194" t="s">
        <v>9334</v>
      </c>
      <c r="E7101" s="194" t="s">
        <v>9335</v>
      </c>
      <c r="F7101" s="6" t="s">
        <v>9360</v>
      </c>
      <c r="G7101" s="16" t="s">
        <v>605</v>
      </c>
      <c r="H7101" s="67">
        <v>0</v>
      </c>
      <c r="I7101" s="16">
        <v>470000000</v>
      </c>
      <c r="J7101" s="56" t="s">
        <v>229</v>
      </c>
      <c r="K7101" s="61" t="s">
        <v>633</v>
      </c>
      <c r="L7101" s="16" t="s">
        <v>9171</v>
      </c>
      <c r="M7101" s="162" t="s">
        <v>230</v>
      </c>
      <c r="N7101" s="65" t="s">
        <v>528</v>
      </c>
      <c r="O7101" s="6" t="s">
        <v>9175</v>
      </c>
      <c r="P7101" s="58" t="s">
        <v>241</v>
      </c>
      <c r="Q7101" s="6" t="s">
        <v>234</v>
      </c>
      <c r="R7101" s="6">
        <v>1</v>
      </c>
      <c r="S7101" s="6">
        <v>4500</v>
      </c>
      <c r="T7101" s="4">
        <f t="shared" si="334"/>
        <v>4500</v>
      </c>
      <c r="U7101" s="1">
        <f t="shared" si="335"/>
        <v>5040.0000000000009</v>
      </c>
      <c r="V7101" s="3"/>
      <c r="W7101" s="3">
        <v>2014</v>
      </c>
      <c r="X7101" s="3"/>
    </row>
    <row r="7102" spans="1:24" ht="331.5">
      <c r="A7102" s="3" t="s">
        <v>10821</v>
      </c>
      <c r="B7102" s="15" t="s">
        <v>361</v>
      </c>
      <c r="C7102" s="16" t="s">
        <v>9361</v>
      </c>
      <c r="D7102" s="16" t="s">
        <v>9362</v>
      </c>
      <c r="E7102" s="16" t="s">
        <v>9363</v>
      </c>
      <c r="F7102" s="6" t="s">
        <v>9364</v>
      </c>
      <c r="G7102" s="16" t="s">
        <v>605</v>
      </c>
      <c r="H7102" s="67">
        <v>0</v>
      </c>
      <c r="I7102" s="16">
        <v>470000000</v>
      </c>
      <c r="J7102" s="56" t="s">
        <v>229</v>
      </c>
      <c r="K7102" s="61" t="s">
        <v>633</v>
      </c>
      <c r="L7102" s="16" t="s">
        <v>9171</v>
      </c>
      <c r="M7102" s="162" t="s">
        <v>230</v>
      </c>
      <c r="N7102" s="65" t="s">
        <v>528</v>
      </c>
      <c r="O7102" s="6" t="s">
        <v>9175</v>
      </c>
      <c r="P7102" s="58" t="s">
        <v>241</v>
      </c>
      <c r="Q7102" s="6" t="s">
        <v>234</v>
      </c>
      <c r="R7102" s="6">
        <v>1</v>
      </c>
      <c r="S7102" s="6">
        <v>500</v>
      </c>
      <c r="T7102" s="4">
        <f t="shared" si="334"/>
        <v>500</v>
      </c>
      <c r="U7102" s="1">
        <f t="shared" si="335"/>
        <v>560</v>
      </c>
      <c r="V7102" s="3"/>
      <c r="W7102" s="3">
        <v>2014</v>
      </c>
      <c r="X7102" s="3"/>
    </row>
    <row r="7103" spans="1:24" ht="331.5">
      <c r="A7103" s="3" t="s">
        <v>10822</v>
      </c>
      <c r="B7103" s="15" t="s">
        <v>361</v>
      </c>
      <c r="C7103" s="16" t="s">
        <v>9361</v>
      </c>
      <c r="D7103" s="16" t="s">
        <v>9362</v>
      </c>
      <c r="E7103" s="16" t="s">
        <v>9363</v>
      </c>
      <c r="F7103" s="6" t="s">
        <v>9365</v>
      </c>
      <c r="G7103" s="16" t="s">
        <v>605</v>
      </c>
      <c r="H7103" s="67">
        <v>0</v>
      </c>
      <c r="I7103" s="16">
        <v>470000000</v>
      </c>
      <c r="J7103" s="56" t="s">
        <v>229</v>
      </c>
      <c r="K7103" s="61" t="s">
        <v>633</v>
      </c>
      <c r="L7103" s="16" t="s">
        <v>9171</v>
      </c>
      <c r="M7103" s="162" t="s">
        <v>230</v>
      </c>
      <c r="N7103" s="65" t="s">
        <v>528</v>
      </c>
      <c r="O7103" s="6" t="s">
        <v>9175</v>
      </c>
      <c r="P7103" s="58" t="s">
        <v>241</v>
      </c>
      <c r="Q7103" s="6" t="s">
        <v>234</v>
      </c>
      <c r="R7103" s="6">
        <v>1</v>
      </c>
      <c r="S7103" s="6">
        <v>1200</v>
      </c>
      <c r="T7103" s="4">
        <f t="shared" si="334"/>
        <v>1200</v>
      </c>
      <c r="U7103" s="1">
        <f t="shared" si="335"/>
        <v>1344.0000000000002</v>
      </c>
      <c r="V7103" s="3"/>
      <c r="W7103" s="3">
        <v>2014</v>
      </c>
      <c r="X7103" s="3"/>
    </row>
    <row r="7104" spans="1:24" ht="76.5">
      <c r="A7104" s="3" t="s">
        <v>10823</v>
      </c>
      <c r="B7104" s="15" t="s">
        <v>361</v>
      </c>
      <c r="C7104" s="16" t="s">
        <v>9366</v>
      </c>
      <c r="D7104" s="16" t="s">
        <v>9367</v>
      </c>
      <c r="E7104" s="16" t="s">
        <v>9368</v>
      </c>
      <c r="F7104" s="79"/>
      <c r="G7104" s="79" t="s">
        <v>11450</v>
      </c>
      <c r="H7104" s="67">
        <v>0.5</v>
      </c>
      <c r="I7104" s="16">
        <v>470000000</v>
      </c>
      <c r="J7104" s="56" t="s">
        <v>229</v>
      </c>
      <c r="K7104" s="56" t="s">
        <v>9369</v>
      </c>
      <c r="L7104" s="16" t="s">
        <v>9171</v>
      </c>
      <c r="M7104" s="162" t="s">
        <v>230</v>
      </c>
      <c r="N7104" s="79" t="s">
        <v>9370</v>
      </c>
      <c r="O7104" s="6" t="s">
        <v>9225</v>
      </c>
      <c r="P7104" s="58" t="s">
        <v>241</v>
      </c>
      <c r="Q7104" s="6" t="s">
        <v>234</v>
      </c>
      <c r="R7104" s="79">
        <v>2400</v>
      </c>
      <c r="S7104" s="71">
        <v>1340</v>
      </c>
      <c r="T7104" s="4">
        <v>0</v>
      </c>
      <c r="U7104" s="4">
        <f t="shared" si="335"/>
        <v>0</v>
      </c>
      <c r="V7104" s="79" t="s">
        <v>362</v>
      </c>
      <c r="W7104" s="3">
        <v>2014</v>
      </c>
      <c r="X7104" s="3" t="s">
        <v>14785</v>
      </c>
    </row>
    <row r="7105" spans="1:24" ht="76.5">
      <c r="A7105" s="3" t="s">
        <v>18844</v>
      </c>
      <c r="B7105" s="15" t="s">
        <v>361</v>
      </c>
      <c r="C7105" s="16" t="s">
        <v>9366</v>
      </c>
      <c r="D7105" s="16" t="s">
        <v>9367</v>
      </c>
      <c r="E7105" s="16" t="s">
        <v>9368</v>
      </c>
      <c r="F7105" s="79"/>
      <c r="G7105" s="79" t="s">
        <v>11450</v>
      </c>
      <c r="H7105" s="67">
        <v>0.5</v>
      </c>
      <c r="I7105" s="16">
        <v>470000000</v>
      </c>
      <c r="J7105" s="56" t="s">
        <v>229</v>
      </c>
      <c r="K7105" s="56" t="s">
        <v>18437</v>
      </c>
      <c r="L7105" s="16" t="s">
        <v>9171</v>
      </c>
      <c r="M7105" s="162" t="s">
        <v>230</v>
      </c>
      <c r="N7105" s="79" t="s">
        <v>9370</v>
      </c>
      <c r="O7105" s="6" t="s">
        <v>9225</v>
      </c>
      <c r="P7105" s="58" t="s">
        <v>241</v>
      </c>
      <c r="Q7105" s="6" t="s">
        <v>234</v>
      </c>
      <c r="R7105" s="79">
        <v>2400</v>
      </c>
      <c r="S7105" s="71">
        <v>1500</v>
      </c>
      <c r="T7105" s="4">
        <v>0</v>
      </c>
      <c r="U7105" s="4">
        <f t="shared" si="335"/>
        <v>0</v>
      </c>
      <c r="V7105" s="79" t="s">
        <v>362</v>
      </c>
      <c r="W7105" s="3">
        <v>2014</v>
      </c>
      <c r="X7105" s="3">
        <v>11.12</v>
      </c>
    </row>
    <row r="7106" spans="1:24" ht="76.5">
      <c r="A7106" s="3" t="s">
        <v>19632</v>
      </c>
      <c r="B7106" s="15" t="s">
        <v>361</v>
      </c>
      <c r="C7106" s="16" t="s">
        <v>9366</v>
      </c>
      <c r="D7106" s="16" t="s">
        <v>9367</v>
      </c>
      <c r="E7106" s="16" t="s">
        <v>9368</v>
      </c>
      <c r="F7106" s="79"/>
      <c r="G7106" s="79" t="s">
        <v>11450</v>
      </c>
      <c r="H7106" s="67">
        <v>0.5</v>
      </c>
      <c r="I7106" s="16">
        <v>470000000</v>
      </c>
      <c r="J7106" s="56" t="s">
        <v>229</v>
      </c>
      <c r="K7106" s="56" t="s">
        <v>9956</v>
      </c>
      <c r="L7106" s="16" t="s">
        <v>19633</v>
      </c>
      <c r="M7106" s="162" t="s">
        <v>230</v>
      </c>
      <c r="N7106" s="79" t="s">
        <v>9370</v>
      </c>
      <c r="O7106" s="6" t="s">
        <v>9225</v>
      </c>
      <c r="P7106" s="58" t="s">
        <v>241</v>
      </c>
      <c r="Q7106" s="6" t="s">
        <v>234</v>
      </c>
      <c r="R7106" s="79">
        <v>2400</v>
      </c>
      <c r="S7106" s="71">
        <v>1500</v>
      </c>
      <c r="T7106" s="4">
        <f t="shared" ref="T7106" si="336">R7106*S7106</f>
        <v>3600000</v>
      </c>
      <c r="U7106" s="349">
        <f t="shared" ref="U7106" si="337">T7106*1.12</f>
        <v>4032000.0000000005</v>
      </c>
      <c r="V7106" s="79" t="s">
        <v>362</v>
      </c>
      <c r="W7106" s="3">
        <v>2014</v>
      </c>
      <c r="X7106" s="3"/>
    </row>
    <row r="7107" spans="1:24" ht="76.5">
      <c r="A7107" s="3" t="s">
        <v>10824</v>
      </c>
      <c r="B7107" s="15" t="s">
        <v>361</v>
      </c>
      <c r="C7107" s="16" t="s">
        <v>9371</v>
      </c>
      <c r="D7107" s="16" t="s">
        <v>9372</v>
      </c>
      <c r="E7107" s="16" t="s">
        <v>11608</v>
      </c>
      <c r="F7107" s="6"/>
      <c r="G7107" s="72" t="s">
        <v>605</v>
      </c>
      <c r="H7107" s="196">
        <v>0</v>
      </c>
      <c r="I7107" s="6">
        <v>470000000</v>
      </c>
      <c r="J7107" s="15" t="s">
        <v>229</v>
      </c>
      <c r="K7107" s="15" t="s">
        <v>9373</v>
      </c>
      <c r="L7107" s="6" t="s">
        <v>9171</v>
      </c>
      <c r="M7107" s="162" t="s">
        <v>230</v>
      </c>
      <c r="N7107" s="65" t="s">
        <v>528</v>
      </c>
      <c r="O7107" s="6" t="s">
        <v>9175</v>
      </c>
      <c r="P7107" s="58" t="s">
        <v>241</v>
      </c>
      <c r="Q7107" s="6" t="s">
        <v>234</v>
      </c>
      <c r="R7107" s="72">
        <v>20</v>
      </c>
      <c r="S7107" s="75">
        <v>15000</v>
      </c>
      <c r="T7107" s="4">
        <v>0</v>
      </c>
      <c r="U7107" s="4">
        <f t="shared" si="335"/>
        <v>0</v>
      </c>
      <c r="V7107" s="79"/>
      <c r="W7107" s="3">
        <v>2014</v>
      </c>
      <c r="X7107" s="3">
        <v>11</v>
      </c>
    </row>
    <row r="7108" spans="1:24" ht="76.5">
      <c r="A7108" s="3" t="s">
        <v>18845</v>
      </c>
      <c r="B7108" s="15" t="s">
        <v>361</v>
      </c>
      <c r="C7108" s="16" t="s">
        <v>9371</v>
      </c>
      <c r="D7108" s="16" t="s">
        <v>9372</v>
      </c>
      <c r="E7108" s="16" t="s">
        <v>11608</v>
      </c>
      <c r="F7108" s="6"/>
      <c r="G7108" s="72" t="s">
        <v>605</v>
      </c>
      <c r="H7108" s="196">
        <v>0</v>
      </c>
      <c r="I7108" s="6">
        <v>470000000</v>
      </c>
      <c r="J7108" s="15" t="s">
        <v>229</v>
      </c>
      <c r="K7108" s="15" t="s">
        <v>18846</v>
      </c>
      <c r="L7108" s="6" t="s">
        <v>9171</v>
      </c>
      <c r="M7108" s="162" t="s">
        <v>230</v>
      </c>
      <c r="N7108" s="65" t="s">
        <v>528</v>
      </c>
      <c r="O7108" s="6" t="s">
        <v>9175</v>
      </c>
      <c r="P7108" s="58" t="s">
        <v>241</v>
      </c>
      <c r="Q7108" s="6" t="s">
        <v>234</v>
      </c>
      <c r="R7108" s="72">
        <v>20</v>
      </c>
      <c r="S7108" s="75">
        <v>15000</v>
      </c>
      <c r="T7108" s="4">
        <f t="shared" ref="T7108:T7109" si="338">R7108*S7108</f>
        <v>300000</v>
      </c>
      <c r="U7108" s="325">
        <f t="shared" si="335"/>
        <v>336000.00000000006</v>
      </c>
      <c r="V7108" s="79"/>
      <c r="W7108" s="3">
        <v>2014</v>
      </c>
      <c r="X7108" s="3"/>
    </row>
    <row r="7109" spans="1:24" ht="76.5">
      <c r="A7109" s="3" t="s">
        <v>10825</v>
      </c>
      <c r="B7109" s="15" t="s">
        <v>361</v>
      </c>
      <c r="C7109" s="16" t="s">
        <v>9374</v>
      </c>
      <c r="D7109" s="16" t="s">
        <v>9375</v>
      </c>
      <c r="E7109" s="16" t="s">
        <v>9376</v>
      </c>
      <c r="F7109" s="6"/>
      <c r="G7109" s="72" t="s">
        <v>605</v>
      </c>
      <c r="H7109" s="196">
        <v>0</v>
      </c>
      <c r="I7109" s="6">
        <v>470000000</v>
      </c>
      <c r="J7109" s="15" t="s">
        <v>229</v>
      </c>
      <c r="K7109" s="15" t="s">
        <v>369</v>
      </c>
      <c r="L7109" s="6" t="s">
        <v>9171</v>
      </c>
      <c r="M7109" s="162" t="s">
        <v>230</v>
      </c>
      <c r="N7109" s="65" t="s">
        <v>528</v>
      </c>
      <c r="O7109" s="6" t="s">
        <v>9175</v>
      </c>
      <c r="P7109" s="58" t="s">
        <v>241</v>
      </c>
      <c r="Q7109" s="6" t="s">
        <v>234</v>
      </c>
      <c r="R7109" s="72">
        <v>3</v>
      </c>
      <c r="S7109" s="75">
        <v>25000</v>
      </c>
      <c r="T7109" s="4">
        <f t="shared" si="338"/>
        <v>75000</v>
      </c>
      <c r="U7109" s="4">
        <f t="shared" si="335"/>
        <v>84000.000000000015</v>
      </c>
      <c r="V7109" s="79"/>
      <c r="W7109" s="3">
        <v>2014</v>
      </c>
      <c r="X7109" s="3"/>
    </row>
    <row r="7110" spans="1:24" ht="76.5">
      <c r="A7110" s="3" t="s">
        <v>10826</v>
      </c>
      <c r="B7110" s="15" t="s">
        <v>361</v>
      </c>
      <c r="C7110" s="16" t="s">
        <v>9378</v>
      </c>
      <c r="D7110" s="16" t="s">
        <v>9379</v>
      </c>
      <c r="E7110" s="16" t="s">
        <v>9380</v>
      </c>
      <c r="F7110" s="6"/>
      <c r="G7110" s="72" t="s">
        <v>605</v>
      </c>
      <c r="H7110" s="196">
        <v>0</v>
      </c>
      <c r="I7110" s="6">
        <v>470000000</v>
      </c>
      <c r="J7110" s="15" t="s">
        <v>229</v>
      </c>
      <c r="K7110" s="15" t="s">
        <v>9381</v>
      </c>
      <c r="L7110" s="6" t="s">
        <v>9171</v>
      </c>
      <c r="M7110" s="162" t="s">
        <v>230</v>
      </c>
      <c r="N7110" s="65" t="s">
        <v>528</v>
      </c>
      <c r="O7110" s="6" t="s">
        <v>9175</v>
      </c>
      <c r="P7110" s="58" t="s">
        <v>241</v>
      </c>
      <c r="Q7110" s="6" t="s">
        <v>234</v>
      </c>
      <c r="R7110" s="72">
        <v>15</v>
      </c>
      <c r="S7110" s="75">
        <v>15000</v>
      </c>
      <c r="T7110" s="4">
        <v>0</v>
      </c>
      <c r="U7110" s="4">
        <f t="shared" si="335"/>
        <v>0</v>
      </c>
      <c r="V7110" s="79"/>
      <c r="W7110" s="3">
        <v>2014</v>
      </c>
      <c r="X7110" s="3">
        <v>11</v>
      </c>
    </row>
    <row r="7111" spans="1:24" ht="76.5">
      <c r="A7111" s="3" t="s">
        <v>18847</v>
      </c>
      <c r="B7111" s="15" t="s">
        <v>361</v>
      </c>
      <c r="C7111" s="16" t="s">
        <v>9378</v>
      </c>
      <c r="D7111" s="16" t="s">
        <v>9379</v>
      </c>
      <c r="E7111" s="16" t="s">
        <v>9380</v>
      </c>
      <c r="F7111" s="6"/>
      <c r="G7111" s="72" t="s">
        <v>605</v>
      </c>
      <c r="H7111" s="196">
        <v>0</v>
      </c>
      <c r="I7111" s="6">
        <v>470000000</v>
      </c>
      <c r="J7111" s="15" t="s">
        <v>229</v>
      </c>
      <c r="K7111" s="15" t="s">
        <v>18927</v>
      </c>
      <c r="L7111" s="6" t="s">
        <v>9171</v>
      </c>
      <c r="M7111" s="162" t="s">
        <v>230</v>
      </c>
      <c r="N7111" s="65" t="s">
        <v>528</v>
      </c>
      <c r="O7111" s="6" t="s">
        <v>9175</v>
      </c>
      <c r="P7111" s="58" t="s">
        <v>241</v>
      </c>
      <c r="Q7111" s="6" t="s">
        <v>234</v>
      </c>
      <c r="R7111" s="72">
        <v>15</v>
      </c>
      <c r="S7111" s="75">
        <v>15000</v>
      </c>
      <c r="T7111" s="4">
        <f t="shared" ref="T7111" si="339">R7111*S7111</f>
        <v>225000</v>
      </c>
      <c r="U7111" s="325">
        <f t="shared" si="335"/>
        <v>252000.00000000003</v>
      </c>
      <c r="V7111" s="79"/>
      <c r="W7111" s="3">
        <v>2014</v>
      </c>
      <c r="X7111" s="3"/>
    </row>
    <row r="7112" spans="1:24" ht="76.5">
      <c r="A7112" s="3" t="s">
        <v>10827</v>
      </c>
      <c r="B7112" s="15" t="s">
        <v>361</v>
      </c>
      <c r="C7112" s="16" t="s">
        <v>9382</v>
      </c>
      <c r="D7112" s="16" t="s">
        <v>9383</v>
      </c>
      <c r="E7112" s="16" t="s">
        <v>9384</v>
      </c>
      <c r="F7112" s="6"/>
      <c r="G7112" s="72" t="s">
        <v>605</v>
      </c>
      <c r="H7112" s="196">
        <v>0</v>
      </c>
      <c r="I7112" s="6">
        <v>470000000</v>
      </c>
      <c r="J7112" s="15" t="s">
        <v>229</v>
      </c>
      <c r="K7112" s="15" t="s">
        <v>9381</v>
      </c>
      <c r="L7112" s="6" t="s">
        <v>9171</v>
      </c>
      <c r="M7112" s="162" t="s">
        <v>230</v>
      </c>
      <c r="N7112" s="65" t="s">
        <v>528</v>
      </c>
      <c r="O7112" s="6" t="s">
        <v>9175</v>
      </c>
      <c r="P7112" s="58" t="s">
        <v>241</v>
      </c>
      <c r="Q7112" s="6" t="s">
        <v>234</v>
      </c>
      <c r="R7112" s="72">
        <v>20</v>
      </c>
      <c r="S7112" s="75">
        <v>15000</v>
      </c>
      <c r="T7112" s="4">
        <v>0</v>
      </c>
      <c r="U7112" s="4">
        <f t="shared" si="335"/>
        <v>0</v>
      </c>
      <c r="V7112" s="79"/>
      <c r="W7112" s="3">
        <v>2014</v>
      </c>
      <c r="X7112" s="3">
        <v>11</v>
      </c>
    </row>
    <row r="7113" spans="1:24" ht="76.5">
      <c r="A7113" s="3" t="s">
        <v>18848</v>
      </c>
      <c r="B7113" s="15" t="s">
        <v>361</v>
      </c>
      <c r="C7113" s="16" t="s">
        <v>9382</v>
      </c>
      <c r="D7113" s="16" t="s">
        <v>9383</v>
      </c>
      <c r="E7113" s="16" t="s">
        <v>9384</v>
      </c>
      <c r="F7113" s="6"/>
      <c r="G7113" s="72" t="s">
        <v>605</v>
      </c>
      <c r="H7113" s="196">
        <v>0</v>
      </c>
      <c r="I7113" s="6">
        <v>470000000</v>
      </c>
      <c r="J7113" s="15" t="s">
        <v>229</v>
      </c>
      <c r="K7113" s="15" t="s">
        <v>18927</v>
      </c>
      <c r="L7113" s="6" t="s">
        <v>9171</v>
      </c>
      <c r="M7113" s="162" t="s">
        <v>230</v>
      </c>
      <c r="N7113" s="65" t="s">
        <v>528</v>
      </c>
      <c r="O7113" s="6" t="s">
        <v>9175</v>
      </c>
      <c r="P7113" s="58" t="s">
        <v>241</v>
      </c>
      <c r="Q7113" s="6" t="s">
        <v>234</v>
      </c>
      <c r="R7113" s="72">
        <v>20</v>
      </c>
      <c r="S7113" s="75">
        <v>15000</v>
      </c>
      <c r="T7113" s="4">
        <f t="shared" ref="T7113" si="340">R7113*S7113</f>
        <v>300000</v>
      </c>
      <c r="U7113" s="325">
        <f t="shared" si="335"/>
        <v>336000.00000000006</v>
      </c>
      <c r="V7113" s="79"/>
      <c r="W7113" s="3">
        <v>2014</v>
      </c>
      <c r="X7113" s="3"/>
    </row>
    <row r="7114" spans="1:24" ht="102">
      <c r="A7114" s="3" t="s">
        <v>10828</v>
      </c>
      <c r="B7114" s="15" t="s">
        <v>361</v>
      </c>
      <c r="C7114" s="16" t="s">
        <v>9385</v>
      </c>
      <c r="D7114" s="16" t="s">
        <v>9386</v>
      </c>
      <c r="E7114" s="16" t="s">
        <v>9387</v>
      </c>
      <c r="F7114" s="6" t="s">
        <v>9388</v>
      </c>
      <c r="G7114" s="72" t="s">
        <v>605</v>
      </c>
      <c r="H7114" s="196">
        <v>0</v>
      </c>
      <c r="I7114" s="6">
        <v>470000000</v>
      </c>
      <c r="J7114" s="15" t="s">
        <v>229</v>
      </c>
      <c r="K7114" s="15" t="s">
        <v>9389</v>
      </c>
      <c r="L7114" s="6" t="s">
        <v>9171</v>
      </c>
      <c r="M7114" s="162" t="s">
        <v>230</v>
      </c>
      <c r="N7114" s="65" t="s">
        <v>528</v>
      </c>
      <c r="O7114" s="6" t="s">
        <v>9175</v>
      </c>
      <c r="P7114" s="58" t="s">
        <v>241</v>
      </c>
      <c r="Q7114" s="6" t="s">
        <v>234</v>
      </c>
      <c r="R7114" s="72">
        <v>6</v>
      </c>
      <c r="S7114" s="75">
        <v>15000</v>
      </c>
      <c r="T7114" s="4">
        <v>0</v>
      </c>
      <c r="U7114" s="259">
        <f t="shared" si="335"/>
        <v>0</v>
      </c>
      <c r="V7114" s="79"/>
      <c r="W7114" s="3">
        <v>2014</v>
      </c>
      <c r="X7114" s="3">
        <v>11</v>
      </c>
    </row>
    <row r="7115" spans="1:24" ht="102">
      <c r="A7115" s="3" t="s">
        <v>17262</v>
      </c>
      <c r="B7115" s="15" t="s">
        <v>361</v>
      </c>
      <c r="C7115" s="16" t="s">
        <v>9385</v>
      </c>
      <c r="D7115" s="16" t="s">
        <v>9386</v>
      </c>
      <c r="E7115" s="16" t="s">
        <v>9387</v>
      </c>
      <c r="F7115" s="6" t="s">
        <v>9388</v>
      </c>
      <c r="G7115" s="72" t="s">
        <v>605</v>
      </c>
      <c r="H7115" s="196">
        <v>0</v>
      </c>
      <c r="I7115" s="6">
        <v>470000000</v>
      </c>
      <c r="J7115" s="15" t="s">
        <v>229</v>
      </c>
      <c r="K7115" s="15" t="s">
        <v>17263</v>
      </c>
      <c r="L7115" s="6" t="s">
        <v>9171</v>
      </c>
      <c r="M7115" s="162" t="s">
        <v>230</v>
      </c>
      <c r="N7115" s="65" t="s">
        <v>528</v>
      </c>
      <c r="O7115" s="6" t="s">
        <v>9175</v>
      </c>
      <c r="P7115" s="58" t="s">
        <v>241</v>
      </c>
      <c r="Q7115" s="6" t="s">
        <v>234</v>
      </c>
      <c r="R7115" s="72">
        <v>6</v>
      </c>
      <c r="S7115" s="75">
        <v>15000</v>
      </c>
      <c r="T7115" s="4">
        <v>0</v>
      </c>
      <c r="U7115" s="4">
        <f t="shared" si="335"/>
        <v>0</v>
      </c>
      <c r="V7115" s="79"/>
      <c r="W7115" s="3">
        <v>2014</v>
      </c>
      <c r="X7115" s="3">
        <v>11</v>
      </c>
    </row>
    <row r="7116" spans="1:24" ht="102">
      <c r="A7116" s="3" t="s">
        <v>18849</v>
      </c>
      <c r="B7116" s="15" t="s">
        <v>361</v>
      </c>
      <c r="C7116" s="16" t="s">
        <v>9385</v>
      </c>
      <c r="D7116" s="16" t="s">
        <v>9386</v>
      </c>
      <c r="E7116" s="16" t="s">
        <v>9387</v>
      </c>
      <c r="F7116" s="6" t="s">
        <v>9388</v>
      </c>
      <c r="G7116" s="72" t="s">
        <v>605</v>
      </c>
      <c r="H7116" s="196">
        <v>0</v>
      </c>
      <c r="I7116" s="6">
        <v>470000000</v>
      </c>
      <c r="J7116" s="15" t="s">
        <v>229</v>
      </c>
      <c r="K7116" s="15" t="s">
        <v>9956</v>
      </c>
      <c r="L7116" s="6" t="s">
        <v>9171</v>
      </c>
      <c r="M7116" s="162" t="s">
        <v>230</v>
      </c>
      <c r="N7116" s="65" t="s">
        <v>528</v>
      </c>
      <c r="O7116" s="6" t="s">
        <v>9175</v>
      </c>
      <c r="P7116" s="58" t="s">
        <v>241</v>
      </c>
      <c r="Q7116" s="6" t="s">
        <v>234</v>
      </c>
      <c r="R7116" s="72">
        <v>6</v>
      </c>
      <c r="S7116" s="75">
        <v>15000</v>
      </c>
      <c r="T7116" s="4">
        <f t="shared" ref="T7116" si="341">R7116*S7116</f>
        <v>90000</v>
      </c>
      <c r="U7116" s="325">
        <f t="shared" si="335"/>
        <v>100800.00000000001</v>
      </c>
      <c r="V7116" s="79"/>
      <c r="W7116" s="3">
        <v>2014</v>
      </c>
      <c r="X7116" s="3"/>
    </row>
    <row r="7117" spans="1:24" ht="114.75">
      <c r="A7117" s="3" t="s">
        <v>10829</v>
      </c>
      <c r="B7117" s="15" t="s">
        <v>361</v>
      </c>
      <c r="C7117" s="16" t="s">
        <v>9385</v>
      </c>
      <c r="D7117" s="16" t="s">
        <v>9386</v>
      </c>
      <c r="E7117" s="16" t="s">
        <v>9387</v>
      </c>
      <c r="F7117" s="6" t="s">
        <v>9390</v>
      </c>
      <c r="G7117" s="72" t="s">
        <v>605</v>
      </c>
      <c r="H7117" s="196">
        <v>0</v>
      </c>
      <c r="I7117" s="6">
        <v>470000000</v>
      </c>
      <c r="J7117" s="15" t="s">
        <v>229</v>
      </c>
      <c r="K7117" s="15" t="s">
        <v>9389</v>
      </c>
      <c r="L7117" s="6" t="s">
        <v>9171</v>
      </c>
      <c r="M7117" s="162" t="s">
        <v>230</v>
      </c>
      <c r="N7117" s="65" t="s">
        <v>528</v>
      </c>
      <c r="O7117" s="6" t="s">
        <v>9175</v>
      </c>
      <c r="P7117" s="58" t="s">
        <v>241</v>
      </c>
      <c r="Q7117" s="6" t="s">
        <v>234</v>
      </c>
      <c r="R7117" s="72">
        <v>6</v>
      </c>
      <c r="S7117" s="75">
        <v>15000</v>
      </c>
      <c r="T7117" s="4">
        <v>0</v>
      </c>
      <c r="U7117" s="4">
        <f t="shared" si="335"/>
        <v>0</v>
      </c>
      <c r="V7117" s="79"/>
      <c r="W7117" s="3">
        <v>2014</v>
      </c>
      <c r="X7117" s="3">
        <v>11</v>
      </c>
    </row>
    <row r="7118" spans="1:24" ht="114.75">
      <c r="A7118" s="3" t="s">
        <v>17264</v>
      </c>
      <c r="B7118" s="15" t="s">
        <v>361</v>
      </c>
      <c r="C7118" s="16" t="s">
        <v>9385</v>
      </c>
      <c r="D7118" s="16" t="s">
        <v>9386</v>
      </c>
      <c r="E7118" s="16" t="s">
        <v>9387</v>
      </c>
      <c r="F7118" s="6" t="s">
        <v>9390</v>
      </c>
      <c r="G7118" s="72" t="s">
        <v>605</v>
      </c>
      <c r="H7118" s="196">
        <v>0</v>
      </c>
      <c r="I7118" s="6">
        <v>470000000</v>
      </c>
      <c r="J7118" s="15" t="s">
        <v>229</v>
      </c>
      <c r="K7118" s="15" t="s">
        <v>17263</v>
      </c>
      <c r="L7118" s="6" t="s">
        <v>9171</v>
      </c>
      <c r="M7118" s="162" t="s">
        <v>230</v>
      </c>
      <c r="N7118" s="65" t="s">
        <v>528</v>
      </c>
      <c r="O7118" s="6" t="s">
        <v>9175</v>
      </c>
      <c r="P7118" s="58" t="s">
        <v>241</v>
      </c>
      <c r="Q7118" s="6" t="s">
        <v>234</v>
      </c>
      <c r="R7118" s="72">
        <v>6</v>
      </c>
      <c r="S7118" s="75">
        <v>15000</v>
      </c>
      <c r="T7118" s="4">
        <v>0</v>
      </c>
      <c r="U7118" s="4">
        <f t="shared" si="335"/>
        <v>0</v>
      </c>
      <c r="V7118" s="79"/>
      <c r="W7118" s="3">
        <v>2014</v>
      </c>
      <c r="X7118" s="3">
        <v>11</v>
      </c>
    </row>
    <row r="7119" spans="1:24" ht="114.75">
      <c r="A7119" s="3" t="s">
        <v>18850</v>
      </c>
      <c r="B7119" s="15" t="s">
        <v>361</v>
      </c>
      <c r="C7119" s="16" t="s">
        <v>9385</v>
      </c>
      <c r="D7119" s="16" t="s">
        <v>9386</v>
      </c>
      <c r="E7119" s="16" t="s">
        <v>9387</v>
      </c>
      <c r="F7119" s="6" t="s">
        <v>9390</v>
      </c>
      <c r="G7119" s="72" t="s">
        <v>605</v>
      </c>
      <c r="H7119" s="196">
        <v>0</v>
      </c>
      <c r="I7119" s="6">
        <v>470000000</v>
      </c>
      <c r="J7119" s="15" t="s">
        <v>229</v>
      </c>
      <c r="K7119" s="15" t="s">
        <v>9956</v>
      </c>
      <c r="L7119" s="6" t="s">
        <v>9171</v>
      </c>
      <c r="M7119" s="162" t="s">
        <v>230</v>
      </c>
      <c r="N7119" s="65" t="s">
        <v>528</v>
      </c>
      <c r="O7119" s="6" t="s">
        <v>9175</v>
      </c>
      <c r="P7119" s="58" t="s">
        <v>241</v>
      </c>
      <c r="Q7119" s="6" t="s">
        <v>234</v>
      </c>
      <c r="R7119" s="72">
        <v>6</v>
      </c>
      <c r="S7119" s="75">
        <v>15000</v>
      </c>
      <c r="T7119" s="4">
        <f t="shared" ref="T7119" si="342">R7119*S7119</f>
        <v>90000</v>
      </c>
      <c r="U7119" s="325">
        <f t="shared" si="335"/>
        <v>100800.00000000001</v>
      </c>
      <c r="V7119" s="79"/>
      <c r="W7119" s="3">
        <v>2014</v>
      </c>
      <c r="X7119" s="3"/>
    </row>
    <row r="7120" spans="1:24" ht="102">
      <c r="A7120" s="3" t="s">
        <v>10830</v>
      </c>
      <c r="B7120" s="15" t="s">
        <v>361</v>
      </c>
      <c r="C7120" s="16" t="s">
        <v>9385</v>
      </c>
      <c r="D7120" s="16" t="s">
        <v>9386</v>
      </c>
      <c r="E7120" s="16" t="s">
        <v>9387</v>
      </c>
      <c r="F7120" s="6" t="s">
        <v>9391</v>
      </c>
      <c r="G7120" s="72" t="s">
        <v>605</v>
      </c>
      <c r="H7120" s="196">
        <v>0</v>
      </c>
      <c r="I7120" s="6">
        <v>470000000</v>
      </c>
      <c r="J7120" s="15" t="s">
        <v>229</v>
      </c>
      <c r="K7120" s="15" t="s">
        <v>9389</v>
      </c>
      <c r="L7120" s="6" t="s">
        <v>9171</v>
      </c>
      <c r="M7120" s="162" t="s">
        <v>230</v>
      </c>
      <c r="N7120" s="65" t="s">
        <v>528</v>
      </c>
      <c r="O7120" s="6" t="s">
        <v>9175</v>
      </c>
      <c r="P7120" s="58" t="s">
        <v>241</v>
      </c>
      <c r="Q7120" s="6" t="s">
        <v>234</v>
      </c>
      <c r="R7120" s="72">
        <v>6</v>
      </c>
      <c r="S7120" s="75">
        <v>15000</v>
      </c>
      <c r="T7120" s="4">
        <v>0</v>
      </c>
      <c r="U7120" s="4">
        <f t="shared" si="335"/>
        <v>0</v>
      </c>
      <c r="V7120" s="79"/>
      <c r="W7120" s="3">
        <v>2014</v>
      </c>
      <c r="X7120" s="3">
        <v>11</v>
      </c>
    </row>
    <row r="7121" spans="1:24" ht="102">
      <c r="A7121" s="3" t="s">
        <v>17265</v>
      </c>
      <c r="B7121" s="15" t="s">
        <v>361</v>
      </c>
      <c r="C7121" s="16" t="s">
        <v>9385</v>
      </c>
      <c r="D7121" s="16" t="s">
        <v>9386</v>
      </c>
      <c r="E7121" s="16" t="s">
        <v>9387</v>
      </c>
      <c r="F7121" s="6" t="s">
        <v>9391</v>
      </c>
      <c r="G7121" s="72" t="s">
        <v>605</v>
      </c>
      <c r="H7121" s="196">
        <v>0</v>
      </c>
      <c r="I7121" s="6">
        <v>470000000</v>
      </c>
      <c r="J7121" s="15" t="s">
        <v>229</v>
      </c>
      <c r="K7121" s="15" t="s">
        <v>17263</v>
      </c>
      <c r="L7121" s="6" t="s">
        <v>9171</v>
      </c>
      <c r="M7121" s="162" t="s">
        <v>230</v>
      </c>
      <c r="N7121" s="65" t="s">
        <v>528</v>
      </c>
      <c r="O7121" s="6" t="s">
        <v>9175</v>
      </c>
      <c r="P7121" s="58" t="s">
        <v>241</v>
      </c>
      <c r="Q7121" s="6" t="s">
        <v>234</v>
      </c>
      <c r="R7121" s="72">
        <v>6</v>
      </c>
      <c r="S7121" s="75">
        <v>15000</v>
      </c>
      <c r="T7121" s="4">
        <v>0</v>
      </c>
      <c r="U7121" s="4">
        <f t="shared" si="335"/>
        <v>0</v>
      </c>
      <c r="V7121" s="79"/>
      <c r="W7121" s="3">
        <v>2014</v>
      </c>
      <c r="X7121" s="3">
        <v>11</v>
      </c>
    </row>
    <row r="7122" spans="1:24" ht="102">
      <c r="A7122" s="3" t="s">
        <v>18851</v>
      </c>
      <c r="B7122" s="15" t="s">
        <v>361</v>
      </c>
      <c r="C7122" s="16" t="s">
        <v>9385</v>
      </c>
      <c r="D7122" s="16" t="s">
        <v>9386</v>
      </c>
      <c r="E7122" s="16" t="s">
        <v>9387</v>
      </c>
      <c r="F7122" s="6" t="s">
        <v>9391</v>
      </c>
      <c r="G7122" s="72" t="s">
        <v>605</v>
      </c>
      <c r="H7122" s="196">
        <v>0</v>
      </c>
      <c r="I7122" s="6">
        <v>470000000</v>
      </c>
      <c r="J7122" s="15" t="s">
        <v>229</v>
      </c>
      <c r="K7122" s="15" t="s">
        <v>9956</v>
      </c>
      <c r="L7122" s="6" t="s">
        <v>9171</v>
      </c>
      <c r="M7122" s="162" t="s">
        <v>230</v>
      </c>
      <c r="N7122" s="65" t="s">
        <v>528</v>
      </c>
      <c r="O7122" s="6" t="s">
        <v>9175</v>
      </c>
      <c r="P7122" s="58" t="s">
        <v>241</v>
      </c>
      <c r="Q7122" s="6" t="s">
        <v>234</v>
      </c>
      <c r="R7122" s="72">
        <v>6</v>
      </c>
      <c r="S7122" s="75">
        <v>15000</v>
      </c>
      <c r="T7122" s="4">
        <f t="shared" ref="T7122" si="343">R7122*S7122</f>
        <v>90000</v>
      </c>
      <c r="U7122" s="325">
        <f t="shared" si="335"/>
        <v>100800.00000000001</v>
      </c>
      <c r="V7122" s="79"/>
      <c r="W7122" s="3">
        <v>2014</v>
      </c>
      <c r="X7122" s="3"/>
    </row>
    <row r="7123" spans="1:24" ht="114.75">
      <c r="A7123" s="3" t="s">
        <v>10831</v>
      </c>
      <c r="B7123" s="15" t="s">
        <v>361</v>
      </c>
      <c r="C7123" s="16" t="s">
        <v>9385</v>
      </c>
      <c r="D7123" s="16" t="s">
        <v>9386</v>
      </c>
      <c r="E7123" s="16" t="s">
        <v>9387</v>
      </c>
      <c r="F7123" s="6" t="s">
        <v>9392</v>
      </c>
      <c r="G7123" s="72" t="s">
        <v>605</v>
      </c>
      <c r="H7123" s="196">
        <v>0</v>
      </c>
      <c r="I7123" s="6">
        <v>470000000</v>
      </c>
      <c r="J7123" s="15" t="s">
        <v>229</v>
      </c>
      <c r="K7123" s="15" t="s">
        <v>9389</v>
      </c>
      <c r="L7123" s="6" t="s">
        <v>9171</v>
      </c>
      <c r="M7123" s="162" t="s">
        <v>230</v>
      </c>
      <c r="N7123" s="65" t="s">
        <v>528</v>
      </c>
      <c r="O7123" s="6" t="s">
        <v>9175</v>
      </c>
      <c r="P7123" s="58" t="s">
        <v>241</v>
      </c>
      <c r="Q7123" s="6" t="s">
        <v>234</v>
      </c>
      <c r="R7123" s="72">
        <v>6</v>
      </c>
      <c r="S7123" s="75">
        <v>15000</v>
      </c>
      <c r="T7123" s="4">
        <v>0</v>
      </c>
      <c r="U7123" s="4">
        <f t="shared" si="335"/>
        <v>0</v>
      </c>
      <c r="V7123" s="79"/>
      <c r="W7123" s="3">
        <v>2014</v>
      </c>
      <c r="X7123" s="3">
        <v>11</v>
      </c>
    </row>
    <row r="7124" spans="1:24" ht="114.75">
      <c r="A7124" s="3" t="s">
        <v>17266</v>
      </c>
      <c r="B7124" s="15" t="s">
        <v>361</v>
      </c>
      <c r="C7124" s="16" t="s">
        <v>9385</v>
      </c>
      <c r="D7124" s="16" t="s">
        <v>9386</v>
      </c>
      <c r="E7124" s="16" t="s">
        <v>9387</v>
      </c>
      <c r="F7124" s="6" t="s">
        <v>9392</v>
      </c>
      <c r="G7124" s="72" t="s">
        <v>605</v>
      </c>
      <c r="H7124" s="196">
        <v>0</v>
      </c>
      <c r="I7124" s="6">
        <v>470000000</v>
      </c>
      <c r="J7124" s="15" t="s">
        <v>229</v>
      </c>
      <c r="K7124" s="15" t="s">
        <v>17263</v>
      </c>
      <c r="L7124" s="6" t="s">
        <v>9171</v>
      </c>
      <c r="M7124" s="162" t="s">
        <v>230</v>
      </c>
      <c r="N7124" s="65" t="s">
        <v>528</v>
      </c>
      <c r="O7124" s="6" t="s">
        <v>9175</v>
      </c>
      <c r="P7124" s="58" t="s">
        <v>241</v>
      </c>
      <c r="Q7124" s="6" t="s">
        <v>234</v>
      </c>
      <c r="R7124" s="72">
        <v>6</v>
      </c>
      <c r="S7124" s="75">
        <v>15000</v>
      </c>
      <c r="T7124" s="4">
        <v>0</v>
      </c>
      <c r="U7124" s="4">
        <f t="shared" si="335"/>
        <v>0</v>
      </c>
      <c r="V7124" s="79"/>
      <c r="W7124" s="3">
        <v>2014</v>
      </c>
      <c r="X7124" s="3">
        <v>11</v>
      </c>
    </row>
    <row r="7125" spans="1:24" ht="114.75">
      <c r="A7125" s="3" t="s">
        <v>18852</v>
      </c>
      <c r="B7125" s="15" t="s">
        <v>361</v>
      </c>
      <c r="C7125" s="16" t="s">
        <v>9385</v>
      </c>
      <c r="D7125" s="16" t="s">
        <v>9386</v>
      </c>
      <c r="E7125" s="16" t="s">
        <v>9387</v>
      </c>
      <c r="F7125" s="6" t="s">
        <v>9392</v>
      </c>
      <c r="G7125" s="72" t="s">
        <v>605</v>
      </c>
      <c r="H7125" s="196">
        <v>0</v>
      </c>
      <c r="I7125" s="6">
        <v>470000000</v>
      </c>
      <c r="J7125" s="15" t="s">
        <v>229</v>
      </c>
      <c r="K7125" s="15" t="s">
        <v>9956</v>
      </c>
      <c r="L7125" s="6" t="s">
        <v>9171</v>
      </c>
      <c r="M7125" s="162" t="s">
        <v>230</v>
      </c>
      <c r="N7125" s="65" t="s">
        <v>528</v>
      </c>
      <c r="O7125" s="6" t="s">
        <v>9175</v>
      </c>
      <c r="P7125" s="58" t="s">
        <v>241</v>
      </c>
      <c r="Q7125" s="6" t="s">
        <v>234</v>
      </c>
      <c r="R7125" s="72">
        <v>6</v>
      </c>
      <c r="S7125" s="75">
        <v>15000</v>
      </c>
      <c r="T7125" s="4">
        <f t="shared" ref="T7125" si="344">R7125*S7125</f>
        <v>90000</v>
      </c>
      <c r="U7125" s="325">
        <f t="shared" si="335"/>
        <v>100800.00000000001</v>
      </c>
      <c r="V7125" s="79"/>
      <c r="W7125" s="3">
        <v>2014</v>
      </c>
      <c r="X7125" s="3"/>
    </row>
    <row r="7126" spans="1:24" ht="140.25">
      <c r="A7126" s="3" t="s">
        <v>10832</v>
      </c>
      <c r="B7126" s="15" t="s">
        <v>361</v>
      </c>
      <c r="C7126" s="16" t="s">
        <v>9393</v>
      </c>
      <c r="D7126" s="16" t="s">
        <v>8322</v>
      </c>
      <c r="E7126" s="16" t="s">
        <v>8323</v>
      </c>
      <c r="F7126" s="6" t="s">
        <v>9394</v>
      </c>
      <c r="G7126" s="72" t="s">
        <v>605</v>
      </c>
      <c r="H7126" s="196">
        <v>0</v>
      </c>
      <c r="I7126" s="6">
        <v>470000000</v>
      </c>
      <c r="J7126" s="15" t="s">
        <v>229</v>
      </c>
      <c r="K7126" s="15" t="s">
        <v>9389</v>
      </c>
      <c r="L7126" s="6" t="s">
        <v>9171</v>
      </c>
      <c r="M7126" s="162" t="s">
        <v>230</v>
      </c>
      <c r="N7126" s="65" t="s">
        <v>528</v>
      </c>
      <c r="O7126" s="6" t="s">
        <v>9175</v>
      </c>
      <c r="P7126" s="58" t="s">
        <v>242</v>
      </c>
      <c r="Q7126" s="6" t="s">
        <v>239</v>
      </c>
      <c r="R7126" s="72">
        <v>17</v>
      </c>
      <c r="S7126" s="75">
        <v>15000</v>
      </c>
      <c r="T7126" s="4">
        <v>0</v>
      </c>
      <c r="U7126" s="4">
        <f t="shared" si="335"/>
        <v>0</v>
      </c>
      <c r="V7126" s="79"/>
      <c r="W7126" s="3">
        <v>2014</v>
      </c>
      <c r="X7126" s="3">
        <v>11</v>
      </c>
    </row>
    <row r="7127" spans="1:24" ht="140.25">
      <c r="A7127" s="3" t="s">
        <v>17267</v>
      </c>
      <c r="B7127" s="15" t="s">
        <v>361</v>
      </c>
      <c r="C7127" s="16" t="s">
        <v>9393</v>
      </c>
      <c r="D7127" s="16" t="s">
        <v>8322</v>
      </c>
      <c r="E7127" s="16" t="s">
        <v>8323</v>
      </c>
      <c r="F7127" s="6" t="s">
        <v>9394</v>
      </c>
      <c r="G7127" s="72" t="s">
        <v>605</v>
      </c>
      <c r="H7127" s="196">
        <v>0</v>
      </c>
      <c r="I7127" s="6">
        <v>470000000</v>
      </c>
      <c r="J7127" s="15" t="s">
        <v>229</v>
      </c>
      <c r="K7127" s="15" t="s">
        <v>17268</v>
      </c>
      <c r="L7127" s="6" t="s">
        <v>9171</v>
      </c>
      <c r="M7127" s="162" t="s">
        <v>230</v>
      </c>
      <c r="N7127" s="65" t="s">
        <v>528</v>
      </c>
      <c r="O7127" s="6" t="s">
        <v>9175</v>
      </c>
      <c r="P7127" s="58" t="s">
        <v>242</v>
      </c>
      <c r="Q7127" s="6" t="s">
        <v>239</v>
      </c>
      <c r="R7127" s="72">
        <v>17</v>
      </c>
      <c r="S7127" s="75">
        <v>15000</v>
      </c>
      <c r="T7127" s="4">
        <v>0</v>
      </c>
      <c r="U7127" s="4">
        <f t="shared" si="335"/>
        <v>0</v>
      </c>
      <c r="V7127" s="79"/>
      <c r="W7127" s="3">
        <v>2014</v>
      </c>
      <c r="X7127" s="3">
        <v>11</v>
      </c>
    </row>
    <row r="7128" spans="1:24" ht="140.25">
      <c r="A7128" s="3" t="s">
        <v>18853</v>
      </c>
      <c r="B7128" s="15" t="s">
        <v>361</v>
      </c>
      <c r="C7128" s="16" t="s">
        <v>9393</v>
      </c>
      <c r="D7128" s="16" t="s">
        <v>8322</v>
      </c>
      <c r="E7128" s="16" t="s">
        <v>8323</v>
      </c>
      <c r="F7128" s="6" t="s">
        <v>9394</v>
      </c>
      <c r="G7128" s="72" t="s">
        <v>605</v>
      </c>
      <c r="H7128" s="196">
        <v>0</v>
      </c>
      <c r="I7128" s="6">
        <v>470000000</v>
      </c>
      <c r="J7128" s="15" t="s">
        <v>229</v>
      </c>
      <c r="K7128" s="15" t="s">
        <v>18846</v>
      </c>
      <c r="L7128" s="6" t="s">
        <v>9171</v>
      </c>
      <c r="M7128" s="162" t="s">
        <v>230</v>
      </c>
      <c r="N7128" s="65" t="s">
        <v>528</v>
      </c>
      <c r="O7128" s="6" t="s">
        <v>9175</v>
      </c>
      <c r="P7128" s="58" t="s">
        <v>242</v>
      </c>
      <c r="Q7128" s="6" t="s">
        <v>239</v>
      </c>
      <c r="R7128" s="72">
        <v>17</v>
      </c>
      <c r="S7128" s="75">
        <v>15000</v>
      </c>
      <c r="T7128" s="4">
        <f t="shared" ref="T7128" si="345">R7128*S7128</f>
        <v>255000</v>
      </c>
      <c r="U7128" s="325">
        <f t="shared" si="335"/>
        <v>285600</v>
      </c>
      <c r="V7128" s="79"/>
      <c r="W7128" s="3">
        <v>2014</v>
      </c>
      <c r="X7128" s="3"/>
    </row>
    <row r="7129" spans="1:24" ht="76.5">
      <c r="A7129" s="3" t="s">
        <v>10833</v>
      </c>
      <c r="B7129" s="15" t="s">
        <v>361</v>
      </c>
      <c r="C7129" s="16" t="s">
        <v>9395</v>
      </c>
      <c r="D7129" s="16" t="s">
        <v>9396</v>
      </c>
      <c r="E7129" s="16" t="s">
        <v>9397</v>
      </c>
      <c r="F7129" s="79" t="s">
        <v>9398</v>
      </c>
      <c r="G7129" s="79" t="s">
        <v>605</v>
      </c>
      <c r="H7129" s="67">
        <v>0</v>
      </c>
      <c r="I7129" s="16">
        <v>470000000</v>
      </c>
      <c r="J7129" s="56" t="s">
        <v>229</v>
      </c>
      <c r="K7129" s="56" t="s">
        <v>633</v>
      </c>
      <c r="L7129" s="16" t="s">
        <v>9171</v>
      </c>
      <c r="M7129" s="162" t="s">
        <v>230</v>
      </c>
      <c r="N7129" s="65" t="s">
        <v>528</v>
      </c>
      <c r="O7129" s="6" t="s">
        <v>9175</v>
      </c>
      <c r="P7129" s="58" t="s">
        <v>241</v>
      </c>
      <c r="Q7129" s="6" t="s">
        <v>234</v>
      </c>
      <c r="R7129" s="72">
        <v>2</v>
      </c>
      <c r="S7129" s="75">
        <v>10000</v>
      </c>
      <c r="T7129" s="4">
        <v>0</v>
      </c>
      <c r="U7129" s="4">
        <f t="shared" si="335"/>
        <v>0</v>
      </c>
      <c r="V7129" s="3"/>
      <c r="W7129" s="3">
        <v>2014</v>
      </c>
      <c r="X7129" s="3">
        <v>11</v>
      </c>
    </row>
    <row r="7130" spans="1:24" ht="76.5">
      <c r="A7130" s="3" t="s">
        <v>15862</v>
      </c>
      <c r="B7130" s="15" t="s">
        <v>361</v>
      </c>
      <c r="C7130" s="16" t="s">
        <v>9395</v>
      </c>
      <c r="D7130" s="16" t="s">
        <v>9396</v>
      </c>
      <c r="E7130" s="16" t="s">
        <v>9397</v>
      </c>
      <c r="F7130" s="79" t="s">
        <v>9398</v>
      </c>
      <c r="G7130" s="79" t="s">
        <v>605</v>
      </c>
      <c r="H7130" s="67">
        <v>0</v>
      </c>
      <c r="I7130" s="16">
        <v>470000000</v>
      </c>
      <c r="J7130" s="56" t="s">
        <v>229</v>
      </c>
      <c r="K7130" s="56" t="s">
        <v>7699</v>
      </c>
      <c r="L7130" s="16" t="s">
        <v>9171</v>
      </c>
      <c r="M7130" s="162" t="s">
        <v>230</v>
      </c>
      <c r="N7130" s="65" t="s">
        <v>528</v>
      </c>
      <c r="O7130" s="6" t="s">
        <v>9175</v>
      </c>
      <c r="P7130" s="58" t="s">
        <v>241</v>
      </c>
      <c r="Q7130" s="6" t="s">
        <v>234</v>
      </c>
      <c r="R7130" s="72">
        <v>2</v>
      </c>
      <c r="S7130" s="75">
        <v>10000</v>
      </c>
      <c r="T7130" s="4">
        <f>R7130*S7130</f>
        <v>20000</v>
      </c>
      <c r="U7130" s="1">
        <f t="shared" si="335"/>
        <v>22400.000000000004</v>
      </c>
      <c r="V7130" s="3"/>
      <c r="W7130" s="3">
        <v>2014</v>
      </c>
      <c r="X7130" s="3"/>
    </row>
    <row r="7131" spans="1:24" ht="76.5">
      <c r="A7131" s="3" t="s">
        <v>10834</v>
      </c>
      <c r="B7131" s="15" t="s">
        <v>361</v>
      </c>
      <c r="C7131" s="16" t="s">
        <v>9399</v>
      </c>
      <c r="D7131" s="16" t="s">
        <v>9400</v>
      </c>
      <c r="E7131" s="16" t="s">
        <v>9401</v>
      </c>
      <c r="F7131" s="56" t="s">
        <v>9402</v>
      </c>
      <c r="G7131" s="79" t="s">
        <v>605</v>
      </c>
      <c r="H7131" s="67">
        <v>0</v>
      </c>
      <c r="I7131" s="16">
        <v>470000000</v>
      </c>
      <c r="J7131" s="56" t="s">
        <v>229</v>
      </c>
      <c r="K7131" s="56" t="s">
        <v>633</v>
      </c>
      <c r="L7131" s="16" t="s">
        <v>9171</v>
      </c>
      <c r="M7131" s="162" t="s">
        <v>230</v>
      </c>
      <c r="N7131" s="65" t="s">
        <v>528</v>
      </c>
      <c r="O7131" s="6" t="s">
        <v>9175</v>
      </c>
      <c r="P7131" s="58" t="s">
        <v>241</v>
      </c>
      <c r="Q7131" s="6" t="s">
        <v>234</v>
      </c>
      <c r="R7131" s="72">
        <v>27</v>
      </c>
      <c r="S7131" s="75">
        <v>700</v>
      </c>
      <c r="T7131" s="4">
        <v>0</v>
      </c>
      <c r="U7131" s="4">
        <f t="shared" si="335"/>
        <v>0</v>
      </c>
      <c r="V7131" s="3"/>
      <c r="W7131" s="3">
        <v>2014</v>
      </c>
      <c r="X7131" s="3">
        <v>11</v>
      </c>
    </row>
    <row r="7132" spans="1:24" ht="76.5">
      <c r="A7132" s="3" t="s">
        <v>15863</v>
      </c>
      <c r="B7132" s="15" t="s">
        <v>361</v>
      </c>
      <c r="C7132" s="16" t="s">
        <v>9399</v>
      </c>
      <c r="D7132" s="16" t="s">
        <v>9400</v>
      </c>
      <c r="E7132" s="16" t="s">
        <v>9401</v>
      </c>
      <c r="F7132" s="56" t="s">
        <v>9402</v>
      </c>
      <c r="G7132" s="79" t="s">
        <v>605</v>
      </c>
      <c r="H7132" s="67">
        <v>0</v>
      </c>
      <c r="I7132" s="16">
        <v>470000000</v>
      </c>
      <c r="J7132" s="56" t="s">
        <v>229</v>
      </c>
      <c r="K7132" s="56" t="s">
        <v>7699</v>
      </c>
      <c r="L7132" s="16" t="s">
        <v>9171</v>
      </c>
      <c r="M7132" s="162" t="s">
        <v>230</v>
      </c>
      <c r="N7132" s="65" t="s">
        <v>528</v>
      </c>
      <c r="O7132" s="6" t="s">
        <v>9175</v>
      </c>
      <c r="P7132" s="58" t="s">
        <v>241</v>
      </c>
      <c r="Q7132" s="6" t="s">
        <v>234</v>
      </c>
      <c r="R7132" s="72">
        <v>27</v>
      </c>
      <c r="S7132" s="75">
        <v>700</v>
      </c>
      <c r="T7132" s="4">
        <f>R7132*S7132</f>
        <v>18900</v>
      </c>
      <c r="U7132" s="1">
        <f t="shared" si="335"/>
        <v>21168.000000000004</v>
      </c>
      <c r="V7132" s="3"/>
      <c r="W7132" s="3">
        <v>2014</v>
      </c>
      <c r="X7132" s="3"/>
    </row>
    <row r="7133" spans="1:24" ht="76.5">
      <c r="A7133" s="3" t="s">
        <v>10835</v>
      </c>
      <c r="B7133" s="15" t="s">
        <v>361</v>
      </c>
      <c r="C7133" s="16" t="s">
        <v>9403</v>
      </c>
      <c r="D7133" s="16" t="s">
        <v>9404</v>
      </c>
      <c r="E7133" s="16" t="s">
        <v>9405</v>
      </c>
      <c r="F7133" s="79" t="s">
        <v>9406</v>
      </c>
      <c r="G7133" s="79" t="s">
        <v>605</v>
      </c>
      <c r="H7133" s="67">
        <v>0</v>
      </c>
      <c r="I7133" s="16">
        <v>470000000</v>
      </c>
      <c r="J7133" s="56" t="s">
        <v>229</v>
      </c>
      <c r="K7133" s="56" t="s">
        <v>633</v>
      </c>
      <c r="L7133" s="16" t="s">
        <v>9171</v>
      </c>
      <c r="M7133" s="162" t="s">
        <v>230</v>
      </c>
      <c r="N7133" s="65" t="s">
        <v>528</v>
      </c>
      <c r="O7133" s="6" t="s">
        <v>9175</v>
      </c>
      <c r="P7133" s="58" t="s">
        <v>241</v>
      </c>
      <c r="Q7133" s="6" t="s">
        <v>234</v>
      </c>
      <c r="R7133" s="72">
        <v>4</v>
      </c>
      <c r="S7133" s="75">
        <v>13000</v>
      </c>
      <c r="T7133" s="4">
        <v>0</v>
      </c>
      <c r="U7133" s="4">
        <f t="shared" si="335"/>
        <v>0</v>
      </c>
      <c r="V7133" s="3"/>
      <c r="W7133" s="3">
        <v>2014</v>
      </c>
      <c r="X7133" s="3">
        <v>11</v>
      </c>
    </row>
    <row r="7134" spans="1:24" ht="76.5">
      <c r="A7134" s="3" t="s">
        <v>15864</v>
      </c>
      <c r="B7134" s="15" t="s">
        <v>361</v>
      </c>
      <c r="C7134" s="16" t="s">
        <v>9403</v>
      </c>
      <c r="D7134" s="16" t="s">
        <v>9404</v>
      </c>
      <c r="E7134" s="16" t="s">
        <v>9405</v>
      </c>
      <c r="F7134" s="79" t="s">
        <v>9406</v>
      </c>
      <c r="G7134" s="79" t="s">
        <v>605</v>
      </c>
      <c r="H7134" s="67">
        <v>0</v>
      </c>
      <c r="I7134" s="16">
        <v>470000000</v>
      </c>
      <c r="J7134" s="56" t="s">
        <v>229</v>
      </c>
      <c r="K7134" s="56" t="s">
        <v>7699</v>
      </c>
      <c r="L7134" s="16" t="s">
        <v>9171</v>
      </c>
      <c r="M7134" s="162" t="s">
        <v>230</v>
      </c>
      <c r="N7134" s="65" t="s">
        <v>528</v>
      </c>
      <c r="O7134" s="6" t="s">
        <v>9175</v>
      </c>
      <c r="P7134" s="58" t="s">
        <v>241</v>
      </c>
      <c r="Q7134" s="6" t="s">
        <v>234</v>
      </c>
      <c r="R7134" s="72">
        <v>4</v>
      </c>
      <c r="S7134" s="75">
        <v>13000</v>
      </c>
      <c r="T7134" s="4">
        <f>R7134*S7134</f>
        <v>52000</v>
      </c>
      <c r="U7134" s="1">
        <f t="shared" si="335"/>
        <v>58240.000000000007</v>
      </c>
      <c r="V7134" s="3"/>
      <c r="W7134" s="3">
        <v>2014</v>
      </c>
      <c r="X7134" s="3"/>
    </row>
    <row r="7135" spans="1:24" ht="76.5">
      <c r="A7135" s="3" t="s">
        <v>10836</v>
      </c>
      <c r="B7135" s="15" t="s">
        <v>361</v>
      </c>
      <c r="C7135" s="16" t="s">
        <v>9403</v>
      </c>
      <c r="D7135" s="16" t="s">
        <v>9404</v>
      </c>
      <c r="E7135" s="16" t="s">
        <v>9405</v>
      </c>
      <c r="F7135" s="79" t="s">
        <v>9407</v>
      </c>
      <c r="G7135" s="79" t="s">
        <v>605</v>
      </c>
      <c r="H7135" s="67">
        <v>0</v>
      </c>
      <c r="I7135" s="16">
        <v>470000000</v>
      </c>
      <c r="J7135" s="56" t="s">
        <v>229</v>
      </c>
      <c r="K7135" s="56" t="s">
        <v>633</v>
      </c>
      <c r="L7135" s="16" t="s">
        <v>9171</v>
      </c>
      <c r="M7135" s="162" t="s">
        <v>230</v>
      </c>
      <c r="N7135" s="65" t="s">
        <v>528</v>
      </c>
      <c r="O7135" s="6" t="s">
        <v>9175</v>
      </c>
      <c r="P7135" s="58" t="s">
        <v>241</v>
      </c>
      <c r="Q7135" s="6" t="s">
        <v>234</v>
      </c>
      <c r="R7135" s="72">
        <v>2</v>
      </c>
      <c r="S7135" s="75">
        <v>10000</v>
      </c>
      <c r="T7135" s="4">
        <v>0</v>
      </c>
      <c r="U7135" s="4">
        <f t="shared" si="335"/>
        <v>0</v>
      </c>
      <c r="V7135" s="3"/>
      <c r="W7135" s="3">
        <v>2014</v>
      </c>
      <c r="X7135" s="3">
        <v>11</v>
      </c>
    </row>
    <row r="7136" spans="1:24" ht="76.5">
      <c r="A7136" s="3" t="s">
        <v>15865</v>
      </c>
      <c r="B7136" s="15" t="s">
        <v>361</v>
      </c>
      <c r="C7136" s="16" t="s">
        <v>9403</v>
      </c>
      <c r="D7136" s="16" t="s">
        <v>9404</v>
      </c>
      <c r="E7136" s="16" t="s">
        <v>9405</v>
      </c>
      <c r="F7136" s="79" t="s">
        <v>9407</v>
      </c>
      <c r="G7136" s="79" t="s">
        <v>605</v>
      </c>
      <c r="H7136" s="67">
        <v>0</v>
      </c>
      <c r="I7136" s="16">
        <v>470000000</v>
      </c>
      <c r="J7136" s="56" t="s">
        <v>229</v>
      </c>
      <c r="K7136" s="56" t="s">
        <v>7699</v>
      </c>
      <c r="L7136" s="16" t="s">
        <v>9171</v>
      </c>
      <c r="M7136" s="162" t="s">
        <v>230</v>
      </c>
      <c r="N7136" s="65" t="s">
        <v>528</v>
      </c>
      <c r="O7136" s="6" t="s">
        <v>9175</v>
      </c>
      <c r="P7136" s="58" t="s">
        <v>241</v>
      </c>
      <c r="Q7136" s="6" t="s">
        <v>234</v>
      </c>
      <c r="R7136" s="72">
        <v>2</v>
      </c>
      <c r="S7136" s="75">
        <v>10000</v>
      </c>
      <c r="T7136" s="4">
        <f>R7136*S7136</f>
        <v>20000</v>
      </c>
      <c r="U7136" s="1">
        <f t="shared" si="335"/>
        <v>22400.000000000004</v>
      </c>
      <c r="V7136" s="3"/>
      <c r="W7136" s="3">
        <v>2014</v>
      </c>
      <c r="X7136" s="3"/>
    </row>
    <row r="7137" spans="1:24" ht="76.5">
      <c r="A7137" s="3" t="s">
        <v>10837</v>
      </c>
      <c r="B7137" s="15" t="s">
        <v>361</v>
      </c>
      <c r="C7137" s="16" t="s">
        <v>9408</v>
      </c>
      <c r="D7137" s="16" t="s">
        <v>8540</v>
      </c>
      <c r="E7137" s="16" t="s">
        <v>9409</v>
      </c>
      <c r="F7137" s="16" t="s">
        <v>9410</v>
      </c>
      <c r="G7137" s="79" t="s">
        <v>605</v>
      </c>
      <c r="H7137" s="67">
        <v>0</v>
      </c>
      <c r="I7137" s="16">
        <v>470000000</v>
      </c>
      <c r="J7137" s="56" t="s">
        <v>229</v>
      </c>
      <c r="K7137" s="56" t="s">
        <v>633</v>
      </c>
      <c r="L7137" s="16" t="s">
        <v>9171</v>
      </c>
      <c r="M7137" s="162" t="s">
        <v>230</v>
      </c>
      <c r="N7137" s="65" t="s">
        <v>528</v>
      </c>
      <c r="O7137" s="6" t="s">
        <v>9175</v>
      </c>
      <c r="P7137" s="58" t="s">
        <v>241</v>
      </c>
      <c r="Q7137" s="6" t="s">
        <v>234</v>
      </c>
      <c r="R7137" s="72">
        <v>3</v>
      </c>
      <c r="S7137" s="75">
        <v>7900</v>
      </c>
      <c r="T7137" s="4">
        <v>0</v>
      </c>
      <c r="U7137" s="4">
        <f t="shared" si="335"/>
        <v>0</v>
      </c>
      <c r="V7137" s="3"/>
      <c r="W7137" s="3">
        <v>2014</v>
      </c>
      <c r="X7137" s="3">
        <v>11</v>
      </c>
    </row>
    <row r="7138" spans="1:24" ht="76.5">
      <c r="A7138" s="3" t="s">
        <v>15866</v>
      </c>
      <c r="B7138" s="15" t="s">
        <v>361</v>
      </c>
      <c r="C7138" s="16" t="s">
        <v>9408</v>
      </c>
      <c r="D7138" s="16" t="s">
        <v>8540</v>
      </c>
      <c r="E7138" s="16" t="s">
        <v>9409</v>
      </c>
      <c r="F7138" s="16" t="s">
        <v>9410</v>
      </c>
      <c r="G7138" s="79" t="s">
        <v>605</v>
      </c>
      <c r="H7138" s="67">
        <v>0</v>
      </c>
      <c r="I7138" s="16">
        <v>470000000</v>
      </c>
      <c r="J7138" s="56" t="s">
        <v>229</v>
      </c>
      <c r="K7138" s="56" t="s">
        <v>7699</v>
      </c>
      <c r="L7138" s="16" t="s">
        <v>9171</v>
      </c>
      <c r="M7138" s="162" t="s">
        <v>230</v>
      </c>
      <c r="N7138" s="65" t="s">
        <v>528</v>
      </c>
      <c r="O7138" s="6" t="s">
        <v>9175</v>
      </c>
      <c r="P7138" s="58" t="s">
        <v>241</v>
      </c>
      <c r="Q7138" s="6" t="s">
        <v>234</v>
      </c>
      <c r="R7138" s="72">
        <v>3</v>
      </c>
      <c r="S7138" s="75">
        <v>7900</v>
      </c>
      <c r="T7138" s="4">
        <f>R7138*S7138</f>
        <v>23700</v>
      </c>
      <c r="U7138" s="1">
        <f t="shared" si="335"/>
        <v>26544.000000000004</v>
      </c>
      <c r="V7138" s="3"/>
      <c r="W7138" s="3">
        <v>2014</v>
      </c>
      <c r="X7138" s="3"/>
    </row>
    <row r="7139" spans="1:24" ht="76.5">
      <c r="A7139" s="3" t="s">
        <v>10838</v>
      </c>
      <c r="B7139" s="15" t="s">
        <v>361</v>
      </c>
      <c r="C7139" s="16" t="s">
        <v>9411</v>
      </c>
      <c r="D7139" s="16" t="s">
        <v>9412</v>
      </c>
      <c r="E7139" s="16" t="s">
        <v>9413</v>
      </c>
      <c r="F7139" s="16" t="s">
        <v>9414</v>
      </c>
      <c r="G7139" s="79" t="s">
        <v>605</v>
      </c>
      <c r="H7139" s="67">
        <v>0.5</v>
      </c>
      <c r="I7139" s="16">
        <v>470000000</v>
      </c>
      <c r="J7139" s="56" t="s">
        <v>229</v>
      </c>
      <c r="K7139" s="56" t="s">
        <v>633</v>
      </c>
      <c r="L7139" s="16" t="s">
        <v>9171</v>
      </c>
      <c r="M7139" s="162" t="s">
        <v>230</v>
      </c>
      <c r="N7139" s="65" t="s">
        <v>528</v>
      </c>
      <c r="O7139" s="6" t="s">
        <v>9175</v>
      </c>
      <c r="P7139" s="58" t="s">
        <v>241</v>
      </c>
      <c r="Q7139" s="6" t="s">
        <v>234</v>
      </c>
      <c r="R7139" s="72">
        <v>15</v>
      </c>
      <c r="S7139" s="75">
        <v>6060</v>
      </c>
      <c r="T7139" s="4">
        <v>0</v>
      </c>
      <c r="U7139" s="4">
        <f t="shared" si="335"/>
        <v>0</v>
      </c>
      <c r="V7139" s="79"/>
      <c r="W7139" s="3">
        <v>2014</v>
      </c>
      <c r="X7139" s="3">
        <v>11</v>
      </c>
    </row>
    <row r="7140" spans="1:24" ht="76.5">
      <c r="A7140" s="3" t="s">
        <v>15867</v>
      </c>
      <c r="B7140" s="15" t="s">
        <v>361</v>
      </c>
      <c r="C7140" s="16" t="s">
        <v>9411</v>
      </c>
      <c r="D7140" s="16" t="s">
        <v>9412</v>
      </c>
      <c r="E7140" s="16" t="s">
        <v>9413</v>
      </c>
      <c r="F7140" s="16" t="s">
        <v>9414</v>
      </c>
      <c r="G7140" s="79" t="s">
        <v>605</v>
      </c>
      <c r="H7140" s="67">
        <v>0.5</v>
      </c>
      <c r="I7140" s="16">
        <v>470000000</v>
      </c>
      <c r="J7140" s="56" t="s">
        <v>229</v>
      </c>
      <c r="K7140" s="56" t="s">
        <v>7699</v>
      </c>
      <c r="L7140" s="16" t="s">
        <v>9171</v>
      </c>
      <c r="M7140" s="162" t="s">
        <v>230</v>
      </c>
      <c r="N7140" s="65" t="s">
        <v>528</v>
      </c>
      <c r="O7140" s="6" t="s">
        <v>9175</v>
      </c>
      <c r="P7140" s="58" t="s">
        <v>241</v>
      </c>
      <c r="Q7140" s="6" t="s">
        <v>234</v>
      </c>
      <c r="R7140" s="72">
        <v>15</v>
      </c>
      <c r="S7140" s="75">
        <v>6060</v>
      </c>
      <c r="T7140" s="4">
        <f>R7140*S7140</f>
        <v>90900</v>
      </c>
      <c r="U7140" s="1">
        <f t="shared" si="335"/>
        <v>101808.00000000001</v>
      </c>
      <c r="V7140" s="79"/>
      <c r="W7140" s="3">
        <v>2014</v>
      </c>
      <c r="X7140" s="3"/>
    </row>
    <row r="7141" spans="1:24" ht="76.5">
      <c r="A7141" s="3" t="s">
        <v>10839</v>
      </c>
      <c r="B7141" s="15" t="s">
        <v>361</v>
      </c>
      <c r="C7141" s="16" t="s">
        <v>9415</v>
      </c>
      <c r="D7141" s="16" t="s">
        <v>9416</v>
      </c>
      <c r="E7141" s="16" t="s">
        <v>9417</v>
      </c>
      <c r="F7141" s="79" t="s">
        <v>9418</v>
      </c>
      <c r="G7141" s="79" t="s">
        <v>605</v>
      </c>
      <c r="H7141" s="67">
        <v>0.5</v>
      </c>
      <c r="I7141" s="16">
        <v>470000000</v>
      </c>
      <c r="J7141" s="56" t="s">
        <v>229</v>
      </c>
      <c r="K7141" s="56" t="s">
        <v>633</v>
      </c>
      <c r="L7141" s="16" t="s">
        <v>9171</v>
      </c>
      <c r="M7141" s="162" t="s">
        <v>230</v>
      </c>
      <c r="N7141" s="65" t="s">
        <v>528</v>
      </c>
      <c r="O7141" s="6" t="s">
        <v>9175</v>
      </c>
      <c r="P7141" s="79">
        <v>715</v>
      </c>
      <c r="Q7141" s="70" t="s">
        <v>8938</v>
      </c>
      <c r="R7141" s="72">
        <v>15</v>
      </c>
      <c r="S7141" s="75">
        <v>1200</v>
      </c>
      <c r="T7141" s="4">
        <v>0</v>
      </c>
      <c r="U7141" s="4">
        <f t="shared" si="335"/>
        <v>0</v>
      </c>
      <c r="V7141" s="79"/>
      <c r="W7141" s="3">
        <v>2014</v>
      </c>
      <c r="X7141" s="3">
        <v>11</v>
      </c>
    </row>
    <row r="7142" spans="1:24" ht="76.5">
      <c r="A7142" s="3" t="s">
        <v>15868</v>
      </c>
      <c r="B7142" s="15" t="s">
        <v>361</v>
      </c>
      <c r="C7142" s="16" t="s">
        <v>9415</v>
      </c>
      <c r="D7142" s="16" t="s">
        <v>9416</v>
      </c>
      <c r="E7142" s="16" t="s">
        <v>9417</v>
      </c>
      <c r="F7142" s="79" t="s">
        <v>9418</v>
      </c>
      <c r="G7142" s="79" t="s">
        <v>605</v>
      </c>
      <c r="H7142" s="67">
        <v>0.5</v>
      </c>
      <c r="I7142" s="16">
        <v>470000000</v>
      </c>
      <c r="J7142" s="56" t="s">
        <v>229</v>
      </c>
      <c r="K7142" s="56" t="s">
        <v>7699</v>
      </c>
      <c r="L7142" s="16" t="s">
        <v>9171</v>
      </c>
      <c r="M7142" s="162" t="s">
        <v>230</v>
      </c>
      <c r="N7142" s="65" t="s">
        <v>528</v>
      </c>
      <c r="O7142" s="6" t="s">
        <v>9175</v>
      </c>
      <c r="P7142" s="79">
        <v>715</v>
      </c>
      <c r="Q7142" s="70" t="s">
        <v>8938</v>
      </c>
      <c r="R7142" s="72">
        <v>15</v>
      </c>
      <c r="S7142" s="75">
        <v>1200</v>
      </c>
      <c r="T7142" s="4">
        <f>R7142*S7142</f>
        <v>18000</v>
      </c>
      <c r="U7142" s="1">
        <f t="shared" si="335"/>
        <v>20160.000000000004</v>
      </c>
      <c r="V7142" s="79"/>
      <c r="W7142" s="3">
        <v>2014</v>
      </c>
      <c r="X7142" s="3"/>
    </row>
    <row r="7143" spans="1:24" ht="76.5">
      <c r="A7143" s="3" t="s">
        <v>10840</v>
      </c>
      <c r="B7143" s="15" t="s">
        <v>361</v>
      </c>
      <c r="C7143" s="16" t="s">
        <v>9411</v>
      </c>
      <c r="D7143" s="16" t="s">
        <v>9412</v>
      </c>
      <c r="E7143" s="16" t="s">
        <v>9413</v>
      </c>
      <c r="F7143" s="6" t="s">
        <v>9419</v>
      </c>
      <c r="G7143" s="79" t="s">
        <v>605</v>
      </c>
      <c r="H7143" s="67">
        <v>0.5</v>
      </c>
      <c r="I7143" s="16">
        <v>470000000</v>
      </c>
      <c r="J7143" s="56" t="s">
        <v>229</v>
      </c>
      <c r="K7143" s="56" t="s">
        <v>633</v>
      </c>
      <c r="L7143" s="16" t="s">
        <v>9171</v>
      </c>
      <c r="M7143" s="162" t="s">
        <v>230</v>
      </c>
      <c r="N7143" s="65" t="s">
        <v>528</v>
      </c>
      <c r="O7143" s="6" t="s">
        <v>9175</v>
      </c>
      <c r="P7143" s="58" t="s">
        <v>241</v>
      </c>
      <c r="Q7143" s="6" t="s">
        <v>234</v>
      </c>
      <c r="R7143" s="76">
        <v>20</v>
      </c>
      <c r="S7143" s="75">
        <v>2500</v>
      </c>
      <c r="T7143" s="4">
        <v>0</v>
      </c>
      <c r="U7143" s="4">
        <f t="shared" si="335"/>
        <v>0</v>
      </c>
      <c r="V7143" s="79"/>
      <c r="W7143" s="3">
        <v>2014</v>
      </c>
      <c r="X7143" s="3">
        <v>11</v>
      </c>
    </row>
    <row r="7144" spans="1:24" ht="76.5">
      <c r="A7144" s="3" t="s">
        <v>15869</v>
      </c>
      <c r="B7144" s="15" t="s">
        <v>361</v>
      </c>
      <c r="C7144" s="16" t="s">
        <v>9411</v>
      </c>
      <c r="D7144" s="16" t="s">
        <v>9412</v>
      </c>
      <c r="E7144" s="16" t="s">
        <v>9413</v>
      </c>
      <c r="F7144" s="6" t="s">
        <v>9419</v>
      </c>
      <c r="G7144" s="79" t="s">
        <v>605</v>
      </c>
      <c r="H7144" s="67">
        <v>0.5</v>
      </c>
      <c r="I7144" s="16">
        <v>470000000</v>
      </c>
      <c r="J7144" s="56" t="s">
        <v>229</v>
      </c>
      <c r="K7144" s="56" t="s">
        <v>7699</v>
      </c>
      <c r="L7144" s="16" t="s">
        <v>9171</v>
      </c>
      <c r="M7144" s="162" t="s">
        <v>230</v>
      </c>
      <c r="N7144" s="65" t="s">
        <v>528</v>
      </c>
      <c r="O7144" s="6" t="s">
        <v>9175</v>
      </c>
      <c r="P7144" s="58" t="s">
        <v>241</v>
      </c>
      <c r="Q7144" s="6" t="s">
        <v>234</v>
      </c>
      <c r="R7144" s="76">
        <v>20</v>
      </c>
      <c r="S7144" s="75">
        <v>2500</v>
      </c>
      <c r="T7144" s="4">
        <f>R7144*S7144</f>
        <v>50000</v>
      </c>
      <c r="U7144" s="1">
        <f t="shared" si="335"/>
        <v>56000.000000000007</v>
      </c>
      <c r="V7144" s="79"/>
      <c r="W7144" s="3">
        <v>2014</v>
      </c>
      <c r="X7144" s="3"/>
    </row>
    <row r="7145" spans="1:24" ht="102">
      <c r="A7145" s="3" t="s">
        <v>10841</v>
      </c>
      <c r="B7145" s="6" t="s">
        <v>361</v>
      </c>
      <c r="C7145" s="55" t="s">
        <v>9420</v>
      </c>
      <c r="D7145" s="55" t="s">
        <v>9421</v>
      </c>
      <c r="E7145" s="55" t="s">
        <v>9422</v>
      </c>
      <c r="F7145" s="6" t="s">
        <v>11705</v>
      </c>
      <c r="G7145" s="6" t="s">
        <v>11450</v>
      </c>
      <c r="H7145" s="67">
        <v>0</v>
      </c>
      <c r="I7145" s="16">
        <v>470000000</v>
      </c>
      <c r="J7145" s="56" t="s">
        <v>229</v>
      </c>
      <c r="K7145" s="77" t="s">
        <v>9423</v>
      </c>
      <c r="L7145" s="16" t="s">
        <v>9171</v>
      </c>
      <c r="M7145" s="162" t="s">
        <v>230</v>
      </c>
      <c r="N7145" s="65" t="s">
        <v>8914</v>
      </c>
      <c r="O7145" s="6" t="s">
        <v>8906</v>
      </c>
      <c r="P7145" s="58" t="s">
        <v>241</v>
      </c>
      <c r="Q7145" s="6" t="s">
        <v>234</v>
      </c>
      <c r="R7145" s="4">
        <v>60</v>
      </c>
      <c r="S7145" s="1">
        <v>3125</v>
      </c>
      <c r="T7145" s="4">
        <f t="shared" ref="T7145:T7208" si="346">R7145*S7145</f>
        <v>187500</v>
      </c>
      <c r="U7145" s="1">
        <f t="shared" si="335"/>
        <v>210000.00000000003</v>
      </c>
      <c r="V7145" s="3"/>
      <c r="W7145" s="3">
        <v>2014</v>
      </c>
      <c r="X7145" s="3"/>
    </row>
    <row r="7146" spans="1:24" ht="102">
      <c r="A7146" s="3" t="s">
        <v>10842</v>
      </c>
      <c r="B7146" s="6" t="s">
        <v>361</v>
      </c>
      <c r="C7146" s="55" t="s">
        <v>9420</v>
      </c>
      <c r="D7146" s="55" t="s">
        <v>9421</v>
      </c>
      <c r="E7146" s="55" t="s">
        <v>9422</v>
      </c>
      <c r="F7146" s="6" t="s">
        <v>11706</v>
      </c>
      <c r="G7146" s="6" t="s">
        <v>11450</v>
      </c>
      <c r="H7146" s="67">
        <v>0</v>
      </c>
      <c r="I7146" s="16">
        <v>470000000</v>
      </c>
      <c r="J7146" s="56" t="s">
        <v>229</v>
      </c>
      <c r="K7146" s="77" t="s">
        <v>9423</v>
      </c>
      <c r="L7146" s="16" t="s">
        <v>9171</v>
      </c>
      <c r="M7146" s="162" t="s">
        <v>230</v>
      </c>
      <c r="N7146" s="65" t="s">
        <v>8914</v>
      </c>
      <c r="O7146" s="6" t="s">
        <v>8906</v>
      </c>
      <c r="P7146" s="58" t="s">
        <v>241</v>
      </c>
      <c r="Q7146" s="6" t="s">
        <v>234</v>
      </c>
      <c r="R7146" s="4">
        <v>20</v>
      </c>
      <c r="S7146" s="1">
        <v>3125</v>
      </c>
      <c r="T7146" s="4">
        <f t="shared" si="346"/>
        <v>62500</v>
      </c>
      <c r="U7146" s="1">
        <f t="shared" si="335"/>
        <v>70000</v>
      </c>
      <c r="V7146" s="3"/>
      <c r="W7146" s="3">
        <v>2014</v>
      </c>
      <c r="X7146" s="3"/>
    </row>
    <row r="7147" spans="1:24" ht="102">
      <c r="A7147" s="3" t="s">
        <v>10843</v>
      </c>
      <c r="B7147" s="6" t="s">
        <v>361</v>
      </c>
      <c r="C7147" s="55" t="s">
        <v>9420</v>
      </c>
      <c r="D7147" s="55" t="s">
        <v>9421</v>
      </c>
      <c r="E7147" s="55" t="s">
        <v>9422</v>
      </c>
      <c r="F7147" s="6" t="s">
        <v>11707</v>
      </c>
      <c r="G7147" s="6" t="s">
        <v>11450</v>
      </c>
      <c r="H7147" s="67">
        <v>0</v>
      </c>
      <c r="I7147" s="16">
        <v>470000000</v>
      </c>
      <c r="J7147" s="56" t="s">
        <v>229</v>
      </c>
      <c r="K7147" s="77" t="s">
        <v>9423</v>
      </c>
      <c r="L7147" s="16" t="s">
        <v>9171</v>
      </c>
      <c r="M7147" s="162" t="s">
        <v>230</v>
      </c>
      <c r="N7147" s="65" t="s">
        <v>8914</v>
      </c>
      <c r="O7147" s="6" t="s">
        <v>8906</v>
      </c>
      <c r="P7147" s="58" t="s">
        <v>241</v>
      </c>
      <c r="Q7147" s="6" t="s">
        <v>234</v>
      </c>
      <c r="R7147" s="4">
        <v>20</v>
      </c>
      <c r="S7147" s="1">
        <v>3125</v>
      </c>
      <c r="T7147" s="4">
        <f t="shared" si="346"/>
        <v>62500</v>
      </c>
      <c r="U7147" s="1">
        <f t="shared" si="335"/>
        <v>70000</v>
      </c>
      <c r="V7147" s="3"/>
      <c r="W7147" s="3">
        <v>2014</v>
      </c>
      <c r="X7147" s="3"/>
    </row>
    <row r="7148" spans="1:24" ht="102">
      <c r="A7148" s="3" t="s">
        <v>10844</v>
      </c>
      <c r="B7148" s="6" t="s">
        <v>361</v>
      </c>
      <c r="C7148" s="55" t="s">
        <v>9420</v>
      </c>
      <c r="D7148" s="55" t="s">
        <v>9421</v>
      </c>
      <c r="E7148" s="55" t="s">
        <v>9422</v>
      </c>
      <c r="F7148" s="6" t="s">
        <v>11708</v>
      </c>
      <c r="G7148" s="6" t="s">
        <v>11450</v>
      </c>
      <c r="H7148" s="67">
        <v>0</v>
      </c>
      <c r="I7148" s="16">
        <v>470000000</v>
      </c>
      <c r="J7148" s="56" t="s">
        <v>229</v>
      </c>
      <c r="K7148" s="77" t="s">
        <v>9423</v>
      </c>
      <c r="L7148" s="16" t="s">
        <v>9171</v>
      </c>
      <c r="M7148" s="162" t="s">
        <v>230</v>
      </c>
      <c r="N7148" s="65" t="s">
        <v>8914</v>
      </c>
      <c r="O7148" s="6" t="s">
        <v>8906</v>
      </c>
      <c r="P7148" s="58" t="s">
        <v>241</v>
      </c>
      <c r="Q7148" s="6" t="s">
        <v>234</v>
      </c>
      <c r="R7148" s="4">
        <v>20</v>
      </c>
      <c r="S7148" s="1">
        <v>3348.2</v>
      </c>
      <c r="T7148" s="4">
        <f t="shared" si="346"/>
        <v>66964</v>
      </c>
      <c r="U7148" s="1">
        <f t="shared" si="335"/>
        <v>74999.680000000008</v>
      </c>
      <c r="V7148" s="3"/>
      <c r="W7148" s="3">
        <v>2014</v>
      </c>
      <c r="X7148" s="3"/>
    </row>
    <row r="7149" spans="1:24" ht="102">
      <c r="A7149" s="3" t="s">
        <v>10845</v>
      </c>
      <c r="B7149" s="6" t="s">
        <v>361</v>
      </c>
      <c r="C7149" s="55" t="s">
        <v>9420</v>
      </c>
      <c r="D7149" s="55" t="s">
        <v>9421</v>
      </c>
      <c r="E7149" s="55" t="s">
        <v>9422</v>
      </c>
      <c r="F7149" s="6" t="s">
        <v>11709</v>
      </c>
      <c r="G7149" s="6" t="s">
        <v>11450</v>
      </c>
      <c r="H7149" s="67">
        <v>0</v>
      </c>
      <c r="I7149" s="16">
        <v>470000000</v>
      </c>
      <c r="J7149" s="56" t="s">
        <v>229</v>
      </c>
      <c r="K7149" s="77" t="s">
        <v>9423</v>
      </c>
      <c r="L7149" s="16" t="s">
        <v>9171</v>
      </c>
      <c r="M7149" s="162" t="s">
        <v>230</v>
      </c>
      <c r="N7149" s="65" t="s">
        <v>8914</v>
      </c>
      <c r="O7149" s="6" t="s">
        <v>8906</v>
      </c>
      <c r="P7149" s="58" t="s">
        <v>241</v>
      </c>
      <c r="Q7149" s="6" t="s">
        <v>234</v>
      </c>
      <c r="R7149" s="4">
        <v>30</v>
      </c>
      <c r="S7149" s="1">
        <v>3571.4</v>
      </c>
      <c r="T7149" s="4">
        <f t="shared" si="346"/>
        <v>107142</v>
      </c>
      <c r="U7149" s="1">
        <f t="shared" si="335"/>
        <v>119999.04000000001</v>
      </c>
      <c r="V7149" s="3"/>
      <c r="W7149" s="3">
        <v>2014</v>
      </c>
      <c r="X7149" s="3"/>
    </row>
    <row r="7150" spans="1:24" ht="102">
      <c r="A7150" s="3" t="s">
        <v>10846</v>
      </c>
      <c r="B7150" s="6" t="s">
        <v>361</v>
      </c>
      <c r="C7150" s="55" t="s">
        <v>9420</v>
      </c>
      <c r="D7150" s="55" t="s">
        <v>9421</v>
      </c>
      <c r="E7150" s="55" t="s">
        <v>9422</v>
      </c>
      <c r="F7150" s="6" t="s">
        <v>11710</v>
      </c>
      <c r="G7150" s="6" t="s">
        <v>11450</v>
      </c>
      <c r="H7150" s="67">
        <v>0</v>
      </c>
      <c r="I7150" s="16">
        <v>470000000</v>
      </c>
      <c r="J7150" s="56" t="s">
        <v>229</v>
      </c>
      <c r="K7150" s="77" t="s">
        <v>9423</v>
      </c>
      <c r="L7150" s="16" t="s">
        <v>9171</v>
      </c>
      <c r="M7150" s="162" t="s">
        <v>230</v>
      </c>
      <c r="N7150" s="65" t="s">
        <v>8914</v>
      </c>
      <c r="O7150" s="6" t="s">
        <v>8906</v>
      </c>
      <c r="P7150" s="58" t="s">
        <v>241</v>
      </c>
      <c r="Q7150" s="6" t="s">
        <v>234</v>
      </c>
      <c r="R7150" s="4">
        <v>60</v>
      </c>
      <c r="S7150" s="1">
        <v>2410.6999999999998</v>
      </c>
      <c r="T7150" s="4">
        <f t="shared" si="346"/>
        <v>144642</v>
      </c>
      <c r="U7150" s="1">
        <f t="shared" si="335"/>
        <v>161999.04000000001</v>
      </c>
      <c r="V7150" s="3"/>
      <c r="W7150" s="3">
        <v>2014</v>
      </c>
      <c r="X7150" s="3"/>
    </row>
    <row r="7151" spans="1:24" ht="102">
      <c r="A7151" s="3" t="s">
        <v>10847</v>
      </c>
      <c r="B7151" s="6" t="s">
        <v>361</v>
      </c>
      <c r="C7151" s="55" t="s">
        <v>9420</v>
      </c>
      <c r="D7151" s="55" t="s">
        <v>9421</v>
      </c>
      <c r="E7151" s="55" t="s">
        <v>9422</v>
      </c>
      <c r="F7151" s="6" t="s">
        <v>11711</v>
      </c>
      <c r="G7151" s="6" t="s">
        <v>11450</v>
      </c>
      <c r="H7151" s="67">
        <v>0</v>
      </c>
      <c r="I7151" s="16">
        <v>470000000</v>
      </c>
      <c r="J7151" s="56" t="s">
        <v>229</v>
      </c>
      <c r="K7151" s="77" t="s">
        <v>9423</v>
      </c>
      <c r="L7151" s="16" t="s">
        <v>9171</v>
      </c>
      <c r="M7151" s="162" t="s">
        <v>230</v>
      </c>
      <c r="N7151" s="65" t="s">
        <v>8914</v>
      </c>
      <c r="O7151" s="6" t="s">
        <v>8906</v>
      </c>
      <c r="P7151" s="58" t="s">
        <v>241</v>
      </c>
      <c r="Q7151" s="6" t="s">
        <v>234</v>
      </c>
      <c r="R7151" s="4">
        <v>30</v>
      </c>
      <c r="S7151" s="1">
        <v>3348.2</v>
      </c>
      <c r="T7151" s="4">
        <f t="shared" si="346"/>
        <v>100446</v>
      </c>
      <c r="U7151" s="1">
        <f t="shared" si="335"/>
        <v>112499.52</v>
      </c>
      <c r="V7151" s="3"/>
      <c r="W7151" s="3">
        <v>2014</v>
      </c>
      <c r="X7151" s="3"/>
    </row>
    <row r="7152" spans="1:24" ht="102">
      <c r="A7152" s="3" t="s">
        <v>10848</v>
      </c>
      <c r="B7152" s="6" t="s">
        <v>361</v>
      </c>
      <c r="C7152" s="55" t="s">
        <v>9420</v>
      </c>
      <c r="D7152" s="55" t="s">
        <v>9421</v>
      </c>
      <c r="E7152" s="55" t="s">
        <v>9422</v>
      </c>
      <c r="F7152" s="6" t="s">
        <v>11712</v>
      </c>
      <c r="G7152" s="6" t="s">
        <v>11450</v>
      </c>
      <c r="H7152" s="67">
        <v>0</v>
      </c>
      <c r="I7152" s="16">
        <v>470000000</v>
      </c>
      <c r="J7152" s="56" t="s">
        <v>229</v>
      </c>
      <c r="K7152" s="77" t="s">
        <v>9423</v>
      </c>
      <c r="L7152" s="16" t="s">
        <v>9171</v>
      </c>
      <c r="M7152" s="162" t="s">
        <v>230</v>
      </c>
      <c r="N7152" s="65" t="s">
        <v>8914</v>
      </c>
      <c r="O7152" s="6" t="s">
        <v>8906</v>
      </c>
      <c r="P7152" s="58" t="s">
        <v>241</v>
      </c>
      <c r="Q7152" s="6" t="s">
        <v>234</v>
      </c>
      <c r="R7152" s="4">
        <v>20</v>
      </c>
      <c r="S7152" s="1">
        <v>2410.6999999999998</v>
      </c>
      <c r="T7152" s="4">
        <f t="shared" si="346"/>
        <v>48214</v>
      </c>
      <c r="U7152" s="1">
        <f t="shared" si="335"/>
        <v>53999.680000000008</v>
      </c>
      <c r="V7152" s="3"/>
      <c r="W7152" s="3">
        <v>2014</v>
      </c>
      <c r="X7152" s="3"/>
    </row>
    <row r="7153" spans="1:24" ht="102">
      <c r="A7153" s="3" t="s">
        <v>10849</v>
      </c>
      <c r="B7153" s="15" t="s">
        <v>361</v>
      </c>
      <c r="C7153" s="55" t="s">
        <v>9420</v>
      </c>
      <c r="D7153" s="55" t="s">
        <v>9421</v>
      </c>
      <c r="E7153" s="55" t="s">
        <v>9422</v>
      </c>
      <c r="F7153" s="6" t="s">
        <v>9425</v>
      </c>
      <c r="G7153" s="6" t="s">
        <v>11450</v>
      </c>
      <c r="H7153" s="67">
        <v>0</v>
      </c>
      <c r="I7153" s="16">
        <v>470000000</v>
      </c>
      <c r="J7153" s="56" t="s">
        <v>229</v>
      </c>
      <c r="K7153" s="197" t="s">
        <v>633</v>
      </c>
      <c r="L7153" s="16" t="s">
        <v>9171</v>
      </c>
      <c r="M7153" s="162" t="s">
        <v>230</v>
      </c>
      <c r="N7153" s="65" t="s">
        <v>8914</v>
      </c>
      <c r="O7153" s="6" t="s">
        <v>8906</v>
      </c>
      <c r="P7153" s="58" t="s">
        <v>241</v>
      </c>
      <c r="Q7153" s="6" t="s">
        <v>234</v>
      </c>
      <c r="R7153" s="4">
        <v>20</v>
      </c>
      <c r="S7153" s="1">
        <v>5535.7</v>
      </c>
      <c r="T7153" s="4">
        <f t="shared" si="346"/>
        <v>110714</v>
      </c>
      <c r="U7153" s="1">
        <f t="shared" si="335"/>
        <v>123999.68000000001</v>
      </c>
      <c r="V7153" s="3"/>
      <c r="W7153" s="3">
        <v>2014</v>
      </c>
      <c r="X7153" s="16"/>
    </row>
    <row r="7154" spans="1:24" ht="102">
      <c r="A7154" s="3" t="s">
        <v>10850</v>
      </c>
      <c r="B7154" s="15" t="s">
        <v>361</v>
      </c>
      <c r="C7154" s="55" t="s">
        <v>9420</v>
      </c>
      <c r="D7154" s="55" t="s">
        <v>9421</v>
      </c>
      <c r="E7154" s="55" t="s">
        <v>9422</v>
      </c>
      <c r="F7154" s="6" t="s">
        <v>9426</v>
      </c>
      <c r="G7154" s="6" t="s">
        <v>11450</v>
      </c>
      <c r="H7154" s="67">
        <v>0</v>
      </c>
      <c r="I7154" s="16">
        <v>470000000</v>
      </c>
      <c r="J7154" s="56" t="s">
        <v>229</v>
      </c>
      <c r="K7154" s="197" t="s">
        <v>633</v>
      </c>
      <c r="L7154" s="16" t="s">
        <v>9171</v>
      </c>
      <c r="M7154" s="162" t="s">
        <v>230</v>
      </c>
      <c r="N7154" s="65" t="s">
        <v>8914</v>
      </c>
      <c r="O7154" s="6" t="s">
        <v>8906</v>
      </c>
      <c r="P7154" s="58" t="s">
        <v>241</v>
      </c>
      <c r="Q7154" s="6" t="s">
        <v>234</v>
      </c>
      <c r="R7154" s="4">
        <v>3</v>
      </c>
      <c r="S7154" s="1">
        <v>9687.5</v>
      </c>
      <c r="T7154" s="4">
        <f t="shared" si="346"/>
        <v>29062.5</v>
      </c>
      <c r="U7154" s="1">
        <f t="shared" si="335"/>
        <v>32550.000000000004</v>
      </c>
      <c r="V7154" s="3"/>
      <c r="W7154" s="3">
        <v>2014</v>
      </c>
      <c r="X7154" s="16"/>
    </row>
    <row r="7155" spans="1:24" ht="102">
      <c r="A7155" s="3" t="s">
        <v>10851</v>
      </c>
      <c r="B7155" s="15" t="s">
        <v>361</v>
      </c>
      <c r="C7155" s="55" t="s">
        <v>9420</v>
      </c>
      <c r="D7155" s="55" t="s">
        <v>9421</v>
      </c>
      <c r="E7155" s="55" t="s">
        <v>9422</v>
      </c>
      <c r="F7155" s="6" t="s">
        <v>9427</v>
      </c>
      <c r="G7155" s="6" t="s">
        <v>11450</v>
      </c>
      <c r="H7155" s="67">
        <v>0</v>
      </c>
      <c r="I7155" s="16">
        <v>470000000</v>
      </c>
      <c r="J7155" s="56" t="s">
        <v>229</v>
      </c>
      <c r="K7155" s="197" t="s">
        <v>633</v>
      </c>
      <c r="L7155" s="16" t="s">
        <v>9171</v>
      </c>
      <c r="M7155" s="162" t="s">
        <v>230</v>
      </c>
      <c r="N7155" s="65" t="s">
        <v>8914</v>
      </c>
      <c r="O7155" s="6" t="s">
        <v>8906</v>
      </c>
      <c r="P7155" s="58" t="s">
        <v>241</v>
      </c>
      <c r="Q7155" s="6" t="s">
        <v>234</v>
      </c>
      <c r="R7155" s="4">
        <v>3</v>
      </c>
      <c r="S7155" s="1">
        <v>26294.639999999999</v>
      </c>
      <c r="T7155" s="4">
        <f t="shared" si="346"/>
        <v>78883.92</v>
      </c>
      <c r="U7155" s="1">
        <f t="shared" si="335"/>
        <v>88349.99040000001</v>
      </c>
      <c r="V7155" s="3"/>
      <c r="W7155" s="3">
        <v>2014</v>
      </c>
      <c r="X7155" s="16"/>
    </row>
    <row r="7156" spans="1:24" ht="102">
      <c r="A7156" s="3" t="s">
        <v>10852</v>
      </c>
      <c r="B7156" s="15" t="s">
        <v>361</v>
      </c>
      <c r="C7156" s="55" t="s">
        <v>9420</v>
      </c>
      <c r="D7156" s="55" t="s">
        <v>9421</v>
      </c>
      <c r="E7156" s="55" t="s">
        <v>9422</v>
      </c>
      <c r="F7156" s="6" t="s">
        <v>9428</v>
      </c>
      <c r="G7156" s="6" t="s">
        <v>11450</v>
      </c>
      <c r="H7156" s="67">
        <v>0</v>
      </c>
      <c r="I7156" s="16">
        <v>470000000</v>
      </c>
      <c r="J7156" s="56" t="s">
        <v>229</v>
      </c>
      <c r="K7156" s="197" t="s">
        <v>633</v>
      </c>
      <c r="L7156" s="16" t="s">
        <v>9171</v>
      </c>
      <c r="M7156" s="162" t="s">
        <v>230</v>
      </c>
      <c r="N7156" s="65" t="s">
        <v>8914</v>
      </c>
      <c r="O7156" s="6" t="s">
        <v>8906</v>
      </c>
      <c r="P7156" s="58" t="s">
        <v>241</v>
      </c>
      <c r="Q7156" s="6" t="s">
        <v>234</v>
      </c>
      <c r="R7156" s="4">
        <v>12</v>
      </c>
      <c r="S7156" s="1">
        <v>17812.5</v>
      </c>
      <c r="T7156" s="4">
        <f t="shared" si="346"/>
        <v>213750</v>
      </c>
      <c r="U7156" s="1">
        <f t="shared" si="335"/>
        <v>239400.00000000003</v>
      </c>
      <c r="V7156" s="3"/>
      <c r="W7156" s="3">
        <v>2014</v>
      </c>
      <c r="X7156" s="16"/>
    </row>
    <row r="7157" spans="1:24" ht="102">
      <c r="A7157" s="3" t="s">
        <v>10853</v>
      </c>
      <c r="B7157" s="15" t="s">
        <v>361</v>
      </c>
      <c r="C7157" s="16" t="s">
        <v>9429</v>
      </c>
      <c r="D7157" s="16" t="s">
        <v>9430</v>
      </c>
      <c r="E7157" s="16" t="s">
        <v>9431</v>
      </c>
      <c r="F7157" s="6" t="s">
        <v>9432</v>
      </c>
      <c r="G7157" s="6" t="s">
        <v>11450</v>
      </c>
      <c r="H7157" s="67">
        <v>0</v>
      </c>
      <c r="I7157" s="16">
        <v>470000000</v>
      </c>
      <c r="J7157" s="56" t="s">
        <v>229</v>
      </c>
      <c r="K7157" s="197" t="s">
        <v>633</v>
      </c>
      <c r="L7157" s="16" t="s">
        <v>9171</v>
      </c>
      <c r="M7157" s="162" t="s">
        <v>230</v>
      </c>
      <c r="N7157" s="65" t="s">
        <v>8914</v>
      </c>
      <c r="O7157" s="6" t="s">
        <v>8906</v>
      </c>
      <c r="P7157" s="58" t="s">
        <v>241</v>
      </c>
      <c r="Q7157" s="6" t="s">
        <v>234</v>
      </c>
      <c r="R7157" s="4">
        <v>25</v>
      </c>
      <c r="S7157" s="1">
        <v>3437.5</v>
      </c>
      <c r="T7157" s="4">
        <f t="shared" si="346"/>
        <v>85937.5</v>
      </c>
      <c r="U7157" s="1">
        <f t="shared" si="335"/>
        <v>96250.000000000015</v>
      </c>
      <c r="V7157" s="3"/>
      <c r="W7157" s="3">
        <v>2014</v>
      </c>
      <c r="X7157" s="16"/>
    </row>
    <row r="7158" spans="1:24" ht="102">
      <c r="A7158" s="3" t="s">
        <v>10854</v>
      </c>
      <c r="B7158" s="15" t="s">
        <v>361</v>
      </c>
      <c r="C7158" s="55" t="s">
        <v>9420</v>
      </c>
      <c r="D7158" s="55" t="s">
        <v>9421</v>
      </c>
      <c r="E7158" s="55" t="s">
        <v>9422</v>
      </c>
      <c r="F7158" s="6" t="s">
        <v>9433</v>
      </c>
      <c r="G7158" s="6" t="s">
        <v>11450</v>
      </c>
      <c r="H7158" s="67">
        <v>0</v>
      </c>
      <c r="I7158" s="16">
        <v>470000000</v>
      </c>
      <c r="J7158" s="56" t="s">
        <v>229</v>
      </c>
      <c r="K7158" s="197" t="s">
        <v>633</v>
      </c>
      <c r="L7158" s="16" t="s">
        <v>9171</v>
      </c>
      <c r="M7158" s="162" t="s">
        <v>230</v>
      </c>
      <c r="N7158" s="65" t="s">
        <v>8914</v>
      </c>
      <c r="O7158" s="6" t="s">
        <v>8906</v>
      </c>
      <c r="P7158" s="58" t="s">
        <v>241</v>
      </c>
      <c r="Q7158" s="6" t="s">
        <v>234</v>
      </c>
      <c r="R7158" s="4">
        <v>13</v>
      </c>
      <c r="S7158" s="1">
        <v>22321.428571428569</v>
      </c>
      <c r="T7158" s="4">
        <f t="shared" si="346"/>
        <v>290178.57142857142</v>
      </c>
      <c r="U7158" s="1">
        <f t="shared" si="335"/>
        <v>325000</v>
      </c>
      <c r="V7158" s="3"/>
      <c r="W7158" s="3">
        <v>2014</v>
      </c>
      <c r="X7158" s="16"/>
    </row>
    <row r="7159" spans="1:24" ht="102">
      <c r="A7159" s="3" t="s">
        <v>10855</v>
      </c>
      <c r="B7159" s="15" t="s">
        <v>361</v>
      </c>
      <c r="C7159" s="55" t="s">
        <v>9420</v>
      </c>
      <c r="D7159" s="55" t="s">
        <v>9421</v>
      </c>
      <c r="E7159" s="55" t="s">
        <v>9422</v>
      </c>
      <c r="F7159" s="97" t="s">
        <v>9434</v>
      </c>
      <c r="G7159" s="6" t="s">
        <v>11450</v>
      </c>
      <c r="H7159" s="67">
        <v>0</v>
      </c>
      <c r="I7159" s="16">
        <v>470000000</v>
      </c>
      <c r="J7159" s="56" t="s">
        <v>229</v>
      </c>
      <c r="K7159" s="197" t="s">
        <v>633</v>
      </c>
      <c r="L7159" s="16" t="s">
        <v>9171</v>
      </c>
      <c r="M7159" s="162" t="s">
        <v>230</v>
      </c>
      <c r="N7159" s="65" t="s">
        <v>8914</v>
      </c>
      <c r="O7159" s="6" t="s">
        <v>8906</v>
      </c>
      <c r="P7159" s="58" t="s">
        <v>241</v>
      </c>
      <c r="Q7159" s="6" t="s">
        <v>234</v>
      </c>
      <c r="R7159" s="4">
        <v>30</v>
      </c>
      <c r="S7159" s="1">
        <v>4017.8571428571427</v>
      </c>
      <c r="T7159" s="4">
        <f t="shared" si="346"/>
        <v>120535.71428571428</v>
      </c>
      <c r="U7159" s="1">
        <f t="shared" si="335"/>
        <v>135000</v>
      </c>
      <c r="V7159" s="3"/>
      <c r="W7159" s="3">
        <v>2014</v>
      </c>
      <c r="X7159" s="16"/>
    </row>
    <row r="7160" spans="1:24" ht="102">
      <c r="A7160" s="3" t="s">
        <v>10856</v>
      </c>
      <c r="B7160" s="15" t="s">
        <v>361</v>
      </c>
      <c r="C7160" s="55" t="s">
        <v>9420</v>
      </c>
      <c r="D7160" s="55" t="s">
        <v>9421</v>
      </c>
      <c r="E7160" s="55" t="s">
        <v>9422</v>
      </c>
      <c r="F7160" s="97" t="s">
        <v>9435</v>
      </c>
      <c r="G7160" s="6" t="s">
        <v>11450</v>
      </c>
      <c r="H7160" s="67">
        <v>0</v>
      </c>
      <c r="I7160" s="16">
        <v>470000000</v>
      </c>
      <c r="J7160" s="56" t="s">
        <v>229</v>
      </c>
      <c r="K7160" s="197" t="s">
        <v>633</v>
      </c>
      <c r="L7160" s="16" t="s">
        <v>9171</v>
      </c>
      <c r="M7160" s="162" t="s">
        <v>230</v>
      </c>
      <c r="N7160" s="65" t="s">
        <v>8914</v>
      </c>
      <c r="O7160" s="6" t="s">
        <v>8906</v>
      </c>
      <c r="P7160" s="58" t="s">
        <v>241</v>
      </c>
      <c r="Q7160" s="6" t="s">
        <v>234</v>
      </c>
      <c r="R7160" s="4">
        <v>80</v>
      </c>
      <c r="S7160" s="1">
        <v>11607.142857142857</v>
      </c>
      <c r="T7160" s="4">
        <f t="shared" si="346"/>
        <v>928571.42857142852</v>
      </c>
      <c r="U7160" s="1">
        <f t="shared" si="335"/>
        <v>1040000</v>
      </c>
      <c r="V7160" s="3"/>
      <c r="W7160" s="3">
        <v>2014</v>
      </c>
      <c r="X7160" s="16"/>
    </row>
    <row r="7161" spans="1:24" ht="114.75">
      <c r="A7161" s="3" t="s">
        <v>10857</v>
      </c>
      <c r="B7161" s="6" t="s">
        <v>361</v>
      </c>
      <c r="C7161" s="6" t="s">
        <v>8327</v>
      </c>
      <c r="D7161" s="3" t="s">
        <v>8328</v>
      </c>
      <c r="E7161" s="6" t="s">
        <v>8329</v>
      </c>
      <c r="F7161" s="6" t="s">
        <v>10871</v>
      </c>
      <c r="G7161" s="57" t="s">
        <v>11449</v>
      </c>
      <c r="H7161" s="185">
        <v>0</v>
      </c>
      <c r="I7161" s="16">
        <v>470000000</v>
      </c>
      <c r="J7161" s="56" t="s">
        <v>229</v>
      </c>
      <c r="K7161" s="57" t="s">
        <v>641</v>
      </c>
      <c r="L7161" s="57" t="s">
        <v>364</v>
      </c>
      <c r="M7161" s="3" t="s">
        <v>230</v>
      </c>
      <c r="N7161" s="8" t="s">
        <v>8899</v>
      </c>
      <c r="O7161" s="6" t="s">
        <v>365</v>
      </c>
      <c r="P7161" s="58" t="s">
        <v>247</v>
      </c>
      <c r="Q7161" s="6" t="s">
        <v>4192</v>
      </c>
      <c r="R7161" s="3">
        <v>0</v>
      </c>
      <c r="S7161" s="60">
        <v>130736</v>
      </c>
      <c r="T7161" s="4">
        <f t="shared" si="346"/>
        <v>0</v>
      </c>
      <c r="U7161" s="4">
        <f>T7161*1.12</f>
        <v>0</v>
      </c>
      <c r="V7161" s="3"/>
      <c r="W7161" s="3">
        <v>2014</v>
      </c>
      <c r="X7161" s="3" t="s">
        <v>12076</v>
      </c>
    </row>
    <row r="7162" spans="1:24" ht="114.75">
      <c r="A7162" s="3" t="s">
        <v>10858</v>
      </c>
      <c r="B7162" s="6" t="s">
        <v>361</v>
      </c>
      <c r="C7162" s="6" t="s">
        <v>8330</v>
      </c>
      <c r="D7162" s="3" t="s">
        <v>8328</v>
      </c>
      <c r="E7162" s="6" t="s">
        <v>8331</v>
      </c>
      <c r="F7162" s="6" t="s">
        <v>8332</v>
      </c>
      <c r="G7162" s="57" t="s">
        <v>11449</v>
      </c>
      <c r="H7162" s="185">
        <v>0</v>
      </c>
      <c r="I7162" s="16">
        <v>470000000</v>
      </c>
      <c r="J7162" s="56" t="s">
        <v>229</v>
      </c>
      <c r="K7162" s="57" t="s">
        <v>641</v>
      </c>
      <c r="L7162" s="57" t="s">
        <v>364</v>
      </c>
      <c r="M7162" s="3" t="s">
        <v>230</v>
      </c>
      <c r="N7162" s="8" t="s">
        <v>8899</v>
      </c>
      <c r="O7162" s="6" t="s">
        <v>365</v>
      </c>
      <c r="P7162" s="58" t="s">
        <v>247</v>
      </c>
      <c r="Q7162" s="6" t="s">
        <v>4192</v>
      </c>
      <c r="R7162" s="3">
        <v>0</v>
      </c>
      <c r="S7162" s="60">
        <v>136937</v>
      </c>
      <c r="T7162" s="4">
        <f t="shared" si="346"/>
        <v>0</v>
      </c>
      <c r="U7162" s="4">
        <f t="shared" ref="U7162:U7225" si="347">T7162*1.12</f>
        <v>0</v>
      </c>
      <c r="V7162" s="3"/>
      <c r="W7162" s="3">
        <v>2014</v>
      </c>
      <c r="X7162" s="3" t="s">
        <v>12076</v>
      </c>
    </row>
    <row r="7163" spans="1:24" ht="114.75">
      <c r="A7163" s="3" t="s">
        <v>10859</v>
      </c>
      <c r="B7163" s="6" t="s">
        <v>361</v>
      </c>
      <c r="C7163" s="6" t="s">
        <v>8330</v>
      </c>
      <c r="D7163" s="3" t="s">
        <v>8328</v>
      </c>
      <c r="E7163" s="6" t="s">
        <v>8331</v>
      </c>
      <c r="F7163" s="6" t="s">
        <v>8333</v>
      </c>
      <c r="G7163" s="57" t="s">
        <v>11449</v>
      </c>
      <c r="H7163" s="185">
        <v>0</v>
      </c>
      <c r="I7163" s="16">
        <v>470000000</v>
      </c>
      <c r="J7163" s="56" t="s">
        <v>229</v>
      </c>
      <c r="K7163" s="57" t="s">
        <v>641</v>
      </c>
      <c r="L7163" s="57" t="s">
        <v>364</v>
      </c>
      <c r="M7163" s="3" t="s">
        <v>230</v>
      </c>
      <c r="N7163" s="8" t="s">
        <v>8899</v>
      </c>
      <c r="O7163" s="6" t="s">
        <v>365</v>
      </c>
      <c r="P7163" s="58" t="s">
        <v>247</v>
      </c>
      <c r="Q7163" s="6" t="s">
        <v>4192</v>
      </c>
      <c r="R7163" s="3">
        <v>0</v>
      </c>
      <c r="S7163" s="60">
        <v>136937</v>
      </c>
      <c r="T7163" s="4">
        <f t="shared" si="346"/>
        <v>0</v>
      </c>
      <c r="U7163" s="4">
        <f t="shared" si="347"/>
        <v>0</v>
      </c>
      <c r="V7163" s="3"/>
      <c r="W7163" s="3">
        <v>2014</v>
      </c>
      <c r="X7163" s="3" t="s">
        <v>12076</v>
      </c>
    </row>
    <row r="7164" spans="1:24" ht="114.75">
      <c r="A7164" s="3" t="s">
        <v>10860</v>
      </c>
      <c r="B7164" s="6" t="s">
        <v>361</v>
      </c>
      <c r="C7164" s="6" t="s">
        <v>8330</v>
      </c>
      <c r="D7164" s="3" t="s">
        <v>8328</v>
      </c>
      <c r="E7164" s="6" t="s">
        <v>8331</v>
      </c>
      <c r="F7164" s="6" t="s">
        <v>8334</v>
      </c>
      <c r="G7164" s="57" t="s">
        <v>11449</v>
      </c>
      <c r="H7164" s="185">
        <v>0</v>
      </c>
      <c r="I7164" s="16">
        <v>470000000</v>
      </c>
      <c r="J7164" s="56" t="s">
        <v>229</v>
      </c>
      <c r="K7164" s="57" t="s">
        <v>641</v>
      </c>
      <c r="L7164" s="57" t="s">
        <v>364</v>
      </c>
      <c r="M7164" s="3" t="s">
        <v>230</v>
      </c>
      <c r="N7164" s="8" t="s">
        <v>8899</v>
      </c>
      <c r="O7164" s="6" t="s">
        <v>365</v>
      </c>
      <c r="P7164" s="58" t="s">
        <v>247</v>
      </c>
      <c r="Q7164" s="6" t="s">
        <v>4192</v>
      </c>
      <c r="R7164" s="3">
        <v>0</v>
      </c>
      <c r="S7164" s="60">
        <v>136937</v>
      </c>
      <c r="T7164" s="4">
        <f t="shared" si="346"/>
        <v>0</v>
      </c>
      <c r="U7164" s="4">
        <f t="shared" si="347"/>
        <v>0</v>
      </c>
      <c r="V7164" s="3"/>
      <c r="W7164" s="3">
        <v>2014</v>
      </c>
      <c r="X7164" s="3" t="s">
        <v>12076</v>
      </c>
    </row>
    <row r="7165" spans="1:24" ht="140.25">
      <c r="A7165" s="3" t="s">
        <v>10861</v>
      </c>
      <c r="B7165" s="6" t="s">
        <v>361</v>
      </c>
      <c r="C7165" s="6" t="s">
        <v>8335</v>
      </c>
      <c r="D7165" s="6" t="s">
        <v>8336</v>
      </c>
      <c r="E7165" s="6" t="s">
        <v>8337</v>
      </c>
      <c r="F7165" s="6" t="s">
        <v>8338</v>
      </c>
      <c r="G7165" s="57" t="s">
        <v>11449</v>
      </c>
      <c r="H7165" s="185">
        <v>0</v>
      </c>
      <c r="I7165" s="16">
        <v>470000000</v>
      </c>
      <c r="J7165" s="56" t="s">
        <v>229</v>
      </c>
      <c r="K7165" s="57" t="s">
        <v>641</v>
      </c>
      <c r="L7165" s="57" t="s">
        <v>364</v>
      </c>
      <c r="M7165" s="3" t="s">
        <v>230</v>
      </c>
      <c r="N7165" s="8" t="s">
        <v>8899</v>
      </c>
      <c r="O7165" s="6" t="s">
        <v>365</v>
      </c>
      <c r="P7165" s="58" t="s">
        <v>247</v>
      </c>
      <c r="Q7165" s="6" t="s">
        <v>4192</v>
      </c>
      <c r="R7165" s="3">
        <v>0</v>
      </c>
      <c r="S7165" s="60">
        <v>99730</v>
      </c>
      <c r="T7165" s="4">
        <f t="shared" si="346"/>
        <v>0</v>
      </c>
      <c r="U7165" s="4">
        <f t="shared" si="347"/>
        <v>0</v>
      </c>
      <c r="V7165" s="3"/>
      <c r="W7165" s="3">
        <v>2014</v>
      </c>
      <c r="X7165" s="3" t="s">
        <v>12076</v>
      </c>
    </row>
    <row r="7166" spans="1:24" ht="114.75">
      <c r="A7166" s="3" t="s">
        <v>10862</v>
      </c>
      <c r="B7166" s="6" t="s">
        <v>361</v>
      </c>
      <c r="C7166" s="6" t="s">
        <v>8339</v>
      </c>
      <c r="D7166" s="6" t="s">
        <v>8340</v>
      </c>
      <c r="E7166" s="6" t="s">
        <v>8341</v>
      </c>
      <c r="F7166" s="6" t="s">
        <v>8342</v>
      </c>
      <c r="G7166" s="57" t="s">
        <v>11449</v>
      </c>
      <c r="H7166" s="185">
        <v>0</v>
      </c>
      <c r="I7166" s="16">
        <v>470000000</v>
      </c>
      <c r="J7166" s="56" t="s">
        <v>229</v>
      </c>
      <c r="K7166" s="57" t="s">
        <v>641</v>
      </c>
      <c r="L7166" s="57" t="s">
        <v>364</v>
      </c>
      <c r="M7166" s="3" t="s">
        <v>230</v>
      </c>
      <c r="N7166" s="8" t="s">
        <v>8899</v>
      </c>
      <c r="O7166" s="6" t="s">
        <v>365</v>
      </c>
      <c r="P7166" s="58" t="s">
        <v>241</v>
      </c>
      <c r="Q7166" s="6" t="s">
        <v>234</v>
      </c>
      <c r="R7166" s="3">
        <v>0</v>
      </c>
      <c r="S7166" s="60">
        <v>1757</v>
      </c>
      <c r="T7166" s="4">
        <f t="shared" si="346"/>
        <v>0</v>
      </c>
      <c r="U7166" s="4">
        <f t="shared" si="347"/>
        <v>0</v>
      </c>
      <c r="V7166" s="3"/>
      <c r="W7166" s="3">
        <v>2014</v>
      </c>
      <c r="X7166" s="3" t="s">
        <v>12076</v>
      </c>
    </row>
    <row r="7167" spans="1:24" ht="114.75">
      <c r="A7167" s="3" t="s">
        <v>10863</v>
      </c>
      <c r="B7167" s="6" t="s">
        <v>361</v>
      </c>
      <c r="C7167" s="6" t="s">
        <v>8339</v>
      </c>
      <c r="D7167" s="6" t="s">
        <v>8340</v>
      </c>
      <c r="E7167" s="6" t="s">
        <v>8341</v>
      </c>
      <c r="F7167" s="6" t="s">
        <v>8343</v>
      </c>
      <c r="G7167" s="57" t="s">
        <v>11449</v>
      </c>
      <c r="H7167" s="185">
        <v>0</v>
      </c>
      <c r="I7167" s="16">
        <v>470000000</v>
      </c>
      <c r="J7167" s="56" t="s">
        <v>229</v>
      </c>
      <c r="K7167" s="57" t="s">
        <v>641</v>
      </c>
      <c r="L7167" s="57" t="s">
        <v>364</v>
      </c>
      <c r="M7167" s="3" t="s">
        <v>230</v>
      </c>
      <c r="N7167" s="8" t="s">
        <v>8899</v>
      </c>
      <c r="O7167" s="6" t="s">
        <v>365</v>
      </c>
      <c r="P7167" s="58" t="s">
        <v>241</v>
      </c>
      <c r="Q7167" s="6" t="s">
        <v>234</v>
      </c>
      <c r="R7167" s="3">
        <v>0</v>
      </c>
      <c r="S7167" s="60">
        <v>1700</v>
      </c>
      <c r="T7167" s="4">
        <f t="shared" si="346"/>
        <v>0</v>
      </c>
      <c r="U7167" s="4">
        <f t="shared" si="347"/>
        <v>0</v>
      </c>
      <c r="V7167" s="3"/>
      <c r="W7167" s="3">
        <v>2014</v>
      </c>
      <c r="X7167" s="3" t="s">
        <v>12076</v>
      </c>
    </row>
    <row r="7168" spans="1:24" ht="114.75">
      <c r="A7168" s="3" t="s">
        <v>10864</v>
      </c>
      <c r="B7168" s="6" t="s">
        <v>361</v>
      </c>
      <c r="C7168" s="6" t="s">
        <v>8339</v>
      </c>
      <c r="D7168" s="6" t="s">
        <v>8340</v>
      </c>
      <c r="E7168" s="6" t="s">
        <v>8341</v>
      </c>
      <c r="F7168" s="6" t="s">
        <v>8344</v>
      </c>
      <c r="G7168" s="57" t="s">
        <v>11449</v>
      </c>
      <c r="H7168" s="185">
        <v>0</v>
      </c>
      <c r="I7168" s="16">
        <v>470000000</v>
      </c>
      <c r="J7168" s="56" t="s">
        <v>229</v>
      </c>
      <c r="K7168" s="57" t="s">
        <v>641</v>
      </c>
      <c r="L7168" s="57" t="s">
        <v>364</v>
      </c>
      <c r="M7168" s="3" t="s">
        <v>230</v>
      </c>
      <c r="N7168" s="8" t="s">
        <v>8899</v>
      </c>
      <c r="O7168" s="6" t="s">
        <v>365</v>
      </c>
      <c r="P7168" s="58" t="s">
        <v>241</v>
      </c>
      <c r="Q7168" s="6" t="s">
        <v>234</v>
      </c>
      <c r="R7168" s="3">
        <v>0</v>
      </c>
      <c r="S7168" s="60">
        <v>1900</v>
      </c>
      <c r="T7168" s="4">
        <f t="shared" si="346"/>
        <v>0</v>
      </c>
      <c r="U7168" s="4">
        <f t="shared" si="347"/>
        <v>0</v>
      </c>
      <c r="V7168" s="3"/>
      <c r="W7168" s="3">
        <v>2014</v>
      </c>
      <c r="X7168" s="3" t="s">
        <v>12076</v>
      </c>
    </row>
    <row r="7169" spans="1:24" ht="114.75">
      <c r="A7169" s="3" t="s">
        <v>10865</v>
      </c>
      <c r="B7169" s="6" t="s">
        <v>361</v>
      </c>
      <c r="C7169" s="6" t="s">
        <v>8339</v>
      </c>
      <c r="D7169" s="6" t="s">
        <v>8340</v>
      </c>
      <c r="E7169" s="6" t="s">
        <v>8341</v>
      </c>
      <c r="F7169" s="6" t="s">
        <v>8345</v>
      </c>
      <c r="G7169" s="57" t="s">
        <v>11449</v>
      </c>
      <c r="H7169" s="185">
        <v>0</v>
      </c>
      <c r="I7169" s="16">
        <v>470000000</v>
      </c>
      <c r="J7169" s="56" t="s">
        <v>229</v>
      </c>
      <c r="K7169" s="57" t="s">
        <v>641</v>
      </c>
      <c r="L7169" s="57" t="s">
        <v>364</v>
      </c>
      <c r="M7169" s="3" t="s">
        <v>230</v>
      </c>
      <c r="N7169" s="8" t="s">
        <v>8899</v>
      </c>
      <c r="O7169" s="6" t="s">
        <v>365</v>
      </c>
      <c r="P7169" s="58" t="s">
        <v>241</v>
      </c>
      <c r="Q7169" s="6" t="s">
        <v>234</v>
      </c>
      <c r="R7169" s="3">
        <v>0</v>
      </c>
      <c r="S7169" s="60">
        <v>458</v>
      </c>
      <c r="T7169" s="4">
        <f t="shared" si="346"/>
        <v>0</v>
      </c>
      <c r="U7169" s="4">
        <f t="shared" si="347"/>
        <v>0</v>
      </c>
      <c r="V7169" s="3"/>
      <c r="W7169" s="3">
        <v>2014</v>
      </c>
      <c r="X7169" s="3" t="s">
        <v>12076</v>
      </c>
    </row>
    <row r="7170" spans="1:24" ht="114.75">
      <c r="A7170" s="3" t="s">
        <v>10866</v>
      </c>
      <c r="B7170" s="6" t="s">
        <v>361</v>
      </c>
      <c r="C7170" s="6" t="s">
        <v>8339</v>
      </c>
      <c r="D7170" s="6" t="s">
        <v>8340</v>
      </c>
      <c r="E7170" s="6" t="s">
        <v>8341</v>
      </c>
      <c r="F7170" s="6" t="s">
        <v>8346</v>
      </c>
      <c r="G7170" s="57" t="s">
        <v>11449</v>
      </c>
      <c r="H7170" s="185">
        <v>0</v>
      </c>
      <c r="I7170" s="16">
        <v>470000000</v>
      </c>
      <c r="J7170" s="56" t="s">
        <v>229</v>
      </c>
      <c r="K7170" s="57" t="s">
        <v>641</v>
      </c>
      <c r="L7170" s="57" t="s">
        <v>364</v>
      </c>
      <c r="M7170" s="3" t="s">
        <v>230</v>
      </c>
      <c r="N7170" s="8" t="s">
        <v>8899</v>
      </c>
      <c r="O7170" s="6" t="s">
        <v>365</v>
      </c>
      <c r="P7170" s="58" t="s">
        <v>241</v>
      </c>
      <c r="Q7170" s="6" t="s">
        <v>234</v>
      </c>
      <c r="R7170" s="3">
        <v>0</v>
      </c>
      <c r="S7170" s="60">
        <v>458</v>
      </c>
      <c r="T7170" s="4">
        <f t="shared" si="346"/>
        <v>0</v>
      </c>
      <c r="U7170" s="4">
        <f t="shared" si="347"/>
        <v>0</v>
      </c>
      <c r="V7170" s="3"/>
      <c r="W7170" s="3">
        <v>2014</v>
      </c>
      <c r="X7170" s="3" t="s">
        <v>12076</v>
      </c>
    </row>
    <row r="7171" spans="1:24" ht="114.75">
      <c r="A7171" s="3" t="s">
        <v>10867</v>
      </c>
      <c r="B7171" s="6" t="s">
        <v>361</v>
      </c>
      <c r="C7171" s="6" t="s">
        <v>8339</v>
      </c>
      <c r="D7171" s="6" t="s">
        <v>8340</v>
      </c>
      <c r="E7171" s="6" t="s">
        <v>8341</v>
      </c>
      <c r="F7171" s="6" t="s">
        <v>8347</v>
      </c>
      <c r="G7171" s="57" t="s">
        <v>11449</v>
      </c>
      <c r="H7171" s="185">
        <v>0</v>
      </c>
      <c r="I7171" s="16">
        <v>470000000</v>
      </c>
      <c r="J7171" s="56" t="s">
        <v>229</v>
      </c>
      <c r="K7171" s="57" t="s">
        <v>641</v>
      </c>
      <c r="L7171" s="57" t="s">
        <v>364</v>
      </c>
      <c r="M7171" s="3" t="s">
        <v>230</v>
      </c>
      <c r="N7171" s="8" t="s">
        <v>8899</v>
      </c>
      <c r="O7171" s="6" t="s">
        <v>365</v>
      </c>
      <c r="P7171" s="58" t="s">
        <v>241</v>
      </c>
      <c r="Q7171" s="6" t="s">
        <v>234</v>
      </c>
      <c r="R7171" s="3">
        <v>0</v>
      </c>
      <c r="S7171" s="60">
        <v>554</v>
      </c>
      <c r="T7171" s="4">
        <f t="shared" si="346"/>
        <v>0</v>
      </c>
      <c r="U7171" s="4">
        <f t="shared" si="347"/>
        <v>0</v>
      </c>
      <c r="V7171" s="3"/>
      <c r="W7171" s="3">
        <v>2014</v>
      </c>
      <c r="X7171" s="3" t="s">
        <v>12076</v>
      </c>
    </row>
    <row r="7172" spans="1:24" ht="114.75">
      <c r="A7172" s="3" t="s">
        <v>10868</v>
      </c>
      <c r="B7172" s="6" t="s">
        <v>361</v>
      </c>
      <c r="C7172" s="6" t="s">
        <v>8339</v>
      </c>
      <c r="D7172" s="6" t="s">
        <v>8340</v>
      </c>
      <c r="E7172" s="6" t="s">
        <v>8341</v>
      </c>
      <c r="F7172" s="6" t="s">
        <v>8348</v>
      </c>
      <c r="G7172" s="57" t="s">
        <v>11449</v>
      </c>
      <c r="H7172" s="185">
        <v>0</v>
      </c>
      <c r="I7172" s="16">
        <v>470000000</v>
      </c>
      <c r="J7172" s="56" t="s">
        <v>229</v>
      </c>
      <c r="K7172" s="57" t="s">
        <v>641</v>
      </c>
      <c r="L7172" s="57" t="s">
        <v>364</v>
      </c>
      <c r="M7172" s="3" t="s">
        <v>230</v>
      </c>
      <c r="N7172" s="8" t="s">
        <v>8899</v>
      </c>
      <c r="O7172" s="6" t="s">
        <v>365</v>
      </c>
      <c r="P7172" s="58" t="s">
        <v>241</v>
      </c>
      <c r="Q7172" s="6" t="s">
        <v>234</v>
      </c>
      <c r="R7172" s="3">
        <v>0</v>
      </c>
      <c r="S7172" s="60">
        <v>854</v>
      </c>
      <c r="T7172" s="4">
        <f t="shared" si="346"/>
        <v>0</v>
      </c>
      <c r="U7172" s="4">
        <f t="shared" si="347"/>
        <v>0</v>
      </c>
      <c r="V7172" s="3"/>
      <c r="W7172" s="3">
        <v>2014</v>
      </c>
      <c r="X7172" s="3" t="s">
        <v>12076</v>
      </c>
    </row>
    <row r="7173" spans="1:24" ht="114.75">
      <c r="A7173" s="3" t="s">
        <v>10869</v>
      </c>
      <c r="B7173" s="6" t="s">
        <v>361</v>
      </c>
      <c r="C7173" s="6" t="s">
        <v>3316</v>
      </c>
      <c r="D7173" s="6" t="s">
        <v>3317</v>
      </c>
      <c r="E7173" s="6" t="s">
        <v>3318</v>
      </c>
      <c r="F7173" s="6" t="s">
        <v>8349</v>
      </c>
      <c r="G7173" s="57" t="s">
        <v>11449</v>
      </c>
      <c r="H7173" s="185">
        <v>0</v>
      </c>
      <c r="I7173" s="16">
        <v>470000000</v>
      </c>
      <c r="J7173" s="56" t="s">
        <v>229</v>
      </c>
      <c r="K7173" s="57" t="s">
        <v>641</v>
      </c>
      <c r="L7173" s="57" t="s">
        <v>364</v>
      </c>
      <c r="M7173" s="3" t="s">
        <v>230</v>
      </c>
      <c r="N7173" s="8" t="s">
        <v>8899</v>
      </c>
      <c r="O7173" s="6" t="s">
        <v>365</v>
      </c>
      <c r="P7173" s="58" t="s">
        <v>241</v>
      </c>
      <c r="Q7173" s="6" t="s">
        <v>234</v>
      </c>
      <c r="R7173" s="3">
        <v>0</v>
      </c>
      <c r="S7173" s="60">
        <v>45215</v>
      </c>
      <c r="T7173" s="4">
        <f t="shared" si="346"/>
        <v>0</v>
      </c>
      <c r="U7173" s="4">
        <f t="shared" si="347"/>
        <v>0</v>
      </c>
      <c r="V7173" s="3"/>
      <c r="W7173" s="3">
        <v>2014</v>
      </c>
      <c r="X7173" s="3" t="s">
        <v>12076</v>
      </c>
    </row>
    <row r="7174" spans="1:24" ht="114.75">
      <c r="A7174" s="3" t="s">
        <v>10870</v>
      </c>
      <c r="B7174" s="6" t="s">
        <v>361</v>
      </c>
      <c r="C7174" s="6" t="s">
        <v>4020</v>
      </c>
      <c r="D7174" s="6" t="s">
        <v>4018</v>
      </c>
      <c r="E7174" s="6" t="s">
        <v>4021</v>
      </c>
      <c r="F7174" s="6" t="s">
        <v>8350</v>
      </c>
      <c r="G7174" s="57" t="s">
        <v>11449</v>
      </c>
      <c r="H7174" s="185">
        <v>0</v>
      </c>
      <c r="I7174" s="16">
        <v>470000000</v>
      </c>
      <c r="J7174" s="56" t="s">
        <v>229</v>
      </c>
      <c r="K7174" s="57" t="s">
        <v>641</v>
      </c>
      <c r="L7174" s="57" t="s">
        <v>364</v>
      </c>
      <c r="M7174" s="3" t="s">
        <v>230</v>
      </c>
      <c r="N7174" s="8" t="s">
        <v>8899</v>
      </c>
      <c r="O7174" s="6" t="s">
        <v>365</v>
      </c>
      <c r="P7174" s="58" t="s">
        <v>250</v>
      </c>
      <c r="Q7174" s="6" t="s">
        <v>251</v>
      </c>
      <c r="R7174" s="3">
        <v>55.35</v>
      </c>
      <c r="S7174" s="60"/>
      <c r="T7174" s="4">
        <f t="shared" si="346"/>
        <v>0</v>
      </c>
      <c r="U7174" s="4">
        <f t="shared" si="347"/>
        <v>0</v>
      </c>
      <c r="V7174" s="3"/>
      <c r="W7174" s="3">
        <v>2014</v>
      </c>
      <c r="X7174" s="158"/>
    </row>
    <row r="7175" spans="1:24" ht="114.75">
      <c r="A7175" s="3" t="s">
        <v>10872</v>
      </c>
      <c r="B7175" s="6" t="s">
        <v>361</v>
      </c>
      <c r="C7175" s="6" t="s">
        <v>4024</v>
      </c>
      <c r="D7175" s="3" t="s">
        <v>4025</v>
      </c>
      <c r="E7175" s="6" t="s">
        <v>8351</v>
      </c>
      <c r="F7175" s="6" t="s">
        <v>8352</v>
      </c>
      <c r="G7175" s="57" t="s">
        <v>11449</v>
      </c>
      <c r="H7175" s="185">
        <v>0</v>
      </c>
      <c r="I7175" s="16">
        <v>470000000</v>
      </c>
      <c r="J7175" s="56" t="s">
        <v>229</v>
      </c>
      <c r="K7175" s="57" t="s">
        <v>641</v>
      </c>
      <c r="L7175" s="57" t="s">
        <v>364</v>
      </c>
      <c r="M7175" s="3" t="s">
        <v>230</v>
      </c>
      <c r="N7175" s="8" t="s">
        <v>8899</v>
      </c>
      <c r="O7175" s="6" t="s">
        <v>365</v>
      </c>
      <c r="P7175" s="58" t="s">
        <v>241</v>
      </c>
      <c r="Q7175" s="6" t="s">
        <v>234</v>
      </c>
      <c r="R7175" s="97">
        <v>0</v>
      </c>
      <c r="S7175" s="2">
        <v>9810</v>
      </c>
      <c r="T7175" s="4">
        <f t="shared" si="346"/>
        <v>0</v>
      </c>
      <c r="U7175" s="4">
        <f t="shared" si="347"/>
        <v>0</v>
      </c>
      <c r="V7175" s="3"/>
      <c r="W7175" s="3">
        <v>2014</v>
      </c>
      <c r="X7175" s="3" t="s">
        <v>12076</v>
      </c>
    </row>
    <row r="7176" spans="1:24" ht="114.75">
      <c r="A7176" s="3" t="s">
        <v>10873</v>
      </c>
      <c r="B7176" s="6" t="s">
        <v>361</v>
      </c>
      <c r="C7176" s="6" t="s">
        <v>4029</v>
      </c>
      <c r="D7176" s="3" t="s">
        <v>4025</v>
      </c>
      <c r="E7176" s="6" t="s">
        <v>4030</v>
      </c>
      <c r="F7176" s="6" t="s">
        <v>8352</v>
      </c>
      <c r="G7176" s="57" t="s">
        <v>11449</v>
      </c>
      <c r="H7176" s="185">
        <v>0</v>
      </c>
      <c r="I7176" s="16">
        <v>470000000</v>
      </c>
      <c r="J7176" s="56" t="s">
        <v>229</v>
      </c>
      <c r="K7176" s="57" t="s">
        <v>641</v>
      </c>
      <c r="L7176" s="57" t="s">
        <v>364</v>
      </c>
      <c r="M7176" s="3" t="s">
        <v>230</v>
      </c>
      <c r="N7176" s="8" t="s">
        <v>8899</v>
      </c>
      <c r="O7176" s="6" t="s">
        <v>365</v>
      </c>
      <c r="P7176" s="58" t="s">
        <v>241</v>
      </c>
      <c r="Q7176" s="6" t="s">
        <v>234</v>
      </c>
      <c r="R7176" s="135">
        <v>0</v>
      </c>
      <c r="S7176" s="2">
        <v>11930</v>
      </c>
      <c r="T7176" s="4">
        <f t="shared" si="346"/>
        <v>0</v>
      </c>
      <c r="U7176" s="4">
        <f t="shared" si="347"/>
        <v>0</v>
      </c>
      <c r="V7176" s="3"/>
      <c r="W7176" s="3">
        <v>2014</v>
      </c>
      <c r="X7176" s="3" t="s">
        <v>12076</v>
      </c>
    </row>
    <row r="7177" spans="1:24" ht="114.75">
      <c r="A7177" s="3" t="s">
        <v>10874</v>
      </c>
      <c r="B7177" s="6" t="s">
        <v>361</v>
      </c>
      <c r="C7177" s="6" t="s">
        <v>4035</v>
      </c>
      <c r="D7177" s="6" t="s">
        <v>4036</v>
      </c>
      <c r="E7177" s="6" t="s">
        <v>4037</v>
      </c>
      <c r="F7177" s="6" t="s">
        <v>8352</v>
      </c>
      <c r="G7177" s="57" t="s">
        <v>11449</v>
      </c>
      <c r="H7177" s="185">
        <v>0</v>
      </c>
      <c r="I7177" s="16">
        <v>470000000</v>
      </c>
      <c r="J7177" s="56" t="s">
        <v>229</v>
      </c>
      <c r="K7177" s="57" t="s">
        <v>641</v>
      </c>
      <c r="L7177" s="57" t="s">
        <v>364</v>
      </c>
      <c r="M7177" s="3" t="s">
        <v>230</v>
      </c>
      <c r="N7177" s="8" t="s">
        <v>8899</v>
      </c>
      <c r="O7177" s="6" t="s">
        <v>365</v>
      </c>
      <c r="P7177" s="58" t="s">
        <v>241</v>
      </c>
      <c r="Q7177" s="6" t="s">
        <v>234</v>
      </c>
      <c r="R7177" s="135">
        <v>0</v>
      </c>
      <c r="S7177" s="2">
        <v>6560</v>
      </c>
      <c r="T7177" s="4">
        <f t="shared" si="346"/>
        <v>0</v>
      </c>
      <c r="U7177" s="4">
        <f t="shared" si="347"/>
        <v>0</v>
      </c>
      <c r="V7177" s="3"/>
      <c r="W7177" s="3">
        <v>2014</v>
      </c>
      <c r="X7177" s="3" t="s">
        <v>12076</v>
      </c>
    </row>
    <row r="7178" spans="1:24" ht="114.75">
      <c r="A7178" s="3" t="s">
        <v>10875</v>
      </c>
      <c r="B7178" s="6" t="s">
        <v>361</v>
      </c>
      <c r="C7178" s="6" t="s">
        <v>8353</v>
      </c>
      <c r="D7178" s="6" t="s">
        <v>4036</v>
      </c>
      <c r="E7178" s="6" t="s">
        <v>11609</v>
      </c>
      <c r="F7178" s="6" t="s">
        <v>196</v>
      </c>
      <c r="G7178" s="57" t="s">
        <v>11449</v>
      </c>
      <c r="H7178" s="185">
        <v>0</v>
      </c>
      <c r="I7178" s="16">
        <v>470000000</v>
      </c>
      <c r="J7178" s="56" t="s">
        <v>229</v>
      </c>
      <c r="K7178" s="57" t="s">
        <v>641</v>
      </c>
      <c r="L7178" s="57" t="s">
        <v>364</v>
      </c>
      <c r="M7178" s="3" t="s">
        <v>230</v>
      </c>
      <c r="N7178" s="8" t="s">
        <v>8899</v>
      </c>
      <c r="O7178" s="6" t="s">
        <v>365</v>
      </c>
      <c r="P7178" s="58" t="s">
        <v>241</v>
      </c>
      <c r="Q7178" s="6" t="s">
        <v>234</v>
      </c>
      <c r="R7178" s="135">
        <v>0</v>
      </c>
      <c r="S7178" s="2">
        <v>16480</v>
      </c>
      <c r="T7178" s="4">
        <f t="shared" si="346"/>
        <v>0</v>
      </c>
      <c r="U7178" s="4">
        <f t="shared" si="347"/>
        <v>0</v>
      </c>
      <c r="V7178" s="3"/>
      <c r="W7178" s="3">
        <v>2014</v>
      </c>
      <c r="X7178" s="3" t="s">
        <v>12076</v>
      </c>
    </row>
    <row r="7179" spans="1:24" ht="114.75">
      <c r="A7179" s="3" t="s">
        <v>10876</v>
      </c>
      <c r="B7179" s="6" t="s">
        <v>361</v>
      </c>
      <c r="C7179" s="6" t="s">
        <v>4042</v>
      </c>
      <c r="D7179" s="6" t="s">
        <v>8354</v>
      </c>
      <c r="E7179" s="6" t="s">
        <v>8355</v>
      </c>
      <c r="F7179" s="6" t="s">
        <v>198</v>
      </c>
      <c r="G7179" s="57" t="s">
        <v>11449</v>
      </c>
      <c r="H7179" s="185">
        <v>0</v>
      </c>
      <c r="I7179" s="16">
        <v>470000000</v>
      </c>
      <c r="J7179" s="56" t="s">
        <v>229</v>
      </c>
      <c r="K7179" s="57" t="s">
        <v>641</v>
      </c>
      <c r="L7179" s="57" t="s">
        <v>364</v>
      </c>
      <c r="M7179" s="3" t="s">
        <v>230</v>
      </c>
      <c r="N7179" s="8" t="s">
        <v>8899</v>
      </c>
      <c r="O7179" s="6" t="s">
        <v>365</v>
      </c>
      <c r="P7179" s="58" t="s">
        <v>241</v>
      </c>
      <c r="Q7179" s="6" t="s">
        <v>234</v>
      </c>
      <c r="R7179" s="135">
        <v>0</v>
      </c>
      <c r="S7179" s="2">
        <v>8560</v>
      </c>
      <c r="T7179" s="4">
        <f t="shared" si="346"/>
        <v>0</v>
      </c>
      <c r="U7179" s="4">
        <f t="shared" si="347"/>
        <v>0</v>
      </c>
      <c r="V7179" s="3"/>
      <c r="W7179" s="3">
        <v>2014</v>
      </c>
      <c r="X7179" s="3" t="s">
        <v>12076</v>
      </c>
    </row>
    <row r="7180" spans="1:24" ht="114.75">
      <c r="A7180" s="3" t="s">
        <v>10877</v>
      </c>
      <c r="B7180" s="6" t="s">
        <v>361</v>
      </c>
      <c r="C7180" s="6" t="s">
        <v>4045</v>
      </c>
      <c r="D7180" s="6" t="s">
        <v>8356</v>
      </c>
      <c r="E7180" s="6" t="s">
        <v>8357</v>
      </c>
      <c r="F7180" s="6" t="s">
        <v>199</v>
      </c>
      <c r="G7180" s="57" t="s">
        <v>11449</v>
      </c>
      <c r="H7180" s="185">
        <v>0</v>
      </c>
      <c r="I7180" s="16">
        <v>470000000</v>
      </c>
      <c r="J7180" s="56" t="s">
        <v>229</v>
      </c>
      <c r="K7180" s="57" t="s">
        <v>641</v>
      </c>
      <c r="L7180" s="57" t="s">
        <v>364</v>
      </c>
      <c r="M7180" s="3" t="s">
        <v>230</v>
      </c>
      <c r="N7180" s="8" t="s">
        <v>8899</v>
      </c>
      <c r="O7180" s="6" t="s">
        <v>365</v>
      </c>
      <c r="P7180" s="58" t="s">
        <v>241</v>
      </c>
      <c r="Q7180" s="6" t="s">
        <v>234</v>
      </c>
      <c r="R7180" s="135">
        <v>0</v>
      </c>
      <c r="S7180" s="2">
        <v>16550</v>
      </c>
      <c r="T7180" s="4">
        <f t="shared" si="346"/>
        <v>0</v>
      </c>
      <c r="U7180" s="4">
        <f t="shared" si="347"/>
        <v>0</v>
      </c>
      <c r="V7180" s="3"/>
      <c r="W7180" s="3">
        <v>2014</v>
      </c>
      <c r="X7180" s="3" t="s">
        <v>12076</v>
      </c>
    </row>
    <row r="7181" spans="1:24" ht="114.75">
      <c r="A7181" s="3" t="s">
        <v>10878</v>
      </c>
      <c r="B7181" s="6" t="s">
        <v>361</v>
      </c>
      <c r="C7181" s="6" t="s">
        <v>4082</v>
      </c>
      <c r="D7181" s="6" t="s">
        <v>4083</v>
      </c>
      <c r="E7181" s="6" t="s">
        <v>4084</v>
      </c>
      <c r="F7181" s="6" t="s">
        <v>8358</v>
      </c>
      <c r="G7181" s="57" t="s">
        <v>11449</v>
      </c>
      <c r="H7181" s="185">
        <v>0</v>
      </c>
      <c r="I7181" s="16">
        <v>470000000</v>
      </c>
      <c r="J7181" s="56" t="s">
        <v>229</v>
      </c>
      <c r="K7181" s="57" t="s">
        <v>641</v>
      </c>
      <c r="L7181" s="57" t="s">
        <v>364</v>
      </c>
      <c r="M7181" s="3" t="s">
        <v>230</v>
      </c>
      <c r="N7181" s="8" t="s">
        <v>8899</v>
      </c>
      <c r="O7181" s="6" t="s">
        <v>365</v>
      </c>
      <c r="P7181" s="58" t="s">
        <v>241</v>
      </c>
      <c r="Q7181" s="6" t="s">
        <v>234</v>
      </c>
      <c r="R7181" s="1">
        <v>75</v>
      </c>
      <c r="S7181" s="2">
        <v>14200</v>
      </c>
      <c r="T7181" s="4">
        <v>0</v>
      </c>
      <c r="U7181" s="4">
        <f t="shared" si="347"/>
        <v>0</v>
      </c>
      <c r="V7181" s="3"/>
      <c r="W7181" s="3">
        <v>2014</v>
      </c>
      <c r="X7181" s="3" t="s">
        <v>12076</v>
      </c>
    </row>
    <row r="7182" spans="1:24" ht="114.75">
      <c r="A7182" s="3" t="s">
        <v>10879</v>
      </c>
      <c r="B7182" s="6" t="s">
        <v>361</v>
      </c>
      <c r="C7182" s="6" t="s">
        <v>8359</v>
      </c>
      <c r="D7182" s="6" t="s">
        <v>4080</v>
      </c>
      <c r="E7182" s="6" t="s">
        <v>11610</v>
      </c>
      <c r="F7182" s="6" t="s">
        <v>8360</v>
      </c>
      <c r="G7182" s="57" t="s">
        <v>11449</v>
      </c>
      <c r="H7182" s="185">
        <v>0</v>
      </c>
      <c r="I7182" s="16">
        <v>470000000</v>
      </c>
      <c r="J7182" s="56" t="s">
        <v>229</v>
      </c>
      <c r="K7182" s="57" t="s">
        <v>641</v>
      </c>
      <c r="L7182" s="57" t="s">
        <v>364</v>
      </c>
      <c r="M7182" s="3" t="s">
        <v>230</v>
      </c>
      <c r="N7182" s="8" t="s">
        <v>8899</v>
      </c>
      <c r="O7182" s="6" t="s">
        <v>365</v>
      </c>
      <c r="P7182" s="58" t="s">
        <v>250</v>
      </c>
      <c r="Q7182" s="6" t="s">
        <v>251</v>
      </c>
      <c r="R7182" s="3">
        <v>0</v>
      </c>
      <c r="S7182" s="60">
        <v>2000</v>
      </c>
      <c r="T7182" s="4">
        <f t="shared" si="346"/>
        <v>0</v>
      </c>
      <c r="U7182" s="4">
        <f t="shared" si="347"/>
        <v>0</v>
      </c>
      <c r="V7182" s="3"/>
      <c r="W7182" s="3">
        <v>2014</v>
      </c>
      <c r="X7182" s="158"/>
    </row>
    <row r="7183" spans="1:24" ht="114.75">
      <c r="A7183" s="3" t="s">
        <v>10880</v>
      </c>
      <c r="B7183" s="6" t="s">
        <v>361</v>
      </c>
      <c r="C7183" s="6" t="s">
        <v>4049</v>
      </c>
      <c r="D7183" s="6" t="s">
        <v>201</v>
      </c>
      <c r="E7183" s="6" t="s">
        <v>8361</v>
      </c>
      <c r="F7183" s="6" t="s">
        <v>8361</v>
      </c>
      <c r="G7183" s="57" t="s">
        <v>11449</v>
      </c>
      <c r="H7183" s="185">
        <v>0</v>
      </c>
      <c r="I7183" s="16">
        <v>470000000</v>
      </c>
      <c r="J7183" s="56" t="s">
        <v>229</v>
      </c>
      <c r="K7183" s="57" t="s">
        <v>641</v>
      </c>
      <c r="L7183" s="57" t="s">
        <v>364</v>
      </c>
      <c r="M7183" s="3" t="s">
        <v>230</v>
      </c>
      <c r="N7183" s="8" t="s">
        <v>8899</v>
      </c>
      <c r="O7183" s="6" t="s">
        <v>365</v>
      </c>
      <c r="P7183" s="58" t="s">
        <v>248</v>
      </c>
      <c r="Q7183" s="6" t="s">
        <v>249</v>
      </c>
      <c r="R7183" s="3">
        <v>0</v>
      </c>
      <c r="S7183" s="60">
        <v>2100</v>
      </c>
      <c r="T7183" s="4">
        <f t="shared" si="346"/>
        <v>0</v>
      </c>
      <c r="U7183" s="4">
        <f t="shared" si="347"/>
        <v>0</v>
      </c>
      <c r="V7183" s="3"/>
      <c r="W7183" s="3">
        <v>2014</v>
      </c>
      <c r="X7183" s="3" t="s">
        <v>12076</v>
      </c>
    </row>
    <row r="7184" spans="1:24" ht="114.75">
      <c r="A7184" s="3" t="s">
        <v>10881</v>
      </c>
      <c r="B7184" s="6" t="s">
        <v>361</v>
      </c>
      <c r="C7184" s="6" t="s">
        <v>8362</v>
      </c>
      <c r="D7184" s="6" t="s">
        <v>255</v>
      </c>
      <c r="E7184" s="6" t="s">
        <v>8363</v>
      </c>
      <c r="F7184" s="6" t="s">
        <v>8364</v>
      </c>
      <c r="G7184" s="57" t="s">
        <v>11449</v>
      </c>
      <c r="H7184" s="185">
        <v>0</v>
      </c>
      <c r="I7184" s="16">
        <v>470000000</v>
      </c>
      <c r="J7184" s="56" t="s">
        <v>229</v>
      </c>
      <c r="K7184" s="57" t="s">
        <v>641</v>
      </c>
      <c r="L7184" s="57" t="s">
        <v>364</v>
      </c>
      <c r="M7184" s="3" t="s">
        <v>230</v>
      </c>
      <c r="N7184" s="8" t="s">
        <v>8899</v>
      </c>
      <c r="O7184" s="6" t="s">
        <v>365</v>
      </c>
      <c r="P7184" s="58" t="s">
        <v>237</v>
      </c>
      <c r="Q7184" s="6" t="s">
        <v>238</v>
      </c>
      <c r="R7184" s="3">
        <v>0</v>
      </c>
      <c r="S7184" s="60">
        <v>1348</v>
      </c>
      <c r="T7184" s="4">
        <f t="shared" si="346"/>
        <v>0</v>
      </c>
      <c r="U7184" s="4">
        <f t="shared" si="347"/>
        <v>0</v>
      </c>
      <c r="V7184" s="3"/>
      <c r="W7184" s="3">
        <v>2014</v>
      </c>
      <c r="X7184" s="3" t="s">
        <v>12076</v>
      </c>
    </row>
    <row r="7185" spans="1:24" ht="114.75">
      <c r="A7185" s="3" t="s">
        <v>10882</v>
      </c>
      <c r="B7185" s="6" t="s">
        <v>361</v>
      </c>
      <c r="C7185" s="6" t="s">
        <v>8365</v>
      </c>
      <c r="D7185" s="6" t="s">
        <v>255</v>
      </c>
      <c r="E7185" s="6" t="s">
        <v>8366</v>
      </c>
      <c r="F7185" s="6" t="s">
        <v>8367</v>
      </c>
      <c r="G7185" s="57" t="s">
        <v>11449</v>
      </c>
      <c r="H7185" s="185">
        <v>0</v>
      </c>
      <c r="I7185" s="16">
        <v>470000000</v>
      </c>
      <c r="J7185" s="56" t="s">
        <v>229</v>
      </c>
      <c r="K7185" s="57" t="s">
        <v>641</v>
      </c>
      <c r="L7185" s="57" t="s">
        <v>364</v>
      </c>
      <c r="M7185" s="3" t="s">
        <v>230</v>
      </c>
      <c r="N7185" s="8" t="s">
        <v>8899</v>
      </c>
      <c r="O7185" s="6" t="s">
        <v>365</v>
      </c>
      <c r="P7185" s="58" t="s">
        <v>237</v>
      </c>
      <c r="Q7185" s="6" t="s">
        <v>238</v>
      </c>
      <c r="R7185" s="3">
        <v>0</v>
      </c>
      <c r="S7185" s="60">
        <v>2860</v>
      </c>
      <c r="T7185" s="4">
        <f t="shared" si="346"/>
        <v>0</v>
      </c>
      <c r="U7185" s="4">
        <f t="shared" si="347"/>
        <v>0</v>
      </c>
      <c r="V7185" s="3"/>
      <c r="W7185" s="3">
        <v>2014</v>
      </c>
      <c r="X7185" s="3" t="s">
        <v>12076</v>
      </c>
    </row>
    <row r="7186" spans="1:24" ht="114.75">
      <c r="A7186" s="3" t="s">
        <v>10883</v>
      </c>
      <c r="B7186" s="6" t="s">
        <v>361</v>
      </c>
      <c r="C7186" s="6" t="s">
        <v>8362</v>
      </c>
      <c r="D7186" s="6" t="s">
        <v>255</v>
      </c>
      <c r="E7186" s="6" t="s">
        <v>8363</v>
      </c>
      <c r="F7186" s="6" t="s">
        <v>8368</v>
      </c>
      <c r="G7186" s="57" t="s">
        <v>11449</v>
      </c>
      <c r="H7186" s="185">
        <v>0</v>
      </c>
      <c r="I7186" s="16">
        <v>470000000</v>
      </c>
      <c r="J7186" s="56" t="s">
        <v>229</v>
      </c>
      <c r="K7186" s="57" t="s">
        <v>641</v>
      </c>
      <c r="L7186" s="57" t="s">
        <v>364</v>
      </c>
      <c r="M7186" s="3" t="s">
        <v>230</v>
      </c>
      <c r="N7186" s="8" t="s">
        <v>8899</v>
      </c>
      <c r="O7186" s="6" t="s">
        <v>365</v>
      </c>
      <c r="P7186" s="58" t="s">
        <v>237</v>
      </c>
      <c r="Q7186" s="6" t="s">
        <v>238</v>
      </c>
      <c r="R7186" s="3">
        <v>0</v>
      </c>
      <c r="S7186" s="60">
        <v>4800</v>
      </c>
      <c r="T7186" s="4">
        <f t="shared" si="346"/>
        <v>0</v>
      </c>
      <c r="U7186" s="4">
        <f t="shared" si="347"/>
        <v>0</v>
      </c>
      <c r="V7186" s="3"/>
      <c r="W7186" s="3">
        <v>2014</v>
      </c>
      <c r="X7186" s="3" t="s">
        <v>12076</v>
      </c>
    </row>
    <row r="7187" spans="1:24" ht="114.75">
      <c r="A7187" s="3" t="s">
        <v>10884</v>
      </c>
      <c r="B7187" s="6" t="s">
        <v>361</v>
      </c>
      <c r="C7187" s="6" t="s">
        <v>8369</v>
      </c>
      <c r="D7187" s="6" t="s">
        <v>255</v>
      </c>
      <c r="E7187" s="6" t="s">
        <v>8370</v>
      </c>
      <c r="F7187" s="6" t="s">
        <v>8371</v>
      </c>
      <c r="G7187" s="57" t="s">
        <v>11449</v>
      </c>
      <c r="H7187" s="185">
        <v>0</v>
      </c>
      <c r="I7187" s="16">
        <v>470000000</v>
      </c>
      <c r="J7187" s="56" t="s">
        <v>229</v>
      </c>
      <c r="K7187" s="57" t="s">
        <v>641</v>
      </c>
      <c r="L7187" s="57" t="s">
        <v>364</v>
      </c>
      <c r="M7187" s="3" t="s">
        <v>230</v>
      </c>
      <c r="N7187" s="8" t="s">
        <v>8899</v>
      </c>
      <c r="O7187" s="6" t="s">
        <v>365</v>
      </c>
      <c r="P7187" s="58" t="s">
        <v>237</v>
      </c>
      <c r="Q7187" s="6" t="s">
        <v>238</v>
      </c>
      <c r="R7187" s="3">
        <v>0</v>
      </c>
      <c r="S7187" s="60">
        <v>237</v>
      </c>
      <c r="T7187" s="4">
        <f t="shared" si="346"/>
        <v>0</v>
      </c>
      <c r="U7187" s="4">
        <f t="shared" si="347"/>
        <v>0</v>
      </c>
      <c r="V7187" s="3"/>
      <c r="W7187" s="3">
        <v>2014</v>
      </c>
      <c r="X7187" s="3" t="s">
        <v>12076</v>
      </c>
    </row>
    <row r="7188" spans="1:24" ht="114.75">
      <c r="A7188" s="3" t="s">
        <v>10885</v>
      </c>
      <c r="B7188" s="6" t="s">
        <v>361</v>
      </c>
      <c r="C7188" s="6" t="s">
        <v>8372</v>
      </c>
      <c r="D7188" s="6" t="s">
        <v>255</v>
      </c>
      <c r="E7188" s="6" t="s">
        <v>8373</v>
      </c>
      <c r="F7188" s="6" t="s">
        <v>8374</v>
      </c>
      <c r="G7188" s="57" t="s">
        <v>11449</v>
      </c>
      <c r="H7188" s="185">
        <v>0</v>
      </c>
      <c r="I7188" s="16">
        <v>470000000</v>
      </c>
      <c r="J7188" s="56" t="s">
        <v>229</v>
      </c>
      <c r="K7188" s="57" t="s">
        <v>641</v>
      </c>
      <c r="L7188" s="57" t="s">
        <v>364</v>
      </c>
      <c r="M7188" s="3" t="s">
        <v>230</v>
      </c>
      <c r="N7188" s="8" t="s">
        <v>8899</v>
      </c>
      <c r="O7188" s="6" t="s">
        <v>365</v>
      </c>
      <c r="P7188" s="58" t="s">
        <v>237</v>
      </c>
      <c r="Q7188" s="6" t="s">
        <v>238</v>
      </c>
      <c r="R7188" s="3">
        <v>0</v>
      </c>
      <c r="S7188" s="60">
        <v>370</v>
      </c>
      <c r="T7188" s="4">
        <f t="shared" si="346"/>
        <v>0</v>
      </c>
      <c r="U7188" s="4">
        <f t="shared" si="347"/>
        <v>0</v>
      </c>
      <c r="V7188" s="3"/>
      <c r="W7188" s="3">
        <v>2014</v>
      </c>
      <c r="X7188" s="3" t="s">
        <v>12076</v>
      </c>
    </row>
    <row r="7189" spans="1:24" ht="114.75">
      <c r="A7189" s="3" t="s">
        <v>10886</v>
      </c>
      <c r="B7189" s="6" t="s">
        <v>361</v>
      </c>
      <c r="C7189" s="6" t="s">
        <v>8375</v>
      </c>
      <c r="D7189" s="6" t="s">
        <v>255</v>
      </c>
      <c r="E7189" s="6" t="s">
        <v>8376</v>
      </c>
      <c r="F7189" s="6" t="s">
        <v>8377</v>
      </c>
      <c r="G7189" s="57" t="s">
        <v>11449</v>
      </c>
      <c r="H7189" s="185">
        <v>0</v>
      </c>
      <c r="I7189" s="16">
        <v>470000000</v>
      </c>
      <c r="J7189" s="56" t="s">
        <v>229</v>
      </c>
      <c r="K7189" s="57" t="s">
        <v>641</v>
      </c>
      <c r="L7189" s="57" t="s">
        <v>364</v>
      </c>
      <c r="M7189" s="3" t="s">
        <v>230</v>
      </c>
      <c r="N7189" s="8" t="s">
        <v>8899</v>
      </c>
      <c r="O7189" s="6" t="s">
        <v>365</v>
      </c>
      <c r="P7189" s="58" t="s">
        <v>237</v>
      </c>
      <c r="Q7189" s="6" t="s">
        <v>238</v>
      </c>
      <c r="R7189" s="3">
        <v>0</v>
      </c>
      <c r="S7189" s="60">
        <v>590</v>
      </c>
      <c r="T7189" s="4">
        <f t="shared" si="346"/>
        <v>0</v>
      </c>
      <c r="U7189" s="4">
        <f t="shared" si="347"/>
        <v>0</v>
      </c>
      <c r="V7189" s="3"/>
      <c r="W7189" s="3">
        <v>2014</v>
      </c>
      <c r="X7189" s="3" t="s">
        <v>12076</v>
      </c>
    </row>
    <row r="7190" spans="1:24" ht="114.75">
      <c r="A7190" s="3" t="s">
        <v>10887</v>
      </c>
      <c r="B7190" s="6" t="s">
        <v>361</v>
      </c>
      <c r="C7190" s="6" t="s">
        <v>8378</v>
      </c>
      <c r="D7190" s="6" t="s">
        <v>255</v>
      </c>
      <c r="E7190" s="6" t="s">
        <v>8379</v>
      </c>
      <c r="F7190" s="6" t="s">
        <v>8380</v>
      </c>
      <c r="G7190" s="57" t="s">
        <v>11449</v>
      </c>
      <c r="H7190" s="185">
        <v>0</v>
      </c>
      <c r="I7190" s="16">
        <v>470000000</v>
      </c>
      <c r="J7190" s="56" t="s">
        <v>229</v>
      </c>
      <c r="K7190" s="57" t="s">
        <v>641</v>
      </c>
      <c r="L7190" s="57" t="s">
        <v>364</v>
      </c>
      <c r="M7190" s="3" t="s">
        <v>230</v>
      </c>
      <c r="N7190" s="8" t="s">
        <v>8899</v>
      </c>
      <c r="O7190" s="6" t="s">
        <v>365</v>
      </c>
      <c r="P7190" s="58" t="s">
        <v>237</v>
      </c>
      <c r="Q7190" s="6" t="s">
        <v>238</v>
      </c>
      <c r="R7190" s="3">
        <v>0</v>
      </c>
      <c r="S7190" s="60">
        <v>1201</v>
      </c>
      <c r="T7190" s="4">
        <f t="shared" si="346"/>
        <v>0</v>
      </c>
      <c r="U7190" s="4">
        <f t="shared" si="347"/>
        <v>0</v>
      </c>
      <c r="V7190" s="3"/>
      <c r="W7190" s="3">
        <v>2014</v>
      </c>
      <c r="X7190" s="3" t="s">
        <v>12076</v>
      </c>
    </row>
    <row r="7191" spans="1:24" ht="114.75">
      <c r="A7191" s="3" t="s">
        <v>10888</v>
      </c>
      <c r="B7191" s="6" t="s">
        <v>361</v>
      </c>
      <c r="C7191" s="6" t="s">
        <v>8381</v>
      </c>
      <c r="D7191" s="6" t="s">
        <v>255</v>
      </c>
      <c r="E7191" s="6" t="s">
        <v>8382</v>
      </c>
      <c r="F7191" s="6" t="s">
        <v>8383</v>
      </c>
      <c r="G7191" s="57" t="s">
        <v>11449</v>
      </c>
      <c r="H7191" s="185">
        <v>0</v>
      </c>
      <c r="I7191" s="16">
        <v>470000000</v>
      </c>
      <c r="J7191" s="56" t="s">
        <v>229</v>
      </c>
      <c r="K7191" s="57" t="s">
        <v>641</v>
      </c>
      <c r="L7191" s="57" t="s">
        <v>364</v>
      </c>
      <c r="M7191" s="3" t="s">
        <v>230</v>
      </c>
      <c r="N7191" s="8" t="s">
        <v>8899</v>
      </c>
      <c r="O7191" s="6" t="s">
        <v>365</v>
      </c>
      <c r="P7191" s="58" t="s">
        <v>237</v>
      </c>
      <c r="Q7191" s="6" t="s">
        <v>238</v>
      </c>
      <c r="R7191" s="3">
        <v>0</v>
      </c>
      <c r="S7191" s="60">
        <v>1770</v>
      </c>
      <c r="T7191" s="4">
        <f t="shared" si="346"/>
        <v>0</v>
      </c>
      <c r="U7191" s="4">
        <f t="shared" si="347"/>
        <v>0</v>
      </c>
      <c r="V7191" s="3"/>
      <c r="W7191" s="3">
        <v>2014</v>
      </c>
      <c r="X7191" s="3" t="s">
        <v>12076</v>
      </c>
    </row>
    <row r="7192" spans="1:24" ht="114.75">
      <c r="A7192" s="3" t="s">
        <v>10889</v>
      </c>
      <c r="B7192" s="6" t="s">
        <v>361</v>
      </c>
      <c r="C7192" s="6" t="s">
        <v>8384</v>
      </c>
      <c r="D7192" s="6" t="s">
        <v>255</v>
      </c>
      <c r="E7192" s="6" t="s">
        <v>8385</v>
      </c>
      <c r="F7192" s="6" t="s">
        <v>8386</v>
      </c>
      <c r="G7192" s="57" t="s">
        <v>11449</v>
      </c>
      <c r="H7192" s="185">
        <v>0</v>
      </c>
      <c r="I7192" s="16">
        <v>470000000</v>
      </c>
      <c r="J7192" s="56" t="s">
        <v>229</v>
      </c>
      <c r="K7192" s="57" t="s">
        <v>641</v>
      </c>
      <c r="L7192" s="57" t="s">
        <v>364</v>
      </c>
      <c r="M7192" s="3" t="s">
        <v>230</v>
      </c>
      <c r="N7192" s="8" t="s">
        <v>8899</v>
      </c>
      <c r="O7192" s="6" t="s">
        <v>365</v>
      </c>
      <c r="P7192" s="58" t="s">
        <v>237</v>
      </c>
      <c r="Q7192" s="6" t="s">
        <v>238</v>
      </c>
      <c r="R7192" s="3">
        <v>0</v>
      </c>
      <c r="S7192" s="60">
        <v>3126</v>
      </c>
      <c r="T7192" s="4">
        <f t="shared" si="346"/>
        <v>0</v>
      </c>
      <c r="U7192" s="4">
        <f t="shared" si="347"/>
        <v>0</v>
      </c>
      <c r="V7192" s="3"/>
      <c r="W7192" s="3">
        <v>2014</v>
      </c>
      <c r="X7192" s="3" t="s">
        <v>12076</v>
      </c>
    </row>
    <row r="7193" spans="1:24" ht="114.75">
      <c r="A7193" s="3" t="s">
        <v>10890</v>
      </c>
      <c r="B7193" s="6" t="s">
        <v>361</v>
      </c>
      <c r="C7193" s="6" t="s">
        <v>8387</v>
      </c>
      <c r="D7193" s="6" t="s">
        <v>8388</v>
      </c>
      <c r="E7193" s="6" t="s">
        <v>11611</v>
      </c>
      <c r="F7193" s="6" t="s">
        <v>8389</v>
      </c>
      <c r="G7193" s="57" t="s">
        <v>11449</v>
      </c>
      <c r="H7193" s="185">
        <v>0</v>
      </c>
      <c r="I7193" s="16">
        <v>470000000</v>
      </c>
      <c r="J7193" s="56" t="s">
        <v>229</v>
      </c>
      <c r="K7193" s="57" t="s">
        <v>641</v>
      </c>
      <c r="L7193" s="57" t="s">
        <v>364</v>
      </c>
      <c r="M7193" s="3" t="s">
        <v>230</v>
      </c>
      <c r="N7193" s="8" t="s">
        <v>8899</v>
      </c>
      <c r="O7193" s="6" t="s">
        <v>365</v>
      </c>
      <c r="P7193" s="58" t="s">
        <v>241</v>
      </c>
      <c r="Q7193" s="6" t="s">
        <v>234</v>
      </c>
      <c r="R7193" s="3">
        <v>0</v>
      </c>
      <c r="S7193" s="60">
        <v>47293</v>
      </c>
      <c r="T7193" s="4">
        <f t="shared" si="346"/>
        <v>0</v>
      </c>
      <c r="U7193" s="4">
        <f t="shared" si="347"/>
        <v>0</v>
      </c>
      <c r="V7193" s="3"/>
      <c r="W7193" s="3">
        <v>2014</v>
      </c>
      <c r="X7193" s="3" t="s">
        <v>12076</v>
      </c>
    </row>
    <row r="7194" spans="1:24" ht="114.75">
      <c r="A7194" s="3" t="s">
        <v>10891</v>
      </c>
      <c r="B7194" s="6" t="s">
        <v>361</v>
      </c>
      <c r="C7194" s="6" t="s">
        <v>8390</v>
      </c>
      <c r="D7194" s="6" t="s">
        <v>8388</v>
      </c>
      <c r="E7194" s="6" t="s">
        <v>11612</v>
      </c>
      <c r="F7194" s="6" t="s">
        <v>8391</v>
      </c>
      <c r="G7194" s="57" t="s">
        <v>11449</v>
      </c>
      <c r="H7194" s="185">
        <v>0</v>
      </c>
      <c r="I7194" s="16">
        <v>470000000</v>
      </c>
      <c r="J7194" s="56" t="s">
        <v>229</v>
      </c>
      <c r="K7194" s="57" t="s">
        <v>641</v>
      </c>
      <c r="L7194" s="57" t="s">
        <v>364</v>
      </c>
      <c r="M7194" s="3" t="s">
        <v>230</v>
      </c>
      <c r="N7194" s="8" t="s">
        <v>8899</v>
      </c>
      <c r="O7194" s="6" t="s">
        <v>365</v>
      </c>
      <c r="P7194" s="58" t="s">
        <v>241</v>
      </c>
      <c r="Q7194" s="6" t="s">
        <v>234</v>
      </c>
      <c r="R7194" s="3">
        <v>0</v>
      </c>
      <c r="S7194" s="60">
        <v>74396</v>
      </c>
      <c r="T7194" s="4">
        <f t="shared" si="346"/>
        <v>0</v>
      </c>
      <c r="U7194" s="4">
        <f t="shared" si="347"/>
        <v>0</v>
      </c>
      <c r="V7194" s="3"/>
      <c r="W7194" s="3">
        <v>2014</v>
      </c>
      <c r="X7194" s="3" t="s">
        <v>12076</v>
      </c>
    </row>
    <row r="7195" spans="1:24" ht="114.75">
      <c r="A7195" s="3" t="s">
        <v>10892</v>
      </c>
      <c r="B7195" s="6" t="s">
        <v>361</v>
      </c>
      <c r="C7195" s="6" t="s">
        <v>8392</v>
      </c>
      <c r="D7195" s="6" t="s">
        <v>8388</v>
      </c>
      <c r="E7195" s="6" t="s">
        <v>11613</v>
      </c>
      <c r="F7195" s="6" t="s">
        <v>8393</v>
      </c>
      <c r="G7195" s="57" t="s">
        <v>11449</v>
      </c>
      <c r="H7195" s="185">
        <v>0</v>
      </c>
      <c r="I7195" s="16">
        <v>470000000</v>
      </c>
      <c r="J7195" s="56" t="s">
        <v>229</v>
      </c>
      <c r="K7195" s="57" t="s">
        <v>641</v>
      </c>
      <c r="L7195" s="57" t="s">
        <v>364</v>
      </c>
      <c r="M7195" s="3" t="s">
        <v>230</v>
      </c>
      <c r="N7195" s="8" t="s">
        <v>8899</v>
      </c>
      <c r="O7195" s="6" t="s">
        <v>365</v>
      </c>
      <c r="P7195" s="58" t="s">
        <v>241</v>
      </c>
      <c r="Q7195" s="6" t="s">
        <v>234</v>
      </c>
      <c r="R7195" s="3">
        <v>0</v>
      </c>
      <c r="S7195" s="60">
        <v>14800</v>
      </c>
      <c r="T7195" s="4">
        <f t="shared" si="346"/>
        <v>0</v>
      </c>
      <c r="U7195" s="4">
        <f t="shared" si="347"/>
        <v>0</v>
      </c>
      <c r="V7195" s="3"/>
      <c r="W7195" s="3">
        <v>2014</v>
      </c>
      <c r="X7195" s="3" t="s">
        <v>12076</v>
      </c>
    </row>
    <row r="7196" spans="1:24" ht="114.75">
      <c r="A7196" s="3" t="s">
        <v>10893</v>
      </c>
      <c r="B7196" s="6" t="s">
        <v>361</v>
      </c>
      <c r="C7196" s="6" t="s">
        <v>8394</v>
      </c>
      <c r="D7196" s="6" t="s">
        <v>8395</v>
      </c>
      <c r="E7196" s="6" t="s">
        <v>8396</v>
      </c>
      <c r="F7196" s="6" t="s">
        <v>8397</v>
      </c>
      <c r="G7196" s="57" t="s">
        <v>11449</v>
      </c>
      <c r="H7196" s="185">
        <v>0</v>
      </c>
      <c r="I7196" s="16">
        <v>470000000</v>
      </c>
      <c r="J7196" s="56" t="s">
        <v>229</v>
      </c>
      <c r="K7196" s="57" t="s">
        <v>641</v>
      </c>
      <c r="L7196" s="57" t="s">
        <v>364</v>
      </c>
      <c r="M7196" s="3" t="s">
        <v>230</v>
      </c>
      <c r="N7196" s="8" t="s">
        <v>8899</v>
      </c>
      <c r="O7196" s="6" t="s">
        <v>365</v>
      </c>
      <c r="P7196" s="58" t="s">
        <v>241</v>
      </c>
      <c r="Q7196" s="6" t="s">
        <v>234</v>
      </c>
      <c r="R7196" s="3">
        <v>0</v>
      </c>
      <c r="S7196" s="60">
        <v>274352</v>
      </c>
      <c r="T7196" s="4">
        <f t="shared" si="346"/>
        <v>0</v>
      </c>
      <c r="U7196" s="4">
        <f t="shared" si="347"/>
        <v>0</v>
      </c>
      <c r="V7196" s="3"/>
      <c r="W7196" s="3">
        <v>2014</v>
      </c>
      <c r="X7196" s="3" t="s">
        <v>12076</v>
      </c>
    </row>
    <row r="7197" spans="1:24" ht="114.75">
      <c r="A7197" s="3" t="s">
        <v>10894</v>
      </c>
      <c r="B7197" s="6" t="s">
        <v>361</v>
      </c>
      <c r="C7197" s="6" t="s">
        <v>8398</v>
      </c>
      <c r="D7197" s="6" t="s">
        <v>8399</v>
      </c>
      <c r="E7197" s="6" t="s">
        <v>8400</v>
      </c>
      <c r="F7197" s="6" t="s">
        <v>8401</v>
      </c>
      <c r="G7197" s="57" t="s">
        <v>11449</v>
      </c>
      <c r="H7197" s="185">
        <v>0</v>
      </c>
      <c r="I7197" s="16">
        <v>470000000</v>
      </c>
      <c r="J7197" s="56" t="s">
        <v>229</v>
      </c>
      <c r="K7197" s="57" t="s">
        <v>641</v>
      </c>
      <c r="L7197" s="57" t="s">
        <v>364</v>
      </c>
      <c r="M7197" s="3" t="s">
        <v>230</v>
      </c>
      <c r="N7197" s="8" t="s">
        <v>8899</v>
      </c>
      <c r="O7197" s="6" t="s">
        <v>365</v>
      </c>
      <c r="P7197" s="58" t="s">
        <v>241</v>
      </c>
      <c r="Q7197" s="6" t="s">
        <v>234</v>
      </c>
      <c r="R7197" s="3">
        <v>0</v>
      </c>
      <c r="S7197" s="60">
        <v>16199</v>
      </c>
      <c r="T7197" s="4">
        <f t="shared" si="346"/>
        <v>0</v>
      </c>
      <c r="U7197" s="4">
        <f t="shared" si="347"/>
        <v>0</v>
      </c>
      <c r="V7197" s="3"/>
      <c r="W7197" s="3">
        <v>2014</v>
      </c>
      <c r="X7197" s="3" t="s">
        <v>12076</v>
      </c>
    </row>
    <row r="7198" spans="1:24" ht="114.75">
      <c r="A7198" s="3" t="s">
        <v>10895</v>
      </c>
      <c r="B7198" s="6" t="s">
        <v>361</v>
      </c>
      <c r="C7198" s="6" t="s">
        <v>8402</v>
      </c>
      <c r="D7198" s="6" t="s">
        <v>8403</v>
      </c>
      <c r="E7198" s="6" t="s">
        <v>8404</v>
      </c>
      <c r="F7198" s="6" t="s">
        <v>8405</v>
      </c>
      <c r="G7198" s="57" t="s">
        <v>11449</v>
      </c>
      <c r="H7198" s="185">
        <v>0</v>
      </c>
      <c r="I7198" s="16">
        <v>470000000</v>
      </c>
      <c r="J7198" s="56" t="s">
        <v>229</v>
      </c>
      <c r="K7198" s="57" t="s">
        <v>641</v>
      </c>
      <c r="L7198" s="57" t="s">
        <v>364</v>
      </c>
      <c r="M7198" s="3" t="s">
        <v>230</v>
      </c>
      <c r="N7198" s="8" t="s">
        <v>8899</v>
      </c>
      <c r="O7198" s="6" t="s">
        <v>365</v>
      </c>
      <c r="P7198" s="58" t="s">
        <v>241</v>
      </c>
      <c r="Q7198" s="6" t="s">
        <v>234</v>
      </c>
      <c r="R7198" s="3">
        <v>0</v>
      </c>
      <c r="S7198" s="60">
        <v>4871</v>
      </c>
      <c r="T7198" s="4">
        <f t="shared" si="346"/>
        <v>0</v>
      </c>
      <c r="U7198" s="4">
        <f t="shared" si="347"/>
        <v>0</v>
      </c>
      <c r="V7198" s="3"/>
      <c r="W7198" s="3">
        <v>2014</v>
      </c>
      <c r="X7198" s="3" t="s">
        <v>12076</v>
      </c>
    </row>
    <row r="7199" spans="1:24" ht="114.75">
      <c r="A7199" s="3" t="s">
        <v>10896</v>
      </c>
      <c r="B7199" s="6" t="s">
        <v>361</v>
      </c>
      <c r="C7199" s="6" t="s">
        <v>8402</v>
      </c>
      <c r="D7199" s="6" t="s">
        <v>8403</v>
      </c>
      <c r="E7199" s="6" t="s">
        <v>8404</v>
      </c>
      <c r="F7199" s="6" t="s">
        <v>8405</v>
      </c>
      <c r="G7199" s="57" t="s">
        <v>11449</v>
      </c>
      <c r="H7199" s="185">
        <v>0</v>
      </c>
      <c r="I7199" s="16">
        <v>470000000</v>
      </c>
      <c r="J7199" s="56" t="s">
        <v>229</v>
      </c>
      <c r="K7199" s="57" t="s">
        <v>641</v>
      </c>
      <c r="L7199" s="57" t="s">
        <v>364</v>
      </c>
      <c r="M7199" s="3" t="s">
        <v>230</v>
      </c>
      <c r="N7199" s="8" t="s">
        <v>8899</v>
      </c>
      <c r="O7199" s="6" t="s">
        <v>365</v>
      </c>
      <c r="P7199" s="58" t="s">
        <v>241</v>
      </c>
      <c r="Q7199" s="6" t="s">
        <v>234</v>
      </c>
      <c r="R7199" s="3">
        <v>0</v>
      </c>
      <c r="S7199" s="60">
        <v>21774</v>
      </c>
      <c r="T7199" s="4">
        <f t="shared" si="346"/>
        <v>0</v>
      </c>
      <c r="U7199" s="4">
        <f t="shared" si="347"/>
        <v>0</v>
      </c>
      <c r="V7199" s="3"/>
      <c r="W7199" s="3">
        <v>2014</v>
      </c>
      <c r="X7199" s="3" t="s">
        <v>12076</v>
      </c>
    </row>
    <row r="7200" spans="1:24" ht="114.75">
      <c r="A7200" s="3" t="s">
        <v>10897</v>
      </c>
      <c r="B7200" s="6" t="s">
        <v>361</v>
      </c>
      <c r="C7200" s="6" t="s">
        <v>8406</v>
      </c>
      <c r="D7200" s="6" t="s">
        <v>8407</v>
      </c>
      <c r="E7200" s="6" t="s">
        <v>8408</v>
      </c>
      <c r="F7200" s="6" t="s">
        <v>8409</v>
      </c>
      <c r="G7200" s="57" t="s">
        <v>11449</v>
      </c>
      <c r="H7200" s="185">
        <v>0</v>
      </c>
      <c r="I7200" s="16">
        <v>470000000</v>
      </c>
      <c r="J7200" s="56" t="s">
        <v>229</v>
      </c>
      <c r="K7200" s="57" t="s">
        <v>641</v>
      </c>
      <c r="L7200" s="57" t="s">
        <v>364</v>
      </c>
      <c r="M7200" s="3" t="s">
        <v>230</v>
      </c>
      <c r="N7200" s="8" t="s">
        <v>8899</v>
      </c>
      <c r="O7200" s="6" t="s">
        <v>365</v>
      </c>
      <c r="P7200" s="58" t="s">
        <v>241</v>
      </c>
      <c r="Q7200" s="6" t="s">
        <v>234</v>
      </c>
      <c r="R7200" s="3">
        <v>0</v>
      </c>
      <c r="S7200" s="60">
        <v>112960</v>
      </c>
      <c r="T7200" s="4">
        <f t="shared" si="346"/>
        <v>0</v>
      </c>
      <c r="U7200" s="4">
        <f t="shared" si="347"/>
        <v>0</v>
      </c>
      <c r="V7200" s="3"/>
      <c r="W7200" s="3">
        <v>2014</v>
      </c>
      <c r="X7200" s="3" t="s">
        <v>12076</v>
      </c>
    </row>
    <row r="7201" spans="1:24" ht="114.75">
      <c r="A7201" s="3" t="s">
        <v>10898</v>
      </c>
      <c r="B7201" s="6" t="s">
        <v>361</v>
      </c>
      <c r="C7201" s="6" t="s">
        <v>8410</v>
      </c>
      <c r="D7201" s="6" t="s">
        <v>8411</v>
      </c>
      <c r="E7201" s="6" t="s">
        <v>8412</v>
      </c>
      <c r="F7201" s="6" t="s">
        <v>8413</v>
      </c>
      <c r="G7201" s="57" t="s">
        <v>11449</v>
      </c>
      <c r="H7201" s="185">
        <v>0</v>
      </c>
      <c r="I7201" s="16">
        <v>470000000</v>
      </c>
      <c r="J7201" s="56" t="s">
        <v>229</v>
      </c>
      <c r="K7201" s="57" t="s">
        <v>641</v>
      </c>
      <c r="L7201" s="57" t="s">
        <v>364</v>
      </c>
      <c r="M7201" s="3" t="s">
        <v>230</v>
      </c>
      <c r="N7201" s="8" t="s">
        <v>8899</v>
      </c>
      <c r="O7201" s="6" t="s">
        <v>365</v>
      </c>
      <c r="P7201" s="58" t="s">
        <v>241</v>
      </c>
      <c r="Q7201" s="6" t="s">
        <v>234</v>
      </c>
      <c r="R7201" s="3">
        <v>0</v>
      </c>
      <c r="S7201" s="60">
        <v>49775</v>
      </c>
      <c r="T7201" s="4">
        <f t="shared" si="346"/>
        <v>0</v>
      </c>
      <c r="U7201" s="4">
        <f t="shared" si="347"/>
        <v>0</v>
      </c>
      <c r="V7201" s="3"/>
      <c r="W7201" s="3">
        <v>2014</v>
      </c>
      <c r="X7201" s="3" t="s">
        <v>12076</v>
      </c>
    </row>
    <row r="7202" spans="1:24" ht="114.75">
      <c r="A7202" s="3" t="s">
        <v>10899</v>
      </c>
      <c r="B7202" s="6" t="s">
        <v>361</v>
      </c>
      <c r="C7202" s="6" t="s">
        <v>8414</v>
      </c>
      <c r="D7202" s="6" t="s">
        <v>8415</v>
      </c>
      <c r="E7202" s="6" t="s">
        <v>8416</v>
      </c>
      <c r="F7202" s="6" t="s">
        <v>11746</v>
      </c>
      <c r="G7202" s="57" t="s">
        <v>11449</v>
      </c>
      <c r="H7202" s="185">
        <v>0</v>
      </c>
      <c r="I7202" s="16">
        <v>470000000</v>
      </c>
      <c r="J7202" s="56" t="s">
        <v>229</v>
      </c>
      <c r="K7202" s="57" t="s">
        <v>641</v>
      </c>
      <c r="L7202" s="57" t="s">
        <v>364</v>
      </c>
      <c r="M7202" s="3" t="s">
        <v>230</v>
      </c>
      <c r="N7202" s="8" t="s">
        <v>8899</v>
      </c>
      <c r="O7202" s="6" t="s">
        <v>365</v>
      </c>
      <c r="P7202" s="58" t="s">
        <v>241</v>
      </c>
      <c r="Q7202" s="6" t="s">
        <v>234</v>
      </c>
      <c r="R7202" s="3">
        <v>0</v>
      </c>
      <c r="S7202" s="60">
        <v>54870</v>
      </c>
      <c r="T7202" s="4">
        <f t="shared" si="346"/>
        <v>0</v>
      </c>
      <c r="U7202" s="4">
        <f t="shared" si="347"/>
        <v>0</v>
      </c>
      <c r="V7202" s="3"/>
      <c r="W7202" s="3">
        <v>2014</v>
      </c>
      <c r="X7202" s="3" t="s">
        <v>12076</v>
      </c>
    </row>
    <row r="7203" spans="1:24" ht="114.75">
      <c r="A7203" s="3" t="s">
        <v>10900</v>
      </c>
      <c r="B7203" s="6" t="s">
        <v>361</v>
      </c>
      <c r="C7203" s="6" t="s">
        <v>8414</v>
      </c>
      <c r="D7203" s="6" t="s">
        <v>8415</v>
      </c>
      <c r="E7203" s="6" t="s">
        <v>8416</v>
      </c>
      <c r="F7203" s="6" t="s">
        <v>11746</v>
      </c>
      <c r="G7203" s="57" t="s">
        <v>11449</v>
      </c>
      <c r="H7203" s="185">
        <v>0</v>
      </c>
      <c r="I7203" s="16">
        <v>470000000</v>
      </c>
      <c r="J7203" s="56" t="s">
        <v>229</v>
      </c>
      <c r="K7203" s="57" t="s">
        <v>641</v>
      </c>
      <c r="L7203" s="57" t="s">
        <v>364</v>
      </c>
      <c r="M7203" s="3" t="s">
        <v>230</v>
      </c>
      <c r="N7203" s="8" t="s">
        <v>8899</v>
      </c>
      <c r="O7203" s="6" t="s">
        <v>365</v>
      </c>
      <c r="P7203" s="58" t="s">
        <v>241</v>
      </c>
      <c r="Q7203" s="6" t="s">
        <v>234</v>
      </c>
      <c r="R7203" s="3">
        <v>0</v>
      </c>
      <c r="S7203" s="60">
        <v>56600</v>
      </c>
      <c r="T7203" s="4">
        <f t="shared" si="346"/>
        <v>0</v>
      </c>
      <c r="U7203" s="4">
        <f t="shared" si="347"/>
        <v>0</v>
      </c>
      <c r="V7203" s="3"/>
      <c r="W7203" s="3">
        <v>2014</v>
      </c>
      <c r="X7203" s="3" t="s">
        <v>12076</v>
      </c>
    </row>
    <row r="7204" spans="1:24" ht="114.75">
      <c r="A7204" s="3" t="s">
        <v>10901</v>
      </c>
      <c r="B7204" s="6" t="s">
        <v>361</v>
      </c>
      <c r="C7204" s="6" t="s">
        <v>8414</v>
      </c>
      <c r="D7204" s="6" t="s">
        <v>8415</v>
      </c>
      <c r="E7204" s="6" t="s">
        <v>8416</v>
      </c>
      <c r="F7204" s="6" t="s">
        <v>11746</v>
      </c>
      <c r="G7204" s="57" t="s">
        <v>11449</v>
      </c>
      <c r="H7204" s="185">
        <v>0</v>
      </c>
      <c r="I7204" s="16">
        <v>470000000</v>
      </c>
      <c r="J7204" s="56" t="s">
        <v>229</v>
      </c>
      <c r="K7204" s="57" t="s">
        <v>641</v>
      </c>
      <c r="L7204" s="57" t="s">
        <v>364</v>
      </c>
      <c r="M7204" s="3" t="s">
        <v>230</v>
      </c>
      <c r="N7204" s="8" t="s">
        <v>8899</v>
      </c>
      <c r="O7204" s="6" t="s">
        <v>365</v>
      </c>
      <c r="P7204" s="58" t="s">
        <v>241</v>
      </c>
      <c r="Q7204" s="6" t="s">
        <v>234</v>
      </c>
      <c r="R7204" s="3">
        <v>0</v>
      </c>
      <c r="S7204" s="60">
        <v>82740</v>
      </c>
      <c r="T7204" s="4">
        <f t="shared" si="346"/>
        <v>0</v>
      </c>
      <c r="U7204" s="4">
        <f t="shared" si="347"/>
        <v>0</v>
      </c>
      <c r="V7204" s="3"/>
      <c r="W7204" s="3">
        <v>2014</v>
      </c>
      <c r="X7204" s="3" t="s">
        <v>12076</v>
      </c>
    </row>
    <row r="7205" spans="1:24" ht="114.75">
      <c r="A7205" s="3" t="s">
        <v>10902</v>
      </c>
      <c r="B7205" s="6" t="s">
        <v>361</v>
      </c>
      <c r="C7205" s="6" t="s">
        <v>8417</v>
      </c>
      <c r="D7205" s="6" t="s">
        <v>8418</v>
      </c>
      <c r="E7205" s="6" t="s">
        <v>8419</v>
      </c>
      <c r="F7205" s="6" t="s">
        <v>8420</v>
      </c>
      <c r="G7205" s="57" t="s">
        <v>11449</v>
      </c>
      <c r="H7205" s="185">
        <v>0</v>
      </c>
      <c r="I7205" s="16">
        <v>470000000</v>
      </c>
      <c r="J7205" s="56" t="s">
        <v>229</v>
      </c>
      <c r="K7205" s="57" t="s">
        <v>641</v>
      </c>
      <c r="L7205" s="57" t="s">
        <v>364</v>
      </c>
      <c r="M7205" s="3" t="s">
        <v>230</v>
      </c>
      <c r="N7205" s="8" t="s">
        <v>8899</v>
      </c>
      <c r="O7205" s="6" t="s">
        <v>365</v>
      </c>
      <c r="P7205" s="58" t="s">
        <v>241</v>
      </c>
      <c r="Q7205" s="6" t="s">
        <v>234</v>
      </c>
      <c r="R7205" s="3">
        <v>0</v>
      </c>
      <c r="S7205" s="60">
        <v>437134</v>
      </c>
      <c r="T7205" s="4">
        <f t="shared" si="346"/>
        <v>0</v>
      </c>
      <c r="U7205" s="4">
        <f t="shared" si="347"/>
        <v>0</v>
      </c>
      <c r="V7205" s="3"/>
      <c r="W7205" s="3">
        <v>2014</v>
      </c>
      <c r="X7205" s="3" t="s">
        <v>12076</v>
      </c>
    </row>
    <row r="7206" spans="1:24" ht="153">
      <c r="A7206" s="3" t="s">
        <v>10903</v>
      </c>
      <c r="B7206" s="6" t="s">
        <v>361</v>
      </c>
      <c r="C7206" s="6" t="s">
        <v>8421</v>
      </c>
      <c r="D7206" s="6" t="s">
        <v>8422</v>
      </c>
      <c r="E7206" s="6" t="s">
        <v>8423</v>
      </c>
      <c r="F7206" s="6" t="s">
        <v>8424</v>
      </c>
      <c r="G7206" s="57" t="s">
        <v>11449</v>
      </c>
      <c r="H7206" s="185">
        <v>0</v>
      </c>
      <c r="I7206" s="16">
        <v>470000000</v>
      </c>
      <c r="J7206" s="56" t="s">
        <v>229</v>
      </c>
      <c r="K7206" s="57" t="s">
        <v>641</v>
      </c>
      <c r="L7206" s="57" t="s">
        <v>364</v>
      </c>
      <c r="M7206" s="3" t="s">
        <v>230</v>
      </c>
      <c r="N7206" s="8" t="s">
        <v>8899</v>
      </c>
      <c r="O7206" s="6" t="s">
        <v>365</v>
      </c>
      <c r="P7206" s="58" t="s">
        <v>241</v>
      </c>
      <c r="Q7206" s="6" t="s">
        <v>234</v>
      </c>
      <c r="R7206" s="3">
        <v>0</v>
      </c>
      <c r="S7206" s="60">
        <v>65320</v>
      </c>
      <c r="T7206" s="4">
        <f t="shared" si="346"/>
        <v>0</v>
      </c>
      <c r="U7206" s="4">
        <f t="shared" si="347"/>
        <v>0</v>
      </c>
      <c r="V7206" s="3"/>
      <c r="W7206" s="3">
        <v>2014</v>
      </c>
      <c r="X7206" s="3" t="s">
        <v>12076</v>
      </c>
    </row>
    <row r="7207" spans="1:24" ht="114.75">
      <c r="A7207" s="3" t="s">
        <v>10904</v>
      </c>
      <c r="B7207" s="6" t="s">
        <v>361</v>
      </c>
      <c r="C7207" s="6" t="s">
        <v>8425</v>
      </c>
      <c r="D7207" s="6" t="s">
        <v>8426</v>
      </c>
      <c r="E7207" s="6" t="s">
        <v>8427</v>
      </c>
      <c r="F7207" s="6" t="s">
        <v>8428</v>
      </c>
      <c r="G7207" s="57" t="s">
        <v>11449</v>
      </c>
      <c r="H7207" s="185">
        <v>0</v>
      </c>
      <c r="I7207" s="16">
        <v>470000000</v>
      </c>
      <c r="J7207" s="56" t="s">
        <v>229</v>
      </c>
      <c r="K7207" s="57" t="s">
        <v>641</v>
      </c>
      <c r="L7207" s="57" t="s">
        <v>364</v>
      </c>
      <c r="M7207" s="3" t="s">
        <v>230</v>
      </c>
      <c r="N7207" s="8" t="s">
        <v>8899</v>
      </c>
      <c r="O7207" s="6" t="s">
        <v>365</v>
      </c>
      <c r="P7207" s="58" t="s">
        <v>241</v>
      </c>
      <c r="Q7207" s="6" t="s">
        <v>234</v>
      </c>
      <c r="R7207" s="3">
        <v>0</v>
      </c>
      <c r="S7207" s="60">
        <v>36580</v>
      </c>
      <c r="T7207" s="4">
        <f t="shared" si="346"/>
        <v>0</v>
      </c>
      <c r="U7207" s="4">
        <f t="shared" si="347"/>
        <v>0</v>
      </c>
      <c r="V7207" s="3"/>
      <c r="W7207" s="3">
        <v>2014</v>
      </c>
      <c r="X7207" s="3" t="s">
        <v>12076</v>
      </c>
    </row>
    <row r="7208" spans="1:24" ht="114.75">
      <c r="A7208" s="3" t="s">
        <v>10905</v>
      </c>
      <c r="B7208" s="6" t="s">
        <v>361</v>
      </c>
      <c r="C7208" s="6" t="s">
        <v>8429</v>
      </c>
      <c r="D7208" s="6" t="s">
        <v>8430</v>
      </c>
      <c r="E7208" s="6" t="s">
        <v>8431</v>
      </c>
      <c r="F7208" s="6" t="s">
        <v>8432</v>
      </c>
      <c r="G7208" s="57" t="s">
        <v>11449</v>
      </c>
      <c r="H7208" s="185">
        <v>0</v>
      </c>
      <c r="I7208" s="16">
        <v>470000000</v>
      </c>
      <c r="J7208" s="56" t="s">
        <v>229</v>
      </c>
      <c r="K7208" s="57" t="s">
        <v>641</v>
      </c>
      <c r="L7208" s="57" t="s">
        <v>364</v>
      </c>
      <c r="M7208" s="3" t="s">
        <v>230</v>
      </c>
      <c r="N7208" s="8" t="s">
        <v>8899</v>
      </c>
      <c r="O7208" s="6" t="s">
        <v>365</v>
      </c>
      <c r="P7208" s="58" t="s">
        <v>241</v>
      </c>
      <c r="Q7208" s="6" t="s">
        <v>234</v>
      </c>
      <c r="R7208" s="3">
        <v>0</v>
      </c>
      <c r="S7208" s="60">
        <v>73000</v>
      </c>
      <c r="T7208" s="4">
        <f t="shared" si="346"/>
        <v>0</v>
      </c>
      <c r="U7208" s="4">
        <f t="shared" si="347"/>
        <v>0</v>
      </c>
      <c r="V7208" s="3"/>
      <c r="W7208" s="3">
        <v>2014</v>
      </c>
      <c r="X7208" s="3" t="s">
        <v>12076</v>
      </c>
    </row>
    <row r="7209" spans="1:24" ht="114.75">
      <c r="A7209" s="3" t="s">
        <v>10906</v>
      </c>
      <c r="B7209" s="6" t="s">
        <v>361</v>
      </c>
      <c r="C7209" s="6" t="s">
        <v>8429</v>
      </c>
      <c r="D7209" s="6" t="s">
        <v>8430</v>
      </c>
      <c r="E7209" s="6" t="s">
        <v>8431</v>
      </c>
      <c r="F7209" s="6" t="s">
        <v>8432</v>
      </c>
      <c r="G7209" s="57" t="s">
        <v>11449</v>
      </c>
      <c r="H7209" s="185">
        <v>0</v>
      </c>
      <c r="I7209" s="16">
        <v>470000000</v>
      </c>
      <c r="J7209" s="56" t="s">
        <v>229</v>
      </c>
      <c r="K7209" s="57" t="s">
        <v>641</v>
      </c>
      <c r="L7209" s="57" t="s">
        <v>364</v>
      </c>
      <c r="M7209" s="3" t="s">
        <v>230</v>
      </c>
      <c r="N7209" s="8" t="s">
        <v>8899</v>
      </c>
      <c r="O7209" s="6" t="s">
        <v>365</v>
      </c>
      <c r="P7209" s="58" t="s">
        <v>241</v>
      </c>
      <c r="Q7209" s="6" t="s">
        <v>234</v>
      </c>
      <c r="R7209" s="3">
        <v>0</v>
      </c>
      <c r="S7209" s="60">
        <v>65300</v>
      </c>
      <c r="T7209" s="4">
        <f t="shared" ref="T7209:T7272" si="348">R7209*S7209</f>
        <v>0</v>
      </c>
      <c r="U7209" s="4">
        <f t="shared" si="347"/>
        <v>0</v>
      </c>
      <c r="V7209" s="3"/>
      <c r="W7209" s="3">
        <v>2014</v>
      </c>
      <c r="X7209" s="3" t="s">
        <v>12076</v>
      </c>
    </row>
    <row r="7210" spans="1:24" ht="114.75">
      <c r="A7210" s="3" t="s">
        <v>10907</v>
      </c>
      <c r="B7210" s="6" t="s">
        <v>361</v>
      </c>
      <c r="C7210" s="6" t="s">
        <v>8433</v>
      </c>
      <c r="D7210" s="6" t="s">
        <v>11614</v>
      </c>
      <c r="E7210" s="6" t="s">
        <v>8434</v>
      </c>
      <c r="F7210" s="6" t="s">
        <v>8435</v>
      </c>
      <c r="G7210" s="57" t="s">
        <v>11449</v>
      </c>
      <c r="H7210" s="185">
        <v>0</v>
      </c>
      <c r="I7210" s="16">
        <v>470000000</v>
      </c>
      <c r="J7210" s="56" t="s">
        <v>229</v>
      </c>
      <c r="K7210" s="57" t="s">
        <v>641</v>
      </c>
      <c r="L7210" s="57" t="s">
        <v>364</v>
      </c>
      <c r="M7210" s="3" t="s">
        <v>230</v>
      </c>
      <c r="N7210" s="8" t="s">
        <v>8899</v>
      </c>
      <c r="O7210" s="6" t="s">
        <v>365</v>
      </c>
      <c r="P7210" s="58" t="s">
        <v>241</v>
      </c>
      <c r="Q7210" s="6" t="s">
        <v>234</v>
      </c>
      <c r="R7210" s="3">
        <v>0</v>
      </c>
      <c r="S7210" s="60">
        <v>15680</v>
      </c>
      <c r="T7210" s="4">
        <f t="shared" si="348"/>
        <v>0</v>
      </c>
      <c r="U7210" s="4">
        <f t="shared" si="347"/>
        <v>0</v>
      </c>
      <c r="V7210" s="3"/>
      <c r="W7210" s="3">
        <v>2014</v>
      </c>
      <c r="X7210" s="3" t="s">
        <v>12076</v>
      </c>
    </row>
    <row r="7211" spans="1:24" ht="114.75">
      <c r="A7211" s="3" t="s">
        <v>10908</v>
      </c>
      <c r="B7211" s="6" t="s">
        <v>361</v>
      </c>
      <c r="C7211" s="6" t="s">
        <v>8436</v>
      </c>
      <c r="D7211" s="6" t="s">
        <v>8437</v>
      </c>
      <c r="E7211" s="6" t="s">
        <v>8438</v>
      </c>
      <c r="F7211" s="6" t="s">
        <v>8439</v>
      </c>
      <c r="G7211" s="57" t="s">
        <v>11449</v>
      </c>
      <c r="H7211" s="185">
        <v>0</v>
      </c>
      <c r="I7211" s="16">
        <v>470000000</v>
      </c>
      <c r="J7211" s="56" t="s">
        <v>229</v>
      </c>
      <c r="K7211" s="57" t="s">
        <v>641</v>
      </c>
      <c r="L7211" s="57" t="s">
        <v>364</v>
      </c>
      <c r="M7211" s="3" t="s">
        <v>230</v>
      </c>
      <c r="N7211" s="8" t="s">
        <v>8899</v>
      </c>
      <c r="O7211" s="6" t="s">
        <v>365</v>
      </c>
      <c r="P7211" s="58" t="s">
        <v>241</v>
      </c>
      <c r="Q7211" s="6" t="s">
        <v>234</v>
      </c>
      <c r="R7211" s="3">
        <v>0</v>
      </c>
      <c r="S7211" s="60">
        <v>103300</v>
      </c>
      <c r="T7211" s="4">
        <f t="shared" si="348"/>
        <v>0</v>
      </c>
      <c r="U7211" s="4">
        <f t="shared" si="347"/>
        <v>0</v>
      </c>
      <c r="V7211" s="3"/>
      <c r="W7211" s="3">
        <v>2014</v>
      </c>
      <c r="X7211" s="3" t="s">
        <v>12076</v>
      </c>
    </row>
    <row r="7212" spans="1:24" ht="114.75">
      <c r="A7212" s="3" t="s">
        <v>10909</v>
      </c>
      <c r="B7212" s="6" t="s">
        <v>361</v>
      </c>
      <c r="C7212" s="6" t="s">
        <v>8440</v>
      </c>
      <c r="D7212" s="6" t="s">
        <v>8441</v>
      </c>
      <c r="E7212" s="6" t="s">
        <v>8442</v>
      </c>
      <c r="F7212" s="6" t="s">
        <v>8443</v>
      </c>
      <c r="G7212" s="57" t="s">
        <v>11449</v>
      </c>
      <c r="H7212" s="185">
        <v>0</v>
      </c>
      <c r="I7212" s="16">
        <v>470000000</v>
      </c>
      <c r="J7212" s="56" t="s">
        <v>229</v>
      </c>
      <c r="K7212" s="57" t="s">
        <v>641</v>
      </c>
      <c r="L7212" s="57" t="s">
        <v>364</v>
      </c>
      <c r="M7212" s="3" t="s">
        <v>230</v>
      </c>
      <c r="N7212" s="8" t="s">
        <v>8899</v>
      </c>
      <c r="O7212" s="6" t="s">
        <v>365</v>
      </c>
      <c r="P7212" s="58" t="s">
        <v>241</v>
      </c>
      <c r="Q7212" s="6" t="s">
        <v>234</v>
      </c>
      <c r="R7212" s="3">
        <v>0</v>
      </c>
      <c r="S7212" s="60">
        <v>65200</v>
      </c>
      <c r="T7212" s="4">
        <f t="shared" si="348"/>
        <v>0</v>
      </c>
      <c r="U7212" s="4">
        <f t="shared" si="347"/>
        <v>0</v>
      </c>
      <c r="V7212" s="3"/>
      <c r="W7212" s="3">
        <v>2014</v>
      </c>
      <c r="X7212" s="3" t="s">
        <v>12076</v>
      </c>
    </row>
    <row r="7213" spans="1:24" ht="114.75">
      <c r="A7213" s="3" t="s">
        <v>10910</v>
      </c>
      <c r="B7213" s="6" t="s">
        <v>361</v>
      </c>
      <c r="C7213" s="6" t="s">
        <v>8444</v>
      </c>
      <c r="D7213" s="6" t="s">
        <v>8445</v>
      </c>
      <c r="E7213" s="6" t="s">
        <v>8446</v>
      </c>
      <c r="F7213" s="6" t="s">
        <v>11744</v>
      </c>
      <c r="G7213" s="57" t="s">
        <v>11449</v>
      </c>
      <c r="H7213" s="185">
        <v>0</v>
      </c>
      <c r="I7213" s="16">
        <v>470000000</v>
      </c>
      <c r="J7213" s="56" t="s">
        <v>229</v>
      </c>
      <c r="K7213" s="57" t="s">
        <v>641</v>
      </c>
      <c r="L7213" s="57" t="s">
        <v>364</v>
      </c>
      <c r="M7213" s="3" t="s">
        <v>230</v>
      </c>
      <c r="N7213" s="8" t="s">
        <v>8899</v>
      </c>
      <c r="O7213" s="6" t="s">
        <v>365</v>
      </c>
      <c r="P7213" s="58" t="s">
        <v>241</v>
      </c>
      <c r="Q7213" s="6" t="s">
        <v>234</v>
      </c>
      <c r="R7213" s="3">
        <v>0</v>
      </c>
      <c r="S7213" s="60">
        <v>31720</v>
      </c>
      <c r="T7213" s="4">
        <f t="shared" si="348"/>
        <v>0</v>
      </c>
      <c r="U7213" s="4">
        <f t="shared" si="347"/>
        <v>0</v>
      </c>
      <c r="V7213" s="3"/>
      <c r="W7213" s="3">
        <v>2014</v>
      </c>
      <c r="X7213" s="3" t="s">
        <v>12076</v>
      </c>
    </row>
    <row r="7214" spans="1:24" ht="114.75">
      <c r="A7214" s="3" t="s">
        <v>10911</v>
      </c>
      <c r="B7214" s="6" t="s">
        <v>361</v>
      </c>
      <c r="C7214" s="6" t="s">
        <v>8447</v>
      </c>
      <c r="D7214" s="6" t="s">
        <v>8448</v>
      </c>
      <c r="E7214" s="6" t="s">
        <v>8449</v>
      </c>
      <c r="F7214" s="6" t="s">
        <v>8448</v>
      </c>
      <c r="G7214" s="57" t="s">
        <v>11449</v>
      </c>
      <c r="H7214" s="185">
        <v>0</v>
      </c>
      <c r="I7214" s="16">
        <v>470000000</v>
      </c>
      <c r="J7214" s="56" t="s">
        <v>229</v>
      </c>
      <c r="K7214" s="57" t="s">
        <v>641</v>
      </c>
      <c r="L7214" s="57" t="s">
        <v>364</v>
      </c>
      <c r="M7214" s="3" t="s">
        <v>230</v>
      </c>
      <c r="N7214" s="8" t="s">
        <v>8899</v>
      </c>
      <c r="O7214" s="6" t="s">
        <v>365</v>
      </c>
      <c r="P7214" s="58" t="s">
        <v>241</v>
      </c>
      <c r="Q7214" s="6" t="s">
        <v>234</v>
      </c>
      <c r="R7214" s="3">
        <v>0</v>
      </c>
      <c r="S7214" s="60">
        <v>10320</v>
      </c>
      <c r="T7214" s="4">
        <f t="shared" si="348"/>
        <v>0</v>
      </c>
      <c r="U7214" s="4">
        <f t="shared" si="347"/>
        <v>0</v>
      </c>
      <c r="V7214" s="3"/>
      <c r="W7214" s="3">
        <v>2014</v>
      </c>
      <c r="X7214" s="3" t="s">
        <v>12076</v>
      </c>
    </row>
    <row r="7215" spans="1:24" ht="114.75">
      <c r="A7215" s="3" t="s">
        <v>10912</v>
      </c>
      <c r="B7215" s="6" t="s">
        <v>361</v>
      </c>
      <c r="C7215" s="6" t="s">
        <v>8450</v>
      </c>
      <c r="D7215" s="6" t="s">
        <v>8451</v>
      </c>
      <c r="E7215" s="6" t="s">
        <v>8452</v>
      </c>
      <c r="F7215" s="6" t="s">
        <v>11745</v>
      </c>
      <c r="G7215" s="57" t="s">
        <v>11449</v>
      </c>
      <c r="H7215" s="185">
        <v>0</v>
      </c>
      <c r="I7215" s="16">
        <v>470000000</v>
      </c>
      <c r="J7215" s="56" t="s">
        <v>229</v>
      </c>
      <c r="K7215" s="57" t="s">
        <v>641</v>
      </c>
      <c r="L7215" s="57" t="s">
        <v>364</v>
      </c>
      <c r="M7215" s="3" t="s">
        <v>230</v>
      </c>
      <c r="N7215" s="8" t="s">
        <v>8899</v>
      </c>
      <c r="O7215" s="6" t="s">
        <v>365</v>
      </c>
      <c r="P7215" s="58" t="s">
        <v>241</v>
      </c>
      <c r="Q7215" s="6" t="s">
        <v>234</v>
      </c>
      <c r="R7215" s="3">
        <v>0</v>
      </c>
      <c r="S7215" s="60">
        <v>762085</v>
      </c>
      <c r="T7215" s="4">
        <f t="shared" si="348"/>
        <v>0</v>
      </c>
      <c r="U7215" s="4">
        <f t="shared" si="347"/>
        <v>0</v>
      </c>
      <c r="V7215" s="3"/>
      <c r="W7215" s="3">
        <v>2014</v>
      </c>
      <c r="X7215" s="3" t="s">
        <v>12076</v>
      </c>
    </row>
    <row r="7216" spans="1:24" ht="114.75">
      <c r="A7216" s="3" t="s">
        <v>10913</v>
      </c>
      <c r="B7216" s="6" t="s">
        <v>361</v>
      </c>
      <c r="C7216" s="6" t="s">
        <v>8453</v>
      </c>
      <c r="D7216" s="6" t="s">
        <v>7441</v>
      </c>
      <c r="E7216" s="6" t="s">
        <v>8454</v>
      </c>
      <c r="F7216" s="6" t="s">
        <v>8455</v>
      </c>
      <c r="G7216" s="57" t="s">
        <v>11449</v>
      </c>
      <c r="H7216" s="185">
        <v>0</v>
      </c>
      <c r="I7216" s="16">
        <v>470000000</v>
      </c>
      <c r="J7216" s="56" t="s">
        <v>229</v>
      </c>
      <c r="K7216" s="57" t="s">
        <v>641</v>
      </c>
      <c r="L7216" s="57" t="s">
        <v>364</v>
      </c>
      <c r="M7216" s="3" t="s">
        <v>230</v>
      </c>
      <c r="N7216" s="8" t="s">
        <v>8899</v>
      </c>
      <c r="O7216" s="6" t="s">
        <v>365</v>
      </c>
      <c r="P7216" s="58" t="s">
        <v>241</v>
      </c>
      <c r="Q7216" s="6" t="s">
        <v>234</v>
      </c>
      <c r="R7216" s="3">
        <v>0</v>
      </c>
      <c r="S7216" s="60">
        <v>7400</v>
      </c>
      <c r="T7216" s="4">
        <f t="shared" si="348"/>
        <v>0</v>
      </c>
      <c r="U7216" s="4">
        <f t="shared" si="347"/>
        <v>0</v>
      </c>
      <c r="V7216" s="3"/>
      <c r="W7216" s="3">
        <v>2014</v>
      </c>
      <c r="X7216" s="3" t="s">
        <v>12076</v>
      </c>
    </row>
    <row r="7217" spans="1:24" ht="114.75">
      <c r="A7217" s="3" t="s">
        <v>10914</v>
      </c>
      <c r="B7217" s="6" t="s">
        <v>361</v>
      </c>
      <c r="C7217" s="6" t="s">
        <v>8456</v>
      </c>
      <c r="D7217" s="6" t="s">
        <v>8457</v>
      </c>
      <c r="E7217" s="6" t="s">
        <v>8458</v>
      </c>
      <c r="F7217" s="6" t="s">
        <v>8459</v>
      </c>
      <c r="G7217" s="57" t="s">
        <v>11449</v>
      </c>
      <c r="H7217" s="185">
        <v>0</v>
      </c>
      <c r="I7217" s="16">
        <v>470000000</v>
      </c>
      <c r="J7217" s="56" t="s">
        <v>229</v>
      </c>
      <c r="K7217" s="57" t="s">
        <v>641</v>
      </c>
      <c r="L7217" s="57" t="s">
        <v>364</v>
      </c>
      <c r="M7217" s="3" t="s">
        <v>230</v>
      </c>
      <c r="N7217" s="8" t="s">
        <v>8899</v>
      </c>
      <c r="O7217" s="6" t="s">
        <v>365</v>
      </c>
      <c r="P7217" s="58" t="s">
        <v>241</v>
      </c>
      <c r="Q7217" s="6" t="s">
        <v>234</v>
      </c>
      <c r="R7217" s="3">
        <v>0</v>
      </c>
      <c r="S7217" s="60">
        <v>142480</v>
      </c>
      <c r="T7217" s="4">
        <f t="shared" si="348"/>
        <v>0</v>
      </c>
      <c r="U7217" s="4">
        <f t="shared" si="347"/>
        <v>0</v>
      </c>
      <c r="V7217" s="3"/>
      <c r="W7217" s="3">
        <v>2014</v>
      </c>
      <c r="X7217" s="3" t="s">
        <v>12076</v>
      </c>
    </row>
    <row r="7218" spans="1:24" ht="114.75">
      <c r="A7218" s="3" t="s">
        <v>10915</v>
      </c>
      <c r="B7218" s="6" t="s">
        <v>361</v>
      </c>
      <c r="C7218" s="6" t="s">
        <v>8460</v>
      </c>
      <c r="D7218" s="6" t="s">
        <v>8461</v>
      </c>
      <c r="E7218" s="6" t="s">
        <v>8462</v>
      </c>
      <c r="F7218" s="6" t="s">
        <v>8463</v>
      </c>
      <c r="G7218" s="57" t="s">
        <v>11449</v>
      </c>
      <c r="H7218" s="185">
        <v>0</v>
      </c>
      <c r="I7218" s="16">
        <v>470000000</v>
      </c>
      <c r="J7218" s="56" t="s">
        <v>229</v>
      </c>
      <c r="K7218" s="57" t="s">
        <v>641</v>
      </c>
      <c r="L7218" s="57" t="s">
        <v>364</v>
      </c>
      <c r="M7218" s="3" t="s">
        <v>230</v>
      </c>
      <c r="N7218" s="8" t="s">
        <v>8899</v>
      </c>
      <c r="O7218" s="6" t="s">
        <v>365</v>
      </c>
      <c r="P7218" s="58" t="s">
        <v>241</v>
      </c>
      <c r="Q7218" s="6" t="s">
        <v>234</v>
      </c>
      <c r="R7218" s="3">
        <v>0</v>
      </c>
      <c r="S7218" s="60">
        <v>198927</v>
      </c>
      <c r="T7218" s="4">
        <f t="shared" si="348"/>
        <v>0</v>
      </c>
      <c r="U7218" s="4">
        <f t="shared" si="347"/>
        <v>0</v>
      </c>
      <c r="V7218" s="3"/>
      <c r="W7218" s="3">
        <v>2014</v>
      </c>
      <c r="X7218" s="3" t="s">
        <v>12076</v>
      </c>
    </row>
    <row r="7219" spans="1:24" ht="114.75">
      <c r="A7219" s="3" t="s">
        <v>10916</v>
      </c>
      <c r="B7219" s="6" t="s">
        <v>361</v>
      </c>
      <c r="C7219" s="6" t="s">
        <v>8460</v>
      </c>
      <c r="D7219" s="6" t="s">
        <v>8461</v>
      </c>
      <c r="E7219" s="6" t="s">
        <v>11615</v>
      </c>
      <c r="F7219" s="6" t="s">
        <v>8464</v>
      </c>
      <c r="G7219" s="57" t="s">
        <v>11449</v>
      </c>
      <c r="H7219" s="185">
        <v>0</v>
      </c>
      <c r="I7219" s="16">
        <v>470000000</v>
      </c>
      <c r="J7219" s="56" t="s">
        <v>229</v>
      </c>
      <c r="K7219" s="57" t="s">
        <v>641</v>
      </c>
      <c r="L7219" s="57" t="s">
        <v>364</v>
      </c>
      <c r="M7219" s="3" t="s">
        <v>230</v>
      </c>
      <c r="N7219" s="8" t="s">
        <v>8899</v>
      </c>
      <c r="O7219" s="6" t="s">
        <v>365</v>
      </c>
      <c r="P7219" s="58" t="s">
        <v>241</v>
      </c>
      <c r="Q7219" s="6" t="s">
        <v>234</v>
      </c>
      <c r="R7219" s="3">
        <v>0</v>
      </c>
      <c r="S7219" s="60">
        <v>147366</v>
      </c>
      <c r="T7219" s="4">
        <f t="shared" si="348"/>
        <v>0</v>
      </c>
      <c r="U7219" s="4">
        <f t="shared" si="347"/>
        <v>0</v>
      </c>
      <c r="V7219" s="3"/>
      <c r="W7219" s="3">
        <v>2014</v>
      </c>
      <c r="X7219" s="3" t="s">
        <v>12076</v>
      </c>
    </row>
    <row r="7220" spans="1:24" ht="114.75">
      <c r="A7220" s="3" t="s">
        <v>10917</v>
      </c>
      <c r="B7220" s="6" t="s">
        <v>361</v>
      </c>
      <c r="C7220" s="6" t="s">
        <v>8460</v>
      </c>
      <c r="D7220" s="6" t="s">
        <v>8461</v>
      </c>
      <c r="E7220" s="6" t="s">
        <v>11615</v>
      </c>
      <c r="F7220" s="6" t="s">
        <v>8464</v>
      </c>
      <c r="G7220" s="57" t="s">
        <v>11449</v>
      </c>
      <c r="H7220" s="185">
        <v>0</v>
      </c>
      <c r="I7220" s="16">
        <v>470000000</v>
      </c>
      <c r="J7220" s="56" t="s">
        <v>229</v>
      </c>
      <c r="K7220" s="57" t="s">
        <v>641</v>
      </c>
      <c r="L7220" s="57" t="s">
        <v>364</v>
      </c>
      <c r="M7220" s="3" t="s">
        <v>230</v>
      </c>
      <c r="N7220" s="8" t="s">
        <v>8899</v>
      </c>
      <c r="O7220" s="6" t="s">
        <v>365</v>
      </c>
      <c r="P7220" s="58" t="s">
        <v>241</v>
      </c>
      <c r="Q7220" s="6" t="s">
        <v>234</v>
      </c>
      <c r="R7220" s="3">
        <v>0</v>
      </c>
      <c r="S7220" s="60">
        <v>121060</v>
      </c>
      <c r="T7220" s="4">
        <f t="shared" si="348"/>
        <v>0</v>
      </c>
      <c r="U7220" s="4">
        <f t="shared" si="347"/>
        <v>0</v>
      </c>
      <c r="V7220" s="3"/>
      <c r="W7220" s="3">
        <v>2014</v>
      </c>
      <c r="X7220" s="3" t="s">
        <v>12076</v>
      </c>
    </row>
    <row r="7221" spans="1:24" ht="114.75">
      <c r="A7221" s="3" t="s">
        <v>10918</v>
      </c>
      <c r="B7221" s="6" t="s">
        <v>361</v>
      </c>
      <c r="C7221" s="6" t="s">
        <v>8460</v>
      </c>
      <c r="D7221" s="6" t="s">
        <v>8461</v>
      </c>
      <c r="E7221" s="6" t="s">
        <v>11615</v>
      </c>
      <c r="F7221" s="6" t="s">
        <v>8465</v>
      </c>
      <c r="G7221" s="57" t="s">
        <v>11449</v>
      </c>
      <c r="H7221" s="185">
        <v>0</v>
      </c>
      <c r="I7221" s="16">
        <v>470000000</v>
      </c>
      <c r="J7221" s="56" t="s">
        <v>229</v>
      </c>
      <c r="K7221" s="57" t="s">
        <v>641</v>
      </c>
      <c r="L7221" s="57" t="s">
        <v>364</v>
      </c>
      <c r="M7221" s="3" t="s">
        <v>230</v>
      </c>
      <c r="N7221" s="8" t="s">
        <v>8899</v>
      </c>
      <c r="O7221" s="6" t="s">
        <v>365</v>
      </c>
      <c r="P7221" s="58" t="s">
        <v>241</v>
      </c>
      <c r="Q7221" s="6" t="s">
        <v>234</v>
      </c>
      <c r="R7221" s="3">
        <v>0</v>
      </c>
      <c r="S7221" s="60">
        <v>302000</v>
      </c>
      <c r="T7221" s="4">
        <f t="shared" si="348"/>
        <v>0</v>
      </c>
      <c r="U7221" s="4">
        <f t="shared" si="347"/>
        <v>0</v>
      </c>
      <c r="V7221" s="3"/>
      <c r="W7221" s="3">
        <v>2014</v>
      </c>
      <c r="X7221" s="3" t="s">
        <v>12076</v>
      </c>
    </row>
    <row r="7222" spans="1:24" ht="114.75">
      <c r="A7222" s="3" t="s">
        <v>10919</v>
      </c>
      <c r="B7222" s="6" t="s">
        <v>361</v>
      </c>
      <c r="C7222" s="6" t="s">
        <v>8466</v>
      </c>
      <c r="D7222" s="6" t="s">
        <v>8467</v>
      </c>
      <c r="E7222" s="6" t="s">
        <v>11616</v>
      </c>
      <c r="F7222" s="6" t="s">
        <v>8468</v>
      </c>
      <c r="G7222" s="57" t="s">
        <v>11449</v>
      </c>
      <c r="H7222" s="185">
        <v>0</v>
      </c>
      <c r="I7222" s="16">
        <v>470000000</v>
      </c>
      <c r="J7222" s="56" t="s">
        <v>229</v>
      </c>
      <c r="K7222" s="57" t="s">
        <v>641</v>
      </c>
      <c r="L7222" s="57" t="s">
        <v>364</v>
      </c>
      <c r="M7222" s="3" t="s">
        <v>230</v>
      </c>
      <c r="N7222" s="8" t="s">
        <v>8899</v>
      </c>
      <c r="O7222" s="6" t="s">
        <v>365</v>
      </c>
      <c r="P7222" s="58" t="s">
        <v>241</v>
      </c>
      <c r="Q7222" s="6" t="s">
        <v>234</v>
      </c>
      <c r="R7222" s="3">
        <v>0</v>
      </c>
      <c r="S7222" s="60">
        <v>10450</v>
      </c>
      <c r="T7222" s="4">
        <f t="shared" si="348"/>
        <v>0</v>
      </c>
      <c r="U7222" s="4">
        <f t="shared" si="347"/>
        <v>0</v>
      </c>
      <c r="V7222" s="3"/>
      <c r="W7222" s="3">
        <v>2014</v>
      </c>
      <c r="X7222" s="3" t="s">
        <v>12076</v>
      </c>
    </row>
    <row r="7223" spans="1:24" ht="114.75">
      <c r="A7223" s="3" t="s">
        <v>10920</v>
      </c>
      <c r="B7223" s="6" t="s">
        <v>361</v>
      </c>
      <c r="C7223" s="6" t="s">
        <v>8466</v>
      </c>
      <c r="D7223" s="6" t="s">
        <v>8467</v>
      </c>
      <c r="E7223" s="6" t="s">
        <v>11616</v>
      </c>
      <c r="F7223" s="6" t="s">
        <v>8468</v>
      </c>
      <c r="G7223" s="57" t="s">
        <v>11449</v>
      </c>
      <c r="H7223" s="185">
        <v>0</v>
      </c>
      <c r="I7223" s="16">
        <v>470000000</v>
      </c>
      <c r="J7223" s="56" t="s">
        <v>229</v>
      </c>
      <c r="K7223" s="57" t="s">
        <v>641</v>
      </c>
      <c r="L7223" s="57" t="s">
        <v>364</v>
      </c>
      <c r="M7223" s="3" t="s">
        <v>230</v>
      </c>
      <c r="N7223" s="8" t="s">
        <v>8899</v>
      </c>
      <c r="O7223" s="6" t="s">
        <v>365</v>
      </c>
      <c r="P7223" s="58" t="s">
        <v>241</v>
      </c>
      <c r="Q7223" s="6" t="s">
        <v>234</v>
      </c>
      <c r="R7223" s="3">
        <v>0</v>
      </c>
      <c r="S7223" s="60">
        <v>6820</v>
      </c>
      <c r="T7223" s="4">
        <f t="shared" si="348"/>
        <v>0</v>
      </c>
      <c r="U7223" s="4">
        <f t="shared" si="347"/>
        <v>0</v>
      </c>
      <c r="V7223" s="3"/>
      <c r="W7223" s="3">
        <v>2014</v>
      </c>
      <c r="X7223" s="3" t="s">
        <v>12076</v>
      </c>
    </row>
    <row r="7224" spans="1:24" ht="204">
      <c r="A7224" s="3" t="s">
        <v>10921</v>
      </c>
      <c r="B7224" s="6" t="s">
        <v>361</v>
      </c>
      <c r="C7224" s="6" t="s">
        <v>8469</v>
      </c>
      <c r="D7224" s="6" t="s">
        <v>8407</v>
      </c>
      <c r="E7224" s="6" t="s">
        <v>8470</v>
      </c>
      <c r="F7224" s="6" t="s">
        <v>8471</v>
      </c>
      <c r="G7224" s="57" t="s">
        <v>11449</v>
      </c>
      <c r="H7224" s="185">
        <v>0</v>
      </c>
      <c r="I7224" s="16">
        <v>470000000</v>
      </c>
      <c r="J7224" s="56" t="s">
        <v>229</v>
      </c>
      <c r="K7224" s="57" t="s">
        <v>641</v>
      </c>
      <c r="L7224" s="57" t="s">
        <v>364</v>
      </c>
      <c r="M7224" s="3" t="s">
        <v>230</v>
      </c>
      <c r="N7224" s="8" t="s">
        <v>8899</v>
      </c>
      <c r="O7224" s="6" t="s">
        <v>365</v>
      </c>
      <c r="P7224" s="58" t="s">
        <v>241</v>
      </c>
      <c r="Q7224" s="6" t="s">
        <v>234</v>
      </c>
      <c r="R7224" s="3">
        <v>0</v>
      </c>
      <c r="S7224" s="60">
        <v>23020</v>
      </c>
      <c r="T7224" s="4">
        <f t="shared" si="348"/>
        <v>0</v>
      </c>
      <c r="U7224" s="4">
        <f t="shared" si="347"/>
        <v>0</v>
      </c>
      <c r="V7224" s="3"/>
      <c r="W7224" s="3">
        <v>2014</v>
      </c>
      <c r="X7224" s="3" t="s">
        <v>12076</v>
      </c>
    </row>
    <row r="7225" spans="1:24" ht="204">
      <c r="A7225" s="3" t="s">
        <v>10922</v>
      </c>
      <c r="B7225" s="6" t="s">
        <v>361</v>
      </c>
      <c r="C7225" s="6" t="s">
        <v>8469</v>
      </c>
      <c r="D7225" s="6" t="s">
        <v>8407</v>
      </c>
      <c r="E7225" s="6" t="s">
        <v>8470</v>
      </c>
      <c r="F7225" s="6" t="s">
        <v>8472</v>
      </c>
      <c r="G7225" s="57" t="s">
        <v>11449</v>
      </c>
      <c r="H7225" s="185">
        <v>0</v>
      </c>
      <c r="I7225" s="16">
        <v>470000000</v>
      </c>
      <c r="J7225" s="56" t="s">
        <v>229</v>
      </c>
      <c r="K7225" s="57" t="s">
        <v>641</v>
      </c>
      <c r="L7225" s="57" t="s">
        <v>364</v>
      </c>
      <c r="M7225" s="3" t="s">
        <v>230</v>
      </c>
      <c r="N7225" s="8" t="s">
        <v>8899</v>
      </c>
      <c r="O7225" s="6" t="s">
        <v>365</v>
      </c>
      <c r="P7225" s="58" t="s">
        <v>241</v>
      </c>
      <c r="Q7225" s="6" t="s">
        <v>234</v>
      </c>
      <c r="R7225" s="3">
        <v>0</v>
      </c>
      <c r="S7225" s="60">
        <v>23020</v>
      </c>
      <c r="T7225" s="4">
        <f t="shared" si="348"/>
        <v>0</v>
      </c>
      <c r="U7225" s="4">
        <f t="shared" si="347"/>
        <v>0</v>
      </c>
      <c r="V7225" s="3"/>
      <c r="W7225" s="3">
        <v>2014</v>
      </c>
      <c r="X7225" s="3" t="s">
        <v>12076</v>
      </c>
    </row>
    <row r="7226" spans="1:24" ht="114.75">
      <c r="A7226" s="3" t="s">
        <v>10923</v>
      </c>
      <c r="B7226" s="6" t="s">
        <v>361</v>
      </c>
      <c r="C7226" s="6" t="s">
        <v>8473</v>
      </c>
      <c r="D7226" s="6" t="s">
        <v>8474</v>
      </c>
      <c r="E7226" s="6" t="s">
        <v>8475</v>
      </c>
      <c r="F7226" s="6" t="s">
        <v>8476</v>
      </c>
      <c r="G7226" s="57" t="s">
        <v>11449</v>
      </c>
      <c r="H7226" s="185">
        <v>0</v>
      </c>
      <c r="I7226" s="16">
        <v>470000000</v>
      </c>
      <c r="J7226" s="56" t="s">
        <v>229</v>
      </c>
      <c r="K7226" s="57" t="s">
        <v>641</v>
      </c>
      <c r="L7226" s="57" t="s">
        <v>364</v>
      </c>
      <c r="M7226" s="3" t="s">
        <v>230</v>
      </c>
      <c r="N7226" s="8" t="s">
        <v>8899</v>
      </c>
      <c r="O7226" s="6" t="s">
        <v>365</v>
      </c>
      <c r="P7226" s="58" t="s">
        <v>241</v>
      </c>
      <c r="Q7226" s="6" t="s">
        <v>234</v>
      </c>
      <c r="R7226" s="3">
        <v>0</v>
      </c>
      <c r="S7226" s="60">
        <v>334120</v>
      </c>
      <c r="T7226" s="4">
        <f t="shared" si="348"/>
        <v>0</v>
      </c>
      <c r="U7226" s="4">
        <f t="shared" ref="U7226:U7289" si="349">T7226*1.12</f>
        <v>0</v>
      </c>
      <c r="V7226" s="3"/>
      <c r="W7226" s="3">
        <v>2014</v>
      </c>
      <c r="X7226" s="3" t="s">
        <v>12076</v>
      </c>
    </row>
    <row r="7227" spans="1:24" ht="204">
      <c r="A7227" s="3" t="s">
        <v>10924</v>
      </c>
      <c r="B7227" s="6" t="s">
        <v>361</v>
      </c>
      <c r="C7227" s="6" t="s">
        <v>8469</v>
      </c>
      <c r="D7227" s="6" t="s">
        <v>8407</v>
      </c>
      <c r="E7227" s="6" t="s">
        <v>8470</v>
      </c>
      <c r="F7227" s="6" t="s">
        <v>8477</v>
      </c>
      <c r="G7227" s="57" t="s">
        <v>11449</v>
      </c>
      <c r="H7227" s="185">
        <v>0</v>
      </c>
      <c r="I7227" s="16">
        <v>470000000</v>
      </c>
      <c r="J7227" s="56" t="s">
        <v>229</v>
      </c>
      <c r="K7227" s="57" t="s">
        <v>641</v>
      </c>
      <c r="L7227" s="57" t="s">
        <v>364</v>
      </c>
      <c r="M7227" s="3" t="s">
        <v>230</v>
      </c>
      <c r="N7227" s="8" t="s">
        <v>8899</v>
      </c>
      <c r="O7227" s="6" t="s">
        <v>365</v>
      </c>
      <c r="P7227" s="58" t="s">
        <v>241</v>
      </c>
      <c r="Q7227" s="6" t="s">
        <v>234</v>
      </c>
      <c r="R7227" s="3">
        <v>0</v>
      </c>
      <c r="S7227" s="60">
        <v>112960</v>
      </c>
      <c r="T7227" s="4">
        <f t="shared" si="348"/>
        <v>0</v>
      </c>
      <c r="U7227" s="4">
        <f t="shared" si="349"/>
        <v>0</v>
      </c>
      <c r="V7227" s="3"/>
      <c r="W7227" s="3">
        <v>2014</v>
      </c>
      <c r="X7227" s="3" t="s">
        <v>12076</v>
      </c>
    </row>
    <row r="7228" spans="1:24" ht="114.75">
      <c r="A7228" s="3" t="s">
        <v>10925</v>
      </c>
      <c r="B7228" s="6" t="s">
        <v>361</v>
      </c>
      <c r="C7228" s="6" t="s">
        <v>8478</v>
      </c>
      <c r="D7228" s="6" t="s">
        <v>8479</v>
      </c>
      <c r="E7228" s="6" t="s">
        <v>8480</v>
      </c>
      <c r="F7228" s="6" t="s">
        <v>8481</v>
      </c>
      <c r="G7228" s="57" t="s">
        <v>11449</v>
      </c>
      <c r="H7228" s="185">
        <v>0</v>
      </c>
      <c r="I7228" s="16">
        <v>470000000</v>
      </c>
      <c r="J7228" s="56" t="s">
        <v>229</v>
      </c>
      <c r="K7228" s="57" t="s">
        <v>641</v>
      </c>
      <c r="L7228" s="57" t="s">
        <v>364</v>
      </c>
      <c r="M7228" s="3" t="s">
        <v>230</v>
      </c>
      <c r="N7228" s="8" t="s">
        <v>8899</v>
      </c>
      <c r="O7228" s="6" t="s">
        <v>365</v>
      </c>
      <c r="P7228" s="58" t="s">
        <v>241</v>
      </c>
      <c r="Q7228" s="6" t="s">
        <v>234</v>
      </c>
      <c r="R7228" s="3">
        <v>0</v>
      </c>
      <c r="S7228" s="60">
        <v>270100</v>
      </c>
      <c r="T7228" s="4">
        <f t="shared" si="348"/>
        <v>0</v>
      </c>
      <c r="U7228" s="4">
        <f t="shared" si="349"/>
        <v>0</v>
      </c>
      <c r="V7228" s="3"/>
      <c r="W7228" s="3">
        <v>2014</v>
      </c>
      <c r="X7228" s="3" t="s">
        <v>12076</v>
      </c>
    </row>
    <row r="7229" spans="1:24" ht="204">
      <c r="A7229" s="3" t="s">
        <v>10926</v>
      </c>
      <c r="B7229" s="6" t="s">
        <v>361</v>
      </c>
      <c r="C7229" s="6" t="s">
        <v>8469</v>
      </c>
      <c r="D7229" s="6" t="s">
        <v>8407</v>
      </c>
      <c r="E7229" s="6" t="s">
        <v>8470</v>
      </c>
      <c r="F7229" s="6" t="s">
        <v>8482</v>
      </c>
      <c r="G7229" s="57" t="s">
        <v>11449</v>
      </c>
      <c r="H7229" s="185">
        <v>0</v>
      </c>
      <c r="I7229" s="16">
        <v>470000000</v>
      </c>
      <c r="J7229" s="56" t="s">
        <v>229</v>
      </c>
      <c r="K7229" s="57" t="s">
        <v>641</v>
      </c>
      <c r="L7229" s="57" t="s">
        <v>364</v>
      </c>
      <c r="M7229" s="3" t="s">
        <v>230</v>
      </c>
      <c r="N7229" s="8" t="s">
        <v>8899</v>
      </c>
      <c r="O7229" s="6" t="s">
        <v>365</v>
      </c>
      <c r="P7229" s="58" t="s">
        <v>241</v>
      </c>
      <c r="Q7229" s="6" t="s">
        <v>234</v>
      </c>
      <c r="R7229" s="3">
        <v>0</v>
      </c>
      <c r="S7229" s="60">
        <v>78600</v>
      </c>
      <c r="T7229" s="4">
        <f t="shared" si="348"/>
        <v>0</v>
      </c>
      <c r="U7229" s="4">
        <f t="shared" si="349"/>
        <v>0</v>
      </c>
      <c r="V7229" s="3"/>
      <c r="W7229" s="3">
        <v>2014</v>
      </c>
      <c r="X7229" s="3" t="s">
        <v>12076</v>
      </c>
    </row>
    <row r="7230" spans="1:24" ht="114.75">
      <c r="A7230" s="3" t="s">
        <v>10927</v>
      </c>
      <c r="B7230" s="6" t="s">
        <v>361</v>
      </c>
      <c r="C7230" s="6" t="s">
        <v>11403</v>
      </c>
      <c r="D7230" s="6" t="s">
        <v>11404</v>
      </c>
      <c r="E7230" s="6" t="s">
        <v>11404</v>
      </c>
      <c r="F7230" s="6" t="s">
        <v>8483</v>
      </c>
      <c r="G7230" s="57" t="s">
        <v>11449</v>
      </c>
      <c r="H7230" s="185">
        <v>0</v>
      </c>
      <c r="I7230" s="16">
        <v>470000000</v>
      </c>
      <c r="J7230" s="56" t="s">
        <v>229</v>
      </c>
      <c r="K7230" s="57" t="s">
        <v>641</v>
      </c>
      <c r="L7230" s="57" t="s">
        <v>364</v>
      </c>
      <c r="M7230" s="3" t="s">
        <v>230</v>
      </c>
      <c r="N7230" s="8" t="s">
        <v>8899</v>
      </c>
      <c r="O7230" s="6" t="s">
        <v>365</v>
      </c>
      <c r="P7230" s="58" t="s">
        <v>241</v>
      </c>
      <c r="Q7230" s="6" t="s">
        <v>234</v>
      </c>
      <c r="R7230" s="3">
        <v>0</v>
      </c>
      <c r="S7230" s="60">
        <v>566100</v>
      </c>
      <c r="T7230" s="4">
        <f t="shared" si="348"/>
        <v>0</v>
      </c>
      <c r="U7230" s="4">
        <f t="shared" si="349"/>
        <v>0</v>
      </c>
      <c r="V7230" s="3"/>
      <c r="W7230" s="3">
        <v>2014</v>
      </c>
      <c r="X7230" s="3" t="s">
        <v>12076</v>
      </c>
    </row>
    <row r="7231" spans="1:24" ht="114.75">
      <c r="A7231" s="3" t="s">
        <v>10928</v>
      </c>
      <c r="B7231" s="6" t="s">
        <v>361</v>
      </c>
      <c r="C7231" s="6" t="s">
        <v>8484</v>
      </c>
      <c r="D7231" s="6" t="s">
        <v>8485</v>
      </c>
      <c r="E7231" s="6" t="s">
        <v>8486</v>
      </c>
      <c r="F7231" s="6" t="s">
        <v>8487</v>
      </c>
      <c r="G7231" s="57" t="s">
        <v>11449</v>
      </c>
      <c r="H7231" s="185">
        <v>0</v>
      </c>
      <c r="I7231" s="16">
        <v>470000000</v>
      </c>
      <c r="J7231" s="56" t="s">
        <v>229</v>
      </c>
      <c r="K7231" s="57" t="s">
        <v>641</v>
      </c>
      <c r="L7231" s="57" t="s">
        <v>364</v>
      </c>
      <c r="M7231" s="3" t="s">
        <v>230</v>
      </c>
      <c r="N7231" s="8" t="s">
        <v>8899</v>
      </c>
      <c r="O7231" s="6" t="s">
        <v>365</v>
      </c>
      <c r="P7231" s="58" t="s">
        <v>241</v>
      </c>
      <c r="Q7231" s="6" t="s">
        <v>234</v>
      </c>
      <c r="R7231" s="3">
        <v>0</v>
      </c>
      <c r="S7231" s="60">
        <v>69154</v>
      </c>
      <c r="T7231" s="4">
        <f t="shared" si="348"/>
        <v>0</v>
      </c>
      <c r="U7231" s="4">
        <f t="shared" si="349"/>
        <v>0</v>
      </c>
      <c r="V7231" s="3"/>
      <c r="W7231" s="3">
        <v>2014</v>
      </c>
      <c r="X7231" s="3" t="s">
        <v>12076</v>
      </c>
    </row>
    <row r="7232" spans="1:24" ht="114.75">
      <c r="A7232" s="3" t="s">
        <v>10929</v>
      </c>
      <c r="B7232" s="6" t="s">
        <v>361</v>
      </c>
      <c r="C7232" s="6" t="s">
        <v>8488</v>
      </c>
      <c r="D7232" s="6" t="s">
        <v>8489</v>
      </c>
      <c r="E7232" s="6" t="s">
        <v>8490</v>
      </c>
      <c r="F7232" s="6" t="s">
        <v>8489</v>
      </c>
      <c r="G7232" s="57" t="s">
        <v>11449</v>
      </c>
      <c r="H7232" s="185">
        <v>0</v>
      </c>
      <c r="I7232" s="16">
        <v>470000000</v>
      </c>
      <c r="J7232" s="56" t="s">
        <v>229</v>
      </c>
      <c r="K7232" s="57" t="s">
        <v>641</v>
      </c>
      <c r="L7232" s="57" t="s">
        <v>364</v>
      </c>
      <c r="M7232" s="3" t="s">
        <v>230</v>
      </c>
      <c r="N7232" s="8" t="s">
        <v>8899</v>
      </c>
      <c r="O7232" s="6" t="s">
        <v>365</v>
      </c>
      <c r="P7232" s="58" t="s">
        <v>241</v>
      </c>
      <c r="Q7232" s="6" t="s">
        <v>234</v>
      </c>
      <c r="R7232" s="3">
        <v>0</v>
      </c>
      <c r="S7232" s="60">
        <v>13000</v>
      </c>
      <c r="T7232" s="4">
        <f t="shared" si="348"/>
        <v>0</v>
      </c>
      <c r="U7232" s="4">
        <f t="shared" si="349"/>
        <v>0</v>
      </c>
      <c r="V7232" s="3"/>
      <c r="W7232" s="3">
        <v>2014</v>
      </c>
      <c r="X7232" s="3" t="s">
        <v>12076</v>
      </c>
    </row>
    <row r="7233" spans="1:24" ht="114.75">
      <c r="A7233" s="3" t="s">
        <v>10930</v>
      </c>
      <c r="B7233" s="6" t="s">
        <v>361</v>
      </c>
      <c r="C7233" s="6" t="s">
        <v>8491</v>
      </c>
      <c r="D7233" s="6" t="s">
        <v>8492</v>
      </c>
      <c r="E7233" s="6" t="s">
        <v>8493</v>
      </c>
      <c r="F7233" s="6" t="s">
        <v>8494</v>
      </c>
      <c r="G7233" s="57" t="s">
        <v>11449</v>
      </c>
      <c r="H7233" s="185">
        <v>0</v>
      </c>
      <c r="I7233" s="16">
        <v>470000000</v>
      </c>
      <c r="J7233" s="56" t="s">
        <v>229</v>
      </c>
      <c r="K7233" s="57" t="s">
        <v>641</v>
      </c>
      <c r="L7233" s="57" t="s">
        <v>364</v>
      </c>
      <c r="M7233" s="3" t="s">
        <v>230</v>
      </c>
      <c r="N7233" s="8" t="s">
        <v>8899</v>
      </c>
      <c r="O7233" s="6" t="s">
        <v>365</v>
      </c>
      <c r="P7233" s="58" t="s">
        <v>241</v>
      </c>
      <c r="Q7233" s="6" t="s">
        <v>234</v>
      </c>
      <c r="R7233" s="3">
        <v>0</v>
      </c>
      <c r="S7233" s="60">
        <v>4354</v>
      </c>
      <c r="T7233" s="4">
        <f t="shared" si="348"/>
        <v>0</v>
      </c>
      <c r="U7233" s="4">
        <f t="shared" si="349"/>
        <v>0</v>
      </c>
      <c r="V7233" s="3"/>
      <c r="W7233" s="3">
        <v>2014</v>
      </c>
      <c r="X7233" s="3" t="s">
        <v>12076</v>
      </c>
    </row>
    <row r="7234" spans="1:24" ht="114.75">
      <c r="A7234" s="3" t="s">
        <v>10931</v>
      </c>
      <c r="B7234" s="6" t="s">
        <v>361</v>
      </c>
      <c r="C7234" s="6" t="s">
        <v>8491</v>
      </c>
      <c r="D7234" s="6" t="s">
        <v>8492</v>
      </c>
      <c r="E7234" s="6" t="s">
        <v>8493</v>
      </c>
      <c r="F7234" s="6" t="s">
        <v>8495</v>
      </c>
      <c r="G7234" s="57" t="s">
        <v>11449</v>
      </c>
      <c r="H7234" s="185">
        <v>0</v>
      </c>
      <c r="I7234" s="16">
        <v>470000000</v>
      </c>
      <c r="J7234" s="56" t="s">
        <v>229</v>
      </c>
      <c r="K7234" s="57" t="s">
        <v>641</v>
      </c>
      <c r="L7234" s="57" t="s">
        <v>364</v>
      </c>
      <c r="M7234" s="3" t="s">
        <v>230</v>
      </c>
      <c r="N7234" s="8" t="s">
        <v>8899</v>
      </c>
      <c r="O7234" s="6" t="s">
        <v>365</v>
      </c>
      <c r="P7234" s="58" t="s">
        <v>241</v>
      </c>
      <c r="Q7234" s="6" t="s">
        <v>234</v>
      </c>
      <c r="R7234" s="3">
        <v>0</v>
      </c>
      <c r="S7234" s="60">
        <v>4354</v>
      </c>
      <c r="T7234" s="4">
        <f t="shared" si="348"/>
        <v>0</v>
      </c>
      <c r="U7234" s="4">
        <f t="shared" si="349"/>
        <v>0</v>
      </c>
      <c r="V7234" s="3"/>
      <c r="W7234" s="3">
        <v>2014</v>
      </c>
      <c r="X7234" s="3" t="s">
        <v>12076</v>
      </c>
    </row>
    <row r="7235" spans="1:24" ht="114.75">
      <c r="A7235" s="3" t="s">
        <v>10932</v>
      </c>
      <c r="B7235" s="6" t="s">
        <v>361</v>
      </c>
      <c r="C7235" s="6" t="s">
        <v>8496</v>
      </c>
      <c r="D7235" s="6" t="s">
        <v>8664</v>
      </c>
      <c r="E7235" s="6" t="s">
        <v>11617</v>
      </c>
      <c r="F7235" s="6" t="s">
        <v>8497</v>
      </c>
      <c r="G7235" s="57" t="s">
        <v>11449</v>
      </c>
      <c r="H7235" s="185">
        <v>0</v>
      </c>
      <c r="I7235" s="16">
        <v>470000000</v>
      </c>
      <c r="J7235" s="56" t="s">
        <v>229</v>
      </c>
      <c r="K7235" s="57" t="s">
        <v>641</v>
      </c>
      <c r="L7235" s="57" t="s">
        <v>364</v>
      </c>
      <c r="M7235" s="3" t="s">
        <v>230</v>
      </c>
      <c r="N7235" s="8" t="s">
        <v>8899</v>
      </c>
      <c r="O7235" s="6" t="s">
        <v>365</v>
      </c>
      <c r="P7235" s="58" t="s">
        <v>241</v>
      </c>
      <c r="Q7235" s="6" t="s">
        <v>234</v>
      </c>
      <c r="R7235" s="3">
        <v>0</v>
      </c>
      <c r="S7235" s="60">
        <v>270100</v>
      </c>
      <c r="T7235" s="4">
        <f t="shared" si="348"/>
        <v>0</v>
      </c>
      <c r="U7235" s="4">
        <f t="shared" si="349"/>
        <v>0</v>
      </c>
      <c r="V7235" s="3"/>
      <c r="W7235" s="3">
        <v>2014</v>
      </c>
      <c r="X7235" s="3" t="s">
        <v>12076</v>
      </c>
    </row>
    <row r="7236" spans="1:24" ht="114.75">
      <c r="A7236" s="3" t="s">
        <v>10933</v>
      </c>
      <c r="B7236" s="6" t="s">
        <v>361</v>
      </c>
      <c r="C7236" s="6" t="s">
        <v>8498</v>
      </c>
      <c r="D7236" s="6" t="s">
        <v>8499</v>
      </c>
      <c r="E7236" s="6" t="s">
        <v>8500</v>
      </c>
      <c r="F7236" s="6" t="s">
        <v>8501</v>
      </c>
      <c r="G7236" s="57" t="s">
        <v>11449</v>
      </c>
      <c r="H7236" s="185">
        <v>0</v>
      </c>
      <c r="I7236" s="16">
        <v>470000000</v>
      </c>
      <c r="J7236" s="56" t="s">
        <v>229</v>
      </c>
      <c r="K7236" s="57" t="s">
        <v>641</v>
      </c>
      <c r="L7236" s="57" t="s">
        <v>364</v>
      </c>
      <c r="M7236" s="3" t="s">
        <v>230</v>
      </c>
      <c r="N7236" s="8" t="s">
        <v>8899</v>
      </c>
      <c r="O7236" s="6" t="s">
        <v>365</v>
      </c>
      <c r="P7236" s="58" t="s">
        <v>241</v>
      </c>
      <c r="Q7236" s="6" t="s">
        <v>234</v>
      </c>
      <c r="R7236" s="3">
        <v>0</v>
      </c>
      <c r="S7236" s="60">
        <v>45400</v>
      </c>
      <c r="T7236" s="4">
        <f t="shared" si="348"/>
        <v>0</v>
      </c>
      <c r="U7236" s="4">
        <f t="shared" si="349"/>
        <v>0</v>
      </c>
      <c r="V7236" s="3"/>
      <c r="W7236" s="3">
        <v>2014</v>
      </c>
      <c r="X7236" s="3" t="s">
        <v>12076</v>
      </c>
    </row>
    <row r="7237" spans="1:24" ht="114.75">
      <c r="A7237" s="3" t="s">
        <v>10934</v>
      </c>
      <c r="B7237" s="6" t="s">
        <v>361</v>
      </c>
      <c r="C7237" s="6" t="s">
        <v>8502</v>
      </c>
      <c r="D7237" s="6" t="s">
        <v>8503</v>
      </c>
      <c r="E7237" s="6" t="s">
        <v>8504</v>
      </c>
      <c r="F7237" s="6" t="s">
        <v>8505</v>
      </c>
      <c r="G7237" s="57" t="s">
        <v>11449</v>
      </c>
      <c r="H7237" s="185">
        <v>0</v>
      </c>
      <c r="I7237" s="16">
        <v>470000000</v>
      </c>
      <c r="J7237" s="56" t="s">
        <v>229</v>
      </c>
      <c r="K7237" s="57" t="s">
        <v>641</v>
      </c>
      <c r="L7237" s="57" t="s">
        <v>364</v>
      </c>
      <c r="M7237" s="3" t="s">
        <v>230</v>
      </c>
      <c r="N7237" s="8" t="s">
        <v>8899</v>
      </c>
      <c r="O7237" s="6" t="s">
        <v>365</v>
      </c>
      <c r="P7237" s="58" t="s">
        <v>241</v>
      </c>
      <c r="Q7237" s="6" t="s">
        <v>234</v>
      </c>
      <c r="R7237" s="3">
        <v>0</v>
      </c>
      <c r="S7237" s="60">
        <v>49775</v>
      </c>
      <c r="T7237" s="4">
        <f t="shared" si="348"/>
        <v>0</v>
      </c>
      <c r="U7237" s="4">
        <f t="shared" si="349"/>
        <v>0</v>
      </c>
      <c r="V7237" s="3"/>
      <c r="W7237" s="3">
        <v>2014</v>
      </c>
      <c r="X7237" s="3" t="s">
        <v>12076</v>
      </c>
    </row>
    <row r="7238" spans="1:24" ht="114.75">
      <c r="A7238" s="3" t="s">
        <v>10935</v>
      </c>
      <c r="B7238" s="6" t="s">
        <v>361</v>
      </c>
      <c r="C7238" s="6" t="s">
        <v>8506</v>
      </c>
      <c r="D7238" s="6" t="s">
        <v>8507</v>
      </c>
      <c r="E7238" s="6" t="s">
        <v>8508</v>
      </c>
      <c r="F7238" s="6" t="s">
        <v>8509</v>
      </c>
      <c r="G7238" s="57" t="s">
        <v>11449</v>
      </c>
      <c r="H7238" s="185">
        <v>0</v>
      </c>
      <c r="I7238" s="16">
        <v>470000000</v>
      </c>
      <c r="J7238" s="56" t="s">
        <v>229</v>
      </c>
      <c r="K7238" s="57" t="s">
        <v>641</v>
      </c>
      <c r="L7238" s="57" t="s">
        <v>364</v>
      </c>
      <c r="M7238" s="3" t="s">
        <v>230</v>
      </c>
      <c r="N7238" s="8" t="s">
        <v>8899</v>
      </c>
      <c r="O7238" s="6" t="s">
        <v>365</v>
      </c>
      <c r="P7238" s="58" t="s">
        <v>241</v>
      </c>
      <c r="Q7238" s="6" t="s">
        <v>234</v>
      </c>
      <c r="R7238" s="3">
        <v>0</v>
      </c>
      <c r="S7238" s="60">
        <v>452800</v>
      </c>
      <c r="T7238" s="4">
        <f t="shared" si="348"/>
        <v>0</v>
      </c>
      <c r="U7238" s="4">
        <f t="shared" si="349"/>
        <v>0</v>
      </c>
      <c r="V7238" s="3"/>
      <c r="W7238" s="3">
        <v>2014</v>
      </c>
      <c r="X7238" s="3" t="s">
        <v>12076</v>
      </c>
    </row>
    <row r="7239" spans="1:24" ht="114.75">
      <c r="A7239" s="3" t="s">
        <v>10936</v>
      </c>
      <c r="B7239" s="6" t="s">
        <v>361</v>
      </c>
      <c r="C7239" s="6" t="s">
        <v>8510</v>
      </c>
      <c r="D7239" s="6" t="s">
        <v>8511</v>
      </c>
      <c r="E7239" s="6" t="s">
        <v>8512</v>
      </c>
      <c r="F7239" s="6" t="s">
        <v>8513</v>
      </c>
      <c r="G7239" s="57" t="s">
        <v>11449</v>
      </c>
      <c r="H7239" s="185">
        <v>0</v>
      </c>
      <c r="I7239" s="16">
        <v>470000000</v>
      </c>
      <c r="J7239" s="56" t="s">
        <v>229</v>
      </c>
      <c r="K7239" s="57" t="s">
        <v>641</v>
      </c>
      <c r="L7239" s="57" t="s">
        <v>364</v>
      </c>
      <c r="M7239" s="3" t="s">
        <v>230</v>
      </c>
      <c r="N7239" s="8" t="s">
        <v>8899</v>
      </c>
      <c r="O7239" s="6" t="s">
        <v>365</v>
      </c>
      <c r="P7239" s="58" t="s">
        <v>241</v>
      </c>
      <c r="Q7239" s="6" t="s">
        <v>234</v>
      </c>
      <c r="R7239" s="3">
        <v>0</v>
      </c>
      <c r="S7239" s="60">
        <v>11690</v>
      </c>
      <c r="T7239" s="4">
        <f t="shared" si="348"/>
        <v>0</v>
      </c>
      <c r="U7239" s="4">
        <f t="shared" si="349"/>
        <v>0</v>
      </c>
      <c r="V7239" s="3"/>
      <c r="W7239" s="3">
        <v>2014</v>
      </c>
      <c r="X7239" s="3" t="s">
        <v>12076</v>
      </c>
    </row>
    <row r="7240" spans="1:24" ht="114.75">
      <c r="A7240" s="3" t="s">
        <v>10937</v>
      </c>
      <c r="B7240" s="6" t="s">
        <v>361</v>
      </c>
      <c r="C7240" s="6" t="s">
        <v>8484</v>
      </c>
      <c r="D7240" s="6" t="s">
        <v>11659</v>
      </c>
      <c r="E7240" s="6" t="s">
        <v>8486</v>
      </c>
      <c r="F7240" s="6" t="s">
        <v>8513</v>
      </c>
      <c r="G7240" s="57" t="s">
        <v>11449</v>
      </c>
      <c r="H7240" s="185">
        <v>0</v>
      </c>
      <c r="I7240" s="16">
        <v>470000000</v>
      </c>
      <c r="J7240" s="56" t="s">
        <v>229</v>
      </c>
      <c r="K7240" s="57" t="s">
        <v>641</v>
      </c>
      <c r="L7240" s="57" t="s">
        <v>364</v>
      </c>
      <c r="M7240" s="3" t="s">
        <v>230</v>
      </c>
      <c r="N7240" s="8" t="s">
        <v>8899</v>
      </c>
      <c r="O7240" s="6" t="s">
        <v>365</v>
      </c>
      <c r="P7240" s="58" t="s">
        <v>241</v>
      </c>
      <c r="Q7240" s="6" t="s">
        <v>234</v>
      </c>
      <c r="R7240" s="3">
        <v>0</v>
      </c>
      <c r="S7240" s="60">
        <v>19160</v>
      </c>
      <c r="T7240" s="4">
        <f t="shared" si="348"/>
        <v>0</v>
      </c>
      <c r="U7240" s="4">
        <f t="shared" si="349"/>
        <v>0</v>
      </c>
      <c r="V7240" s="3"/>
      <c r="W7240" s="3">
        <v>2014</v>
      </c>
      <c r="X7240" s="3" t="s">
        <v>12076</v>
      </c>
    </row>
    <row r="7241" spans="1:24" ht="114.75">
      <c r="A7241" s="3" t="s">
        <v>10938</v>
      </c>
      <c r="B7241" s="6" t="s">
        <v>361</v>
      </c>
      <c r="C7241" s="6" t="s">
        <v>11697</v>
      </c>
      <c r="D7241" s="6" t="s">
        <v>11659</v>
      </c>
      <c r="E7241" s="6" t="s">
        <v>11698</v>
      </c>
      <c r="F7241" s="6" t="s">
        <v>8514</v>
      </c>
      <c r="G7241" s="57" t="s">
        <v>11449</v>
      </c>
      <c r="H7241" s="185">
        <v>0</v>
      </c>
      <c r="I7241" s="16">
        <v>470000000</v>
      </c>
      <c r="J7241" s="56" t="s">
        <v>229</v>
      </c>
      <c r="K7241" s="57" t="s">
        <v>641</v>
      </c>
      <c r="L7241" s="57" t="s">
        <v>364</v>
      </c>
      <c r="M7241" s="3" t="s">
        <v>230</v>
      </c>
      <c r="N7241" s="8" t="s">
        <v>8899</v>
      </c>
      <c r="O7241" s="6" t="s">
        <v>365</v>
      </c>
      <c r="P7241" s="58" t="s">
        <v>241</v>
      </c>
      <c r="Q7241" s="6" t="s">
        <v>234</v>
      </c>
      <c r="R7241" s="3">
        <v>0</v>
      </c>
      <c r="S7241" s="60">
        <v>13060</v>
      </c>
      <c r="T7241" s="4">
        <f t="shared" si="348"/>
        <v>0</v>
      </c>
      <c r="U7241" s="4">
        <f t="shared" si="349"/>
        <v>0</v>
      </c>
      <c r="V7241" s="3"/>
      <c r="W7241" s="3">
        <v>2014</v>
      </c>
      <c r="X7241" s="3" t="s">
        <v>12076</v>
      </c>
    </row>
    <row r="7242" spans="1:24" ht="114.75">
      <c r="A7242" s="3" t="s">
        <v>10939</v>
      </c>
      <c r="B7242" s="6" t="s">
        <v>361</v>
      </c>
      <c r="C7242" s="6" t="s">
        <v>11658</v>
      </c>
      <c r="D7242" s="6" t="s">
        <v>11659</v>
      </c>
      <c r="E7242" s="6" t="s">
        <v>11660</v>
      </c>
      <c r="F7242" s="6" t="s">
        <v>8515</v>
      </c>
      <c r="G7242" s="57" t="s">
        <v>11449</v>
      </c>
      <c r="H7242" s="185">
        <v>0</v>
      </c>
      <c r="I7242" s="16">
        <v>470000000</v>
      </c>
      <c r="J7242" s="56" t="s">
        <v>229</v>
      </c>
      <c r="K7242" s="57" t="s">
        <v>641</v>
      </c>
      <c r="L7242" s="57" t="s">
        <v>364</v>
      </c>
      <c r="M7242" s="3" t="s">
        <v>230</v>
      </c>
      <c r="N7242" s="8" t="s">
        <v>8899</v>
      </c>
      <c r="O7242" s="6" t="s">
        <v>365</v>
      </c>
      <c r="P7242" s="58" t="s">
        <v>241</v>
      </c>
      <c r="Q7242" s="6" t="s">
        <v>234</v>
      </c>
      <c r="R7242" s="3">
        <v>0</v>
      </c>
      <c r="S7242" s="60">
        <v>13060</v>
      </c>
      <c r="T7242" s="4">
        <f t="shared" si="348"/>
        <v>0</v>
      </c>
      <c r="U7242" s="4">
        <f t="shared" si="349"/>
        <v>0</v>
      </c>
      <c r="V7242" s="3"/>
      <c r="W7242" s="3">
        <v>2014</v>
      </c>
      <c r="X7242" s="3" t="s">
        <v>12076</v>
      </c>
    </row>
    <row r="7243" spans="1:24" ht="114.75">
      <c r="A7243" s="3" t="s">
        <v>10940</v>
      </c>
      <c r="B7243" s="6" t="s">
        <v>361</v>
      </c>
      <c r="C7243" s="6" t="s">
        <v>11658</v>
      </c>
      <c r="D7243" s="6" t="s">
        <v>11659</v>
      </c>
      <c r="E7243" s="6" t="s">
        <v>11660</v>
      </c>
      <c r="F7243" s="6" t="s">
        <v>8517</v>
      </c>
      <c r="G7243" s="57" t="s">
        <v>11449</v>
      </c>
      <c r="H7243" s="185">
        <v>0</v>
      </c>
      <c r="I7243" s="16">
        <v>470000000</v>
      </c>
      <c r="J7243" s="56" t="s">
        <v>229</v>
      </c>
      <c r="K7243" s="57" t="s">
        <v>641</v>
      </c>
      <c r="L7243" s="57" t="s">
        <v>364</v>
      </c>
      <c r="M7243" s="3" t="s">
        <v>230</v>
      </c>
      <c r="N7243" s="8" t="s">
        <v>8899</v>
      </c>
      <c r="O7243" s="6" t="s">
        <v>365</v>
      </c>
      <c r="P7243" s="58" t="s">
        <v>241</v>
      </c>
      <c r="Q7243" s="6" t="s">
        <v>234</v>
      </c>
      <c r="R7243" s="3">
        <v>0</v>
      </c>
      <c r="S7243" s="60">
        <v>13060</v>
      </c>
      <c r="T7243" s="4">
        <f t="shared" si="348"/>
        <v>0</v>
      </c>
      <c r="U7243" s="4">
        <f t="shared" si="349"/>
        <v>0</v>
      </c>
      <c r="V7243" s="3"/>
      <c r="W7243" s="3">
        <v>2014</v>
      </c>
      <c r="X7243" s="3" t="s">
        <v>12076</v>
      </c>
    </row>
    <row r="7244" spans="1:24" ht="114.75">
      <c r="A7244" s="3" t="s">
        <v>10941</v>
      </c>
      <c r="B7244" s="6" t="s">
        <v>361</v>
      </c>
      <c r="C7244" s="6" t="s">
        <v>11690</v>
      </c>
      <c r="D7244" s="6" t="s">
        <v>11659</v>
      </c>
      <c r="E7244" s="6" t="s">
        <v>8434</v>
      </c>
      <c r="F7244" s="6" t="s">
        <v>8518</v>
      </c>
      <c r="G7244" s="57" t="s">
        <v>11449</v>
      </c>
      <c r="H7244" s="185">
        <v>0</v>
      </c>
      <c r="I7244" s="16">
        <v>470000000</v>
      </c>
      <c r="J7244" s="56" t="s">
        <v>229</v>
      </c>
      <c r="K7244" s="57" t="s">
        <v>641</v>
      </c>
      <c r="L7244" s="57" t="s">
        <v>364</v>
      </c>
      <c r="M7244" s="3" t="s">
        <v>230</v>
      </c>
      <c r="N7244" s="8" t="s">
        <v>8899</v>
      </c>
      <c r="O7244" s="6" t="s">
        <v>365</v>
      </c>
      <c r="P7244" s="58" t="s">
        <v>241</v>
      </c>
      <c r="Q7244" s="6" t="s">
        <v>234</v>
      </c>
      <c r="R7244" s="3">
        <v>0</v>
      </c>
      <c r="S7244" s="60">
        <v>12193</v>
      </c>
      <c r="T7244" s="4">
        <f t="shared" si="348"/>
        <v>0</v>
      </c>
      <c r="U7244" s="4">
        <f t="shared" si="349"/>
        <v>0</v>
      </c>
      <c r="V7244" s="3"/>
      <c r="W7244" s="3">
        <v>2014</v>
      </c>
      <c r="X7244" s="3" t="s">
        <v>12076</v>
      </c>
    </row>
    <row r="7245" spans="1:24" ht="114.75">
      <c r="A7245" s="3" t="s">
        <v>10942</v>
      </c>
      <c r="B7245" s="6" t="s">
        <v>361</v>
      </c>
      <c r="C7245" s="6" t="s">
        <v>8484</v>
      </c>
      <c r="D7245" s="6" t="s">
        <v>11659</v>
      </c>
      <c r="E7245" s="6" t="s">
        <v>8486</v>
      </c>
      <c r="F7245" s="6" t="s">
        <v>8519</v>
      </c>
      <c r="G7245" s="57" t="s">
        <v>11449</v>
      </c>
      <c r="H7245" s="185">
        <v>0</v>
      </c>
      <c r="I7245" s="16">
        <v>470000000</v>
      </c>
      <c r="J7245" s="56" t="s">
        <v>229</v>
      </c>
      <c r="K7245" s="57" t="s">
        <v>641</v>
      </c>
      <c r="L7245" s="57" t="s">
        <v>364</v>
      </c>
      <c r="M7245" s="3" t="s">
        <v>230</v>
      </c>
      <c r="N7245" s="8" t="s">
        <v>8899</v>
      </c>
      <c r="O7245" s="6" t="s">
        <v>365</v>
      </c>
      <c r="P7245" s="58" t="s">
        <v>241</v>
      </c>
      <c r="Q7245" s="6" t="s">
        <v>234</v>
      </c>
      <c r="R7245" s="3">
        <v>0</v>
      </c>
      <c r="S7245" s="60">
        <v>15240</v>
      </c>
      <c r="T7245" s="4">
        <f t="shared" si="348"/>
        <v>0</v>
      </c>
      <c r="U7245" s="4">
        <f t="shared" si="349"/>
        <v>0</v>
      </c>
      <c r="V7245" s="3"/>
      <c r="W7245" s="3">
        <v>2014</v>
      </c>
      <c r="X7245" s="3" t="s">
        <v>12076</v>
      </c>
    </row>
    <row r="7246" spans="1:24" ht="114.75">
      <c r="A7246" s="3" t="s">
        <v>10943</v>
      </c>
      <c r="B7246" s="6" t="s">
        <v>361</v>
      </c>
      <c r="C7246" s="6" t="s">
        <v>8520</v>
      </c>
      <c r="D7246" s="6" t="s">
        <v>8511</v>
      </c>
      <c r="E7246" s="6" t="s">
        <v>11661</v>
      </c>
      <c r="F7246" s="6" t="s">
        <v>8521</v>
      </c>
      <c r="G7246" s="57" t="s">
        <v>11449</v>
      </c>
      <c r="H7246" s="185">
        <v>0</v>
      </c>
      <c r="I7246" s="16">
        <v>470000000</v>
      </c>
      <c r="J7246" s="56" t="s">
        <v>229</v>
      </c>
      <c r="K7246" s="57" t="s">
        <v>641</v>
      </c>
      <c r="L7246" s="57" t="s">
        <v>364</v>
      </c>
      <c r="M7246" s="3" t="s">
        <v>230</v>
      </c>
      <c r="N7246" s="8" t="s">
        <v>8899</v>
      </c>
      <c r="O7246" s="6" t="s">
        <v>365</v>
      </c>
      <c r="P7246" s="58" t="s">
        <v>241</v>
      </c>
      <c r="Q7246" s="6" t="s">
        <v>234</v>
      </c>
      <c r="R7246" s="3">
        <v>0</v>
      </c>
      <c r="S7246" s="60">
        <v>32600</v>
      </c>
      <c r="T7246" s="4">
        <f t="shared" si="348"/>
        <v>0</v>
      </c>
      <c r="U7246" s="4">
        <f t="shared" si="349"/>
        <v>0</v>
      </c>
      <c r="V7246" s="3"/>
      <c r="W7246" s="3">
        <v>2014</v>
      </c>
      <c r="X7246" s="3" t="s">
        <v>12076</v>
      </c>
    </row>
    <row r="7247" spans="1:24" ht="114.75">
      <c r="A7247" s="3" t="s">
        <v>10944</v>
      </c>
      <c r="B7247" s="6" t="s">
        <v>361</v>
      </c>
      <c r="C7247" s="6" t="s">
        <v>8522</v>
      </c>
      <c r="D7247" s="6" t="s">
        <v>8516</v>
      </c>
      <c r="E7247" s="6" t="s">
        <v>8523</v>
      </c>
      <c r="F7247" s="6" t="s">
        <v>8524</v>
      </c>
      <c r="G7247" s="57" t="s">
        <v>11449</v>
      </c>
      <c r="H7247" s="185">
        <v>0</v>
      </c>
      <c r="I7247" s="16">
        <v>470000000</v>
      </c>
      <c r="J7247" s="56" t="s">
        <v>229</v>
      </c>
      <c r="K7247" s="57" t="s">
        <v>641</v>
      </c>
      <c r="L7247" s="57" t="s">
        <v>364</v>
      </c>
      <c r="M7247" s="3" t="s">
        <v>230</v>
      </c>
      <c r="N7247" s="8" t="s">
        <v>8899</v>
      </c>
      <c r="O7247" s="6" t="s">
        <v>365</v>
      </c>
      <c r="P7247" s="58" t="s">
        <v>241</v>
      </c>
      <c r="Q7247" s="6" t="s">
        <v>234</v>
      </c>
      <c r="R7247" s="3">
        <v>0</v>
      </c>
      <c r="S7247" s="60">
        <v>13060</v>
      </c>
      <c r="T7247" s="4">
        <f t="shared" si="348"/>
        <v>0</v>
      </c>
      <c r="U7247" s="4">
        <f t="shared" si="349"/>
        <v>0</v>
      </c>
      <c r="V7247" s="3"/>
      <c r="W7247" s="3">
        <v>2014</v>
      </c>
      <c r="X7247" s="3" t="s">
        <v>12076</v>
      </c>
    </row>
    <row r="7248" spans="1:24" ht="114.75">
      <c r="A7248" s="3" t="s">
        <v>10945</v>
      </c>
      <c r="B7248" s="6" t="s">
        <v>361</v>
      </c>
      <c r="C7248" s="6" t="s">
        <v>11662</v>
      </c>
      <c r="D7248" s="6" t="s">
        <v>9219</v>
      </c>
      <c r="E7248" s="6" t="s">
        <v>11663</v>
      </c>
      <c r="F7248" s="6"/>
      <c r="G7248" s="57" t="s">
        <v>11449</v>
      </c>
      <c r="H7248" s="185">
        <v>0</v>
      </c>
      <c r="I7248" s="16">
        <v>470000000</v>
      </c>
      <c r="J7248" s="56" t="s">
        <v>229</v>
      </c>
      <c r="K7248" s="57" t="s">
        <v>641</v>
      </c>
      <c r="L7248" s="57" t="s">
        <v>364</v>
      </c>
      <c r="M7248" s="3" t="s">
        <v>230</v>
      </c>
      <c r="N7248" s="8" t="s">
        <v>8899</v>
      </c>
      <c r="O7248" s="6" t="s">
        <v>365</v>
      </c>
      <c r="P7248" s="58" t="s">
        <v>241</v>
      </c>
      <c r="Q7248" s="6" t="s">
        <v>234</v>
      </c>
      <c r="R7248" s="3">
        <v>0</v>
      </c>
      <c r="S7248" s="60">
        <v>6960</v>
      </c>
      <c r="T7248" s="4">
        <f t="shared" si="348"/>
        <v>0</v>
      </c>
      <c r="U7248" s="4">
        <f t="shared" si="349"/>
        <v>0</v>
      </c>
      <c r="V7248" s="3"/>
      <c r="W7248" s="3">
        <v>2014</v>
      </c>
      <c r="X7248" s="3" t="s">
        <v>12076</v>
      </c>
    </row>
    <row r="7249" spans="1:24" ht="114.75">
      <c r="A7249" s="3" t="s">
        <v>10946</v>
      </c>
      <c r="B7249" s="6" t="s">
        <v>361</v>
      </c>
      <c r="C7249" s="6" t="s">
        <v>8526</v>
      </c>
      <c r="D7249" s="6" t="s">
        <v>8525</v>
      </c>
      <c r="E7249" s="6" t="s">
        <v>8527</v>
      </c>
      <c r="F7249" s="6" t="s">
        <v>8528</v>
      </c>
      <c r="G7249" s="57" t="s">
        <v>11449</v>
      </c>
      <c r="H7249" s="185">
        <v>0</v>
      </c>
      <c r="I7249" s="16">
        <v>470000000</v>
      </c>
      <c r="J7249" s="56" t="s">
        <v>229</v>
      </c>
      <c r="K7249" s="57" t="s">
        <v>641</v>
      </c>
      <c r="L7249" s="57" t="s">
        <v>364</v>
      </c>
      <c r="M7249" s="3" t="s">
        <v>230</v>
      </c>
      <c r="N7249" s="8" t="s">
        <v>8899</v>
      </c>
      <c r="O7249" s="6" t="s">
        <v>365</v>
      </c>
      <c r="P7249" s="58" t="s">
        <v>241</v>
      </c>
      <c r="Q7249" s="6" t="s">
        <v>234</v>
      </c>
      <c r="R7249" s="3">
        <v>0</v>
      </c>
      <c r="S7249" s="60">
        <v>2920</v>
      </c>
      <c r="T7249" s="4">
        <f t="shared" si="348"/>
        <v>0</v>
      </c>
      <c r="U7249" s="4">
        <f t="shared" si="349"/>
        <v>0</v>
      </c>
      <c r="V7249" s="3"/>
      <c r="W7249" s="3">
        <v>2014</v>
      </c>
      <c r="X7249" s="3" t="s">
        <v>12076</v>
      </c>
    </row>
    <row r="7250" spans="1:24" ht="114.75">
      <c r="A7250" s="3" t="s">
        <v>10947</v>
      </c>
      <c r="B7250" s="6" t="s">
        <v>361</v>
      </c>
      <c r="C7250" s="6" t="s">
        <v>8529</v>
      </c>
      <c r="D7250" s="6" t="s">
        <v>8525</v>
      </c>
      <c r="E7250" s="6" t="s">
        <v>8530</v>
      </c>
      <c r="F7250" s="6" t="s">
        <v>8528</v>
      </c>
      <c r="G7250" s="57" t="s">
        <v>11449</v>
      </c>
      <c r="H7250" s="185">
        <v>0</v>
      </c>
      <c r="I7250" s="16">
        <v>470000000</v>
      </c>
      <c r="J7250" s="56" t="s">
        <v>229</v>
      </c>
      <c r="K7250" s="57" t="s">
        <v>641</v>
      </c>
      <c r="L7250" s="57" t="s">
        <v>364</v>
      </c>
      <c r="M7250" s="3" t="s">
        <v>230</v>
      </c>
      <c r="N7250" s="8" t="s">
        <v>8899</v>
      </c>
      <c r="O7250" s="6" t="s">
        <v>365</v>
      </c>
      <c r="P7250" s="58" t="s">
        <v>241</v>
      </c>
      <c r="Q7250" s="6" t="s">
        <v>234</v>
      </c>
      <c r="R7250" s="3">
        <v>0</v>
      </c>
      <c r="S7250" s="60">
        <v>6090</v>
      </c>
      <c r="T7250" s="4">
        <f t="shared" si="348"/>
        <v>0</v>
      </c>
      <c r="U7250" s="4">
        <f t="shared" si="349"/>
        <v>0</v>
      </c>
      <c r="V7250" s="3"/>
      <c r="W7250" s="3">
        <v>2014</v>
      </c>
      <c r="X7250" s="3" t="s">
        <v>12076</v>
      </c>
    </row>
    <row r="7251" spans="1:24" ht="114.75">
      <c r="A7251" s="3" t="s">
        <v>10948</v>
      </c>
      <c r="B7251" s="6" t="s">
        <v>361</v>
      </c>
      <c r="C7251" s="6" t="s">
        <v>8526</v>
      </c>
      <c r="D7251" s="6" t="s">
        <v>9219</v>
      </c>
      <c r="E7251" s="6" t="s">
        <v>11664</v>
      </c>
      <c r="F7251" s="6" t="s">
        <v>8531</v>
      </c>
      <c r="G7251" s="57" t="s">
        <v>11449</v>
      </c>
      <c r="H7251" s="185">
        <v>0</v>
      </c>
      <c r="I7251" s="16">
        <v>470000000</v>
      </c>
      <c r="J7251" s="56" t="s">
        <v>229</v>
      </c>
      <c r="K7251" s="57" t="s">
        <v>641</v>
      </c>
      <c r="L7251" s="57" t="s">
        <v>364</v>
      </c>
      <c r="M7251" s="3" t="s">
        <v>230</v>
      </c>
      <c r="N7251" s="8" t="s">
        <v>8899</v>
      </c>
      <c r="O7251" s="6" t="s">
        <v>365</v>
      </c>
      <c r="P7251" s="58" t="s">
        <v>241</v>
      </c>
      <c r="Q7251" s="6" t="s">
        <v>234</v>
      </c>
      <c r="R7251" s="3">
        <v>0</v>
      </c>
      <c r="S7251" s="60">
        <v>2200</v>
      </c>
      <c r="T7251" s="4">
        <f t="shared" si="348"/>
        <v>0</v>
      </c>
      <c r="U7251" s="4">
        <f t="shared" si="349"/>
        <v>0</v>
      </c>
      <c r="V7251" s="3"/>
      <c r="W7251" s="3">
        <v>2014</v>
      </c>
      <c r="X7251" s="3" t="s">
        <v>12076</v>
      </c>
    </row>
    <row r="7252" spans="1:24" ht="114.75">
      <c r="A7252" s="3" t="s">
        <v>10949</v>
      </c>
      <c r="B7252" s="6" t="s">
        <v>361</v>
      </c>
      <c r="C7252" s="6" t="s">
        <v>8532</v>
      </c>
      <c r="D7252" s="6" t="s">
        <v>8533</v>
      </c>
      <c r="E7252" s="6" t="s">
        <v>8534</v>
      </c>
      <c r="F7252" s="6" t="s">
        <v>8535</v>
      </c>
      <c r="G7252" s="57" t="s">
        <v>11449</v>
      </c>
      <c r="H7252" s="185">
        <v>0</v>
      </c>
      <c r="I7252" s="16">
        <v>470000000</v>
      </c>
      <c r="J7252" s="56" t="s">
        <v>229</v>
      </c>
      <c r="K7252" s="57" t="s">
        <v>641</v>
      </c>
      <c r="L7252" s="57" t="s">
        <v>364</v>
      </c>
      <c r="M7252" s="3" t="s">
        <v>230</v>
      </c>
      <c r="N7252" s="8" t="s">
        <v>8899</v>
      </c>
      <c r="O7252" s="6" t="s">
        <v>365</v>
      </c>
      <c r="P7252" s="58" t="s">
        <v>241</v>
      </c>
      <c r="Q7252" s="6" t="s">
        <v>234</v>
      </c>
      <c r="R7252" s="3">
        <v>0</v>
      </c>
      <c r="S7252" s="60">
        <v>4380</v>
      </c>
      <c r="T7252" s="4">
        <f t="shared" si="348"/>
        <v>0</v>
      </c>
      <c r="U7252" s="4">
        <f t="shared" si="349"/>
        <v>0</v>
      </c>
      <c r="V7252" s="3"/>
      <c r="W7252" s="3">
        <v>2014</v>
      </c>
      <c r="X7252" s="3" t="s">
        <v>12076</v>
      </c>
    </row>
    <row r="7253" spans="1:24" ht="114.75">
      <c r="A7253" s="3" t="s">
        <v>10950</v>
      </c>
      <c r="B7253" s="6" t="s">
        <v>361</v>
      </c>
      <c r="C7253" s="6" t="s">
        <v>8536</v>
      </c>
      <c r="D7253" s="6" t="s">
        <v>8537</v>
      </c>
      <c r="E7253" s="6" t="s">
        <v>8538</v>
      </c>
      <c r="F7253" s="6"/>
      <c r="G7253" s="57" t="s">
        <v>11449</v>
      </c>
      <c r="H7253" s="185">
        <v>0</v>
      </c>
      <c r="I7253" s="16">
        <v>470000000</v>
      </c>
      <c r="J7253" s="56" t="s">
        <v>229</v>
      </c>
      <c r="K7253" s="57" t="s">
        <v>641</v>
      </c>
      <c r="L7253" s="57" t="s">
        <v>364</v>
      </c>
      <c r="M7253" s="3" t="s">
        <v>230</v>
      </c>
      <c r="N7253" s="8" t="s">
        <v>8899</v>
      </c>
      <c r="O7253" s="6" t="s">
        <v>365</v>
      </c>
      <c r="P7253" s="58" t="s">
        <v>241</v>
      </c>
      <c r="Q7253" s="6" t="s">
        <v>234</v>
      </c>
      <c r="R7253" s="3">
        <v>0</v>
      </c>
      <c r="S7253" s="60">
        <v>78300</v>
      </c>
      <c r="T7253" s="4">
        <f t="shared" si="348"/>
        <v>0</v>
      </c>
      <c r="U7253" s="4">
        <f t="shared" si="349"/>
        <v>0</v>
      </c>
      <c r="V7253" s="3"/>
      <c r="W7253" s="3">
        <v>2014</v>
      </c>
      <c r="X7253" s="3" t="s">
        <v>12076</v>
      </c>
    </row>
    <row r="7254" spans="1:24" ht="114.75">
      <c r="A7254" s="3" t="s">
        <v>10951</v>
      </c>
      <c r="B7254" s="6" t="s">
        <v>361</v>
      </c>
      <c r="C7254" s="6" t="s">
        <v>8536</v>
      </c>
      <c r="D7254" s="6" t="s">
        <v>8537</v>
      </c>
      <c r="E7254" s="6" t="s">
        <v>8538</v>
      </c>
      <c r="F7254" s="6"/>
      <c r="G7254" s="57" t="s">
        <v>11449</v>
      </c>
      <c r="H7254" s="185">
        <v>0</v>
      </c>
      <c r="I7254" s="16">
        <v>470000000</v>
      </c>
      <c r="J7254" s="56" t="s">
        <v>229</v>
      </c>
      <c r="K7254" s="57" t="s">
        <v>641</v>
      </c>
      <c r="L7254" s="57" t="s">
        <v>364</v>
      </c>
      <c r="M7254" s="3" t="s">
        <v>230</v>
      </c>
      <c r="N7254" s="8" t="s">
        <v>8899</v>
      </c>
      <c r="O7254" s="6" t="s">
        <v>365</v>
      </c>
      <c r="P7254" s="58" t="s">
        <v>241</v>
      </c>
      <c r="Q7254" s="6" t="s">
        <v>234</v>
      </c>
      <c r="R7254" s="3">
        <v>0</v>
      </c>
      <c r="S7254" s="60">
        <v>34100</v>
      </c>
      <c r="T7254" s="4">
        <f t="shared" si="348"/>
        <v>0</v>
      </c>
      <c r="U7254" s="4">
        <f t="shared" si="349"/>
        <v>0</v>
      </c>
      <c r="V7254" s="3"/>
      <c r="W7254" s="3">
        <v>2014</v>
      </c>
      <c r="X7254" s="3" t="s">
        <v>12076</v>
      </c>
    </row>
    <row r="7255" spans="1:24" ht="114.75">
      <c r="A7255" s="3" t="s">
        <v>10952</v>
      </c>
      <c r="B7255" s="6" t="s">
        <v>361</v>
      </c>
      <c r="C7255" s="6" t="s">
        <v>8539</v>
      </c>
      <c r="D7255" s="6" t="s">
        <v>8540</v>
      </c>
      <c r="E7255" s="6" t="s">
        <v>8541</v>
      </c>
      <c r="F7255" s="6"/>
      <c r="G7255" s="57" t="s">
        <v>11449</v>
      </c>
      <c r="H7255" s="185">
        <v>0</v>
      </c>
      <c r="I7255" s="16">
        <v>470000000</v>
      </c>
      <c r="J7255" s="56" t="s">
        <v>229</v>
      </c>
      <c r="K7255" s="57" t="s">
        <v>641</v>
      </c>
      <c r="L7255" s="57" t="s">
        <v>364</v>
      </c>
      <c r="M7255" s="3" t="s">
        <v>230</v>
      </c>
      <c r="N7255" s="8" t="s">
        <v>8899</v>
      </c>
      <c r="O7255" s="6" t="s">
        <v>365</v>
      </c>
      <c r="P7255" s="58" t="s">
        <v>241</v>
      </c>
      <c r="Q7255" s="6" t="s">
        <v>234</v>
      </c>
      <c r="R7255" s="3">
        <v>0</v>
      </c>
      <c r="S7255" s="60">
        <v>182900</v>
      </c>
      <c r="T7255" s="4">
        <f t="shared" si="348"/>
        <v>0</v>
      </c>
      <c r="U7255" s="4">
        <f t="shared" si="349"/>
        <v>0</v>
      </c>
      <c r="V7255" s="3"/>
      <c r="W7255" s="3">
        <v>2014</v>
      </c>
      <c r="X7255" s="3" t="s">
        <v>12076</v>
      </c>
    </row>
    <row r="7256" spans="1:24" ht="114.75">
      <c r="A7256" s="3" t="s">
        <v>10953</v>
      </c>
      <c r="B7256" s="6" t="s">
        <v>361</v>
      </c>
      <c r="C7256" s="6" t="s">
        <v>8542</v>
      </c>
      <c r="D7256" s="6" t="s">
        <v>8543</v>
      </c>
      <c r="E7256" s="6" t="s">
        <v>8544</v>
      </c>
      <c r="F7256" s="6" t="s">
        <v>8545</v>
      </c>
      <c r="G7256" s="57" t="s">
        <v>11449</v>
      </c>
      <c r="H7256" s="185">
        <v>0</v>
      </c>
      <c r="I7256" s="16">
        <v>470000000</v>
      </c>
      <c r="J7256" s="56" t="s">
        <v>229</v>
      </c>
      <c r="K7256" s="57" t="s">
        <v>641</v>
      </c>
      <c r="L7256" s="57" t="s">
        <v>364</v>
      </c>
      <c r="M7256" s="3" t="s">
        <v>230</v>
      </c>
      <c r="N7256" s="8" t="s">
        <v>8899</v>
      </c>
      <c r="O7256" s="6" t="s">
        <v>365</v>
      </c>
      <c r="P7256" s="58" t="s">
        <v>241</v>
      </c>
      <c r="Q7256" s="6" t="s">
        <v>234</v>
      </c>
      <c r="R7256" s="3">
        <v>0</v>
      </c>
      <c r="S7256" s="60">
        <v>23000</v>
      </c>
      <c r="T7256" s="4">
        <f t="shared" si="348"/>
        <v>0</v>
      </c>
      <c r="U7256" s="4">
        <f t="shared" si="349"/>
        <v>0</v>
      </c>
      <c r="V7256" s="3"/>
      <c r="W7256" s="3">
        <v>2014</v>
      </c>
      <c r="X7256" s="3" t="s">
        <v>12076</v>
      </c>
    </row>
    <row r="7257" spans="1:24" ht="114.75">
      <c r="A7257" s="3" t="s">
        <v>10954</v>
      </c>
      <c r="B7257" s="6" t="s">
        <v>361</v>
      </c>
      <c r="C7257" s="6" t="s">
        <v>8546</v>
      </c>
      <c r="D7257" s="6" t="s">
        <v>8547</v>
      </c>
      <c r="E7257" s="6" t="s">
        <v>8548</v>
      </c>
      <c r="F7257" s="6" t="s">
        <v>8549</v>
      </c>
      <c r="G7257" s="57" t="s">
        <v>11449</v>
      </c>
      <c r="H7257" s="185">
        <v>0</v>
      </c>
      <c r="I7257" s="16">
        <v>470000000</v>
      </c>
      <c r="J7257" s="56" t="s">
        <v>229</v>
      </c>
      <c r="K7257" s="57" t="s">
        <v>641</v>
      </c>
      <c r="L7257" s="57" t="s">
        <v>364</v>
      </c>
      <c r="M7257" s="3" t="s">
        <v>230</v>
      </c>
      <c r="N7257" s="8" t="s">
        <v>8899</v>
      </c>
      <c r="O7257" s="6" t="s">
        <v>365</v>
      </c>
      <c r="P7257" s="58" t="s">
        <v>241</v>
      </c>
      <c r="Q7257" s="6" t="s">
        <v>234</v>
      </c>
      <c r="R7257" s="3">
        <v>0</v>
      </c>
      <c r="S7257" s="60">
        <v>14600</v>
      </c>
      <c r="T7257" s="4">
        <f t="shared" si="348"/>
        <v>0</v>
      </c>
      <c r="U7257" s="4">
        <f t="shared" si="349"/>
        <v>0</v>
      </c>
      <c r="V7257" s="3"/>
      <c r="W7257" s="3">
        <v>2014</v>
      </c>
      <c r="X7257" s="3" t="s">
        <v>12076</v>
      </c>
    </row>
    <row r="7258" spans="1:24" ht="114.75">
      <c r="A7258" s="3" t="s">
        <v>10955</v>
      </c>
      <c r="B7258" s="6" t="s">
        <v>361</v>
      </c>
      <c r="C7258" s="6" t="s">
        <v>8550</v>
      </c>
      <c r="D7258" s="6" t="s">
        <v>8551</v>
      </c>
      <c r="E7258" s="6" t="s">
        <v>8552</v>
      </c>
      <c r="F7258" s="6" t="s">
        <v>8553</v>
      </c>
      <c r="G7258" s="57" t="s">
        <v>11449</v>
      </c>
      <c r="H7258" s="185">
        <v>0</v>
      </c>
      <c r="I7258" s="16">
        <v>470000000</v>
      </c>
      <c r="J7258" s="56" t="s">
        <v>229</v>
      </c>
      <c r="K7258" s="57" t="s">
        <v>641</v>
      </c>
      <c r="L7258" s="57" t="s">
        <v>364</v>
      </c>
      <c r="M7258" s="3" t="s">
        <v>230</v>
      </c>
      <c r="N7258" s="8" t="s">
        <v>8899</v>
      </c>
      <c r="O7258" s="6" t="s">
        <v>365</v>
      </c>
      <c r="P7258" s="58" t="s">
        <v>241</v>
      </c>
      <c r="Q7258" s="6" t="s">
        <v>234</v>
      </c>
      <c r="R7258" s="3">
        <v>0</v>
      </c>
      <c r="S7258" s="60">
        <v>256600</v>
      </c>
      <c r="T7258" s="4">
        <f t="shared" si="348"/>
        <v>0</v>
      </c>
      <c r="U7258" s="4">
        <f t="shared" si="349"/>
        <v>0</v>
      </c>
      <c r="V7258" s="3"/>
      <c r="W7258" s="3">
        <v>2014</v>
      </c>
      <c r="X7258" s="3" t="s">
        <v>12076</v>
      </c>
    </row>
    <row r="7259" spans="1:24" ht="114.75">
      <c r="A7259" s="3" t="s">
        <v>10956</v>
      </c>
      <c r="B7259" s="6" t="s">
        <v>361</v>
      </c>
      <c r="C7259" s="6" t="s">
        <v>8554</v>
      </c>
      <c r="D7259" s="6" t="s">
        <v>8555</v>
      </c>
      <c r="E7259" s="6" t="s">
        <v>8556</v>
      </c>
      <c r="F7259" s="6" t="s">
        <v>8557</v>
      </c>
      <c r="G7259" s="57" t="s">
        <v>11449</v>
      </c>
      <c r="H7259" s="185">
        <v>0</v>
      </c>
      <c r="I7259" s="16">
        <v>470000000</v>
      </c>
      <c r="J7259" s="56" t="s">
        <v>229</v>
      </c>
      <c r="K7259" s="57" t="s">
        <v>641</v>
      </c>
      <c r="L7259" s="57" t="s">
        <v>364</v>
      </c>
      <c r="M7259" s="3" t="s">
        <v>230</v>
      </c>
      <c r="N7259" s="8" t="s">
        <v>8899</v>
      </c>
      <c r="O7259" s="6" t="s">
        <v>365</v>
      </c>
      <c r="P7259" s="58" t="s">
        <v>241</v>
      </c>
      <c r="Q7259" s="6" t="s">
        <v>234</v>
      </c>
      <c r="R7259" s="3">
        <v>0</v>
      </c>
      <c r="S7259" s="60">
        <v>23000</v>
      </c>
      <c r="T7259" s="4">
        <f t="shared" si="348"/>
        <v>0</v>
      </c>
      <c r="U7259" s="4">
        <f t="shared" si="349"/>
        <v>0</v>
      </c>
      <c r="V7259" s="3"/>
      <c r="W7259" s="3">
        <v>2014</v>
      </c>
      <c r="X7259" s="3" t="s">
        <v>12076</v>
      </c>
    </row>
    <row r="7260" spans="1:24" ht="114.75">
      <c r="A7260" s="3" t="s">
        <v>10957</v>
      </c>
      <c r="B7260" s="6" t="s">
        <v>361</v>
      </c>
      <c r="C7260" s="6" t="s">
        <v>11665</v>
      </c>
      <c r="D7260" s="6" t="s">
        <v>11666</v>
      </c>
      <c r="E7260" s="6" t="s">
        <v>8434</v>
      </c>
      <c r="F7260" s="6" t="s">
        <v>8558</v>
      </c>
      <c r="G7260" s="57" t="s">
        <v>11449</v>
      </c>
      <c r="H7260" s="185">
        <v>0</v>
      </c>
      <c r="I7260" s="16">
        <v>470000000</v>
      </c>
      <c r="J7260" s="56" t="s">
        <v>229</v>
      </c>
      <c r="K7260" s="57" t="s">
        <v>641</v>
      </c>
      <c r="L7260" s="57" t="s">
        <v>364</v>
      </c>
      <c r="M7260" s="3" t="s">
        <v>230</v>
      </c>
      <c r="N7260" s="8" t="s">
        <v>8899</v>
      </c>
      <c r="O7260" s="6" t="s">
        <v>365</v>
      </c>
      <c r="P7260" s="58" t="s">
        <v>241</v>
      </c>
      <c r="Q7260" s="6" t="s">
        <v>234</v>
      </c>
      <c r="R7260" s="3">
        <v>0</v>
      </c>
      <c r="S7260" s="60">
        <v>15600</v>
      </c>
      <c r="T7260" s="4">
        <f t="shared" si="348"/>
        <v>0</v>
      </c>
      <c r="U7260" s="4">
        <f t="shared" si="349"/>
        <v>0</v>
      </c>
      <c r="V7260" s="3"/>
      <c r="W7260" s="3">
        <v>2014</v>
      </c>
      <c r="X7260" s="3" t="s">
        <v>12076</v>
      </c>
    </row>
    <row r="7261" spans="1:24" ht="114.75">
      <c r="A7261" s="3" t="s">
        <v>10958</v>
      </c>
      <c r="B7261" s="6" t="s">
        <v>361</v>
      </c>
      <c r="C7261" s="6" t="s">
        <v>8559</v>
      </c>
      <c r="D7261" s="6" t="s">
        <v>8560</v>
      </c>
      <c r="E7261" s="6" t="s">
        <v>8561</v>
      </c>
      <c r="F7261" s="6" t="s">
        <v>8562</v>
      </c>
      <c r="G7261" s="57" t="s">
        <v>11449</v>
      </c>
      <c r="H7261" s="185">
        <v>0</v>
      </c>
      <c r="I7261" s="16">
        <v>470000000</v>
      </c>
      <c r="J7261" s="56" t="s">
        <v>229</v>
      </c>
      <c r="K7261" s="57" t="s">
        <v>641</v>
      </c>
      <c r="L7261" s="57" t="s">
        <v>364</v>
      </c>
      <c r="M7261" s="3" t="s">
        <v>230</v>
      </c>
      <c r="N7261" s="8" t="s">
        <v>8899</v>
      </c>
      <c r="O7261" s="6" t="s">
        <v>365</v>
      </c>
      <c r="P7261" s="58" t="s">
        <v>241</v>
      </c>
      <c r="Q7261" s="6" t="s">
        <v>234</v>
      </c>
      <c r="R7261" s="3">
        <v>0</v>
      </c>
      <c r="S7261" s="60">
        <v>9700</v>
      </c>
      <c r="T7261" s="4">
        <f t="shared" si="348"/>
        <v>0</v>
      </c>
      <c r="U7261" s="4">
        <f t="shared" si="349"/>
        <v>0</v>
      </c>
      <c r="V7261" s="3"/>
      <c r="W7261" s="3">
        <v>2014</v>
      </c>
      <c r="X7261" s="3" t="s">
        <v>12076</v>
      </c>
    </row>
    <row r="7262" spans="1:24" ht="114.75">
      <c r="A7262" s="3" t="s">
        <v>10959</v>
      </c>
      <c r="B7262" s="6" t="s">
        <v>361</v>
      </c>
      <c r="C7262" s="6" t="s">
        <v>8563</v>
      </c>
      <c r="D7262" s="6" t="s">
        <v>8560</v>
      </c>
      <c r="E7262" s="6" t="s">
        <v>8564</v>
      </c>
      <c r="F7262" s="6" t="s">
        <v>8565</v>
      </c>
      <c r="G7262" s="57" t="s">
        <v>11449</v>
      </c>
      <c r="H7262" s="185">
        <v>0</v>
      </c>
      <c r="I7262" s="16">
        <v>470000000</v>
      </c>
      <c r="J7262" s="56" t="s">
        <v>229</v>
      </c>
      <c r="K7262" s="57" t="s">
        <v>641</v>
      </c>
      <c r="L7262" s="57" t="s">
        <v>364</v>
      </c>
      <c r="M7262" s="3" t="s">
        <v>230</v>
      </c>
      <c r="N7262" s="8" t="s">
        <v>8899</v>
      </c>
      <c r="O7262" s="6" t="s">
        <v>365</v>
      </c>
      <c r="P7262" s="58" t="s">
        <v>241</v>
      </c>
      <c r="Q7262" s="6" t="s">
        <v>234</v>
      </c>
      <c r="R7262" s="3">
        <v>0</v>
      </c>
      <c r="S7262" s="60">
        <v>14610</v>
      </c>
      <c r="T7262" s="4">
        <f t="shared" si="348"/>
        <v>0</v>
      </c>
      <c r="U7262" s="4">
        <f t="shared" si="349"/>
        <v>0</v>
      </c>
      <c r="V7262" s="3"/>
      <c r="W7262" s="3">
        <v>2014</v>
      </c>
      <c r="X7262" s="3" t="s">
        <v>12076</v>
      </c>
    </row>
    <row r="7263" spans="1:24" ht="114.75">
      <c r="A7263" s="3" t="s">
        <v>10960</v>
      </c>
      <c r="B7263" s="6" t="s">
        <v>361</v>
      </c>
      <c r="C7263" s="6" t="s">
        <v>8566</v>
      </c>
      <c r="D7263" s="6" t="s">
        <v>8560</v>
      </c>
      <c r="E7263" s="6" t="s">
        <v>8567</v>
      </c>
      <c r="F7263" s="6" t="s">
        <v>8568</v>
      </c>
      <c r="G7263" s="57" t="s">
        <v>11449</v>
      </c>
      <c r="H7263" s="185">
        <v>0</v>
      </c>
      <c r="I7263" s="16">
        <v>470000000</v>
      </c>
      <c r="J7263" s="56" t="s">
        <v>229</v>
      </c>
      <c r="K7263" s="57" t="s">
        <v>641</v>
      </c>
      <c r="L7263" s="57" t="s">
        <v>364</v>
      </c>
      <c r="M7263" s="3" t="s">
        <v>230</v>
      </c>
      <c r="N7263" s="8" t="s">
        <v>8899</v>
      </c>
      <c r="O7263" s="6" t="s">
        <v>365</v>
      </c>
      <c r="P7263" s="58" t="s">
        <v>241</v>
      </c>
      <c r="Q7263" s="6" t="s">
        <v>234</v>
      </c>
      <c r="R7263" s="3">
        <v>0</v>
      </c>
      <c r="S7263" s="60">
        <v>13060</v>
      </c>
      <c r="T7263" s="4">
        <f t="shared" si="348"/>
        <v>0</v>
      </c>
      <c r="U7263" s="4">
        <f t="shared" si="349"/>
        <v>0</v>
      </c>
      <c r="V7263" s="3"/>
      <c r="W7263" s="3">
        <v>2014</v>
      </c>
      <c r="X7263" s="3" t="s">
        <v>12076</v>
      </c>
    </row>
    <row r="7264" spans="1:24" ht="191.25">
      <c r="A7264" s="3" t="s">
        <v>10961</v>
      </c>
      <c r="B7264" s="6" t="s">
        <v>361</v>
      </c>
      <c r="C7264" s="6" t="s">
        <v>8569</v>
      </c>
      <c r="D7264" s="6" t="s">
        <v>8560</v>
      </c>
      <c r="E7264" s="6" t="s">
        <v>8570</v>
      </c>
      <c r="F7264" s="6" t="s">
        <v>8571</v>
      </c>
      <c r="G7264" s="57" t="s">
        <v>11449</v>
      </c>
      <c r="H7264" s="185">
        <v>0</v>
      </c>
      <c r="I7264" s="16">
        <v>470000000</v>
      </c>
      <c r="J7264" s="56" t="s">
        <v>229</v>
      </c>
      <c r="K7264" s="57" t="s">
        <v>641</v>
      </c>
      <c r="L7264" s="57" t="s">
        <v>364</v>
      </c>
      <c r="M7264" s="3" t="s">
        <v>230</v>
      </c>
      <c r="N7264" s="8" t="s">
        <v>8899</v>
      </c>
      <c r="O7264" s="6" t="s">
        <v>365</v>
      </c>
      <c r="P7264" s="58" t="s">
        <v>241</v>
      </c>
      <c r="Q7264" s="6" t="s">
        <v>234</v>
      </c>
      <c r="R7264" s="3">
        <v>0</v>
      </c>
      <c r="S7264" s="60">
        <v>143090</v>
      </c>
      <c r="T7264" s="4">
        <f t="shared" si="348"/>
        <v>0</v>
      </c>
      <c r="U7264" s="4">
        <f t="shared" si="349"/>
        <v>0</v>
      </c>
      <c r="V7264" s="3"/>
      <c r="W7264" s="3">
        <v>2014</v>
      </c>
      <c r="X7264" s="3" t="s">
        <v>12076</v>
      </c>
    </row>
    <row r="7265" spans="1:24" ht="114.75">
      <c r="A7265" s="3" t="s">
        <v>10962</v>
      </c>
      <c r="B7265" s="6" t="s">
        <v>361</v>
      </c>
      <c r="C7265" s="6" t="s">
        <v>8572</v>
      </c>
      <c r="D7265" s="6" t="s">
        <v>8573</v>
      </c>
      <c r="E7265" s="6" t="s">
        <v>8434</v>
      </c>
      <c r="F7265" s="6" t="s">
        <v>8574</v>
      </c>
      <c r="G7265" s="57" t="s">
        <v>11449</v>
      </c>
      <c r="H7265" s="185">
        <v>0</v>
      </c>
      <c r="I7265" s="16">
        <v>470000000</v>
      </c>
      <c r="J7265" s="56" t="s">
        <v>229</v>
      </c>
      <c r="K7265" s="57" t="s">
        <v>641</v>
      </c>
      <c r="L7265" s="57" t="s">
        <v>364</v>
      </c>
      <c r="M7265" s="3" t="s">
        <v>230</v>
      </c>
      <c r="N7265" s="8" t="s">
        <v>8899</v>
      </c>
      <c r="O7265" s="6" t="s">
        <v>365</v>
      </c>
      <c r="P7265" s="58" t="s">
        <v>241</v>
      </c>
      <c r="Q7265" s="6" t="s">
        <v>234</v>
      </c>
      <c r="R7265" s="3">
        <v>0</v>
      </c>
      <c r="S7265" s="60">
        <v>19160</v>
      </c>
      <c r="T7265" s="4">
        <f t="shared" si="348"/>
        <v>0</v>
      </c>
      <c r="U7265" s="4">
        <f t="shared" si="349"/>
        <v>0</v>
      </c>
      <c r="V7265" s="3"/>
      <c r="W7265" s="3">
        <v>2014</v>
      </c>
      <c r="X7265" s="3" t="s">
        <v>12076</v>
      </c>
    </row>
    <row r="7266" spans="1:24" ht="114.75">
      <c r="A7266" s="3" t="s">
        <v>10963</v>
      </c>
      <c r="B7266" s="6" t="s">
        <v>361</v>
      </c>
      <c r="C7266" s="6" t="s">
        <v>8575</v>
      </c>
      <c r="D7266" s="6" t="s">
        <v>10187</v>
      </c>
      <c r="E7266" s="6" t="s">
        <v>11667</v>
      </c>
      <c r="F7266" s="6" t="s">
        <v>8576</v>
      </c>
      <c r="G7266" s="57" t="s">
        <v>11449</v>
      </c>
      <c r="H7266" s="185">
        <v>0</v>
      </c>
      <c r="I7266" s="16">
        <v>470000000</v>
      </c>
      <c r="J7266" s="56" t="s">
        <v>229</v>
      </c>
      <c r="K7266" s="57" t="s">
        <v>641</v>
      </c>
      <c r="L7266" s="57" t="s">
        <v>364</v>
      </c>
      <c r="M7266" s="3" t="s">
        <v>230</v>
      </c>
      <c r="N7266" s="8" t="s">
        <v>8899</v>
      </c>
      <c r="O7266" s="6" t="s">
        <v>365</v>
      </c>
      <c r="P7266" s="58" t="s">
        <v>241</v>
      </c>
      <c r="Q7266" s="6" t="s">
        <v>234</v>
      </c>
      <c r="R7266" s="3">
        <v>0</v>
      </c>
      <c r="S7266" s="60">
        <v>15670</v>
      </c>
      <c r="T7266" s="4">
        <f t="shared" si="348"/>
        <v>0</v>
      </c>
      <c r="U7266" s="4">
        <f t="shared" si="349"/>
        <v>0</v>
      </c>
      <c r="V7266" s="3"/>
      <c r="W7266" s="3">
        <v>2014</v>
      </c>
      <c r="X7266" s="3" t="s">
        <v>12076</v>
      </c>
    </row>
    <row r="7267" spans="1:24" ht="114.75">
      <c r="A7267" s="3" t="s">
        <v>10964</v>
      </c>
      <c r="B7267" s="6" t="s">
        <v>361</v>
      </c>
      <c r="C7267" s="6" t="s">
        <v>8577</v>
      </c>
      <c r="D7267" s="6" t="s">
        <v>11668</v>
      </c>
      <c r="E7267" s="6" t="s">
        <v>8579</v>
      </c>
      <c r="F7267" s="6" t="s">
        <v>8578</v>
      </c>
      <c r="G7267" s="57" t="s">
        <v>11449</v>
      </c>
      <c r="H7267" s="185">
        <v>0</v>
      </c>
      <c r="I7267" s="16">
        <v>470000000</v>
      </c>
      <c r="J7267" s="56" t="s">
        <v>229</v>
      </c>
      <c r="K7267" s="57" t="s">
        <v>641</v>
      </c>
      <c r="L7267" s="57" t="s">
        <v>364</v>
      </c>
      <c r="M7267" s="3" t="s">
        <v>230</v>
      </c>
      <c r="N7267" s="8" t="s">
        <v>8899</v>
      </c>
      <c r="O7267" s="6" t="s">
        <v>365</v>
      </c>
      <c r="P7267" s="58" t="s">
        <v>241</v>
      </c>
      <c r="Q7267" s="6" t="s">
        <v>234</v>
      </c>
      <c r="R7267" s="3">
        <v>0</v>
      </c>
      <c r="S7267" s="60">
        <v>205800</v>
      </c>
      <c r="T7267" s="4">
        <f t="shared" si="348"/>
        <v>0</v>
      </c>
      <c r="U7267" s="4">
        <f t="shared" si="349"/>
        <v>0</v>
      </c>
      <c r="V7267" s="3"/>
      <c r="W7267" s="3">
        <v>2014</v>
      </c>
      <c r="X7267" s="3" t="s">
        <v>12076</v>
      </c>
    </row>
    <row r="7268" spans="1:24" ht="114.75">
      <c r="A7268" s="3" t="s">
        <v>10965</v>
      </c>
      <c r="B7268" s="6" t="s">
        <v>361</v>
      </c>
      <c r="C7268" s="6" t="s">
        <v>8580</v>
      </c>
      <c r="D7268" s="6" t="s">
        <v>11668</v>
      </c>
      <c r="E7268" s="6" t="s">
        <v>8582</v>
      </c>
      <c r="F7268" s="6" t="s">
        <v>8581</v>
      </c>
      <c r="G7268" s="57" t="s">
        <v>11449</v>
      </c>
      <c r="H7268" s="185">
        <v>0</v>
      </c>
      <c r="I7268" s="16">
        <v>470000000</v>
      </c>
      <c r="J7268" s="56" t="s">
        <v>229</v>
      </c>
      <c r="K7268" s="57" t="s">
        <v>641</v>
      </c>
      <c r="L7268" s="57" t="s">
        <v>364</v>
      </c>
      <c r="M7268" s="3" t="s">
        <v>230</v>
      </c>
      <c r="N7268" s="8" t="s">
        <v>8899</v>
      </c>
      <c r="O7268" s="6" t="s">
        <v>365</v>
      </c>
      <c r="P7268" s="58" t="s">
        <v>241</v>
      </c>
      <c r="Q7268" s="6" t="s">
        <v>234</v>
      </c>
      <c r="R7268" s="3">
        <v>0</v>
      </c>
      <c r="S7268" s="60">
        <v>161600</v>
      </c>
      <c r="T7268" s="4">
        <f t="shared" si="348"/>
        <v>0</v>
      </c>
      <c r="U7268" s="4">
        <f t="shared" si="349"/>
        <v>0</v>
      </c>
      <c r="V7268" s="3"/>
      <c r="W7268" s="3">
        <v>2014</v>
      </c>
      <c r="X7268" s="3" t="s">
        <v>12076</v>
      </c>
    </row>
    <row r="7269" spans="1:24" ht="114.75">
      <c r="A7269" s="3" t="s">
        <v>10966</v>
      </c>
      <c r="B7269" s="6" t="s">
        <v>361</v>
      </c>
      <c r="C7269" s="6" t="s">
        <v>11400</v>
      </c>
      <c r="D7269" s="6" t="s">
        <v>11401</v>
      </c>
      <c r="E7269" s="6" t="s">
        <v>11402</v>
      </c>
      <c r="F7269" s="6" t="s">
        <v>8583</v>
      </c>
      <c r="G7269" s="57" t="s">
        <v>11449</v>
      </c>
      <c r="H7269" s="185">
        <v>0</v>
      </c>
      <c r="I7269" s="16">
        <v>470000000</v>
      </c>
      <c r="J7269" s="56" t="s">
        <v>229</v>
      </c>
      <c r="K7269" s="57" t="s">
        <v>641</v>
      </c>
      <c r="L7269" s="57" t="s">
        <v>364</v>
      </c>
      <c r="M7269" s="3" t="s">
        <v>230</v>
      </c>
      <c r="N7269" s="8" t="s">
        <v>8899</v>
      </c>
      <c r="O7269" s="6" t="s">
        <v>365</v>
      </c>
      <c r="P7269" s="58" t="s">
        <v>241</v>
      </c>
      <c r="Q7269" s="6" t="s">
        <v>234</v>
      </c>
      <c r="R7269" s="3">
        <v>0</v>
      </c>
      <c r="S7269" s="60">
        <v>210600</v>
      </c>
      <c r="T7269" s="4">
        <f t="shared" si="348"/>
        <v>0</v>
      </c>
      <c r="U7269" s="4">
        <f t="shared" si="349"/>
        <v>0</v>
      </c>
      <c r="V7269" s="3"/>
      <c r="W7269" s="3">
        <v>2014</v>
      </c>
      <c r="X7269" s="3" t="s">
        <v>12076</v>
      </c>
    </row>
    <row r="7270" spans="1:24" ht="114.75">
      <c r="A7270" s="3" t="s">
        <v>10967</v>
      </c>
      <c r="B7270" s="6" t="s">
        <v>361</v>
      </c>
      <c r="C7270" s="6" t="s">
        <v>8584</v>
      </c>
      <c r="D7270" s="6" t="s">
        <v>8585</v>
      </c>
      <c r="E7270" s="6" t="s">
        <v>8586</v>
      </c>
      <c r="F7270" s="6" t="s">
        <v>8587</v>
      </c>
      <c r="G7270" s="57" t="s">
        <v>11449</v>
      </c>
      <c r="H7270" s="185">
        <v>0</v>
      </c>
      <c r="I7270" s="16">
        <v>470000000</v>
      </c>
      <c r="J7270" s="56" t="s">
        <v>229</v>
      </c>
      <c r="K7270" s="57" t="s">
        <v>641</v>
      </c>
      <c r="L7270" s="57" t="s">
        <v>364</v>
      </c>
      <c r="M7270" s="3" t="s">
        <v>230</v>
      </c>
      <c r="N7270" s="8" t="s">
        <v>8899</v>
      </c>
      <c r="O7270" s="6" t="s">
        <v>365</v>
      </c>
      <c r="P7270" s="58" t="s">
        <v>241</v>
      </c>
      <c r="Q7270" s="6" t="s">
        <v>234</v>
      </c>
      <c r="R7270" s="3">
        <v>0</v>
      </c>
      <c r="S7270" s="60">
        <v>13060</v>
      </c>
      <c r="T7270" s="4">
        <f t="shared" si="348"/>
        <v>0</v>
      </c>
      <c r="U7270" s="4">
        <f t="shared" si="349"/>
        <v>0</v>
      </c>
      <c r="V7270" s="3"/>
      <c r="W7270" s="3">
        <v>2014</v>
      </c>
      <c r="X7270" s="3" t="s">
        <v>12076</v>
      </c>
    </row>
    <row r="7271" spans="1:24" ht="114.75">
      <c r="A7271" s="3" t="s">
        <v>10968</v>
      </c>
      <c r="B7271" s="6" t="s">
        <v>361</v>
      </c>
      <c r="C7271" s="6" t="s">
        <v>8584</v>
      </c>
      <c r="D7271" s="6" t="s">
        <v>8585</v>
      </c>
      <c r="E7271" s="6" t="s">
        <v>8586</v>
      </c>
      <c r="F7271" s="6" t="s">
        <v>8588</v>
      </c>
      <c r="G7271" s="57" t="s">
        <v>11449</v>
      </c>
      <c r="H7271" s="185">
        <v>0</v>
      </c>
      <c r="I7271" s="16">
        <v>470000000</v>
      </c>
      <c r="J7271" s="56" t="s">
        <v>229</v>
      </c>
      <c r="K7271" s="57" t="s">
        <v>641</v>
      </c>
      <c r="L7271" s="57" t="s">
        <v>364</v>
      </c>
      <c r="M7271" s="3" t="s">
        <v>230</v>
      </c>
      <c r="N7271" s="8" t="s">
        <v>8899</v>
      </c>
      <c r="O7271" s="6" t="s">
        <v>365</v>
      </c>
      <c r="P7271" s="58" t="s">
        <v>241</v>
      </c>
      <c r="Q7271" s="6" t="s">
        <v>234</v>
      </c>
      <c r="R7271" s="3">
        <v>0</v>
      </c>
      <c r="S7271" s="60">
        <v>12200</v>
      </c>
      <c r="T7271" s="4">
        <f t="shared" si="348"/>
        <v>0</v>
      </c>
      <c r="U7271" s="4">
        <f t="shared" si="349"/>
        <v>0</v>
      </c>
      <c r="V7271" s="3"/>
      <c r="W7271" s="3">
        <v>2014</v>
      </c>
      <c r="X7271" s="3" t="s">
        <v>12076</v>
      </c>
    </row>
    <row r="7272" spans="1:24" ht="114.75">
      <c r="A7272" s="3" t="s">
        <v>10969</v>
      </c>
      <c r="B7272" s="6" t="s">
        <v>361</v>
      </c>
      <c r="C7272" s="6" t="s">
        <v>8584</v>
      </c>
      <c r="D7272" s="6" t="s">
        <v>8585</v>
      </c>
      <c r="E7272" s="6" t="s">
        <v>8586</v>
      </c>
      <c r="F7272" s="6" t="s">
        <v>8589</v>
      </c>
      <c r="G7272" s="57" t="s">
        <v>11449</v>
      </c>
      <c r="H7272" s="185">
        <v>0</v>
      </c>
      <c r="I7272" s="16">
        <v>470000000</v>
      </c>
      <c r="J7272" s="56" t="s">
        <v>229</v>
      </c>
      <c r="K7272" s="57" t="s">
        <v>641</v>
      </c>
      <c r="L7272" s="57" t="s">
        <v>364</v>
      </c>
      <c r="M7272" s="3" t="s">
        <v>230</v>
      </c>
      <c r="N7272" s="8" t="s">
        <v>8899</v>
      </c>
      <c r="O7272" s="6" t="s">
        <v>365</v>
      </c>
      <c r="P7272" s="58" t="s">
        <v>241</v>
      </c>
      <c r="Q7272" s="6" t="s">
        <v>234</v>
      </c>
      <c r="R7272" s="3">
        <v>0</v>
      </c>
      <c r="S7272" s="60">
        <v>14800</v>
      </c>
      <c r="T7272" s="4">
        <f t="shared" si="348"/>
        <v>0</v>
      </c>
      <c r="U7272" s="4">
        <f t="shared" si="349"/>
        <v>0</v>
      </c>
      <c r="V7272" s="3"/>
      <c r="W7272" s="3">
        <v>2014</v>
      </c>
      <c r="X7272" s="3" t="s">
        <v>12076</v>
      </c>
    </row>
    <row r="7273" spans="1:24" ht="114.75">
      <c r="A7273" s="3" t="s">
        <v>10970</v>
      </c>
      <c r="B7273" s="6" t="s">
        <v>361</v>
      </c>
      <c r="C7273" s="6" t="s">
        <v>8584</v>
      </c>
      <c r="D7273" s="6" t="s">
        <v>8585</v>
      </c>
      <c r="E7273" s="6" t="s">
        <v>8586</v>
      </c>
      <c r="F7273" s="6" t="s">
        <v>8590</v>
      </c>
      <c r="G7273" s="57" t="s">
        <v>11449</v>
      </c>
      <c r="H7273" s="185">
        <v>0</v>
      </c>
      <c r="I7273" s="16">
        <v>470000000</v>
      </c>
      <c r="J7273" s="56" t="s">
        <v>229</v>
      </c>
      <c r="K7273" s="57" t="s">
        <v>641</v>
      </c>
      <c r="L7273" s="57" t="s">
        <v>364</v>
      </c>
      <c r="M7273" s="3" t="s">
        <v>230</v>
      </c>
      <c r="N7273" s="8" t="s">
        <v>8899</v>
      </c>
      <c r="O7273" s="6" t="s">
        <v>365</v>
      </c>
      <c r="P7273" s="58" t="s">
        <v>241</v>
      </c>
      <c r="Q7273" s="6" t="s">
        <v>234</v>
      </c>
      <c r="R7273" s="3">
        <v>0</v>
      </c>
      <c r="S7273" s="60">
        <v>14800</v>
      </c>
      <c r="T7273" s="4">
        <f t="shared" ref="T7273:T7336" si="350">R7273*S7273</f>
        <v>0</v>
      </c>
      <c r="U7273" s="4">
        <f t="shared" si="349"/>
        <v>0</v>
      </c>
      <c r="V7273" s="3"/>
      <c r="W7273" s="3">
        <v>2014</v>
      </c>
      <c r="X7273" s="3" t="s">
        <v>12076</v>
      </c>
    </row>
    <row r="7274" spans="1:24" ht="114.75">
      <c r="A7274" s="3" t="s">
        <v>10971</v>
      </c>
      <c r="B7274" s="6" t="s">
        <v>361</v>
      </c>
      <c r="C7274" s="6" t="s">
        <v>8584</v>
      </c>
      <c r="D7274" s="6" t="s">
        <v>8585</v>
      </c>
      <c r="E7274" s="6" t="s">
        <v>8586</v>
      </c>
      <c r="F7274" s="6" t="s">
        <v>8591</v>
      </c>
      <c r="G7274" s="57" t="s">
        <v>11449</v>
      </c>
      <c r="H7274" s="185">
        <v>0</v>
      </c>
      <c r="I7274" s="16">
        <v>470000000</v>
      </c>
      <c r="J7274" s="56" t="s">
        <v>229</v>
      </c>
      <c r="K7274" s="57" t="s">
        <v>641</v>
      </c>
      <c r="L7274" s="57" t="s">
        <v>364</v>
      </c>
      <c r="M7274" s="3" t="s">
        <v>230</v>
      </c>
      <c r="N7274" s="8" t="s">
        <v>8899</v>
      </c>
      <c r="O7274" s="6" t="s">
        <v>365</v>
      </c>
      <c r="P7274" s="58" t="s">
        <v>241</v>
      </c>
      <c r="Q7274" s="6" t="s">
        <v>234</v>
      </c>
      <c r="R7274" s="3">
        <v>0</v>
      </c>
      <c r="S7274" s="60">
        <v>13930</v>
      </c>
      <c r="T7274" s="4">
        <f t="shared" si="350"/>
        <v>0</v>
      </c>
      <c r="U7274" s="4">
        <f t="shared" si="349"/>
        <v>0</v>
      </c>
      <c r="V7274" s="3"/>
      <c r="W7274" s="3">
        <v>2014</v>
      </c>
      <c r="X7274" s="3" t="s">
        <v>12076</v>
      </c>
    </row>
    <row r="7275" spans="1:24" ht="114.75">
      <c r="A7275" s="3" t="s">
        <v>10972</v>
      </c>
      <c r="B7275" s="6" t="s">
        <v>361</v>
      </c>
      <c r="C7275" s="6" t="s">
        <v>8584</v>
      </c>
      <c r="D7275" s="6" t="s">
        <v>8585</v>
      </c>
      <c r="E7275" s="6" t="s">
        <v>8586</v>
      </c>
      <c r="F7275" s="6" t="s">
        <v>8592</v>
      </c>
      <c r="G7275" s="57" t="s">
        <v>11449</v>
      </c>
      <c r="H7275" s="185">
        <v>0</v>
      </c>
      <c r="I7275" s="16">
        <v>470000000</v>
      </c>
      <c r="J7275" s="56" t="s">
        <v>229</v>
      </c>
      <c r="K7275" s="57" t="s">
        <v>641</v>
      </c>
      <c r="L7275" s="57" t="s">
        <v>364</v>
      </c>
      <c r="M7275" s="3" t="s">
        <v>230</v>
      </c>
      <c r="N7275" s="8" t="s">
        <v>8899</v>
      </c>
      <c r="O7275" s="6" t="s">
        <v>365</v>
      </c>
      <c r="P7275" s="58" t="s">
        <v>241</v>
      </c>
      <c r="Q7275" s="6" t="s">
        <v>234</v>
      </c>
      <c r="R7275" s="3">
        <v>0</v>
      </c>
      <c r="S7275" s="60">
        <v>14800</v>
      </c>
      <c r="T7275" s="4">
        <f t="shared" si="350"/>
        <v>0</v>
      </c>
      <c r="U7275" s="4">
        <f t="shared" si="349"/>
        <v>0</v>
      </c>
      <c r="V7275" s="3"/>
      <c r="W7275" s="3">
        <v>2014</v>
      </c>
      <c r="X7275" s="3" t="s">
        <v>12076</v>
      </c>
    </row>
    <row r="7276" spans="1:24" ht="114.75">
      <c r="A7276" s="3" t="s">
        <v>10973</v>
      </c>
      <c r="B7276" s="6" t="s">
        <v>361</v>
      </c>
      <c r="C7276" s="6" t="s">
        <v>8584</v>
      </c>
      <c r="D7276" s="6" t="s">
        <v>8585</v>
      </c>
      <c r="E7276" s="6" t="s">
        <v>8586</v>
      </c>
      <c r="F7276" s="6" t="s">
        <v>8593</v>
      </c>
      <c r="G7276" s="57" t="s">
        <v>11449</v>
      </c>
      <c r="H7276" s="185">
        <v>0</v>
      </c>
      <c r="I7276" s="16">
        <v>470000000</v>
      </c>
      <c r="J7276" s="56" t="s">
        <v>229</v>
      </c>
      <c r="K7276" s="57" t="s">
        <v>641</v>
      </c>
      <c r="L7276" s="57" t="s">
        <v>364</v>
      </c>
      <c r="M7276" s="3" t="s">
        <v>230</v>
      </c>
      <c r="N7276" s="8" t="s">
        <v>8899</v>
      </c>
      <c r="O7276" s="6" t="s">
        <v>365</v>
      </c>
      <c r="P7276" s="58" t="s">
        <v>241</v>
      </c>
      <c r="Q7276" s="6" t="s">
        <v>234</v>
      </c>
      <c r="R7276" s="3">
        <v>0</v>
      </c>
      <c r="S7276" s="60">
        <v>14800</v>
      </c>
      <c r="T7276" s="4">
        <f t="shared" si="350"/>
        <v>0</v>
      </c>
      <c r="U7276" s="4">
        <f t="shared" si="349"/>
        <v>0</v>
      </c>
      <c r="V7276" s="3"/>
      <c r="W7276" s="3">
        <v>2014</v>
      </c>
      <c r="X7276" s="3" t="s">
        <v>12076</v>
      </c>
    </row>
    <row r="7277" spans="1:24" ht="114.75">
      <c r="A7277" s="3" t="s">
        <v>10974</v>
      </c>
      <c r="B7277" s="6" t="s">
        <v>361</v>
      </c>
      <c r="C7277" s="6" t="s">
        <v>8584</v>
      </c>
      <c r="D7277" s="6" t="s">
        <v>8585</v>
      </c>
      <c r="E7277" s="6" t="s">
        <v>8586</v>
      </c>
      <c r="F7277" s="6" t="s">
        <v>8594</v>
      </c>
      <c r="G7277" s="57" t="s">
        <v>11449</v>
      </c>
      <c r="H7277" s="185">
        <v>0</v>
      </c>
      <c r="I7277" s="16">
        <v>470000000</v>
      </c>
      <c r="J7277" s="56" t="s">
        <v>229</v>
      </c>
      <c r="K7277" s="57" t="s">
        <v>641</v>
      </c>
      <c r="L7277" s="57" t="s">
        <v>364</v>
      </c>
      <c r="M7277" s="3" t="s">
        <v>230</v>
      </c>
      <c r="N7277" s="8" t="s">
        <v>8899</v>
      </c>
      <c r="O7277" s="6" t="s">
        <v>365</v>
      </c>
      <c r="P7277" s="58" t="s">
        <v>241</v>
      </c>
      <c r="Q7277" s="6" t="s">
        <v>234</v>
      </c>
      <c r="R7277" s="3">
        <v>0</v>
      </c>
      <c r="S7277" s="1">
        <v>13930</v>
      </c>
      <c r="T7277" s="4">
        <f t="shared" si="350"/>
        <v>0</v>
      </c>
      <c r="U7277" s="4">
        <f t="shared" si="349"/>
        <v>0</v>
      </c>
      <c r="V7277" s="3"/>
      <c r="W7277" s="3">
        <v>2014</v>
      </c>
      <c r="X7277" s="3" t="s">
        <v>12076</v>
      </c>
    </row>
    <row r="7278" spans="1:24" ht="114.75">
      <c r="A7278" s="3" t="s">
        <v>10975</v>
      </c>
      <c r="B7278" s="6" t="s">
        <v>361</v>
      </c>
      <c r="C7278" s="6" t="s">
        <v>8584</v>
      </c>
      <c r="D7278" s="6" t="s">
        <v>8585</v>
      </c>
      <c r="E7278" s="6" t="s">
        <v>8586</v>
      </c>
      <c r="F7278" s="6" t="s">
        <v>8595</v>
      </c>
      <c r="G7278" s="57" t="s">
        <v>11449</v>
      </c>
      <c r="H7278" s="185">
        <v>0</v>
      </c>
      <c r="I7278" s="16">
        <v>470000000</v>
      </c>
      <c r="J7278" s="56" t="s">
        <v>229</v>
      </c>
      <c r="K7278" s="57" t="s">
        <v>641</v>
      </c>
      <c r="L7278" s="57" t="s">
        <v>364</v>
      </c>
      <c r="M7278" s="3" t="s">
        <v>230</v>
      </c>
      <c r="N7278" s="8" t="s">
        <v>8899</v>
      </c>
      <c r="O7278" s="6" t="s">
        <v>365</v>
      </c>
      <c r="P7278" s="58" t="s">
        <v>241</v>
      </c>
      <c r="Q7278" s="6" t="s">
        <v>234</v>
      </c>
      <c r="R7278" s="3">
        <v>0</v>
      </c>
      <c r="S7278" s="60">
        <v>13930</v>
      </c>
      <c r="T7278" s="4">
        <f t="shared" si="350"/>
        <v>0</v>
      </c>
      <c r="U7278" s="4">
        <f t="shared" si="349"/>
        <v>0</v>
      </c>
      <c r="V7278" s="3"/>
      <c r="W7278" s="3">
        <v>2014</v>
      </c>
      <c r="X7278" s="3" t="s">
        <v>12076</v>
      </c>
    </row>
    <row r="7279" spans="1:24" ht="114.75">
      <c r="A7279" s="3" t="s">
        <v>10976</v>
      </c>
      <c r="B7279" s="6" t="s">
        <v>361</v>
      </c>
      <c r="C7279" s="6" t="s">
        <v>8596</v>
      </c>
      <c r="D7279" s="6" t="s">
        <v>8597</v>
      </c>
      <c r="E7279" s="6" t="s">
        <v>8598</v>
      </c>
      <c r="F7279" s="6" t="s">
        <v>8599</v>
      </c>
      <c r="G7279" s="3" t="s">
        <v>11450</v>
      </c>
      <c r="H7279" s="185">
        <v>0</v>
      </c>
      <c r="I7279" s="16">
        <v>470000000</v>
      </c>
      <c r="J7279" s="56" t="s">
        <v>229</v>
      </c>
      <c r="K7279" s="57" t="s">
        <v>641</v>
      </c>
      <c r="L7279" s="57" t="s">
        <v>364</v>
      </c>
      <c r="M7279" s="3" t="s">
        <v>230</v>
      </c>
      <c r="N7279" s="8" t="s">
        <v>8899</v>
      </c>
      <c r="O7279" s="6" t="s">
        <v>365</v>
      </c>
      <c r="P7279" s="58" t="s">
        <v>241</v>
      </c>
      <c r="Q7279" s="6" t="s">
        <v>234</v>
      </c>
      <c r="R7279" s="3">
        <v>0</v>
      </c>
      <c r="S7279" s="60">
        <v>17630</v>
      </c>
      <c r="T7279" s="4">
        <f t="shared" si="350"/>
        <v>0</v>
      </c>
      <c r="U7279" s="4">
        <f t="shared" si="349"/>
        <v>0</v>
      </c>
      <c r="V7279" s="3"/>
      <c r="W7279" s="3">
        <v>2014</v>
      </c>
      <c r="X7279" s="3" t="s">
        <v>12076</v>
      </c>
    </row>
    <row r="7280" spans="1:24" ht="140.25">
      <c r="A7280" s="3" t="s">
        <v>10977</v>
      </c>
      <c r="B7280" s="6" t="s">
        <v>361</v>
      </c>
      <c r="C7280" s="6" t="s">
        <v>8600</v>
      </c>
      <c r="D7280" s="6" t="s">
        <v>11669</v>
      </c>
      <c r="E7280" s="6" t="s">
        <v>11670</v>
      </c>
      <c r="F7280" s="6" t="s">
        <v>8601</v>
      </c>
      <c r="G7280" s="3" t="s">
        <v>11450</v>
      </c>
      <c r="H7280" s="185">
        <v>0</v>
      </c>
      <c r="I7280" s="16">
        <v>470000000</v>
      </c>
      <c r="J7280" s="56" t="s">
        <v>229</v>
      </c>
      <c r="K7280" s="57" t="s">
        <v>641</v>
      </c>
      <c r="L7280" s="57" t="s">
        <v>364</v>
      </c>
      <c r="M7280" s="3" t="s">
        <v>230</v>
      </c>
      <c r="N7280" s="8" t="s">
        <v>8899</v>
      </c>
      <c r="O7280" s="6" t="s">
        <v>365</v>
      </c>
      <c r="P7280" s="58" t="s">
        <v>241</v>
      </c>
      <c r="Q7280" s="6" t="s">
        <v>234</v>
      </c>
      <c r="R7280" s="3">
        <v>0</v>
      </c>
      <c r="S7280" s="60">
        <v>490</v>
      </c>
      <c r="T7280" s="4">
        <f t="shared" si="350"/>
        <v>0</v>
      </c>
      <c r="U7280" s="4">
        <f t="shared" si="349"/>
        <v>0</v>
      </c>
      <c r="V7280" s="3"/>
      <c r="W7280" s="3">
        <v>2014</v>
      </c>
      <c r="X7280" s="3" t="s">
        <v>12076</v>
      </c>
    </row>
    <row r="7281" spans="1:24" ht="114.75">
      <c r="A7281" s="3" t="s">
        <v>10978</v>
      </c>
      <c r="B7281" s="6" t="s">
        <v>361</v>
      </c>
      <c r="C7281" s="6" t="s">
        <v>8602</v>
      </c>
      <c r="D7281" s="6" t="s">
        <v>8603</v>
      </c>
      <c r="E7281" s="6" t="s">
        <v>8604</v>
      </c>
      <c r="F7281" s="6" t="s">
        <v>8605</v>
      </c>
      <c r="G7281" s="3" t="s">
        <v>11450</v>
      </c>
      <c r="H7281" s="185">
        <v>0</v>
      </c>
      <c r="I7281" s="16">
        <v>470000000</v>
      </c>
      <c r="J7281" s="56" t="s">
        <v>229</v>
      </c>
      <c r="K7281" s="57" t="s">
        <v>641</v>
      </c>
      <c r="L7281" s="57" t="s">
        <v>364</v>
      </c>
      <c r="M7281" s="3" t="s">
        <v>230</v>
      </c>
      <c r="N7281" s="8" t="s">
        <v>8899</v>
      </c>
      <c r="O7281" s="6" t="s">
        <v>365</v>
      </c>
      <c r="P7281" s="58" t="s">
        <v>241</v>
      </c>
      <c r="Q7281" s="6" t="s">
        <v>234</v>
      </c>
      <c r="R7281" s="3">
        <v>0</v>
      </c>
      <c r="S7281" s="60">
        <v>4070</v>
      </c>
      <c r="T7281" s="4">
        <f t="shared" si="350"/>
        <v>0</v>
      </c>
      <c r="U7281" s="4">
        <f t="shared" si="349"/>
        <v>0</v>
      </c>
      <c r="V7281" s="3"/>
      <c r="W7281" s="3">
        <v>2014</v>
      </c>
      <c r="X7281" s="3" t="s">
        <v>12076</v>
      </c>
    </row>
    <row r="7282" spans="1:24" ht="114.75">
      <c r="A7282" s="3" t="s">
        <v>10979</v>
      </c>
      <c r="B7282" s="6" t="s">
        <v>361</v>
      </c>
      <c r="C7282" s="6" t="s">
        <v>8606</v>
      </c>
      <c r="D7282" s="6" t="s">
        <v>8607</v>
      </c>
      <c r="E7282" s="6" t="s">
        <v>8608</v>
      </c>
      <c r="F7282" s="6" t="s">
        <v>8609</v>
      </c>
      <c r="G7282" s="3" t="s">
        <v>11450</v>
      </c>
      <c r="H7282" s="185">
        <v>0</v>
      </c>
      <c r="I7282" s="16">
        <v>470000000</v>
      </c>
      <c r="J7282" s="56" t="s">
        <v>229</v>
      </c>
      <c r="K7282" s="57" t="s">
        <v>641</v>
      </c>
      <c r="L7282" s="57" t="s">
        <v>364</v>
      </c>
      <c r="M7282" s="3" t="s">
        <v>230</v>
      </c>
      <c r="N7282" s="8" t="s">
        <v>8899</v>
      </c>
      <c r="O7282" s="6" t="s">
        <v>365</v>
      </c>
      <c r="P7282" s="58" t="s">
        <v>241</v>
      </c>
      <c r="Q7282" s="6" t="s">
        <v>234</v>
      </c>
      <c r="R7282" s="3">
        <v>0</v>
      </c>
      <c r="S7282" s="60">
        <v>124515</v>
      </c>
      <c r="T7282" s="4">
        <f t="shared" si="350"/>
        <v>0</v>
      </c>
      <c r="U7282" s="4">
        <f t="shared" si="349"/>
        <v>0</v>
      </c>
      <c r="V7282" s="3"/>
      <c r="W7282" s="3">
        <v>2014</v>
      </c>
      <c r="X7282" s="3" t="s">
        <v>12076</v>
      </c>
    </row>
    <row r="7283" spans="1:24" ht="114.75">
      <c r="A7283" s="3" t="s">
        <v>10980</v>
      </c>
      <c r="B7283" s="6" t="s">
        <v>361</v>
      </c>
      <c r="C7283" s="6" t="s">
        <v>8610</v>
      </c>
      <c r="D7283" s="6" t="s">
        <v>11671</v>
      </c>
      <c r="E7283" s="6" t="s">
        <v>8622</v>
      </c>
      <c r="F7283" s="6" t="s">
        <v>8611</v>
      </c>
      <c r="G7283" s="3" t="s">
        <v>11450</v>
      </c>
      <c r="H7283" s="185">
        <v>0</v>
      </c>
      <c r="I7283" s="16">
        <v>470000000</v>
      </c>
      <c r="J7283" s="56" t="s">
        <v>229</v>
      </c>
      <c r="K7283" s="57" t="s">
        <v>641</v>
      </c>
      <c r="L7283" s="57" t="s">
        <v>364</v>
      </c>
      <c r="M7283" s="3" t="s">
        <v>230</v>
      </c>
      <c r="N7283" s="8" t="s">
        <v>8899</v>
      </c>
      <c r="O7283" s="6" t="s">
        <v>365</v>
      </c>
      <c r="P7283" s="58" t="s">
        <v>241</v>
      </c>
      <c r="Q7283" s="6" t="s">
        <v>234</v>
      </c>
      <c r="R7283" s="3">
        <v>0</v>
      </c>
      <c r="S7283" s="60">
        <v>1322</v>
      </c>
      <c r="T7283" s="4">
        <f t="shared" si="350"/>
        <v>0</v>
      </c>
      <c r="U7283" s="4">
        <f t="shared" si="349"/>
        <v>0</v>
      </c>
      <c r="V7283" s="3"/>
      <c r="W7283" s="3">
        <v>2014</v>
      </c>
      <c r="X7283" s="3" t="s">
        <v>12076</v>
      </c>
    </row>
    <row r="7284" spans="1:24" ht="114.75">
      <c r="A7284" s="3" t="s">
        <v>10981</v>
      </c>
      <c r="B7284" s="6" t="s">
        <v>361</v>
      </c>
      <c r="C7284" s="6" t="s">
        <v>8612</v>
      </c>
      <c r="D7284" s="6" t="s">
        <v>8613</v>
      </c>
      <c r="E7284" s="6" t="s">
        <v>8614</v>
      </c>
      <c r="F7284" s="6" t="s">
        <v>8615</v>
      </c>
      <c r="G7284" s="3" t="s">
        <v>11450</v>
      </c>
      <c r="H7284" s="185">
        <v>0</v>
      </c>
      <c r="I7284" s="16">
        <v>470000000</v>
      </c>
      <c r="J7284" s="56" t="s">
        <v>229</v>
      </c>
      <c r="K7284" s="57" t="s">
        <v>641</v>
      </c>
      <c r="L7284" s="57" t="s">
        <v>364</v>
      </c>
      <c r="M7284" s="3" t="s">
        <v>230</v>
      </c>
      <c r="N7284" s="8" t="s">
        <v>8899</v>
      </c>
      <c r="O7284" s="6" t="s">
        <v>365</v>
      </c>
      <c r="P7284" s="58" t="s">
        <v>241</v>
      </c>
      <c r="Q7284" s="6" t="s">
        <v>234</v>
      </c>
      <c r="R7284" s="3">
        <v>0</v>
      </c>
      <c r="S7284" s="60">
        <v>16520</v>
      </c>
      <c r="T7284" s="4">
        <f t="shared" si="350"/>
        <v>0</v>
      </c>
      <c r="U7284" s="4">
        <f t="shared" si="349"/>
        <v>0</v>
      </c>
      <c r="V7284" s="3"/>
      <c r="W7284" s="3">
        <v>2014</v>
      </c>
      <c r="X7284" s="3" t="s">
        <v>12076</v>
      </c>
    </row>
    <row r="7285" spans="1:24" ht="114.75">
      <c r="A7285" s="3" t="s">
        <v>10982</v>
      </c>
      <c r="B7285" s="6" t="s">
        <v>361</v>
      </c>
      <c r="C7285" s="6" t="s">
        <v>8616</v>
      </c>
      <c r="D7285" s="6" t="s">
        <v>8617</v>
      </c>
      <c r="E7285" s="6" t="s">
        <v>8618</v>
      </c>
      <c r="F7285" s="6" t="s">
        <v>8619</v>
      </c>
      <c r="G7285" s="3" t="s">
        <v>11450</v>
      </c>
      <c r="H7285" s="185">
        <v>0</v>
      </c>
      <c r="I7285" s="16">
        <v>470000000</v>
      </c>
      <c r="J7285" s="56" t="s">
        <v>229</v>
      </c>
      <c r="K7285" s="57" t="s">
        <v>641</v>
      </c>
      <c r="L7285" s="57" t="s">
        <v>364</v>
      </c>
      <c r="M7285" s="3" t="s">
        <v>230</v>
      </c>
      <c r="N7285" s="8" t="s">
        <v>8899</v>
      </c>
      <c r="O7285" s="6" t="s">
        <v>365</v>
      </c>
      <c r="P7285" s="58" t="s">
        <v>241</v>
      </c>
      <c r="Q7285" s="6" t="s">
        <v>234</v>
      </c>
      <c r="R7285" s="3">
        <v>0</v>
      </c>
      <c r="S7285" s="60">
        <v>4180</v>
      </c>
      <c r="T7285" s="4">
        <f t="shared" si="350"/>
        <v>0</v>
      </c>
      <c r="U7285" s="4">
        <f t="shared" si="349"/>
        <v>0</v>
      </c>
      <c r="V7285" s="3"/>
      <c r="W7285" s="3">
        <v>2014</v>
      </c>
      <c r="X7285" s="3" t="s">
        <v>12076</v>
      </c>
    </row>
    <row r="7286" spans="1:24" ht="114.75">
      <c r="A7286" s="3" t="s">
        <v>10983</v>
      </c>
      <c r="B7286" s="6" t="s">
        <v>361</v>
      </c>
      <c r="C7286" s="6" t="s">
        <v>8620</v>
      </c>
      <c r="D7286" s="6" t="s">
        <v>8621</v>
      </c>
      <c r="E7286" s="6" t="s">
        <v>8622</v>
      </c>
      <c r="F7286" s="6" t="s">
        <v>8623</v>
      </c>
      <c r="G7286" s="3" t="s">
        <v>11450</v>
      </c>
      <c r="H7286" s="185">
        <v>0</v>
      </c>
      <c r="I7286" s="16">
        <v>470000000</v>
      </c>
      <c r="J7286" s="56" t="s">
        <v>229</v>
      </c>
      <c r="K7286" s="57" t="s">
        <v>641</v>
      </c>
      <c r="L7286" s="57" t="s">
        <v>364</v>
      </c>
      <c r="M7286" s="3" t="s">
        <v>230</v>
      </c>
      <c r="N7286" s="8" t="s">
        <v>8899</v>
      </c>
      <c r="O7286" s="6" t="s">
        <v>365</v>
      </c>
      <c r="P7286" s="58" t="s">
        <v>241</v>
      </c>
      <c r="Q7286" s="6" t="s">
        <v>234</v>
      </c>
      <c r="R7286" s="3">
        <v>0</v>
      </c>
      <c r="S7286" s="60">
        <v>2310</v>
      </c>
      <c r="T7286" s="4">
        <f t="shared" si="350"/>
        <v>0</v>
      </c>
      <c r="U7286" s="4">
        <f t="shared" si="349"/>
        <v>0</v>
      </c>
      <c r="V7286" s="3"/>
      <c r="W7286" s="3">
        <v>2014</v>
      </c>
      <c r="X7286" s="3" t="s">
        <v>12076</v>
      </c>
    </row>
    <row r="7287" spans="1:24" ht="114.75">
      <c r="A7287" s="3" t="s">
        <v>10984</v>
      </c>
      <c r="B7287" s="6" t="s">
        <v>361</v>
      </c>
      <c r="C7287" s="6" t="s">
        <v>8620</v>
      </c>
      <c r="D7287" s="6" t="s">
        <v>8621</v>
      </c>
      <c r="E7287" s="6" t="s">
        <v>8622</v>
      </c>
      <c r="F7287" s="6" t="s">
        <v>8624</v>
      </c>
      <c r="G7287" s="3" t="s">
        <v>11450</v>
      </c>
      <c r="H7287" s="185">
        <v>0</v>
      </c>
      <c r="I7287" s="16">
        <v>470000000</v>
      </c>
      <c r="J7287" s="56" t="s">
        <v>229</v>
      </c>
      <c r="K7287" s="57" t="s">
        <v>641</v>
      </c>
      <c r="L7287" s="57" t="s">
        <v>364</v>
      </c>
      <c r="M7287" s="3" t="s">
        <v>230</v>
      </c>
      <c r="N7287" s="8" t="s">
        <v>8899</v>
      </c>
      <c r="O7287" s="6" t="s">
        <v>365</v>
      </c>
      <c r="P7287" s="58" t="s">
        <v>241</v>
      </c>
      <c r="Q7287" s="6" t="s">
        <v>234</v>
      </c>
      <c r="R7287" s="3">
        <v>0</v>
      </c>
      <c r="S7287" s="60">
        <v>1700</v>
      </c>
      <c r="T7287" s="4">
        <f t="shared" si="350"/>
        <v>0</v>
      </c>
      <c r="U7287" s="4">
        <f t="shared" si="349"/>
        <v>0</v>
      </c>
      <c r="V7287" s="3"/>
      <c r="W7287" s="3">
        <v>2014</v>
      </c>
      <c r="X7287" s="3" t="s">
        <v>12076</v>
      </c>
    </row>
    <row r="7288" spans="1:24" ht="114.75">
      <c r="A7288" s="3" t="s">
        <v>10985</v>
      </c>
      <c r="B7288" s="6" t="s">
        <v>361</v>
      </c>
      <c r="C7288" s="6" t="s">
        <v>8625</v>
      </c>
      <c r="D7288" s="6" t="s">
        <v>8626</v>
      </c>
      <c r="E7288" s="6" t="s">
        <v>8622</v>
      </c>
      <c r="F7288" s="6" t="s">
        <v>8627</v>
      </c>
      <c r="G7288" s="3" t="s">
        <v>11450</v>
      </c>
      <c r="H7288" s="185">
        <v>0</v>
      </c>
      <c r="I7288" s="16">
        <v>470000000</v>
      </c>
      <c r="J7288" s="56" t="s">
        <v>229</v>
      </c>
      <c r="K7288" s="57" t="s">
        <v>641</v>
      </c>
      <c r="L7288" s="57" t="s">
        <v>364</v>
      </c>
      <c r="M7288" s="3" t="s">
        <v>230</v>
      </c>
      <c r="N7288" s="8" t="s">
        <v>8899</v>
      </c>
      <c r="O7288" s="6" t="s">
        <v>365</v>
      </c>
      <c r="P7288" s="58" t="s">
        <v>241</v>
      </c>
      <c r="Q7288" s="6" t="s">
        <v>234</v>
      </c>
      <c r="R7288" s="3">
        <v>0</v>
      </c>
      <c r="S7288" s="60">
        <v>2590</v>
      </c>
      <c r="T7288" s="4">
        <f t="shared" si="350"/>
        <v>0</v>
      </c>
      <c r="U7288" s="4">
        <f t="shared" si="349"/>
        <v>0</v>
      </c>
      <c r="V7288" s="3"/>
      <c r="W7288" s="3">
        <v>2014</v>
      </c>
      <c r="X7288" s="3" t="s">
        <v>12076</v>
      </c>
    </row>
    <row r="7289" spans="1:24" ht="114.75">
      <c r="A7289" s="3" t="s">
        <v>10986</v>
      </c>
      <c r="B7289" s="6" t="s">
        <v>361</v>
      </c>
      <c r="C7289" s="6" t="s">
        <v>8628</v>
      </c>
      <c r="D7289" s="6" t="s">
        <v>8629</v>
      </c>
      <c r="E7289" s="6" t="s">
        <v>8630</v>
      </c>
      <c r="F7289" s="6" t="s">
        <v>8631</v>
      </c>
      <c r="G7289" s="3" t="s">
        <v>11450</v>
      </c>
      <c r="H7289" s="185">
        <v>0</v>
      </c>
      <c r="I7289" s="16">
        <v>470000000</v>
      </c>
      <c r="J7289" s="56" t="s">
        <v>229</v>
      </c>
      <c r="K7289" s="57" t="s">
        <v>641</v>
      </c>
      <c r="L7289" s="57" t="s">
        <v>364</v>
      </c>
      <c r="M7289" s="3" t="s">
        <v>230</v>
      </c>
      <c r="N7289" s="8" t="s">
        <v>8899</v>
      </c>
      <c r="O7289" s="6" t="s">
        <v>365</v>
      </c>
      <c r="P7289" s="58" t="s">
        <v>241</v>
      </c>
      <c r="Q7289" s="6" t="s">
        <v>234</v>
      </c>
      <c r="R7289" s="3">
        <v>0</v>
      </c>
      <c r="S7289" s="1">
        <v>3430</v>
      </c>
      <c r="T7289" s="4">
        <f t="shared" si="350"/>
        <v>0</v>
      </c>
      <c r="U7289" s="4">
        <f t="shared" si="349"/>
        <v>0</v>
      </c>
      <c r="V7289" s="3"/>
      <c r="W7289" s="3">
        <v>2014</v>
      </c>
      <c r="X7289" s="3" t="s">
        <v>12076</v>
      </c>
    </row>
    <row r="7290" spans="1:24" ht="114.75">
      <c r="A7290" s="3" t="s">
        <v>10987</v>
      </c>
      <c r="B7290" s="6" t="s">
        <v>361</v>
      </c>
      <c r="C7290" s="6" t="s">
        <v>8632</v>
      </c>
      <c r="D7290" s="6" t="s">
        <v>8633</v>
      </c>
      <c r="E7290" s="6" t="s">
        <v>8634</v>
      </c>
      <c r="F7290" s="6" t="s">
        <v>8635</v>
      </c>
      <c r="G7290" s="3" t="s">
        <v>11450</v>
      </c>
      <c r="H7290" s="185">
        <v>0</v>
      </c>
      <c r="I7290" s="16">
        <v>470000000</v>
      </c>
      <c r="J7290" s="56" t="s">
        <v>229</v>
      </c>
      <c r="K7290" s="57" t="s">
        <v>641</v>
      </c>
      <c r="L7290" s="57" t="s">
        <v>364</v>
      </c>
      <c r="M7290" s="3" t="s">
        <v>230</v>
      </c>
      <c r="N7290" s="8" t="s">
        <v>8899</v>
      </c>
      <c r="O7290" s="6" t="s">
        <v>365</v>
      </c>
      <c r="P7290" s="58" t="s">
        <v>241</v>
      </c>
      <c r="Q7290" s="6" t="s">
        <v>234</v>
      </c>
      <c r="R7290" s="3">
        <v>0</v>
      </c>
      <c r="S7290" s="1">
        <v>6990</v>
      </c>
      <c r="T7290" s="4">
        <f t="shared" si="350"/>
        <v>0</v>
      </c>
      <c r="U7290" s="4">
        <f t="shared" ref="U7290:U7353" si="351">T7290*1.12</f>
        <v>0</v>
      </c>
      <c r="V7290" s="3"/>
      <c r="W7290" s="3">
        <v>2014</v>
      </c>
      <c r="X7290" s="3" t="s">
        <v>12076</v>
      </c>
    </row>
    <row r="7291" spans="1:24" ht="114.75">
      <c r="A7291" s="3" t="s">
        <v>10988</v>
      </c>
      <c r="B7291" s="6" t="s">
        <v>361</v>
      </c>
      <c r="C7291" s="6" t="s">
        <v>8636</v>
      </c>
      <c r="D7291" s="6" t="s">
        <v>307</v>
      </c>
      <c r="E7291" s="6" t="s">
        <v>8637</v>
      </c>
      <c r="F7291" s="6" t="s">
        <v>8638</v>
      </c>
      <c r="G7291" s="3" t="s">
        <v>11450</v>
      </c>
      <c r="H7291" s="185">
        <v>0</v>
      </c>
      <c r="I7291" s="16">
        <v>470000000</v>
      </c>
      <c r="J7291" s="56" t="s">
        <v>229</v>
      </c>
      <c r="K7291" s="57" t="s">
        <v>641</v>
      </c>
      <c r="L7291" s="57" t="s">
        <v>364</v>
      </c>
      <c r="M7291" s="3" t="s">
        <v>230</v>
      </c>
      <c r="N7291" s="8" t="s">
        <v>8899</v>
      </c>
      <c r="O7291" s="6" t="s">
        <v>365</v>
      </c>
      <c r="P7291" s="58" t="s">
        <v>241</v>
      </c>
      <c r="Q7291" s="6" t="s">
        <v>234</v>
      </c>
      <c r="R7291" s="3">
        <v>0</v>
      </c>
      <c r="S7291" s="1">
        <v>6940</v>
      </c>
      <c r="T7291" s="4">
        <f t="shared" si="350"/>
        <v>0</v>
      </c>
      <c r="U7291" s="4">
        <f t="shared" si="351"/>
        <v>0</v>
      </c>
      <c r="V7291" s="3"/>
      <c r="W7291" s="3">
        <v>2014</v>
      </c>
      <c r="X7291" s="3" t="s">
        <v>12076</v>
      </c>
    </row>
    <row r="7292" spans="1:24" ht="114.75">
      <c r="A7292" s="3" t="s">
        <v>10989</v>
      </c>
      <c r="B7292" s="6" t="s">
        <v>361</v>
      </c>
      <c r="C7292" s="6" t="s">
        <v>8639</v>
      </c>
      <c r="D7292" s="6" t="s">
        <v>540</v>
      </c>
      <c r="E7292" s="6" t="s">
        <v>8640</v>
      </c>
      <c r="F7292" s="6" t="s">
        <v>8641</v>
      </c>
      <c r="G7292" s="3" t="s">
        <v>11450</v>
      </c>
      <c r="H7292" s="185">
        <v>0</v>
      </c>
      <c r="I7292" s="16">
        <v>470000000</v>
      </c>
      <c r="J7292" s="56" t="s">
        <v>229</v>
      </c>
      <c r="K7292" s="57" t="s">
        <v>641</v>
      </c>
      <c r="L7292" s="57" t="s">
        <v>364</v>
      </c>
      <c r="M7292" s="3" t="s">
        <v>230</v>
      </c>
      <c r="N7292" s="8" t="s">
        <v>8899</v>
      </c>
      <c r="O7292" s="6" t="s">
        <v>365</v>
      </c>
      <c r="P7292" s="58" t="s">
        <v>241</v>
      </c>
      <c r="Q7292" s="6" t="s">
        <v>234</v>
      </c>
      <c r="R7292" s="3">
        <v>0</v>
      </c>
      <c r="S7292" s="1">
        <v>16530</v>
      </c>
      <c r="T7292" s="4">
        <f t="shared" si="350"/>
        <v>0</v>
      </c>
      <c r="U7292" s="4">
        <f t="shared" si="351"/>
        <v>0</v>
      </c>
      <c r="V7292" s="3"/>
      <c r="W7292" s="3">
        <v>2014</v>
      </c>
      <c r="X7292" s="3" t="s">
        <v>12076</v>
      </c>
    </row>
    <row r="7293" spans="1:24" ht="114.75">
      <c r="A7293" s="3" t="s">
        <v>10990</v>
      </c>
      <c r="B7293" s="6" t="s">
        <v>361</v>
      </c>
      <c r="C7293" s="6" t="s">
        <v>8642</v>
      </c>
      <c r="D7293" s="6" t="s">
        <v>8643</v>
      </c>
      <c r="E7293" s="6" t="s">
        <v>8644</v>
      </c>
      <c r="F7293" s="6" t="s">
        <v>8645</v>
      </c>
      <c r="G7293" s="3" t="s">
        <v>11450</v>
      </c>
      <c r="H7293" s="185">
        <v>0</v>
      </c>
      <c r="I7293" s="16">
        <v>470000000</v>
      </c>
      <c r="J7293" s="56" t="s">
        <v>229</v>
      </c>
      <c r="K7293" s="57" t="s">
        <v>641</v>
      </c>
      <c r="L7293" s="57" t="s">
        <v>364</v>
      </c>
      <c r="M7293" s="3" t="s">
        <v>230</v>
      </c>
      <c r="N7293" s="8" t="s">
        <v>8899</v>
      </c>
      <c r="O7293" s="6" t="s">
        <v>365</v>
      </c>
      <c r="P7293" s="58" t="s">
        <v>241</v>
      </c>
      <c r="Q7293" s="6" t="s">
        <v>234</v>
      </c>
      <c r="R7293" s="3">
        <v>0</v>
      </c>
      <c r="S7293" s="1">
        <v>11680</v>
      </c>
      <c r="T7293" s="4">
        <f t="shared" si="350"/>
        <v>0</v>
      </c>
      <c r="U7293" s="4">
        <f t="shared" si="351"/>
        <v>0</v>
      </c>
      <c r="V7293" s="3"/>
      <c r="W7293" s="3">
        <v>2014</v>
      </c>
      <c r="X7293" s="3" t="s">
        <v>12076</v>
      </c>
    </row>
    <row r="7294" spans="1:24" ht="114.75">
      <c r="A7294" s="3" t="s">
        <v>10991</v>
      </c>
      <c r="B7294" s="6" t="s">
        <v>361</v>
      </c>
      <c r="C7294" s="6" t="s">
        <v>8646</v>
      </c>
      <c r="D7294" s="6" t="s">
        <v>8647</v>
      </c>
      <c r="E7294" s="6" t="s">
        <v>8648</v>
      </c>
      <c r="F7294" s="6" t="s">
        <v>8649</v>
      </c>
      <c r="G7294" s="3" t="s">
        <v>11450</v>
      </c>
      <c r="H7294" s="185">
        <v>0</v>
      </c>
      <c r="I7294" s="16">
        <v>470000000</v>
      </c>
      <c r="J7294" s="56" t="s">
        <v>229</v>
      </c>
      <c r="K7294" s="57" t="s">
        <v>641</v>
      </c>
      <c r="L7294" s="57" t="s">
        <v>364</v>
      </c>
      <c r="M7294" s="3" t="s">
        <v>230</v>
      </c>
      <c r="N7294" s="8" t="s">
        <v>8899</v>
      </c>
      <c r="O7294" s="6" t="s">
        <v>365</v>
      </c>
      <c r="P7294" s="58" t="s">
        <v>241</v>
      </c>
      <c r="Q7294" s="6" t="s">
        <v>234</v>
      </c>
      <c r="R7294" s="3">
        <v>0</v>
      </c>
      <c r="S7294" s="1">
        <v>4740</v>
      </c>
      <c r="T7294" s="4">
        <f t="shared" si="350"/>
        <v>0</v>
      </c>
      <c r="U7294" s="4">
        <f t="shared" si="351"/>
        <v>0</v>
      </c>
      <c r="V7294" s="3"/>
      <c r="W7294" s="3">
        <v>2014</v>
      </c>
      <c r="X7294" s="3" t="s">
        <v>12076</v>
      </c>
    </row>
    <row r="7295" spans="1:24" ht="114.75">
      <c r="A7295" s="3" t="s">
        <v>10992</v>
      </c>
      <c r="B7295" s="6" t="s">
        <v>361</v>
      </c>
      <c r="C7295" s="6" t="s">
        <v>8646</v>
      </c>
      <c r="D7295" s="6" t="s">
        <v>8647</v>
      </c>
      <c r="E7295" s="6" t="s">
        <v>8648</v>
      </c>
      <c r="F7295" s="6" t="s">
        <v>8650</v>
      </c>
      <c r="G7295" s="3" t="s">
        <v>11450</v>
      </c>
      <c r="H7295" s="185">
        <v>0</v>
      </c>
      <c r="I7295" s="16">
        <v>470000000</v>
      </c>
      <c r="J7295" s="56" t="s">
        <v>229</v>
      </c>
      <c r="K7295" s="57" t="s">
        <v>641</v>
      </c>
      <c r="L7295" s="57" t="s">
        <v>364</v>
      </c>
      <c r="M7295" s="3" t="s">
        <v>230</v>
      </c>
      <c r="N7295" s="8" t="s">
        <v>8899</v>
      </c>
      <c r="O7295" s="6" t="s">
        <v>365</v>
      </c>
      <c r="P7295" s="58" t="s">
        <v>241</v>
      </c>
      <c r="Q7295" s="6" t="s">
        <v>234</v>
      </c>
      <c r="R7295" s="3">
        <v>0</v>
      </c>
      <c r="S7295" s="1">
        <v>2754</v>
      </c>
      <c r="T7295" s="4">
        <f t="shared" si="350"/>
        <v>0</v>
      </c>
      <c r="U7295" s="4">
        <f t="shared" si="351"/>
        <v>0</v>
      </c>
      <c r="V7295" s="3"/>
      <c r="W7295" s="3">
        <v>2014</v>
      </c>
      <c r="X7295" s="3" t="s">
        <v>12076</v>
      </c>
    </row>
    <row r="7296" spans="1:24" ht="114.75">
      <c r="A7296" s="3" t="s">
        <v>10993</v>
      </c>
      <c r="B7296" s="6" t="s">
        <v>361</v>
      </c>
      <c r="C7296" s="6" t="s">
        <v>8651</v>
      </c>
      <c r="D7296" s="6" t="s">
        <v>8652</v>
      </c>
      <c r="E7296" s="6" t="s">
        <v>8653</v>
      </c>
      <c r="F7296" s="6" t="s">
        <v>8654</v>
      </c>
      <c r="G7296" s="3" t="s">
        <v>11450</v>
      </c>
      <c r="H7296" s="185">
        <v>0</v>
      </c>
      <c r="I7296" s="16">
        <v>470000000</v>
      </c>
      <c r="J7296" s="56" t="s">
        <v>229</v>
      </c>
      <c r="K7296" s="57" t="s">
        <v>641</v>
      </c>
      <c r="L7296" s="57" t="s">
        <v>364</v>
      </c>
      <c r="M7296" s="3" t="s">
        <v>230</v>
      </c>
      <c r="N7296" s="8" t="s">
        <v>8899</v>
      </c>
      <c r="O7296" s="6" t="s">
        <v>365</v>
      </c>
      <c r="P7296" s="58" t="s">
        <v>241</v>
      </c>
      <c r="Q7296" s="6" t="s">
        <v>234</v>
      </c>
      <c r="R7296" s="3">
        <v>0</v>
      </c>
      <c r="S7296" s="1">
        <v>9910</v>
      </c>
      <c r="T7296" s="4">
        <f t="shared" si="350"/>
        <v>0</v>
      </c>
      <c r="U7296" s="4">
        <f t="shared" si="351"/>
        <v>0</v>
      </c>
      <c r="V7296" s="3"/>
      <c r="W7296" s="3">
        <v>2014</v>
      </c>
      <c r="X7296" s="3" t="s">
        <v>12076</v>
      </c>
    </row>
    <row r="7297" spans="1:24" ht="114.75">
      <c r="A7297" s="3" t="s">
        <v>10994</v>
      </c>
      <c r="B7297" s="6" t="s">
        <v>361</v>
      </c>
      <c r="C7297" s="6" t="s">
        <v>8655</v>
      </c>
      <c r="D7297" s="6" t="s">
        <v>8652</v>
      </c>
      <c r="E7297" s="6" t="s">
        <v>8656</v>
      </c>
      <c r="F7297" s="6" t="s">
        <v>8657</v>
      </c>
      <c r="G7297" s="3" t="s">
        <v>11450</v>
      </c>
      <c r="H7297" s="185">
        <v>0</v>
      </c>
      <c r="I7297" s="16">
        <v>470000000</v>
      </c>
      <c r="J7297" s="56" t="s">
        <v>229</v>
      </c>
      <c r="K7297" s="57" t="s">
        <v>641</v>
      </c>
      <c r="L7297" s="57" t="s">
        <v>364</v>
      </c>
      <c r="M7297" s="3" t="s">
        <v>230</v>
      </c>
      <c r="N7297" s="8" t="s">
        <v>8899</v>
      </c>
      <c r="O7297" s="6" t="s">
        <v>365</v>
      </c>
      <c r="P7297" s="58" t="s">
        <v>241</v>
      </c>
      <c r="Q7297" s="6" t="s">
        <v>234</v>
      </c>
      <c r="R7297" s="3">
        <v>0</v>
      </c>
      <c r="S7297" s="1">
        <v>2030</v>
      </c>
      <c r="T7297" s="4">
        <f t="shared" si="350"/>
        <v>0</v>
      </c>
      <c r="U7297" s="4">
        <f t="shared" si="351"/>
        <v>0</v>
      </c>
      <c r="V7297" s="3"/>
      <c r="W7297" s="3">
        <v>2014</v>
      </c>
      <c r="X7297" s="3" t="s">
        <v>12076</v>
      </c>
    </row>
    <row r="7298" spans="1:24" ht="114.75">
      <c r="A7298" s="3" t="s">
        <v>10995</v>
      </c>
      <c r="B7298" s="6" t="s">
        <v>361</v>
      </c>
      <c r="C7298" s="6" t="s">
        <v>8651</v>
      </c>
      <c r="D7298" s="6" t="s">
        <v>8652</v>
      </c>
      <c r="E7298" s="6" t="s">
        <v>8653</v>
      </c>
      <c r="F7298" s="6" t="s">
        <v>8658</v>
      </c>
      <c r="G7298" s="3" t="s">
        <v>11450</v>
      </c>
      <c r="H7298" s="185">
        <v>0</v>
      </c>
      <c r="I7298" s="16">
        <v>470000000</v>
      </c>
      <c r="J7298" s="56" t="s">
        <v>229</v>
      </c>
      <c r="K7298" s="57" t="s">
        <v>641</v>
      </c>
      <c r="L7298" s="57" t="s">
        <v>364</v>
      </c>
      <c r="M7298" s="3" t="s">
        <v>230</v>
      </c>
      <c r="N7298" s="8" t="s">
        <v>8899</v>
      </c>
      <c r="O7298" s="6" t="s">
        <v>365</v>
      </c>
      <c r="P7298" s="58" t="s">
        <v>241</v>
      </c>
      <c r="Q7298" s="6" t="s">
        <v>234</v>
      </c>
      <c r="R7298" s="3">
        <v>0</v>
      </c>
      <c r="S7298" s="1">
        <v>595</v>
      </c>
      <c r="T7298" s="4">
        <f t="shared" si="350"/>
        <v>0</v>
      </c>
      <c r="U7298" s="4">
        <f t="shared" si="351"/>
        <v>0</v>
      </c>
      <c r="V7298" s="3"/>
      <c r="W7298" s="3">
        <v>2014</v>
      </c>
      <c r="X7298" s="3" t="s">
        <v>12076</v>
      </c>
    </row>
    <row r="7299" spans="1:24" ht="114.75">
      <c r="A7299" s="3" t="s">
        <v>10996</v>
      </c>
      <c r="B7299" s="6" t="s">
        <v>361</v>
      </c>
      <c r="C7299" s="6" t="s">
        <v>8659</v>
      </c>
      <c r="D7299" s="6" t="s">
        <v>8660</v>
      </c>
      <c r="E7299" s="6" t="s">
        <v>8661</v>
      </c>
      <c r="F7299" s="6" t="s">
        <v>8662</v>
      </c>
      <c r="G7299" s="3" t="s">
        <v>11450</v>
      </c>
      <c r="H7299" s="185">
        <v>0</v>
      </c>
      <c r="I7299" s="16">
        <v>470000000</v>
      </c>
      <c r="J7299" s="56" t="s">
        <v>229</v>
      </c>
      <c r="K7299" s="57" t="s">
        <v>641</v>
      </c>
      <c r="L7299" s="57" t="s">
        <v>364</v>
      </c>
      <c r="M7299" s="3" t="s">
        <v>230</v>
      </c>
      <c r="N7299" s="8" t="s">
        <v>8899</v>
      </c>
      <c r="O7299" s="6" t="s">
        <v>365</v>
      </c>
      <c r="P7299" s="58" t="s">
        <v>241</v>
      </c>
      <c r="Q7299" s="6" t="s">
        <v>234</v>
      </c>
      <c r="R7299" s="3">
        <v>0</v>
      </c>
      <c r="S7299" s="1">
        <v>1320</v>
      </c>
      <c r="T7299" s="4">
        <f t="shared" si="350"/>
        <v>0</v>
      </c>
      <c r="U7299" s="4">
        <f t="shared" si="351"/>
        <v>0</v>
      </c>
      <c r="V7299" s="3"/>
      <c r="W7299" s="3">
        <v>2014</v>
      </c>
      <c r="X7299" s="3" t="s">
        <v>12076</v>
      </c>
    </row>
    <row r="7300" spans="1:24" ht="114.75">
      <c r="A7300" s="3" t="s">
        <v>10997</v>
      </c>
      <c r="B7300" s="6" t="s">
        <v>361</v>
      </c>
      <c r="C7300" s="6" t="s">
        <v>8663</v>
      </c>
      <c r="D7300" s="6" t="s">
        <v>8664</v>
      </c>
      <c r="E7300" s="6" t="s">
        <v>8665</v>
      </c>
      <c r="F7300" s="6" t="s">
        <v>8666</v>
      </c>
      <c r="G7300" s="3" t="s">
        <v>11450</v>
      </c>
      <c r="H7300" s="185">
        <v>0</v>
      </c>
      <c r="I7300" s="16">
        <v>470000000</v>
      </c>
      <c r="J7300" s="56" t="s">
        <v>229</v>
      </c>
      <c r="K7300" s="57" t="s">
        <v>641</v>
      </c>
      <c r="L7300" s="57" t="s">
        <v>364</v>
      </c>
      <c r="M7300" s="3" t="s">
        <v>230</v>
      </c>
      <c r="N7300" s="8" t="s">
        <v>8899</v>
      </c>
      <c r="O7300" s="6" t="s">
        <v>365</v>
      </c>
      <c r="P7300" s="58" t="s">
        <v>241</v>
      </c>
      <c r="Q7300" s="6" t="s">
        <v>234</v>
      </c>
      <c r="R7300" s="3">
        <v>0</v>
      </c>
      <c r="S7300" s="1">
        <v>26500</v>
      </c>
      <c r="T7300" s="4">
        <f t="shared" si="350"/>
        <v>0</v>
      </c>
      <c r="U7300" s="4">
        <f t="shared" si="351"/>
        <v>0</v>
      </c>
      <c r="V7300" s="3"/>
      <c r="W7300" s="3">
        <v>2014</v>
      </c>
      <c r="X7300" s="3" t="s">
        <v>12076</v>
      </c>
    </row>
    <row r="7301" spans="1:24" ht="114.75">
      <c r="A7301" s="3" t="s">
        <v>10998</v>
      </c>
      <c r="B7301" s="6" t="s">
        <v>361</v>
      </c>
      <c r="C7301" s="6" t="s">
        <v>8667</v>
      </c>
      <c r="D7301" s="6" t="s">
        <v>8664</v>
      </c>
      <c r="E7301" s="6" t="s">
        <v>8668</v>
      </c>
      <c r="F7301" s="6" t="s">
        <v>8669</v>
      </c>
      <c r="G7301" s="3" t="s">
        <v>11450</v>
      </c>
      <c r="H7301" s="185">
        <v>0</v>
      </c>
      <c r="I7301" s="16">
        <v>470000000</v>
      </c>
      <c r="J7301" s="56" t="s">
        <v>229</v>
      </c>
      <c r="K7301" s="57" t="s">
        <v>641</v>
      </c>
      <c r="L7301" s="57" t="s">
        <v>364</v>
      </c>
      <c r="M7301" s="3" t="s">
        <v>230</v>
      </c>
      <c r="N7301" s="8" t="s">
        <v>8899</v>
      </c>
      <c r="O7301" s="6" t="s">
        <v>365</v>
      </c>
      <c r="P7301" s="58" t="s">
        <v>241</v>
      </c>
      <c r="Q7301" s="6" t="s">
        <v>234</v>
      </c>
      <c r="R7301" s="3">
        <v>0</v>
      </c>
      <c r="S7301" s="1">
        <v>28200</v>
      </c>
      <c r="T7301" s="4">
        <f t="shared" si="350"/>
        <v>0</v>
      </c>
      <c r="U7301" s="4">
        <f t="shared" si="351"/>
        <v>0</v>
      </c>
      <c r="V7301" s="3"/>
      <c r="W7301" s="3">
        <v>2014</v>
      </c>
      <c r="X7301" s="3" t="s">
        <v>12076</v>
      </c>
    </row>
    <row r="7302" spans="1:24" ht="114.75">
      <c r="A7302" s="3" t="s">
        <v>10999</v>
      </c>
      <c r="B7302" s="6" t="s">
        <v>361</v>
      </c>
      <c r="C7302" s="6" t="s">
        <v>8670</v>
      </c>
      <c r="D7302" s="6" t="s">
        <v>8664</v>
      </c>
      <c r="E7302" s="6" t="s">
        <v>8671</v>
      </c>
      <c r="F7302" s="6" t="s">
        <v>8672</v>
      </c>
      <c r="G7302" s="3" t="s">
        <v>11450</v>
      </c>
      <c r="H7302" s="185">
        <v>0</v>
      </c>
      <c r="I7302" s="16">
        <v>470000000</v>
      </c>
      <c r="J7302" s="56" t="s">
        <v>229</v>
      </c>
      <c r="K7302" s="57" t="s">
        <v>641</v>
      </c>
      <c r="L7302" s="57" t="s">
        <v>364</v>
      </c>
      <c r="M7302" s="3" t="s">
        <v>230</v>
      </c>
      <c r="N7302" s="8" t="s">
        <v>8899</v>
      </c>
      <c r="O7302" s="6" t="s">
        <v>365</v>
      </c>
      <c r="P7302" s="58" t="s">
        <v>241</v>
      </c>
      <c r="Q7302" s="6" t="s">
        <v>234</v>
      </c>
      <c r="R7302" s="3">
        <v>0</v>
      </c>
      <c r="S7302" s="1">
        <v>5070</v>
      </c>
      <c r="T7302" s="4">
        <f t="shared" si="350"/>
        <v>0</v>
      </c>
      <c r="U7302" s="4">
        <f t="shared" si="351"/>
        <v>0</v>
      </c>
      <c r="V7302" s="3"/>
      <c r="W7302" s="3">
        <v>2014</v>
      </c>
      <c r="X7302" s="3" t="s">
        <v>12076</v>
      </c>
    </row>
    <row r="7303" spans="1:24" ht="114.75">
      <c r="A7303" s="3" t="s">
        <v>11000</v>
      </c>
      <c r="B7303" s="6" t="s">
        <v>361</v>
      </c>
      <c r="C7303" s="6" t="s">
        <v>8673</v>
      </c>
      <c r="D7303" s="6" t="s">
        <v>8664</v>
      </c>
      <c r="E7303" s="6" t="s">
        <v>8674</v>
      </c>
      <c r="F7303" s="6" t="s">
        <v>8675</v>
      </c>
      <c r="G7303" s="3" t="s">
        <v>11450</v>
      </c>
      <c r="H7303" s="185">
        <v>0</v>
      </c>
      <c r="I7303" s="16">
        <v>470000000</v>
      </c>
      <c r="J7303" s="56" t="s">
        <v>229</v>
      </c>
      <c r="K7303" s="57" t="s">
        <v>641</v>
      </c>
      <c r="L7303" s="57" t="s">
        <v>364</v>
      </c>
      <c r="M7303" s="3" t="s">
        <v>230</v>
      </c>
      <c r="N7303" s="8" t="s">
        <v>8899</v>
      </c>
      <c r="O7303" s="6" t="s">
        <v>365</v>
      </c>
      <c r="P7303" s="58" t="s">
        <v>241</v>
      </c>
      <c r="Q7303" s="6" t="s">
        <v>234</v>
      </c>
      <c r="R7303" s="3">
        <v>0</v>
      </c>
      <c r="S7303" s="1">
        <v>8040</v>
      </c>
      <c r="T7303" s="4">
        <f t="shared" si="350"/>
        <v>0</v>
      </c>
      <c r="U7303" s="4">
        <f t="shared" si="351"/>
        <v>0</v>
      </c>
      <c r="V7303" s="3"/>
      <c r="W7303" s="3">
        <v>2014</v>
      </c>
      <c r="X7303" s="3" t="s">
        <v>12076</v>
      </c>
    </row>
    <row r="7304" spans="1:24" ht="114.75">
      <c r="A7304" s="3" t="s">
        <v>11001</v>
      </c>
      <c r="B7304" s="6" t="s">
        <v>361</v>
      </c>
      <c r="C7304" s="6" t="s">
        <v>8676</v>
      </c>
      <c r="D7304" s="6" t="s">
        <v>8664</v>
      </c>
      <c r="E7304" s="6" t="s">
        <v>8677</v>
      </c>
      <c r="F7304" s="6" t="s">
        <v>8678</v>
      </c>
      <c r="G7304" s="3" t="s">
        <v>11450</v>
      </c>
      <c r="H7304" s="185">
        <v>0</v>
      </c>
      <c r="I7304" s="16">
        <v>470000000</v>
      </c>
      <c r="J7304" s="56" t="s">
        <v>229</v>
      </c>
      <c r="K7304" s="57" t="s">
        <v>641</v>
      </c>
      <c r="L7304" s="57" t="s">
        <v>364</v>
      </c>
      <c r="M7304" s="3" t="s">
        <v>230</v>
      </c>
      <c r="N7304" s="8" t="s">
        <v>8899</v>
      </c>
      <c r="O7304" s="6" t="s">
        <v>365</v>
      </c>
      <c r="P7304" s="58" t="s">
        <v>241</v>
      </c>
      <c r="Q7304" s="6" t="s">
        <v>234</v>
      </c>
      <c r="R7304" s="3">
        <v>0</v>
      </c>
      <c r="S7304" s="1">
        <v>4630</v>
      </c>
      <c r="T7304" s="4">
        <f t="shared" si="350"/>
        <v>0</v>
      </c>
      <c r="U7304" s="4">
        <f t="shared" si="351"/>
        <v>0</v>
      </c>
      <c r="V7304" s="3"/>
      <c r="W7304" s="3">
        <v>2014</v>
      </c>
      <c r="X7304" s="3" t="s">
        <v>12076</v>
      </c>
    </row>
    <row r="7305" spans="1:24" ht="114.75">
      <c r="A7305" s="3" t="s">
        <v>11002</v>
      </c>
      <c r="B7305" s="6" t="s">
        <v>361</v>
      </c>
      <c r="C7305" s="6" t="s">
        <v>8679</v>
      </c>
      <c r="D7305" s="6" t="s">
        <v>8664</v>
      </c>
      <c r="E7305" s="6" t="s">
        <v>8680</v>
      </c>
      <c r="F7305" s="6" t="s">
        <v>8681</v>
      </c>
      <c r="G7305" s="3" t="s">
        <v>11450</v>
      </c>
      <c r="H7305" s="185">
        <v>0</v>
      </c>
      <c r="I7305" s="16">
        <v>470000000</v>
      </c>
      <c r="J7305" s="56" t="s">
        <v>229</v>
      </c>
      <c r="K7305" s="57" t="s">
        <v>641</v>
      </c>
      <c r="L7305" s="57" t="s">
        <v>364</v>
      </c>
      <c r="M7305" s="3" t="s">
        <v>230</v>
      </c>
      <c r="N7305" s="8" t="s">
        <v>8899</v>
      </c>
      <c r="O7305" s="6" t="s">
        <v>365</v>
      </c>
      <c r="P7305" s="58" t="s">
        <v>241</v>
      </c>
      <c r="Q7305" s="6" t="s">
        <v>234</v>
      </c>
      <c r="R7305" s="3">
        <v>0</v>
      </c>
      <c r="S7305" s="1">
        <v>2640</v>
      </c>
      <c r="T7305" s="4">
        <f t="shared" si="350"/>
        <v>0</v>
      </c>
      <c r="U7305" s="4">
        <f t="shared" si="351"/>
        <v>0</v>
      </c>
      <c r="V7305" s="3"/>
      <c r="W7305" s="3">
        <v>2014</v>
      </c>
      <c r="X7305" s="3" t="s">
        <v>12076</v>
      </c>
    </row>
    <row r="7306" spans="1:24" ht="114.75">
      <c r="A7306" s="3" t="s">
        <v>11003</v>
      </c>
      <c r="B7306" s="6" t="s">
        <v>361</v>
      </c>
      <c r="C7306" s="6" t="s">
        <v>8679</v>
      </c>
      <c r="D7306" s="6" t="s">
        <v>8664</v>
      </c>
      <c r="E7306" s="6" t="s">
        <v>8680</v>
      </c>
      <c r="F7306" s="6" t="s">
        <v>8682</v>
      </c>
      <c r="G7306" s="3" t="s">
        <v>11450</v>
      </c>
      <c r="H7306" s="185">
        <v>0</v>
      </c>
      <c r="I7306" s="16">
        <v>470000000</v>
      </c>
      <c r="J7306" s="56" t="s">
        <v>229</v>
      </c>
      <c r="K7306" s="57" t="s">
        <v>641</v>
      </c>
      <c r="L7306" s="57" t="s">
        <v>364</v>
      </c>
      <c r="M7306" s="3" t="s">
        <v>230</v>
      </c>
      <c r="N7306" s="8" t="s">
        <v>8899</v>
      </c>
      <c r="O7306" s="6" t="s">
        <v>365</v>
      </c>
      <c r="P7306" s="58" t="s">
        <v>241</v>
      </c>
      <c r="Q7306" s="6" t="s">
        <v>234</v>
      </c>
      <c r="R7306" s="3">
        <v>0</v>
      </c>
      <c r="S7306" s="1">
        <v>2860</v>
      </c>
      <c r="T7306" s="4">
        <f t="shared" si="350"/>
        <v>0</v>
      </c>
      <c r="U7306" s="4">
        <f t="shared" si="351"/>
        <v>0</v>
      </c>
      <c r="V7306" s="3"/>
      <c r="W7306" s="3">
        <v>2014</v>
      </c>
      <c r="X7306" s="3" t="s">
        <v>12076</v>
      </c>
    </row>
    <row r="7307" spans="1:24" ht="114.75">
      <c r="A7307" s="3" t="s">
        <v>11004</v>
      </c>
      <c r="B7307" s="6" t="s">
        <v>361</v>
      </c>
      <c r="C7307" s="6" t="s">
        <v>8679</v>
      </c>
      <c r="D7307" s="6" t="s">
        <v>8664</v>
      </c>
      <c r="E7307" s="6" t="s">
        <v>8680</v>
      </c>
      <c r="F7307" s="6" t="s">
        <v>8683</v>
      </c>
      <c r="G7307" s="3" t="s">
        <v>11450</v>
      </c>
      <c r="H7307" s="185">
        <v>0</v>
      </c>
      <c r="I7307" s="16">
        <v>470000000</v>
      </c>
      <c r="J7307" s="56" t="s">
        <v>229</v>
      </c>
      <c r="K7307" s="57" t="s">
        <v>641</v>
      </c>
      <c r="L7307" s="57" t="s">
        <v>364</v>
      </c>
      <c r="M7307" s="3" t="s">
        <v>230</v>
      </c>
      <c r="N7307" s="8" t="s">
        <v>8899</v>
      </c>
      <c r="O7307" s="6" t="s">
        <v>365</v>
      </c>
      <c r="P7307" s="58" t="s">
        <v>241</v>
      </c>
      <c r="Q7307" s="6" t="s">
        <v>234</v>
      </c>
      <c r="R7307" s="3">
        <v>0</v>
      </c>
      <c r="S7307" s="1">
        <v>2420</v>
      </c>
      <c r="T7307" s="4">
        <f t="shared" si="350"/>
        <v>0</v>
      </c>
      <c r="U7307" s="4">
        <f t="shared" si="351"/>
        <v>0</v>
      </c>
      <c r="V7307" s="3"/>
      <c r="W7307" s="3">
        <v>2014</v>
      </c>
      <c r="X7307" s="3" t="s">
        <v>12076</v>
      </c>
    </row>
    <row r="7308" spans="1:24" ht="114.75">
      <c r="A7308" s="3" t="s">
        <v>11005</v>
      </c>
      <c r="B7308" s="6" t="s">
        <v>361</v>
      </c>
      <c r="C7308" s="6" t="s">
        <v>8679</v>
      </c>
      <c r="D7308" s="6" t="s">
        <v>8664</v>
      </c>
      <c r="E7308" s="6" t="s">
        <v>8680</v>
      </c>
      <c r="F7308" s="6" t="s">
        <v>8684</v>
      </c>
      <c r="G7308" s="3" t="s">
        <v>11450</v>
      </c>
      <c r="H7308" s="185">
        <v>0</v>
      </c>
      <c r="I7308" s="16">
        <v>470000000</v>
      </c>
      <c r="J7308" s="56" t="s">
        <v>229</v>
      </c>
      <c r="K7308" s="57" t="s">
        <v>641</v>
      </c>
      <c r="L7308" s="57" t="s">
        <v>364</v>
      </c>
      <c r="M7308" s="3" t="s">
        <v>230</v>
      </c>
      <c r="N7308" s="8" t="s">
        <v>8899</v>
      </c>
      <c r="O7308" s="6" t="s">
        <v>365</v>
      </c>
      <c r="P7308" s="58" t="s">
        <v>241</v>
      </c>
      <c r="Q7308" s="6" t="s">
        <v>234</v>
      </c>
      <c r="R7308" s="3">
        <v>0</v>
      </c>
      <c r="S7308" s="1">
        <v>1870</v>
      </c>
      <c r="T7308" s="4">
        <f t="shared" si="350"/>
        <v>0</v>
      </c>
      <c r="U7308" s="4">
        <f t="shared" si="351"/>
        <v>0</v>
      </c>
      <c r="V7308" s="3"/>
      <c r="W7308" s="3">
        <v>2014</v>
      </c>
      <c r="X7308" s="3" t="s">
        <v>12076</v>
      </c>
    </row>
    <row r="7309" spans="1:24" ht="114.75">
      <c r="A7309" s="3" t="s">
        <v>11006</v>
      </c>
      <c r="B7309" s="6" t="s">
        <v>361</v>
      </c>
      <c r="C7309" s="6" t="s">
        <v>8679</v>
      </c>
      <c r="D7309" s="6" t="s">
        <v>8664</v>
      </c>
      <c r="E7309" s="6" t="s">
        <v>8680</v>
      </c>
      <c r="F7309" s="6" t="s">
        <v>8685</v>
      </c>
      <c r="G7309" s="3" t="s">
        <v>11450</v>
      </c>
      <c r="H7309" s="185">
        <v>0</v>
      </c>
      <c r="I7309" s="16">
        <v>470000000</v>
      </c>
      <c r="J7309" s="56" t="s">
        <v>229</v>
      </c>
      <c r="K7309" s="57" t="s">
        <v>641</v>
      </c>
      <c r="L7309" s="57" t="s">
        <v>364</v>
      </c>
      <c r="M7309" s="3" t="s">
        <v>230</v>
      </c>
      <c r="N7309" s="8" t="s">
        <v>8899</v>
      </c>
      <c r="O7309" s="6" t="s">
        <v>365</v>
      </c>
      <c r="P7309" s="58" t="s">
        <v>241</v>
      </c>
      <c r="Q7309" s="6" t="s">
        <v>234</v>
      </c>
      <c r="R7309" s="3">
        <v>0</v>
      </c>
      <c r="S7309" s="1">
        <v>6005</v>
      </c>
      <c r="T7309" s="4">
        <f t="shared" si="350"/>
        <v>0</v>
      </c>
      <c r="U7309" s="4">
        <f t="shared" si="351"/>
        <v>0</v>
      </c>
      <c r="V7309" s="3"/>
      <c r="W7309" s="3">
        <v>2014</v>
      </c>
      <c r="X7309" s="3" t="s">
        <v>12076</v>
      </c>
    </row>
    <row r="7310" spans="1:24" ht="114.75">
      <c r="A7310" s="3" t="s">
        <v>11007</v>
      </c>
      <c r="B7310" s="6" t="s">
        <v>361</v>
      </c>
      <c r="C7310" s="6" t="s">
        <v>8686</v>
      </c>
      <c r="D7310" s="6" t="s">
        <v>8687</v>
      </c>
      <c r="E7310" s="6" t="s">
        <v>8688</v>
      </c>
      <c r="F7310" s="6" t="s">
        <v>8689</v>
      </c>
      <c r="G7310" s="3" t="s">
        <v>11450</v>
      </c>
      <c r="H7310" s="185">
        <v>0</v>
      </c>
      <c r="I7310" s="16">
        <v>470000000</v>
      </c>
      <c r="J7310" s="56" t="s">
        <v>229</v>
      </c>
      <c r="K7310" s="57" t="s">
        <v>641</v>
      </c>
      <c r="L7310" s="57" t="s">
        <v>364</v>
      </c>
      <c r="M7310" s="3" t="s">
        <v>230</v>
      </c>
      <c r="N7310" s="8" t="s">
        <v>8899</v>
      </c>
      <c r="O7310" s="6" t="s">
        <v>365</v>
      </c>
      <c r="P7310" s="58" t="s">
        <v>241</v>
      </c>
      <c r="Q7310" s="6" t="s">
        <v>234</v>
      </c>
      <c r="R7310" s="3">
        <v>0</v>
      </c>
      <c r="S7310" s="1">
        <v>6005</v>
      </c>
      <c r="T7310" s="4">
        <f t="shared" si="350"/>
        <v>0</v>
      </c>
      <c r="U7310" s="4">
        <f t="shared" si="351"/>
        <v>0</v>
      </c>
      <c r="V7310" s="3"/>
      <c r="W7310" s="3">
        <v>2014</v>
      </c>
      <c r="X7310" s="3" t="s">
        <v>12076</v>
      </c>
    </row>
    <row r="7311" spans="1:24" ht="114.75">
      <c r="A7311" s="3" t="s">
        <v>11008</v>
      </c>
      <c r="B7311" s="6" t="s">
        <v>361</v>
      </c>
      <c r="C7311" s="6" t="s">
        <v>8690</v>
      </c>
      <c r="D7311" s="6" t="s">
        <v>8691</v>
      </c>
      <c r="E7311" s="6" t="s">
        <v>8622</v>
      </c>
      <c r="F7311" s="6" t="s">
        <v>8692</v>
      </c>
      <c r="G7311" s="3" t="s">
        <v>11450</v>
      </c>
      <c r="H7311" s="185">
        <v>0</v>
      </c>
      <c r="I7311" s="16">
        <v>470000000</v>
      </c>
      <c r="J7311" s="56" t="s">
        <v>229</v>
      </c>
      <c r="K7311" s="57" t="s">
        <v>641</v>
      </c>
      <c r="L7311" s="57" t="s">
        <v>364</v>
      </c>
      <c r="M7311" s="3" t="s">
        <v>230</v>
      </c>
      <c r="N7311" s="8" t="s">
        <v>8899</v>
      </c>
      <c r="O7311" s="6" t="s">
        <v>365</v>
      </c>
      <c r="P7311" s="58" t="s">
        <v>241</v>
      </c>
      <c r="Q7311" s="6" t="s">
        <v>234</v>
      </c>
      <c r="R7311" s="3">
        <v>0</v>
      </c>
      <c r="S7311" s="1">
        <v>3085</v>
      </c>
      <c r="T7311" s="4">
        <f t="shared" si="350"/>
        <v>0</v>
      </c>
      <c r="U7311" s="4">
        <f t="shared" si="351"/>
        <v>0</v>
      </c>
      <c r="V7311" s="3"/>
      <c r="W7311" s="3">
        <v>2014</v>
      </c>
      <c r="X7311" s="3" t="s">
        <v>12076</v>
      </c>
    </row>
    <row r="7312" spans="1:24" ht="114.75">
      <c r="A7312" s="3" t="s">
        <v>11009</v>
      </c>
      <c r="B7312" s="6" t="s">
        <v>361</v>
      </c>
      <c r="C7312" s="6" t="s">
        <v>8693</v>
      </c>
      <c r="D7312" s="6" t="s">
        <v>8660</v>
      </c>
      <c r="E7312" s="6" t="s">
        <v>8694</v>
      </c>
      <c r="F7312" s="6" t="s">
        <v>8695</v>
      </c>
      <c r="G7312" s="3" t="s">
        <v>11450</v>
      </c>
      <c r="H7312" s="185">
        <v>0</v>
      </c>
      <c r="I7312" s="16">
        <v>470000000</v>
      </c>
      <c r="J7312" s="56" t="s">
        <v>229</v>
      </c>
      <c r="K7312" s="57" t="s">
        <v>641</v>
      </c>
      <c r="L7312" s="57" t="s">
        <v>364</v>
      </c>
      <c r="M7312" s="3" t="s">
        <v>230</v>
      </c>
      <c r="N7312" s="8" t="s">
        <v>8899</v>
      </c>
      <c r="O7312" s="6" t="s">
        <v>365</v>
      </c>
      <c r="P7312" s="58" t="s">
        <v>241</v>
      </c>
      <c r="Q7312" s="6" t="s">
        <v>234</v>
      </c>
      <c r="R7312" s="3">
        <v>0</v>
      </c>
      <c r="S7312" s="1">
        <v>2310</v>
      </c>
      <c r="T7312" s="4">
        <f t="shared" si="350"/>
        <v>0</v>
      </c>
      <c r="U7312" s="4">
        <f t="shared" si="351"/>
        <v>0</v>
      </c>
      <c r="V7312" s="3"/>
      <c r="W7312" s="3">
        <v>2014</v>
      </c>
      <c r="X7312" s="3" t="s">
        <v>12076</v>
      </c>
    </row>
    <row r="7313" spans="1:24" ht="114.75">
      <c r="A7313" s="3" t="s">
        <v>11010</v>
      </c>
      <c r="B7313" s="6" t="s">
        <v>361</v>
      </c>
      <c r="C7313" s="6" t="s">
        <v>8693</v>
      </c>
      <c r="D7313" s="6" t="s">
        <v>8660</v>
      </c>
      <c r="E7313" s="6" t="s">
        <v>8694</v>
      </c>
      <c r="F7313" s="6" t="s">
        <v>8696</v>
      </c>
      <c r="G7313" s="3" t="s">
        <v>11450</v>
      </c>
      <c r="H7313" s="185">
        <v>0</v>
      </c>
      <c r="I7313" s="16">
        <v>470000000</v>
      </c>
      <c r="J7313" s="56" t="s">
        <v>229</v>
      </c>
      <c r="K7313" s="57" t="s">
        <v>641</v>
      </c>
      <c r="L7313" s="57" t="s">
        <v>364</v>
      </c>
      <c r="M7313" s="3" t="s">
        <v>230</v>
      </c>
      <c r="N7313" s="8" t="s">
        <v>8899</v>
      </c>
      <c r="O7313" s="6" t="s">
        <v>365</v>
      </c>
      <c r="P7313" s="58" t="s">
        <v>241</v>
      </c>
      <c r="Q7313" s="6" t="s">
        <v>234</v>
      </c>
      <c r="R7313" s="3">
        <v>0</v>
      </c>
      <c r="S7313" s="1">
        <v>4980</v>
      </c>
      <c r="T7313" s="4">
        <f t="shared" si="350"/>
        <v>0</v>
      </c>
      <c r="U7313" s="4">
        <f t="shared" si="351"/>
        <v>0</v>
      </c>
      <c r="V7313" s="3"/>
      <c r="W7313" s="3">
        <v>2014</v>
      </c>
      <c r="X7313" s="3" t="s">
        <v>12076</v>
      </c>
    </row>
    <row r="7314" spans="1:24" ht="114.75">
      <c r="A7314" s="3" t="s">
        <v>11011</v>
      </c>
      <c r="B7314" s="6" t="s">
        <v>361</v>
      </c>
      <c r="C7314" s="6" t="s">
        <v>8693</v>
      </c>
      <c r="D7314" s="6" t="s">
        <v>8660</v>
      </c>
      <c r="E7314" s="6" t="s">
        <v>8694</v>
      </c>
      <c r="F7314" s="6" t="s">
        <v>8697</v>
      </c>
      <c r="G7314" s="3" t="s">
        <v>11450</v>
      </c>
      <c r="H7314" s="185">
        <v>0</v>
      </c>
      <c r="I7314" s="16">
        <v>470000000</v>
      </c>
      <c r="J7314" s="56" t="s">
        <v>229</v>
      </c>
      <c r="K7314" s="57" t="s">
        <v>641</v>
      </c>
      <c r="L7314" s="57" t="s">
        <v>364</v>
      </c>
      <c r="M7314" s="3" t="s">
        <v>230</v>
      </c>
      <c r="N7314" s="8" t="s">
        <v>8899</v>
      </c>
      <c r="O7314" s="6" t="s">
        <v>365</v>
      </c>
      <c r="P7314" s="58" t="s">
        <v>241</v>
      </c>
      <c r="Q7314" s="6" t="s">
        <v>234</v>
      </c>
      <c r="R7314" s="3">
        <v>0</v>
      </c>
      <c r="S7314" s="1">
        <v>1760</v>
      </c>
      <c r="T7314" s="4">
        <f t="shared" si="350"/>
        <v>0</v>
      </c>
      <c r="U7314" s="4">
        <f t="shared" si="351"/>
        <v>0</v>
      </c>
      <c r="V7314" s="3"/>
      <c r="W7314" s="3">
        <v>2014</v>
      </c>
      <c r="X7314" s="3" t="s">
        <v>12076</v>
      </c>
    </row>
    <row r="7315" spans="1:24" ht="114.75">
      <c r="A7315" s="3" t="s">
        <v>11012</v>
      </c>
      <c r="B7315" s="6" t="s">
        <v>361</v>
      </c>
      <c r="C7315" s="6" t="s">
        <v>8693</v>
      </c>
      <c r="D7315" s="6" t="s">
        <v>8660</v>
      </c>
      <c r="E7315" s="6" t="s">
        <v>8694</v>
      </c>
      <c r="F7315" s="6" t="s">
        <v>8698</v>
      </c>
      <c r="G7315" s="3" t="s">
        <v>11450</v>
      </c>
      <c r="H7315" s="185">
        <v>0</v>
      </c>
      <c r="I7315" s="16">
        <v>470000000</v>
      </c>
      <c r="J7315" s="56" t="s">
        <v>229</v>
      </c>
      <c r="K7315" s="57" t="s">
        <v>641</v>
      </c>
      <c r="L7315" s="57" t="s">
        <v>364</v>
      </c>
      <c r="M7315" s="3" t="s">
        <v>230</v>
      </c>
      <c r="N7315" s="8" t="s">
        <v>8899</v>
      </c>
      <c r="O7315" s="6" t="s">
        <v>365</v>
      </c>
      <c r="P7315" s="58" t="s">
        <v>241</v>
      </c>
      <c r="Q7315" s="6" t="s">
        <v>234</v>
      </c>
      <c r="R7315" s="3">
        <v>0</v>
      </c>
      <c r="S7315" s="1">
        <v>1430</v>
      </c>
      <c r="T7315" s="4">
        <f t="shared" si="350"/>
        <v>0</v>
      </c>
      <c r="U7315" s="4">
        <f t="shared" si="351"/>
        <v>0</v>
      </c>
      <c r="V7315" s="3"/>
      <c r="W7315" s="3">
        <v>2014</v>
      </c>
      <c r="X7315" s="3" t="s">
        <v>12076</v>
      </c>
    </row>
    <row r="7316" spans="1:24" ht="114.75">
      <c r="A7316" s="3" t="s">
        <v>11013</v>
      </c>
      <c r="B7316" s="6" t="s">
        <v>361</v>
      </c>
      <c r="C7316" s="6" t="s">
        <v>8693</v>
      </c>
      <c r="D7316" s="6" t="s">
        <v>8660</v>
      </c>
      <c r="E7316" s="6" t="s">
        <v>8694</v>
      </c>
      <c r="F7316" s="6" t="s">
        <v>8699</v>
      </c>
      <c r="G7316" s="3" t="s">
        <v>11450</v>
      </c>
      <c r="H7316" s="185">
        <v>0</v>
      </c>
      <c r="I7316" s="16">
        <v>470000000</v>
      </c>
      <c r="J7316" s="56" t="s">
        <v>229</v>
      </c>
      <c r="K7316" s="57" t="s">
        <v>641</v>
      </c>
      <c r="L7316" s="57" t="s">
        <v>364</v>
      </c>
      <c r="M7316" s="3" t="s">
        <v>230</v>
      </c>
      <c r="N7316" s="8" t="s">
        <v>8899</v>
      </c>
      <c r="O7316" s="6" t="s">
        <v>365</v>
      </c>
      <c r="P7316" s="58" t="s">
        <v>241</v>
      </c>
      <c r="Q7316" s="6" t="s">
        <v>234</v>
      </c>
      <c r="R7316" s="3">
        <v>0</v>
      </c>
      <c r="S7316" s="1">
        <v>1430</v>
      </c>
      <c r="T7316" s="4">
        <f t="shared" si="350"/>
        <v>0</v>
      </c>
      <c r="U7316" s="4">
        <f t="shared" si="351"/>
        <v>0</v>
      </c>
      <c r="V7316" s="3"/>
      <c r="W7316" s="3">
        <v>2014</v>
      </c>
      <c r="X7316" s="3" t="s">
        <v>12076</v>
      </c>
    </row>
    <row r="7317" spans="1:24" ht="114.75">
      <c r="A7317" s="3" t="s">
        <v>11014</v>
      </c>
      <c r="B7317" s="6" t="s">
        <v>361</v>
      </c>
      <c r="C7317" s="6" t="s">
        <v>8693</v>
      </c>
      <c r="D7317" s="6" t="s">
        <v>8660</v>
      </c>
      <c r="E7317" s="6" t="s">
        <v>8694</v>
      </c>
      <c r="F7317" s="6" t="s">
        <v>8700</v>
      </c>
      <c r="G7317" s="3" t="s">
        <v>11450</v>
      </c>
      <c r="H7317" s="185">
        <v>0</v>
      </c>
      <c r="I7317" s="16">
        <v>470000000</v>
      </c>
      <c r="J7317" s="56" t="s">
        <v>229</v>
      </c>
      <c r="K7317" s="57" t="s">
        <v>641</v>
      </c>
      <c r="L7317" s="57" t="s">
        <v>364</v>
      </c>
      <c r="M7317" s="3" t="s">
        <v>230</v>
      </c>
      <c r="N7317" s="8" t="s">
        <v>8899</v>
      </c>
      <c r="O7317" s="6" t="s">
        <v>365</v>
      </c>
      <c r="P7317" s="58" t="s">
        <v>241</v>
      </c>
      <c r="Q7317" s="6" t="s">
        <v>234</v>
      </c>
      <c r="R7317" s="3">
        <v>0</v>
      </c>
      <c r="S7317" s="1">
        <v>7360</v>
      </c>
      <c r="T7317" s="4">
        <f t="shared" si="350"/>
        <v>0</v>
      </c>
      <c r="U7317" s="4">
        <f t="shared" si="351"/>
        <v>0</v>
      </c>
      <c r="V7317" s="3"/>
      <c r="W7317" s="3">
        <v>2014</v>
      </c>
      <c r="X7317" s="3" t="s">
        <v>12076</v>
      </c>
    </row>
    <row r="7318" spans="1:24" ht="114.75">
      <c r="A7318" s="3" t="s">
        <v>11015</v>
      </c>
      <c r="B7318" s="6" t="s">
        <v>361</v>
      </c>
      <c r="C7318" s="6" t="s">
        <v>8693</v>
      </c>
      <c r="D7318" s="6" t="s">
        <v>8660</v>
      </c>
      <c r="E7318" s="6" t="s">
        <v>8694</v>
      </c>
      <c r="F7318" s="6" t="s">
        <v>8701</v>
      </c>
      <c r="G7318" s="3" t="s">
        <v>11450</v>
      </c>
      <c r="H7318" s="185">
        <v>0</v>
      </c>
      <c r="I7318" s="16">
        <v>470000000</v>
      </c>
      <c r="J7318" s="56" t="s">
        <v>229</v>
      </c>
      <c r="K7318" s="57" t="s">
        <v>641</v>
      </c>
      <c r="L7318" s="57" t="s">
        <v>364</v>
      </c>
      <c r="M7318" s="3" t="s">
        <v>230</v>
      </c>
      <c r="N7318" s="8" t="s">
        <v>8899</v>
      </c>
      <c r="O7318" s="6" t="s">
        <v>365</v>
      </c>
      <c r="P7318" s="58" t="s">
        <v>241</v>
      </c>
      <c r="Q7318" s="6" t="s">
        <v>234</v>
      </c>
      <c r="R7318" s="3">
        <v>0</v>
      </c>
      <c r="S7318" s="1">
        <v>5680</v>
      </c>
      <c r="T7318" s="4">
        <f t="shared" si="350"/>
        <v>0</v>
      </c>
      <c r="U7318" s="4">
        <f t="shared" si="351"/>
        <v>0</v>
      </c>
      <c r="V7318" s="3"/>
      <c r="W7318" s="3">
        <v>2014</v>
      </c>
      <c r="X7318" s="3" t="s">
        <v>12076</v>
      </c>
    </row>
    <row r="7319" spans="1:24" ht="114.75">
      <c r="A7319" s="3" t="s">
        <v>11016</v>
      </c>
      <c r="B7319" s="6" t="s">
        <v>361</v>
      </c>
      <c r="C7319" s="6" t="s">
        <v>8693</v>
      </c>
      <c r="D7319" s="6" t="s">
        <v>8660</v>
      </c>
      <c r="E7319" s="6" t="s">
        <v>8694</v>
      </c>
      <c r="F7319" s="6" t="s">
        <v>8702</v>
      </c>
      <c r="G7319" s="3" t="s">
        <v>11450</v>
      </c>
      <c r="H7319" s="185">
        <v>0</v>
      </c>
      <c r="I7319" s="16">
        <v>470000000</v>
      </c>
      <c r="J7319" s="56" t="s">
        <v>229</v>
      </c>
      <c r="K7319" s="57" t="s">
        <v>641</v>
      </c>
      <c r="L7319" s="57" t="s">
        <v>364</v>
      </c>
      <c r="M7319" s="3" t="s">
        <v>230</v>
      </c>
      <c r="N7319" s="8" t="s">
        <v>8899</v>
      </c>
      <c r="O7319" s="6" t="s">
        <v>365</v>
      </c>
      <c r="P7319" s="58" t="s">
        <v>241</v>
      </c>
      <c r="Q7319" s="6" t="s">
        <v>234</v>
      </c>
      <c r="R7319" s="3">
        <v>0</v>
      </c>
      <c r="S7319" s="1">
        <v>2310</v>
      </c>
      <c r="T7319" s="4">
        <f t="shared" si="350"/>
        <v>0</v>
      </c>
      <c r="U7319" s="4">
        <f t="shared" si="351"/>
        <v>0</v>
      </c>
      <c r="V7319" s="3"/>
      <c r="W7319" s="3">
        <v>2014</v>
      </c>
      <c r="X7319" s="3" t="s">
        <v>12076</v>
      </c>
    </row>
    <row r="7320" spans="1:24" ht="114.75">
      <c r="A7320" s="3" t="s">
        <v>11017</v>
      </c>
      <c r="B7320" s="6" t="s">
        <v>361</v>
      </c>
      <c r="C7320" s="6" t="s">
        <v>8693</v>
      </c>
      <c r="D7320" s="6" t="s">
        <v>8660</v>
      </c>
      <c r="E7320" s="6" t="s">
        <v>8694</v>
      </c>
      <c r="F7320" s="6" t="s">
        <v>8703</v>
      </c>
      <c r="G7320" s="3" t="s">
        <v>11450</v>
      </c>
      <c r="H7320" s="185">
        <v>0</v>
      </c>
      <c r="I7320" s="16">
        <v>470000000</v>
      </c>
      <c r="J7320" s="56" t="s">
        <v>229</v>
      </c>
      <c r="K7320" s="57" t="s">
        <v>641</v>
      </c>
      <c r="L7320" s="57" t="s">
        <v>364</v>
      </c>
      <c r="M7320" s="3" t="s">
        <v>230</v>
      </c>
      <c r="N7320" s="8" t="s">
        <v>8899</v>
      </c>
      <c r="O7320" s="6" t="s">
        <v>365</v>
      </c>
      <c r="P7320" s="58" t="s">
        <v>241</v>
      </c>
      <c r="Q7320" s="6" t="s">
        <v>234</v>
      </c>
      <c r="R7320" s="3">
        <v>0</v>
      </c>
      <c r="S7320" s="1">
        <v>2750</v>
      </c>
      <c r="T7320" s="4">
        <f t="shared" si="350"/>
        <v>0</v>
      </c>
      <c r="U7320" s="4">
        <f t="shared" si="351"/>
        <v>0</v>
      </c>
      <c r="V7320" s="3"/>
      <c r="W7320" s="3">
        <v>2014</v>
      </c>
      <c r="X7320" s="3" t="s">
        <v>12076</v>
      </c>
    </row>
    <row r="7321" spans="1:24" ht="114.75">
      <c r="A7321" s="3" t="s">
        <v>11018</v>
      </c>
      <c r="B7321" s="6" t="s">
        <v>361</v>
      </c>
      <c r="C7321" s="6" t="s">
        <v>8693</v>
      </c>
      <c r="D7321" s="6" t="s">
        <v>8660</v>
      </c>
      <c r="E7321" s="6" t="s">
        <v>8694</v>
      </c>
      <c r="F7321" s="6" t="s">
        <v>8704</v>
      </c>
      <c r="G7321" s="3" t="s">
        <v>11450</v>
      </c>
      <c r="H7321" s="185">
        <v>0</v>
      </c>
      <c r="I7321" s="16">
        <v>470000000</v>
      </c>
      <c r="J7321" s="56" t="s">
        <v>229</v>
      </c>
      <c r="K7321" s="57" t="s">
        <v>641</v>
      </c>
      <c r="L7321" s="57" t="s">
        <v>364</v>
      </c>
      <c r="M7321" s="3" t="s">
        <v>230</v>
      </c>
      <c r="N7321" s="8" t="s">
        <v>8899</v>
      </c>
      <c r="O7321" s="6" t="s">
        <v>365</v>
      </c>
      <c r="P7321" s="58" t="s">
        <v>241</v>
      </c>
      <c r="Q7321" s="6" t="s">
        <v>234</v>
      </c>
      <c r="R7321" s="3">
        <v>0</v>
      </c>
      <c r="S7321" s="1">
        <v>2750</v>
      </c>
      <c r="T7321" s="4">
        <f t="shared" si="350"/>
        <v>0</v>
      </c>
      <c r="U7321" s="4">
        <f t="shared" si="351"/>
        <v>0</v>
      </c>
      <c r="V7321" s="3"/>
      <c r="W7321" s="3">
        <v>2014</v>
      </c>
      <c r="X7321" s="3" t="s">
        <v>12076</v>
      </c>
    </row>
    <row r="7322" spans="1:24" ht="114.75">
      <c r="A7322" s="3" t="s">
        <v>11019</v>
      </c>
      <c r="B7322" s="6" t="s">
        <v>361</v>
      </c>
      <c r="C7322" s="6" t="s">
        <v>8705</v>
      </c>
      <c r="D7322" s="6" t="s">
        <v>8660</v>
      </c>
      <c r="E7322" s="6" t="s">
        <v>8706</v>
      </c>
      <c r="F7322" s="6" t="s">
        <v>8707</v>
      </c>
      <c r="G7322" s="3" t="s">
        <v>11450</v>
      </c>
      <c r="H7322" s="185">
        <v>0</v>
      </c>
      <c r="I7322" s="16">
        <v>470000000</v>
      </c>
      <c r="J7322" s="56" t="s">
        <v>229</v>
      </c>
      <c r="K7322" s="57" t="s">
        <v>641</v>
      </c>
      <c r="L7322" s="57" t="s">
        <v>364</v>
      </c>
      <c r="M7322" s="3" t="s">
        <v>230</v>
      </c>
      <c r="N7322" s="8" t="s">
        <v>8899</v>
      </c>
      <c r="O7322" s="6" t="s">
        <v>365</v>
      </c>
      <c r="P7322" s="58" t="s">
        <v>242</v>
      </c>
      <c r="Q7322" s="6" t="s">
        <v>239</v>
      </c>
      <c r="R7322" s="3">
        <v>0</v>
      </c>
      <c r="S7322" s="1">
        <v>5500</v>
      </c>
      <c r="T7322" s="4">
        <f t="shared" si="350"/>
        <v>0</v>
      </c>
      <c r="U7322" s="4">
        <f t="shared" si="351"/>
        <v>0</v>
      </c>
      <c r="V7322" s="3"/>
      <c r="W7322" s="3">
        <v>2014</v>
      </c>
      <c r="X7322" s="3" t="s">
        <v>12076</v>
      </c>
    </row>
    <row r="7323" spans="1:24" ht="114.75">
      <c r="A7323" s="3" t="s">
        <v>11020</v>
      </c>
      <c r="B7323" s="6" t="s">
        <v>361</v>
      </c>
      <c r="C7323" s="6" t="s">
        <v>8693</v>
      </c>
      <c r="D7323" s="6" t="s">
        <v>8660</v>
      </c>
      <c r="E7323" s="6" t="s">
        <v>8694</v>
      </c>
      <c r="F7323" s="6" t="s">
        <v>8708</v>
      </c>
      <c r="G7323" s="3" t="s">
        <v>11450</v>
      </c>
      <c r="H7323" s="185">
        <v>0</v>
      </c>
      <c r="I7323" s="16">
        <v>470000000</v>
      </c>
      <c r="J7323" s="56" t="s">
        <v>229</v>
      </c>
      <c r="K7323" s="57" t="s">
        <v>641</v>
      </c>
      <c r="L7323" s="57" t="s">
        <v>364</v>
      </c>
      <c r="M7323" s="3" t="s">
        <v>230</v>
      </c>
      <c r="N7323" s="8" t="s">
        <v>8899</v>
      </c>
      <c r="O7323" s="6" t="s">
        <v>365</v>
      </c>
      <c r="P7323" s="58" t="s">
        <v>241</v>
      </c>
      <c r="Q7323" s="6" t="s">
        <v>234</v>
      </c>
      <c r="R7323" s="3">
        <v>0</v>
      </c>
      <c r="S7323" s="1">
        <v>9730</v>
      </c>
      <c r="T7323" s="4">
        <f t="shared" si="350"/>
        <v>0</v>
      </c>
      <c r="U7323" s="4">
        <f t="shared" si="351"/>
        <v>0</v>
      </c>
      <c r="V7323" s="3"/>
      <c r="W7323" s="3">
        <v>2014</v>
      </c>
      <c r="X7323" s="3" t="s">
        <v>12076</v>
      </c>
    </row>
    <row r="7324" spans="1:24" ht="114.75">
      <c r="A7324" s="3" t="s">
        <v>11021</v>
      </c>
      <c r="B7324" s="6" t="s">
        <v>361</v>
      </c>
      <c r="C7324" s="6" t="s">
        <v>8709</v>
      </c>
      <c r="D7324" s="6" t="s">
        <v>312</v>
      </c>
      <c r="E7324" s="6" t="s">
        <v>8630</v>
      </c>
      <c r="F7324" s="6" t="s">
        <v>8710</v>
      </c>
      <c r="G7324" s="3" t="s">
        <v>11450</v>
      </c>
      <c r="H7324" s="185">
        <v>0</v>
      </c>
      <c r="I7324" s="16">
        <v>470000000</v>
      </c>
      <c r="J7324" s="56" t="s">
        <v>229</v>
      </c>
      <c r="K7324" s="57" t="s">
        <v>641</v>
      </c>
      <c r="L7324" s="57" t="s">
        <v>364</v>
      </c>
      <c r="M7324" s="3" t="s">
        <v>230</v>
      </c>
      <c r="N7324" s="8" t="s">
        <v>8899</v>
      </c>
      <c r="O7324" s="6" t="s">
        <v>365</v>
      </c>
      <c r="P7324" s="58" t="s">
        <v>241</v>
      </c>
      <c r="Q7324" s="6" t="s">
        <v>234</v>
      </c>
      <c r="R7324" s="3">
        <v>0</v>
      </c>
      <c r="S7324" s="1">
        <v>1487</v>
      </c>
      <c r="T7324" s="4">
        <f t="shared" si="350"/>
        <v>0</v>
      </c>
      <c r="U7324" s="4">
        <f t="shared" si="351"/>
        <v>0</v>
      </c>
      <c r="V7324" s="3"/>
      <c r="W7324" s="3">
        <v>2014</v>
      </c>
      <c r="X7324" s="3" t="s">
        <v>12076</v>
      </c>
    </row>
    <row r="7325" spans="1:24" ht="114.75">
      <c r="A7325" s="3" t="s">
        <v>11022</v>
      </c>
      <c r="B7325" s="6" t="s">
        <v>361</v>
      </c>
      <c r="C7325" s="6" t="s">
        <v>8636</v>
      </c>
      <c r="D7325" s="6" t="s">
        <v>307</v>
      </c>
      <c r="E7325" s="6" t="s">
        <v>8637</v>
      </c>
      <c r="F7325" s="6" t="s">
        <v>8711</v>
      </c>
      <c r="G7325" s="3" t="s">
        <v>11450</v>
      </c>
      <c r="H7325" s="185">
        <v>0</v>
      </c>
      <c r="I7325" s="16">
        <v>470000000</v>
      </c>
      <c r="J7325" s="56" t="s">
        <v>229</v>
      </c>
      <c r="K7325" s="57" t="s">
        <v>641</v>
      </c>
      <c r="L7325" s="57" t="s">
        <v>364</v>
      </c>
      <c r="M7325" s="3" t="s">
        <v>230</v>
      </c>
      <c r="N7325" s="8" t="s">
        <v>8899</v>
      </c>
      <c r="O7325" s="6" t="s">
        <v>365</v>
      </c>
      <c r="P7325" s="58" t="s">
        <v>241</v>
      </c>
      <c r="Q7325" s="6" t="s">
        <v>234</v>
      </c>
      <c r="R7325" s="3">
        <v>0</v>
      </c>
      <c r="S7325" s="1">
        <v>13880</v>
      </c>
      <c r="T7325" s="4">
        <f t="shared" si="350"/>
        <v>0</v>
      </c>
      <c r="U7325" s="4">
        <f t="shared" si="351"/>
        <v>0</v>
      </c>
      <c r="V7325" s="3"/>
      <c r="W7325" s="3">
        <v>2014</v>
      </c>
      <c r="X7325" s="3" t="s">
        <v>12076</v>
      </c>
    </row>
    <row r="7326" spans="1:24" ht="114.75">
      <c r="A7326" s="3" t="s">
        <v>11023</v>
      </c>
      <c r="B7326" s="6" t="s">
        <v>361</v>
      </c>
      <c r="C7326" s="6" t="s">
        <v>8712</v>
      </c>
      <c r="D7326" s="6" t="s">
        <v>8713</v>
      </c>
      <c r="E7326" s="6" t="s">
        <v>8714</v>
      </c>
      <c r="F7326" s="6" t="s">
        <v>8715</v>
      </c>
      <c r="G7326" s="3" t="s">
        <v>11450</v>
      </c>
      <c r="H7326" s="185">
        <v>0</v>
      </c>
      <c r="I7326" s="16">
        <v>470000000</v>
      </c>
      <c r="J7326" s="56" t="s">
        <v>229</v>
      </c>
      <c r="K7326" s="57" t="s">
        <v>641</v>
      </c>
      <c r="L7326" s="57" t="s">
        <v>364</v>
      </c>
      <c r="M7326" s="3" t="s">
        <v>230</v>
      </c>
      <c r="N7326" s="8" t="s">
        <v>8899</v>
      </c>
      <c r="O7326" s="6" t="s">
        <v>365</v>
      </c>
      <c r="P7326" s="58" t="s">
        <v>241</v>
      </c>
      <c r="Q7326" s="6" t="s">
        <v>234</v>
      </c>
      <c r="R7326" s="3">
        <v>0</v>
      </c>
      <c r="S7326" s="1">
        <v>2310</v>
      </c>
      <c r="T7326" s="4">
        <f t="shared" si="350"/>
        <v>0</v>
      </c>
      <c r="U7326" s="4">
        <f t="shared" si="351"/>
        <v>0</v>
      </c>
      <c r="V7326" s="3"/>
      <c r="W7326" s="3">
        <v>2014</v>
      </c>
      <c r="X7326" s="3" t="s">
        <v>12076</v>
      </c>
    </row>
    <row r="7327" spans="1:24" ht="114.75">
      <c r="A7327" s="3" t="s">
        <v>11024</v>
      </c>
      <c r="B7327" s="6" t="s">
        <v>361</v>
      </c>
      <c r="C7327" s="6" t="s">
        <v>8712</v>
      </c>
      <c r="D7327" s="6" t="s">
        <v>8713</v>
      </c>
      <c r="E7327" s="6" t="s">
        <v>8714</v>
      </c>
      <c r="F7327" s="6" t="s">
        <v>8716</v>
      </c>
      <c r="G7327" s="3" t="s">
        <v>11450</v>
      </c>
      <c r="H7327" s="185">
        <v>0</v>
      </c>
      <c r="I7327" s="16">
        <v>470000000</v>
      </c>
      <c r="J7327" s="56" t="s">
        <v>229</v>
      </c>
      <c r="K7327" s="57" t="s">
        <v>641</v>
      </c>
      <c r="L7327" s="57" t="s">
        <v>364</v>
      </c>
      <c r="M7327" s="3" t="s">
        <v>230</v>
      </c>
      <c r="N7327" s="8" t="s">
        <v>8899</v>
      </c>
      <c r="O7327" s="6" t="s">
        <v>365</v>
      </c>
      <c r="P7327" s="58" t="s">
        <v>241</v>
      </c>
      <c r="Q7327" s="6" t="s">
        <v>234</v>
      </c>
      <c r="R7327" s="3">
        <v>0</v>
      </c>
      <c r="S7327" s="1">
        <v>1320</v>
      </c>
      <c r="T7327" s="4">
        <f t="shared" si="350"/>
        <v>0</v>
      </c>
      <c r="U7327" s="4">
        <f t="shared" si="351"/>
        <v>0</v>
      </c>
      <c r="V7327" s="3"/>
      <c r="W7327" s="3">
        <v>2014</v>
      </c>
      <c r="X7327" s="3" t="s">
        <v>12076</v>
      </c>
    </row>
    <row r="7328" spans="1:24" ht="114.75">
      <c r="A7328" s="3" t="s">
        <v>11025</v>
      </c>
      <c r="B7328" s="6" t="s">
        <v>361</v>
      </c>
      <c r="C7328" s="6" t="s">
        <v>8712</v>
      </c>
      <c r="D7328" s="6" t="s">
        <v>8713</v>
      </c>
      <c r="E7328" s="6" t="s">
        <v>8714</v>
      </c>
      <c r="F7328" s="6" t="s">
        <v>8717</v>
      </c>
      <c r="G7328" s="3" t="s">
        <v>11450</v>
      </c>
      <c r="H7328" s="185">
        <v>0</v>
      </c>
      <c r="I7328" s="16">
        <v>470000000</v>
      </c>
      <c r="J7328" s="56" t="s">
        <v>229</v>
      </c>
      <c r="K7328" s="57" t="s">
        <v>641</v>
      </c>
      <c r="L7328" s="57" t="s">
        <v>364</v>
      </c>
      <c r="M7328" s="3" t="s">
        <v>230</v>
      </c>
      <c r="N7328" s="8" t="s">
        <v>8899</v>
      </c>
      <c r="O7328" s="6" t="s">
        <v>365</v>
      </c>
      <c r="P7328" s="58" t="s">
        <v>241</v>
      </c>
      <c r="Q7328" s="6" t="s">
        <v>234</v>
      </c>
      <c r="R7328" s="3">
        <v>0</v>
      </c>
      <c r="S7328" s="1">
        <v>2310</v>
      </c>
      <c r="T7328" s="4">
        <f t="shared" si="350"/>
        <v>0</v>
      </c>
      <c r="U7328" s="4">
        <f t="shared" si="351"/>
        <v>0</v>
      </c>
      <c r="V7328" s="3"/>
      <c r="W7328" s="3">
        <v>2014</v>
      </c>
      <c r="X7328" s="3" t="s">
        <v>12076</v>
      </c>
    </row>
    <row r="7329" spans="1:24" ht="114.75">
      <c r="A7329" s="3" t="s">
        <v>11026</v>
      </c>
      <c r="B7329" s="6" t="s">
        <v>361</v>
      </c>
      <c r="C7329" s="6" t="s">
        <v>8712</v>
      </c>
      <c r="D7329" s="6" t="s">
        <v>8713</v>
      </c>
      <c r="E7329" s="6" t="s">
        <v>8714</v>
      </c>
      <c r="F7329" s="6" t="s">
        <v>8718</v>
      </c>
      <c r="G7329" s="3" t="s">
        <v>11450</v>
      </c>
      <c r="H7329" s="185">
        <v>0</v>
      </c>
      <c r="I7329" s="16">
        <v>470000000</v>
      </c>
      <c r="J7329" s="56" t="s">
        <v>229</v>
      </c>
      <c r="K7329" s="57" t="s">
        <v>641</v>
      </c>
      <c r="L7329" s="57" t="s">
        <v>364</v>
      </c>
      <c r="M7329" s="3" t="s">
        <v>230</v>
      </c>
      <c r="N7329" s="8" t="s">
        <v>8899</v>
      </c>
      <c r="O7329" s="6" t="s">
        <v>365</v>
      </c>
      <c r="P7329" s="58" t="s">
        <v>241</v>
      </c>
      <c r="Q7329" s="6" t="s">
        <v>234</v>
      </c>
      <c r="R7329" s="3">
        <v>0</v>
      </c>
      <c r="S7329" s="1">
        <v>1320</v>
      </c>
      <c r="T7329" s="4">
        <f t="shared" si="350"/>
        <v>0</v>
      </c>
      <c r="U7329" s="4">
        <f t="shared" si="351"/>
        <v>0</v>
      </c>
      <c r="V7329" s="3"/>
      <c r="W7329" s="3">
        <v>2014</v>
      </c>
      <c r="X7329" s="3" t="s">
        <v>12076</v>
      </c>
    </row>
    <row r="7330" spans="1:24" ht="114.75">
      <c r="A7330" s="3" t="s">
        <v>11027</v>
      </c>
      <c r="B7330" s="6" t="s">
        <v>361</v>
      </c>
      <c r="C7330" s="6" t="s">
        <v>8712</v>
      </c>
      <c r="D7330" s="6" t="s">
        <v>8713</v>
      </c>
      <c r="E7330" s="6" t="s">
        <v>8714</v>
      </c>
      <c r="F7330" s="6" t="s">
        <v>8719</v>
      </c>
      <c r="G7330" s="3" t="s">
        <v>11450</v>
      </c>
      <c r="H7330" s="185">
        <v>0</v>
      </c>
      <c r="I7330" s="16">
        <v>470000000</v>
      </c>
      <c r="J7330" s="56" t="s">
        <v>229</v>
      </c>
      <c r="K7330" s="57" t="s">
        <v>641</v>
      </c>
      <c r="L7330" s="57" t="s">
        <v>364</v>
      </c>
      <c r="M7330" s="3" t="s">
        <v>230</v>
      </c>
      <c r="N7330" s="8" t="s">
        <v>8899</v>
      </c>
      <c r="O7330" s="6" t="s">
        <v>365</v>
      </c>
      <c r="P7330" s="58" t="s">
        <v>241</v>
      </c>
      <c r="Q7330" s="6" t="s">
        <v>234</v>
      </c>
      <c r="R7330" s="3">
        <v>0</v>
      </c>
      <c r="S7330" s="1">
        <v>1320</v>
      </c>
      <c r="T7330" s="4">
        <f t="shared" si="350"/>
        <v>0</v>
      </c>
      <c r="U7330" s="4">
        <f t="shared" si="351"/>
        <v>0</v>
      </c>
      <c r="V7330" s="3"/>
      <c r="W7330" s="3">
        <v>2014</v>
      </c>
      <c r="X7330" s="3" t="s">
        <v>12076</v>
      </c>
    </row>
    <row r="7331" spans="1:24" ht="114.75">
      <c r="A7331" s="3" t="s">
        <v>11028</v>
      </c>
      <c r="B7331" s="6" t="s">
        <v>361</v>
      </c>
      <c r="C7331" s="6" t="s">
        <v>8720</v>
      </c>
      <c r="D7331" s="6" t="s">
        <v>8721</v>
      </c>
      <c r="E7331" s="6" t="s">
        <v>332</v>
      </c>
      <c r="F7331" s="6" t="s">
        <v>8722</v>
      </c>
      <c r="G7331" s="3" t="s">
        <v>11450</v>
      </c>
      <c r="H7331" s="185">
        <v>0</v>
      </c>
      <c r="I7331" s="16">
        <v>470000000</v>
      </c>
      <c r="J7331" s="56" t="s">
        <v>229</v>
      </c>
      <c r="K7331" s="57" t="s">
        <v>641</v>
      </c>
      <c r="L7331" s="57" t="s">
        <v>364</v>
      </c>
      <c r="M7331" s="3" t="s">
        <v>230</v>
      </c>
      <c r="N7331" s="8" t="s">
        <v>8899</v>
      </c>
      <c r="O7331" s="6" t="s">
        <v>365</v>
      </c>
      <c r="P7331" s="58" t="s">
        <v>241</v>
      </c>
      <c r="Q7331" s="6" t="s">
        <v>234</v>
      </c>
      <c r="R7331" s="3">
        <v>0</v>
      </c>
      <c r="S7331" s="1">
        <v>2700</v>
      </c>
      <c r="T7331" s="4">
        <f t="shared" si="350"/>
        <v>0</v>
      </c>
      <c r="U7331" s="4">
        <f t="shared" si="351"/>
        <v>0</v>
      </c>
      <c r="V7331" s="3"/>
      <c r="W7331" s="3">
        <v>2014</v>
      </c>
      <c r="X7331" s="3" t="s">
        <v>12076</v>
      </c>
    </row>
    <row r="7332" spans="1:24" ht="114.75">
      <c r="A7332" s="3" t="s">
        <v>11029</v>
      </c>
      <c r="B7332" s="6" t="s">
        <v>361</v>
      </c>
      <c r="C7332" s="6" t="s">
        <v>8723</v>
      </c>
      <c r="D7332" s="6" t="s">
        <v>8724</v>
      </c>
      <c r="E7332" s="6" t="s">
        <v>8622</v>
      </c>
      <c r="F7332" s="6" t="s">
        <v>8725</v>
      </c>
      <c r="G7332" s="3" t="s">
        <v>11450</v>
      </c>
      <c r="H7332" s="185">
        <v>0</v>
      </c>
      <c r="I7332" s="16">
        <v>470000000</v>
      </c>
      <c r="J7332" s="56" t="s">
        <v>229</v>
      </c>
      <c r="K7332" s="57" t="s">
        <v>641</v>
      </c>
      <c r="L7332" s="57" t="s">
        <v>364</v>
      </c>
      <c r="M7332" s="3" t="s">
        <v>230</v>
      </c>
      <c r="N7332" s="8" t="s">
        <v>8899</v>
      </c>
      <c r="O7332" s="6" t="s">
        <v>365</v>
      </c>
      <c r="P7332" s="58" t="s">
        <v>241</v>
      </c>
      <c r="Q7332" s="6" t="s">
        <v>234</v>
      </c>
      <c r="R7332" s="3">
        <v>0</v>
      </c>
      <c r="S7332" s="1">
        <v>1980</v>
      </c>
      <c r="T7332" s="4">
        <f t="shared" si="350"/>
        <v>0</v>
      </c>
      <c r="U7332" s="4">
        <f t="shared" si="351"/>
        <v>0</v>
      </c>
      <c r="V7332" s="3"/>
      <c r="W7332" s="3">
        <v>2014</v>
      </c>
      <c r="X7332" s="3" t="s">
        <v>12076</v>
      </c>
    </row>
    <row r="7333" spans="1:24" ht="114.75">
      <c r="A7333" s="3" t="s">
        <v>11030</v>
      </c>
      <c r="B7333" s="6" t="s">
        <v>361</v>
      </c>
      <c r="C7333" s="6" t="s">
        <v>8723</v>
      </c>
      <c r="D7333" s="6" t="s">
        <v>8724</v>
      </c>
      <c r="E7333" s="6" t="s">
        <v>8622</v>
      </c>
      <c r="F7333" s="6" t="s">
        <v>8726</v>
      </c>
      <c r="G7333" s="3" t="s">
        <v>11450</v>
      </c>
      <c r="H7333" s="185">
        <v>0</v>
      </c>
      <c r="I7333" s="16">
        <v>470000000</v>
      </c>
      <c r="J7333" s="56" t="s">
        <v>229</v>
      </c>
      <c r="K7333" s="57" t="s">
        <v>641</v>
      </c>
      <c r="L7333" s="57" t="s">
        <v>364</v>
      </c>
      <c r="M7333" s="3" t="s">
        <v>230</v>
      </c>
      <c r="N7333" s="8" t="s">
        <v>8899</v>
      </c>
      <c r="O7333" s="6" t="s">
        <v>365</v>
      </c>
      <c r="P7333" s="58" t="s">
        <v>241</v>
      </c>
      <c r="Q7333" s="6" t="s">
        <v>234</v>
      </c>
      <c r="R7333" s="3">
        <v>0</v>
      </c>
      <c r="S7333" s="1">
        <v>1590</v>
      </c>
      <c r="T7333" s="4">
        <f t="shared" si="350"/>
        <v>0</v>
      </c>
      <c r="U7333" s="4">
        <f t="shared" si="351"/>
        <v>0</v>
      </c>
      <c r="V7333" s="3"/>
      <c r="W7333" s="3">
        <v>2014</v>
      </c>
      <c r="X7333" s="3" t="s">
        <v>12076</v>
      </c>
    </row>
    <row r="7334" spans="1:24" ht="114.75">
      <c r="A7334" s="3" t="s">
        <v>11031</v>
      </c>
      <c r="B7334" s="6" t="s">
        <v>361</v>
      </c>
      <c r="C7334" s="6" t="s">
        <v>8723</v>
      </c>
      <c r="D7334" s="6" t="s">
        <v>8724</v>
      </c>
      <c r="E7334" s="6" t="s">
        <v>8622</v>
      </c>
      <c r="F7334" s="6" t="s">
        <v>8727</v>
      </c>
      <c r="G7334" s="3" t="s">
        <v>11450</v>
      </c>
      <c r="H7334" s="185">
        <v>0</v>
      </c>
      <c r="I7334" s="16">
        <v>470000000</v>
      </c>
      <c r="J7334" s="56" t="s">
        <v>229</v>
      </c>
      <c r="K7334" s="57" t="s">
        <v>641</v>
      </c>
      <c r="L7334" s="57" t="s">
        <v>364</v>
      </c>
      <c r="M7334" s="3" t="s">
        <v>230</v>
      </c>
      <c r="N7334" s="8" t="s">
        <v>8899</v>
      </c>
      <c r="O7334" s="6" t="s">
        <v>365</v>
      </c>
      <c r="P7334" s="58" t="s">
        <v>241</v>
      </c>
      <c r="Q7334" s="6" t="s">
        <v>234</v>
      </c>
      <c r="R7334" s="3">
        <v>0</v>
      </c>
      <c r="S7334" s="1">
        <v>1320</v>
      </c>
      <c r="T7334" s="4">
        <f t="shared" si="350"/>
        <v>0</v>
      </c>
      <c r="U7334" s="4">
        <f t="shared" si="351"/>
        <v>0</v>
      </c>
      <c r="V7334" s="3"/>
      <c r="W7334" s="3">
        <v>2014</v>
      </c>
      <c r="X7334" s="3" t="s">
        <v>12076</v>
      </c>
    </row>
    <row r="7335" spans="1:24" ht="114.75">
      <c r="A7335" s="3" t="s">
        <v>11032</v>
      </c>
      <c r="B7335" s="6" t="s">
        <v>361</v>
      </c>
      <c r="C7335" s="6" t="s">
        <v>8723</v>
      </c>
      <c r="D7335" s="6" t="s">
        <v>8724</v>
      </c>
      <c r="E7335" s="6" t="s">
        <v>8622</v>
      </c>
      <c r="F7335" s="6" t="s">
        <v>8728</v>
      </c>
      <c r="G7335" s="3" t="s">
        <v>11450</v>
      </c>
      <c r="H7335" s="185">
        <v>0</v>
      </c>
      <c r="I7335" s="16">
        <v>470000000</v>
      </c>
      <c r="J7335" s="56" t="s">
        <v>229</v>
      </c>
      <c r="K7335" s="57" t="s">
        <v>641</v>
      </c>
      <c r="L7335" s="57" t="s">
        <v>364</v>
      </c>
      <c r="M7335" s="3" t="s">
        <v>230</v>
      </c>
      <c r="N7335" s="8" t="s">
        <v>8899</v>
      </c>
      <c r="O7335" s="6" t="s">
        <v>365</v>
      </c>
      <c r="P7335" s="58" t="s">
        <v>241</v>
      </c>
      <c r="Q7335" s="6" t="s">
        <v>234</v>
      </c>
      <c r="R7335" s="3">
        <v>0</v>
      </c>
      <c r="S7335" s="1">
        <v>1100</v>
      </c>
      <c r="T7335" s="4">
        <f t="shared" si="350"/>
        <v>0</v>
      </c>
      <c r="U7335" s="4">
        <f t="shared" si="351"/>
        <v>0</v>
      </c>
      <c r="V7335" s="3"/>
      <c r="W7335" s="3">
        <v>2014</v>
      </c>
      <c r="X7335" s="3" t="s">
        <v>12076</v>
      </c>
    </row>
    <row r="7336" spans="1:24" ht="114.75">
      <c r="A7336" s="3" t="s">
        <v>11033</v>
      </c>
      <c r="B7336" s="6" t="s">
        <v>361</v>
      </c>
      <c r="C7336" s="6" t="s">
        <v>8723</v>
      </c>
      <c r="D7336" s="6" t="s">
        <v>8724</v>
      </c>
      <c r="E7336" s="6" t="s">
        <v>8622</v>
      </c>
      <c r="F7336" s="6" t="s">
        <v>8729</v>
      </c>
      <c r="G7336" s="3" t="s">
        <v>11450</v>
      </c>
      <c r="H7336" s="185">
        <v>0</v>
      </c>
      <c r="I7336" s="16">
        <v>470000000</v>
      </c>
      <c r="J7336" s="56" t="s">
        <v>229</v>
      </c>
      <c r="K7336" s="57" t="s">
        <v>641</v>
      </c>
      <c r="L7336" s="57" t="s">
        <v>364</v>
      </c>
      <c r="M7336" s="3" t="s">
        <v>230</v>
      </c>
      <c r="N7336" s="8" t="s">
        <v>8899</v>
      </c>
      <c r="O7336" s="6" t="s">
        <v>365</v>
      </c>
      <c r="P7336" s="58" t="s">
        <v>241</v>
      </c>
      <c r="Q7336" s="6" t="s">
        <v>234</v>
      </c>
      <c r="R7336" s="3">
        <v>0</v>
      </c>
      <c r="S7336" s="1">
        <v>2140</v>
      </c>
      <c r="T7336" s="4">
        <f t="shared" si="350"/>
        <v>0</v>
      </c>
      <c r="U7336" s="4">
        <f t="shared" si="351"/>
        <v>0</v>
      </c>
      <c r="V7336" s="3"/>
      <c r="W7336" s="3">
        <v>2014</v>
      </c>
      <c r="X7336" s="3" t="s">
        <v>12076</v>
      </c>
    </row>
    <row r="7337" spans="1:24" ht="114.75">
      <c r="A7337" s="3" t="s">
        <v>11034</v>
      </c>
      <c r="B7337" s="6" t="s">
        <v>361</v>
      </c>
      <c r="C7337" s="6" t="s">
        <v>8723</v>
      </c>
      <c r="D7337" s="6" t="s">
        <v>8724</v>
      </c>
      <c r="E7337" s="6" t="s">
        <v>8622</v>
      </c>
      <c r="F7337" s="6" t="s">
        <v>8730</v>
      </c>
      <c r="G7337" s="3" t="s">
        <v>11450</v>
      </c>
      <c r="H7337" s="185">
        <v>0</v>
      </c>
      <c r="I7337" s="16">
        <v>470000000</v>
      </c>
      <c r="J7337" s="56" t="s">
        <v>229</v>
      </c>
      <c r="K7337" s="57" t="s">
        <v>641</v>
      </c>
      <c r="L7337" s="57" t="s">
        <v>364</v>
      </c>
      <c r="M7337" s="3" t="s">
        <v>230</v>
      </c>
      <c r="N7337" s="8" t="s">
        <v>8899</v>
      </c>
      <c r="O7337" s="6" t="s">
        <v>365</v>
      </c>
      <c r="P7337" s="58" t="s">
        <v>241</v>
      </c>
      <c r="Q7337" s="6" t="s">
        <v>234</v>
      </c>
      <c r="R7337" s="3">
        <v>0</v>
      </c>
      <c r="S7337" s="1">
        <v>2310</v>
      </c>
      <c r="T7337" s="4">
        <f t="shared" ref="T7337:T7400" si="352">R7337*S7337</f>
        <v>0</v>
      </c>
      <c r="U7337" s="4">
        <f t="shared" si="351"/>
        <v>0</v>
      </c>
      <c r="V7337" s="3"/>
      <c r="W7337" s="3">
        <v>2014</v>
      </c>
      <c r="X7337" s="3" t="s">
        <v>12076</v>
      </c>
    </row>
    <row r="7338" spans="1:24" ht="114.75">
      <c r="A7338" s="3" t="s">
        <v>11035</v>
      </c>
      <c r="B7338" s="6" t="s">
        <v>361</v>
      </c>
      <c r="C7338" s="6" t="s">
        <v>8723</v>
      </c>
      <c r="D7338" s="6" t="s">
        <v>8724</v>
      </c>
      <c r="E7338" s="6" t="s">
        <v>8622</v>
      </c>
      <c r="F7338" s="6" t="s">
        <v>8731</v>
      </c>
      <c r="G7338" s="3" t="s">
        <v>11450</v>
      </c>
      <c r="H7338" s="185">
        <v>0</v>
      </c>
      <c r="I7338" s="16">
        <v>470000000</v>
      </c>
      <c r="J7338" s="56" t="s">
        <v>229</v>
      </c>
      <c r="K7338" s="57" t="s">
        <v>641</v>
      </c>
      <c r="L7338" s="57" t="s">
        <v>364</v>
      </c>
      <c r="M7338" s="3" t="s">
        <v>230</v>
      </c>
      <c r="N7338" s="8" t="s">
        <v>8899</v>
      </c>
      <c r="O7338" s="6" t="s">
        <v>365</v>
      </c>
      <c r="P7338" s="58" t="s">
        <v>241</v>
      </c>
      <c r="Q7338" s="6" t="s">
        <v>234</v>
      </c>
      <c r="R7338" s="3">
        <v>0</v>
      </c>
      <c r="S7338" s="1">
        <v>940</v>
      </c>
      <c r="T7338" s="4">
        <f t="shared" si="352"/>
        <v>0</v>
      </c>
      <c r="U7338" s="4">
        <f t="shared" si="351"/>
        <v>0</v>
      </c>
      <c r="V7338" s="3"/>
      <c r="W7338" s="3">
        <v>2014</v>
      </c>
      <c r="X7338" s="3" t="s">
        <v>12076</v>
      </c>
    </row>
    <row r="7339" spans="1:24" ht="114.75">
      <c r="A7339" s="3" t="s">
        <v>11036</v>
      </c>
      <c r="B7339" s="6" t="s">
        <v>361</v>
      </c>
      <c r="C7339" s="6" t="s">
        <v>8723</v>
      </c>
      <c r="D7339" s="6" t="s">
        <v>8724</v>
      </c>
      <c r="E7339" s="6" t="s">
        <v>8622</v>
      </c>
      <c r="F7339" s="6" t="s">
        <v>8732</v>
      </c>
      <c r="G7339" s="3" t="s">
        <v>11450</v>
      </c>
      <c r="H7339" s="185">
        <v>0</v>
      </c>
      <c r="I7339" s="16">
        <v>470000000</v>
      </c>
      <c r="J7339" s="56" t="s">
        <v>229</v>
      </c>
      <c r="K7339" s="57" t="s">
        <v>641</v>
      </c>
      <c r="L7339" s="57" t="s">
        <v>364</v>
      </c>
      <c r="M7339" s="3" t="s">
        <v>230</v>
      </c>
      <c r="N7339" s="8" t="s">
        <v>8899</v>
      </c>
      <c r="O7339" s="6" t="s">
        <v>365</v>
      </c>
      <c r="P7339" s="58" t="s">
        <v>241</v>
      </c>
      <c r="Q7339" s="6" t="s">
        <v>234</v>
      </c>
      <c r="R7339" s="3">
        <v>0</v>
      </c>
      <c r="S7339" s="1">
        <v>1000</v>
      </c>
      <c r="T7339" s="4">
        <f t="shared" si="352"/>
        <v>0</v>
      </c>
      <c r="U7339" s="4">
        <f t="shared" si="351"/>
        <v>0</v>
      </c>
      <c r="V7339" s="3"/>
      <c r="W7339" s="3">
        <v>2014</v>
      </c>
      <c r="X7339" s="3" t="s">
        <v>12076</v>
      </c>
    </row>
    <row r="7340" spans="1:24" ht="114.75">
      <c r="A7340" s="3" t="s">
        <v>11037</v>
      </c>
      <c r="B7340" s="6" t="s">
        <v>361</v>
      </c>
      <c r="C7340" s="6" t="s">
        <v>8733</v>
      </c>
      <c r="D7340" s="6" t="s">
        <v>8734</v>
      </c>
      <c r="E7340" s="6" t="s">
        <v>8735</v>
      </c>
      <c r="F7340" s="6" t="s">
        <v>8736</v>
      </c>
      <c r="G7340" s="3" t="s">
        <v>11450</v>
      </c>
      <c r="H7340" s="185">
        <v>0</v>
      </c>
      <c r="I7340" s="16">
        <v>470000000</v>
      </c>
      <c r="J7340" s="56" t="s">
        <v>229</v>
      </c>
      <c r="K7340" s="57" t="s">
        <v>641</v>
      </c>
      <c r="L7340" s="57" t="s">
        <v>364</v>
      </c>
      <c r="M7340" s="3" t="s">
        <v>230</v>
      </c>
      <c r="N7340" s="8" t="s">
        <v>8899</v>
      </c>
      <c r="O7340" s="6" t="s">
        <v>365</v>
      </c>
      <c r="P7340" s="58" t="s">
        <v>241</v>
      </c>
      <c r="Q7340" s="6" t="s">
        <v>234</v>
      </c>
      <c r="R7340" s="3">
        <v>0</v>
      </c>
      <c r="S7340" s="1">
        <v>2600</v>
      </c>
      <c r="T7340" s="4">
        <f t="shared" si="352"/>
        <v>0</v>
      </c>
      <c r="U7340" s="4">
        <f t="shared" si="351"/>
        <v>0</v>
      </c>
      <c r="V7340" s="3"/>
      <c r="W7340" s="3">
        <v>2014</v>
      </c>
      <c r="X7340" s="3" t="s">
        <v>12076</v>
      </c>
    </row>
    <row r="7341" spans="1:24" ht="114.75">
      <c r="A7341" s="3" t="s">
        <v>11038</v>
      </c>
      <c r="B7341" s="6" t="s">
        <v>361</v>
      </c>
      <c r="C7341" s="6" t="s">
        <v>8733</v>
      </c>
      <c r="D7341" s="6" t="s">
        <v>8734</v>
      </c>
      <c r="E7341" s="6" t="s">
        <v>8735</v>
      </c>
      <c r="F7341" s="6" t="s">
        <v>8737</v>
      </c>
      <c r="G7341" s="3" t="s">
        <v>11450</v>
      </c>
      <c r="H7341" s="185">
        <v>0</v>
      </c>
      <c r="I7341" s="16">
        <v>470000000</v>
      </c>
      <c r="J7341" s="56" t="s">
        <v>229</v>
      </c>
      <c r="K7341" s="57" t="s">
        <v>641</v>
      </c>
      <c r="L7341" s="57" t="s">
        <v>364</v>
      </c>
      <c r="M7341" s="3" t="s">
        <v>230</v>
      </c>
      <c r="N7341" s="8" t="s">
        <v>8899</v>
      </c>
      <c r="O7341" s="6" t="s">
        <v>365</v>
      </c>
      <c r="P7341" s="58" t="s">
        <v>241</v>
      </c>
      <c r="Q7341" s="6" t="s">
        <v>234</v>
      </c>
      <c r="R7341" s="3">
        <v>0</v>
      </c>
      <c r="S7341" s="1">
        <v>2310</v>
      </c>
      <c r="T7341" s="4">
        <f t="shared" si="352"/>
        <v>0</v>
      </c>
      <c r="U7341" s="4">
        <f t="shared" si="351"/>
        <v>0</v>
      </c>
      <c r="V7341" s="3"/>
      <c r="W7341" s="3">
        <v>2014</v>
      </c>
      <c r="X7341" s="3" t="s">
        <v>12076</v>
      </c>
    </row>
    <row r="7342" spans="1:24" ht="114.75">
      <c r="A7342" s="3" t="s">
        <v>11039</v>
      </c>
      <c r="B7342" s="6" t="s">
        <v>361</v>
      </c>
      <c r="C7342" s="6" t="s">
        <v>8738</v>
      </c>
      <c r="D7342" s="6" t="s">
        <v>8739</v>
      </c>
      <c r="E7342" s="6" t="s">
        <v>8740</v>
      </c>
      <c r="F7342" s="6" t="s">
        <v>8741</v>
      </c>
      <c r="G7342" s="3" t="s">
        <v>11450</v>
      </c>
      <c r="H7342" s="185">
        <v>0</v>
      </c>
      <c r="I7342" s="16">
        <v>470000000</v>
      </c>
      <c r="J7342" s="56" t="s">
        <v>229</v>
      </c>
      <c r="K7342" s="57" t="s">
        <v>641</v>
      </c>
      <c r="L7342" s="57" t="s">
        <v>364</v>
      </c>
      <c r="M7342" s="3" t="s">
        <v>230</v>
      </c>
      <c r="N7342" s="8" t="s">
        <v>8899</v>
      </c>
      <c r="O7342" s="6" t="s">
        <v>365</v>
      </c>
      <c r="P7342" s="58" t="s">
        <v>241</v>
      </c>
      <c r="Q7342" s="6" t="s">
        <v>234</v>
      </c>
      <c r="R7342" s="3">
        <v>0</v>
      </c>
      <c r="S7342" s="1">
        <v>2100</v>
      </c>
      <c r="T7342" s="4">
        <f t="shared" si="352"/>
        <v>0</v>
      </c>
      <c r="U7342" s="4">
        <f t="shared" si="351"/>
        <v>0</v>
      </c>
      <c r="V7342" s="3"/>
      <c r="W7342" s="3">
        <v>2014</v>
      </c>
      <c r="X7342" s="3" t="s">
        <v>12076</v>
      </c>
    </row>
    <row r="7343" spans="1:24" ht="114.75">
      <c r="A7343" s="3" t="s">
        <v>11040</v>
      </c>
      <c r="B7343" s="6" t="s">
        <v>361</v>
      </c>
      <c r="C7343" s="6" t="s">
        <v>8742</v>
      </c>
      <c r="D7343" s="6" t="s">
        <v>8743</v>
      </c>
      <c r="E7343" s="6" t="s">
        <v>8622</v>
      </c>
      <c r="F7343" s="6" t="s">
        <v>8744</v>
      </c>
      <c r="G7343" s="3" t="s">
        <v>11450</v>
      </c>
      <c r="H7343" s="185">
        <v>0</v>
      </c>
      <c r="I7343" s="16">
        <v>470000000</v>
      </c>
      <c r="J7343" s="56" t="s">
        <v>229</v>
      </c>
      <c r="K7343" s="57" t="s">
        <v>641</v>
      </c>
      <c r="L7343" s="57" t="s">
        <v>364</v>
      </c>
      <c r="M7343" s="3" t="s">
        <v>230</v>
      </c>
      <c r="N7343" s="8" t="s">
        <v>8899</v>
      </c>
      <c r="O7343" s="6" t="s">
        <v>365</v>
      </c>
      <c r="P7343" s="58" t="s">
        <v>241</v>
      </c>
      <c r="Q7343" s="6" t="s">
        <v>234</v>
      </c>
      <c r="R7343" s="3">
        <v>0</v>
      </c>
      <c r="S7343" s="1">
        <v>2530</v>
      </c>
      <c r="T7343" s="4">
        <f t="shared" si="352"/>
        <v>0</v>
      </c>
      <c r="U7343" s="4">
        <f t="shared" si="351"/>
        <v>0</v>
      </c>
      <c r="V7343" s="3"/>
      <c r="W7343" s="3">
        <v>2014</v>
      </c>
      <c r="X7343" s="3" t="s">
        <v>12076</v>
      </c>
    </row>
    <row r="7344" spans="1:24" ht="114.75">
      <c r="A7344" s="3" t="s">
        <v>11041</v>
      </c>
      <c r="B7344" s="6" t="s">
        <v>361</v>
      </c>
      <c r="C7344" s="6" t="s">
        <v>8417</v>
      </c>
      <c r="D7344" s="6" t="s">
        <v>8745</v>
      </c>
      <c r="E7344" s="6" t="s">
        <v>8746</v>
      </c>
      <c r="F7344" s="6" t="s">
        <v>8747</v>
      </c>
      <c r="G7344" s="3" t="s">
        <v>11450</v>
      </c>
      <c r="H7344" s="185">
        <v>0</v>
      </c>
      <c r="I7344" s="16">
        <v>470000000</v>
      </c>
      <c r="J7344" s="56" t="s">
        <v>229</v>
      </c>
      <c r="K7344" s="57" t="s">
        <v>641</v>
      </c>
      <c r="L7344" s="57" t="s">
        <v>364</v>
      </c>
      <c r="M7344" s="3" t="s">
        <v>230</v>
      </c>
      <c r="N7344" s="8" t="s">
        <v>8899</v>
      </c>
      <c r="O7344" s="6" t="s">
        <v>365</v>
      </c>
      <c r="P7344" s="58" t="s">
        <v>241</v>
      </c>
      <c r="Q7344" s="6" t="s">
        <v>234</v>
      </c>
      <c r="R7344" s="3">
        <v>0</v>
      </c>
      <c r="S7344" s="1">
        <v>14655</v>
      </c>
      <c r="T7344" s="4">
        <f t="shared" si="352"/>
        <v>0</v>
      </c>
      <c r="U7344" s="4">
        <f t="shared" si="351"/>
        <v>0</v>
      </c>
      <c r="V7344" s="3"/>
      <c r="W7344" s="3">
        <v>2014</v>
      </c>
      <c r="X7344" s="3" t="s">
        <v>12076</v>
      </c>
    </row>
    <row r="7345" spans="1:24" ht="114.75">
      <c r="A7345" s="3" t="s">
        <v>11042</v>
      </c>
      <c r="B7345" s="6" t="s">
        <v>361</v>
      </c>
      <c r="C7345" s="6" t="s">
        <v>8417</v>
      </c>
      <c r="D7345" s="6" t="s">
        <v>8745</v>
      </c>
      <c r="E7345" s="6" t="s">
        <v>8746</v>
      </c>
      <c r="F7345" s="6" t="s">
        <v>8748</v>
      </c>
      <c r="G7345" s="3" t="s">
        <v>11450</v>
      </c>
      <c r="H7345" s="185">
        <v>0</v>
      </c>
      <c r="I7345" s="16">
        <v>470000000</v>
      </c>
      <c r="J7345" s="56" t="s">
        <v>229</v>
      </c>
      <c r="K7345" s="57" t="s">
        <v>641</v>
      </c>
      <c r="L7345" s="57" t="s">
        <v>364</v>
      </c>
      <c r="M7345" s="3" t="s">
        <v>230</v>
      </c>
      <c r="N7345" s="8" t="s">
        <v>8899</v>
      </c>
      <c r="O7345" s="6" t="s">
        <v>365</v>
      </c>
      <c r="P7345" s="58" t="s">
        <v>241</v>
      </c>
      <c r="Q7345" s="6" t="s">
        <v>234</v>
      </c>
      <c r="R7345" s="3">
        <v>0</v>
      </c>
      <c r="S7345" s="1">
        <v>23140</v>
      </c>
      <c r="T7345" s="4">
        <f t="shared" si="352"/>
        <v>0</v>
      </c>
      <c r="U7345" s="4">
        <f t="shared" si="351"/>
        <v>0</v>
      </c>
      <c r="V7345" s="3"/>
      <c r="W7345" s="3">
        <v>2014</v>
      </c>
      <c r="X7345" s="3" t="s">
        <v>12076</v>
      </c>
    </row>
    <row r="7346" spans="1:24" ht="114.75">
      <c r="A7346" s="3" t="s">
        <v>11043</v>
      </c>
      <c r="B7346" s="6" t="s">
        <v>361</v>
      </c>
      <c r="C7346" s="6" t="s">
        <v>8417</v>
      </c>
      <c r="D7346" s="6" t="s">
        <v>8745</v>
      </c>
      <c r="E7346" s="6" t="s">
        <v>8746</v>
      </c>
      <c r="F7346" s="6" t="s">
        <v>8749</v>
      </c>
      <c r="G7346" s="3" t="s">
        <v>11450</v>
      </c>
      <c r="H7346" s="185">
        <v>0</v>
      </c>
      <c r="I7346" s="16">
        <v>470000000</v>
      </c>
      <c r="J7346" s="56" t="s">
        <v>229</v>
      </c>
      <c r="K7346" s="57" t="s">
        <v>641</v>
      </c>
      <c r="L7346" s="57" t="s">
        <v>364</v>
      </c>
      <c r="M7346" s="3" t="s">
        <v>230</v>
      </c>
      <c r="N7346" s="8" t="s">
        <v>8899</v>
      </c>
      <c r="O7346" s="6" t="s">
        <v>365</v>
      </c>
      <c r="P7346" s="58" t="s">
        <v>241</v>
      </c>
      <c r="Q7346" s="6" t="s">
        <v>234</v>
      </c>
      <c r="R7346" s="3">
        <v>0</v>
      </c>
      <c r="S7346" s="1">
        <v>11900</v>
      </c>
      <c r="T7346" s="4">
        <f t="shared" si="352"/>
        <v>0</v>
      </c>
      <c r="U7346" s="4">
        <f t="shared" si="351"/>
        <v>0</v>
      </c>
      <c r="V7346" s="3"/>
      <c r="W7346" s="3">
        <v>2014</v>
      </c>
      <c r="X7346" s="3" t="s">
        <v>12076</v>
      </c>
    </row>
    <row r="7347" spans="1:24" ht="114.75">
      <c r="A7347" s="3" t="s">
        <v>11044</v>
      </c>
      <c r="B7347" s="6" t="s">
        <v>361</v>
      </c>
      <c r="C7347" s="6" t="s">
        <v>8417</v>
      </c>
      <c r="D7347" s="6" t="s">
        <v>8745</v>
      </c>
      <c r="E7347" s="6" t="s">
        <v>8746</v>
      </c>
      <c r="F7347" s="6" t="s">
        <v>8750</v>
      </c>
      <c r="G7347" s="3" t="s">
        <v>11450</v>
      </c>
      <c r="H7347" s="185">
        <v>0</v>
      </c>
      <c r="I7347" s="16">
        <v>470000000</v>
      </c>
      <c r="J7347" s="56" t="s">
        <v>229</v>
      </c>
      <c r="K7347" s="57" t="s">
        <v>641</v>
      </c>
      <c r="L7347" s="57" t="s">
        <v>364</v>
      </c>
      <c r="M7347" s="3" t="s">
        <v>230</v>
      </c>
      <c r="N7347" s="8" t="s">
        <v>8899</v>
      </c>
      <c r="O7347" s="6" t="s">
        <v>365</v>
      </c>
      <c r="P7347" s="58" t="s">
        <v>241</v>
      </c>
      <c r="Q7347" s="6" t="s">
        <v>234</v>
      </c>
      <c r="R7347" s="3">
        <v>0</v>
      </c>
      <c r="S7347" s="1">
        <v>30850</v>
      </c>
      <c r="T7347" s="4">
        <f t="shared" si="352"/>
        <v>0</v>
      </c>
      <c r="U7347" s="4">
        <f t="shared" si="351"/>
        <v>0</v>
      </c>
      <c r="V7347" s="3"/>
      <c r="W7347" s="3">
        <v>2014</v>
      </c>
      <c r="X7347" s="3" t="s">
        <v>12076</v>
      </c>
    </row>
    <row r="7348" spans="1:24" ht="114.75">
      <c r="A7348" s="3" t="s">
        <v>11045</v>
      </c>
      <c r="B7348" s="6" t="s">
        <v>361</v>
      </c>
      <c r="C7348" s="6" t="s">
        <v>8417</v>
      </c>
      <c r="D7348" s="6" t="s">
        <v>8745</v>
      </c>
      <c r="E7348" s="6" t="s">
        <v>8746</v>
      </c>
      <c r="F7348" s="6" t="s">
        <v>8751</v>
      </c>
      <c r="G7348" s="3" t="s">
        <v>11450</v>
      </c>
      <c r="H7348" s="185">
        <v>0</v>
      </c>
      <c r="I7348" s="16">
        <v>470000000</v>
      </c>
      <c r="J7348" s="56" t="s">
        <v>229</v>
      </c>
      <c r="K7348" s="57" t="s">
        <v>641</v>
      </c>
      <c r="L7348" s="57" t="s">
        <v>364</v>
      </c>
      <c r="M7348" s="3" t="s">
        <v>230</v>
      </c>
      <c r="N7348" s="8" t="s">
        <v>8899</v>
      </c>
      <c r="O7348" s="6" t="s">
        <v>365</v>
      </c>
      <c r="P7348" s="58" t="s">
        <v>241</v>
      </c>
      <c r="Q7348" s="6" t="s">
        <v>234</v>
      </c>
      <c r="R7348" s="3">
        <v>0</v>
      </c>
      <c r="S7348" s="1">
        <v>10460</v>
      </c>
      <c r="T7348" s="4">
        <f t="shared" si="352"/>
        <v>0</v>
      </c>
      <c r="U7348" s="4">
        <f t="shared" si="351"/>
        <v>0</v>
      </c>
      <c r="V7348" s="3"/>
      <c r="W7348" s="3">
        <v>2014</v>
      </c>
      <c r="X7348" s="3" t="s">
        <v>12076</v>
      </c>
    </row>
    <row r="7349" spans="1:24" ht="114.75">
      <c r="A7349" s="3" t="s">
        <v>11046</v>
      </c>
      <c r="B7349" s="6" t="s">
        <v>361</v>
      </c>
      <c r="C7349" s="6" t="s">
        <v>8417</v>
      </c>
      <c r="D7349" s="6" t="s">
        <v>8745</v>
      </c>
      <c r="E7349" s="6" t="s">
        <v>8746</v>
      </c>
      <c r="F7349" s="6" t="s">
        <v>8752</v>
      </c>
      <c r="G7349" s="3" t="s">
        <v>11450</v>
      </c>
      <c r="H7349" s="185">
        <v>0</v>
      </c>
      <c r="I7349" s="16">
        <v>470000000</v>
      </c>
      <c r="J7349" s="56" t="s">
        <v>229</v>
      </c>
      <c r="K7349" s="57" t="s">
        <v>641</v>
      </c>
      <c r="L7349" s="57" t="s">
        <v>364</v>
      </c>
      <c r="M7349" s="3" t="s">
        <v>230</v>
      </c>
      <c r="N7349" s="8" t="s">
        <v>8899</v>
      </c>
      <c r="O7349" s="6" t="s">
        <v>365</v>
      </c>
      <c r="P7349" s="58" t="s">
        <v>241</v>
      </c>
      <c r="Q7349" s="6" t="s">
        <v>234</v>
      </c>
      <c r="R7349" s="3">
        <v>0</v>
      </c>
      <c r="S7349" s="1">
        <v>29530</v>
      </c>
      <c r="T7349" s="4">
        <f t="shared" si="352"/>
        <v>0</v>
      </c>
      <c r="U7349" s="4">
        <f t="shared" si="351"/>
        <v>0</v>
      </c>
      <c r="V7349" s="3"/>
      <c r="W7349" s="3">
        <v>2014</v>
      </c>
      <c r="X7349" s="3" t="s">
        <v>12076</v>
      </c>
    </row>
    <row r="7350" spans="1:24" ht="114.75">
      <c r="A7350" s="3" t="s">
        <v>11047</v>
      </c>
      <c r="B7350" s="6" t="s">
        <v>361</v>
      </c>
      <c r="C7350" s="6" t="s">
        <v>8417</v>
      </c>
      <c r="D7350" s="6" t="s">
        <v>8745</v>
      </c>
      <c r="E7350" s="6" t="s">
        <v>8746</v>
      </c>
      <c r="F7350" s="6" t="s">
        <v>8753</v>
      </c>
      <c r="G7350" s="3" t="s">
        <v>11450</v>
      </c>
      <c r="H7350" s="185">
        <v>0</v>
      </c>
      <c r="I7350" s="16">
        <v>470000000</v>
      </c>
      <c r="J7350" s="56" t="s">
        <v>229</v>
      </c>
      <c r="K7350" s="57" t="s">
        <v>641</v>
      </c>
      <c r="L7350" s="57" t="s">
        <v>364</v>
      </c>
      <c r="M7350" s="3" t="s">
        <v>230</v>
      </c>
      <c r="N7350" s="8" t="s">
        <v>8899</v>
      </c>
      <c r="O7350" s="6" t="s">
        <v>365</v>
      </c>
      <c r="P7350" s="58" t="s">
        <v>241</v>
      </c>
      <c r="Q7350" s="6" t="s">
        <v>234</v>
      </c>
      <c r="R7350" s="3">
        <v>0</v>
      </c>
      <c r="S7350" s="1">
        <v>9420</v>
      </c>
      <c r="T7350" s="4">
        <f t="shared" si="352"/>
        <v>0</v>
      </c>
      <c r="U7350" s="4">
        <f t="shared" si="351"/>
        <v>0</v>
      </c>
      <c r="V7350" s="3"/>
      <c r="W7350" s="3">
        <v>2014</v>
      </c>
      <c r="X7350" s="3" t="s">
        <v>12076</v>
      </c>
    </row>
    <row r="7351" spans="1:24" ht="114.75">
      <c r="A7351" s="3" t="s">
        <v>11048</v>
      </c>
      <c r="B7351" s="6" t="s">
        <v>361</v>
      </c>
      <c r="C7351" s="6" t="s">
        <v>8417</v>
      </c>
      <c r="D7351" s="6" t="s">
        <v>8745</v>
      </c>
      <c r="E7351" s="6" t="s">
        <v>8746</v>
      </c>
      <c r="F7351" s="6" t="s">
        <v>8754</v>
      </c>
      <c r="G7351" s="3" t="s">
        <v>11450</v>
      </c>
      <c r="H7351" s="185">
        <v>0</v>
      </c>
      <c r="I7351" s="16">
        <v>470000000</v>
      </c>
      <c r="J7351" s="56" t="s">
        <v>229</v>
      </c>
      <c r="K7351" s="57" t="s">
        <v>641</v>
      </c>
      <c r="L7351" s="57" t="s">
        <v>364</v>
      </c>
      <c r="M7351" s="3" t="s">
        <v>230</v>
      </c>
      <c r="N7351" s="8" t="s">
        <v>8899</v>
      </c>
      <c r="O7351" s="6" t="s">
        <v>365</v>
      </c>
      <c r="P7351" s="58" t="s">
        <v>241</v>
      </c>
      <c r="Q7351" s="6" t="s">
        <v>234</v>
      </c>
      <c r="R7351" s="3">
        <v>0</v>
      </c>
      <c r="S7351" s="1">
        <v>23140</v>
      </c>
      <c r="T7351" s="4">
        <f t="shared" si="352"/>
        <v>0</v>
      </c>
      <c r="U7351" s="4">
        <f t="shared" si="351"/>
        <v>0</v>
      </c>
      <c r="V7351" s="3"/>
      <c r="W7351" s="3">
        <v>2014</v>
      </c>
      <c r="X7351" s="3" t="s">
        <v>12076</v>
      </c>
    </row>
    <row r="7352" spans="1:24" ht="114.75">
      <c r="A7352" s="3" t="s">
        <v>11049</v>
      </c>
      <c r="B7352" s="6" t="s">
        <v>361</v>
      </c>
      <c r="C7352" s="6" t="s">
        <v>8417</v>
      </c>
      <c r="D7352" s="6" t="s">
        <v>8745</v>
      </c>
      <c r="E7352" s="6" t="s">
        <v>8746</v>
      </c>
      <c r="F7352" s="6" t="s">
        <v>8755</v>
      </c>
      <c r="G7352" s="3" t="s">
        <v>11450</v>
      </c>
      <c r="H7352" s="185">
        <v>0</v>
      </c>
      <c r="I7352" s="16">
        <v>470000000</v>
      </c>
      <c r="J7352" s="56" t="s">
        <v>229</v>
      </c>
      <c r="K7352" s="57" t="s">
        <v>641</v>
      </c>
      <c r="L7352" s="57" t="s">
        <v>364</v>
      </c>
      <c r="M7352" s="3" t="s">
        <v>230</v>
      </c>
      <c r="N7352" s="8" t="s">
        <v>8899</v>
      </c>
      <c r="O7352" s="6" t="s">
        <v>365</v>
      </c>
      <c r="P7352" s="58" t="s">
        <v>241</v>
      </c>
      <c r="Q7352" s="6" t="s">
        <v>234</v>
      </c>
      <c r="R7352" s="3">
        <v>0</v>
      </c>
      <c r="S7352" s="1">
        <v>7160</v>
      </c>
      <c r="T7352" s="4">
        <f t="shared" si="352"/>
        <v>0</v>
      </c>
      <c r="U7352" s="4">
        <f t="shared" si="351"/>
        <v>0</v>
      </c>
      <c r="V7352" s="3"/>
      <c r="W7352" s="3">
        <v>2014</v>
      </c>
      <c r="X7352" s="3" t="s">
        <v>12076</v>
      </c>
    </row>
    <row r="7353" spans="1:24" ht="114.75">
      <c r="A7353" s="3" t="s">
        <v>11050</v>
      </c>
      <c r="B7353" s="6" t="s">
        <v>361</v>
      </c>
      <c r="C7353" s="6" t="s">
        <v>8417</v>
      </c>
      <c r="D7353" s="6" t="s">
        <v>8745</v>
      </c>
      <c r="E7353" s="6" t="s">
        <v>8746</v>
      </c>
      <c r="F7353" s="6" t="s">
        <v>8756</v>
      </c>
      <c r="G7353" s="3" t="s">
        <v>11450</v>
      </c>
      <c r="H7353" s="185">
        <v>0</v>
      </c>
      <c r="I7353" s="16">
        <v>470000000</v>
      </c>
      <c r="J7353" s="56" t="s">
        <v>229</v>
      </c>
      <c r="K7353" s="57" t="s">
        <v>641</v>
      </c>
      <c r="L7353" s="57" t="s">
        <v>364</v>
      </c>
      <c r="M7353" s="3" t="s">
        <v>230</v>
      </c>
      <c r="N7353" s="8" t="s">
        <v>8899</v>
      </c>
      <c r="O7353" s="6" t="s">
        <v>365</v>
      </c>
      <c r="P7353" s="58" t="s">
        <v>241</v>
      </c>
      <c r="Q7353" s="6" t="s">
        <v>234</v>
      </c>
      <c r="R7353" s="3">
        <v>0</v>
      </c>
      <c r="S7353" s="1">
        <v>3746</v>
      </c>
      <c r="T7353" s="4">
        <f t="shared" si="352"/>
        <v>0</v>
      </c>
      <c r="U7353" s="4">
        <f t="shared" si="351"/>
        <v>0</v>
      </c>
      <c r="V7353" s="3"/>
      <c r="W7353" s="3">
        <v>2014</v>
      </c>
      <c r="X7353" s="3" t="s">
        <v>12076</v>
      </c>
    </row>
    <row r="7354" spans="1:24" ht="114.75">
      <c r="A7354" s="3" t="s">
        <v>11051</v>
      </c>
      <c r="B7354" s="6" t="s">
        <v>361</v>
      </c>
      <c r="C7354" s="6" t="s">
        <v>8757</v>
      </c>
      <c r="D7354" s="6" t="s">
        <v>8758</v>
      </c>
      <c r="E7354" s="6" t="s">
        <v>8759</v>
      </c>
      <c r="F7354" s="6" t="s">
        <v>8760</v>
      </c>
      <c r="G7354" s="3" t="s">
        <v>11450</v>
      </c>
      <c r="H7354" s="185">
        <v>0</v>
      </c>
      <c r="I7354" s="16">
        <v>470000000</v>
      </c>
      <c r="J7354" s="56" t="s">
        <v>229</v>
      </c>
      <c r="K7354" s="57" t="s">
        <v>641</v>
      </c>
      <c r="L7354" s="57" t="s">
        <v>364</v>
      </c>
      <c r="M7354" s="3" t="s">
        <v>230</v>
      </c>
      <c r="N7354" s="8" t="s">
        <v>8899</v>
      </c>
      <c r="O7354" s="6" t="s">
        <v>365</v>
      </c>
      <c r="P7354" s="58" t="s">
        <v>241</v>
      </c>
      <c r="Q7354" s="6" t="s">
        <v>234</v>
      </c>
      <c r="R7354" s="3">
        <v>0</v>
      </c>
      <c r="S7354" s="1">
        <v>2314</v>
      </c>
      <c r="T7354" s="4">
        <f t="shared" si="352"/>
        <v>0</v>
      </c>
      <c r="U7354" s="4">
        <f t="shared" ref="U7354:U7416" si="353">T7354*1.12</f>
        <v>0</v>
      </c>
      <c r="V7354" s="3"/>
      <c r="W7354" s="3">
        <v>2014</v>
      </c>
      <c r="X7354" s="3" t="s">
        <v>12076</v>
      </c>
    </row>
    <row r="7355" spans="1:24" ht="114.75">
      <c r="A7355" s="3" t="s">
        <v>11052</v>
      </c>
      <c r="B7355" s="6" t="s">
        <v>361</v>
      </c>
      <c r="C7355" s="6" t="s">
        <v>8761</v>
      </c>
      <c r="D7355" s="6" t="s">
        <v>8758</v>
      </c>
      <c r="E7355" s="6" t="s">
        <v>8762</v>
      </c>
      <c r="F7355" s="6" t="s">
        <v>8763</v>
      </c>
      <c r="G7355" s="3" t="s">
        <v>11450</v>
      </c>
      <c r="H7355" s="185">
        <v>0</v>
      </c>
      <c r="I7355" s="16">
        <v>470000000</v>
      </c>
      <c r="J7355" s="56" t="s">
        <v>229</v>
      </c>
      <c r="K7355" s="57" t="s">
        <v>641</v>
      </c>
      <c r="L7355" s="57" t="s">
        <v>364</v>
      </c>
      <c r="M7355" s="3" t="s">
        <v>230</v>
      </c>
      <c r="N7355" s="8" t="s">
        <v>8899</v>
      </c>
      <c r="O7355" s="6" t="s">
        <v>365</v>
      </c>
      <c r="P7355" s="58" t="s">
        <v>241</v>
      </c>
      <c r="Q7355" s="6" t="s">
        <v>234</v>
      </c>
      <c r="R7355" s="3">
        <v>0</v>
      </c>
      <c r="S7355" s="1">
        <v>2750</v>
      </c>
      <c r="T7355" s="4">
        <f t="shared" si="352"/>
        <v>0</v>
      </c>
      <c r="U7355" s="4">
        <f t="shared" si="353"/>
        <v>0</v>
      </c>
      <c r="V7355" s="3"/>
      <c r="W7355" s="3">
        <v>2014</v>
      </c>
      <c r="X7355" s="3" t="s">
        <v>12076</v>
      </c>
    </row>
    <row r="7356" spans="1:24" ht="114.75">
      <c r="A7356" s="3" t="s">
        <v>11053</v>
      </c>
      <c r="B7356" s="6" t="s">
        <v>361</v>
      </c>
      <c r="C7356" s="6" t="s">
        <v>8764</v>
      </c>
      <c r="D7356" s="6" t="s">
        <v>8758</v>
      </c>
      <c r="E7356" s="6" t="s">
        <v>8765</v>
      </c>
      <c r="F7356" s="6" t="s">
        <v>8766</v>
      </c>
      <c r="G7356" s="3" t="s">
        <v>11450</v>
      </c>
      <c r="H7356" s="185">
        <v>0</v>
      </c>
      <c r="I7356" s="16">
        <v>470000000</v>
      </c>
      <c r="J7356" s="56" t="s">
        <v>229</v>
      </c>
      <c r="K7356" s="57" t="s">
        <v>641</v>
      </c>
      <c r="L7356" s="57" t="s">
        <v>364</v>
      </c>
      <c r="M7356" s="3" t="s">
        <v>230</v>
      </c>
      <c r="N7356" s="8" t="s">
        <v>8899</v>
      </c>
      <c r="O7356" s="6" t="s">
        <v>365</v>
      </c>
      <c r="P7356" s="58" t="s">
        <v>241</v>
      </c>
      <c r="Q7356" s="6" t="s">
        <v>234</v>
      </c>
      <c r="R7356" s="3">
        <v>0</v>
      </c>
      <c r="S7356" s="1">
        <v>5120</v>
      </c>
      <c r="T7356" s="4">
        <f t="shared" si="352"/>
        <v>0</v>
      </c>
      <c r="U7356" s="4">
        <f t="shared" si="353"/>
        <v>0</v>
      </c>
      <c r="V7356" s="3"/>
      <c r="W7356" s="3">
        <v>2014</v>
      </c>
      <c r="X7356" s="3" t="s">
        <v>12076</v>
      </c>
    </row>
    <row r="7357" spans="1:24" ht="114.75">
      <c r="A7357" s="3" t="s">
        <v>11054</v>
      </c>
      <c r="B7357" s="6" t="s">
        <v>361</v>
      </c>
      <c r="C7357" s="6" t="s">
        <v>8767</v>
      </c>
      <c r="D7357" s="6" t="s">
        <v>8758</v>
      </c>
      <c r="E7357" s="6" t="s">
        <v>8768</v>
      </c>
      <c r="F7357" s="6" t="s">
        <v>8769</v>
      </c>
      <c r="G7357" s="3" t="s">
        <v>11450</v>
      </c>
      <c r="H7357" s="185">
        <v>0</v>
      </c>
      <c r="I7357" s="16">
        <v>470000000</v>
      </c>
      <c r="J7357" s="56" t="s">
        <v>229</v>
      </c>
      <c r="K7357" s="57" t="s">
        <v>641</v>
      </c>
      <c r="L7357" s="57" t="s">
        <v>364</v>
      </c>
      <c r="M7357" s="3" t="s">
        <v>230</v>
      </c>
      <c r="N7357" s="8" t="s">
        <v>8899</v>
      </c>
      <c r="O7357" s="6" t="s">
        <v>365</v>
      </c>
      <c r="P7357" s="58" t="s">
        <v>241</v>
      </c>
      <c r="Q7357" s="6" t="s">
        <v>234</v>
      </c>
      <c r="R7357" s="3">
        <v>0</v>
      </c>
      <c r="S7357" s="1">
        <v>9360</v>
      </c>
      <c r="T7357" s="4">
        <f t="shared" si="352"/>
        <v>0</v>
      </c>
      <c r="U7357" s="4">
        <f t="shared" si="353"/>
        <v>0</v>
      </c>
      <c r="V7357" s="3"/>
      <c r="W7357" s="3">
        <v>2014</v>
      </c>
      <c r="X7357" s="3" t="s">
        <v>12076</v>
      </c>
    </row>
    <row r="7358" spans="1:24" ht="114.75">
      <c r="A7358" s="3" t="s">
        <v>11055</v>
      </c>
      <c r="B7358" s="6" t="s">
        <v>361</v>
      </c>
      <c r="C7358" s="6" t="s">
        <v>8767</v>
      </c>
      <c r="D7358" s="6" t="s">
        <v>8758</v>
      </c>
      <c r="E7358" s="6" t="s">
        <v>8768</v>
      </c>
      <c r="F7358" s="6" t="s">
        <v>8770</v>
      </c>
      <c r="G7358" s="3" t="s">
        <v>11450</v>
      </c>
      <c r="H7358" s="185">
        <v>0</v>
      </c>
      <c r="I7358" s="16">
        <v>470000000</v>
      </c>
      <c r="J7358" s="56" t="s">
        <v>229</v>
      </c>
      <c r="K7358" s="57" t="s">
        <v>641</v>
      </c>
      <c r="L7358" s="57" t="s">
        <v>364</v>
      </c>
      <c r="M7358" s="3" t="s">
        <v>230</v>
      </c>
      <c r="N7358" s="8" t="s">
        <v>8899</v>
      </c>
      <c r="O7358" s="6" t="s">
        <v>365</v>
      </c>
      <c r="P7358" s="58" t="s">
        <v>241</v>
      </c>
      <c r="Q7358" s="6" t="s">
        <v>234</v>
      </c>
      <c r="R7358" s="3">
        <v>0</v>
      </c>
      <c r="S7358" s="1">
        <v>4510</v>
      </c>
      <c r="T7358" s="4">
        <f t="shared" si="352"/>
        <v>0</v>
      </c>
      <c r="U7358" s="4">
        <f t="shared" si="353"/>
        <v>0</v>
      </c>
      <c r="V7358" s="3"/>
      <c r="W7358" s="3">
        <v>2014</v>
      </c>
      <c r="X7358" s="3" t="s">
        <v>12076</v>
      </c>
    </row>
    <row r="7359" spans="1:24" ht="114.75">
      <c r="A7359" s="3" t="s">
        <v>11056</v>
      </c>
      <c r="B7359" s="6" t="s">
        <v>361</v>
      </c>
      <c r="C7359" s="6" t="s">
        <v>8767</v>
      </c>
      <c r="D7359" s="6" t="s">
        <v>8758</v>
      </c>
      <c r="E7359" s="6" t="s">
        <v>8768</v>
      </c>
      <c r="F7359" s="6" t="s">
        <v>8771</v>
      </c>
      <c r="G7359" s="3" t="s">
        <v>11450</v>
      </c>
      <c r="H7359" s="185">
        <v>0</v>
      </c>
      <c r="I7359" s="16">
        <v>470000000</v>
      </c>
      <c r="J7359" s="56" t="s">
        <v>229</v>
      </c>
      <c r="K7359" s="57" t="s">
        <v>641</v>
      </c>
      <c r="L7359" s="57" t="s">
        <v>364</v>
      </c>
      <c r="M7359" s="3" t="s">
        <v>230</v>
      </c>
      <c r="N7359" s="8" t="s">
        <v>8899</v>
      </c>
      <c r="O7359" s="6" t="s">
        <v>365</v>
      </c>
      <c r="P7359" s="58" t="s">
        <v>241</v>
      </c>
      <c r="Q7359" s="6" t="s">
        <v>234</v>
      </c>
      <c r="R7359" s="3">
        <v>0</v>
      </c>
      <c r="S7359" s="1">
        <v>2160</v>
      </c>
      <c r="T7359" s="4">
        <f t="shared" si="352"/>
        <v>0</v>
      </c>
      <c r="U7359" s="4">
        <f t="shared" si="353"/>
        <v>0</v>
      </c>
      <c r="V7359" s="3"/>
      <c r="W7359" s="3">
        <v>2014</v>
      </c>
      <c r="X7359" s="3" t="s">
        <v>12076</v>
      </c>
    </row>
    <row r="7360" spans="1:24" ht="114.75">
      <c r="A7360" s="3" t="s">
        <v>11057</v>
      </c>
      <c r="B7360" s="6" t="s">
        <v>361</v>
      </c>
      <c r="C7360" s="6" t="s">
        <v>8772</v>
      </c>
      <c r="D7360" s="6" t="s">
        <v>8758</v>
      </c>
      <c r="E7360" s="6" t="s">
        <v>8773</v>
      </c>
      <c r="F7360" s="6" t="s">
        <v>8774</v>
      </c>
      <c r="G7360" s="3" t="s">
        <v>11450</v>
      </c>
      <c r="H7360" s="185">
        <v>0</v>
      </c>
      <c r="I7360" s="16">
        <v>470000000</v>
      </c>
      <c r="J7360" s="56" t="s">
        <v>229</v>
      </c>
      <c r="K7360" s="57" t="s">
        <v>641</v>
      </c>
      <c r="L7360" s="57" t="s">
        <v>364</v>
      </c>
      <c r="M7360" s="3" t="s">
        <v>230</v>
      </c>
      <c r="N7360" s="8" t="s">
        <v>8899</v>
      </c>
      <c r="O7360" s="6" t="s">
        <v>365</v>
      </c>
      <c r="P7360" s="58" t="s">
        <v>241</v>
      </c>
      <c r="Q7360" s="6" t="s">
        <v>234</v>
      </c>
      <c r="R7360" s="3">
        <v>0</v>
      </c>
      <c r="S7360" s="1">
        <v>1430</v>
      </c>
      <c r="T7360" s="4">
        <f t="shared" si="352"/>
        <v>0</v>
      </c>
      <c r="U7360" s="4">
        <f t="shared" si="353"/>
        <v>0</v>
      </c>
      <c r="V7360" s="3"/>
      <c r="W7360" s="3">
        <v>2014</v>
      </c>
      <c r="X7360" s="3" t="s">
        <v>12076</v>
      </c>
    </row>
    <row r="7361" spans="1:24" ht="114.75">
      <c r="A7361" s="3" t="s">
        <v>11058</v>
      </c>
      <c r="B7361" s="6" t="s">
        <v>361</v>
      </c>
      <c r="C7361" s="6" t="s">
        <v>8775</v>
      </c>
      <c r="D7361" s="6" t="s">
        <v>8758</v>
      </c>
      <c r="E7361" s="6" t="s">
        <v>8776</v>
      </c>
      <c r="F7361" s="6" t="s">
        <v>8777</v>
      </c>
      <c r="G7361" s="3" t="s">
        <v>11450</v>
      </c>
      <c r="H7361" s="185">
        <v>0</v>
      </c>
      <c r="I7361" s="16">
        <v>470000000</v>
      </c>
      <c r="J7361" s="56" t="s">
        <v>229</v>
      </c>
      <c r="K7361" s="57" t="s">
        <v>641</v>
      </c>
      <c r="L7361" s="57" t="s">
        <v>364</v>
      </c>
      <c r="M7361" s="3" t="s">
        <v>230</v>
      </c>
      <c r="N7361" s="8" t="s">
        <v>8899</v>
      </c>
      <c r="O7361" s="6" t="s">
        <v>365</v>
      </c>
      <c r="P7361" s="58" t="s">
        <v>241</v>
      </c>
      <c r="Q7361" s="6" t="s">
        <v>234</v>
      </c>
      <c r="R7361" s="3">
        <v>0</v>
      </c>
      <c r="S7361" s="1">
        <v>1820</v>
      </c>
      <c r="T7361" s="4">
        <f t="shared" si="352"/>
        <v>0</v>
      </c>
      <c r="U7361" s="4">
        <f t="shared" si="353"/>
        <v>0</v>
      </c>
      <c r="V7361" s="3"/>
      <c r="W7361" s="3">
        <v>2014</v>
      </c>
      <c r="X7361" s="3" t="s">
        <v>12076</v>
      </c>
    </row>
    <row r="7362" spans="1:24" ht="114.75">
      <c r="A7362" s="3" t="s">
        <v>11059</v>
      </c>
      <c r="B7362" s="6" t="s">
        <v>361</v>
      </c>
      <c r="C7362" s="6" t="s">
        <v>8778</v>
      </c>
      <c r="D7362" s="6" t="s">
        <v>8758</v>
      </c>
      <c r="E7362" s="6" t="s">
        <v>8779</v>
      </c>
      <c r="F7362" s="6" t="s">
        <v>8780</v>
      </c>
      <c r="G7362" s="3" t="s">
        <v>11450</v>
      </c>
      <c r="H7362" s="185">
        <v>0</v>
      </c>
      <c r="I7362" s="16">
        <v>470000000</v>
      </c>
      <c r="J7362" s="56" t="s">
        <v>229</v>
      </c>
      <c r="K7362" s="57" t="s">
        <v>641</v>
      </c>
      <c r="L7362" s="57" t="s">
        <v>364</v>
      </c>
      <c r="M7362" s="3" t="s">
        <v>230</v>
      </c>
      <c r="N7362" s="8" t="s">
        <v>8899</v>
      </c>
      <c r="O7362" s="6" t="s">
        <v>365</v>
      </c>
      <c r="P7362" s="58" t="s">
        <v>241</v>
      </c>
      <c r="Q7362" s="6" t="s">
        <v>234</v>
      </c>
      <c r="R7362" s="3">
        <v>0</v>
      </c>
      <c r="S7362" s="1">
        <v>1320</v>
      </c>
      <c r="T7362" s="4">
        <f t="shared" si="352"/>
        <v>0</v>
      </c>
      <c r="U7362" s="4">
        <f t="shared" si="353"/>
        <v>0</v>
      </c>
      <c r="V7362" s="3"/>
      <c r="W7362" s="3">
        <v>2014</v>
      </c>
      <c r="X7362" s="3" t="s">
        <v>12076</v>
      </c>
    </row>
    <row r="7363" spans="1:24" ht="114.75">
      <c r="A7363" s="3" t="s">
        <v>11060</v>
      </c>
      <c r="B7363" s="6" t="s">
        <v>361</v>
      </c>
      <c r="C7363" s="6" t="s">
        <v>8781</v>
      </c>
      <c r="D7363" s="6" t="s">
        <v>8758</v>
      </c>
      <c r="E7363" s="6" t="s">
        <v>8674</v>
      </c>
      <c r="F7363" s="6" t="s">
        <v>8782</v>
      </c>
      <c r="G7363" s="3" t="s">
        <v>11450</v>
      </c>
      <c r="H7363" s="185">
        <v>0</v>
      </c>
      <c r="I7363" s="16">
        <v>470000000</v>
      </c>
      <c r="J7363" s="56" t="s">
        <v>229</v>
      </c>
      <c r="K7363" s="57" t="s">
        <v>641</v>
      </c>
      <c r="L7363" s="57" t="s">
        <v>364</v>
      </c>
      <c r="M7363" s="3" t="s">
        <v>230</v>
      </c>
      <c r="N7363" s="8" t="s">
        <v>8899</v>
      </c>
      <c r="O7363" s="6" t="s">
        <v>365</v>
      </c>
      <c r="P7363" s="58" t="s">
        <v>241</v>
      </c>
      <c r="Q7363" s="6" t="s">
        <v>234</v>
      </c>
      <c r="R7363" s="3">
        <v>0</v>
      </c>
      <c r="S7363" s="1">
        <v>4190</v>
      </c>
      <c r="T7363" s="4">
        <f t="shared" si="352"/>
        <v>0</v>
      </c>
      <c r="U7363" s="4">
        <f t="shared" si="353"/>
        <v>0</v>
      </c>
      <c r="V7363" s="3"/>
      <c r="W7363" s="3">
        <v>2014</v>
      </c>
      <c r="X7363" s="3" t="s">
        <v>12076</v>
      </c>
    </row>
    <row r="7364" spans="1:24" ht="114.75">
      <c r="A7364" s="3" t="s">
        <v>11061</v>
      </c>
      <c r="B7364" s="6" t="s">
        <v>361</v>
      </c>
      <c r="C7364" s="6" t="s">
        <v>8783</v>
      </c>
      <c r="D7364" s="6" t="s">
        <v>8758</v>
      </c>
      <c r="E7364" s="6" t="s">
        <v>8671</v>
      </c>
      <c r="F7364" s="6" t="s">
        <v>8784</v>
      </c>
      <c r="G7364" s="3" t="s">
        <v>11450</v>
      </c>
      <c r="H7364" s="185">
        <v>0</v>
      </c>
      <c r="I7364" s="16">
        <v>470000000</v>
      </c>
      <c r="J7364" s="56" t="s">
        <v>229</v>
      </c>
      <c r="K7364" s="57" t="s">
        <v>641</v>
      </c>
      <c r="L7364" s="57" t="s">
        <v>364</v>
      </c>
      <c r="M7364" s="3" t="s">
        <v>230</v>
      </c>
      <c r="N7364" s="8" t="s">
        <v>8899</v>
      </c>
      <c r="O7364" s="6" t="s">
        <v>365</v>
      </c>
      <c r="P7364" s="58" t="s">
        <v>241</v>
      </c>
      <c r="Q7364" s="6" t="s">
        <v>234</v>
      </c>
      <c r="R7364" s="3">
        <v>0</v>
      </c>
      <c r="S7364" s="1">
        <v>1000</v>
      </c>
      <c r="T7364" s="4">
        <f t="shared" si="352"/>
        <v>0</v>
      </c>
      <c r="U7364" s="4">
        <f t="shared" si="353"/>
        <v>0</v>
      </c>
      <c r="V7364" s="3"/>
      <c r="W7364" s="3">
        <v>2014</v>
      </c>
      <c r="X7364" s="3" t="s">
        <v>12076</v>
      </c>
    </row>
    <row r="7365" spans="1:24" ht="114.75">
      <c r="A7365" s="3" t="s">
        <v>11062</v>
      </c>
      <c r="B7365" s="6" t="s">
        <v>361</v>
      </c>
      <c r="C7365" s="6" t="s">
        <v>8742</v>
      </c>
      <c r="D7365" s="6" t="s">
        <v>8743</v>
      </c>
      <c r="E7365" s="6" t="s">
        <v>8622</v>
      </c>
      <c r="F7365" s="6" t="s">
        <v>8785</v>
      </c>
      <c r="G7365" s="3" t="s">
        <v>11450</v>
      </c>
      <c r="H7365" s="185">
        <v>0</v>
      </c>
      <c r="I7365" s="16">
        <v>470000000</v>
      </c>
      <c r="J7365" s="56" t="s">
        <v>229</v>
      </c>
      <c r="K7365" s="57" t="s">
        <v>641</v>
      </c>
      <c r="L7365" s="57" t="s">
        <v>364</v>
      </c>
      <c r="M7365" s="3" t="s">
        <v>230</v>
      </c>
      <c r="N7365" s="8" t="s">
        <v>8899</v>
      </c>
      <c r="O7365" s="6" t="s">
        <v>365</v>
      </c>
      <c r="P7365" s="58" t="s">
        <v>241</v>
      </c>
      <c r="Q7365" s="6" t="s">
        <v>234</v>
      </c>
      <c r="R7365" s="3">
        <v>0</v>
      </c>
      <c r="S7365" s="1">
        <v>2644</v>
      </c>
      <c r="T7365" s="4">
        <f t="shared" si="352"/>
        <v>0</v>
      </c>
      <c r="U7365" s="4">
        <f t="shared" si="353"/>
        <v>0</v>
      </c>
      <c r="V7365" s="3"/>
      <c r="W7365" s="3">
        <v>2014</v>
      </c>
      <c r="X7365" s="3" t="s">
        <v>12076</v>
      </c>
    </row>
    <row r="7366" spans="1:24" ht="114.75">
      <c r="A7366" s="3" t="s">
        <v>11063</v>
      </c>
      <c r="B7366" s="6" t="s">
        <v>361</v>
      </c>
      <c r="C7366" s="6" t="s">
        <v>8742</v>
      </c>
      <c r="D7366" s="6" t="s">
        <v>8743</v>
      </c>
      <c r="E7366" s="6" t="s">
        <v>8622</v>
      </c>
      <c r="F7366" s="6" t="s">
        <v>8786</v>
      </c>
      <c r="G7366" s="3" t="s">
        <v>11450</v>
      </c>
      <c r="H7366" s="185">
        <v>0</v>
      </c>
      <c r="I7366" s="16">
        <v>470000000</v>
      </c>
      <c r="J7366" s="56" t="s">
        <v>229</v>
      </c>
      <c r="K7366" s="57" t="s">
        <v>641</v>
      </c>
      <c r="L7366" s="57" t="s">
        <v>364</v>
      </c>
      <c r="M7366" s="3" t="s">
        <v>230</v>
      </c>
      <c r="N7366" s="8" t="s">
        <v>8899</v>
      </c>
      <c r="O7366" s="6" t="s">
        <v>365</v>
      </c>
      <c r="P7366" s="58" t="s">
        <v>241</v>
      </c>
      <c r="Q7366" s="6" t="s">
        <v>234</v>
      </c>
      <c r="R7366" s="3">
        <v>0</v>
      </c>
      <c r="S7366" s="1">
        <v>4630</v>
      </c>
      <c r="T7366" s="4">
        <f t="shared" si="352"/>
        <v>0</v>
      </c>
      <c r="U7366" s="4">
        <f t="shared" si="353"/>
        <v>0</v>
      </c>
      <c r="V7366" s="3"/>
      <c r="W7366" s="3">
        <v>2014</v>
      </c>
      <c r="X7366" s="3" t="s">
        <v>12076</v>
      </c>
    </row>
    <row r="7367" spans="1:24" ht="114.75">
      <c r="A7367" s="3" t="s">
        <v>11064</v>
      </c>
      <c r="B7367" s="6" t="s">
        <v>361</v>
      </c>
      <c r="C7367" s="6" t="s">
        <v>8787</v>
      </c>
      <c r="D7367" s="6" t="s">
        <v>8788</v>
      </c>
      <c r="E7367" s="6" t="s">
        <v>8789</v>
      </c>
      <c r="F7367" s="6" t="s">
        <v>8790</v>
      </c>
      <c r="G7367" s="3" t="s">
        <v>11450</v>
      </c>
      <c r="H7367" s="185">
        <v>0</v>
      </c>
      <c r="I7367" s="16">
        <v>470000000</v>
      </c>
      <c r="J7367" s="56" t="s">
        <v>229</v>
      </c>
      <c r="K7367" s="57" t="s">
        <v>641</v>
      </c>
      <c r="L7367" s="57" t="s">
        <v>364</v>
      </c>
      <c r="M7367" s="3" t="s">
        <v>230</v>
      </c>
      <c r="N7367" s="8" t="s">
        <v>8899</v>
      </c>
      <c r="O7367" s="6" t="s">
        <v>365</v>
      </c>
      <c r="P7367" s="58" t="s">
        <v>241</v>
      </c>
      <c r="Q7367" s="6" t="s">
        <v>234</v>
      </c>
      <c r="R7367" s="3">
        <v>0</v>
      </c>
      <c r="S7367" s="1">
        <v>3085</v>
      </c>
      <c r="T7367" s="4">
        <f t="shared" si="352"/>
        <v>0</v>
      </c>
      <c r="U7367" s="4">
        <f t="shared" si="353"/>
        <v>0</v>
      </c>
      <c r="V7367" s="3"/>
      <c r="W7367" s="3">
        <v>2014</v>
      </c>
      <c r="X7367" s="3" t="s">
        <v>12076</v>
      </c>
    </row>
    <row r="7368" spans="1:24" ht="114.75">
      <c r="A7368" s="3" t="s">
        <v>11065</v>
      </c>
      <c r="B7368" s="6" t="s">
        <v>361</v>
      </c>
      <c r="C7368" s="6" t="s">
        <v>8787</v>
      </c>
      <c r="D7368" s="6" t="s">
        <v>8788</v>
      </c>
      <c r="E7368" s="6" t="s">
        <v>8789</v>
      </c>
      <c r="F7368" s="6" t="s">
        <v>8791</v>
      </c>
      <c r="G7368" s="3" t="s">
        <v>11450</v>
      </c>
      <c r="H7368" s="185">
        <v>0</v>
      </c>
      <c r="I7368" s="16">
        <v>470000000</v>
      </c>
      <c r="J7368" s="56" t="s">
        <v>229</v>
      </c>
      <c r="K7368" s="57" t="s">
        <v>641</v>
      </c>
      <c r="L7368" s="57" t="s">
        <v>364</v>
      </c>
      <c r="M7368" s="3" t="s">
        <v>230</v>
      </c>
      <c r="N7368" s="8" t="s">
        <v>8899</v>
      </c>
      <c r="O7368" s="6" t="s">
        <v>365</v>
      </c>
      <c r="P7368" s="58" t="s">
        <v>241</v>
      </c>
      <c r="Q7368" s="6" t="s">
        <v>234</v>
      </c>
      <c r="R7368" s="3">
        <v>0</v>
      </c>
      <c r="S7368" s="1">
        <v>3520</v>
      </c>
      <c r="T7368" s="4">
        <f t="shared" si="352"/>
        <v>0</v>
      </c>
      <c r="U7368" s="4">
        <f t="shared" si="353"/>
        <v>0</v>
      </c>
      <c r="V7368" s="3"/>
      <c r="W7368" s="3">
        <v>2014</v>
      </c>
      <c r="X7368" s="3" t="s">
        <v>12076</v>
      </c>
    </row>
    <row r="7369" spans="1:24" ht="114.75">
      <c r="A7369" s="3" t="s">
        <v>11066</v>
      </c>
      <c r="B7369" s="6" t="s">
        <v>361</v>
      </c>
      <c r="C7369" s="6" t="s">
        <v>8792</v>
      </c>
      <c r="D7369" s="6" t="s">
        <v>8793</v>
      </c>
      <c r="E7369" s="6" t="s">
        <v>8794</v>
      </c>
      <c r="F7369" s="6" t="s">
        <v>8795</v>
      </c>
      <c r="G7369" s="3" t="s">
        <v>11450</v>
      </c>
      <c r="H7369" s="185">
        <v>0</v>
      </c>
      <c r="I7369" s="16">
        <v>470000000</v>
      </c>
      <c r="J7369" s="56" t="s">
        <v>229</v>
      </c>
      <c r="K7369" s="57" t="s">
        <v>641</v>
      </c>
      <c r="L7369" s="57" t="s">
        <v>364</v>
      </c>
      <c r="M7369" s="3" t="s">
        <v>230</v>
      </c>
      <c r="N7369" s="8" t="s">
        <v>8899</v>
      </c>
      <c r="O7369" s="6" t="s">
        <v>365</v>
      </c>
      <c r="P7369" s="58" t="s">
        <v>241</v>
      </c>
      <c r="Q7369" s="6" t="s">
        <v>234</v>
      </c>
      <c r="R7369" s="3">
        <v>0</v>
      </c>
      <c r="S7369" s="1">
        <v>19500</v>
      </c>
      <c r="T7369" s="4">
        <f t="shared" si="352"/>
        <v>0</v>
      </c>
      <c r="U7369" s="4">
        <f t="shared" si="353"/>
        <v>0</v>
      </c>
      <c r="V7369" s="3"/>
      <c r="W7369" s="3">
        <v>2014</v>
      </c>
      <c r="X7369" s="3" t="s">
        <v>12076</v>
      </c>
    </row>
    <row r="7370" spans="1:24" ht="114.75">
      <c r="A7370" s="3" t="s">
        <v>11067</v>
      </c>
      <c r="B7370" s="6" t="s">
        <v>361</v>
      </c>
      <c r="C7370" s="6" t="s">
        <v>8792</v>
      </c>
      <c r="D7370" s="6" t="s">
        <v>8793</v>
      </c>
      <c r="E7370" s="6" t="s">
        <v>8794</v>
      </c>
      <c r="F7370" s="6" t="s">
        <v>8796</v>
      </c>
      <c r="G7370" s="3" t="s">
        <v>11450</v>
      </c>
      <c r="H7370" s="185">
        <v>0</v>
      </c>
      <c r="I7370" s="16">
        <v>470000000</v>
      </c>
      <c r="J7370" s="56" t="s">
        <v>229</v>
      </c>
      <c r="K7370" s="57" t="s">
        <v>641</v>
      </c>
      <c r="L7370" s="57" t="s">
        <v>364</v>
      </c>
      <c r="M7370" s="3" t="s">
        <v>230</v>
      </c>
      <c r="N7370" s="8" t="s">
        <v>8899</v>
      </c>
      <c r="O7370" s="6" t="s">
        <v>365</v>
      </c>
      <c r="P7370" s="58" t="s">
        <v>241</v>
      </c>
      <c r="Q7370" s="6" t="s">
        <v>234</v>
      </c>
      <c r="R7370" s="3">
        <v>0</v>
      </c>
      <c r="S7370" s="1">
        <v>19500</v>
      </c>
      <c r="T7370" s="4">
        <f t="shared" si="352"/>
        <v>0</v>
      </c>
      <c r="U7370" s="4">
        <f t="shared" si="353"/>
        <v>0</v>
      </c>
      <c r="V7370" s="3"/>
      <c r="W7370" s="3">
        <v>2014</v>
      </c>
      <c r="X7370" s="3" t="s">
        <v>12076</v>
      </c>
    </row>
    <row r="7371" spans="1:24" ht="114.75">
      <c r="A7371" s="3" t="s">
        <v>11068</v>
      </c>
      <c r="B7371" s="6" t="s">
        <v>361</v>
      </c>
      <c r="C7371" s="6" t="s">
        <v>8797</v>
      </c>
      <c r="D7371" s="6" t="s">
        <v>4433</v>
      </c>
      <c r="E7371" s="6" t="s">
        <v>8798</v>
      </c>
      <c r="F7371" s="6" t="s">
        <v>8799</v>
      </c>
      <c r="G7371" s="3" t="s">
        <v>11450</v>
      </c>
      <c r="H7371" s="185">
        <v>0</v>
      </c>
      <c r="I7371" s="16">
        <v>470000000</v>
      </c>
      <c r="J7371" s="56" t="s">
        <v>229</v>
      </c>
      <c r="K7371" s="57" t="s">
        <v>641</v>
      </c>
      <c r="L7371" s="57" t="s">
        <v>364</v>
      </c>
      <c r="M7371" s="3" t="s">
        <v>230</v>
      </c>
      <c r="N7371" s="8" t="s">
        <v>8899</v>
      </c>
      <c r="O7371" s="6" t="s">
        <v>365</v>
      </c>
      <c r="P7371" s="58" t="s">
        <v>241</v>
      </c>
      <c r="Q7371" s="6" t="s">
        <v>234</v>
      </c>
      <c r="R7371" s="3">
        <v>0</v>
      </c>
      <c r="S7371" s="1">
        <v>1430</v>
      </c>
      <c r="T7371" s="4">
        <f t="shared" si="352"/>
        <v>0</v>
      </c>
      <c r="U7371" s="4">
        <f t="shared" si="353"/>
        <v>0</v>
      </c>
      <c r="V7371" s="3"/>
      <c r="W7371" s="3">
        <v>2014</v>
      </c>
      <c r="X7371" s="3" t="s">
        <v>12076</v>
      </c>
    </row>
    <row r="7372" spans="1:24" ht="114.75">
      <c r="A7372" s="3" t="s">
        <v>11069</v>
      </c>
      <c r="B7372" s="6" t="s">
        <v>361</v>
      </c>
      <c r="C7372" s="6" t="s">
        <v>8797</v>
      </c>
      <c r="D7372" s="6" t="s">
        <v>4433</v>
      </c>
      <c r="E7372" s="6" t="s">
        <v>8798</v>
      </c>
      <c r="F7372" s="6" t="s">
        <v>8800</v>
      </c>
      <c r="G7372" s="3" t="s">
        <v>11450</v>
      </c>
      <c r="H7372" s="185">
        <v>0</v>
      </c>
      <c r="I7372" s="16">
        <v>470000000</v>
      </c>
      <c r="J7372" s="56" t="s">
        <v>229</v>
      </c>
      <c r="K7372" s="57" t="s">
        <v>641</v>
      </c>
      <c r="L7372" s="57" t="s">
        <v>364</v>
      </c>
      <c r="M7372" s="3" t="s">
        <v>230</v>
      </c>
      <c r="N7372" s="8" t="s">
        <v>8899</v>
      </c>
      <c r="O7372" s="6" t="s">
        <v>365</v>
      </c>
      <c r="P7372" s="58" t="s">
        <v>241</v>
      </c>
      <c r="Q7372" s="6" t="s">
        <v>234</v>
      </c>
      <c r="R7372" s="3">
        <v>0</v>
      </c>
      <c r="S7372" s="1">
        <v>2150</v>
      </c>
      <c r="T7372" s="4">
        <f t="shared" si="352"/>
        <v>0</v>
      </c>
      <c r="U7372" s="4">
        <f t="shared" si="353"/>
        <v>0</v>
      </c>
      <c r="V7372" s="3"/>
      <c r="W7372" s="3">
        <v>2014</v>
      </c>
      <c r="X7372" s="3" t="s">
        <v>12076</v>
      </c>
    </row>
    <row r="7373" spans="1:24" ht="114.75">
      <c r="A7373" s="3" t="s">
        <v>11070</v>
      </c>
      <c r="B7373" s="6" t="s">
        <v>361</v>
      </c>
      <c r="C7373" s="6" t="s">
        <v>8801</v>
      </c>
      <c r="D7373" s="6" t="s">
        <v>8802</v>
      </c>
      <c r="E7373" s="6" t="s">
        <v>8803</v>
      </c>
      <c r="F7373" s="6" t="s">
        <v>8802</v>
      </c>
      <c r="G7373" s="3" t="s">
        <v>11450</v>
      </c>
      <c r="H7373" s="185">
        <v>0</v>
      </c>
      <c r="I7373" s="16">
        <v>470000000</v>
      </c>
      <c r="J7373" s="56" t="s">
        <v>229</v>
      </c>
      <c r="K7373" s="57" t="s">
        <v>641</v>
      </c>
      <c r="L7373" s="57" t="s">
        <v>364</v>
      </c>
      <c r="M7373" s="3" t="s">
        <v>230</v>
      </c>
      <c r="N7373" s="8" t="s">
        <v>8899</v>
      </c>
      <c r="O7373" s="6" t="s">
        <v>365</v>
      </c>
      <c r="P7373" s="58" t="s">
        <v>241</v>
      </c>
      <c r="Q7373" s="6" t="s">
        <v>234</v>
      </c>
      <c r="R7373" s="3">
        <v>0</v>
      </c>
      <c r="S7373" s="1">
        <v>3530</v>
      </c>
      <c r="T7373" s="4">
        <f t="shared" si="352"/>
        <v>0</v>
      </c>
      <c r="U7373" s="4">
        <f t="shared" si="353"/>
        <v>0</v>
      </c>
      <c r="V7373" s="3"/>
      <c r="W7373" s="3">
        <v>2014</v>
      </c>
      <c r="X7373" s="3" t="s">
        <v>12076</v>
      </c>
    </row>
    <row r="7374" spans="1:24" ht="114.75">
      <c r="A7374" s="3" t="s">
        <v>11071</v>
      </c>
      <c r="B7374" s="6" t="s">
        <v>361</v>
      </c>
      <c r="C7374" s="6" t="s">
        <v>8804</v>
      </c>
      <c r="D7374" s="6" t="s">
        <v>575</v>
      </c>
      <c r="E7374" s="6" t="s">
        <v>8805</v>
      </c>
      <c r="F7374" s="6" t="s">
        <v>8806</v>
      </c>
      <c r="G7374" s="3" t="s">
        <v>11450</v>
      </c>
      <c r="H7374" s="185">
        <v>0</v>
      </c>
      <c r="I7374" s="16">
        <v>470000000</v>
      </c>
      <c r="J7374" s="56" t="s">
        <v>229</v>
      </c>
      <c r="K7374" s="57" t="s">
        <v>641</v>
      </c>
      <c r="L7374" s="57" t="s">
        <v>364</v>
      </c>
      <c r="M7374" s="3" t="s">
        <v>230</v>
      </c>
      <c r="N7374" s="8" t="s">
        <v>8899</v>
      </c>
      <c r="O7374" s="6" t="s">
        <v>365</v>
      </c>
      <c r="P7374" s="58" t="s">
        <v>241</v>
      </c>
      <c r="Q7374" s="6" t="s">
        <v>234</v>
      </c>
      <c r="R7374" s="3">
        <v>0</v>
      </c>
      <c r="S7374" s="1">
        <v>730</v>
      </c>
      <c r="T7374" s="4">
        <f t="shared" si="352"/>
        <v>0</v>
      </c>
      <c r="U7374" s="4">
        <f t="shared" si="353"/>
        <v>0</v>
      </c>
      <c r="V7374" s="3"/>
      <c r="W7374" s="3">
        <v>2014</v>
      </c>
      <c r="X7374" s="3" t="s">
        <v>12076</v>
      </c>
    </row>
    <row r="7375" spans="1:24" ht="114.75">
      <c r="A7375" s="3" t="s">
        <v>11072</v>
      </c>
      <c r="B7375" s="6" t="s">
        <v>361</v>
      </c>
      <c r="C7375" s="6" t="s">
        <v>8807</v>
      </c>
      <c r="D7375" s="6" t="s">
        <v>8597</v>
      </c>
      <c r="E7375" s="6" t="s">
        <v>8808</v>
      </c>
      <c r="F7375" s="6" t="s">
        <v>8809</v>
      </c>
      <c r="G7375" s="3" t="s">
        <v>11450</v>
      </c>
      <c r="H7375" s="185">
        <v>0</v>
      </c>
      <c r="I7375" s="16">
        <v>470000000</v>
      </c>
      <c r="J7375" s="56" t="s">
        <v>229</v>
      </c>
      <c r="K7375" s="57" t="s">
        <v>641</v>
      </c>
      <c r="L7375" s="57" t="s">
        <v>364</v>
      </c>
      <c r="M7375" s="3" t="s">
        <v>230</v>
      </c>
      <c r="N7375" s="8" t="s">
        <v>8899</v>
      </c>
      <c r="O7375" s="6" t="s">
        <v>365</v>
      </c>
      <c r="P7375" s="58" t="s">
        <v>241</v>
      </c>
      <c r="Q7375" s="6" t="s">
        <v>234</v>
      </c>
      <c r="R7375" s="3">
        <v>0</v>
      </c>
      <c r="S7375" s="1">
        <v>13220</v>
      </c>
      <c r="T7375" s="4">
        <f t="shared" si="352"/>
        <v>0</v>
      </c>
      <c r="U7375" s="4">
        <f t="shared" si="353"/>
        <v>0</v>
      </c>
      <c r="V7375" s="3"/>
      <c r="W7375" s="3">
        <v>2014</v>
      </c>
      <c r="X7375" s="3" t="s">
        <v>12076</v>
      </c>
    </row>
    <row r="7376" spans="1:24" ht="114.75">
      <c r="A7376" s="3" t="s">
        <v>11073</v>
      </c>
      <c r="B7376" s="6" t="s">
        <v>361</v>
      </c>
      <c r="C7376" s="6" t="s">
        <v>8810</v>
      </c>
      <c r="D7376" s="6" t="s">
        <v>8811</v>
      </c>
      <c r="E7376" s="6" t="s">
        <v>8812</v>
      </c>
      <c r="F7376" s="6" t="s">
        <v>8813</v>
      </c>
      <c r="G7376" s="3" t="s">
        <v>11450</v>
      </c>
      <c r="H7376" s="185">
        <v>0</v>
      </c>
      <c r="I7376" s="16">
        <v>470000000</v>
      </c>
      <c r="J7376" s="56" t="s">
        <v>229</v>
      </c>
      <c r="K7376" s="57" t="s">
        <v>641</v>
      </c>
      <c r="L7376" s="57" t="s">
        <v>364</v>
      </c>
      <c r="M7376" s="3" t="s">
        <v>230</v>
      </c>
      <c r="N7376" s="8" t="s">
        <v>8899</v>
      </c>
      <c r="O7376" s="6" t="s">
        <v>365</v>
      </c>
      <c r="P7376" s="58" t="s">
        <v>242</v>
      </c>
      <c r="Q7376" s="6" t="s">
        <v>239</v>
      </c>
      <c r="R7376" s="3">
        <v>0</v>
      </c>
      <c r="S7376" s="1">
        <v>2640</v>
      </c>
      <c r="T7376" s="4">
        <f t="shared" si="352"/>
        <v>0</v>
      </c>
      <c r="U7376" s="4">
        <f t="shared" si="353"/>
        <v>0</v>
      </c>
      <c r="V7376" s="3"/>
      <c r="W7376" s="3">
        <v>2014</v>
      </c>
      <c r="X7376" s="3" t="s">
        <v>12076</v>
      </c>
    </row>
    <row r="7377" spans="1:24" ht="140.25">
      <c r="A7377" s="3" t="s">
        <v>11074</v>
      </c>
      <c r="B7377" s="6" t="s">
        <v>361</v>
      </c>
      <c r="C7377" s="6" t="s">
        <v>8814</v>
      </c>
      <c r="D7377" s="6" t="s">
        <v>8815</v>
      </c>
      <c r="E7377" s="6" t="s">
        <v>8816</v>
      </c>
      <c r="F7377" s="6" t="s">
        <v>8817</v>
      </c>
      <c r="G7377" s="3" t="s">
        <v>11450</v>
      </c>
      <c r="H7377" s="185">
        <v>0</v>
      </c>
      <c r="I7377" s="16">
        <v>470000000</v>
      </c>
      <c r="J7377" s="56" t="s">
        <v>229</v>
      </c>
      <c r="K7377" s="57" t="s">
        <v>641</v>
      </c>
      <c r="L7377" s="57" t="s">
        <v>364</v>
      </c>
      <c r="M7377" s="3" t="s">
        <v>230</v>
      </c>
      <c r="N7377" s="8" t="s">
        <v>8899</v>
      </c>
      <c r="O7377" s="6" t="s">
        <v>365</v>
      </c>
      <c r="P7377" s="58" t="s">
        <v>241</v>
      </c>
      <c r="Q7377" s="6" t="s">
        <v>234</v>
      </c>
      <c r="R7377" s="3">
        <v>0</v>
      </c>
      <c r="S7377" s="1">
        <v>200</v>
      </c>
      <c r="T7377" s="4">
        <f t="shared" si="352"/>
        <v>0</v>
      </c>
      <c r="U7377" s="4">
        <f t="shared" si="353"/>
        <v>0</v>
      </c>
      <c r="V7377" s="3"/>
      <c r="W7377" s="3">
        <v>2014</v>
      </c>
      <c r="X7377" s="3" t="s">
        <v>12076</v>
      </c>
    </row>
    <row r="7378" spans="1:24" ht="114.75">
      <c r="A7378" s="3" t="s">
        <v>11075</v>
      </c>
      <c r="B7378" s="6" t="s">
        <v>361</v>
      </c>
      <c r="C7378" s="6" t="s">
        <v>8797</v>
      </c>
      <c r="D7378" s="6" t="s">
        <v>4433</v>
      </c>
      <c r="E7378" s="6" t="s">
        <v>8798</v>
      </c>
      <c r="F7378" s="6" t="s">
        <v>8818</v>
      </c>
      <c r="G7378" s="3" t="s">
        <v>11450</v>
      </c>
      <c r="H7378" s="185">
        <v>0</v>
      </c>
      <c r="I7378" s="16">
        <v>470000000</v>
      </c>
      <c r="J7378" s="56" t="s">
        <v>229</v>
      </c>
      <c r="K7378" s="57" t="s">
        <v>641</v>
      </c>
      <c r="L7378" s="57" t="s">
        <v>364</v>
      </c>
      <c r="M7378" s="3" t="s">
        <v>230</v>
      </c>
      <c r="N7378" s="8" t="s">
        <v>8899</v>
      </c>
      <c r="O7378" s="6" t="s">
        <v>365</v>
      </c>
      <c r="P7378" s="58" t="s">
        <v>241</v>
      </c>
      <c r="Q7378" s="6" t="s">
        <v>234</v>
      </c>
      <c r="R7378" s="3">
        <v>0</v>
      </c>
      <c r="S7378" s="1">
        <v>200</v>
      </c>
      <c r="T7378" s="4">
        <f t="shared" si="352"/>
        <v>0</v>
      </c>
      <c r="U7378" s="4">
        <f t="shared" si="353"/>
        <v>0</v>
      </c>
      <c r="V7378" s="3"/>
      <c r="W7378" s="3">
        <v>2014</v>
      </c>
      <c r="X7378" s="3" t="s">
        <v>12076</v>
      </c>
    </row>
    <row r="7379" spans="1:24" ht="114.75">
      <c r="A7379" s="3" t="s">
        <v>11076</v>
      </c>
      <c r="B7379" s="6" t="s">
        <v>361</v>
      </c>
      <c r="C7379" s="6" t="s">
        <v>8819</v>
      </c>
      <c r="D7379" s="6" t="s">
        <v>8820</v>
      </c>
      <c r="E7379" s="6" t="s">
        <v>8821</v>
      </c>
      <c r="F7379" s="6" t="s">
        <v>8822</v>
      </c>
      <c r="G7379" s="3" t="s">
        <v>11450</v>
      </c>
      <c r="H7379" s="185">
        <v>0</v>
      </c>
      <c r="I7379" s="16">
        <v>470000000</v>
      </c>
      <c r="J7379" s="56" t="s">
        <v>229</v>
      </c>
      <c r="K7379" s="57" t="s">
        <v>641</v>
      </c>
      <c r="L7379" s="57" t="s">
        <v>364</v>
      </c>
      <c r="M7379" s="3" t="s">
        <v>230</v>
      </c>
      <c r="N7379" s="8" t="s">
        <v>8899</v>
      </c>
      <c r="O7379" s="6" t="s">
        <v>365</v>
      </c>
      <c r="P7379" s="58" t="s">
        <v>241</v>
      </c>
      <c r="Q7379" s="6" t="s">
        <v>234</v>
      </c>
      <c r="R7379" s="3">
        <v>0</v>
      </c>
      <c r="S7379" s="1">
        <v>350</v>
      </c>
      <c r="T7379" s="4">
        <f t="shared" si="352"/>
        <v>0</v>
      </c>
      <c r="U7379" s="4">
        <f t="shared" si="353"/>
        <v>0</v>
      </c>
      <c r="V7379" s="3"/>
      <c r="W7379" s="3">
        <v>2014</v>
      </c>
      <c r="X7379" s="3" t="s">
        <v>12076</v>
      </c>
    </row>
    <row r="7380" spans="1:24" ht="114.75">
      <c r="A7380" s="3" t="s">
        <v>11077</v>
      </c>
      <c r="B7380" s="6" t="s">
        <v>361</v>
      </c>
      <c r="C7380" s="6" t="s">
        <v>8823</v>
      </c>
      <c r="D7380" s="6" t="s">
        <v>8824</v>
      </c>
      <c r="E7380" s="6" t="s">
        <v>8825</v>
      </c>
      <c r="F7380" s="6" t="s">
        <v>8826</v>
      </c>
      <c r="G7380" s="3" t="s">
        <v>11450</v>
      </c>
      <c r="H7380" s="185">
        <v>0</v>
      </c>
      <c r="I7380" s="16">
        <v>470000000</v>
      </c>
      <c r="J7380" s="56" t="s">
        <v>229</v>
      </c>
      <c r="K7380" s="57" t="s">
        <v>641</v>
      </c>
      <c r="L7380" s="57" t="s">
        <v>364</v>
      </c>
      <c r="M7380" s="3" t="s">
        <v>230</v>
      </c>
      <c r="N7380" s="8" t="s">
        <v>8899</v>
      </c>
      <c r="O7380" s="6" t="s">
        <v>365</v>
      </c>
      <c r="P7380" s="58" t="s">
        <v>241</v>
      </c>
      <c r="Q7380" s="6" t="s">
        <v>234</v>
      </c>
      <c r="R7380" s="3">
        <v>0</v>
      </c>
      <c r="S7380" s="1">
        <v>290</v>
      </c>
      <c r="T7380" s="4">
        <f t="shared" si="352"/>
        <v>0</v>
      </c>
      <c r="U7380" s="4">
        <f t="shared" si="353"/>
        <v>0</v>
      </c>
      <c r="V7380" s="3"/>
      <c r="W7380" s="3">
        <v>2014</v>
      </c>
      <c r="X7380" s="3" t="s">
        <v>12076</v>
      </c>
    </row>
    <row r="7381" spans="1:24" ht="114.75">
      <c r="A7381" s="3" t="s">
        <v>11078</v>
      </c>
      <c r="B7381" s="6" t="s">
        <v>361</v>
      </c>
      <c r="C7381" s="6" t="s">
        <v>8827</v>
      </c>
      <c r="D7381" s="6" t="s">
        <v>8828</v>
      </c>
      <c r="E7381" s="6" t="s">
        <v>8829</v>
      </c>
      <c r="F7381" s="6" t="s">
        <v>8830</v>
      </c>
      <c r="G7381" s="3" t="s">
        <v>11450</v>
      </c>
      <c r="H7381" s="185">
        <v>0</v>
      </c>
      <c r="I7381" s="16">
        <v>470000000</v>
      </c>
      <c r="J7381" s="56" t="s">
        <v>229</v>
      </c>
      <c r="K7381" s="57" t="s">
        <v>641</v>
      </c>
      <c r="L7381" s="57" t="s">
        <v>364</v>
      </c>
      <c r="M7381" s="3" t="s">
        <v>230</v>
      </c>
      <c r="N7381" s="8" t="s">
        <v>8899</v>
      </c>
      <c r="O7381" s="6" t="s">
        <v>365</v>
      </c>
      <c r="P7381" s="58" t="s">
        <v>241</v>
      </c>
      <c r="Q7381" s="6" t="s">
        <v>234</v>
      </c>
      <c r="R7381" s="3">
        <v>0</v>
      </c>
      <c r="S7381" s="1">
        <v>330</v>
      </c>
      <c r="T7381" s="4">
        <f t="shared" si="352"/>
        <v>0</v>
      </c>
      <c r="U7381" s="4">
        <f t="shared" si="353"/>
        <v>0</v>
      </c>
      <c r="V7381" s="3"/>
      <c r="W7381" s="3">
        <v>2014</v>
      </c>
      <c r="X7381" s="3" t="s">
        <v>12076</v>
      </c>
    </row>
    <row r="7382" spans="1:24" ht="114.75">
      <c r="A7382" s="3" t="s">
        <v>11079</v>
      </c>
      <c r="B7382" s="6" t="s">
        <v>361</v>
      </c>
      <c r="C7382" s="6" t="s">
        <v>8831</v>
      </c>
      <c r="D7382" s="6" t="s">
        <v>8832</v>
      </c>
      <c r="E7382" s="6" t="s">
        <v>8833</v>
      </c>
      <c r="F7382" s="6" t="s">
        <v>8832</v>
      </c>
      <c r="G7382" s="3" t="s">
        <v>11450</v>
      </c>
      <c r="H7382" s="185">
        <v>0</v>
      </c>
      <c r="I7382" s="16">
        <v>470000000</v>
      </c>
      <c r="J7382" s="56" t="s">
        <v>229</v>
      </c>
      <c r="K7382" s="57" t="s">
        <v>641</v>
      </c>
      <c r="L7382" s="57" t="s">
        <v>364</v>
      </c>
      <c r="M7382" s="3" t="s">
        <v>230</v>
      </c>
      <c r="N7382" s="8" t="s">
        <v>8899</v>
      </c>
      <c r="O7382" s="6" t="s">
        <v>365</v>
      </c>
      <c r="P7382" s="58" t="s">
        <v>241</v>
      </c>
      <c r="Q7382" s="6" t="s">
        <v>234</v>
      </c>
      <c r="R7382" s="3">
        <v>0</v>
      </c>
      <c r="S7382" s="1">
        <v>940</v>
      </c>
      <c r="T7382" s="4">
        <f t="shared" si="352"/>
        <v>0</v>
      </c>
      <c r="U7382" s="4">
        <f t="shared" si="353"/>
        <v>0</v>
      </c>
      <c r="V7382" s="3"/>
      <c r="W7382" s="3">
        <v>2014</v>
      </c>
      <c r="X7382" s="3" t="s">
        <v>12076</v>
      </c>
    </row>
    <row r="7383" spans="1:24" ht="114.75">
      <c r="A7383" s="3" t="s">
        <v>11080</v>
      </c>
      <c r="B7383" s="6" t="s">
        <v>361</v>
      </c>
      <c r="C7383" s="6" t="s">
        <v>8810</v>
      </c>
      <c r="D7383" s="6" t="s">
        <v>8811</v>
      </c>
      <c r="E7383" s="6" t="s">
        <v>8812</v>
      </c>
      <c r="F7383" s="6" t="s">
        <v>8834</v>
      </c>
      <c r="G7383" s="3" t="s">
        <v>11450</v>
      </c>
      <c r="H7383" s="185">
        <v>0</v>
      </c>
      <c r="I7383" s="16">
        <v>470000000</v>
      </c>
      <c r="J7383" s="56" t="s">
        <v>229</v>
      </c>
      <c r="K7383" s="57" t="s">
        <v>641</v>
      </c>
      <c r="L7383" s="57" t="s">
        <v>364</v>
      </c>
      <c r="M7383" s="3" t="s">
        <v>230</v>
      </c>
      <c r="N7383" s="8" t="s">
        <v>8899</v>
      </c>
      <c r="O7383" s="6" t="s">
        <v>365</v>
      </c>
      <c r="P7383" s="58" t="s">
        <v>241</v>
      </c>
      <c r="Q7383" s="6" t="s">
        <v>234</v>
      </c>
      <c r="R7383" s="3">
        <v>0</v>
      </c>
      <c r="S7383" s="1">
        <v>4850</v>
      </c>
      <c r="T7383" s="4">
        <f t="shared" si="352"/>
        <v>0</v>
      </c>
      <c r="U7383" s="4">
        <f t="shared" si="353"/>
        <v>0</v>
      </c>
      <c r="V7383" s="3"/>
      <c r="W7383" s="3">
        <v>2014</v>
      </c>
      <c r="X7383" s="3" t="s">
        <v>12076</v>
      </c>
    </row>
    <row r="7384" spans="1:24" ht="114.75">
      <c r="A7384" s="3" t="s">
        <v>11081</v>
      </c>
      <c r="B7384" s="6" t="s">
        <v>361</v>
      </c>
      <c r="C7384" s="6" t="s">
        <v>8835</v>
      </c>
      <c r="D7384" s="6" t="s">
        <v>8836</v>
      </c>
      <c r="E7384" s="6" t="s">
        <v>8794</v>
      </c>
      <c r="F7384" s="6" t="s">
        <v>8837</v>
      </c>
      <c r="G7384" s="3" t="s">
        <v>11450</v>
      </c>
      <c r="H7384" s="185">
        <v>0</v>
      </c>
      <c r="I7384" s="16">
        <v>470000000</v>
      </c>
      <c r="J7384" s="56" t="s">
        <v>229</v>
      </c>
      <c r="K7384" s="57" t="s">
        <v>641</v>
      </c>
      <c r="L7384" s="57" t="s">
        <v>364</v>
      </c>
      <c r="M7384" s="3" t="s">
        <v>230</v>
      </c>
      <c r="N7384" s="8" t="s">
        <v>8899</v>
      </c>
      <c r="O7384" s="6" t="s">
        <v>365</v>
      </c>
      <c r="P7384" s="58" t="s">
        <v>241</v>
      </c>
      <c r="Q7384" s="6" t="s">
        <v>234</v>
      </c>
      <c r="R7384" s="3">
        <v>0</v>
      </c>
      <c r="S7384" s="1">
        <v>200</v>
      </c>
      <c r="T7384" s="4">
        <f t="shared" si="352"/>
        <v>0</v>
      </c>
      <c r="U7384" s="4">
        <f t="shared" si="353"/>
        <v>0</v>
      </c>
      <c r="V7384" s="3"/>
      <c r="W7384" s="3">
        <v>2014</v>
      </c>
      <c r="X7384" s="3" t="s">
        <v>12076</v>
      </c>
    </row>
    <row r="7385" spans="1:24" ht="114.75">
      <c r="A7385" s="3" t="s">
        <v>11082</v>
      </c>
      <c r="B7385" s="6" t="s">
        <v>361</v>
      </c>
      <c r="C7385" s="6" t="s">
        <v>8838</v>
      </c>
      <c r="D7385" s="6" t="s">
        <v>5563</v>
      </c>
      <c r="E7385" s="6" t="s">
        <v>8839</v>
      </c>
      <c r="F7385" s="6" t="s">
        <v>8840</v>
      </c>
      <c r="G7385" s="3" t="s">
        <v>11450</v>
      </c>
      <c r="H7385" s="185">
        <v>0</v>
      </c>
      <c r="I7385" s="16">
        <v>470000000</v>
      </c>
      <c r="J7385" s="56" t="s">
        <v>229</v>
      </c>
      <c r="K7385" s="57" t="s">
        <v>641</v>
      </c>
      <c r="L7385" s="57" t="s">
        <v>364</v>
      </c>
      <c r="M7385" s="3" t="s">
        <v>230</v>
      </c>
      <c r="N7385" s="8" t="s">
        <v>8899</v>
      </c>
      <c r="O7385" s="6" t="s">
        <v>365</v>
      </c>
      <c r="P7385" s="58" t="s">
        <v>241</v>
      </c>
      <c r="Q7385" s="6" t="s">
        <v>234</v>
      </c>
      <c r="R7385" s="3">
        <v>0</v>
      </c>
      <c r="S7385" s="1">
        <v>90</v>
      </c>
      <c r="T7385" s="4">
        <f t="shared" si="352"/>
        <v>0</v>
      </c>
      <c r="U7385" s="4">
        <f t="shared" si="353"/>
        <v>0</v>
      </c>
      <c r="V7385" s="3"/>
      <c r="W7385" s="3">
        <v>2014</v>
      </c>
      <c r="X7385" s="3" t="s">
        <v>12076</v>
      </c>
    </row>
    <row r="7386" spans="1:24" ht="114.75">
      <c r="A7386" s="3" t="s">
        <v>11083</v>
      </c>
      <c r="B7386" s="6" t="s">
        <v>361</v>
      </c>
      <c r="C7386" s="6" t="s">
        <v>10082</v>
      </c>
      <c r="D7386" s="6" t="s">
        <v>8724</v>
      </c>
      <c r="E7386" s="6" t="s">
        <v>10083</v>
      </c>
      <c r="F7386" s="6" t="s">
        <v>8841</v>
      </c>
      <c r="G7386" s="3" t="s">
        <v>11450</v>
      </c>
      <c r="H7386" s="185">
        <v>0</v>
      </c>
      <c r="I7386" s="16">
        <v>470000000</v>
      </c>
      <c r="J7386" s="56" t="s">
        <v>229</v>
      </c>
      <c r="K7386" s="57" t="s">
        <v>641</v>
      </c>
      <c r="L7386" s="57" t="s">
        <v>364</v>
      </c>
      <c r="M7386" s="3" t="s">
        <v>230</v>
      </c>
      <c r="N7386" s="8" t="s">
        <v>8899</v>
      </c>
      <c r="O7386" s="6" t="s">
        <v>365</v>
      </c>
      <c r="P7386" s="58" t="s">
        <v>241</v>
      </c>
      <c r="Q7386" s="6" t="s">
        <v>234</v>
      </c>
      <c r="R7386" s="3">
        <v>0</v>
      </c>
      <c r="S7386" s="1">
        <v>200</v>
      </c>
      <c r="T7386" s="4">
        <f t="shared" si="352"/>
        <v>0</v>
      </c>
      <c r="U7386" s="4">
        <f t="shared" si="353"/>
        <v>0</v>
      </c>
      <c r="V7386" s="3"/>
      <c r="W7386" s="3">
        <v>2014</v>
      </c>
      <c r="X7386" s="3" t="s">
        <v>12076</v>
      </c>
    </row>
    <row r="7387" spans="1:24" ht="114.75">
      <c r="A7387" s="3" t="s">
        <v>11084</v>
      </c>
      <c r="B7387" s="6" t="s">
        <v>361</v>
      </c>
      <c r="C7387" s="6" t="s">
        <v>10084</v>
      </c>
      <c r="D7387" s="6" t="s">
        <v>8724</v>
      </c>
      <c r="E7387" s="6" t="s">
        <v>10085</v>
      </c>
      <c r="F7387" s="6" t="s">
        <v>8842</v>
      </c>
      <c r="G7387" s="3" t="s">
        <v>11450</v>
      </c>
      <c r="H7387" s="185">
        <v>0</v>
      </c>
      <c r="I7387" s="16">
        <v>470000000</v>
      </c>
      <c r="J7387" s="56" t="s">
        <v>229</v>
      </c>
      <c r="K7387" s="57" t="s">
        <v>641</v>
      </c>
      <c r="L7387" s="57" t="s">
        <v>364</v>
      </c>
      <c r="M7387" s="3" t="s">
        <v>230</v>
      </c>
      <c r="N7387" s="8" t="s">
        <v>8899</v>
      </c>
      <c r="O7387" s="6" t="s">
        <v>365</v>
      </c>
      <c r="P7387" s="58" t="s">
        <v>241</v>
      </c>
      <c r="Q7387" s="6" t="s">
        <v>234</v>
      </c>
      <c r="R7387" s="3">
        <v>0</v>
      </c>
      <c r="S7387" s="1">
        <v>200</v>
      </c>
      <c r="T7387" s="4">
        <f t="shared" si="352"/>
        <v>0</v>
      </c>
      <c r="U7387" s="4">
        <f t="shared" si="353"/>
        <v>0</v>
      </c>
      <c r="V7387" s="3"/>
      <c r="W7387" s="3">
        <v>2014</v>
      </c>
      <c r="X7387" s="3" t="s">
        <v>12076</v>
      </c>
    </row>
    <row r="7388" spans="1:24" ht="114.75">
      <c r="A7388" s="3" t="s">
        <v>11085</v>
      </c>
      <c r="B7388" s="6" t="s">
        <v>361</v>
      </c>
      <c r="C7388" s="6" t="s">
        <v>8705</v>
      </c>
      <c r="D7388" s="6" t="s">
        <v>8660</v>
      </c>
      <c r="E7388" s="6" t="s">
        <v>8706</v>
      </c>
      <c r="F7388" s="6" t="s">
        <v>8843</v>
      </c>
      <c r="G7388" s="3" t="s">
        <v>11450</v>
      </c>
      <c r="H7388" s="185">
        <v>0</v>
      </c>
      <c r="I7388" s="16">
        <v>470000000</v>
      </c>
      <c r="J7388" s="56" t="s">
        <v>229</v>
      </c>
      <c r="K7388" s="57" t="s">
        <v>641</v>
      </c>
      <c r="L7388" s="57" t="s">
        <v>364</v>
      </c>
      <c r="M7388" s="3" t="s">
        <v>230</v>
      </c>
      <c r="N7388" s="8" t="s">
        <v>8899</v>
      </c>
      <c r="O7388" s="6" t="s">
        <v>365</v>
      </c>
      <c r="P7388" s="58" t="s">
        <v>241</v>
      </c>
      <c r="Q7388" s="6" t="s">
        <v>234</v>
      </c>
      <c r="R7388" s="3">
        <v>0</v>
      </c>
      <c r="S7388" s="1">
        <v>200</v>
      </c>
      <c r="T7388" s="4">
        <f t="shared" si="352"/>
        <v>0</v>
      </c>
      <c r="U7388" s="4">
        <f t="shared" si="353"/>
        <v>0</v>
      </c>
      <c r="V7388" s="3"/>
      <c r="W7388" s="3">
        <v>2014</v>
      </c>
      <c r="X7388" s="3" t="s">
        <v>12076</v>
      </c>
    </row>
    <row r="7389" spans="1:24" ht="114.75">
      <c r="A7389" s="3" t="s">
        <v>11086</v>
      </c>
      <c r="B7389" s="6" t="s">
        <v>361</v>
      </c>
      <c r="C7389" s="6" t="s">
        <v>8844</v>
      </c>
      <c r="D7389" s="6" t="s">
        <v>8815</v>
      </c>
      <c r="E7389" s="6" t="s">
        <v>8845</v>
      </c>
      <c r="F7389" s="6" t="s">
        <v>8846</v>
      </c>
      <c r="G7389" s="3" t="s">
        <v>11450</v>
      </c>
      <c r="H7389" s="185">
        <v>0</v>
      </c>
      <c r="I7389" s="16">
        <v>470000000</v>
      </c>
      <c r="J7389" s="56" t="s">
        <v>229</v>
      </c>
      <c r="K7389" s="57" t="s">
        <v>641</v>
      </c>
      <c r="L7389" s="57" t="s">
        <v>364</v>
      </c>
      <c r="M7389" s="3" t="s">
        <v>230</v>
      </c>
      <c r="N7389" s="8" t="s">
        <v>8899</v>
      </c>
      <c r="O7389" s="6" t="s">
        <v>365</v>
      </c>
      <c r="P7389" s="58" t="s">
        <v>241</v>
      </c>
      <c r="Q7389" s="6" t="s">
        <v>234</v>
      </c>
      <c r="R7389" s="3">
        <v>0</v>
      </c>
      <c r="S7389" s="1">
        <v>250</v>
      </c>
      <c r="T7389" s="4">
        <f t="shared" si="352"/>
        <v>0</v>
      </c>
      <c r="U7389" s="4">
        <f t="shared" si="353"/>
        <v>0</v>
      </c>
      <c r="V7389" s="3"/>
      <c r="W7389" s="3">
        <v>2014</v>
      </c>
      <c r="X7389" s="3" t="s">
        <v>12076</v>
      </c>
    </row>
    <row r="7390" spans="1:24" ht="140.25">
      <c r="A7390" s="3" t="s">
        <v>11087</v>
      </c>
      <c r="B7390" s="6" t="s">
        <v>361</v>
      </c>
      <c r="C7390" s="6" t="s">
        <v>8847</v>
      </c>
      <c r="D7390" s="6" t="s">
        <v>8848</v>
      </c>
      <c r="E7390" s="6" t="s">
        <v>8849</v>
      </c>
      <c r="F7390" s="6" t="s">
        <v>8850</v>
      </c>
      <c r="G7390" s="3" t="s">
        <v>11450</v>
      </c>
      <c r="H7390" s="185">
        <v>0</v>
      </c>
      <c r="I7390" s="16">
        <v>470000000</v>
      </c>
      <c r="J7390" s="56" t="s">
        <v>229</v>
      </c>
      <c r="K7390" s="57" t="s">
        <v>641</v>
      </c>
      <c r="L7390" s="57" t="s">
        <v>364</v>
      </c>
      <c r="M7390" s="3" t="s">
        <v>230</v>
      </c>
      <c r="N7390" s="8" t="s">
        <v>8899</v>
      </c>
      <c r="O7390" s="6" t="s">
        <v>365</v>
      </c>
      <c r="P7390" s="58" t="s">
        <v>242</v>
      </c>
      <c r="Q7390" s="6" t="s">
        <v>239</v>
      </c>
      <c r="R7390" s="3">
        <v>0</v>
      </c>
      <c r="S7390" s="1">
        <v>5300</v>
      </c>
      <c r="T7390" s="4">
        <f t="shared" si="352"/>
        <v>0</v>
      </c>
      <c r="U7390" s="4">
        <f t="shared" si="353"/>
        <v>0</v>
      </c>
      <c r="V7390" s="3"/>
      <c r="W7390" s="3">
        <v>2014</v>
      </c>
      <c r="X7390" s="3" t="s">
        <v>12076</v>
      </c>
    </row>
    <row r="7391" spans="1:24" ht="114.75">
      <c r="A7391" s="3" t="s">
        <v>11088</v>
      </c>
      <c r="B7391" s="6" t="s">
        <v>361</v>
      </c>
      <c r="C7391" s="6" t="s">
        <v>8851</v>
      </c>
      <c r="D7391" s="6" t="s">
        <v>8852</v>
      </c>
      <c r="E7391" s="6" t="s">
        <v>8853</v>
      </c>
      <c r="F7391" s="6" t="s">
        <v>8854</v>
      </c>
      <c r="G7391" s="3" t="s">
        <v>11450</v>
      </c>
      <c r="H7391" s="185">
        <v>0</v>
      </c>
      <c r="I7391" s="16">
        <v>470000000</v>
      </c>
      <c r="J7391" s="56" t="s">
        <v>229</v>
      </c>
      <c r="K7391" s="57" t="s">
        <v>641</v>
      </c>
      <c r="L7391" s="57" t="s">
        <v>364</v>
      </c>
      <c r="M7391" s="3" t="s">
        <v>230</v>
      </c>
      <c r="N7391" s="8" t="s">
        <v>8899</v>
      </c>
      <c r="O7391" s="6" t="s">
        <v>365</v>
      </c>
      <c r="P7391" s="58" t="s">
        <v>241</v>
      </c>
      <c r="Q7391" s="6" t="s">
        <v>234</v>
      </c>
      <c r="R7391" s="3">
        <v>0</v>
      </c>
      <c r="S7391" s="1">
        <v>2770</v>
      </c>
      <c r="T7391" s="4">
        <f t="shared" si="352"/>
        <v>0</v>
      </c>
      <c r="U7391" s="4">
        <f t="shared" si="353"/>
        <v>0</v>
      </c>
      <c r="V7391" s="3"/>
      <c r="W7391" s="3">
        <v>2014</v>
      </c>
      <c r="X7391" s="3" t="s">
        <v>12076</v>
      </c>
    </row>
    <row r="7392" spans="1:24" ht="114.75">
      <c r="A7392" s="3" t="s">
        <v>11089</v>
      </c>
      <c r="B7392" s="6" t="s">
        <v>361</v>
      </c>
      <c r="C7392" s="6" t="s">
        <v>8855</v>
      </c>
      <c r="D7392" s="6" t="s">
        <v>8856</v>
      </c>
      <c r="E7392" s="6" t="s">
        <v>8857</v>
      </c>
      <c r="F7392" s="6" t="s">
        <v>8858</v>
      </c>
      <c r="G7392" s="3" t="s">
        <v>11450</v>
      </c>
      <c r="H7392" s="185">
        <v>0</v>
      </c>
      <c r="I7392" s="16">
        <v>470000000</v>
      </c>
      <c r="J7392" s="56" t="s">
        <v>229</v>
      </c>
      <c r="K7392" s="57" t="s">
        <v>641</v>
      </c>
      <c r="L7392" s="57" t="s">
        <v>364</v>
      </c>
      <c r="M7392" s="3" t="s">
        <v>230</v>
      </c>
      <c r="N7392" s="8" t="s">
        <v>8899</v>
      </c>
      <c r="O7392" s="6" t="s">
        <v>365</v>
      </c>
      <c r="P7392" s="58" t="s">
        <v>241</v>
      </c>
      <c r="Q7392" s="6" t="s">
        <v>234</v>
      </c>
      <c r="R7392" s="3">
        <v>0</v>
      </c>
      <c r="S7392" s="1">
        <v>830</v>
      </c>
      <c r="T7392" s="4">
        <f t="shared" si="352"/>
        <v>0</v>
      </c>
      <c r="U7392" s="4">
        <f t="shared" si="353"/>
        <v>0</v>
      </c>
      <c r="V7392" s="3"/>
      <c r="W7392" s="3">
        <v>2014</v>
      </c>
      <c r="X7392" s="3" t="s">
        <v>12076</v>
      </c>
    </row>
    <row r="7393" spans="1:24" ht="114.75">
      <c r="A7393" s="3" t="s">
        <v>11090</v>
      </c>
      <c r="B7393" s="6" t="s">
        <v>361</v>
      </c>
      <c r="C7393" s="6" t="s">
        <v>8855</v>
      </c>
      <c r="D7393" s="6" t="s">
        <v>8856</v>
      </c>
      <c r="E7393" s="6" t="s">
        <v>8857</v>
      </c>
      <c r="F7393" s="6" t="s">
        <v>8859</v>
      </c>
      <c r="G7393" s="3" t="s">
        <v>11450</v>
      </c>
      <c r="H7393" s="185">
        <v>0</v>
      </c>
      <c r="I7393" s="16">
        <v>470000000</v>
      </c>
      <c r="J7393" s="56" t="s">
        <v>229</v>
      </c>
      <c r="K7393" s="57" t="s">
        <v>641</v>
      </c>
      <c r="L7393" s="57" t="s">
        <v>364</v>
      </c>
      <c r="M7393" s="3" t="s">
        <v>230</v>
      </c>
      <c r="N7393" s="8" t="s">
        <v>8899</v>
      </c>
      <c r="O7393" s="6" t="s">
        <v>365</v>
      </c>
      <c r="P7393" s="58" t="s">
        <v>241</v>
      </c>
      <c r="Q7393" s="6" t="s">
        <v>234</v>
      </c>
      <c r="R7393" s="3">
        <v>0</v>
      </c>
      <c r="S7393" s="1">
        <v>1760</v>
      </c>
      <c r="T7393" s="4">
        <f t="shared" si="352"/>
        <v>0</v>
      </c>
      <c r="U7393" s="4">
        <f t="shared" si="353"/>
        <v>0</v>
      </c>
      <c r="V7393" s="3"/>
      <c r="W7393" s="3">
        <v>2014</v>
      </c>
      <c r="X7393" s="3" t="s">
        <v>12076</v>
      </c>
    </row>
    <row r="7394" spans="1:24" ht="114.75">
      <c r="A7394" s="3" t="s">
        <v>11091</v>
      </c>
      <c r="B7394" s="6" t="s">
        <v>361</v>
      </c>
      <c r="C7394" s="6" t="s">
        <v>8860</v>
      </c>
      <c r="D7394" s="6" t="s">
        <v>8861</v>
      </c>
      <c r="E7394" s="6" t="s">
        <v>8862</v>
      </c>
      <c r="F7394" s="6" t="s">
        <v>8863</v>
      </c>
      <c r="G7394" s="3" t="s">
        <v>11450</v>
      </c>
      <c r="H7394" s="185">
        <v>0</v>
      </c>
      <c r="I7394" s="16">
        <v>470000000</v>
      </c>
      <c r="J7394" s="56" t="s">
        <v>229</v>
      </c>
      <c r="K7394" s="57" t="s">
        <v>641</v>
      </c>
      <c r="L7394" s="57" t="s">
        <v>364</v>
      </c>
      <c r="M7394" s="3" t="s">
        <v>230</v>
      </c>
      <c r="N7394" s="8" t="s">
        <v>8899</v>
      </c>
      <c r="O7394" s="6" t="s">
        <v>365</v>
      </c>
      <c r="P7394" s="58" t="s">
        <v>241</v>
      </c>
      <c r="Q7394" s="6" t="s">
        <v>234</v>
      </c>
      <c r="R7394" s="3">
        <v>0</v>
      </c>
      <c r="S7394" s="1">
        <v>4520</v>
      </c>
      <c r="T7394" s="4">
        <f t="shared" si="352"/>
        <v>0</v>
      </c>
      <c r="U7394" s="4">
        <f t="shared" si="353"/>
        <v>0</v>
      </c>
      <c r="V7394" s="3"/>
      <c r="W7394" s="3">
        <v>2014</v>
      </c>
      <c r="X7394" s="3" t="s">
        <v>12076</v>
      </c>
    </row>
    <row r="7395" spans="1:24" ht="114.75">
      <c r="A7395" s="3" t="s">
        <v>11092</v>
      </c>
      <c r="B7395" s="6" t="s">
        <v>361</v>
      </c>
      <c r="C7395" s="6" t="s">
        <v>8864</v>
      </c>
      <c r="D7395" s="6" t="s">
        <v>8865</v>
      </c>
      <c r="E7395" s="6" t="s">
        <v>8866</v>
      </c>
      <c r="F7395" s="6" t="s">
        <v>8867</v>
      </c>
      <c r="G7395" s="3" t="s">
        <v>11450</v>
      </c>
      <c r="H7395" s="185">
        <v>0</v>
      </c>
      <c r="I7395" s="16">
        <v>470000000</v>
      </c>
      <c r="J7395" s="56" t="s">
        <v>229</v>
      </c>
      <c r="K7395" s="57" t="s">
        <v>641</v>
      </c>
      <c r="L7395" s="57" t="s">
        <v>364</v>
      </c>
      <c r="M7395" s="3" t="s">
        <v>230</v>
      </c>
      <c r="N7395" s="8" t="s">
        <v>8899</v>
      </c>
      <c r="O7395" s="6" t="s">
        <v>365</v>
      </c>
      <c r="P7395" s="58" t="s">
        <v>241</v>
      </c>
      <c r="Q7395" s="6" t="s">
        <v>234</v>
      </c>
      <c r="R7395" s="3">
        <v>0</v>
      </c>
      <c r="S7395" s="1">
        <v>6500</v>
      </c>
      <c r="T7395" s="4">
        <f t="shared" si="352"/>
        <v>0</v>
      </c>
      <c r="U7395" s="4">
        <f t="shared" si="353"/>
        <v>0</v>
      </c>
      <c r="V7395" s="3"/>
      <c r="W7395" s="3">
        <v>2014</v>
      </c>
      <c r="X7395" s="3" t="s">
        <v>12076</v>
      </c>
    </row>
    <row r="7396" spans="1:24" ht="114.75">
      <c r="A7396" s="3" t="s">
        <v>11093</v>
      </c>
      <c r="B7396" s="6" t="s">
        <v>361</v>
      </c>
      <c r="C7396" s="6" t="s">
        <v>8868</v>
      </c>
      <c r="D7396" s="6" t="s">
        <v>8869</v>
      </c>
      <c r="E7396" s="6" t="s">
        <v>8870</v>
      </c>
      <c r="F7396" s="6" t="s">
        <v>8871</v>
      </c>
      <c r="G7396" s="3" t="s">
        <v>11450</v>
      </c>
      <c r="H7396" s="185">
        <v>0</v>
      </c>
      <c r="I7396" s="16">
        <v>470000000</v>
      </c>
      <c r="J7396" s="56" t="s">
        <v>229</v>
      </c>
      <c r="K7396" s="57" t="s">
        <v>641</v>
      </c>
      <c r="L7396" s="57" t="s">
        <v>364</v>
      </c>
      <c r="M7396" s="3" t="s">
        <v>230</v>
      </c>
      <c r="N7396" s="8" t="s">
        <v>8899</v>
      </c>
      <c r="O7396" s="6" t="s">
        <v>365</v>
      </c>
      <c r="P7396" s="58" t="s">
        <v>241</v>
      </c>
      <c r="Q7396" s="6" t="s">
        <v>234</v>
      </c>
      <c r="R7396" s="3">
        <v>0</v>
      </c>
      <c r="S7396" s="1">
        <v>16530</v>
      </c>
      <c r="T7396" s="4">
        <f t="shared" si="352"/>
        <v>0</v>
      </c>
      <c r="U7396" s="4">
        <f t="shared" si="353"/>
        <v>0</v>
      </c>
      <c r="V7396" s="3"/>
      <c r="W7396" s="3">
        <v>2014</v>
      </c>
      <c r="X7396" s="3" t="s">
        <v>12076</v>
      </c>
    </row>
    <row r="7397" spans="1:24" ht="114.75">
      <c r="A7397" s="3" t="s">
        <v>11094</v>
      </c>
      <c r="B7397" s="6" t="s">
        <v>361</v>
      </c>
      <c r="C7397" s="6" t="s">
        <v>8872</v>
      </c>
      <c r="D7397" s="6" t="s">
        <v>8793</v>
      </c>
      <c r="E7397" s="6" t="s">
        <v>8873</v>
      </c>
      <c r="F7397" s="6"/>
      <c r="G7397" s="3" t="s">
        <v>11450</v>
      </c>
      <c r="H7397" s="185">
        <v>0</v>
      </c>
      <c r="I7397" s="16">
        <v>470000000</v>
      </c>
      <c r="J7397" s="56" t="s">
        <v>229</v>
      </c>
      <c r="K7397" s="57" t="s">
        <v>641</v>
      </c>
      <c r="L7397" s="57" t="s">
        <v>364</v>
      </c>
      <c r="M7397" s="3" t="s">
        <v>230</v>
      </c>
      <c r="N7397" s="8" t="s">
        <v>8899</v>
      </c>
      <c r="O7397" s="6" t="s">
        <v>365</v>
      </c>
      <c r="P7397" s="58" t="s">
        <v>241</v>
      </c>
      <c r="Q7397" s="6" t="s">
        <v>234</v>
      </c>
      <c r="R7397" s="3">
        <v>0</v>
      </c>
      <c r="S7397" s="1">
        <v>4960</v>
      </c>
      <c r="T7397" s="4">
        <f t="shared" si="352"/>
        <v>0</v>
      </c>
      <c r="U7397" s="4">
        <f t="shared" si="353"/>
        <v>0</v>
      </c>
      <c r="V7397" s="3"/>
      <c r="W7397" s="3">
        <v>2014</v>
      </c>
      <c r="X7397" s="3" t="s">
        <v>12076</v>
      </c>
    </row>
    <row r="7398" spans="1:24" ht="114.75">
      <c r="A7398" s="3" t="s">
        <v>11095</v>
      </c>
      <c r="B7398" s="6" t="s">
        <v>361</v>
      </c>
      <c r="C7398" s="6" t="s">
        <v>8874</v>
      </c>
      <c r="D7398" s="6" t="s">
        <v>8875</v>
      </c>
      <c r="E7398" s="6" t="s">
        <v>8876</v>
      </c>
      <c r="F7398" s="6" t="s">
        <v>8877</v>
      </c>
      <c r="G7398" s="3" t="s">
        <v>11450</v>
      </c>
      <c r="H7398" s="185">
        <v>0</v>
      </c>
      <c r="I7398" s="16">
        <v>470000000</v>
      </c>
      <c r="J7398" s="56" t="s">
        <v>229</v>
      </c>
      <c r="K7398" s="57" t="s">
        <v>641</v>
      </c>
      <c r="L7398" s="57" t="s">
        <v>364</v>
      </c>
      <c r="M7398" s="3" t="s">
        <v>230</v>
      </c>
      <c r="N7398" s="8" t="s">
        <v>8899</v>
      </c>
      <c r="O7398" s="6" t="s">
        <v>365</v>
      </c>
      <c r="P7398" s="58" t="s">
        <v>241</v>
      </c>
      <c r="Q7398" s="6" t="s">
        <v>234</v>
      </c>
      <c r="R7398" s="3">
        <v>0</v>
      </c>
      <c r="S7398" s="1">
        <v>5840</v>
      </c>
      <c r="T7398" s="4">
        <f t="shared" si="352"/>
        <v>0</v>
      </c>
      <c r="U7398" s="4">
        <f t="shared" si="353"/>
        <v>0</v>
      </c>
      <c r="V7398" s="3"/>
      <c r="W7398" s="3">
        <v>2014</v>
      </c>
      <c r="X7398" s="3" t="s">
        <v>12076</v>
      </c>
    </row>
    <row r="7399" spans="1:24" ht="114.75">
      <c r="A7399" s="3" t="s">
        <v>11096</v>
      </c>
      <c r="B7399" s="6" t="s">
        <v>361</v>
      </c>
      <c r="C7399" s="6" t="s">
        <v>8878</v>
      </c>
      <c r="D7399" s="6" t="s">
        <v>8793</v>
      </c>
      <c r="E7399" s="6" t="s">
        <v>8879</v>
      </c>
      <c r="F7399" s="6" t="s">
        <v>8880</v>
      </c>
      <c r="G7399" s="3" t="s">
        <v>11450</v>
      </c>
      <c r="H7399" s="185">
        <v>0</v>
      </c>
      <c r="I7399" s="16">
        <v>470000000</v>
      </c>
      <c r="J7399" s="56" t="s">
        <v>229</v>
      </c>
      <c r="K7399" s="57" t="s">
        <v>641</v>
      </c>
      <c r="L7399" s="57" t="s">
        <v>364</v>
      </c>
      <c r="M7399" s="3" t="s">
        <v>230</v>
      </c>
      <c r="N7399" s="8" t="s">
        <v>8899</v>
      </c>
      <c r="O7399" s="6" t="s">
        <v>365</v>
      </c>
      <c r="P7399" s="58" t="s">
        <v>241</v>
      </c>
      <c r="Q7399" s="6" t="s">
        <v>234</v>
      </c>
      <c r="R7399" s="3">
        <v>0</v>
      </c>
      <c r="S7399" s="1">
        <v>3750</v>
      </c>
      <c r="T7399" s="4">
        <f t="shared" si="352"/>
        <v>0</v>
      </c>
      <c r="U7399" s="4">
        <f t="shared" si="353"/>
        <v>0</v>
      </c>
      <c r="V7399" s="3"/>
      <c r="W7399" s="3">
        <v>2014</v>
      </c>
      <c r="X7399" s="3" t="s">
        <v>12076</v>
      </c>
    </row>
    <row r="7400" spans="1:24" ht="114.75">
      <c r="A7400" s="3" t="s">
        <v>11097</v>
      </c>
      <c r="B7400" s="6" t="s">
        <v>361</v>
      </c>
      <c r="C7400" s="6" t="s">
        <v>8881</v>
      </c>
      <c r="D7400" s="6" t="s">
        <v>8882</v>
      </c>
      <c r="E7400" s="6" t="s">
        <v>8833</v>
      </c>
      <c r="F7400" s="6" t="s">
        <v>8882</v>
      </c>
      <c r="G7400" s="3" t="s">
        <v>11450</v>
      </c>
      <c r="H7400" s="185">
        <v>0</v>
      </c>
      <c r="I7400" s="16">
        <v>470000000</v>
      </c>
      <c r="J7400" s="56" t="s">
        <v>229</v>
      </c>
      <c r="K7400" s="57" t="s">
        <v>641</v>
      </c>
      <c r="L7400" s="57" t="s">
        <v>364</v>
      </c>
      <c r="M7400" s="3" t="s">
        <v>230</v>
      </c>
      <c r="N7400" s="8" t="s">
        <v>8899</v>
      </c>
      <c r="O7400" s="6" t="s">
        <v>365</v>
      </c>
      <c r="P7400" s="58" t="s">
        <v>241</v>
      </c>
      <c r="Q7400" s="6" t="s">
        <v>234</v>
      </c>
      <c r="R7400" s="3">
        <v>0</v>
      </c>
      <c r="S7400" s="1">
        <v>3300</v>
      </c>
      <c r="T7400" s="4">
        <f t="shared" si="352"/>
        <v>0</v>
      </c>
      <c r="U7400" s="4">
        <f t="shared" si="353"/>
        <v>0</v>
      </c>
      <c r="V7400" s="3"/>
      <c r="W7400" s="3">
        <v>2014</v>
      </c>
      <c r="X7400" s="3" t="s">
        <v>12076</v>
      </c>
    </row>
    <row r="7401" spans="1:24" ht="114.75">
      <c r="A7401" s="3" t="s">
        <v>11098</v>
      </c>
      <c r="B7401" s="6" t="s">
        <v>361</v>
      </c>
      <c r="C7401" s="6" t="s">
        <v>8883</v>
      </c>
      <c r="D7401" s="6" t="s">
        <v>8884</v>
      </c>
      <c r="E7401" s="6" t="s">
        <v>8884</v>
      </c>
      <c r="F7401" s="6" t="s">
        <v>8885</v>
      </c>
      <c r="G7401" s="3" t="s">
        <v>11450</v>
      </c>
      <c r="H7401" s="185">
        <v>0</v>
      </c>
      <c r="I7401" s="16">
        <v>470000000</v>
      </c>
      <c r="J7401" s="56" t="s">
        <v>229</v>
      </c>
      <c r="K7401" s="57" t="s">
        <v>641</v>
      </c>
      <c r="L7401" s="57" t="s">
        <v>364</v>
      </c>
      <c r="M7401" s="3" t="s">
        <v>230</v>
      </c>
      <c r="N7401" s="8" t="s">
        <v>8899</v>
      </c>
      <c r="O7401" s="6" t="s">
        <v>365</v>
      </c>
      <c r="P7401" s="58" t="s">
        <v>241</v>
      </c>
      <c r="Q7401" s="6" t="s">
        <v>234</v>
      </c>
      <c r="R7401" s="3">
        <v>0</v>
      </c>
      <c r="S7401" s="1">
        <v>1600</v>
      </c>
      <c r="T7401" s="4">
        <f t="shared" ref="T7401:T7405" si="354">R7401*S7401</f>
        <v>0</v>
      </c>
      <c r="U7401" s="4">
        <f t="shared" si="353"/>
        <v>0</v>
      </c>
      <c r="V7401" s="3"/>
      <c r="W7401" s="3">
        <v>2014</v>
      </c>
      <c r="X7401" s="3" t="s">
        <v>12076</v>
      </c>
    </row>
    <row r="7402" spans="1:24" ht="114.75">
      <c r="A7402" s="3" t="s">
        <v>11099</v>
      </c>
      <c r="B7402" s="6" t="s">
        <v>361</v>
      </c>
      <c r="C7402" s="6" t="s">
        <v>8886</v>
      </c>
      <c r="D7402" s="6" t="s">
        <v>8403</v>
      </c>
      <c r="E7402" s="6" t="s">
        <v>8404</v>
      </c>
      <c r="F7402" s="6" t="s">
        <v>8403</v>
      </c>
      <c r="G7402" s="3" t="s">
        <v>11450</v>
      </c>
      <c r="H7402" s="185">
        <v>0</v>
      </c>
      <c r="I7402" s="16">
        <v>470000000</v>
      </c>
      <c r="J7402" s="56" t="s">
        <v>229</v>
      </c>
      <c r="K7402" s="57" t="s">
        <v>641</v>
      </c>
      <c r="L7402" s="57" t="s">
        <v>364</v>
      </c>
      <c r="M7402" s="3" t="s">
        <v>230</v>
      </c>
      <c r="N7402" s="8" t="s">
        <v>8899</v>
      </c>
      <c r="O7402" s="6" t="s">
        <v>365</v>
      </c>
      <c r="P7402" s="58" t="s">
        <v>241</v>
      </c>
      <c r="Q7402" s="6" t="s">
        <v>234</v>
      </c>
      <c r="R7402" s="3">
        <v>0</v>
      </c>
      <c r="S7402" s="1">
        <v>12020</v>
      </c>
      <c r="T7402" s="4">
        <f t="shared" si="354"/>
        <v>0</v>
      </c>
      <c r="U7402" s="4">
        <f t="shared" si="353"/>
        <v>0</v>
      </c>
      <c r="V7402" s="3"/>
      <c r="W7402" s="3">
        <v>2014</v>
      </c>
      <c r="X7402" s="3" t="s">
        <v>12076</v>
      </c>
    </row>
    <row r="7403" spans="1:24" ht="114.75">
      <c r="A7403" s="3" t="s">
        <v>11100</v>
      </c>
      <c r="B7403" s="6" t="s">
        <v>361</v>
      </c>
      <c r="C7403" s="6" t="s">
        <v>8887</v>
      </c>
      <c r="D7403" s="6" t="s">
        <v>8888</v>
      </c>
      <c r="E7403" s="6" t="s">
        <v>8889</v>
      </c>
      <c r="F7403" s="6" t="s">
        <v>8888</v>
      </c>
      <c r="G7403" s="3" t="s">
        <v>11450</v>
      </c>
      <c r="H7403" s="185">
        <v>0</v>
      </c>
      <c r="I7403" s="16">
        <v>470000000</v>
      </c>
      <c r="J7403" s="56" t="s">
        <v>229</v>
      </c>
      <c r="K7403" s="57" t="s">
        <v>641</v>
      </c>
      <c r="L7403" s="57" t="s">
        <v>364</v>
      </c>
      <c r="M7403" s="3" t="s">
        <v>230</v>
      </c>
      <c r="N7403" s="8" t="s">
        <v>8899</v>
      </c>
      <c r="O7403" s="6" t="s">
        <v>365</v>
      </c>
      <c r="P7403" s="58" t="s">
        <v>241</v>
      </c>
      <c r="Q7403" s="6" t="s">
        <v>234</v>
      </c>
      <c r="R7403" s="3">
        <v>0</v>
      </c>
      <c r="S7403" s="1">
        <v>6060</v>
      </c>
      <c r="T7403" s="4">
        <f t="shared" si="354"/>
        <v>0</v>
      </c>
      <c r="U7403" s="4">
        <f t="shared" si="353"/>
        <v>0</v>
      </c>
      <c r="V7403" s="3"/>
      <c r="W7403" s="3">
        <v>2014</v>
      </c>
      <c r="X7403" s="3" t="s">
        <v>12076</v>
      </c>
    </row>
    <row r="7404" spans="1:24" ht="114.75">
      <c r="A7404" s="3" t="s">
        <v>11101</v>
      </c>
      <c r="B7404" s="6" t="s">
        <v>361</v>
      </c>
      <c r="C7404" s="6" t="s">
        <v>8890</v>
      </c>
      <c r="D7404" s="6" t="s">
        <v>8891</v>
      </c>
      <c r="E7404" s="6" t="s">
        <v>8892</v>
      </c>
      <c r="F7404" s="6" t="s">
        <v>8893</v>
      </c>
      <c r="G7404" s="3" t="s">
        <v>11450</v>
      </c>
      <c r="H7404" s="185">
        <v>0</v>
      </c>
      <c r="I7404" s="16">
        <v>470000000</v>
      </c>
      <c r="J7404" s="56" t="s">
        <v>229</v>
      </c>
      <c r="K7404" s="57" t="s">
        <v>641</v>
      </c>
      <c r="L7404" s="57" t="s">
        <v>364</v>
      </c>
      <c r="M7404" s="3" t="s">
        <v>230</v>
      </c>
      <c r="N7404" s="8" t="s">
        <v>8899</v>
      </c>
      <c r="O7404" s="6" t="s">
        <v>365</v>
      </c>
      <c r="P7404" s="58" t="s">
        <v>241</v>
      </c>
      <c r="Q7404" s="6" t="s">
        <v>234</v>
      </c>
      <c r="R7404" s="3">
        <v>0</v>
      </c>
      <c r="S7404" s="1">
        <v>20940</v>
      </c>
      <c r="T7404" s="4">
        <f t="shared" si="354"/>
        <v>0</v>
      </c>
      <c r="U7404" s="4">
        <f t="shared" si="353"/>
        <v>0</v>
      </c>
      <c r="V7404" s="3"/>
      <c r="W7404" s="3">
        <v>2014</v>
      </c>
      <c r="X7404" s="3" t="s">
        <v>12076</v>
      </c>
    </row>
    <row r="7405" spans="1:24" ht="114.75">
      <c r="A7405" s="3" t="s">
        <v>11102</v>
      </c>
      <c r="B7405" s="6" t="s">
        <v>361</v>
      </c>
      <c r="C7405" s="6" t="s">
        <v>8894</v>
      </c>
      <c r="D7405" s="6" t="s">
        <v>8895</v>
      </c>
      <c r="E7405" s="6" t="s">
        <v>8896</v>
      </c>
      <c r="F7405" s="6" t="s">
        <v>8897</v>
      </c>
      <c r="G7405" s="3" t="s">
        <v>11450</v>
      </c>
      <c r="H7405" s="185">
        <v>0</v>
      </c>
      <c r="I7405" s="16">
        <v>470000000</v>
      </c>
      <c r="J7405" s="56" t="s">
        <v>229</v>
      </c>
      <c r="K7405" s="57" t="s">
        <v>641</v>
      </c>
      <c r="L7405" s="57" t="s">
        <v>364</v>
      </c>
      <c r="M7405" s="3" t="s">
        <v>230</v>
      </c>
      <c r="N7405" s="8" t="s">
        <v>8899</v>
      </c>
      <c r="O7405" s="6" t="s">
        <v>365</v>
      </c>
      <c r="P7405" s="58" t="s">
        <v>241</v>
      </c>
      <c r="Q7405" s="6" t="s">
        <v>234</v>
      </c>
      <c r="R7405" s="3">
        <v>0</v>
      </c>
      <c r="S7405" s="1">
        <v>16500</v>
      </c>
      <c r="T7405" s="4">
        <f t="shared" si="354"/>
        <v>0</v>
      </c>
      <c r="U7405" s="4">
        <f t="shared" si="353"/>
        <v>0</v>
      </c>
      <c r="V7405" s="3"/>
      <c r="W7405" s="3">
        <v>2014</v>
      </c>
      <c r="X7405" s="3" t="s">
        <v>12076</v>
      </c>
    </row>
    <row r="7406" spans="1:24" ht="102">
      <c r="A7406" s="3" t="s">
        <v>11103</v>
      </c>
      <c r="B7406" s="6" t="s">
        <v>361</v>
      </c>
      <c r="C7406" s="16" t="s">
        <v>10086</v>
      </c>
      <c r="D7406" s="16" t="s">
        <v>10087</v>
      </c>
      <c r="E7406" s="16" t="s">
        <v>10088</v>
      </c>
      <c r="F7406" s="6" t="s">
        <v>11126</v>
      </c>
      <c r="G7406" s="3" t="s">
        <v>11450</v>
      </c>
      <c r="H7406" s="98">
        <v>0</v>
      </c>
      <c r="I7406" s="16">
        <v>470000000</v>
      </c>
      <c r="J7406" s="16" t="s">
        <v>229</v>
      </c>
      <c r="K7406" s="6" t="s">
        <v>10089</v>
      </c>
      <c r="L7406" s="17" t="s">
        <v>11411</v>
      </c>
      <c r="M7406" s="162" t="s">
        <v>230</v>
      </c>
      <c r="N7406" s="65" t="s">
        <v>524</v>
      </c>
      <c r="O7406" s="6" t="s">
        <v>8906</v>
      </c>
      <c r="P7406" s="58" t="s">
        <v>241</v>
      </c>
      <c r="Q7406" s="6" t="s">
        <v>234</v>
      </c>
      <c r="R7406" s="3">
        <v>1</v>
      </c>
      <c r="S7406" s="4">
        <v>1015000</v>
      </c>
      <c r="T7406" s="4">
        <f>R7406*S7406</f>
        <v>1015000</v>
      </c>
      <c r="U7406" s="97">
        <f t="shared" si="353"/>
        <v>1136800</v>
      </c>
      <c r="V7406" s="3"/>
      <c r="W7406" s="3">
        <v>2014</v>
      </c>
      <c r="X7406" s="3"/>
    </row>
    <row r="7407" spans="1:24" ht="102">
      <c r="A7407" s="3" t="s">
        <v>11104</v>
      </c>
      <c r="B7407" s="6" t="s">
        <v>361</v>
      </c>
      <c r="C7407" s="16" t="s">
        <v>10090</v>
      </c>
      <c r="D7407" s="16" t="s">
        <v>10091</v>
      </c>
      <c r="E7407" s="16" t="s">
        <v>10092</v>
      </c>
      <c r="F7407" s="6" t="s">
        <v>10093</v>
      </c>
      <c r="G7407" s="3" t="s">
        <v>11450</v>
      </c>
      <c r="H7407" s="98">
        <v>0</v>
      </c>
      <c r="I7407" s="16">
        <v>470000000</v>
      </c>
      <c r="J7407" s="16" t="s">
        <v>229</v>
      </c>
      <c r="K7407" s="6" t="s">
        <v>10089</v>
      </c>
      <c r="L7407" s="17" t="s">
        <v>11411</v>
      </c>
      <c r="M7407" s="162" t="s">
        <v>230</v>
      </c>
      <c r="N7407" s="65" t="s">
        <v>524</v>
      </c>
      <c r="O7407" s="6" t="s">
        <v>8906</v>
      </c>
      <c r="P7407" s="58" t="s">
        <v>241</v>
      </c>
      <c r="Q7407" s="6" t="s">
        <v>234</v>
      </c>
      <c r="R7407" s="3">
        <v>1</v>
      </c>
      <c r="S7407" s="4">
        <v>215000</v>
      </c>
      <c r="T7407" s="4">
        <f>R7407*S7407</f>
        <v>215000</v>
      </c>
      <c r="U7407" s="97">
        <f t="shared" si="353"/>
        <v>240800.00000000003</v>
      </c>
      <c r="V7407" s="3"/>
      <c r="W7407" s="3">
        <v>2014</v>
      </c>
      <c r="X7407" s="3"/>
    </row>
    <row r="7408" spans="1:24" ht="127.5">
      <c r="A7408" s="3" t="s">
        <v>11105</v>
      </c>
      <c r="B7408" s="6" t="s">
        <v>361</v>
      </c>
      <c r="C7408" s="16" t="s">
        <v>10094</v>
      </c>
      <c r="D7408" s="16" t="s">
        <v>10095</v>
      </c>
      <c r="E7408" s="16" t="s">
        <v>10096</v>
      </c>
      <c r="F7408" s="6" t="s">
        <v>10097</v>
      </c>
      <c r="G7408" s="3" t="s">
        <v>11450</v>
      </c>
      <c r="H7408" s="98">
        <v>0</v>
      </c>
      <c r="I7408" s="16">
        <v>470000000</v>
      </c>
      <c r="J7408" s="16" t="s">
        <v>229</v>
      </c>
      <c r="K7408" s="6" t="s">
        <v>7699</v>
      </c>
      <c r="L7408" s="17" t="s">
        <v>11411</v>
      </c>
      <c r="M7408" s="162" t="s">
        <v>230</v>
      </c>
      <c r="N7408" s="65" t="s">
        <v>524</v>
      </c>
      <c r="O7408" s="6" t="s">
        <v>8906</v>
      </c>
      <c r="P7408" s="58" t="s">
        <v>241</v>
      </c>
      <c r="Q7408" s="6" t="s">
        <v>234</v>
      </c>
      <c r="R7408" s="3">
        <v>1</v>
      </c>
      <c r="S7408" s="4">
        <v>195500</v>
      </c>
      <c r="T7408" s="4">
        <v>0</v>
      </c>
      <c r="U7408" s="4">
        <f t="shared" si="353"/>
        <v>0</v>
      </c>
      <c r="V7408" s="3"/>
      <c r="W7408" s="3">
        <v>2014</v>
      </c>
      <c r="X7408" s="3">
        <v>11</v>
      </c>
    </row>
    <row r="7409" spans="1:24" ht="127.5">
      <c r="A7409" s="3" t="s">
        <v>12470</v>
      </c>
      <c r="B7409" s="6" t="s">
        <v>361</v>
      </c>
      <c r="C7409" s="16" t="s">
        <v>10094</v>
      </c>
      <c r="D7409" s="16" t="s">
        <v>10095</v>
      </c>
      <c r="E7409" s="16" t="s">
        <v>10096</v>
      </c>
      <c r="F7409" s="6" t="s">
        <v>10097</v>
      </c>
      <c r="G7409" s="3" t="s">
        <v>11450</v>
      </c>
      <c r="H7409" s="98">
        <v>0</v>
      </c>
      <c r="I7409" s="16">
        <v>470000000</v>
      </c>
      <c r="J7409" s="16" t="s">
        <v>229</v>
      </c>
      <c r="K7409" s="6" t="s">
        <v>9453</v>
      </c>
      <c r="L7409" s="17" t="s">
        <v>11411</v>
      </c>
      <c r="M7409" s="162" t="s">
        <v>230</v>
      </c>
      <c r="N7409" s="65" t="s">
        <v>524</v>
      </c>
      <c r="O7409" s="6" t="s">
        <v>8906</v>
      </c>
      <c r="P7409" s="58" t="s">
        <v>241</v>
      </c>
      <c r="Q7409" s="6" t="s">
        <v>234</v>
      </c>
      <c r="R7409" s="3">
        <v>1</v>
      </c>
      <c r="S7409" s="4">
        <v>195500</v>
      </c>
      <c r="T7409" s="4">
        <f>R7409*S7409</f>
        <v>195500</v>
      </c>
      <c r="U7409" s="97">
        <f>T7409*1.12</f>
        <v>218960.00000000003</v>
      </c>
      <c r="V7409" s="3"/>
      <c r="W7409" s="3">
        <v>2014</v>
      </c>
      <c r="X7409" s="3"/>
    </row>
    <row r="7410" spans="1:24" ht="127.5">
      <c r="A7410" s="3" t="s">
        <v>11106</v>
      </c>
      <c r="B7410" s="6" t="s">
        <v>361</v>
      </c>
      <c r="C7410" s="16" t="s">
        <v>10098</v>
      </c>
      <c r="D7410" s="16" t="s">
        <v>10095</v>
      </c>
      <c r="E7410" s="16" t="s">
        <v>10099</v>
      </c>
      <c r="F7410" s="6" t="s">
        <v>10100</v>
      </c>
      <c r="G7410" s="3" t="s">
        <v>11450</v>
      </c>
      <c r="H7410" s="98">
        <v>0</v>
      </c>
      <c r="I7410" s="16">
        <v>470000000</v>
      </c>
      <c r="J7410" s="16" t="s">
        <v>229</v>
      </c>
      <c r="K7410" s="6" t="s">
        <v>7699</v>
      </c>
      <c r="L7410" s="17" t="s">
        <v>11411</v>
      </c>
      <c r="M7410" s="162" t="s">
        <v>230</v>
      </c>
      <c r="N7410" s="65" t="s">
        <v>524</v>
      </c>
      <c r="O7410" s="6" t="s">
        <v>8906</v>
      </c>
      <c r="P7410" s="58" t="s">
        <v>241</v>
      </c>
      <c r="Q7410" s="6" t="s">
        <v>234</v>
      </c>
      <c r="R7410" s="3">
        <v>1</v>
      </c>
      <c r="S7410" s="4">
        <v>332600</v>
      </c>
      <c r="T7410" s="4">
        <v>0</v>
      </c>
      <c r="U7410" s="4">
        <f t="shared" si="353"/>
        <v>0</v>
      </c>
      <c r="V7410" s="3"/>
      <c r="W7410" s="3">
        <v>2014</v>
      </c>
      <c r="X7410" s="3">
        <v>11</v>
      </c>
    </row>
    <row r="7411" spans="1:24" ht="127.5">
      <c r="A7411" s="3" t="s">
        <v>12471</v>
      </c>
      <c r="B7411" s="6" t="s">
        <v>361</v>
      </c>
      <c r="C7411" s="16" t="s">
        <v>10098</v>
      </c>
      <c r="D7411" s="16" t="s">
        <v>10095</v>
      </c>
      <c r="E7411" s="16" t="s">
        <v>10099</v>
      </c>
      <c r="F7411" s="6" t="s">
        <v>10100</v>
      </c>
      <c r="G7411" s="3" t="s">
        <v>11450</v>
      </c>
      <c r="H7411" s="98">
        <v>0</v>
      </c>
      <c r="I7411" s="16">
        <v>470000000</v>
      </c>
      <c r="J7411" s="16" t="s">
        <v>229</v>
      </c>
      <c r="K7411" s="6" t="s">
        <v>9453</v>
      </c>
      <c r="L7411" s="17" t="s">
        <v>11411</v>
      </c>
      <c r="M7411" s="162" t="s">
        <v>230</v>
      </c>
      <c r="N7411" s="65" t="s">
        <v>524</v>
      </c>
      <c r="O7411" s="6" t="s">
        <v>8906</v>
      </c>
      <c r="P7411" s="58" t="s">
        <v>241</v>
      </c>
      <c r="Q7411" s="6" t="s">
        <v>234</v>
      </c>
      <c r="R7411" s="3">
        <v>1</v>
      </c>
      <c r="S7411" s="4">
        <v>332600</v>
      </c>
      <c r="T7411" s="4">
        <f>R7411*S7411</f>
        <v>332600</v>
      </c>
      <c r="U7411" s="97">
        <f>T7411*1.12</f>
        <v>372512.00000000006</v>
      </c>
      <c r="V7411" s="3"/>
      <c r="W7411" s="3">
        <v>2014</v>
      </c>
      <c r="X7411" s="3"/>
    </row>
    <row r="7412" spans="1:24" ht="127.5">
      <c r="A7412" s="3" t="s">
        <v>11107</v>
      </c>
      <c r="B7412" s="6" t="s">
        <v>361</v>
      </c>
      <c r="C7412" s="16" t="s">
        <v>10101</v>
      </c>
      <c r="D7412" s="16" t="s">
        <v>10095</v>
      </c>
      <c r="E7412" s="16" t="s">
        <v>10102</v>
      </c>
      <c r="F7412" s="6" t="s">
        <v>10103</v>
      </c>
      <c r="G7412" s="3" t="s">
        <v>11450</v>
      </c>
      <c r="H7412" s="98">
        <v>0</v>
      </c>
      <c r="I7412" s="16">
        <v>470000000</v>
      </c>
      <c r="J7412" s="16" t="s">
        <v>229</v>
      </c>
      <c r="K7412" s="6" t="s">
        <v>7699</v>
      </c>
      <c r="L7412" s="17" t="s">
        <v>11411</v>
      </c>
      <c r="M7412" s="162" t="s">
        <v>230</v>
      </c>
      <c r="N7412" s="65" t="s">
        <v>524</v>
      </c>
      <c r="O7412" s="6" t="s">
        <v>8906</v>
      </c>
      <c r="P7412" s="58" t="s">
        <v>241</v>
      </c>
      <c r="Q7412" s="6" t="s">
        <v>234</v>
      </c>
      <c r="R7412" s="3">
        <v>2</v>
      </c>
      <c r="S7412" s="4">
        <v>192500</v>
      </c>
      <c r="T7412" s="4">
        <v>0</v>
      </c>
      <c r="U7412" s="4">
        <f t="shared" si="353"/>
        <v>0</v>
      </c>
      <c r="V7412" s="3"/>
      <c r="W7412" s="3">
        <v>2014</v>
      </c>
      <c r="X7412" s="3">
        <v>11</v>
      </c>
    </row>
    <row r="7413" spans="1:24" ht="127.5">
      <c r="A7413" s="3" t="s">
        <v>12472</v>
      </c>
      <c r="B7413" s="6" t="s">
        <v>361</v>
      </c>
      <c r="C7413" s="16" t="s">
        <v>10101</v>
      </c>
      <c r="D7413" s="16" t="s">
        <v>10095</v>
      </c>
      <c r="E7413" s="16" t="s">
        <v>10102</v>
      </c>
      <c r="F7413" s="6" t="s">
        <v>10103</v>
      </c>
      <c r="G7413" s="3" t="s">
        <v>11450</v>
      </c>
      <c r="H7413" s="98">
        <v>0</v>
      </c>
      <c r="I7413" s="16">
        <v>470000000</v>
      </c>
      <c r="J7413" s="16" t="s">
        <v>229</v>
      </c>
      <c r="K7413" s="6" t="s">
        <v>9453</v>
      </c>
      <c r="L7413" s="17" t="s">
        <v>11411</v>
      </c>
      <c r="M7413" s="162" t="s">
        <v>230</v>
      </c>
      <c r="N7413" s="65" t="s">
        <v>524</v>
      </c>
      <c r="O7413" s="6" t="s">
        <v>8906</v>
      </c>
      <c r="P7413" s="58" t="s">
        <v>241</v>
      </c>
      <c r="Q7413" s="6" t="s">
        <v>234</v>
      </c>
      <c r="R7413" s="3">
        <v>2</v>
      </c>
      <c r="S7413" s="4">
        <v>192500</v>
      </c>
      <c r="T7413" s="4">
        <f>R7413*S7413</f>
        <v>385000</v>
      </c>
      <c r="U7413" s="97">
        <f>T7413*1.12</f>
        <v>431200.00000000006</v>
      </c>
      <c r="V7413" s="3"/>
      <c r="W7413" s="3">
        <v>2014</v>
      </c>
      <c r="X7413" s="3"/>
    </row>
    <row r="7414" spans="1:24" ht="127.5">
      <c r="A7414" s="3" t="s">
        <v>11108</v>
      </c>
      <c r="B7414" s="6" t="s">
        <v>361</v>
      </c>
      <c r="C7414" s="16" t="s">
        <v>10104</v>
      </c>
      <c r="D7414" s="16" t="s">
        <v>10095</v>
      </c>
      <c r="E7414" s="16" t="s">
        <v>10105</v>
      </c>
      <c r="F7414" s="6" t="s">
        <v>10106</v>
      </c>
      <c r="G7414" s="3" t="s">
        <v>11450</v>
      </c>
      <c r="H7414" s="98">
        <v>0</v>
      </c>
      <c r="I7414" s="16">
        <v>470000000</v>
      </c>
      <c r="J7414" s="16" t="s">
        <v>229</v>
      </c>
      <c r="K7414" s="6" t="s">
        <v>7699</v>
      </c>
      <c r="L7414" s="17" t="s">
        <v>11411</v>
      </c>
      <c r="M7414" s="162" t="s">
        <v>230</v>
      </c>
      <c r="N7414" s="65" t="s">
        <v>524</v>
      </c>
      <c r="O7414" s="6" t="s">
        <v>8906</v>
      </c>
      <c r="P7414" s="58" t="s">
        <v>241</v>
      </c>
      <c r="Q7414" s="6" t="s">
        <v>234</v>
      </c>
      <c r="R7414" s="3">
        <v>2</v>
      </c>
      <c r="S7414" s="4">
        <v>148500</v>
      </c>
      <c r="T7414" s="4">
        <v>0</v>
      </c>
      <c r="U7414" s="4">
        <f t="shared" si="353"/>
        <v>0</v>
      </c>
      <c r="V7414" s="3"/>
      <c r="W7414" s="3">
        <v>2014</v>
      </c>
      <c r="X7414" s="3">
        <v>11</v>
      </c>
    </row>
    <row r="7415" spans="1:24" ht="127.5">
      <c r="A7415" s="3" t="s">
        <v>12473</v>
      </c>
      <c r="B7415" s="6" t="s">
        <v>361</v>
      </c>
      <c r="C7415" s="16" t="s">
        <v>10104</v>
      </c>
      <c r="D7415" s="16" t="s">
        <v>10095</v>
      </c>
      <c r="E7415" s="16" t="s">
        <v>10105</v>
      </c>
      <c r="F7415" s="6" t="s">
        <v>10106</v>
      </c>
      <c r="G7415" s="3" t="s">
        <v>11450</v>
      </c>
      <c r="H7415" s="98">
        <v>0</v>
      </c>
      <c r="I7415" s="16">
        <v>470000000</v>
      </c>
      <c r="J7415" s="16" t="s">
        <v>229</v>
      </c>
      <c r="K7415" s="6" t="s">
        <v>9453</v>
      </c>
      <c r="L7415" s="17" t="s">
        <v>11411</v>
      </c>
      <c r="M7415" s="162" t="s">
        <v>230</v>
      </c>
      <c r="N7415" s="65" t="s">
        <v>524</v>
      </c>
      <c r="O7415" s="6" t="s">
        <v>8906</v>
      </c>
      <c r="P7415" s="58" t="s">
        <v>241</v>
      </c>
      <c r="Q7415" s="6" t="s">
        <v>234</v>
      </c>
      <c r="R7415" s="3">
        <v>2</v>
      </c>
      <c r="S7415" s="4">
        <v>148500</v>
      </c>
      <c r="T7415" s="4">
        <f>R7415*S7415</f>
        <v>297000</v>
      </c>
      <c r="U7415" s="97">
        <f>T7415*1.12</f>
        <v>332640.00000000006</v>
      </c>
      <c r="V7415" s="3"/>
      <c r="W7415" s="3">
        <v>2014</v>
      </c>
      <c r="X7415" s="3"/>
    </row>
    <row r="7416" spans="1:24" ht="127.5">
      <c r="A7416" s="3" t="s">
        <v>11109</v>
      </c>
      <c r="B7416" s="6" t="s">
        <v>361</v>
      </c>
      <c r="C7416" s="16" t="s">
        <v>10107</v>
      </c>
      <c r="D7416" s="16" t="s">
        <v>10095</v>
      </c>
      <c r="E7416" s="16" t="s">
        <v>10108</v>
      </c>
      <c r="F7416" s="6" t="s">
        <v>10109</v>
      </c>
      <c r="G7416" s="3" t="s">
        <v>11450</v>
      </c>
      <c r="H7416" s="98">
        <v>0</v>
      </c>
      <c r="I7416" s="16">
        <v>470000000</v>
      </c>
      <c r="J7416" s="16" t="s">
        <v>229</v>
      </c>
      <c r="K7416" s="6" t="s">
        <v>7699</v>
      </c>
      <c r="L7416" s="17" t="s">
        <v>11411</v>
      </c>
      <c r="M7416" s="162" t="s">
        <v>230</v>
      </c>
      <c r="N7416" s="65" t="s">
        <v>524</v>
      </c>
      <c r="O7416" s="6" t="s">
        <v>8906</v>
      </c>
      <c r="P7416" s="58" t="s">
        <v>241</v>
      </c>
      <c r="Q7416" s="6" t="s">
        <v>234</v>
      </c>
      <c r="R7416" s="3">
        <v>1</v>
      </c>
      <c r="S7416" s="4">
        <v>57200</v>
      </c>
      <c r="T7416" s="4">
        <v>0</v>
      </c>
      <c r="U7416" s="4">
        <f t="shared" si="353"/>
        <v>0</v>
      </c>
      <c r="V7416" s="3"/>
      <c r="W7416" s="3">
        <v>2014</v>
      </c>
      <c r="X7416" s="3">
        <v>11</v>
      </c>
    </row>
    <row r="7417" spans="1:24" ht="127.5">
      <c r="A7417" s="3" t="s">
        <v>12474</v>
      </c>
      <c r="B7417" s="6" t="s">
        <v>361</v>
      </c>
      <c r="C7417" s="16" t="s">
        <v>10107</v>
      </c>
      <c r="D7417" s="16" t="s">
        <v>10095</v>
      </c>
      <c r="E7417" s="16" t="s">
        <v>10108</v>
      </c>
      <c r="F7417" s="6" t="s">
        <v>10109</v>
      </c>
      <c r="G7417" s="3" t="s">
        <v>11450</v>
      </c>
      <c r="H7417" s="98">
        <v>0</v>
      </c>
      <c r="I7417" s="16">
        <v>470000000</v>
      </c>
      <c r="J7417" s="16" t="s">
        <v>229</v>
      </c>
      <c r="K7417" s="6" t="s">
        <v>9453</v>
      </c>
      <c r="L7417" s="17" t="s">
        <v>11411</v>
      </c>
      <c r="M7417" s="162" t="s">
        <v>230</v>
      </c>
      <c r="N7417" s="65" t="s">
        <v>524</v>
      </c>
      <c r="O7417" s="6" t="s">
        <v>8906</v>
      </c>
      <c r="P7417" s="58" t="s">
        <v>241</v>
      </c>
      <c r="Q7417" s="6" t="s">
        <v>234</v>
      </c>
      <c r="R7417" s="3">
        <v>1</v>
      </c>
      <c r="S7417" s="4">
        <v>57200</v>
      </c>
      <c r="T7417" s="4">
        <f>R7417*S7417</f>
        <v>57200</v>
      </c>
      <c r="U7417" s="97">
        <f>T7417*1.12</f>
        <v>64064.000000000007</v>
      </c>
      <c r="V7417" s="3"/>
      <c r="W7417" s="3">
        <v>2014</v>
      </c>
      <c r="X7417" s="3"/>
    </row>
    <row r="7418" spans="1:24" ht="127.5">
      <c r="A7418" s="3" t="s">
        <v>11110</v>
      </c>
      <c r="B7418" s="6" t="s">
        <v>361</v>
      </c>
      <c r="C7418" s="16" t="s">
        <v>10110</v>
      </c>
      <c r="D7418" s="16" t="s">
        <v>10095</v>
      </c>
      <c r="E7418" s="16" t="s">
        <v>10111</v>
      </c>
      <c r="F7418" s="6" t="s">
        <v>10112</v>
      </c>
      <c r="G7418" s="3" t="s">
        <v>11450</v>
      </c>
      <c r="H7418" s="98">
        <v>0</v>
      </c>
      <c r="I7418" s="16">
        <v>470000000</v>
      </c>
      <c r="J7418" s="16" t="s">
        <v>229</v>
      </c>
      <c r="K7418" s="6" t="s">
        <v>7699</v>
      </c>
      <c r="L7418" s="17" t="s">
        <v>11411</v>
      </c>
      <c r="M7418" s="162" t="s">
        <v>230</v>
      </c>
      <c r="N7418" s="65" t="s">
        <v>524</v>
      </c>
      <c r="O7418" s="6" t="s">
        <v>8906</v>
      </c>
      <c r="P7418" s="58" t="s">
        <v>241</v>
      </c>
      <c r="Q7418" s="6" t="s">
        <v>234</v>
      </c>
      <c r="R7418" s="3">
        <v>3</v>
      </c>
      <c r="S7418" s="4">
        <v>92500</v>
      </c>
      <c r="T7418" s="4">
        <v>0</v>
      </c>
      <c r="U7418" s="4">
        <f t="shared" ref="U7418:U7557" si="355">T7418*1.12</f>
        <v>0</v>
      </c>
      <c r="V7418" s="3"/>
      <c r="W7418" s="3">
        <v>2014</v>
      </c>
      <c r="X7418" s="3">
        <v>11</v>
      </c>
    </row>
    <row r="7419" spans="1:24" ht="127.5">
      <c r="A7419" s="3" t="s">
        <v>12475</v>
      </c>
      <c r="B7419" s="6" t="s">
        <v>361</v>
      </c>
      <c r="C7419" s="16" t="s">
        <v>10110</v>
      </c>
      <c r="D7419" s="16" t="s">
        <v>10095</v>
      </c>
      <c r="E7419" s="16" t="s">
        <v>10111</v>
      </c>
      <c r="F7419" s="6" t="s">
        <v>10112</v>
      </c>
      <c r="G7419" s="3" t="s">
        <v>11450</v>
      </c>
      <c r="H7419" s="98">
        <v>0</v>
      </c>
      <c r="I7419" s="16">
        <v>470000000</v>
      </c>
      <c r="J7419" s="16" t="s">
        <v>229</v>
      </c>
      <c r="K7419" s="6" t="s">
        <v>9453</v>
      </c>
      <c r="L7419" s="17" t="s">
        <v>11411</v>
      </c>
      <c r="M7419" s="162" t="s">
        <v>230</v>
      </c>
      <c r="N7419" s="65" t="s">
        <v>524</v>
      </c>
      <c r="O7419" s="6" t="s">
        <v>8906</v>
      </c>
      <c r="P7419" s="58" t="s">
        <v>241</v>
      </c>
      <c r="Q7419" s="6" t="s">
        <v>234</v>
      </c>
      <c r="R7419" s="3">
        <v>3</v>
      </c>
      <c r="S7419" s="4">
        <v>92500</v>
      </c>
      <c r="T7419" s="4">
        <f>R7419*S7419</f>
        <v>277500</v>
      </c>
      <c r="U7419" s="97">
        <f>T7419*1.12</f>
        <v>310800.00000000006</v>
      </c>
      <c r="V7419" s="3"/>
      <c r="W7419" s="3">
        <v>2014</v>
      </c>
      <c r="X7419" s="3"/>
    </row>
    <row r="7420" spans="1:24" ht="165.75">
      <c r="A7420" s="3" t="s">
        <v>11111</v>
      </c>
      <c r="B7420" s="6" t="s">
        <v>361</v>
      </c>
      <c r="C7420" s="16" t="s">
        <v>10113</v>
      </c>
      <c r="D7420" s="16" t="s">
        <v>10114</v>
      </c>
      <c r="E7420" s="16" t="s">
        <v>10115</v>
      </c>
      <c r="F7420" s="6" t="s">
        <v>10116</v>
      </c>
      <c r="G7420" s="3" t="s">
        <v>11450</v>
      </c>
      <c r="H7420" s="98">
        <v>0</v>
      </c>
      <c r="I7420" s="16">
        <v>470000000</v>
      </c>
      <c r="J7420" s="16" t="s">
        <v>229</v>
      </c>
      <c r="K7420" s="3" t="s">
        <v>9453</v>
      </c>
      <c r="L7420" s="17" t="s">
        <v>11411</v>
      </c>
      <c r="M7420" s="162" t="s">
        <v>230</v>
      </c>
      <c r="N7420" s="65" t="s">
        <v>525</v>
      </c>
      <c r="O7420" s="6" t="s">
        <v>8906</v>
      </c>
      <c r="P7420" s="58" t="s">
        <v>241</v>
      </c>
      <c r="Q7420" s="6" t="s">
        <v>234</v>
      </c>
      <c r="R7420" s="3">
        <v>3</v>
      </c>
      <c r="S7420" s="4">
        <v>650000</v>
      </c>
      <c r="T7420" s="4">
        <f>R7420*S7420</f>
        <v>1950000</v>
      </c>
      <c r="U7420" s="97">
        <f t="shared" si="355"/>
        <v>2184000</v>
      </c>
      <c r="V7420" s="3"/>
      <c r="W7420" s="3">
        <v>2014</v>
      </c>
      <c r="X7420" s="3"/>
    </row>
    <row r="7421" spans="1:24" ht="102">
      <c r="A7421" s="3" t="s">
        <v>11112</v>
      </c>
      <c r="B7421" s="6" t="s">
        <v>361</v>
      </c>
      <c r="C7421" s="16" t="s">
        <v>10117</v>
      </c>
      <c r="D7421" s="16" t="s">
        <v>10118</v>
      </c>
      <c r="E7421" s="16" t="s">
        <v>11672</v>
      </c>
      <c r="F7421" s="6" t="s">
        <v>10119</v>
      </c>
      <c r="G7421" s="3" t="s">
        <v>11449</v>
      </c>
      <c r="H7421" s="98">
        <v>0</v>
      </c>
      <c r="I7421" s="16">
        <v>470000000</v>
      </c>
      <c r="J7421" s="16" t="s">
        <v>229</v>
      </c>
      <c r="K7421" s="6" t="s">
        <v>10125</v>
      </c>
      <c r="L7421" s="17" t="s">
        <v>11411</v>
      </c>
      <c r="M7421" s="162" t="s">
        <v>230</v>
      </c>
      <c r="N7421" s="65" t="s">
        <v>10121</v>
      </c>
      <c r="O7421" s="6" t="s">
        <v>8906</v>
      </c>
      <c r="P7421" s="58" t="s">
        <v>241</v>
      </c>
      <c r="Q7421" s="6" t="s">
        <v>234</v>
      </c>
      <c r="R7421" s="3">
        <v>2</v>
      </c>
      <c r="S7421" s="1">
        <v>450000</v>
      </c>
      <c r="T7421" s="4">
        <v>0</v>
      </c>
      <c r="U7421" s="4">
        <f t="shared" si="355"/>
        <v>0</v>
      </c>
      <c r="V7421" s="3"/>
      <c r="W7421" s="3">
        <v>2014</v>
      </c>
      <c r="X7421" s="3">
        <v>11</v>
      </c>
    </row>
    <row r="7422" spans="1:24" ht="102">
      <c r="A7422" s="3" t="s">
        <v>14041</v>
      </c>
      <c r="B7422" s="6" t="s">
        <v>361</v>
      </c>
      <c r="C7422" s="16" t="s">
        <v>10117</v>
      </c>
      <c r="D7422" s="16" t="s">
        <v>10118</v>
      </c>
      <c r="E7422" s="16" t="s">
        <v>11672</v>
      </c>
      <c r="F7422" s="6" t="s">
        <v>10119</v>
      </c>
      <c r="G7422" s="3" t="s">
        <v>11449</v>
      </c>
      <c r="H7422" s="98">
        <v>0</v>
      </c>
      <c r="I7422" s="16">
        <v>470000000</v>
      </c>
      <c r="J7422" s="16" t="s">
        <v>229</v>
      </c>
      <c r="K7422" s="6" t="s">
        <v>642</v>
      </c>
      <c r="L7422" s="17" t="s">
        <v>11411</v>
      </c>
      <c r="M7422" s="162" t="s">
        <v>230</v>
      </c>
      <c r="N7422" s="65" t="s">
        <v>10121</v>
      </c>
      <c r="O7422" s="6" t="s">
        <v>8906</v>
      </c>
      <c r="P7422" s="58" t="s">
        <v>241</v>
      </c>
      <c r="Q7422" s="6" t="s">
        <v>234</v>
      </c>
      <c r="R7422" s="3">
        <v>2</v>
      </c>
      <c r="S7422" s="1">
        <v>450000</v>
      </c>
      <c r="T7422" s="4">
        <f>R7422*S7422</f>
        <v>900000</v>
      </c>
      <c r="U7422" s="4">
        <f>T7422*1.12</f>
        <v>1008000.0000000001</v>
      </c>
      <c r="V7422" s="3"/>
      <c r="W7422" s="3">
        <v>2014</v>
      </c>
      <c r="X7422" s="3"/>
    </row>
    <row r="7423" spans="1:24" ht="102">
      <c r="A7423" s="3" t="s">
        <v>11113</v>
      </c>
      <c r="B7423" s="6" t="s">
        <v>361</v>
      </c>
      <c r="C7423" s="16" t="s">
        <v>10122</v>
      </c>
      <c r="D7423" s="16" t="s">
        <v>10123</v>
      </c>
      <c r="E7423" s="16" t="s">
        <v>10124</v>
      </c>
      <c r="F7423" s="6" t="s">
        <v>11703</v>
      </c>
      <c r="G7423" s="3" t="s">
        <v>11450</v>
      </c>
      <c r="H7423" s="98">
        <v>0</v>
      </c>
      <c r="I7423" s="16">
        <v>470000000</v>
      </c>
      <c r="J7423" s="16" t="s">
        <v>229</v>
      </c>
      <c r="K7423" s="6" t="s">
        <v>10125</v>
      </c>
      <c r="L7423" s="17" t="s">
        <v>11410</v>
      </c>
      <c r="M7423" s="162" t="s">
        <v>230</v>
      </c>
      <c r="N7423" s="65" t="s">
        <v>10121</v>
      </c>
      <c r="O7423" s="6" t="s">
        <v>8906</v>
      </c>
      <c r="P7423" s="58" t="s">
        <v>241</v>
      </c>
      <c r="Q7423" s="6" t="s">
        <v>234</v>
      </c>
      <c r="R7423" s="3">
        <v>4</v>
      </c>
      <c r="S7423" s="1">
        <v>620357.14</v>
      </c>
      <c r="T7423" s="4">
        <f>R7423*S7423</f>
        <v>2481428.56</v>
      </c>
      <c r="U7423" s="97">
        <f t="shared" si="355"/>
        <v>2779199.9872000003</v>
      </c>
      <c r="V7423" s="3"/>
      <c r="W7423" s="3">
        <v>2014</v>
      </c>
      <c r="X7423" s="3"/>
    </row>
    <row r="7424" spans="1:24" ht="102">
      <c r="A7424" s="3" t="s">
        <v>11114</v>
      </c>
      <c r="B7424" s="6" t="s">
        <v>361</v>
      </c>
      <c r="C7424" s="16" t="s">
        <v>10126</v>
      </c>
      <c r="D7424" s="16" t="s">
        <v>10127</v>
      </c>
      <c r="E7424" s="16" t="s">
        <v>10128</v>
      </c>
      <c r="F7424" s="6" t="s">
        <v>11721</v>
      </c>
      <c r="G7424" s="3" t="s">
        <v>11449</v>
      </c>
      <c r="H7424" s="98">
        <v>0</v>
      </c>
      <c r="I7424" s="16">
        <v>470000000</v>
      </c>
      <c r="J7424" s="6" t="s">
        <v>229</v>
      </c>
      <c r="K7424" s="6" t="s">
        <v>10125</v>
      </c>
      <c r="L7424" s="17" t="s">
        <v>11411</v>
      </c>
      <c r="M7424" s="162" t="s">
        <v>230</v>
      </c>
      <c r="N7424" s="65" t="s">
        <v>10121</v>
      </c>
      <c r="O7424" s="6" t="s">
        <v>8906</v>
      </c>
      <c r="P7424" s="58" t="s">
        <v>241</v>
      </c>
      <c r="Q7424" s="6" t="s">
        <v>234</v>
      </c>
      <c r="R7424" s="3">
        <v>2</v>
      </c>
      <c r="S7424" s="1">
        <v>257400</v>
      </c>
      <c r="T7424" s="4">
        <v>0</v>
      </c>
      <c r="U7424" s="4">
        <f t="shared" si="355"/>
        <v>0</v>
      </c>
      <c r="V7424" s="3"/>
      <c r="W7424" s="3">
        <v>2014</v>
      </c>
      <c r="X7424" s="3">
        <v>11</v>
      </c>
    </row>
    <row r="7425" spans="1:24" ht="102">
      <c r="A7425" s="3" t="s">
        <v>14048</v>
      </c>
      <c r="B7425" s="6" t="s">
        <v>361</v>
      </c>
      <c r="C7425" s="16" t="s">
        <v>10126</v>
      </c>
      <c r="D7425" s="16" t="s">
        <v>10127</v>
      </c>
      <c r="E7425" s="16" t="s">
        <v>10128</v>
      </c>
      <c r="F7425" s="6" t="s">
        <v>11721</v>
      </c>
      <c r="G7425" s="3" t="s">
        <v>11449</v>
      </c>
      <c r="H7425" s="98">
        <v>0</v>
      </c>
      <c r="I7425" s="16">
        <v>470000000</v>
      </c>
      <c r="J7425" s="6" t="s">
        <v>229</v>
      </c>
      <c r="K7425" s="6" t="s">
        <v>642</v>
      </c>
      <c r="L7425" s="17" t="s">
        <v>11411</v>
      </c>
      <c r="M7425" s="162" t="s">
        <v>230</v>
      </c>
      <c r="N7425" s="65" t="s">
        <v>10121</v>
      </c>
      <c r="O7425" s="6" t="s">
        <v>8906</v>
      </c>
      <c r="P7425" s="58" t="s">
        <v>241</v>
      </c>
      <c r="Q7425" s="6" t="s">
        <v>234</v>
      </c>
      <c r="R7425" s="3">
        <v>2</v>
      </c>
      <c r="S7425" s="1">
        <v>257400</v>
      </c>
      <c r="T7425" s="4">
        <v>0</v>
      </c>
      <c r="U7425" s="4">
        <f>T7425*1.12</f>
        <v>0</v>
      </c>
      <c r="V7425" s="3"/>
      <c r="W7425" s="3">
        <v>2014</v>
      </c>
      <c r="X7425" s="3" t="s">
        <v>16431</v>
      </c>
    </row>
    <row r="7426" spans="1:24" ht="102">
      <c r="A7426" s="3" t="s">
        <v>16544</v>
      </c>
      <c r="B7426" s="6" t="s">
        <v>361</v>
      </c>
      <c r="C7426" s="16" t="s">
        <v>10126</v>
      </c>
      <c r="D7426" s="16" t="s">
        <v>10127</v>
      </c>
      <c r="E7426" s="16" t="s">
        <v>10128</v>
      </c>
      <c r="F7426" s="6" t="s">
        <v>11721</v>
      </c>
      <c r="G7426" s="3" t="s">
        <v>11450</v>
      </c>
      <c r="H7426" s="98">
        <v>0</v>
      </c>
      <c r="I7426" s="16">
        <v>470000000</v>
      </c>
      <c r="J7426" s="6" t="s">
        <v>229</v>
      </c>
      <c r="K7426" s="6" t="s">
        <v>10120</v>
      </c>
      <c r="L7426" s="17" t="s">
        <v>11411</v>
      </c>
      <c r="M7426" s="162" t="s">
        <v>230</v>
      </c>
      <c r="N7426" s="65" t="s">
        <v>10121</v>
      </c>
      <c r="O7426" s="6" t="s">
        <v>8906</v>
      </c>
      <c r="P7426" s="58" t="s">
        <v>241</v>
      </c>
      <c r="Q7426" s="6" t="s">
        <v>234</v>
      </c>
      <c r="R7426" s="3">
        <v>2</v>
      </c>
      <c r="S7426" s="1">
        <v>308880</v>
      </c>
      <c r="T7426" s="4">
        <v>0</v>
      </c>
      <c r="U7426" s="4">
        <f>T7426*1.12</f>
        <v>0</v>
      </c>
      <c r="V7426" s="3"/>
      <c r="W7426" s="3">
        <v>2014</v>
      </c>
      <c r="X7426" s="3">
        <v>11</v>
      </c>
    </row>
    <row r="7427" spans="1:24" ht="102">
      <c r="A7427" s="3" t="s">
        <v>18465</v>
      </c>
      <c r="B7427" s="6" t="s">
        <v>361</v>
      </c>
      <c r="C7427" s="16" t="s">
        <v>10126</v>
      </c>
      <c r="D7427" s="16" t="s">
        <v>10127</v>
      </c>
      <c r="E7427" s="16" t="s">
        <v>10128</v>
      </c>
      <c r="F7427" s="6" t="s">
        <v>11721</v>
      </c>
      <c r="G7427" s="3" t="s">
        <v>11450</v>
      </c>
      <c r="H7427" s="98">
        <v>0</v>
      </c>
      <c r="I7427" s="16">
        <v>470000000</v>
      </c>
      <c r="J7427" s="6" t="s">
        <v>229</v>
      </c>
      <c r="K7427" s="6" t="s">
        <v>18748</v>
      </c>
      <c r="L7427" s="17" t="s">
        <v>11411</v>
      </c>
      <c r="M7427" s="162" t="s">
        <v>230</v>
      </c>
      <c r="N7427" s="65" t="s">
        <v>10121</v>
      </c>
      <c r="O7427" s="6" t="s">
        <v>8906</v>
      </c>
      <c r="P7427" s="58" t="s">
        <v>241</v>
      </c>
      <c r="Q7427" s="6" t="s">
        <v>234</v>
      </c>
      <c r="R7427" s="3">
        <v>2</v>
      </c>
      <c r="S7427" s="1">
        <v>308880</v>
      </c>
      <c r="T7427" s="4">
        <v>0</v>
      </c>
      <c r="U7427" s="4">
        <f>T7427*1.12</f>
        <v>0</v>
      </c>
      <c r="V7427" s="3"/>
      <c r="W7427" s="3">
        <v>2014</v>
      </c>
      <c r="X7427" s="6" t="s">
        <v>14265</v>
      </c>
    </row>
    <row r="7428" spans="1:24" ht="102">
      <c r="A7428" s="3" t="s">
        <v>19525</v>
      </c>
      <c r="B7428" s="6" t="s">
        <v>361</v>
      </c>
      <c r="C7428" s="16" t="s">
        <v>10126</v>
      </c>
      <c r="D7428" s="16" t="s">
        <v>10127</v>
      </c>
      <c r="E7428" s="16" t="s">
        <v>10128</v>
      </c>
      <c r="F7428" s="6" t="s">
        <v>19597</v>
      </c>
      <c r="G7428" s="3" t="s">
        <v>11450</v>
      </c>
      <c r="H7428" s="98">
        <v>0</v>
      </c>
      <c r="I7428" s="16">
        <v>470000000</v>
      </c>
      <c r="J7428" s="6" t="s">
        <v>229</v>
      </c>
      <c r="K7428" s="6" t="s">
        <v>9956</v>
      </c>
      <c r="L7428" s="17" t="s">
        <v>11411</v>
      </c>
      <c r="M7428" s="162" t="s">
        <v>230</v>
      </c>
      <c r="N7428" s="65" t="s">
        <v>19398</v>
      </c>
      <c r="O7428" s="6" t="s">
        <v>19407</v>
      </c>
      <c r="P7428" s="58" t="s">
        <v>241</v>
      </c>
      <c r="Q7428" s="6" t="s">
        <v>234</v>
      </c>
      <c r="R7428" s="3">
        <v>2</v>
      </c>
      <c r="S7428" s="1">
        <v>308880</v>
      </c>
      <c r="T7428" s="4">
        <f>R7428*S7428</f>
        <v>617760</v>
      </c>
      <c r="U7428" s="97">
        <f>T7428*1.12</f>
        <v>691891.20000000007</v>
      </c>
      <c r="V7428" s="3"/>
      <c r="W7428" s="3">
        <v>2014</v>
      </c>
      <c r="X7428" s="6"/>
    </row>
    <row r="7429" spans="1:24" ht="102">
      <c r="A7429" s="3" t="s">
        <v>11115</v>
      </c>
      <c r="B7429" s="6" t="s">
        <v>361</v>
      </c>
      <c r="C7429" s="16" t="s">
        <v>10129</v>
      </c>
      <c r="D7429" s="16" t="s">
        <v>10130</v>
      </c>
      <c r="E7429" s="16" t="s">
        <v>10131</v>
      </c>
      <c r="F7429" s="6" t="s">
        <v>11718</v>
      </c>
      <c r="G7429" s="3" t="s">
        <v>11449</v>
      </c>
      <c r="H7429" s="98">
        <v>0</v>
      </c>
      <c r="I7429" s="16">
        <v>470000000</v>
      </c>
      <c r="J7429" s="6" t="s">
        <v>229</v>
      </c>
      <c r="K7429" s="6" t="s">
        <v>10125</v>
      </c>
      <c r="L7429" s="17" t="s">
        <v>11411</v>
      </c>
      <c r="M7429" s="162" t="s">
        <v>230</v>
      </c>
      <c r="N7429" s="65" t="s">
        <v>10121</v>
      </c>
      <c r="O7429" s="6" t="s">
        <v>8906</v>
      </c>
      <c r="P7429" s="58" t="s">
        <v>241</v>
      </c>
      <c r="Q7429" s="6" t="s">
        <v>234</v>
      </c>
      <c r="R7429" s="3">
        <v>2</v>
      </c>
      <c r="S7429" s="1">
        <v>222000</v>
      </c>
      <c r="T7429" s="4">
        <v>0</v>
      </c>
      <c r="U7429" s="4">
        <f t="shared" si="355"/>
        <v>0</v>
      </c>
      <c r="V7429" s="3"/>
      <c r="W7429" s="3">
        <v>2014</v>
      </c>
      <c r="X7429" s="3">
        <v>11</v>
      </c>
    </row>
    <row r="7430" spans="1:24" ht="102">
      <c r="A7430" s="3" t="s">
        <v>14043</v>
      </c>
      <c r="B7430" s="6" t="s">
        <v>361</v>
      </c>
      <c r="C7430" s="16" t="s">
        <v>10129</v>
      </c>
      <c r="D7430" s="16" t="s">
        <v>10130</v>
      </c>
      <c r="E7430" s="16" t="s">
        <v>10131</v>
      </c>
      <c r="F7430" s="6" t="s">
        <v>11718</v>
      </c>
      <c r="G7430" s="3" t="s">
        <v>11449</v>
      </c>
      <c r="H7430" s="98">
        <v>0</v>
      </c>
      <c r="I7430" s="16">
        <v>470000000</v>
      </c>
      <c r="J7430" s="6" t="s">
        <v>229</v>
      </c>
      <c r="K7430" s="6" t="s">
        <v>642</v>
      </c>
      <c r="L7430" s="17" t="s">
        <v>11411</v>
      </c>
      <c r="M7430" s="162" t="s">
        <v>230</v>
      </c>
      <c r="N7430" s="65" t="s">
        <v>10121</v>
      </c>
      <c r="O7430" s="6" t="s">
        <v>8906</v>
      </c>
      <c r="P7430" s="58" t="s">
        <v>241</v>
      </c>
      <c r="Q7430" s="6" t="s">
        <v>234</v>
      </c>
      <c r="R7430" s="3">
        <v>2</v>
      </c>
      <c r="S7430" s="1">
        <v>222000</v>
      </c>
      <c r="T7430" s="4">
        <v>0</v>
      </c>
      <c r="U7430" s="4">
        <f t="shared" ref="U7430:U7435" si="356">T7430*1.12</f>
        <v>0</v>
      </c>
      <c r="V7430" s="3"/>
      <c r="W7430" s="3">
        <v>2014</v>
      </c>
      <c r="X7430" s="3" t="s">
        <v>16431</v>
      </c>
    </row>
    <row r="7431" spans="1:24" ht="102">
      <c r="A7431" s="3" t="s">
        <v>16541</v>
      </c>
      <c r="B7431" s="6" t="s">
        <v>361</v>
      </c>
      <c r="C7431" s="16" t="s">
        <v>10129</v>
      </c>
      <c r="D7431" s="16" t="s">
        <v>10130</v>
      </c>
      <c r="E7431" s="16" t="s">
        <v>10131</v>
      </c>
      <c r="F7431" s="6" t="s">
        <v>11718</v>
      </c>
      <c r="G7431" s="3" t="s">
        <v>11450</v>
      </c>
      <c r="H7431" s="98">
        <v>0</v>
      </c>
      <c r="I7431" s="16">
        <v>470000000</v>
      </c>
      <c r="J7431" s="6" t="s">
        <v>229</v>
      </c>
      <c r="K7431" s="6" t="s">
        <v>10120</v>
      </c>
      <c r="L7431" s="17" t="s">
        <v>11411</v>
      </c>
      <c r="M7431" s="162" t="s">
        <v>230</v>
      </c>
      <c r="N7431" s="65" t="s">
        <v>10121</v>
      </c>
      <c r="O7431" s="6" t="s">
        <v>8906</v>
      </c>
      <c r="P7431" s="58" t="s">
        <v>241</v>
      </c>
      <c r="Q7431" s="6" t="s">
        <v>234</v>
      </c>
      <c r="R7431" s="3">
        <v>2</v>
      </c>
      <c r="S7431" s="1">
        <v>266400</v>
      </c>
      <c r="T7431" s="4">
        <v>0</v>
      </c>
      <c r="U7431" s="4">
        <f t="shared" si="356"/>
        <v>0</v>
      </c>
      <c r="V7431" s="3"/>
      <c r="W7431" s="3">
        <v>2014</v>
      </c>
      <c r="X7431" s="3">
        <v>11</v>
      </c>
    </row>
    <row r="7432" spans="1:24" ht="102">
      <c r="A7432" s="3" t="s">
        <v>18466</v>
      </c>
      <c r="B7432" s="6" t="s">
        <v>361</v>
      </c>
      <c r="C7432" s="16" t="s">
        <v>10129</v>
      </c>
      <c r="D7432" s="16" t="s">
        <v>10130</v>
      </c>
      <c r="E7432" s="16" t="s">
        <v>10131</v>
      </c>
      <c r="F7432" s="6" t="s">
        <v>11718</v>
      </c>
      <c r="G7432" s="3" t="s">
        <v>11450</v>
      </c>
      <c r="H7432" s="98">
        <v>0</v>
      </c>
      <c r="I7432" s="16">
        <v>470000000</v>
      </c>
      <c r="J7432" s="6" t="s">
        <v>229</v>
      </c>
      <c r="K7432" s="6" t="s">
        <v>18748</v>
      </c>
      <c r="L7432" s="17" t="s">
        <v>11411</v>
      </c>
      <c r="M7432" s="162" t="s">
        <v>230</v>
      </c>
      <c r="N7432" s="65" t="s">
        <v>10121</v>
      </c>
      <c r="O7432" s="6" t="s">
        <v>8906</v>
      </c>
      <c r="P7432" s="58" t="s">
        <v>241</v>
      </c>
      <c r="Q7432" s="6" t="s">
        <v>234</v>
      </c>
      <c r="R7432" s="3">
        <v>2</v>
      </c>
      <c r="S7432" s="1">
        <v>266400</v>
      </c>
      <c r="T7432" s="4">
        <v>0</v>
      </c>
      <c r="U7432" s="4">
        <f t="shared" si="356"/>
        <v>0</v>
      </c>
      <c r="V7432" s="3"/>
      <c r="W7432" s="3">
        <v>2014</v>
      </c>
      <c r="X7432" s="6" t="s">
        <v>14265</v>
      </c>
    </row>
    <row r="7433" spans="1:24" ht="76.5">
      <c r="A7433" s="3" t="s">
        <v>19526</v>
      </c>
      <c r="B7433" s="6" t="s">
        <v>361</v>
      </c>
      <c r="C7433" s="16" t="s">
        <v>10129</v>
      </c>
      <c r="D7433" s="16" t="s">
        <v>10130</v>
      </c>
      <c r="E7433" s="16" t="s">
        <v>10131</v>
      </c>
      <c r="F7433" s="6" t="s">
        <v>11718</v>
      </c>
      <c r="G7433" s="3" t="s">
        <v>11450</v>
      </c>
      <c r="H7433" s="98">
        <v>0</v>
      </c>
      <c r="I7433" s="16">
        <v>470000000</v>
      </c>
      <c r="J7433" s="6" t="s">
        <v>229</v>
      </c>
      <c r="K7433" s="6" t="s">
        <v>9956</v>
      </c>
      <c r="L7433" s="17" t="s">
        <v>11411</v>
      </c>
      <c r="M7433" s="162" t="s">
        <v>230</v>
      </c>
      <c r="N7433" s="65" t="s">
        <v>19398</v>
      </c>
      <c r="O7433" s="6" t="s">
        <v>19407</v>
      </c>
      <c r="P7433" s="58" t="s">
        <v>241</v>
      </c>
      <c r="Q7433" s="6" t="s">
        <v>234</v>
      </c>
      <c r="R7433" s="3">
        <v>2</v>
      </c>
      <c r="S7433" s="1">
        <v>266400</v>
      </c>
      <c r="T7433" s="4">
        <f>R7433*S7433</f>
        <v>532800</v>
      </c>
      <c r="U7433" s="97">
        <f t="shared" si="356"/>
        <v>596736</v>
      </c>
      <c r="V7433" s="3"/>
      <c r="W7433" s="3">
        <v>2014</v>
      </c>
      <c r="X7433" s="6"/>
    </row>
    <row r="7434" spans="1:24" ht="102">
      <c r="A7434" s="3" t="s">
        <v>11116</v>
      </c>
      <c r="B7434" s="6" t="s">
        <v>361</v>
      </c>
      <c r="C7434" s="16" t="s">
        <v>10132</v>
      </c>
      <c r="D7434" s="16" t="s">
        <v>10133</v>
      </c>
      <c r="E7434" s="16" t="s">
        <v>10134</v>
      </c>
      <c r="F7434" s="6" t="s">
        <v>11720</v>
      </c>
      <c r="G7434" s="3" t="s">
        <v>11449</v>
      </c>
      <c r="H7434" s="98">
        <v>0</v>
      </c>
      <c r="I7434" s="16">
        <v>470000000</v>
      </c>
      <c r="J7434" s="16" t="s">
        <v>229</v>
      </c>
      <c r="K7434" s="6" t="s">
        <v>10125</v>
      </c>
      <c r="L7434" s="17" t="s">
        <v>11411</v>
      </c>
      <c r="M7434" s="162" t="s">
        <v>230</v>
      </c>
      <c r="N7434" s="65" t="s">
        <v>10121</v>
      </c>
      <c r="O7434" s="6" t="s">
        <v>8906</v>
      </c>
      <c r="P7434" s="58" t="s">
        <v>241</v>
      </c>
      <c r="Q7434" s="6" t="s">
        <v>234</v>
      </c>
      <c r="R7434" s="3">
        <v>2</v>
      </c>
      <c r="S7434" s="1">
        <v>86400</v>
      </c>
      <c r="T7434" s="4">
        <v>0</v>
      </c>
      <c r="U7434" s="4">
        <f t="shared" si="356"/>
        <v>0</v>
      </c>
      <c r="V7434" s="3"/>
      <c r="W7434" s="3">
        <v>2014</v>
      </c>
      <c r="X7434" s="3">
        <v>11</v>
      </c>
    </row>
    <row r="7435" spans="1:24" ht="102">
      <c r="A7435" s="3" t="s">
        <v>14047</v>
      </c>
      <c r="B7435" s="6" t="s">
        <v>361</v>
      </c>
      <c r="C7435" s="16" t="s">
        <v>10132</v>
      </c>
      <c r="D7435" s="16" t="s">
        <v>10133</v>
      </c>
      <c r="E7435" s="16" t="s">
        <v>10134</v>
      </c>
      <c r="F7435" s="6" t="s">
        <v>11720</v>
      </c>
      <c r="G7435" s="3" t="s">
        <v>11449</v>
      </c>
      <c r="H7435" s="98">
        <v>0</v>
      </c>
      <c r="I7435" s="16">
        <v>470000000</v>
      </c>
      <c r="J7435" s="16" t="s">
        <v>229</v>
      </c>
      <c r="K7435" s="6" t="s">
        <v>642</v>
      </c>
      <c r="L7435" s="17" t="s">
        <v>11411</v>
      </c>
      <c r="M7435" s="162" t="s">
        <v>230</v>
      </c>
      <c r="N7435" s="65" t="s">
        <v>10121</v>
      </c>
      <c r="O7435" s="6" t="s">
        <v>8906</v>
      </c>
      <c r="P7435" s="58" t="s">
        <v>241</v>
      </c>
      <c r="Q7435" s="6" t="s">
        <v>234</v>
      </c>
      <c r="R7435" s="3">
        <v>2</v>
      </c>
      <c r="S7435" s="1">
        <v>86400</v>
      </c>
      <c r="T7435" s="4">
        <f>R7435*S7435</f>
        <v>172800</v>
      </c>
      <c r="U7435" s="4">
        <f t="shared" si="356"/>
        <v>193536.00000000003</v>
      </c>
      <c r="V7435" s="3"/>
      <c r="W7435" s="3">
        <v>2014</v>
      </c>
      <c r="X7435" s="3"/>
    </row>
    <row r="7436" spans="1:24" ht="153">
      <c r="A7436" s="3" t="s">
        <v>11117</v>
      </c>
      <c r="B7436" s="6" t="s">
        <v>361</v>
      </c>
      <c r="C7436" s="16" t="s">
        <v>10135</v>
      </c>
      <c r="D7436" s="16" t="s">
        <v>10136</v>
      </c>
      <c r="E7436" s="16" t="s">
        <v>10137</v>
      </c>
      <c r="F7436" s="6" t="s">
        <v>10138</v>
      </c>
      <c r="G7436" s="3" t="s">
        <v>11450</v>
      </c>
      <c r="H7436" s="98">
        <v>0</v>
      </c>
      <c r="I7436" s="16">
        <v>470000000</v>
      </c>
      <c r="J7436" s="16" t="s">
        <v>229</v>
      </c>
      <c r="K7436" s="6" t="s">
        <v>10125</v>
      </c>
      <c r="L7436" s="17" t="s">
        <v>11410</v>
      </c>
      <c r="M7436" s="162" t="s">
        <v>230</v>
      </c>
      <c r="N7436" s="65" t="s">
        <v>10121</v>
      </c>
      <c r="O7436" s="6" t="s">
        <v>8906</v>
      </c>
      <c r="P7436" s="58" t="s">
        <v>241</v>
      </c>
      <c r="Q7436" s="6" t="s">
        <v>234</v>
      </c>
      <c r="R7436" s="3">
        <v>2</v>
      </c>
      <c r="S7436" s="1">
        <v>72000</v>
      </c>
      <c r="T7436" s="4">
        <v>0</v>
      </c>
      <c r="U7436" s="4">
        <f t="shared" si="355"/>
        <v>0</v>
      </c>
      <c r="V7436" s="3"/>
      <c r="W7436" s="3">
        <v>2014</v>
      </c>
      <c r="X7436" s="3" t="s">
        <v>14846</v>
      </c>
    </row>
    <row r="7437" spans="1:24" ht="153">
      <c r="A7437" s="3" t="s">
        <v>16534</v>
      </c>
      <c r="B7437" s="6" t="s">
        <v>361</v>
      </c>
      <c r="C7437" s="16" t="s">
        <v>10135</v>
      </c>
      <c r="D7437" s="16" t="s">
        <v>10136</v>
      </c>
      <c r="E7437" s="16" t="s">
        <v>10137</v>
      </c>
      <c r="F7437" s="6" t="s">
        <v>10138</v>
      </c>
      <c r="G7437" s="3" t="s">
        <v>11450</v>
      </c>
      <c r="H7437" s="98">
        <v>0</v>
      </c>
      <c r="I7437" s="16">
        <v>470000000</v>
      </c>
      <c r="J7437" s="16" t="s">
        <v>229</v>
      </c>
      <c r="K7437" s="6" t="s">
        <v>10120</v>
      </c>
      <c r="L7437" s="17" t="s">
        <v>16533</v>
      </c>
      <c r="M7437" s="162" t="s">
        <v>230</v>
      </c>
      <c r="N7437" s="65" t="s">
        <v>10121</v>
      </c>
      <c r="O7437" s="6" t="s">
        <v>8906</v>
      </c>
      <c r="P7437" s="58" t="s">
        <v>241</v>
      </c>
      <c r="Q7437" s="6" t="s">
        <v>234</v>
      </c>
      <c r="R7437" s="3">
        <v>2</v>
      </c>
      <c r="S7437" s="1">
        <v>86400</v>
      </c>
      <c r="T7437" s="4">
        <v>0</v>
      </c>
      <c r="U7437" s="4">
        <f t="shared" si="355"/>
        <v>0</v>
      </c>
      <c r="V7437" s="3"/>
      <c r="W7437" s="3">
        <v>2014</v>
      </c>
      <c r="X7437" s="3">
        <v>11</v>
      </c>
    </row>
    <row r="7438" spans="1:24" ht="153">
      <c r="A7438" s="3" t="s">
        <v>18467</v>
      </c>
      <c r="B7438" s="6" t="s">
        <v>361</v>
      </c>
      <c r="C7438" s="16" t="s">
        <v>10135</v>
      </c>
      <c r="D7438" s="16" t="s">
        <v>10136</v>
      </c>
      <c r="E7438" s="16" t="s">
        <v>10137</v>
      </c>
      <c r="F7438" s="6" t="s">
        <v>10138</v>
      </c>
      <c r="G7438" s="3" t="s">
        <v>11450</v>
      </c>
      <c r="H7438" s="98">
        <v>0</v>
      </c>
      <c r="I7438" s="16">
        <v>470000000</v>
      </c>
      <c r="J7438" s="16" t="s">
        <v>229</v>
      </c>
      <c r="K7438" s="6" t="s">
        <v>18748</v>
      </c>
      <c r="L7438" s="17" t="s">
        <v>16533</v>
      </c>
      <c r="M7438" s="162" t="s">
        <v>230</v>
      </c>
      <c r="N7438" s="65" t="s">
        <v>10121</v>
      </c>
      <c r="O7438" s="6" t="s">
        <v>8906</v>
      </c>
      <c r="P7438" s="58" t="s">
        <v>241</v>
      </c>
      <c r="Q7438" s="6" t="s">
        <v>234</v>
      </c>
      <c r="R7438" s="3">
        <v>2</v>
      </c>
      <c r="S7438" s="1">
        <v>86400</v>
      </c>
      <c r="T7438" s="4">
        <v>0</v>
      </c>
      <c r="U7438" s="4">
        <f t="shared" si="355"/>
        <v>0</v>
      </c>
      <c r="V7438" s="3"/>
      <c r="W7438" s="3">
        <v>2014</v>
      </c>
      <c r="X7438" s="6" t="s">
        <v>14265</v>
      </c>
    </row>
    <row r="7439" spans="1:24" ht="153">
      <c r="A7439" s="3" t="s">
        <v>19527</v>
      </c>
      <c r="B7439" s="6" t="s">
        <v>361</v>
      </c>
      <c r="C7439" s="16" t="s">
        <v>10135</v>
      </c>
      <c r="D7439" s="16" t="s">
        <v>10136</v>
      </c>
      <c r="E7439" s="16" t="s">
        <v>10137</v>
      </c>
      <c r="F7439" s="6" t="s">
        <v>10138</v>
      </c>
      <c r="G7439" s="3" t="s">
        <v>11450</v>
      </c>
      <c r="H7439" s="98">
        <v>0</v>
      </c>
      <c r="I7439" s="16">
        <v>470000000</v>
      </c>
      <c r="J7439" s="16" t="s">
        <v>229</v>
      </c>
      <c r="K7439" s="6" t="s">
        <v>9956</v>
      </c>
      <c r="L7439" s="17" t="s">
        <v>16533</v>
      </c>
      <c r="M7439" s="162" t="s">
        <v>230</v>
      </c>
      <c r="N7439" s="65" t="s">
        <v>19398</v>
      </c>
      <c r="O7439" s="6" t="s">
        <v>19407</v>
      </c>
      <c r="P7439" s="58" t="s">
        <v>241</v>
      </c>
      <c r="Q7439" s="6" t="s">
        <v>234</v>
      </c>
      <c r="R7439" s="3">
        <v>2</v>
      </c>
      <c r="S7439" s="1">
        <v>86400</v>
      </c>
      <c r="T7439" s="4">
        <f>R7439*S7439</f>
        <v>172800</v>
      </c>
      <c r="U7439" s="97">
        <f t="shared" si="355"/>
        <v>193536.00000000003</v>
      </c>
      <c r="V7439" s="3"/>
      <c r="W7439" s="3">
        <v>2014</v>
      </c>
      <c r="X7439" s="6"/>
    </row>
    <row r="7440" spans="1:24" ht="102">
      <c r="A7440" s="3" t="s">
        <v>11118</v>
      </c>
      <c r="B7440" s="6" t="s">
        <v>361</v>
      </c>
      <c r="C7440" s="6" t="s">
        <v>10139</v>
      </c>
      <c r="D7440" s="6" t="s">
        <v>10140</v>
      </c>
      <c r="E7440" s="6" t="s">
        <v>10141</v>
      </c>
      <c r="F7440" s="6" t="s">
        <v>10142</v>
      </c>
      <c r="G7440" s="3" t="s">
        <v>11449</v>
      </c>
      <c r="H7440" s="98">
        <v>0</v>
      </c>
      <c r="I7440" s="16">
        <v>470000000</v>
      </c>
      <c r="J7440" s="16" t="s">
        <v>229</v>
      </c>
      <c r="K7440" s="6" t="s">
        <v>10125</v>
      </c>
      <c r="L7440" s="17" t="s">
        <v>11411</v>
      </c>
      <c r="M7440" s="162" t="s">
        <v>230</v>
      </c>
      <c r="N7440" s="65" t="s">
        <v>10121</v>
      </c>
      <c r="O7440" s="6" t="s">
        <v>8906</v>
      </c>
      <c r="P7440" s="58" t="s">
        <v>241</v>
      </c>
      <c r="Q7440" s="6" t="s">
        <v>234</v>
      </c>
      <c r="R7440" s="3">
        <v>3</v>
      </c>
      <c r="S7440" s="1">
        <v>1800000</v>
      </c>
      <c r="T7440" s="4">
        <v>0</v>
      </c>
      <c r="U7440" s="4">
        <f t="shared" si="355"/>
        <v>0</v>
      </c>
      <c r="V7440" s="3"/>
      <c r="W7440" s="3">
        <v>2014</v>
      </c>
      <c r="X7440" s="3">
        <v>11</v>
      </c>
    </row>
    <row r="7441" spans="1:24" ht="102">
      <c r="A7441" s="3" t="s">
        <v>14045</v>
      </c>
      <c r="B7441" s="6" t="s">
        <v>361</v>
      </c>
      <c r="C7441" s="6" t="s">
        <v>10139</v>
      </c>
      <c r="D7441" s="6" t="s">
        <v>10140</v>
      </c>
      <c r="E7441" s="6" t="s">
        <v>10141</v>
      </c>
      <c r="F7441" s="6" t="s">
        <v>10142</v>
      </c>
      <c r="G7441" s="3" t="s">
        <v>11449</v>
      </c>
      <c r="H7441" s="98">
        <v>0</v>
      </c>
      <c r="I7441" s="16">
        <v>470000000</v>
      </c>
      <c r="J7441" s="16" t="s">
        <v>229</v>
      </c>
      <c r="K7441" s="6" t="s">
        <v>642</v>
      </c>
      <c r="L7441" s="17" t="s">
        <v>11411</v>
      </c>
      <c r="M7441" s="162" t="s">
        <v>230</v>
      </c>
      <c r="N7441" s="65" t="s">
        <v>10121</v>
      </c>
      <c r="O7441" s="6" t="s">
        <v>8906</v>
      </c>
      <c r="P7441" s="58" t="s">
        <v>241</v>
      </c>
      <c r="Q7441" s="6" t="s">
        <v>234</v>
      </c>
      <c r="R7441" s="3">
        <v>3</v>
      </c>
      <c r="S7441" s="1">
        <v>1800000</v>
      </c>
      <c r="T7441" s="4">
        <f>R7441*S7441</f>
        <v>5400000</v>
      </c>
      <c r="U7441" s="4">
        <f>T7441*1.12</f>
        <v>6048000.0000000009</v>
      </c>
      <c r="V7441" s="3"/>
      <c r="W7441" s="3">
        <v>2014</v>
      </c>
      <c r="X7441" s="3"/>
    </row>
    <row r="7442" spans="1:24" ht="102">
      <c r="A7442" s="3" t="s">
        <v>11119</v>
      </c>
      <c r="B7442" s="6" t="s">
        <v>361</v>
      </c>
      <c r="C7442" s="6" t="s">
        <v>10143</v>
      </c>
      <c r="D7442" s="6" t="s">
        <v>10144</v>
      </c>
      <c r="E7442" s="6" t="s">
        <v>10145</v>
      </c>
      <c r="F7442" s="53" t="s">
        <v>11704</v>
      </c>
      <c r="G7442" s="3" t="s">
        <v>11450</v>
      </c>
      <c r="H7442" s="98">
        <v>0</v>
      </c>
      <c r="I7442" s="16">
        <v>470000000</v>
      </c>
      <c r="J7442" s="16" t="s">
        <v>229</v>
      </c>
      <c r="K7442" s="6" t="s">
        <v>10125</v>
      </c>
      <c r="L7442" s="17" t="s">
        <v>11410</v>
      </c>
      <c r="M7442" s="162" t="s">
        <v>230</v>
      </c>
      <c r="N7442" s="65" t="s">
        <v>10121</v>
      </c>
      <c r="O7442" s="6" t="s">
        <v>8906</v>
      </c>
      <c r="P7442" s="58" t="s">
        <v>241</v>
      </c>
      <c r="Q7442" s="6" t="s">
        <v>234</v>
      </c>
      <c r="R7442" s="6">
        <v>5</v>
      </c>
      <c r="S7442" s="97">
        <v>325000</v>
      </c>
      <c r="T7442" s="4">
        <v>0</v>
      </c>
      <c r="U7442" s="4">
        <f t="shared" si="355"/>
        <v>0</v>
      </c>
      <c r="V7442" s="3"/>
      <c r="W7442" s="3">
        <v>2014</v>
      </c>
      <c r="X7442" s="3" t="s">
        <v>14846</v>
      </c>
    </row>
    <row r="7443" spans="1:24" ht="102">
      <c r="A7443" s="3" t="s">
        <v>16532</v>
      </c>
      <c r="B7443" s="6" t="s">
        <v>361</v>
      </c>
      <c r="C7443" s="6" t="s">
        <v>10143</v>
      </c>
      <c r="D7443" s="6" t="s">
        <v>10144</v>
      </c>
      <c r="E7443" s="6" t="s">
        <v>10145</v>
      </c>
      <c r="F7443" s="53" t="s">
        <v>11704</v>
      </c>
      <c r="G7443" s="3" t="s">
        <v>11450</v>
      </c>
      <c r="H7443" s="98">
        <v>0</v>
      </c>
      <c r="I7443" s="16">
        <v>470000000</v>
      </c>
      <c r="J7443" s="16" t="s">
        <v>229</v>
      </c>
      <c r="K7443" s="6" t="s">
        <v>10120</v>
      </c>
      <c r="L7443" s="17" t="s">
        <v>16533</v>
      </c>
      <c r="M7443" s="162" t="s">
        <v>230</v>
      </c>
      <c r="N7443" s="65" t="s">
        <v>10121</v>
      </c>
      <c r="O7443" s="6" t="s">
        <v>8906</v>
      </c>
      <c r="P7443" s="58" t="s">
        <v>241</v>
      </c>
      <c r="Q7443" s="6" t="s">
        <v>234</v>
      </c>
      <c r="R7443" s="6">
        <v>5</v>
      </c>
      <c r="S7443" s="97">
        <v>390000</v>
      </c>
      <c r="T7443" s="4">
        <v>0</v>
      </c>
      <c r="U7443" s="4">
        <f t="shared" si="355"/>
        <v>0</v>
      </c>
      <c r="V7443" s="3"/>
      <c r="W7443" s="3">
        <v>2014</v>
      </c>
      <c r="X7443" s="3">
        <v>11</v>
      </c>
    </row>
    <row r="7444" spans="1:24" ht="102">
      <c r="A7444" s="3" t="s">
        <v>18468</v>
      </c>
      <c r="B7444" s="6" t="s">
        <v>361</v>
      </c>
      <c r="C7444" s="6" t="s">
        <v>10143</v>
      </c>
      <c r="D7444" s="6" t="s">
        <v>10144</v>
      </c>
      <c r="E7444" s="6" t="s">
        <v>10145</v>
      </c>
      <c r="F7444" s="76" t="s">
        <v>11704</v>
      </c>
      <c r="G7444" s="3" t="s">
        <v>11450</v>
      </c>
      <c r="H7444" s="98">
        <v>0</v>
      </c>
      <c r="I7444" s="16">
        <v>470000000</v>
      </c>
      <c r="J7444" s="16" t="s">
        <v>229</v>
      </c>
      <c r="K7444" s="6" t="s">
        <v>18748</v>
      </c>
      <c r="L7444" s="17" t="s">
        <v>16533</v>
      </c>
      <c r="M7444" s="162" t="s">
        <v>230</v>
      </c>
      <c r="N7444" s="65" t="s">
        <v>10121</v>
      </c>
      <c r="O7444" s="6" t="s">
        <v>8906</v>
      </c>
      <c r="P7444" s="58" t="s">
        <v>241</v>
      </c>
      <c r="Q7444" s="6" t="s">
        <v>234</v>
      </c>
      <c r="R7444" s="6">
        <v>5</v>
      </c>
      <c r="S7444" s="97">
        <v>390000</v>
      </c>
      <c r="T7444" s="4">
        <v>0</v>
      </c>
      <c r="U7444" s="4">
        <f t="shared" si="355"/>
        <v>0</v>
      </c>
      <c r="V7444" s="3"/>
      <c r="W7444" s="3">
        <v>2014</v>
      </c>
      <c r="X7444" s="6" t="s">
        <v>14265</v>
      </c>
    </row>
    <row r="7445" spans="1:24" ht="76.5">
      <c r="A7445" s="3" t="s">
        <v>19528</v>
      </c>
      <c r="B7445" s="6" t="s">
        <v>361</v>
      </c>
      <c r="C7445" s="6" t="s">
        <v>10143</v>
      </c>
      <c r="D7445" s="6" t="s">
        <v>10144</v>
      </c>
      <c r="E7445" s="6" t="s">
        <v>10145</v>
      </c>
      <c r="F7445" s="76" t="s">
        <v>11704</v>
      </c>
      <c r="G7445" s="3" t="s">
        <v>11450</v>
      </c>
      <c r="H7445" s="98">
        <v>0</v>
      </c>
      <c r="I7445" s="16">
        <v>470000000</v>
      </c>
      <c r="J7445" s="16" t="s">
        <v>229</v>
      </c>
      <c r="K7445" s="6" t="s">
        <v>9956</v>
      </c>
      <c r="L7445" s="17" t="s">
        <v>16533</v>
      </c>
      <c r="M7445" s="162" t="s">
        <v>230</v>
      </c>
      <c r="N7445" s="65" t="s">
        <v>19398</v>
      </c>
      <c r="O7445" s="6" t="s">
        <v>19407</v>
      </c>
      <c r="P7445" s="58" t="s">
        <v>241</v>
      </c>
      <c r="Q7445" s="6" t="s">
        <v>234</v>
      </c>
      <c r="R7445" s="6">
        <v>5</v>
      </c>
      <c r="S7445" s="97">
        <v>390000</v>
      </c>
      <c r="T7445" s="4">
        <f>R7445*S7445</f>
        <v>1950000</v>
      </c>
      <c r="U7445" s="97">
        <f t="shared" si="355"/>
        <v>2184000</v>
      </c>
      <c r="V7445" s="3"/>
      <c r="W7445" s="3">
        <v>2014</v>
      </c>
      <c r="X7445" s="6"/>
    </row>
    <row r="7446" spans="1:24" ht="102">
      <c r="A7446" s="3" t="s">
        <v>11120</v>
      </c>
      <c r="B7446" s="6" t="s">
        <v>361</v>
      </c>
      <c r="C7446" s="16" t="s">
        <v>10146</v>
      </c>
      <c r="D7446" s="16" t="s">
        <v>10147</v>
      </c>
      <c r="E7446" s="16" t="s">
        <v>10148</v>
      </c>
      <c r="F7446" s="6" t="s">
        <v>11713</v>
      </c>
      <c r="G7446" s="3" t="s">
        <v>11449</v>
      </c>
      <c r="H7446" s="98">
        <v>0</v>
      </c>
      <c r="I7446" s="16">
        <v>470000000</v>
      </c>
      <c r="J7446" s="16" t="s">
        <v>229</v>
      </c>
      <c r="K7446" s="6" t="s">
        <v>10125</v>
      </c>
      <c r="L7446" s="17" t="s">
        <v>11410</v>
      </c>
      <c r="M7446" s="162" t="s">
        <v>230</v>
      </c>
      <c r="N7446" s="65" t="s">
        <v>10121</v>
      </c>
      <c r="O7446" s="6" t="s">
        <v>8906</v>
      </c>
      <c r="P7446" s="58" t="s">
        <v>241</v>
      </c>
      <c r="Q7446" s="6" t="s">
        <v>234</v>
      </c>
      <c r="R7446" s="6">
        <v>2</v>
      </c>
      <c r="S7446" s="1">
        <v>154680</v>
      </c>
      <c r="T7446" s="4">
        <f>R7446*S7446</f>
        <v>309360</v>
      </c>
      <c r="U7446" s="97">
        <f t="shared" si="355"/>
        <v>346483.20000000001</v>
      </c>
      <c r="V7446" s="3"/>
      <c r="W7446" s="3">
        <v>2014</v>
      </c>
      <c r="X7446" s="3"/>
    </row>
    <row r="7447" spans="1:24" ht="102">
      <c r="A7447" s="3" t="s">
        <v>11121</v>
      </c>
      <c r="B7447" s="6" t="s">
        <v>361</v>
      </c>
      <c r="C7447" s="6" t="s">
        <v>10149</v>
      </c>
      <c r="D7447" s="3" t="s">
        <v>10150</v>
      </c>
      <c r="E7447" s="3" t="s">
        <v>10151</v>
      </c>
      <c r="F7447" s="260" t="s">
        <v>11714</v>
      </c>
      <c r="G7447" s="3" t="s">
        <v>11449</v>
      </c>
      <c r="H7447" s="98">
        <v>0</v>
      </c>
      <c r="I7447" s="16">
        <v>470000000</v>
      </c>
      <c r="J7447" s="16" t="s">
        <v>229</v>
      </c>
      <c r="K7447" s="6" t="s">
        <v>10125</v>
      </c>
      <c r="L7447" s="17" t="s">
        <v>11410</v>
      </c>
      <c r="M7447" s="162" t="s">
        <v>230</v>
      </c>
      <c r="N7447" s="65" t="s">
        <v>10121</v>
      </c>
      <c r="O7447" s="6" t="s">
        <v>8906</v>
      </c>
      <c r="P7447" s="58" t="s">
        <v>241</v>
      </c>
      <c r="Q7447" s="6" t="s">
        <v>234</v>
      </c>
      <c r="R7447" s="6">
        <v>3</v>
      </c>
      <c r="S7447" s="1">
        <v>367200</v>
      </c>
      <c r="T7447" s="4">
        <f>R7447*S7447</f>
        <v>1101600</v>
      </c>
      <c r="U7447" s="97">
        <f t="shared" si="355"/>
        <v>1233792.0000000002</v>
      </c>
      <c r="V7447" s="3"/>
      <c r="W7447" s="3">
        <v>2014</v>
      </c>
      <c r="X7447" s="3"/>
    </row>
    <row r="7448" spans="1:24" ht="102">
      <c r="A7448" s="3" t="s">
        <v>11122</v>
      </c>
      <c r="B7448" s="6" t="s">
        <v>361</v>
      </c>
      <c r="C7448" s="6" t="s">
        <v>7479</v>
      </c>
      <c r="D7448" s="3" t="s">
        <v>646</v>
      </c>
      <c r="E7448" s="6" t="s">
        <v>7480</v>
      </c>
      <c r="F7448" s="6" t="s">
        <v>10152</v>
      </c>
      <c r="G7448" s="3" t="s">
        <v>11449</v>
      </c>
      <c r="H7448" s="98">
        <v>0</v>
      </c>
      <c r="I7448" s="16">
        <v>470000000</v>
      </c>
      <c r="J7448" s="16" t="s">
        <v>229</v>
      </c>
      <c r="K7448" s="6" t="s">
        <v>10125</v>
      </c>
      <c r="L7448" s="17" t="s">
        <v>11411</v>
      </c>
      <c r="M7448" s="162" t="s">
        <v>230</v>
      </c>
      <c r="N7448" s="65" t="s">
        <v>10121</v>
      </c>
      <c r="O7448" s="6" t="s">
        <v>8906</v>
      </c>
      <c r="P7448" s="58" t="s">
        <v>241</v>
      </c>
      <c r="Q7448" s="6" t="s">
        <v>234</v>
      </c>
      <c r="R7448" s="6">
        <v>15</v>
      </c>
      <c r="S7448" s="1">
        <v>25200</v>
      </c>
      <c r="T7448" s="4">
        <v>0</v>
      </c>
      <c r="U7448" s="4">
        <f t="shared" si="355"/>
        <v>0</v>
      </c>
      <c r="V7448" s="3"/>
      <c r="W7448" s="3">
        <v>2014</v>
      </c>
      <c r="X7448" s="3">
        <v>11</v>
      </c>
    </row>
    <row r="7449" spans="1:24" ht="102">
      <c r="A7449" s="3" t="s">
        <v>14046</v>
      </c>
      <c r="B7449" s="6" t="s">
        <v>361</v>
      </c>
      <c r="C7449" s="6" t="s">
        <v>7479</v>
      </c>
      <c r="D7449" s="3" t="s">
        <v>646</v>
      </c>
      <c r="E7449" s="6" t="s">
        <v>7480</v>
      </c>
      <c r="F7449" s="6" t="s">
        <v>10152</v>
      </c>
      <c r="G7449" s="3" t="s">
        <v>11449</v>
      </c>
      <c r="H7449" s="98">
        <v>0</v>
      </c>
      <c r="I7449" s="16">
        <v>470000000</v>
      </c>
      <c r="J7449" s="16" t="s">
        <v>229</v>
      </c>
      <c r="K7449" s="6" t="s">
        <v>642</v>
      </c>
      <c r="L7449" s="17" t="s">
        <v>11411</v>
      </c>
      <c r="M7449" s="162" t="s">
        <v>230</v>
      </c>
      <c r="N7449" s="65" t="s">
        <v>10121</v>
      </c>
      <c r="O7449" s="6" t="s">
        <v>8906</v>
      </c>
      <c r="P7449" s="58" t="s">
        <v>241</v>
      </c>
      <c r="Q7449" s="6" t="s">
        <v>234</v>
      </c>
      <c r="R7449" s="6">
        <v>15</v>
      </c>
      <c r="S7449" s="1">
        <v>25200</v>
      </c>
      <c r="T7449" s="4">
        <v>0</v>
      </c>
      <c r="U7449" s="4">
        <f>T7449*1.12</f>
        <v>0</v>
      </c>
      <c r="V7449" s="3"/>
      <c r="W7449" s="3">
        <v>2014</v>
      </c>
      <c r="X7449" s="3" t="s">
        <v>16431</v>
      </c>
    </row>
    <row r="7450" spans="1:24" ht="102">
      <c r="A7450" s="3" t="s">
        <v>16543</v>
      </c>
      <c r="B7450" s="6" t="s">
        <v>361</v>
      </c>
      <c r="C7450" s="6" t="s">
        <v>7479</v>
      </c>
      <c r="D7450" s="3" t="s">
        <v>646</v>
      </c>
      <c r="E7450" s="6" t="s">
        <v>7480</v>
      </c>
      <c r="F7450" s="6" t="s">
        <v>10152</v>
      </c>
      <c r="G7450" s="3" t="s">
        <v>11450</v>
      </c>
      <c r="H7450" s="98">
        <v>0</v>
      </c>
      <c r="I7450" s="16">
        <v>470000000</v>
      </c>
      <c r="J7450" s="16" t="s">
        <v>229</v>
      </c>
      <c r="K7450" s="6" t="s">
        <v>10120</v>
      </c>
      <c r="L7450" s="17" t="s">
        <v>11411</v>
      </c>
      <c r="M7450" s="162" t="s">
        <v>230</v>
      </c>
      <c r="N7450" s="65" t="s">
        <v>10121</v>
      </c>
      <c r="O7450" s="6" t="s">
        <v>8906</v>
      </c>
      <c r="P7450" s="58" t="s">
        <v>241</v>
      </c>
      <c r="Q7450" s="6" t="s">
        <v>234</v>
      </c>
      <c r="R7450" s="6">
        <v>15</v>
      </c>
      <c r="S7450" s="1">
        <v>30240</v>
      </c>
      <c r="T7450" s="4">
        <v>0</v>
      </c>
      <c r="U7450" s="4">
        <f>T7450*1.12</f>
        <v>0</v>
      </c>
      <c r="V7450" s="3"/>
      <c r="W7450" s="3">
        <v>2014</v>
      </c>
      <c r="X7450" s="3">
        <v>11</v>
      </c>
    </row>
    <row r="7451" spans="1:24" ht="102">
      <c r="A7451" s="3" t="s">
        <v>18469</v>
      </c>
      <c r="B7451" s="6" t="s">
        <v>361</v>
      </c>
      <c r="C7451" s="6" t="s">
        <v>7479</v>
      </c>
      <c r="D7451" s="3" t="s">
        <v>646</v>
      </c>
      <c r="E7451" s="6" t="s">
        <v>7480</v>
      </c>
      <c r="F7451" s="6" t="s">
        <v>10152</v>
      </c>
      <c r="G7451" s="3" t="s">
        <v>11450</v>
      </c>
      <c r="H7451" s="98">
        <v>0</v>
      </c>
      <c r="I7451" s="16">
        <v>470000000</v>
      </c>
      <c r="J7451" s="16" t="s">
        <v>229</v>
      </c>
      <c r="K7451" s="6" t="s">
        <v>18748</v>
      </c>
      <c r="L7451" s="17" t="s">
        <v>11411</v>
      </c>
      <c r="M7451" s="162" t="s">
        <v>230</v>
      </c>
      <c r="N7451" s="65" t="s">
        <v>10121</v>
      </c>
      <c r="O7451" s="6" t="s">
        <v>8906</v>
      </c>
      <c r="P7451" s="58" t="s">
        <v>241</v>
      </c>
      <c r="Q7451" s="6" t="s">
        <v>234</v>
      </c>
      <c r="R7451" s="6">
        <v>15</v>
      </c>
      <c r="S7451" s="1">
        <v>30240</v>
      </c>
      <c r="T7451" s="4">
        <v>0</v>
      </c>
      <c r="U7451" s="4">
        <f t="shared" ref="U7451:U7452" si="357">T7451*1.12</f>
        <v>0</v>
      </c>
      <c r="V7451" s="3"/>
      <c r="W7451" s="3">
        <v>2014</v>
      </c>
      <c r="X7451" s="6" t="s">
        <v>14265</v>
      </c>
    </row>
    <row r="7452" spans="1:24" ht="76.5">
      <c r="A7452" s="3" t="s">
        <v>19529</v>
      </c>
      <c r="B7452" s="6" t="s">
        <v>361</v>
      </c>
      <c r="C7452" s="6" t="s">
        <v>7479</v>
      </c>
      <c r="D7452" s="3" t="s">
        <v>646</v>
      </c>
      <c r="E7452" s="6" t="s">
        <v>7480</v>
      </c>
      <c r="F7452" s="6" t="s">
        <v>10152</v>
      </c>
      <c r="G7452" s="3" t="s">
        <v>11450</v>
      </c>
      <c r="H7452" s="98">
        <v>0</v>
      </c>
      <c r="I7452" s="16">
        <v>470000000</v>
      </c>
      <c r="J7452" s="16" t="s">
        <v>229</v>
      </c>
      <c r="K7452" s="6" t="s">
        <v>9956</v>
      </c>
      <c r="L7452" s="17" t="s">
        <v>11411</v>
      </c>
      <c r="M7452" s="162" t="s">
        <v>230</v>
      </c>
      <c r="N7452" s="65" t="s">
        <v>19398</v>
      </c>
      <c r="O7452" s="6" t="s">
        <v>19407</v>
      </c>
      <c r="P7452" s="58" t="s">
        <v>241</v>
      </c>
      <c r="Q7452" s="6" t="s">
        <v>234</v>
      </c>
      <c r="R7452" s="6">
        <v>15</v>
      </c>
      <c r="S7452" s="1">
        <v>30240</v>
      </c>
      <c r="T7452" s="4">
        <f>R7452*S7452</f>
        <v>453600</v>
      </c>
      <c r="U7452" s="97">
        <f t="shared" si="357"/>
        <v>508032.00000000006</v>
      </c>
      <c r="V7452" s="3"/>
      <c r="W7452" s="3">
        <v>2014</v>
      </c>
      <c r="X7452" s="6"/>
    </row>
    <row r="7453" spans="1:24" ht="102">
      <c r="A7453" s="3" t="s">
        <v>11123</v>
      </c>
      <c r="B7453" s="6" t="s">
        <v>361</v>
      </c>
      <c r="C7453" s="16" t="s">
        <v>10153</v>
      </c>
      <c r="D7453" s="16" t="s">
        <v>10154</v>
      </c>
      <c r="E7453" s="16" t="s">
        <v>10155</v>
      </c>
      <c r="F7453" s="6" t="s">
        <v>10156</v>
      </c>
      <c r="G7453" s="3" t="s">
        <v>11449</v>
      </c>
      <c r="H7453" s="98">
        <v>0</v>
      </c>
      <c r="I7453" s="16">
        <v>470000000</v>
      </c>
      <c r="J7453" s="16" t="s">
        <v>229</v>
      </c>
      <c r="K7453" s="6" t="s">
        <v>10125</v>
      </c>
      <c r="L7453" s="17" t="s">
        <v>11410</v>
      </c>
      <c r="M7453" s="162" t="s">
        <v>230</v>
      </c>
      <c r="N7453" s="65" t="s">
        <v>10121</v>
      </c>
      <c r="O7453" s="6" t="s">
        <v>8906</v>
      </c>
      <c r="P7453" s="58" t="s">
        <v>241</v>
      </c>
      <c r="Q7453" s="6" t="s">
        <v>234</v>
      </c>
      <c r="R7453" s="6">
        <v>2</v>
      </c>
      <c r="S7453" s="1">
        <v>1079400</v>
      </c>
      <c r="T7453" s="4">
        <v>0</v>
      </c>
      <c r="U7453" s="4">
        <f t="shared" si="355"/>
        <v>0</v>
      </c>
      <c r="V7453" s="3"/>
      <c r="W7453" s="3">
        <v>2014</v>
      </c>
      <c r="X7453" s="3">
        <v>11</v>
      </c>
    </row>
    <row r="7454" spans="1:24" ht="102">
      <c r="A7454" s="3" t="s">
        <v>14050</v>
      </c>
      <c r="B7454" s="6" t="s">
        <v>361</v>
      </c>
      <c r="C7454" s="16" t="s">
        <v>10153</v>
      </c>
      <c r="D7454" s="16" t="s">
        <v>10154</v>
      </c>
      <c r="E7454" s="16" t="s">
        <v>10155</v>
      </c>
      <c r="F7454" s="6" t="s">
        <v>10156</v>
      </c>
      <c r="G7454" s="3" t="s">
        <v>11449</v>
      </c>
      <c r="H7454" s="98">
        <v>0</v>
      </c>
      <c r="I7454" s="16">
        <v>470000000</v>
      </c>
      <c r="J7454" s="16" t="s">
        <v>229</v>
      </c>
      <c r="K7454" s="6" t="s">
        <v>642</v>
      </c>
      <c r="L7454" s="17" t="s">
        <v>11410</v>
      </c>
      <c r="M7454" s="162" t="s">
        <v>230</v>
      </c>
      <c r="N7454" s="65" t="s">
        <v>10121</v>
      </c>
      <c r="O7454" s="6" t="s">
        <v>8906</v>
      </c>
      <c r="P7454" s="58" t="s">
        <v>241</v>
      </c>
      <c r="Q7454" s="6" t="s">
        <v>234</v>
      </c>
      <c r="R7454" s="6">
        <v>2</v>
      </c>
      <c r="S7454" s="1">
        <v>1079400</v>
      </c>
      <c r="T7454" s="4">
        <f>R7454*S7454</f>
        <v>2158800</v>
      </c>
      <c r="U7454" s="4">
        <f>T7454*1.12</f>
        <v>2417856</v>
      </c>
      <c r="V7454" s="3"/>
      <c r="W7454" s="3">
        <v>2014</v>
      </c>
      <c r="X7454" s="3"/>
    </row>
    <row r="7455" spans="1:24" ht="102">
      <c r="A7455" s="3" t="s">
        <v>11124</v>
      </c>
      <c r="B7455" s="6" t="s">
        <v>361</v>
      </c>
      <c r="C7455" s="16" t="s">
        <v>10157</v>
      </c>
      <c r="D7455" s="16" t="s">
        <v>10158</v>
      </c>
      <c r="E7455" s="16" t="s">
        <v>10159</v>
      </c>
      <c r="F7455" s="6" t="s">
        <v>10160</v>
      </c>
      <c r="G7455" s="3" t="s">
        <v>11449</v>
      </c>
      <c r="H7455" s="98">
        <v>0</v>
      </c>
      <c r="I7455" s="16">
        <v>470000000</v>
      </c>
      <c r="J7455" s="16" t="s">
        <v>229</v>
      </c>
      <c r="K7455" s="6" t="s">
        <v>10125</v>
      </c>
      <c r="L7455" s="17" t="s">
        <v>11410</v>
      </c>
      <c r="M7455" s="162" t="s">
        <v>230</v>
      </c>
      <c r="N7455" s="65" t="s">
        <v>10121</v>
      </c>
      <c r="O7455" s="6" t="s">
        <v>8906</v>
      </c>
      <c r="P7455" s="58" t="s">
        <v>241</v>
      </c>
      <c r="Q7455" s="6" t="s">
        <v>234</v>
      </c>
      <c r="R7455" s="6">
        <v>3</v>
      </c>
      <c r="S7455" s="1">
        <v>810000</v>
      </c>
      <c r="T7455" s="4">
        <v>0</v>
      </c>
      <c r="U7455" s="4">
        <f>T7455*1.12</f>
        <v>0</v>
      </c>
      <c r="V7455" s="3"/>
      <c r="W7455" s="3">
        <v>2014</v>
      </c>
      <c r="X7455" s="3">
        <v>11</v>
      </c>
    </row>
    <row r="7456" spans="1:24" ht="102">
      <c r="A7456" s="3" t="s">
        <v>14051</v>
      </c>
      <c r="B7456" s="6" t="s">
        <v>361</v>
      </c>
      <c r="C7456" s="16" t="s">
        <v>10157</v>
      </c>
      <c r="D7456" s="16" t="s">
        <v>10158</v>
      </c>
      <c r="E7456" s="16" t="s">
        <v>10159</v>
      </c>
      <c r="F7456" s="6" t="s">
        <v>10160</v>
      </c>
      <c r="G7456" s="3" t="s">
        <v>11449</v>
      </c>
      <c r="H7456" s="98">
        <v>0</v>
      </c>
      <c r="I7456" s="16">
        <v>470000000</v>
      </c>
      <c r="J7456" s="16" t="s">
        <v>229</v>
      </c>
      <c r="K7456" s="6" t="s">
        <v>642</v>
      </c>
      <c r="L7456" s="17" t="s">
        <v>11410</v>
      </c>
      <c r="M7456" s="162" t="s">
        <v>230</v>
      </c>
      <c r="N7456" s="65" t="s">
        <v>10121</v>
      </c>
      <c r="O7456" s="6" t="s">
        <v>8906</v>
      </c>
      <c r="P7456" s="58" t="s">
        <v>241</v>
      </c>
      <c r="Q7456" s="6" t="s">
        <v>234</v>
      </c>
      <c r="R7456" s="6">
        <v>3</v>
      </c>
      <c r="S7456" s="1">
        <v>810000</v>
      </c>
      <c r="T7456" s="4">
        <v>0</v>
      </c>
      <c r="U7456" s="4">
        <f>T7456*1.12</f>
        <v>0</v>
      </c>
      <c r="V7456" s="3"/>
      <c r="W7456" s="3">
        <v>2014</v>
      </c>
      <c r="X7456" s="3" t="s">
        <v>16468</v>
      </c>
    </row>
    <row r="7457" spans="1:24" ht="102">
      <c r="A7457" s="3" t="s">
        <v>16535</v>
      </c>
      <c r="B7457" s="6" t="s">
        <v>361</v>
      </c>
      <c r="C7457" s="16" t="s">
        <v>10157</v>
      </c>
      <c r="D7457" s="16" t="s">
        <v>10158</v>
      </c>
      <c r="E7457" s="16" t="s">
        <v>10159</v>
      </c>
      <c r="F7457" s="6" t="s">
        <v>10160</v>
      </c>
      <c r="G7457" s="3" t="s">
        <v>11450</v>
      </c>
      <c r="H7457" s="98">
        <v>0</v>
      </c>
      <c r="I7457" s="16">
        <v>470000000</v>
      </c>
      <c r="J7457" s="16" t="s">
        <v>229</v>
      </c>
      <c r="K7457" s="6" t="s">
        <v>10120</v>
      </c>
      <c r="L7457" s="17" t="s">
        <v>16533</v>
      </c>
      <c r="M7457" s="162" t="s">
        <v>230</v>
      </c>
      <c r="N7457" s="65" t="s">
        <v>10121</v>
      </c>
      <c r="O7457" s="6" t="s">
        <v>8906</v>
      </c>
      <c r="P7457" s="58" t="s">
        <v>241</v>
      </c>
      <c r="Q7457" s="6" t="s">
        <v>234</v>
      </c>
      <c r="R7457" s="6">
        <v>3</v>
      </c>
      <c r="S7457" s="1">
        <v>972000</v>
      </c>
      <c r="T7457" s="4">
        <v>0</v>
      </c>
      <c r="U7457" s="4">
        <f>T7457*1.12</f>
        <v>0</v>
      </c>
      <c r="V7457" s="3"/>
      <c r="W7457" s="3">
        <v>2014</v>
      </c>
      <c r="X7457" s="3">
        <v>11</v>
      </c>
    </row>
    <row r="7458" spans="1:24" ht="102">
      <c r="A7458" s="3" t="s">
        <v>18470</v>
      </c>
      <c r="B7458" s="6" t="s">
        <v>361</v>
      </c>
      <c r="C7458" s="16" t="s">
        <v>10157</v>
      </c>
      <c r="D7458" s="16" t="s">
        <v>10158</v>
      </c>
      <c r="E7458" s="16" t="s">
        <v>10159</v>
      </c>
      <c r="F7458" s="6" t="s">
        <v>10160</v>
      </c>
      <c r="G7458" s="3" t="s">
        <v>11450</v>
      </c>
      <c r="H7458" s="98">
        <v>0</v>
      </c>
      <c r="I7458" s="16">
        <v>470000000</v>
      </c>
      <c r="J7458" s="16" t="s">
        <v>229</v>
      </c>
      <c r="K7458" s="6" t="s">
        <v>18748</v>
      </c>
      <c r="L7458" s="17" t="s">
        <v>16533</v>
      </c>
      <c r="M7458" s="162" t="s">
        <v>230</v>
      </c>
      <c r="N7458" s="65" t="s">
        <v>10121</v>
      </c>
      <c r="O7458" s="6" t="s">
        <v>8906</v>
      </c>
      <c r="P7458" s="58" t="s">
        <v>241</v>
      </c>
      <c r="Q7458" s="6" t="s">
        <v>234</v>
      </c>
      <c r="R7458" s="6">
        <v>3</v>
      </c>
      <c r="S7458" s="1">
        <v>972000</v>
      </c>
      <c r="T7458" s="4">
        <v>0</v>
      </c>
      <c r="U7458" s="4">
        <f t="shared" ref="U7458:U7459" si="358">T7458*1.12</f>
        <v>0</v>
      </c>
      <c r="V7458" s="3"/>
      <c r="W7458" s="3">
        <v>2014</v>
      </c>
      <c r="X7458" s="6" t="s">
        <v>14265</v>
      </c>
    </row>
    <row r="7459" spans="1:24" ht="89.25">
      <c r="A7459" s="3" t="s">
        <v>19530</v>
      </c>
      <c r="B7459" s="6" t="s">
        <v>361</v>
      </c>
      <c r="C7459" s="16" t="s">
        <v>10157</v>
      </c>
      <c r="D7459" s="16" t="s">
        <v>10158</v>
      </c>
      <c r="E7459" s="16" t="s">
        <v>10159</v>
      </c>
      <c r="F7459" s="6" t="s">
        <v>10160</v>
      </c>
      <c r="G7459" s="3" t="s">
        <v>11450</v>
      </c>
      <c r="H7459" s="98">
        <v>0</v>
      </c>
      <c r="I7459" s="16">
        <v>470000000</v>
      </c>
      <c r="J7459" s="16" t="s">
        <v>229</v>
      </c>
      <c r="K7459" s="6" t="s">
        <v>9956</v>
      </c>
      <c r="L7459" s="17" t="s">
        <v>16533</v>
      </c>
      <c r="M7459" s="162" t="s">
        <v>230</v>
      </c>
      <c r="N7459" s="65" t="s">
        <v>19398</v>
      </c>
      <c r="O7459" s="6" t="s">
        <v>19407</v>
      </c>
      <c r="P7459" s="58" t="s">
        <v>241</v>
      </c>
      <c r="Q7459" s="6" t="s">
        <v>234</v>
      </c>
      <c r="R7459" s="6">
        <v>3</v>
      </c>
      <c r="S7459" s="1">
        <v>972000</v>
      </c>
      <c r="T7459" s="4">
        <f>R7459*S7459</f>
        <v>2916000</v>
      </c>
      <c r="U7459" s="97">
        <f t="shared" si="358"/>
        <v>3265920.0000000005</v>
      </c>
      <c r="V7459" s="3"/>
      <c r="W7459" s="3">
        <v>2014</v>
      </c>
      <c r="X7459" s="6"/>
    </row>
    <row r="7460" spans="1:24" ht="102">
      <c r="A7460" s="3" t="s">
        <v>11125</v>
      </c>
      <c r="B7460" s="6" t="s">
        <v>361</v>
      </c>
      <c r="C7460" s="6" t="s">
        <v>10161</v>
      </c>
      <c r="D7460" s="6" t="s">
        <v>10162</v>
      </c>
      <c r="E7460" s="6" t="s">
        <v>10163</v>
      </c>
      <c r="F7460" s="6" t="s">
        <v>11716</v>
      </c>
      <c r="G7460" s="3" t="s">
        <v>11449</v>
      </c>
      <c r="H7460" s="98">
        <v>0</v>
      </c>
      <c r="I7460" s="16">
        <v>470000000</v>
      </c>
      <c r="J7460" s="16" t="s">
        <v>229</v>
      </c>
      <c r="K7460" s="6" t="s">
        <v>10125</v>
      </c>
      <c r="L7460" s="17" t="s">
        <v>11410</v>
      </c>
      <c r="M7460" s="162" t="s">
        <v>230</v>
      </c>
      <c r="N7460" s="65" t="s">
        <v>10121</v>
      </c>
      <c r="O7460" s="6" t="s">
        <v>8906</v>
      </c>
      <c r="P7460" s="58" t="s">
        <v>241</v>
      </c>
      <c r="Q7460" s="6" t="s">
        <v>234</v>
      </c>
      <c r="R7460" s="3">
        <v>2</v>
      </c>
      <c r="S7460" s="1">
        <v>522480</v>
      </c>
      <c r="T7460" s="4">
        <v>0</v>
      </c>
      <c r="U7460" s="4">
        <f t="shared" si="355"/>
        <v>0</v>
      </c>
      <c r="V7460" s="3"/>
      <c r="W7460" s="3">
        <v>2014</v>
      </c>
      <c r="X7460" s="3">
        <v>11</v>
      </c>
    </row>
    <row r="7461" spans="1:24" ht="102">
      <c r="A7461" s="3" t="s">
        <v>14054</v>
      </c>
      <c r="B7461" s="6" t="s">
        <v>361</v>
      </c>
      <c r="C7461" s="6" t="s">
        <v>10161</v>
      </c>
      <c r="D7461" s="6" t="s">
        <v>10162</v>
      </c>
      <c r="E7461" s="6" t="s">
        <v>10163</v>
      </c>
      <c r="F7461" s="6" t="s">
        <v>11716</v>
      </c>
      <c r="G7461" s="3" t="s">
        <v>11449</v>
      </c>
      <c r="H7461" s="98">
        <v>0</v>
      </c>
      <c r="I7461" s="16">
        <v>470000000</v>
      </c>
      <c r="J7461" s="16" t="s">
        <v>229</v>
      </c>
      <c r="K7461" s="6" t="s">
        <v>642</v>
      </c>
      <c r="L7461" s="17" t="s">
        <v>11410</v>
      </c>
      <c r="M7461" s="162" t="s">
        <v>230</v>
      </c>
      <c r="N7461" s="65" t="s">
        <v>10121</v>
      </c>
      <c r="O7461" s="6" t="s">
        <v>8906</v>
      </c>
      <c r="P7461" s="58" t="s">
        <v>241</v>
      </c>
      <c r="Q7461" s="6" t="s">
        <v>234</v>
      </c>
      <c r="R7461" s="3">
        <v>2</v>
      </c>
      <c r="S7461" s="1">
        <v>522480</v>
      </c>
      <c r="T7461" s="4">
        <v>0</v>
      </c>
      <c r="U7461" s="4">
        <f>T7461*1.12</f>
        <v>0</v>
      </c>
      <c r="V7461" s="3"/>
      <c r="W7461" s="3">
        <v>2014</v>
      </c>
      <c r="X7461" s="3" t="s">
        <v>16468</v>
      </c>
    </row>
    <row r="7462" spans="1:24" ht="102">
      <c r="A7462" s="3" t="s">
        <v>16538</v>
      </c>
      <c r="B7462" s="6" t="s">
        <v>361</v>
      </c>
      <c r="C7462" s="6" t="s">
        <v>10161</v>
      </c>
      <c r="D7462" s="6" t="s">
        <v>10162</v>
      </c>
      <c r="E7462" s="6" t="s">
        <v>10163</v>
      </c>
      <c r="F7462" s="6" t="s">
        <v>11716</v>
      </c>
      <c r="G7462" s="3" t="s">
        <v>11450</v>
      </c>
      <c r="H7462" s="98">
        <v>0</v>
      </c>
      <c r="I7462" s="16">
        <v>470000000</v>
      </c>
      <c r="J7462" s="16" t="s">
        <v>229</v>
      </c>
      <c r="K7462" s="6" t="s">
        <v>10120</v>
      </c>
      <c r="L7462" s="17" t="s">
        <v>16533</v>
      </c>
      <c r="M7462" s="162" t="s">
        <v>230</v>
      </c>
      <c r="N7462" s="65" t="s">
        <v>10121</v>
      </c>
      <c r="O7462" s="6" t="s">
        <v>8906</v>
      </c>
      <c r="P7462" s="58" t="s">
        <v>241</v>
      </c>
      <c r="Q7462" s="6" t="s">
        <v>234</v>
      </c>
      <c r="R7462" s="3">
        <v>2</v>
      </c>
      <c r="S7462" s="1">
        <v>626976</v>
      </c>
      <c r="T7462" s="4">
        <v>0</v>
      </c>
      <c r="U7462" s="4">
        <f>T7462*1.12</f>
        <v>0</v>
      </c>
      <c r="V7462" s="3"/>
      <c r="W7462" s="3">
        <v>2014</v>
      </c>
      <c r="X7462" s="3">
        <v>11</v>
      </c>
    </row>
    <row r="7463" spans="1:24" ht="102">
      <c r="A7463" s="3" t="s">
        <v>18471</v>
      </c>
      <c r="B7463" s="6" t="s">
        <v>361</v>
      </c>
      <c r="C7463" s="6" t="s">
        <v>10161</v>
      </c>
      <c r="D7463" s="6" t="s">
        <v>10162</v>
      </c>
      <c r="E7463" s="6" t="s">
        <v>10163</v>
      </c>
      <c r="F7463" s="6" t="s">
        <v>11716</v>
      </c>
      <c r="G7463" s="3" t="s">
        <v>11450</v>
      </c>
      <c r="H7463" s="98">
        <v>0</v>
      </c>
      <c r="I7463" s="16">
        <v>470000000</v>
      </c>
      <c r="J7463" s="16" t="s">
        <v>229</v>
      </c>
      <c r="K7463" s="6" t="s">
        <v>18748</v>
      </c>
      <c r="L7463" s="17" t="s">
        <v>16533</v>
      </c>
      <c r="M7463" s="162" t="s">
        <v>230</v>
      </c>
      <c r="N7463" s="65" t="s">
        <v>10121</v>
      </c>
      <c r="O7463" s="6" t="s">
        <v>8906</v>
      </c>
      <c r="P7463" s="58" t="s">
        <v>241</v>
      </c>
      <c r="Q7463" s="6" t="s">
        <v>234</v>
      </c>
      <c r="R7463" s="3">
        <v>2</v>
      </c>
      <c r="S7463" s="1">
        <v>626976</v>
      </c>
      <c r="T7463" s="4">
        <v>0</v>
      </c>
      <c r="U7463" s="4">
        <f t="shared" ref="U7463:U7464" si="359">T7463*1.12</f>
        <v>0</v>
      </c>
      <c r="V7463" s="3"/>
      <c r="W7463" s="3">
        <v>2014</v>
      </c>
      <c r="X7463" s="6" t="s">
        <v>14265</v>
      </c>
    </row>
    <row r="7464" spans="1:24" ht="76.5">
      <c r="A7464" s="3" t="s">
        <v>19531</v>
      </c>
      <c r="B7464" s="6" t="s">
        <v>361</v>
      </c>
      <c r="C7464" s="6" t="s">
        <v>10161</v>
      </c>
      <c r="D7464" s="6" t="s">
        <v>10162</v>
      </c>
      <c r="E7464" s="6" t="s">
        <v>10163</v>
      </c>
      <c r="F7464" s="6" t="s">
        <v>11716</v>
      </c>
      <c r="G7464" s="3" t="s">
        <v>11450</v>
      </c>
      <c r="H7464" s="98">
        <v>0</v>
      </c>
      <c r="I7464" s="16">
        <v>470000000</v>
      </c>
      <c r="J7464" s="16" t="s">
        <v>229</v>
      </c>
      <c r="K7464" s="6" t="s">
        <v>9956</v>
      </c>
      <c r="L7464" s="17" t="s">
        <v>16533</v>
      </c>
      <c r="M7464" s="162" t="s">
        <v>230</v>
      </c>
      <c r="N7464" s="65" t="s">
        <v>19398</v>
      </c>
      <c r="O7464" s="6" t="s">
        <v>19407</v>
      </c>
      <c r="P7464" s="58" t="s">
        <v>241</v>
      </c>
      <c r="Q7464" s="6" t="s">
        <v>234</v>
      </c>
      <c r="R7464" s="3">
        <v>2</v>
      </c>
      <c r="S7464" s="1">
        <v>626976</v>
      </c>
      <c r="T7464" s="4">
        <f>R7464*S7464</f>
        <v>1253952</v>
      </c>
      <c r="U7464" s="97">
        <f t="shared" si="359"/>
        <v>1404426.2400000002</v>
      </c>
      <c r="V7464" s="3"/>
      <c r="W7464" s="3">
        <v>2014</v>
      </c>
      <c r="X7464" s="6"/>
    </row>
    <row r="7465" spans="1:24" ht="102">
      <c r="A7465" s="3" t="s">
        <v>11127</v>
      </c>
      <c r="B7465" s="6" t="s">
        <v>361</v>
      </c>
      <c r="C7465" s="6" t="s">
        <v>10164</v>
      </c>
      <c r="D7465" s="6" t="s">
        <v>10165</v>
      </c>
      <c r="E7465" s="6" t="s">
        <v>10166</v>
      </c>
      <c r="F7465" s="6" t="s">
        <v>11722</v>
      </c>
      <c r="G7465" s="3" t="s">
        <v>11449</v>
      </c>
      <c r="H7465" s="98">
        <v>0</v>
      </c>
      <c r="I7465" s="16">
        <v>470000000</v>
      </c>
      <c r="J7465" s="16" t="s">
        <v>229</v>
      </c>
      <c r="K7465" s="6" t="s">
        <v>10125</v>
      </c>
      <c r="L7465" s="17" t="s">
        <v>11411</v>
      </c>
      <c r="M7465" s="162" t="s">
        <v>230</v>
      </c>
      <c r="N7465" s="65" t="s">
        <v>10121</v>
      </c>
      <c r="O7465" s="6" t="s">
        <v>8906</v>
      </c>
      <c r="P7465" s="58" t="s">
        <v>241</v>
      </c>
      <c r="Q7465" s="6" t="s">
        <v>234</v>
      </c>
      <c r="R7465" s="3">
        <v>3</v>
      </c>
      <c r="S7465" s="1">
        <v>133200</v>
      </c>
      <c r="T7465" s="4">
        <v>0</v>
      </c>
      <c r="U7465" s="4">
        <f t="shared" si="355"/>
        <v>0</v>
      </c>
      <c r="V7465" s="3"/>
      <c r="W7465" s="3">
        <v>2014</v>
      </c>
      <c r="X7465" s="3">
        <v>11</v>
      </c>
    </row>
    <row r="7466" spans="1:24" ht="102">
      <c r="A7466" s="3" t="s">
        <v>14049</v>
      </c>
      <c r="B7466" s="6" t="s">
        <v>361</v>
      </c>
      <c r="C7466" s="6" t="s">
        <v>10164</v>
      </c>
      <c r="D7466" s="6" t="s">
        <v>10165</v>
      </c>
      <c r="E7466" s="6" t="s">
        <v>10166</v>
      </c>
      <c r="F7466" s="6" t="s">
        <v>11722</v>
      </c>
      <c r="G7466" s="3" t="s">
        <v>11449</v>
      </c>
      <c r="H7466" s="98">
        <v>0</v>
      </c>
      <c r="I7466" s="16">
        <v>470000000</v>
      </c>
      <c r="J7466" s="16" t="s">
        <v>229</v>
      </c>
      <c r="K7466" s="6" t="s">
        <v>642</v>
      </c>
      <c r="L7466" s="17" t="s">
        <v>11411</v>
      </c>
      <c r="M7466" s="162" t="s">
        <v>230</v>
      </c>
      <c r="N7466" s="65" t="s">
        <v>10121</v>
      </c>
      <c r="O7466" s="6" t="s">
        <v>8906</v>
      </c>
      <c r="P7466" s="58" t="s">
        <v>241</v>
      </c>
      <c r="Q7466" s="6" t="s">
        <v>234</v>
      </c>
      <c r="R7466" s="3">
        <v>3</v>
      </c>
      <c r="S7466" s="1">
        <v>133200</v>
      </c>
      <c r="T7466" s="4">
        <v>0</v>
      </c>
      <c r="U7466" s="4">
        <f t="shared" si="355"/>
        <v>0</v>
      </c>
      <c r="V7466" s="3"/>
      <c r="W7466" s="3">
        <v>2014</v>
      </c>
      <c r="X7466" s="3" t="s">
        <v>16431</v>
      </c>
    </row>
    <row r="7467" spans="1:24" ht="102">
      <c r="A7467" s="3" t="s">
        <v>16545</v>
      </c>
      <c r="B7467" s="6" t="s">
        <v>361</v>
      </c>
      <c r="C7467" s="6" t="s">
        <v>10164</v>
      </c>
      <c r="D7467" s="6" t="s">
        <v>10165</v>
      </c>
      <c r="E7467" s="6" t="s">
        <v>10166</v>
      </c>
      <c r="F7467" s="6" t="s">
        <v>11722</v>
      </c>
      <c r="G7467" s="3" t="s">
        <v>11450</v>
      </c>
      <c r="H7467" s="98">
        <v>0</v>
      </c>
      <c r="I7467" s="16">
        <v>470000000</v>
      </c>
      <c r="J7467" s="16" t="s">
        <v>229</v>
      </c>
      <c r="K7467" s="6" t="s">
        <v>10120</v>
      </c>
      <c r="L7467" s="17" t="s">
        <v>11411</v>
      </c>
      <c r="M7467" s="162" t="s">
        <v>230</v>
      </c>
      <c r="N7467" s="65" t="s">
        <v>10121</v>
      </c>
      <c r="O7467" s="6" t="s">
        <v>8906</v>
      </c>
      <c r="P7467" s="58" t="s">
        <v>241</v>
      </c>
      <c r="Q7467" s="6" t="s">
        <v>234</v>
      </c>
      <c r="R7467" s="3">
        <v>3</v>
      </c>
      <c r="S7467" s="1">
        <v>159840</v>
      </c>
      <c r="T7467" s="4">
        <v>0</v>
      </c>
      <c r="U7467" s="4">
        <f t="shared" si="355"/>
        <v>0</v>
      </c>
      <c r="V7467" s="3"/>
      <c r="W7467" s="3">
        <v>2014</v>
      </c>
      <c r="X7467" s="3">
        <v>11</v>
      </c>
    </row>
    <row r="7468" spans="1:24" ht="102">
      <c r="A7468" s="3" t="s">
        <v>18472</v>
      </c>
      <c r="B7468" s="6" t="s">
        <v>361</v>
      </c>
      <c r="C7468" s="6" t="s">
        <v>10164</v>
      </c>
      <c r="D7468" s="6" t="s">
        <v>10165</v>
      </c>
      <c r="E7468" s="6" t="s">
        <v>10166</v>
      </c>
      <c r="F7468" s="6" t="s">
        <v>11722</v>
      </c>
      <c r="G7468" s="3" t="s">
        <v>11450</v>
      </c>
      <c r="H7468" s="98">
        <v>0</v>
      </c>
      <c r="I7468" s="16">
        <v>470000000</v>
      </c>
      <c r="J7468" s="16" t="s">
        <v>229</v>
      </c>
      <c r="K7468" s="6" t="s">
        <v>18748</v>
      </c>
      <c r="L7468" s="17" t="s">
        <v>11411</v>
      </c>
      <c r="M7468" s="162" t="s">
        <v>230</v>
      </c>
      <c r="N7468" s="65" t="s">
        <v>10121</v>
      </c>
      <c r="O7468" s="6" t="s">
        <v>8906</v>
      </c>
      <c r="P7468" s="58" t="s">
        <v>241</v>
      </c>
      <c r="Q7468" s="6" t="s">
        <v>234</v>
      </c>
      <c r="R7468" s="3">
        <v>3</v>
      </c>
      <c r="S7468" s="1">
        <v>159840</v>
      </c>
      <c r="T7468" s="4">
        <v>0</v>
      </c>
      <c r="U7468" s="4">
        <f t="shared" si="355"/>
        <v>0</v>
      </c>
      <c r="V7468" s="3"/>
      <c r="W7468" s="3">
        <v>2014</v>
      </c>
      <c r="X7468" s="6" t="s">
        <v>14265</v>
      </c>
    </row>
    <row r="7469" spans="1:24" ht="76.5">
      <c r="A7469" s="3" t="s">
        <v>19532</v>
      </c>
      <c r="B7469" s="6" t="s">
        <v>361</v>
      </c>
      <c r="C7469" s="6" t="s">
        <v>10164</v>
      </c>
      <c r="D7469" s="6" t="s">
        <v>10165</v>
      </c>
      <c r="E7469" s="6" t="s">
        <v>10166</v>
      </c>
      <c r="F7469" s="6" t="s">
        <v>11722</v>
      </c>
      <c r="G7469" s="3" t="s">
        <v>11450</v>
      </c>
      <c r="H7469" s="98">
        <v>0</v>
      </c>
      <c r="I7469" s="16">
        <v>470000000</v>
      </c>
      <c r="J7469" s="16" t="s">
        <v>229</v>
      </c>
      <c r="K7469" s="6" t="s">
        <v>9956</v>
      </c>
      <c r="L7469" s="17" t="s">
        <v>11411</v>
      </c>
      <c r="M7469" s="162" t="s">
        <v>230</v>
      </c>
      <c r="N7469" s="65" t="s">
        <v>19398</v>
      </c>
      <c r="O7469" s="6" t="s">
        <v>19407</v>
      </c>
      <c r="P7469" s="58" t="s">
        <v>241</v>
      </c>
      <c r="Q7469" s="6" t="s">
        <v>234</v>
      </c>
      <c r="R7469" s="3">
        <v>3</v>
      </c>
      <c r="S7469" s="1">
        <v>159840</v>
      </c>
      <c r="T7469" s="4">
        <f>R7469*S7469</f>
        <v>479520</v>
      </c>
      <c r="U7469" s="97">
        <f t="shared" si="355"/>
        <v>537062.40000000002</v>
      </c>
      <c r="V7469" s="3"/>
      <c r="W7469" s="3">
        <v>2014</v>
      </c>
      <c r="X7469" s="6"/>
    </row>
    <row r="7470" spans="1:24" ht="102">
      <c r="A7470" s="3" t="s">
        <v>11128</v>
      </c>
      <c r="B7470" s="6" t="s">
        <v>361</v>
      </c>
      <c r="C7470" s="16" t="s">
        <v>10167</v>
      </c>
      <c r="D7470" s="16" t="s">
        <v>10168</v>
      </c>
      <c r="E7470" s="16" t="s">
        <v>10168</v>
      </c>
      <c r="F7470" s="6" t="s">
        <v>10169</v>
      </c>
      <c r="G7470" s="3" t="s">
        <v>11449</v>
      </c>
      <c r="H7470" s="98">
        <v>0</v>
      </c>
      <c r="I7470" s="16">
        <v>470000000</v>
      </c>
      <c r="J7470" s="16" t="s">
        <v>229</v>
      </c>
      <c r="K7470" s="6" t="s">
        <v>10125</v>
      </c>
      <c r="L7470" s="17" t="s">
        <v>11410</v>
      </c>
      <c r="M7470" s="162" t="s">
        <v>230</v>
      </c>
      <c r="N7470" s="65" t="s">
        <v>10121</v>
      </c>
      <c r="O7470" s="6" t="s">
        <v>8906</v>
      </c>
      <c r="P7470" s="58" t="s">
        <v>241</v>
      </c>
      <c r="Q7470" s="6" t="s">
        <v>234</v>
      </c>
      <c r="R7470" s="3">
        <v>2</v>
      </c>
      <c r="S7470" s="1">
        <v>39060</v>
      </c>
      <c r="T7470" s="4">
        <v>0</v>
      </c>
      <c r="U7470" s="4">
        <f t="shared" si="355"/>
        <v>0</v>
      </c>
      <c r="V7470" s="3"/>
      <c r="W7470" s="3">
        <v>2014</v>
      </c>
      <c r="X7470" s="3">
        <v>11</v>
      </c>
    </row>
    <row r="7471" spans="1:24" ht="102">
      <c r="A7471" s="3" t="s">
        <v>14052</v>
      </c>
      <c r="B7471" s="6" t="s">
        <v>361</v>
      </c>
      <c r="C7471" s="16" t="s">
        <v>10167</v>
      </c>
      <c r="D7471" s="16" t="s">
        <v>10168</v>
      </c>
      <c r="E7471" s="16" t="s">
        <v>10168</v>
      </c>
      <c r="F7471" s="6" t="s">
        <v>10169</v>
      </c>
      <c r="G7471" s="3" t="s">
        <v>11449</v>
      </c>
      <c r="H7471" s="98">
        <v>0</v>
      </c>
      <c r="I7471" s="16">
        <v>470000000</v>
      </c>
      <c r="J7471" s="16" t="s">
        <v>229</v>
      </c>
      <c r="K7471" s="6" t="s">
        <v>642</v>
      </c>
      <c r="L7471" s="17" t="s">
        <v>11410</v>
      </c>
      <c r="M7471" s="162" t="s">
        <v>230</v>
      </c>
      <c r="N7471" s="65" t="s">
        <v>10121</v>
      </c>
      <c r="O7471" s="6" t="s">
        <v>8906</v>
      </c>
      <c r="P7471" s="58" t="s">
        <v>241</v>
      </c>
      <c r="Q7471" s="6" t="s">
        <v>234</v>
      </c>
      <c r="R7471" s="3">
        <v>2</v>
      </c>
      <c r="S7471" s="1">
        <v>39060</v>
      </c>
      <c r="T7471" s="4">
        <v>0</v>
      </c>
      <c r="U7471" s="4">
        <f t="shared" si="355"/>
        <v>0</v>
      </c>
      <c r="V7471" s="3"/>
      <c r="W7471" s="3">
        <v>2014</v>
      </c>
      <c r="X7471" s="3" t="s">
        <v>16468</v>
      </c>
    </row>
    <row r="7472" spans="1:24" ht="102">
      <c r="A7472" s="3" t="s">
        <v>16536</v>
      </c>
      <c r="B7472" s="6" t="s">
        <v>361</v>
      </c>
      <c r="C7472" s="16" t="s">
        <v>10167</v>
      </c>
      <c r="D7472" s="16" t="s">
        <v>10168</v>
      </c>
      <c r="E7472" s="16" t="s">
        <v>10168</v>
      </c>
      <c r="F7472" s="6" t="s">
        <v>10169</v>
      </c>
      <c r="G7472" s="3" t="s">
        <v>11450</v>
      </c>
      <c r="H7472" s="98">
        <v>0</v>
      </c>
      <c r="I7472" s="16">
        <v>470000000</v>
      </c>
      <c r="J7472" s="16" t="s">
        <v>229</v>
      </c>
      <c r="K7472" s="6" t="s">
        <v>10120</v>
      </c>
      <c r="L7472" s="17" t="s">
        <v>16533</v>
      </c>
      <c r="M7472" s="162" t="s">
        <v>230</v>
      </c>
      <c r="N7472" s="65" t="s">
        <v>10121</v>
      </c>
      <c r="O7472" s="6" t="s">
        <v>8906</v>
      </c>
      <c r="P7472" s="58" t="s">
        <v>241</v>
      </c>
      <c r="Q7472" s="6" t="s">
        <v>234</v>
      </c>
      <c r="R7472" s="3">
        <v>2</v>
      </c>
      <c r="S7472" s="1">
        <v>46872</v>
      </c>
      <c r="T7472" s="4">
        <v>0</v>
      </c>
      <c r="U7472" s="4">
        <f t="shared" si="355"/>
        <v>0</v>
      </c>
      <c r="V7472" s="3"/>
      <c r="W7472" s="3">
        <v>2014</v>
      </c>
      <c r="X7472" s="3">
        <v>11</v>
      </c>
    </row>
    <row r="7473" spans="1:24" ht="102">
      <c r="A7473" s="3" t="s">
        <v>18473</v>
      </c>
      <c r="B7473" s="6" t="s">
        <v>361</v>
      </c>
      <c r="C7473" s="16" t="s">
        <v>10167</v>
      </c>
      <c r="D7473" s="16" t="s">
        <v>10168</v>
      </c>
      <c r="E7473" s="16" t="s">
        <v>10168</v>
      </c>
      <c r="F7473" s="6" t="s">
        <v>10169</v>
      </c>
      <c r="G7473" s="3" t="s">
        <v>11450</v>
      </c>
      <c r="H7473" s="98">
        <v>0</v>
      </c>
      <c r="I7473" s="16">
        <v>470000000</v>
      </c>
      <c r="J7473" s="16" t="s">
        <v>229</v>
      </c>
      <c r="K7473" s="6" t="s">
        <v>18748</v>
      </c>
      <c r="L7473" s="17" t="s">
        <v>16533</v>
      </c>
      <c r="M7473" s="162" t="s">
        <v>230</v>
      </c>
      <c r="N7473" s="65" t="s">
        <v>10121</v>
      </c>
      <c r="O7473" s="6" t="s">
        <v>8906</v>
      </c>
      <c r="P7473" s="58" t="s">
        <v>241</v>
      </c>
      <c r="Q7473" s="6" t="s">
        <v>234</v>
      </c>
      <c r="R7473" s="3">
        <v>2</v>
      </c>
      <c r="S7473" s="1">
        <v>46872</v>
      </c>
      <c r="T7473" s="4">
        <v>0</v>
      </c>
      <c r="U7473" s="4">
        <f t="shared" si="355"/>
        <v>0</v>
      </c>
      <c r="V7473" s="3"/>
      <c r="W7473" s="3">
        <v>2014</v>
      </c>
      <c r="X7473" s="6" t="s">
        <v>14265</v>
      </c>
    </row>
    <row r="7474" spans="1:24" ht="76.5">
      <c r="A7474" s="3" t="s">
        <v>19533</v>
      </c>
      <c r="B7474" s="6" t="s">
        <v>361</v>
      </c>
      <c r="C7474" s="16" t="s">
        <v>10167</v>
      </c>
      <c r="D7474" s="16" t="s">
        <v>10168</v>
      </c>
      <c r="E7474" s="16" t="s">
        <v>10168</v>
      </c>
      <c r="F7474" s="6" t="s">
        <v>10169</v>
      </c>
      <c r="G7474" s="3" t="s">
        <v>11450</v>
      </c>
      <c r="H7474" s="98">
        <v>0</v>
      </c>
      <c r="I7474" s="16">
        <v>470000000</v>
      </c>
      <c r="J7474" s="16" t="s">
        <v>229</v>
      </c>
      <c r="K7474" s="6" t="s">
        <v>9956</v>
      </c>
      <c r="L7474" s="17" t="s">
        <v>16533</v>
      </c>
      <c r="M7474" s="162" t="s">
        <v>230</v>
      </c>
      <c r="N7474" s="65" t="s">
        <v>19398</v>
      </c>
      <c r="O7474" s="6" t="s">
        <v>19407</v>
      </c>
      <c r="P7474" s="58" t="s">
        <v>241</v>
      </c>
      <c r="Q7474" s="6" t="s">
        <v>234</v>
      </c>
      <c r="R7474" s="3">
        <v>2</v>
      </c>
      <c r="S7474" s="1">
        <v>46872</v>
      </c>
      <c r="T7474" s="4">
        <f>R7474*S7474</f>
        <v>93744</v>
      </c>
      <c r="U7474" s="97">
        <f t="shared" si="355"/>
        <v>104993.28000000001</v>
      </c>
      <c r="V7474" s="3"/>
      <c r="W7474" s="3">
        <v>2014</v>
      </c>
      <c r="X7474" s="6"/>
    </row>
    <row r="7475" spans="1:24" ht="102">
      <c r="A7475" s="3" t="s">
        <v>11129</v>
      </c>
      <c r="B7475" s="6" t="s">
        <v>361</v>
      </c>
      <c r="C7475" s="16" t="s">
        <v>10170</v>
      </c>
      <c r="D7475" s="16" t="s">
        <v>10171</v>
      </c>
      <c r="E7475" s="16" t="s">
        <v>10172</v>
      </c>
      <c r="F7475" s="6" t="s">
        <v>11715</v>
      </c>
      <c r="G7475" s="3" t="s">
        <v>11449</v>
      </c>
      <c r="H7475" s="98">
        <v>0</v>
      </c>
      <c r="I7475" s="16">
        <v>470000000</v>
      </c>
      <c r="J7475" s="16" t="s">
        <v>229</v>
      </c>
      <c r="K7475" s="6" t="s">
        <v>10125</v>
      </c>
      <c r="L7475" s="17" t="s">
        <v>11410</v>
      </c>
      <c r="M7475" s="162" t="s">
        <v>230</v>
      </c>
      <c r="N7475" s="65" t="s">
        <v>10121</v>
      </c>
      <c r="O7475" s="6" t="s">
        <v>8906</v>
      </c>
      <c r="P7475" s="58" t="s">
        <v>241</v>
      </c>
      <c r="Q7475" s="6" t="s">
        <v>234</v>
      </c>
      <c r="R7475" s="3">
        <v>3</v>
      </c>
      <c r="S7475" s="1">
        <v>34200</v>
      </c>
      <c r="T7475" s="4">
        <v>0</v>
      </c>
      <c r="U7475" s="4">
        <f t="shared" si="355"/>
        <v>0</v>
      </c>
      <c r="V7475" s="3"/>
      <c r="W7475" s="3">
        <v>2014</v>
      </c>
      <c r="X7475" s="3">
        <v>11</v>
      </c>
    </row>
    <row r="7476" spans="1:24" ht="102">
      <c r="A7476" s="3" t="s">
        <v>14053</v>
      </c>
      <c r="B7476" s="6" t="s">
        <v>361</v>
      </c>
      <c r="C7476" s="16" t="s">
        <v>10170</v>
      </c>
      <c r="D7476" s="16" t="s">
        <v>10171</v>
      </c>
      <c r="E7476" s="16" t="s">
        <v>10172</v>
      </c>
      <c r="F7476" s="6" t="s">
        <v>11715</v>
      </c>
      <c r="G7476" s="3" t="s">
        <v>11449</v>
      </c>
      <c r="H7476" s="98">
        <v>0</v>
      </c>
      <c r="I7476" s="16">
        <v>470000000</v>
      </c>
      <c r="J7476" s="16" t="s">
        <v>229</v>
      </c>
      <c r="K7476" s="6" t="s">
        <v>642</v>
      </c>
      <c r="L7476" s="17" t="s">
        <v>11410</v>
      </c>
      <c r="M7476" s="162" t="s">
        <v>230</v>
      </c>
      <c r="N7476" s="65" t="s">
        <v>10121</v>
      </c>
      <c r="O7476" s="6" t="s">
        <v>8906</v>
      </c>
      <c r="P7476" s="58" t="s">
        <v>241</v>
      </c>
      <c r="Q7476" s="6" t="s">
        <v>234</v>
      </c>
      <c r="R7476" s="3">
        <v>3</v>
      </c>
      <c r="S7476" s="1">
        <v>34200</v>
      </c>
      <c r="T7476" s="4">
        <v>0</v>
      </c>
      <c r="U7476" s="4">
        <f t="shared" si="355"/>
        <v>0</v>
      </c>
      <c r="V7476" s="3"/>
      <c r="W7476" s="3">
        <v>2014</v>
      </c>
      <c r="X7476" s="3" t="s">
        <v>16468</v>
      </c>
    </row>
    <row r="7477" spans="1:24" ht="102">
      <c r="A7477" s="3" t="s">
        <v>16537</v>
      </c>
      <c r="B7477" s="6" t="s">
        <v>361</v>
      </c>
      <c r="C7477" s="16" t="s">
        <v>10170</v>
      </c>
      <c r="D7477" s="16" t="s">
        <v>10171</v>
      </c>
      <c r="E7477" s="16" t="s">
        <v>10172</v>
      </c>
      <c r="F7477" s="6" t="s">
        <v>11715</v>
      </c>
      <c r="G7477" s="3" t="s">
        <v>11450</v>
      </c>
      <c r="H7477" s="98">
        <v>0</v>
      </c>
      <c r="I7477" s="16">
        <v>470000000</v>
      </c>
      <c r="J7477" s="16" t="s">
        <v>229</v>
      </c>
      <c r="K7477" s="6" t="s">
        <v>10120</v>
      </c>
      <c r="L7477" s="17" t="s">
        <v>16533</v>
      </c>
      <c r="M7477" s="162" t="s">
        <v>230</v>
      </c>
      <c r="N7477" s="65" t="s">
        <v>10121</v>
      </c>
      <c r="O7477" s="6" t="s">
        <v>8906</v>
      </c>
      <c r="P7477" s="58" t="s">
        <v>241</v>
      </c>
      <c r="Q7477" s="6" t="s">
        <v>234</v>
      </c>
      <c r="R7477" s="3">
        <v>3</v>
      </c>
      <c r="S7477" s="1">
        <v>41040</v>
      </c>
      <c r="T7477" s="4">
        <v>0</v>
      </c>
      <c r="U7477" s="4">
        <f t="shared" si="355"/>
        <v>0</v>
      </c>
      <c r="V7477" s="3"/>
      <c r="W7477" s="3">
        <v>2014</v>
      </c>
      <c r="X7477" s="3">
        <v>11</v>
      </c>
    </row>
    <row r="7478" spans="1:24" ht="102">
      <c r="A7478" s="3" t="s">
        <v>18474</v>
      </c>
      <c r="B7478" s="6" t="s">
        <v>361</v>
      </c>
      <c r="C7478" s="16" t="s">
        <v>10170</v>
      </c>
      <c r="D7478" s="16" t="s">
        <v>10171</v>
      </c>
      <c r="E7478" s="16" t="s">
        <v>10172</v>
      </c>
      <c r="F7478" s="6" t="s">
        <v>11715</v>
      </c>
      <c r="G7478" s="3" t="s">
        <v>11450</v>
      </c>
      <c r="H7478" s="98">
        <v>0</v>
      </c>
      <c r="I7478" s="16">
        <v>470000000</v>
      </c>
      <c r="J7478" s="16" t="s">
        <v>229</v>
      </c>
      <c r="K7478" s="6" t="s">
        <v>18748</v>
      </c>
      <c r="L7478" s="17" t="s">
        <v>16533</v>
      </c>
      <c r="M7478" s="162" t="s">
        <v>230</v>
      </c>
      <c r="N7478" s="65" t="s">
        <v>10121</v>
      </c>
      <c r="O7478" s="6" t="s">
        <v>8906</v>
      </c>
      <c r="P7478" s="58" t="s">
        <v>241</v>
      </c>
      <c r="Q7478" s="6" t="s">
        <v>234</v>
      </c>
      <c r="R7478" s="3">
        <v>3</v>
      </c>
      <c r="S7478" s="1">
        <v>41040</v>
      </c>
      <c r="T7478" s="4">
        <v>0</v>
      </c>
      <c r="U7478" s="4">
        <f t="shared" si="355"/>
        <v>0</v>
      </c>
      <c r="V7478" s="3"/>
      <c r="W7478" s="3">
        <v>2014</v>
      </c>
      <c r="X7478" s="6" t="s">
        <v>14265</v>
      </c>
    </row>
    <row r="7479" spans="1:24" ht="76.5">
      <c r="A7479" s="3" t="s">
        <v>19534</v>
      </c>
      <c r="B7479" s="6" t="s">
        <v>361</v>
      </c>
      <c r="C7479" s="16" t="s">
        <v>10170</v>
      </c>
      <c r="D7479" s="16" t="s">
        <v>10171</v>
      </c>
      <c r="E7479" s="16" t="s">
        <v>10172</v>
      </c>
      <c r="F7479" s="6" t="s">
        <v>11715</v>
      </c>
      <c r="G7479" s="3" t="s">
        <v>11450</v>
      </c>
      <c r="H7479" s="98">
        <v>0</v>
      </c>
      <c r="I7479" s="16">
        <v>470000000</v>
      </c>
      <c r="J7479" s="16" t="s">
        <v>229</v>
      </c>
      <c r="K7479" s="6" t="s">
        <v>9956</v>
      </c>
      <c r="L7479" s="17" t="s">
        <v>16533</v>
      </c>
      <c r="M7479" s="162" t="s">
        <v>230</v>
      </c>
      <c r="N7479" s="65" t="s">
        <v>19398</v>
      </c>
      <c r="O7479" s="6" t="s">
        <v>19407</v>
      </c>
      <c r="P7479" s="58" t="s">
        <v>241</v>
      </c>
      <c r="Q7479" s="6" t="s">
        <v>234</v>
      </c>
      <c r="R7479" s="3">
        <v>3</v>
      </c>
      <c r="S7479" s="1">
        <v>41040</v>
      </c>
      <c r="T7479" s="4">
        <f>R7479*S7479</f>
        <v>123120</v>
      </c>
      <c r="U7479" s="97">
        <f t="shared" si="355"/>
        <v>137894.40000000002</v>
      </c>
      <c r="V7479" s="3"/>
      <c r="W7479" s="3">
        <v>2014</v>
      </c>
      <c r="X7479" s="6"/>
    </row>
    <row r="7480" spans="1:24" ht="102">
      <c r="A7480" s="3" t="s">
        <v>11130</v>
      </c>
      <c r="B7480" s="6" t="s">
        <v>361</v>
      </c>
      <c r="C7480" s="16" t="s">
        <v>10173</v>
      </c>
      <c r="D7480" s="16" t="s">
        <v>10174</v>
      </c>
      <c r="E7480" s="16" t="s">
        <v>10175</v>
      </c>
      <c r="F7480" s="6" t="s">
        <v>10176</v>
      </c>
      <c r="G7480" s="3" t="s">
        <v>11449</v>
      </c>
      <c r="H7480" s="98">
        <v>0</v>
      </c>
      <c r="I7480" s="16">
        <v>470000000</v>
      </c>
      <c r="J7480" s="16" t="s">
        <v>229</v>
      </c>
      <c r="K7480" s="6" t="s">
        <v>10125</v>
      </c>
      <c r="L7480" s="17" t="s">
        <v>11410</v>
      </c>
      <c r="M7480" s="162" t="s">
        <v>230</v>
      </c>
      <c r="N7480" s="65" t="s">
        <v>10121</v>
      </c>
      <c r="O7480" s="6" t="s">
        <v>8906</v>
      </c>
      <c r="P7480" s="58" t="s">
        <v>241</v>
      </c>
      <c r="Q7480" s="6" t="s">
        <v>234</v>
      </c>
      <c r="R7480" s="3">
        <v>2</v>
      </c>
      <c r="S7480" s="1">
        <v>691800</v>
      </c>
      <c r="T7480" s="4">
        <v>0</v>
      </c>
      <c r="U7480" s="4">
        <f t="shared" si="355"/>
        <v>0</v>
      </c>
      <c r="V7480" s="3"/>
      <c r="W7480" s="3">
        <v>2014</v>
      </c>
      <c r="X7480" s="3" t="s">
        <v>16554</v>
      </c>
    </row>
    <row r="7481" spans="1:24" ht="102">
      <c r="A7481" s="3" t="s">
        <v>16539</v>
      </c>
      <c r="B7481" s="6" t="s">
        <v>361</v>
      </c>
      <c r="C7481" s="16" t="s">
        <v>10173</v>
      </c>
      <c r="D7481" s="16" t="s">
        <v>10174</v>
      </c>
      <c r="E7481" s="16" t="s">
        <v>10175</v>
      </c>
      <c r="F7481" s="6" t="s">
        <v>10176</v>
      </c>
      <c r="G7481" s="3" t="s">
        <v>11450</v>
      </c>
      <c r="H7481" s="98">
        <v>0</v>
      </c>
      <c r="I7481" s="16">
        <v>470000000</v>
      </c>
      <c r="J7481" s="16" t="s">
        <v>229</v>
      </c>
      <c r="K7481" s="6" t="s">
        <v>10120</v>
      </c>
      <c r="L7481" s="17" t="s">
        <v>16533</v>
      </c>
      <c r="M7481" s="162" t="s">
        <v>230</v>
      </c>
      <c r="N7481" s="65" t="s">
        <v>10121</v>
      </c>
      <c r="O7481" s="6" t="s">
        <v>8906</v>
      </c>
      <c r="P7481" s="58" t="s">
        <v>241</v>
      </c>
      <c r="Q7481" s="6" t="s">
        <v>234</v>
      </c>
      <c r="R7481" s="3">
        <v>4</v>
      </c>
      <c r="S7481" s="1">
        <v>691800</v>
      </c>
      <c r="T7481" s="4">
        <v>0</v>
      </c>
      <c r="U7481" s="4">
        <f t="shared" si="355"/>
        <v>0</v>
      </c>
      <c r="V7481" s="3"/>
      <c r="W7481" s="3">
        <v>2014</v>
      </c>
      <c r="X7481" s="3">
        <v>11</v>
      </c>
    </row>
    <row r="7482" spans="1:24" ht="102">
      <c r="A7482" s="3" t="s">
        <v>18480</v>
      </c>
      <c r="B7482" s="6" t="s">
        <v>361</v>
      </c>
      <c r="C7482" s="16" t="s">
        <v>10173</v>
      </c>
      <c r="D7482" s="16" t="s">
        <v>10174</v>
      </c>
      <c r="E7482" s="16" t="s">
        <v>10175</v>
      </c>
      <c r="F7482" s="6" t="s">
        <v>10176</v>
      </c>
      <c r="G7482" s="3" t="s">
        <v>11450</v>
      </c>
      <c r="H7482" s="98">
        <v>0</v>
      </c>
      <c r="I7482" s="16">
        <v>470000000</v>
      </c>
      <c r="J7482" s="16" t="s">
        <v>229</v>
      </c>
      <c r="K7482" s="6" t="s">
        <v>18748</v>
      </c>
      <c r="L7482" s="17" t="s">
        <v>16533</v>
      </c>
      <c r="M7482" s="162" t="s">
        <v>230</v>
      </c>
      <c r="N7482" s="65" t="s">
        <v>10121</v>
      </c>
      <c r="O7482" s="6" t="s">
        <v>8906</v>
      </c>
      <c r="P7482" s="58" t="s">
        <v>241</v>
      </c>
      <c r="Q7482" s="6" t="s">
        <v>234</v>
      </c>
      <c r="R7482" s="3">
        <v>4</v>
      </c>
      <c r="S7482" s="1">
        <v>691800</v>
      </c>
      <c r="T7482" s="4">
        <v>0</v>
      </c>
      <c r="U7482" s="4">
        <f t="shared" si="355"/>
        <v>0</v>
      </c>
      <c r="V7482" s="3"/>
      <c r="W7482" s="3">
        <v>2014</v>
      </c>
      <c r="X7482" s="6" t="s">
        <v>19350</v>
      </c>
    </row>
    <row r="7483" spans="1:24" ht="76.5">
      <c r="A7483" s="3" t="s">
        <v>19535</v>
      </c>
      <c r="B7483" s="6" t="s">
        <v>361</v>
      </c>
      <c r="C7483" s="16" t="s">
        <v>10173</v>
      </c>
      <c r="D7483" s="16" t="s">
        <v>10174</v>
      </c>
      <c r="E7483" s="16" t="s">
        <v>10175</v>
      </c>
      <c r="F7483" s="6" t="s">
        <v>10176</v>
      </c>
      <c r="G7483" s="3" t="s">
        <v>11450</v>
      </c>
      <c r="H7483" s="98">
        <v>0</v>
      </c>
      <c r="I7483" s="16">
        <v>470000000</v>
      </c>
      <c r="J7483" s="16" t="s">
        <v>229</v>
      </c>
      <c r="K7483" s="6" t="s">
        <v>9956</v>
      </c>
      <c r="L7483" s="17" t="s">
        <v>16533</v>
      </c>
      <c r="M7483" s="162" t="s">
        <v>230</v>
      </c>
      <c r="N7483" s="65" t="s">
        <v>19398</v>
      </c>
      <c r="O7483" s="6" t="s">
        <v>19407</v>
      </c>
      <c r="P7483" s="58" t="s">
        <v>241</v>
      </c>
      <c r="Q7483" s="6" t="s">
        <v>234</v>
      </c>
      <c r="R7483" s="3">
        <v>4</v>
      </c>
      <c r="S7483" s="1">
        <v>681900</v>
      </c>
      <c r="T7483" s="4">
        <f>R7483*S7483</f>
        <v>2727600</v>
      </c>
      <c r="U7483" s="97">
        <f t="shared" si="355"/>
        <v>3054912.0000000005</v>
      </c>
      <c r="V7483" s="3"/>
      <c r="W7483" s="3">
        <v>2014</v>
      </c>
      <c r="X7483" s="6"/>
    </row>
    <row r="7484" spans="1:24" ht="102">
      <c r="A7484" s="3" t="s">
        <v>11131</v>
      </c>
      <c r="B7484" s="6" t="s">
        <v>361</v>
      </c>
      <c r="C7484" s="16" t="s">
        <v>10177</v>
      </c>
      <c r="D7484" s="16" t="s">
        <v>10178</v>
      </c>
      <c r="E7484" s="16" t="s">
        <v>10179</v>
      </c>
      <c r="F7484" s="6" t="s">
        <v>10180</v>
      </c>
      <c r="G7484" s="3" t="s">
        <v>11450</v>
      </c>
      <c r="H7484" s="98">
        <v>0</v>
      </c>
      <c r="I7484" s="16">
        <v>470000000</v>
      </c>
      <c r="J7484" s="16" t="s">
        <v>229</v>
      </c>
      <c r="K7484" s="6" t="s">
        <v>10120</v>
      </c>
      <c r="L7484" s="17" t="s">
        <v>11410</v>
      </c>
      <c r="M7484" s="162" t="s">
        <v>230</v>
      </c>
      <c r="N7484" s="65" t="s">
        <v>10121</v>
      </c>
      <c r="O7484" s="6" t="s">
        <v>8906</v>
      </c>
      <c r="P7484" s="58" t="s">
        <v>241</v>
      </c>
      <c r="Q7484" s="6" t="s">
        <v>234</v>
      </c>
      <c r="R7484" s="3">
        <v>4</v>
      </c>
      <c r="S7484" s="1">
        <v>137843.75</v>
      </c>
      <c r="T7484" s="4">
        <v>0</v>
      </c>
      <c r="U7484" s="4">
        <f t="shared" si="355"/>
        <v>0</v>
      </c>
      <c r="V7484" s="3"/>
      <c r="W7484" s="3">
        <v>2014</v>
      </c>
      <c r="X7484" s="3">
        <v>11</v>
      </c>
    </row>
    <row r="7485" spans="1:24" ht="102">
      <c r="A7485" s="3" t="s">
        <v>11901</v>
      </c>
      <c r="B7485" s="6" t="s">
        <v>361</v>
      </c>
      <c r="C7485" s="16" t="s">
        <v>10177</v>
      </c>
      <c r="D7485" s="16" t="s">
        <v>10178</v>
      </c>
      <c r="E7485" s="16" t="s">
        <v>10179</v>
      </c>
      <c r="F7485" s="6" t="s">
        <v>10180</v>
      </c>
      <c r="G7485" s="3" t="s">
        <v>11450</v>
      </c>
      <c r="H7485" s="98">
        <v>0</v>
      </c>
      <c r="I7485" s="16">
        <v>470000000</v>
      </c>
      <c r="J7485" s="16" t="s">
        <v>229</v>
      </c>
      <c r="K7485" s="6" t="s">
        <v>642</v>
      </c>
      <c r="L7485" s="17" t="s">
        <v>11410</v>
      </c>
      <c r="M7485" s="162" t="s">
        <v>230</v>
      </c>
      <c r="N7485" s="65" t="s">
        <v>10121</v>
      </c>
      <c r="O7485" s="6" t="s">
        <v>8906</v>
      </c>
      <c r="P7485" s="58" t="s">
        <v>241</v>
      </c>
      <c r="Q7485" s="6" t="s">
        <v>234</v>
      </c>
      <c r="R7485" s="3">
        <v>4</v>
      </c>
      <c r="S7485" s="1">
        <v>137843.75</v>
      </c>
      <c r="T7485" s="4">
        <v>0</v>
      </c>
      <c r="U7485" s="4">
        <f t="shared" si="355"/>
        <v>0</v>
      </c>
      <c r="V7485" s="3"/>
      <c r="W7485" s="3">
        <v>2014</v>
      </c>
      <c r="X7485" s="3" t="s">
        <v>14846</v>
      </c>
    </row>
    <row r="7486" spans="1:24" ht="102">
      <c r="A7486" s="3" t="s">
        <v>16540</v>
      </c>
      <c r="B7486" s="6" t="s">
        <v>361</v>
      </c>
      <c r="C7486" s="16" t="s">
        <v>10177</v>
      </c>
      <c r="D7486" s="16" t="s">
        <v>10178</v>
      </c>
      <c r="E7486" s="16" t="s">
        <v>10179</v>
      </c>
      <c r="F7486" s="6" t="s">
        <v>10180</v>
      </c>
      <c r="G7486" s="3" t="s">
        <v>11450</v>
      </c>
      <c r="H7486" s="98">
        <v>0</v>
      </c>
      <c r="I7486" s="16">
        <v>470000000</v>
      </c>
      <c r="J7486" s="16" t="s">
        <v>229</v>
      </c>
      <c r="K7486" s="6" t="s">
        <v>10120</v>
      </c>
      <c r="L7486" s="17" t="s">
        <v>16533</v>
      </c>
      <c r="M7486" s="162" t="s">
        <v>230</v>
      </c>
      <c r="N7486" s="65" t="s">
        <v>10121</v>
      </c>
      <c r="O7486" s="6" t="s">
        <v>8906</v>
      </c>
      <c r="P7486" s="58" t="s">
        <v>241</v>
      </c>
      <c r="Q7486" s="6" t="s">
        <v>234</v>
      </c>
      <c r="R7486" s="3">
        <v>4</v>
      </c>
      <c r="S7486" s="1">
        <v>165412.5</v>
      </c>
      <c r="T7486" s="4">
        <v>0</v>
      </c>
      <c r="U7486" s="4">
        <f t="shared" si="355"/>
        <v>0</v>
      </c>
      <c r="V7486" s="3"/>
      <c r="W7486" s="3">
        <v>2014</v>
      </c>
      <c r="X7486" s="3">
        <v>11</v>
      </c>
    </row>
    <row r="7487" spans="1:24" ht="102">
      <c r="A7487" s="3" t="s">
        <v>18498</v>
      </c>
      <c r="B7487" s="6" t="s">
        <v>361</v>
      </c>
      <c r="C7487" s="16" t="s">
        <v>10177</v>
      </c>
      <c r="D7487" s="16" t="s">
        <v>10178</v>
      </c>
      <c r="E7487" s="16" t="s">
        <v>10179</v>
      </c>
      <c r="F7487" s="6" t="s">
        <v>10180</v>
      </c>
      <c r="G7487" s="3" t="s">
        <v>11450</v>
      </c>
      <c r="H7487" s="98">
        <v>0</v>
      </c>
      <c r="I7487" s="16">
        <v>470000000</v>
      </c>
      <c r="J7487" s="16" t="s">
        <v>229</v>
      </c>
      <c r="K7487" s="6" t="s">
        <v>18748</v>
      </c>
      <c r="L7487" s="17" t="s">
        <v>16533</v>
      </c>
      <c r="M7487" s="162" t="s">
        <v>230</v>
      </c>
      <c r="N7487" s="65" t="s">
        <v>10121</v>
      </c>
      <c r="O7487" s="6" t="s">
        <v>8906</v>
      </c>
      <c r="P7487" s="58" t="s">
        <v>241</v>
      </c>
      <c r="Q7487" s="6" t="s">
        <v>234</v>
      </c>
      <c r="R7487" s="3">
        <v>4</v>
      </c>
      <c r="S7487" s="1">
        <v>165412.5</v>
      </c>
      <c r="T7487" s="4">
        <v>0</v>
      </c>
      <c r="U7487" s="4">
        <f t="shared" si="355"/>
        <v>0</v>
      </c>
      <c r="V7487" s="3"/>
      <c r="W7487" s="3">
        <v>2014</v>
      </c>
      <c r="X7487" s="6" t="s">
        <v>14265</v>
      </c>
    </row>
    <row r="7488" spans="1:24" ht="76.5">
      <c r="A7488" s="3" t="s">
        <v>19536</v>
      </c>
      <c r="B7488" s="6" t="s">
        <v>361</v>
      </c>
      <c r="C7488" s="16" t="s">
        <v>10177</v>
      </c>
      <c r="D7488" s="16" t="s">
        <v>10178</v>
      </c>
      <c r="E7488" s="16" t="s">
        <v>10179</v>
      </c>
      <c r="F7488" s="6" t="s">
        <v>10180</v>
      </c>
      <c r="G7488" s="3" t="s">
        <v>11450</v>
      </c>
      <c r="H7488" s="98">
        <v>0</v>
      </c>
      <c r="I7488" s="16">
        <v>470000000</v>
      </c>
      <c r="J7488" s="16" t="s">
        <v>229</v>
      </c>
      <c r="K7488" s="6" t="s">
        <v>9956</v>
      </c>
      <c r="L7488" s="17" t="s">
        <v>16533</v>
      </c>
      <c r="M7488" s="162" t="s">
        <v>230</v>
      </c>
      <c r="N7488" s="65" t="s">
        <v>19398</v>
      </c>
      <c r="O7488" s="6" t="s">
        <v>19407</v>
      </c>
      <c r="P7488" s="58" t="s">
        <v>241</v>
      </c>
      <c r="Q7488" s="6" t="s">
        <v>234</v>
      </c>
      <c r="R7488" s="3">
        <v>4</v>
      </c>
      <c r="S7488" s="1">
        <v>165412.5</v>
      </c>
      <c r="T7488" s="4">
        <f>R7488*S7488</f>
        <v>661650</v>
      </c>
      <c r="U7488" s="97">
        <f t="shared" si="355"/>
        <v>741048.00000000012</v>
      </c>
      <c r="V7488" s="3"/>
      <c r="W7488" s="3">
        <v>2014</v>
      </c>
      <c r="X7488" s="6"/>
    </row>
    <row r="7489" spans="1:24" ht="102">
      <c r="A7489" s="3" t="s">
        <v>11132</v>
      </c>
      <c r="B7489" s="6" t="s">
        <v>361</v>
      </c>
      <c r="C7489" s="16" t="s">
        <v>10181</v>
      </c>
      <c r="D7489" s="16" t="s">
        <v>10182</v>
      </c>
      <c r="E7489" s="16" t="s">
        <v>10183</v>
      </c>
      <c r="F7489" s="6" t="s">
        <v>11719</v>
      </c>
      <c r="G7489" s="3" t="s">
        <v>11449</v>
      </c>
      <c r="H7489" s="98">
        <v>0</v>
      </c>
      <c r="I7489" s="16">
        <v>470000000</v>
      </c>
      <c r="J7489" s="16" t="s">
        <v>229</v>
      </c>
      <c r="K7489" s="6" t="s">
        <v>641</v>
      </c>
      <c r="L7489" s="17" t="s">
        <v>11411</v>
      </c>
      <c r="M7489" s="162" t="s">
        <v>230</v>
      </c>
      <c r="N7489" s="65" t="s">
        <v>10121</v>
      </c>
      <c r="O7489" s="6" t="s">
        <v>8906</v>
      </c>
      <c r="P7489" s="58" t="s">
        <v>241</v>
      </c>
      <c r="Q7489" s="6" t="s">
        <v>234</v>
      </c>
      <c r="R7489" s="3">
        <v>3</v>
      </c>
      <c r="S7489" s="1">
        <v>66500</v>
      </c>
      <c r="T7489" s="4">
        <v>0</v>
      </c>
      <c r="U7489" s="4">
        <f t="shared" si="355"/>
        <v>0</v>
      </c>
      <c r="V7489" s="3"/>
      <c r="W7489" s="3">
        <v>2014</v>
      </c>
      <c r="X7489" s="3">
        <v>11</v>
      </c>
    </row>
    <row r="7490" spans="1:24" ht="102">
      <c r="A7490" s="3" t="s">
        <v>14044</v>
      </c>
      <c r="B7490" s="6" t="s">
        <v>361</v>
      </c>
      <c r="C7490" s="16" t="s">
        <v>10181</v>
      </c>
      <c r="D7490" s="16" t="s">
        <v>10182</v>
      </c>
      <c r="E7490" s="16" t="s">
        <v>10183</v>
      </c>
      <c r="F7490" s="6" t="s">
        <v>11719</v>
      </c>
      <c r="G7490" s="3" t="s">
        <v>11449</v>
      </c>
      <c r="H7490" s="98">
        <v>0</v>
      </c>
      <c r="I7490" s="16">
        <v>470000000</v>
      </c>
      <c r="J7490" s="16" t="s">
        <v>229</v>
      </c>
      <c r="K7490" s="6" t="s">
        <v>642</v>
      </c>
      <c r="L7490" s="17" t="s">
        <v>11411</v>
      </c>
      <c r="M7490" s="162" t="s">
        <v>230</v>
      </c>
      <c r="N7490" s="65" t="s">
        <v>10121</v>
      </c>
      <c r="O7490" s="6" t="s">
        <v>8906</v>
      </c>
      <c r="P7490" s="58" t="s">
        <v>241</v>
      </c>
      <c r="Q7490" s="6" t="s">
        <v>234</v>
      </c>
      <c r="R7490" s="3">
        <v>3</v>
      </c>
      <c r="S7490" s="1">
        <v>66500</v>
      </c>
      <c r="T7490" s="4">
        <v>0</v>
      </c>
      <c r="U7490" s="4">
        <f t="shared" si="355"/>
        <v>0</v>
      </c>
      <c r="V7490" s="3"/>
      <c r="W7490" s="3">
        <v>2014</v>
      </c>
      <c r="X7490" s="3" t="s">
        <v>16431</v>
      </c>
    </row>
    <row r="7491" spans="1:24" ht="102">
      <c r="A7491" s="3" t="s">
        <v>16542</v>
      </c>
      <c r="B7491" s="6" t="s">
        <v>361</v>
      </c>
      <c r="C7491" s="16" t="s">
        <v>10181</v>
      </c>
      <c r="D7491" s="16" t="s">
        <v>10182</v>
      </c>
      <c r="E7491" s="16" t="s">
        <v>10183</v>
      </c>
      <c r="F7491" s="6" t="s">
        <v>11719</v>
      </c>
      <c r="G7491" s="3" t="s">
        <v>11450</v>
      </c>
      <c r="H7491" s="98">
        <v>0</v>
      </c>
      <c r="I7491" s="16">
        <v>470000000</v>
      </c>
      <c r="J7491" s="16" t="s">
        <v>229</v>
      </c>
      <c r="K7491" s="6" t="s">
        <v>10120</v>
      </c>
      <c r="L7491" s="17" t="s">
        <v>11411</v>
      </c>
      <c r="M7491" s="162" t="s">
        <v>230</v>
      </c>
      <c r="N7491" s="65" t="s">
        <v>10121</v>
      </c>
      <c r="O7491" s="6" t="s">
        <v>8906</v>
      </c>
      <c r="P7491" s="58" t="s">
        <v>241</v>
      </c>
      <c r="Q7491" s="6" t="s">
        <v>234</v>
      </c>
      <c r="R7491" s="3">
        <v>3</v>
      </c>
      <c r="S7491" s="1">
        <v>79800</v>
      </c>
      <c r="T7491" s="4">
        <v>0</v>
      </c>
      <c r="U7491" s="4">
        <f t="shared" si="355"/>
        <v>0</v>
      </c>
      <c r="V7491" s="3"/>
      <c r="W7491" s="3">
        <v>2014</v>
      </c>
      <c r="X7491" s="3">
        <v>11</v>
      </c>
    </row>
    <row r="7492" spans="1:24" ht="102">
      <c r="A7492" s="3" t="s">
        <v>18497</v>
      </c>
      <c r="B7492" s="6" t="s">
        <v>361</v>
      </c>
      <c r="C7492" s="16" t="s">
        <v>10181</v>
      </c>
      <c r="D7492" s="16" t="s">
        <v>10182</v>
      </c>
      <c r="E7492" s="16" t="s">
        <v>10183</v>
      </c>
      <c r="F7492" s="6" t="s">
        <v>11719</v>
      </c>
      <c r="G7492" s="3" t="s">
        <v>11450</v>
      </c>
      <c r="H7492" s="98">
        <v>0</v>
      </c>
      <c r="I7492" s="16">
        <v>470000000</v>
      </c>
      <c r="J7492" s="16" t="s">
        <v>229</v>
      </c>
      <c r="K7492" s="6" t="s">
        <v>18748</v>
      </c>
      <c r="L7492" s="17" t="s">
        <v>11411</v>
      </c>
      <c r="M7492" s="162" t="s">
        <v>230</v>
      </c>
      <c r="N7492" s="65" t="s">
        <v>10121</v>
      </c>
      <c r="O7492" s="6" t="s">
        <v>8906</v>
      </c>
      <c r="P7492" s="58" t="s">
        <v>241</v>
      </c>
      <c r="Q7492" s="6" t="s">
        <v>234</v>
      </c>
      <c r="R7492" s="3">
        <v>3</v>
      </c>
      <c r="S7492" s="1">
        <v>79800</v>
      </c>
      <c r="T7492" s="4">
        <v>0</v>
      </c>
      <c r="U7492" s="4">
        <f t="shared" si="355"/>
        <v>0</v>
      </c>
      <c r="V7492" s="3"/>
      <c r="W7492" s="3">
        <v>2014</v>
      </c>
      <c r="X7492" s="6" t="s">
        <v>14265</v>
      </c>
    </row>
    <row r="7493" spans="1:24" ht="76.5">
      <c r="A7493" s="3" t="s">
        <v>19537</v>
      </c>
      <c r="B7493" s="6" t="s">
        <v>361</v>
      </c>
      <c r="C7493" s="16" t="s">
        <v>10181</v>
      </c>
      <c r="D7493" s="16" t="s">
        <v>10182</v>
      </c>
      <c r="E7493" s="16" t="s">
        <v>10183</v>
      </c>
      <c r="F7493" s="6" t="s">
        <v>11719</v>
      </c>
      <c r="G7493" s="3" t="s">
        <v>11450</v>
      </c>
      <c r="H7493" s="98">
        <v>0</v>
      </c>
      <c r="I7493" s="16">
        <v>470000000</v>
      </c>
      <c r="J7493" s="16" t="s">
        <v>229</v>
      </c>
      <c r="K7493" s="6" t="s">
        <v>9956</v>
      </c>
      <c r="L7493" s="17" t="s">
        <v>11411</v>
      </c>
      <c r="M7493" s="162" t="s">
        <v>230</v>
      </c>
      <c r="N7493" s="65" t="s">
        <v>19398</v>
      </c>
      <c r="O7493" s="6" t="s">
        <v>19407</v>
      </c>
      <c r="P7493" s="58" t="s">
        <v>241</v>
      </c>
      <c r="Q7493" s="6" t="s">
        <v>234</v>
      </c>
      <c r="R7493" s="3">
        <v>3</v>
      </c>
      <c r="S7493" s="1">
        <v>79800</v>
      </c>
      <c r="T7493" s="4">
        <f>R7493*S7493</f>
        <v>239400</v>
      </c>
      <c r="U7493" s="97">
        <f t="shared" si="355"/>
        <v>268128</v>
      </c>
      <c r="V7493" s="3"/>
      <c r="W7493" s="3">
        <v>2014</v>
      </c>
      <c r="X7493" s="6"/>
    </row>
    <row r="7494" spans="1:24" ht="102">
      <c r="A7494" s="3" t="s">
        <v>11133</v>
      </c>
      <c r="B7494" s="6" t="s">
        <v>361</v>
      </c>
      <c r="C7494" s="16" t="s">
        <v>10184</v>
      </c>
      <c r="D7494" s="16" t="s">
        <v>10185</v>
      </c>
      <c r="E7494" s="16" t="s">
        <v>10186</v>
      </c>
      <c r="F7494" s="6" t="s">
        <v>11717</v>
      </c>
      <c r="G7494" s="3" t="s">
        <v>11449</v>
      </c>
      <c r="H7494" s="98">
        <v>0</v>
      </c>
      <c r="I7494" s="16">
        <v>470000000</v>
      </c>
      <c r="J7494" s="16" t="s">
        <v>229</v>
      </c>
      <c r="K7494" s="6" t="s">
        <v>641</v>
      </c>
      <c r="L7494" s="17" t="s">
        <v>11411</v>
      </c>
      <c r="M7494" s="162" t="s">
        <v>230</v>
      </c>
      <c r="N7494" s="65" t="s">
        <v>10121</v>
      </c>
      <c r="O7494" s="6" t="s">
        <v>8906</v>
      </c>
      <c r="P7494" s="3">
        <v>839</v>
      </c>
      <c r="Q7494" s="3" t="s">
        <v>239</v>
      </c>
      <c r="R7494" s="3">
        <v>2</v>
      </c>
      <c r="S7494" s="1">
        <v>456000</v>
      </c>
      <c r="T7494" s="4">
        <v>0</v>
      </c>
      <c r="U7494" s="4">
        <f t="shared" si="355"/>
        <v>0</v>
      </c>
      <c r="V7494" s="3"/>
      <c r="W7494" s="3">
        <v>2014</v>
      </c>
      <c r="X7494" s="3">
        <v>11</v>
      </c>
    </row>
    <row r="7495" spans="1:24" ht="102">
      <c r="A7495" s="3" t="s">
        <v>14042</v>
      </c>
      <c r="B7495" s="6" t="s">
        <v>361</v>
      </c>
      <c r="C7495" s="16" t="s">
        <v>10184</v>
      </c>
      <c r="D7495" s="16" t="s">
        <v>10185</v>
      </c>
      <c r="E7495" s="16" t="s">
        <v>10186</v>
      </c>
      <c r="F7495" s="6" t="s">
        <v>11717</v>
      </c>
      <c r="G7495" s="3" t="s">
        <v>11449</v>
      </c>
      <c r="H7495" s="98">
        <v>0</v>
      </c>
      <c r="I7495" s="16">
        <v>470000000</v>
      </c>
      <c r="J7495" s="16" t="s">
        <v>229</v>
      </c>
      <c r="K7495" s="6" t="s">
        <v>642</v>
      </c>
      <c r="L7495" s="17" t="s">
        <v>11411</v>
      </c>
      <c r="M7495" s="162" t="s">
        <v>230</v>
      </c>
      <c r="N7495" s="65" t="s">
        <v>10121</v>
      </c>
      <c r="O7495" s="6" t="s">
        <v>8906</v>
      </c>
      <c r="P7495" s="3">
        <v>839</v>
      </c>
      <c r="Q7495" s="3" t="s">
        <v>239</v>
      </c>
      <c r="R7495" s="3">
        <v>2</v>
      </c>
      <c r="S7495" s="1">
        <v>456000</v>
      </c>
      <c r="T7495" s="4">
        <f>R7495*S7495</f>
        <v>912000</v>
      </c>
      <c r="U7495" s="4">
        <f t="shared" si="355"/>
        <v>1021440.0000000001</v>
      </c>
      <c r="V7495" s="3"/>
      <c r="W7495" s="3">
        <v>2014</v>
      </c>
      <c r="X7495" s="3"/>
    </row>
    <row r="7496" spans="1:24" ht="102">
      <c r="A7496" s="3" t="s">
        <v>11134</v>
      </c>
      <c r="B7496" s="6" t="s">
        <v>361</v>
      </c>
      <c r="C7496" s="16" t="s">
        <v>8566</v>
      </c>
      <c r="D7496" s="16" t="s">
        <v>10187</v>
      </c>
      <c r="E7496" s="16" t="s">
        <v>8567</v>
      </c>
      <c r="F7496" s="6" t="s">
        <v>10188</v>
      </c>
      <c r="G7496" s="3" t="s">
        <v>11450</v>
      </c>
      <c r="H7496" s="98">
        <v>0</v>
      </c>
      <c r="I7496" s="16">
        <v>470000000</v>
      </c>
      <c r="J7496" s="16" t="s">
        <v>229</v>
      </c>
      <c r="K7496" s="6" t="s">
        <v>641</v>
      </c>
      <c r="L7496" s="16" t="s">
        <v>10000</v>
      </c>
      <c r="M7496" s="162" t="s">
        <v>230</v>
      </c>
      <c r="N7496" s="65" t="s">
        <v>9424</v>
      </c>
      <c r="O7496" s="6" t="s">
        <v>8906</v>
      </c>
      <c r="P7496" s="58" t="s">
        <v>241</v>
      </c>
      <c r="Q7496" s="6" t="s">
        <v>234</v>
      </c>
      <c r="R7496" s="6">
        <v>70</v>
      </c>
      <c r="S7496" s="1">
        <v>38250</v>
      </c>
      <c r="T7496" s="4">
        <f t="shared" ref="T7496:T7503" si="360">R7496*S7496</f>
        <v>2677500</v>
      </c>
      <c r="U7496" s="97">
        <f t="shared" si="355"/>
        <v>2998800.0000000005</v>
      </c>
      <c r="V7496" s="3"/>
      <c r="W7496" s="3">
        <v>2014</v>
      </c>
      <c r="X7496" s="3"/>
    </row>
    <row r="7497" spans="1:24" ht="102">
      <c r="A7497" s="3" t="s">
        <v>11135</v>
      </c>
      <c r="B7497" s="6" t="s">
        <v>361</v>
      </c>
      <c r="C7497" s="16" t="s">
        <v>10189</v>
      </c>
      <c r="D7497" s="16" t="s">
        <v>8430</v>
      </c>
      <c r="E7497" s="16" t="s">
        <v>10190</v>
      </c>
      <c r="F7497" s="6" t="s">
        <v>10191</v>
      </c>
      <c r="G7497" s="3" t="s">
        <v>11449</v>
      </c>
      <c r="H7497" s="98">
        <v>0</v>
      </c>
      <c r="I7497" s="16">
        <v>470000000</v>
      </c>
      <c r="J7497" s="16" t="s">
        <v>229</v>
      </c>
      <c r="K7497" s="6" t="s">
        <v>641</v>
      </c>
      <c r="L7497" s="16" t="s">
        <v>10000</v>
      </c>
      <c r="M7497" s="162" t="s">
        <v>230</v>
      </c>
      <c r="N7497" s="65" t="s">
        <v>9424</v>
      </c>
      <c r="O7497" s="6" t="s">
        <v>8906</v>
      </c>
      <c r="P7497" s="58" t="s">
        <v>241</v>
      </c>
      <c r="Q7497" s="6" t="s">
        <v>234</v>
      </c>
      <c r="R7497" s="6">
        <v>100</v>
      </c>
      <c r="S7497" s="1">
        <v>35714</v>
      </c>
      <c r="T7497" s="4">
        <v>0</v>
      </c>
      <c r="U7497" s="4">
        <f t="shared" si="355"/>
        <v>0</v>
      </c>
      <c r="V7497" s="3"/>
      <c r="W7497" s="3">
        <v>2014</v>
      </c>
      <c r="X7497" s="3" t="s">
        <v>16395</v>
      </c>
    </row>
    <row r="7498" spans="1:24" ht="102">
      <c r="A7498" s="3" t="s">
        <v>16767</v>
      </c>
      <c r="B7498" s="6" t="s">
        <v>361</v>
      </c>
      <c r="C7498" s="16" t="s">
        <v>10189</v>
      </c>
      <c r="D7498" s="16" t="s">
        <v>8430</v>
      </c>
      <c r="E7498" s="16" t="s">
        <v>10190</v>
      </c>
      <c r="F7498" s="6" t="s">
        <v>10191</v>
      </c>
      <c r="G7498" s="3" t="s">
        <v>11450</v>
      </c>
      <c r="H7498" s="98">
        <v>0</v>
      </c>
      <c r="I7498" s="16">
        <v>470000000</v>
      </c>
      <c r="J7498" s="16" t="s">
        <v>229</v>
      </c>
      <c r="K7498" s="6" t="s">
        <v>10120</v>
      </c>
      <c r="L7498" s="16" t="s">
        <v>10000</v>
      </c>
      <c r="M7498" s="162" t="s">
        <v>230</v>
      </c>
      <c r="N7498" s="65" t="s">
        <v>9424</v>
      </c>
      <c r="O7498" s="6" t="s">
        <v>8906</v>
      </c>
      <c r="P7498" s="58" t="s">
        <v>241</v>
      </c>
      <c r="Q7498" s="6" t="s">
        <v>234</v>
      </c>
      <c r="R7498" s="6">
        <v>170</v>
      </c>
      <c r="S7498" s="1">
        <v>25256.67</v>
      </c>
      <c r="T7498" s="4">
        <v>0</v>
      </c>
      <c r="U7498" s="4">
        <f t="shared" si="355"/>
        <v>0</v>
      </c>
      <c r="V7498" s="3"/>
      <c r="W7498" s="3">
        <v>2014</v>
      </c>
      <c r="X7498" s="3">
        <v>11</v>
      </c>
    </row>
    <row r="7499" spans="1:24" ht="102">
      <c r="A7499" s="3" t="s">
        <v>18511</v>
      </c>
      <c r="B7499" s="6" t="s">
        <v>361</v>
      </c>
      <c r="C7499" s="16" t="s">
        <v>10189</v>
      </c>
      <c r="D7499" s="16" t="s">
        <v>8430</v>
      </c>
      <c r="E7499" s="16" t="s">
        <v>10190</v>
      </c>
      <c r="F7499" s="6" t="s">
        <v>10191</v>
      </c>
      <c r="G7499" s="3" t="s">
        <v>11450</v>
      </c>
      <c r="H7499" s="98">
        <v>0</v>
      </c>
      <c r="I7499" s="16">
        <v>470000000</v>
      </c>
      <c r="J7499" s="16" t="s">
        <v>229</v>
      </c>
      <c r="K7499" s="6" t="s">
        <v>18512</v>
      </c>
      <c r="L7499" s="16" t="s">
        <v>10000</v>
      </c>
      <c r="M7499" s="162" t="s">
        <v>230</v>
      </c>
      <c r="N7499" s="65" t="s">
        <v>9424</v>
      </c>
      <c r="O7499" s="6" t="s">
        <v>8906</v>
      </c>
      <c r="P7499" s="58" t="s">
        <v>241</v>
      </c>
      <c r="Q7499" s="6" t="s">
        <v>234</v>
      </c>
      <c r="R7499" s="6">
        <v>170</v>
      </c>
      <c r="S7499" s="1">
        <v>25256.67</v>
      </c>
      <c r="T7499" s="4">
        <v>0</v>
      </c>
      <c r="U7499" s="4">
        <f t="shared" si="355"/>
        <v>0</v>
      </c>
      <c r="V7499" s="3"/>
      <c r="W7499" s="3">
        <v>2014</v>
      </c>
      <c r="X7499" s="6" t="s">
        <v>19635</v>
      </c>
    </row>
    <row r="7500" spans="1:24" ht="76.5">
      <c r="A7500" s="3" t="s">
        <v>19538</v>
      </c>
      <c r="B7500" s="6" t="s">
        <v>361</v>
      </c>
      <c r="C7500" s="16" t="s">
        <v>10189</v>
      </c>
      <c r="D7500" s="16" t="s">
        <v>8430</v>
      </c>
      <c r="E7500" s="16" t="s">
        <v>10190</v>
      </c>
      <c r="F7500" s="6" t="s">
        <v>10191</v>
      </c>
      <c r="G7500" s="3" t="s">
        <v>11450</v>
      </c>
      <c r="H7500" s="98">
        <v>0</v>
      </c>
      <c r="I7500" s="16">
        <v>470000000</v>
      </c>
      <c r="J7500" s="16" t="s">
        <v>229</v>
      </c>
      <c r="K7500" s="6" t="s">
        <v>9956</v>
      </c>
      <c r="L7500" s="16" t="s">
        <v>10000</v>
      </c>
      <c r="M7500" s="162" t="s">
        <v>230</v>
      </c>
      <c r="N7500" s="65" t="s">
        <v>9424</v>
      </c>
      <c r="O7500" s="6" t="s">
        <v>19545</v>
      </c>
      <c r="P7500" s="58" t="s">
        <v>241</v>
      </c>
      <c r="Q7500" s="6" t="s">
        <v>234</v>
      </c>
      <c r="R7500" s="6">
        <v>170</v>
      </c>
      <c r="S7500" s="1">
        <v>24694.058823529413</v>
      </c>
      <c r="T7500" s="4">
        <f t="shared" ref="T7500" si="361">R7500*S7500</f>
        <v>4197990</v>
      </c>
      <c r="U7500" s="97">
        <f t="shared" si="355"/>
        <v>4701748.8000000007</v>
      </c>
      <c r="V7500" s="3" t="s">
        <v>362</v>
      </c>
      <c r="W7500" s="3">
        <v>2014</v>
      </c>
      <c r="X7500" s="6"/>
    </row>
    <row r="7501" spans="1:24" ht="140.25">
      <c r="A7501" s="3" t="s">
        <v>11136</v>
      </c>
      <c r="B7501" s="6" t="s">
        <v>361</v>
      </c>
      <c r="C7501" s="16" t="s">
        <v>10192</v>
      </c>
      <c r="D7501" s="16" t="s">
        <v>10187</v>
      </c>
      <c r="E7501" s="16" t="s">
        <v>10193</v>
      </c>
      <c r="F7501" s="6" t="s">
        <v>10194</v>
      </c>
      <c r="G7501" s="3" t="s">
        <v>11450</v>
      </c>
      <c r="H7501" s="98">
        <v>0</v>
      </c>
      <c r="I7501" s="16">
        <v>470000000</v>
      </c>
      <c r="J7501" s="16" t="s">
        <v>229</v>
      </c>
      <c r="K7501" s="6" t="s">
        <v>641</v>
      </c>
      <c r="L7501" s="16" t="s">
        <v>10000</v>
      </c>
      <c r="M7501" s="162" t="s">
        <v>230</v>
      </c>
      <c r="N7501" s="65" t="s">
        <v>9424</v>
      </c>
      <c r="O7501" s="6" t="s">
        <v>8906</v>
      </c>
      <c r="P7501" s="58" t="s">
        <v>241</v>
      </c>
      <c r="Q7501" s="6" t="s">
        <v>234</v>
      </c>
      <c r="R7501" s="6">
        <v>30</v>
      </c>
      <c r="S7501" s="1">
        <v>36250</v>
      </c>
      <c r="T7501" s="4">
        <f t="shared" si="360"/>
        <v>1087500</v>
      </c>
      <c r="U7501" s="97">
        <f t="shared" si="355"/>
        <v>1218000</v>
      </c>
      <c r="V7501" s="3"/>
      <c r="W7501" s="3">
        <v>2014</v>
      </c>
      <c r="X7501" s="3"/>
    </row>
    <row r="7502" spans="1:24" ht="102">
      <c r="A7502" s="3" t="s">
        <v>11137</v>
      </c>
      <c r="B7502" s="6" t="s">
        <v>361</v>
      </c>
      <c r="C7502" s="16" t="s">
        <v>10195</v>
      </c>
      <c r="D7502" s="16" t="s">
        <v>8511</v>
      </c>
      <c r="E7502" s="16" t="s">
        <v>10196</v>
      </c>
      <c r="F7502" s="6" t="s">
        <v>10197</v>
      </c>
      <c r="G7502" s="3" t="s">
        <v>11450</v>
      </c>
      <c r="H7502" s="98">
        <v>0</v>
      </c>
      <c r="I7502" s="16">
        <v>470000000</v>
      </c>
      <c r="J7502" s="16" t="s">
        <v>229</v>
      </c>
      <c r="K7502" s="6" t="s">
        <v>641</v>
      </c>
      <c r="L7502" s="16" t="s">
        <v>10000</v>
      </c>
      <c r="M7502" s="162" t="s">
        <v>230</v>
      </c>
      <c r="N7502" s="65" t="s">
        <v>9424</v>
      </c>
      <c r="O7502" s="6" t="s">
        <v>8906</v>
      </c>
      <c r="P7502" s="58" t="s">
        <v>241</v>
      </c>
      <c r="Q7502" s="6" t="s">
        <v>234</v>
      </c>
      <c r="R7502" s="6">
        <v>15</v>
      </c>
      <c r="S7502" s="1">
        <v>24290</v>
      </c>
      <c r="T7502" s="4">
        <f t="shared" si="360"/>
        <v>364350</v>
      </c>
      <c r="U7502" s="97">
        <f t="shared" si="355"/>
        <v>408072.00000000006</v>
      </c>
      <c r="V7502" s="3"/>
      <c r="W7502" s="3">
        <v>2014</v>
      </c>
      <c r="X7502" s="3"/>
    </row>
    <row r="7503" spans="1:24" ht="102">
      <c r="A7503" s="3" t="s">
        <v>11138</v>
      </c>
      <c r="B7503" s="6" t="s">
        <v>361</v>
      </c>
      <c r="C7503" s="16" t="s">
        <v>10198</v>
      </c>
      <c r="D7503" s="16" t="s">
        <v>10199</v>
      </c>
      <c r="E7503" s="16" t="s">
        <v>10200</v>
      </c>
      <c r="F7503" s="6" t="s">
        <v>10201</v>
      </c>
      <c r="G7503" s="3" t="s">
        <v>11450</v>
      </c>
      <c r="H7503" s="98">
        <v>0</v>
      </c>
      <c r="I7503" s="16">
        <v>470000000</v>
      </c>
      <c r="J7503" s="16" t="s">
        <v>229</v>
      </c>
      <c r="K7503" s="6" t="s">
        <v>641</v>
      </c>
      <c r="L7503" s="16" t="s">
        <v>10000</v>
      </c>
      <c r="M7503" s="162" t="s">
        <v>230</v>
      </c>
      <c r="N7503" s="65" t="s">
        <v>9424</v>
      </c>
      <c r="O7503" s="6" t="s">
        <v>8906</v>
      </c>
      <c r="P7503" s="58" t="s">
        <v>241</v>
      </c>
      <c r="Q7503" s="6" t="s">
        <v>234</v>
      </c>
      <c r="R7503" s="6">
        <v>20</v>
      </c>
      <c r="S7503" s="1">
        <v>9500</v>
      </c>
      <c r="T7503" s="4">
        <f t="shared" si="360"/>
        <v>190000</v>
      </c>
      <c r="U7503" s="97">
        <f t="shared" si="355"/>
        <v>212800.00000000003</v>
      </c>
      <c r="V7503" s="3"/>
      <c r="W7503" s="3">
        <v>2014</v>
      </c>
      <c r="X7503" s="3"/>
    </row>
    <row r="7504" spans="1:24" ht="102">
      <c r="A7504" s="3" t="s">
        <v>11139</v>
      </c>
      <c r="B7504" s="6" t="s">
        <v>361</v>
      </c>
      <c r="C7504" s="16" t="s">
        <v>10202</v>
      </c>
      <c r="D7504" s="16" t="s">
        <v>10203</v>
      </c>
      <c r="E7504" s="16" t="s">
        <v>10204</v>
      </c>
      <c r="F7504" s="6" t="s">
        <v>10205</v>
      </c>
      <c r="G7504" s="3" t="s">
        <v>11449</v>
      </c>
      <c r="H7504" s="98">
        <v>0</v>
      </c>
      <c r="I7504" s="16">
        <v>470000000</v>
      </c>
      <c r="J7504" s="16" t="s">
        <v>229</v>
      </c>
      <c r="K7504" s="6" t="s">
        <v>641</v>
      </c>
      <c r="L7504" s="16" t="s">
        <v>10000</v>
      </c>
      <c r="M7504" s="162" t="s">
        <v>230</v>
      </c>
      <c r="N7504" s="65" t="s">
        <v>9424</v>
      </c>
      <c r="O7504" s="6" t="s">
        <v>8906</v>
      </c>
      <c r="P7504" s="58" t="s">
        <v>241</v>
      </c>
      <c r="Q7504" s="6" t="s">
        <v>234</v>
      </c>
      <c r="R7504" s="6">
        <v>50</v>
      </c>
      <c r="S7504" s="1">
        <v>53482.14</v>
      </c>
      <c r="T7504" s="4">
        <v>0</v>
      </c>
      <c r="U7504" s="4">
        <f t="shared" si="355"/>
        <v>0</v>
      </c>
      <c r="V7504" s="3"/>
      <c r="W7504" s="3">
        <v>2014</v>
      </c>
      <c r="X7504" s="3">
        <v>11</v>
      </c>
    </row>
    <row r="7505" spans="1:24" ht="102">
      <c r="A7505" s="3" t="s">
        <v>12476</v>
      </c>
      <c r="B7505" s="6" t="s">
        <v>361</v>
      </c>
      <c r="C7505" s="16" t="s">
        <v>10202</v>
      </c>
      <c r="D7505" s="16" t="s">
        <v>10203</v>
      </c>
      <c r="E7505" s="16" t="s">
        <v>10204</v>
      </c>
      <c r="F7505" s="6" t="s">
        <v>10205</v>
      </c>
      <c r="G7505" s="3" t="s">
        <v>11449</v>
      </c>
      <c r="H7505" s="98">
        <v>0</v>
      </c>
      <c r="I7505" s="16">
        <v>470000000</v>
      </c>
      <c r="J7505" s="16" t="s">
        <v>229</v>
      </c>
      <c r="K7505" s="6" t="s">
        <v>642</v>
      </c>
      <c r="L7505" s="16" t="s">
        <v>10000</v>
      </c>
      <c r="M7505" s="162" t="s">
        <v>230</v>
      </c>
      <c r="N7505" s="65" t="s">
        <v>9424</v>
      </c>
      <c r="O7505" s="6" t="s">
        <v>8906</v>
      </c>
      <c r="P7505" s="58" t="s">
        <v>241</v>
      </c>
      <c r="Q7505" s="6" t="s">
        <v>234</v>
      </c>
      <c r="R7505" s="6">
        <v>50</v>
      </c>
      <c r="S7505" s="1">
        <v>53482.14</v>
      </c>
      <c r="T7505" s="4">
        <f>R7505*S7505</f>
        <v>2674107</v>
      </c>
      <c r="U7505" s="97">
        <f>T7505*1.12</f>
        <v>2994999.8400000003</v>
      </c>
      <c r="V7505" s="3"/>
      <c r="W7505" s="3">
        <v>2014</v>
      </c>
      <c r="X7505" s="3"/>
    </row>
    <row r="7506" spans="1:24" ht="102">
      <c r="A7506" s="3" t="s">
        <v>11140</v>
      </c>
      <c r="B7506" s="6" t="s">
        <v>361</v>
      </c>
      <c r="C7506" s="16" t="s">
        <v>10206</v>
      </c>
      <c r="D7506" s="16" t="s">
        <v>10207</v>
      </c>
      <c r="E7506" s="16" t="s">
        <v>10208</v>
      </c>
      <c r="F7506" s="64" t="s">
        <v>10207</v>
      </c>
      <c r="G7506" s="3" t="s">
        <v>11450</v>
      </c>
      <c r="H7506" s="98">
        <v>0</v>
      </c>
      <c r="I7506" s="16">
        <v>470000000</v>
      </c>
      <c r="J7506" s="16" t="s">
        <v>229</v>
      </c>
      <c r="K7506" s="6" t="s">
        <v>641</v>
      </c>
      <c r="L7506" s="16" t="s">
        <v>10000</v>
      </c>
      <c r="M7506" s="162" t="s">
        <v>230</v>
      </c>
      <c r="N7506" s="65" t="s">
        <v>9424</v>
      </c>
      <c r="O7506" s="6" t="s">
        <v>8906</v>
      </c>
      <c r="P7506" s="58" t="s">
        <v>241</v>
      </c>
      <c r="Q7506" s="6" t="s">
        <v>234</v>
      </c>
      <c r="R7506" s="6">
        <v>10</v>
      </c>
      <c r="S7506" s="1">
        <v>39285.71</v>
      </c>
      <c r="T7506" s="4">
        <v>0</v>
      </c>
      <c r="U7506" s="4">
        <f t="shared" si="355"/>
        <v>0</v>
      </c>
      <c r="V7506" s="3"/>
      <c r="W7506" s="3">
        <v>2014</v>
      </c>
      <c r="X7506" s="3">
        <v>11</v>
      </c>
    </row>
    <row r="7507" spans="1:24" ht="102">
      <c r="A7507" s="3" t="s">
        <v>14267</v>
      </c>
      <c r="B7507" s="6" t="s">
        <v>361</v>
      </c>
      <c r="C7507" s="16" t="s">
        <v>10206</v>
      </c>
      <c r="D7507" s="16" t="s">
        <v>10207</v>
      </c>
      <c r="E7507" s="16" t="s">
        <v>10208</v>
      </c>
      <c r="F7507" s="64" t="s">
        <v>10207</v>
      </c>
      <c r="G7507" s="3" t="s">
        <v>11450</v>
      </c>
      <c r="H7507" s="98">
        <v>0</v>
      </c>
      <c r="I7507" s="16">
        <v>470000000</v>
      </c>
      <c r="J7507" s="16" t="s">
        <v>229</v>
      </c>
      <c r="K7507" s="6" t="s">
        <v>9453</v>
      </c>
      <c r="L7507" s="16" t="s">
        <v>10000</v>
      </c>
      <c r="M7507" s="162" t="s">
        <v>230</v>
      </c>
      <c r="N7507" s="65" t="s">
        <v>9424</v>
      </c>
      <c r="O7507" s="6" t="s">
        <v>8906</v>
      </c>
      <c r="P7507" s="58" t="s">
        <v>241</v>
      </c>
      <c r="Q7507" s="6" t="s">
        <v>234</v>
      </c>
      <c r="R7507" s="6">
        <v>10</v>
      </c>
      <c r="S7507" s="1">
        <v>39285.71</v>
      </c>
      <c r="T7507" s="4">
        <v>0</v>
      </c>
      <c r="U7507" s="97">
        <f>T7507*1.12</f>
        <v>0</v>
      </c>
      <c r="V7507" s="3"/>
      <c r="W7507" s="3">
        <v>2014</v>
      </c>
      <c r="X7507" s="3" t="s">
        <v>14785</v>
      </c>
    </row>
    <row r="7508" spans="1:24" ht="102">
      <c r="A7508" s="3" t="s">
        <v>17177</v>
      </c>
      <c r="B7508" s="6" t="s">
        <v>361</v>
      </c>
      <c r="C7508" s="16" t="s">
        <v>10206</v>
      </c>
      <c r="D7508" s="16" t="s">
        <v>10207</v>
      </c>
      <c r="E7508" s="16" t="s">
        <v>10208</v>
      </c>
      <c r="F7508" s="64" t="s">
        <v>10207</v>
      </c>
      <c r="G7508" s="3" t="s">
        <v>11450</v>
      </c>
      <c r="H7508" s="98">
        <v>0</v>
      </c>
      <c r="I7508" s="16">
        <v>470000000</v>
      </c>
      <c r="J7508" s="16" t="s">
        <v>229</v>
      </c>
      <c r="K7508" s="6" t="s">
        <v>10120</v>
      </c>
      <c r="L7508" s="16" t="s">
        <v>10000</v>
      </c>
      <c r="M7508" s="162" t="s">
        <v>230</v>
      </c>
      <c r="N7508" s="65" t="s">
        <v>9424</v>
      </c>
      <c r="O7508" s="6" t="s">
        <v>8906</v>
      </c>
      <c r="P7508" s="58" t="s">
        <v>241</v>
      </c>
      <c r="Q7508" s="6" t="s">
        <v>234</v>
      </c>
      <c r="R7508" s="6">
        <v>10</v>
      </c>
      <c r="S7508" s="1">
        <v>47142.8508</v>
      </c>
      <c r="T7508" s="4">
        <v>0</v>
      </c>
      <c r="U7508" s="4">
        <f>T7508*1.12</f>
        <v>0</v>
      </c>
      <c r="V7508" s="3"/>
      <c r="W7508" s="3">
        <v>2014</v>
      </c>
      <c r="X7508" s="3">
        <v>11</v>
      </c>
    </row>
    <row r="7509" spans="1:24" ht="102">
      <c r="A7509" s="3" t="s">
        <v>18508</v>
      </c>
      <c r="B7509" s="6" t="s">
        <v>361</v>
      </c>
      <c r="C7509" s="16" t="s">
        <v>10206</v>
      </c>
      <c r="D7509" s="16" t="s">
        <v>10207</v>
      </c>
      <c r="E7509" s="16" t="s">
        <v>10208</v>
      </c>
      <c r="F7509" s="64" t="s">
        <v>10207</v>
      </c>
      <c r="G7509" s="3" t="s">
        <v>11450</v>
      </c>
      <c r="H7509" s="98">
        <v>0</v>
      </c>
      <c r="I7509" s="16">
        <v>470000000</v>
      </c>
      <c r="J7509" s="16" t="s">
        <v>229</v>
      </c>
      <c r="K7509" s="6" t="s">
        <v>18748</v>
      </c>
      <c r="L7509" s="16" t="s">
        <v>10000</v>
      </c>
      <c r="M7509" s="162" t="s">
        <v>230</v>
      </c>
      <c r="N7509" s="65" t="s">
        <v>9424</v>
      </c>
      <c r="O7509" s="6" t="s">
        <v>8906</v>
      </c>
      <c r="P7509" s="58" t="s">
        <v>241</v>
      </c>
      <c r="Q7509" s="6" t="s">
        <v>234</v>
      </c>
      <c r="R7509" s="6">
        <v>10</v>
      </c>
      <c r="S7509" s="1">
        <v>47142.8508</v>
      </c>
      <c r="T7509" s="4">
        <v>0</v>
      </c>
      <c r="U7509" s="4">
        <f>T7509*1.12</f>
        <v>0</v>
      </c>
      <c r="V7509" s="3"/>
      <c r="W7509" s="3">
        <v>2014</v>
      </c>
      <c r="X7509" s="6">
        <v>11.15</v>
      </c>
    </row>
    <row r="7510" spans="1:24" ht="76.5">
      <c r="A7510" s="3" t="s">
        <v>19539</v>
      </c>
      <c r="B7510" s="6" t="s">
        <v>361</v>
      </c>
      <c r="C7510" s="16" t="s">
        <v>10206</v>
      </c>
      <c r="D7510" s="16" t="s">
        <v>10207</v>
      </c>
      <c r="E7510" s="16" t="s">
        <v>10208</v>
      </c>
      <c r="F7510" s="64" t="s">
        <v>10207</v>
      </c>
      <c r="G7510" s="3" t="s">
        <v>11450</v>
      </c>
      <c r="H7510" s="98">
        <v>0</v>
      </c>
      <c r="I7510" s="16">
        <v>470000000</v>
      </c>
      <c r="J7510" s="16" t="s">
        <v>229</v>
      </c>
      <c r="K7510" s="6" t="s">
        <v>9956</v>
      </c>
      <c r="L7510" s="16" t="s">
        <v>10000</v>
      </c>
      <c r="M7510" s="162" t="s">
        <v>230</v>
      </c>
      <c r="N7510" s="65" t="s">
        <v>9424</v>
      </c>
      <c r="O7510" s="6" t="s">
        <v>19407</v>
      </c>
      <c r="P7510" s="58" t="s">
        <v>241</v>
      </c>
      <c r="Q7510" s="6" t="s">
        <v>234</v>
      </c>
      <c r="R7510" s="6">
        <v>10</v>
      </c>
      <c r="S7510" s="1">
        <v>47142.8508</v>
      </c>
      <c r="T7510" s="4">
        <f>R7510*S7510</f>
        <v>471428.50800000003</v>
      </c>
      <c r="U7510" s="97">
        <f>T7510*1.12</f>
        <v>527999.92896000005</v>
      </c>
      <c r="V7510" s="3"/>
      <c r="W7510" s="3">
        <v>2014</v>
      </c>
      <c r="X7510" s="6"/>
    </row>
    <row r="7511" spans="1:24" ht="102">
      <c r="A7511" s="3" t="s">
        <v>11141</v>
      </c>
      <c r="B7511" s="6" t="s">
        <v>361</v>
      </c>
      <c r="C7511" s="16" t="s">
        <v>8536</v>
      </c>
      <c r="D7511" s="16" t="s">
        <v>8537</v>
      </c>
      <c r="E7511" s="16" t="s">
        <v>10209</v>
      </c>
      <c r="F7511" s="6" t="s">
        <v>8537</v>
      </c>
      <c r="G7511" s="3" t="s">
        <v>11450</v>
      </c>
      <c r="H7511" s="98">
        <v>0</v>
      </c>
      <c r="I7511" s="16">
        <v>470000000</v>
      </c>
      <c r="J7511" s="16" t="s">
        <v>229</v>
      </c>
      <c r="K7511" s="6" t="s">
        <v>641</v>
      </c>
      <c r="L7511" s="16" t="s">
        <v>10000</v>
      </c>
      <c r="M7511" s="162" t="s">
        <v>230</v>
      </c>
      <c r="N7511" s="65" t="s">
        <v>9424</v>
      </c>
      <c r="O7511" s="6" t="s">
        <v>8906</v>
      </c>
      <c r="P7511" s="58" t="s">
        <v>241</v>
      </c>
      <c r="Q7511" s="6" t="s">
        <v>234</v>
      </c>
      <c r="R7511" s="6">
        <v>4</v>
      </c>
      <c r="S7511" s="97">
        <v>50267.86</v>
      </c>
      <c r="T7511" s="4">
        <v>0</v>
      </c>
      <c r="U7511" s="4">
        <f t="shared" si="355"/>
        <v>0</v>
      </c>
      <c r="V7511" s="3"/>
      <c r="W7511" s="3">
        <v>2014</v>
      </c>
      <c r="X7511" s="3">
        <v>11</v>
      </c>
    </row>
    <row r="7512" spans="1:24" ht="102">
      <c r="A7512" s="3" t="s">
        <v>14268</v>
      </c>
      <c r="B7512" s="6" t="s">
        <v>361</v>
      </c>
      <c r="C7512" s="16" t="s">
        <v>8536</v>
      </c>
      <c r="D7512" s="16" t="s">
        <v>8537</v>
      </c>
      <c r="E7512" s="16" t="s">
        <v>10209</v>
      </c>
      <c r="F7512" s="6" t="s">
        <v>8537</v>
      </c>
      <c r="G7512" s="3" t="s">
        <v>11450</v>
      </c>
      <c r="H7512" s="98">
        <v>0</v>
      </c>
      <c r="I7512" s="16">
        <v>470000000</v>
      </c>
      <c r="J7512" s="16" t="s">
        <v>229</v>
      </c>
      <c r="K7512" s="6" t="s">
        <v>9453</v>
      </c>
      <c r="L7512" s="16" t="s">
        <v>10000</v>
      </c>
      <c r="M7512" s="162" t="s">
        <v>230</v>
      </c>
      <c r="N7512" s="65" t="s">
        <v>9424</v>
      </c>
      <c r="O7512" s="6" t="s">
        <v>8906</v>
      </c>
      <c r="P7512" s="58" t="s">
        <v>241</v>
      </c>
      <c r="Q7512" s="6" t="s">
        <v>234</v>
      </c>
      <c r="R7512" s="6">
        <v>4</v>
      </c>
      <c r="S7512" s="97">
        <v>50267.86</v>
      </c>
      <c r="T7512" s="4">
        <v>0</v>
      </c>
      <c r="U7512" s="97">
        <f>T7512*1.12</f>
        <v>0</v>
      </c>
      <c r="V7512" s="3"/>
      <c r="W7512" s="3">
        <v>2014</v>
      </c>
      <c r="X7512" s="3" t="s">
        <v>14785</v>
      </c>
    </row>
    <row r="7513" spans="1:24" ht="102">
      <c r="A7513" s="3" t="s">
        <v>17178</v>
      </c>
      <c r="B7513" s="6" t="s">
        <v>361</v>
      </c>
      <c r="C7513" s="16" t="s">
        <v>8536</v>
      </c>
      <c r="D7513" s="16" t="s">
        <v>8537</v>
      </c>
      <c r="E7513" s="16" t="s">
        <v>10209</v>
      </c>
      <c r="F7513" s="6" t="s">
        <v>8537</v>
      </c>
      <c r="G7513" s="3" t="s">
        <v>11450</v>
      </c>
      <c r="H7513" s="98">
        <v>0</v>
      </c>
      <c r="I7513" s="16">
        <v>470000000</v>
      </c>
      <c r="J7513" s="16" t="s">
        <v>229</v>
      </c>
      <c r="K7513" s="6" t="s">
        <v>10120</v>
      </c>
      <c r="L7513" s="16" t="s">
        <v>10000</v>
      </c>
      <c r="M7513" s="162" t="s">
        <v>230</v>
      </c>
      <c r="N7513" s="65" t="s">
        <v>9424</v>
      </c>
      <c r="O7513" s="6" t="s">
        <v>8906</v>
      </c>
      <c r="P7513" s="58" t="s">
        <v>241</v>
      </c>
      <c r="Q7513" s="6" t="s">
        <v>234</v>
      </c>
      <c r="R7513" s="6">
        <v>4</v>
      </c>
      <c r="S7513" s="97">
        <v>60321.429467999995</v>
      </c>
      <c r="T7513" s="4">
        <v>0</v>
      </c>
      <c r="U7513" s="4">
        <f>T7513*1.12</f>
        <v>0</v>
      </c>
      <c r="V7513" s="3"/>
      <c r="W7513" s="3">
        <v>2014</v>
      </c>
      <c r="X7513" s="3" t="s">
        <v>14780</v>
      </c>
    </row>
    <row r="7514" spans="1:24" s="321" customFormat="1" ht="102">
      <c r="A7514" s="3" t="s">
        <v>18509</v>
      </c>
      <c r="B7514" s="6" t="s">
        <v>361</v>
      </c>
      <c r="C7514" s="16" t="s">
        <v>8536</v>
      </c>
      <c r="D7514" s="16" t="s">
        <v>8537</v>
      </c>
      <c r="E7514" s="16" t="s">
        <v>10209</v>
      </c>
      <c r="F7514" s="6" t="s">
        <v>8537</v>
      </c>
      <c r="G7514" s="3" t="s">
        <v>11450</v>
      </c>
      <c r="H7514" s="98">
        <v>0</v>
      </c>
      <c r="I7514" s="16">
        <v>470000000</v>
      </c>
      <c r="J7514" s="16" t="s">
        <v>229</v>
      </c>
      <c r="K7514" s="6" t="s">
        <v>18748</v>
      </c>
      <c r="L7514" s="16" t="s">
        <v>10000</v>
      </c>
      <c r="M7514" s="162" t="s">
        <v>230</v>
      </c>
      <c r="N7514" s="65" t="s">
        <v>9424</v>
      </c>
      <c r="O7514" s="6" t="s">
        <v>8906</v>
      </c>
      <c r="P7514" s="58" t="s">
        <v>241</v>
      </c>
      <c r="Q7514" s="6" t="s">
        <v>234</v>
      </c>
      <c r="R7514" s="6">
        <v>2</v>
      </c>
      <c r="S7514" s="97">
        <v>60321.429467999995</v>
      </c>
      <c r="T7514" s="4">
        <v>0</v>
      </c>
      <c r="U7514" s="4">
        <f t="shared" ref="U7514:U7515" si="362">T7514*1.12</f>
        <v>0</v>
      </c>
      <c r="V7514" s="3"/>
      <c r="W7514" s="3">
        <v>2014</v>
      </c>
      <c r="X7514" s="6">
        <v>11.15</v>
      </c>
    </row>
    <row r="7515" spans="1:24" s="321" customFormat="1" ht="76.5">
      <c r="A7515" s="3" t="s">
        <v>19540</v>
      </c>
      <c r="B7515" s="6" t="s">
        <v>361</v>
      </c>
      <c r="C7515" s="16" t="s">
        <v>8536</v>
      </c>
      <c r="D7515" s="16" t="s">
        <v>8537</v>
      </c>
      <c r="E7515" s="16" t="s">
        <v>10209</v>
      </c>
      <c r="F7515" s="6" t="s">
        <v>8537</v>
      </c>
      <c r="G7515" s="3" t="s">
        <v>11450</v>
      </c>
      <c r="H7515" s="98">
        <v>0</v>
      </c>
      <c r="I7515" s="16">
        <v>470000000</v>
      </c>
      <c r="J7515" s="16" t="s">
        <v>229</v>
      </c>
      <c r="K7515" s="6" t="s">
        <v>9956</v>
      </c>
      <c r="L7515" s="16" t="s">
        <v>10000</v>
      </c>
      <c r="M7515" s="162" t="s">
        <v>230</v>
      </c>
      <c r="N7515" s="65" t="s">
        <v>9424</v>
      </c>
      <c r="O7515" s="6" t="s">
        <v>19407</v>
      </c>
      <c r="P7515" s="58" t="s">
        <v>241</v>
      </c>
      <c r="Q7515" s="6" t="s">
        <v>234</v>
      </c>
      <c r="R7515" s="6">
        <v>2</v>
      </c>
      <c r="S7515" s="97">
        <v>60321.429467999995</v>
      </c>
      <c r="T7515" s="4">
        <f>R7515*S7515</f>
        <v>120642.85893599999</v>
      </c>
      <c r="U7515" s="97">
        <f t="shared" si="362"/>
        <v>135120.00200832001</v>
      </c>
      <c r="V7515" s="3"/>
      <c r="W7515" s="3">
        <v>2014</v>
      </c>
      <c r="X7515" s="6"/>
    </row>
    <row r="7516" spans="1:24" ht="102">
      <c r="A7516" s="3" t="s">
        <v>11142</v>
      </c>
      <c r="B7516" s="6" t="s">
        <v>361</v>
      </c>
      <c r="C7516" s="16" t="s">
        <v>10210</v>
      </c>
      <c r="D7516" s="16" t="s">
        <v>10211</v>
      </c>
      <c r="E7516" s="16" t="s">
        <v>10212</v>
      </c>
      <c r="F7516" s="3" t="s">
        <v>10213</v>
      </c>
      <c r="G7516" s="3" t="s">
        <v>11450</v>
      </c>
      <c r="H7516" s="98">
        <v>0</v>
      </c>
      <c r="I7516" s="16">
        <v>470000000</v>
      </c>
      <c r="J7516" s="16" t="s">
        <v>229</v>
      </c>
      <c r="K7516" s="6" t="s">
        <v>641</v>
      </c>
      <c r="L7516" s="16" t="s">
        <v>10000</v>
      </c>
      <c r="M7516" s="162" t="s">
        <v>230</v>
      </c>
      <c r="N7516" s="65" t="s">
        <v>9424</v>
      </c>
      <c r="O7516" s="6" t="s">
        <v>8906</v>
      </c>
      <c r="P7516" s="58" t="s">
        <v>241</v>
      </c>
      <c r="Q7516" s="6" t="s">
        <v>234</v>
      </c>
      <c r="R7516" s="6">
        <v>1</v>
      </c>
      <c r="S7516" s="97">
        <v>24107.14</v>
      </c>
      <c r="T7516" s="4">
        <v>0</v>
      </c>
      <c r="U7516" s="4">
        <f t="shared" si="355"/>
        <v>0</v>
      </c>
      <c r="V7516" s="3"/>
      <c r="W7516" s="3">
        <v>2014</v>
      </c>
      <c r="X7516" s="3">
        <v>11</v>
      </c>
    </row>
    <row r="7517" spans="1:24" ht="102">
      <c r="A7517" s="3" t="s">
        <v>14269</v>
      </c>
      <c r="B7517" s="6" t="s">
        <v>361</v>
      </c>
      <c r="C7517" s="16" t="s">
        <v>10210</v>
      </c>
      <c r="D7517" s="16" t="s">
        <v>10211</v>
      </c>
      <c r="E7517" s="16" t="s">
        <v>10212</v>
      </c>
      <c r="F7517" s="3" t="s">
        <v>10213</v>
      </c>
      <c r="G7517" s="3" t="s">
        <v>11450</v>
      </c>
      <c r="H7517" s="98">
        <v>0</v>
      </c>
      <c r="I7517" s="16">
        <v>470000000</v>
      </c>
      <c r="J7517" s="16" t="s">
        <v>229</v>
      </c>
      <c r="K7517" s="6" t="s">
        <v>9453</v>
      </c>
      <c r="L7517" s="16" t="s">
        <v>10000</v>
      </c>
      <c r="M7517" s="162" t="s">
        <v>230</v>
      </c>
      <c r="N7517" s="65" t="s">
        <v>9424</v>
      </c>
      <c r="O7517" s="6" t="s">
        <v>8906</v>
      </c>
      <c r="P7517" s="58" t="s">
        <v>241</v>
      </c>
      <c r="Q7517" s="6" t="s">
        <v>234</v>
      </c>
      <c r="R7517" s="6">
        <v>1</v>
      </c>
      <c r="S7517" s="97">
        <v>24107.14</v>
      </c>
      <c r="T7517" s="4">
        <v>0</v>
      </c>
      <c r="U7517" s="97">
        <f>T7517*1.12</f>
        <v>0</v>
      </c>
      <c r="V7517" s="3"/>
      <c r="W7517" s="3">
        <v>2014</v>
      </c>
      <c r="X7517" s="3" t="s">
        <v>14785</v>
      </c>
    </row>
    <row r="7518" spans="1:24" ht="102">
      <c r="A7518" s="3" t="s">
        <v>17179</v>
      </c>
      <c r="B7518" s="6" t="s">
        <v>361</v>
      </c>
      <c r="C7518" s="16" t="s">
        <v>10210</v>
      </c>
      <c r="D7518" s="16" t="s">
        <v>10211</v>
      </c>
      <c r="E7518" s="16" t="s">
        <v>10212</v>
      </c>
      <c r="F7518" s="3" t="s">
        <v>10213</v>
      </c>
      <c r="G7518" s="3" t="s">
        <v>11450</v>
      </c>
      <c r="H7518" s="98">
        <v>0</v>
      </c>
      <c r="I7518" s="16">
        <v>470000000</v>
      </c>
      <c r="J7518" s="16" t="s">
        <v>229</v>
      </c>
      <c r="K7518" s="6" t="s">
        <v>10120</v>
      </c>
      <c r="L7518" s="16" t="s">
        <v>10000</v>
      </c>
      <c r="M7518" s="162" t="s">
        <v>230</v>
      </c>
      <c r="N7518" s="65" t="s">
        <v>9424</v>
      </c>
      <c r="O7518" s="6" t="s">
        <v>8906</v>
      </c>
      <c r="P7518" s="58" t="s">
        <v>241</v>
      </c>
      <c r="Q7518" s="6" t="s">
        <v>234</v>
      </c>
      <c r="R7518" s="6">
        <v>1</v>
      </c>
      <c r="S7518" s="97">
        <v>28928.518471847998</v>
      </c>
      <c r="T7518" s="4">
        <v>0</v>
      </c>
      <c r="U7518" s="4">
        <f>T7518*1.12</f>
        <v>0</v>
      </c>
      <c r="V7518" s="3"/>
      <c r="W7518" s="3">
        <v>2014</v>
      </c>
      <c r="X7518" s="3">
        <v>11</v>
      </c>
    </row>
    <row r="7519" spans="1:24" ht="102">
      <c r="A7519" s="3" t="s">
        <v>18510</v>
      </c>
      <c r="B7519" s="6" t="s">
        <v>361</v>
      </c>
      <c r="C7519" s="16" t="s">
        <v>10210</v>
      </c>
      <c r="D7519" s="16" t="s">
        <v>10211</v>
      </c>
      <c r="E7519" s="16" t="s">
        <v>10212</v>
      </c>
      <c r="F7519" s="3" t="s">
        <v>10213</v>
      </c>
      <c r="G7519" s="3" t="s">
        <v>11450</v>
      </c>
      <c r="H7519" s="98">
        <v>0</v>
      </c>
      <c r="I7519" s="16">
        <v>470000000</v>
      </c>
      <c r="J7519" s="16" t="s">
        <v>229</v>
      </c>
      <c r="K7519" s="6" t="s">
        <v>18748</v>
      </c>
      <c r="L7519" s="16" t="s">
        <v>10000</v>
      </c>
      <c r="M7519" s="162" t="s">
        <v>230</v>
      </c>
      <c r="N7519" s="65" t="s">
        <v>9424</v>
      </c>
      <c r="O7519" s="6" t="s">
        <v>8906</v>
      </c>
      <c r="P7519" s="58" t="s">
        <v>241</v>
      </c>
      <c r="Q7519" s="6" t="s">
        <v>234</v>
      </c>
      <c r="R7519" s="6">
        <v>1</v>
      </c>
      <c r="S7519" s="97">
        <v>28928.518471847998</v>
      </c>
      <c r="T7519" s="4">
        <v>0</v>
      </c>
      <c r="U7519" s="4">
        <f>T7519*1.12</f>
        <v>0</v>
      </c>
      <c r="V7519" s="3"/>
      <c r="W7519" s="3">
        <v>2014</v>
      </c>
      <c r="X7519" s="3" t="s">
        <v>12076</v>
      </c>
    </row>
    <row r="7520" spans="1:24" ht="102">
      <c r="A7520" s="3" t="s">
        <v>11143</v>
      </c>
      <c r="B7520" s="6" t="s">
        <v>361</v>
      </c>
      <c r="C7520" s="16" t="s">
        <v>10214</v>
      </c>
      <c r="D7520" s="16" t="s">
        <v>10215</v>
      </c>
      <c r="E7520" s="16" t="s">
        <v>10216</v>
      </c>
      <c r="F7520" s="3" t="s">
        <v>10217</v>
      </c>
      <c r="G7520" s="3" t="s">
        <v>11450</v>
      </c>
      <c r="H7520" s="98">
        <v>0</v>
      </c>
      <c r="I7520" s="16">
        <v>470000000</v>
      </c>
      <c r="J7520" s="16" t="s">
        <v>229</v>
      </c>
      <c r="K7520" s="6" t="s">
        <v>641</v>
      </c>
      <c r="L7520" s="16" t="s">
        <v>10000</v>
      </c>
      <c r="M7520" s="162" t="s">
        <v>230</v>
      </c>
      <c r="N7520" s="65" t="s">
        <v>9424</v>
      </c>
      <c r="O7520" s="6" t="s">
        <v>8906</v>
      </c>
      <c r="P7520" s="58" t="s">
        <v>241</v>
      </c>
      <c r="Q7520" s="6" t="s">
        <v>234</v>
      </c>
      <c r="R7520" s="6">
        <v>10</v>
      </c>
      <c r="S7520" s="97">
        <v>24300</v>
      </c>
      <c r="T7520" s="4">
        <f>R7520*S7520</f>
        <v>243000</v>
      </c>
      <c r="U7520" s="97">
        <f t="shared" si="355"/>
        <v>272160</v>
      </c>
      <c r="V7520" s="3"/>
      <c r="W7520" s="3">
        <v>2014</v>
      </c>
      <c r="X7520" s="3"/>
    </row>
    <row r="7521" spans="1:24" ht="102">
      <c r="A7521" s="3" t="s">
        <v>11144</v>
      </c>
      <c r="B7521" s="6" t="s">
        <v>361</v>
      </c>
      <c r="C7521" s="16" t="s">
        <v>10218</v>
      </c>
      <c r="D7521" s="16" t="s">
        <v>9379</v>
      </c>
      <c r="E7521" s="16" t="s">
        <v>10219</v>
      </c>
      <c r="F7521" s="3" t="s">
        <v>10220</v>
      </c>
      <c r="G7521" s="3" t="s">
        <v>11450</v>
      </c>
      <c r="H7521" s="98">
        <v>0</v>
      </c>
      <c r="I7521" s="16">
        <v>470000000</v>
      </c>
      <c r="J7521" s="16" t="s">
        <v>229</v>
      </c>
      <c r="K7521" s="6" t="s">
        <v>641</v>
      </c>
      <c r="L7521" s="16" t="s">
        <v>10000</v>
      </c>
      <c r="M7521" s="162" t="s">
        <v>230</v>
      </c>
      <c r="N7521" s="65" t="s">
        <v>9424</v>
      </c>
      <c r="O7521" s="6" t="s">
        <v>8906</v>
      </c>
      <c r="P7521" s="58" t="s">
        <v>241</v>
      </c>
      <c r="Q7521" s="6" t="s">
        <v>234</v>
      </c>
      <c r="R7521" s="6">
        <v>10</v>
      </c>
      <c r="S7521" s="97">
        <v>12946.43</v>
      </c>
      <c r="T7521" s="4">
        <v>0</v>
      </c>
      <c r="U7521" s="4">
        <f t="shared" si="355"/>
        <v>0</v>
      </c>
      <c r="V7521" s="3"/>
      <c r="W7521" s="3">
        <v>2014</v>
      </c>
      <c r="X7521" s="3">
        <v>11</v>
      </c>
    </row>
    <row r="7522" spans="1:24" ht="102">
      <c r="A7522" s="3" t="s">
        <v>14270</v>
      </c>
      <c r="B7522" s="6" t="s">
        <v>361</v>
      </c>
      <c r="C7522" s="16" t="s">
        <v>10218</v>
      </c>
      <c r="D7522" s="16" t="s">
        <v>9379</v>
      </c>
      <c r="E7522" s="16" t="s">
        <v>10219</v>
      </c>
      <c r="F7522" s="3" t="s">
        <v>10220</v>
      </c>
      <c r="G7522" s="3" t="s">
        <v>11450</v>
      </c>
      <c r="H7522" s="98">
        <v>0</v>
      </c>
      <c r="I7522" s="16">
        <v>470000000</v>
      </c>
      <c r="J7522" s="16" t="s">
        <v>229</v>
      </c>
      <c r="K7522" s="6" t="s">
        <v>9453</v>
      </c>
      <c r="L7522" s="16" t="s">
        <v>10000</v>
      </c>
      <c r="M7522" s="162" t="s">
        <v>230</v>
      </c>
      <c r="N7522" s="65" t="s">
        <v>9424</v>
      </c>
      <c r="O7522" s="6" t="s">
        <v>8906</v>
      </c>
      <c r="P7522" s="58" t="s">
        <v>241</v>
      </c>
      <c r="Q7522" s="6" t="s">
        <v>234</v>
      </c>
      <c r="R7522" s="6">
        <v>10</v>
      </c>
      <c r="S7522" s="97">
        <v>12946.43</v>
      </c>
      <c r="T7522" s="4">
        <v>0</v>
      </c>
      <c r="U7522" s="97">
        <f>T7522*1.12</f>
        <v>0</v>
      </c>
      <c r="V7522" s="3"/>
      <c r="W7522" s="3">
        <v>2014</v>
      </c>
      <c r="X7522" s="3" t="s">
        <v>14785</v>
      </c>
    </row>
    <row r="7523" spans="1:24" ht="102">
      <c r="A7523" s="3" t="s">
        <v>17180</v>
      </c>
      <c r="B7523" s="6" t="s">
        <v>361</v>
      </c>
      <c r="C7523" s="16" t="s">
        <v>10218</v>
      </c>
      <c r="D7523" s="16" t="s">
        <v>9379</v>
      </c>
      <c r="E7523" s="16" t="s">
        <v>10219</v>
      </c>
      <c r="F7523" s="3" t="s">
        <v>10220</v>
      </c>
      <c r="G7523" s="3" t="s">
        <v>11450</v>
      </c>
      <c r="H7523" s="98">
        <v>0</v>
      </c>
      <c r="I7523" s="16">
        <v>470000000</v>
      </c>
      <c r="J7523" s="16" t="s">
        <v>229</v>
      </c>
      <c r="K7523" s="6" t="s">
        <v>10120</v>
      </c>
      <c r="L7523" s="16" t="s">
        <v>10000</v>
      </c>
      <c r="M7523" s="162" t="s">
        <v>230</v>
      </c>
      <c r="N7523" s="65" t="s">
        <v>9424</v>
      </c>
      <c r="O7523" s="6" t="s">
        <v>8906</v>
      </c>
      <c r="P7523" s="58" t="s">
        <v>241</v>
      </c>
      <c r="Q7523" s="6" t="s">
        <v>234</v>
      </c>
      <c r="R7523" s="6">
        <v>10</v>
      </c>
      <c r="S7523" s="97">
        <v>15535.715879999998</v>
      </c>
      <c r="T7523" s="4">
        <v>0</v>
      </c>
      <c r="U7523" s="4">
        <f>T7523*1.12</f>
        <v>0</v>
      </c>
      <c r="V7523" s="3"/>
      <c r="W7523" s="3">
        <v>2014</v>
      </c>
      <c r="X7523" s="3" t="s">
        <v>14780</v>
      </c>
    </row>
    <row r="7524" spans="1:24" ht="102">
      <c r="A7524" s="3" t="s">
        <v>18514</v>
      </c>
      <c r="B7524" s="6" t="s">
        <v>361</v>
      </c>
      <c r="C7524" s="16" t="s">
        <v>10218</v>
      </c>
      <c r="D7524" s="16" t="s">
        <v>9379</v>
      </c>
      <c r="E7524" s="16" t="s">
        <v>10219</v>
      </c>
      <c r="F7524" s="3" t="s">
        <v>10220</v>
      </c>
      <c r="G7524" s="3" t="s">
        <v>11450</v>
      </c>
      <c r="H7524" s="98">
        <v>0</v>
      </c>
      <c r="I7524" s="16">
        <v>470000000</v>
      </c>
      <c r="J7524" s="16" t="s">
        <v>229</v>
      </c>
      <c r="K7524" s="6" t="s">
        <v>18748</v>
      </c>
      <c r="L7524" s="16" t="s">
        <v>10000</v>
      </c>
      <c r="M7524" s="162" t="s">
        <v>230</v>
      </c>
      <c r="N7524" s="65" t="s">
        <v>9424</v>
      </c>
      <c r="O7524" s="6" t="s">
        <v>8906</v>
      </c>
      <c r="P7524" s="58" t="s">
        <v>241</v>
      </c>
      <c r="Q7524" s="6" t="s">
        <v>234</v>
      </c>
      <c r="R7524" s="6">
        <v>4</v>
      </c>
      <c r="S7524" s="97">
        <v>15535.715879999998</v>
      </c>
      <c r="T7524" s="4">
        <v>0</v>
      </c>
      <c r="U7524" s="4">
        <f>T7524*1.12</f>
        <v>0</v>
      </c>
      <c r="V7524" s="3"/>
      <c r="W7524" s="3">
        <v>2014</v>
      </c>
      <c r="X7524" s="6">
        <v>11.15</v>
      </c>
    </row>
    <row r="7525" spans="1:24" ht="76.5">
      <c r="A7525" s="3" t="s">
        <v>19541</v>
      </c>
      <c r="B7525" s="6" t="s">
        <v>361</v>
      </c>
      <c r="C7525" s="16" t="s">
        <v>10218</v>
      </c>
      <c r="D7525" s="16" t="s">
        <v>9379</v>
      </c>
      <c r="E7525" s="16" t="s">
        <v>10219</v>
      </c>
      <c r="F7525" s="3" t="s">
        <v>10220</v>
      </c>
      <c r="G7525" s="3" t="s">
        <v>11450</v>
      </c>
      <c r="H7525" s="98">
        <v>0</v>
      </c>
      <c r="I7525" s="16">
        <v>470000000</v>
      </c>
      <c r="J7525" s="16" t="s">
        <v>229</v>
      </c>
      <c r="K7525" s="6" t="s">
        <v>9956</v>
      </c>
      <c r="L7525" s="16" t="s">
        <v>10000</v>
      </c>
      <c r="M7525" s="162" t="s">
        <v>230</v>
      </c>
      <c r="N7525" s="65" t="s">
        <v>9424</v>
      </c>
      <c r="O7525" s="6" t="s">
        <v>19407</v>
      </c>
      <c r="P7525" s="58" t="s">
        <v>241</v>
      </c>
      <c r="Q7525" s="6" t="s">
        <v>234</v>
      </c>
      <c r="R7525" s="6">
        <v>4</v>
      </c>
      <c r="S7525" s="97">
        <v>15535.715879999998</v>
      </c>
      <c r="T7525" s="4">
        <f>R7525*S7525</f>
        <v>62142.863519999992</v>
      </c>
      <c r="U7525" s="97">
        <f>T7525*1.12</f>
        <v>69600.007142399991</v>
      </c>
      <c r="V7525" s="3"/>
      <c r="W7525" s="3">
        <v>2014</v>
      </c>
      <c r="X7525" s="6"/>
    </row>
    <row r="7526" spans="1:24" ht="102">
      <c r="A7526" s="3" t="s">
        <v>11145</v>
      </c>
      <c r="B7526" s="6" t="s">
        <v>361</v>
      </c>
      <c r="C7526" s="16" t="s">
        <v>10221</v>
      </c>
      <c r="D7526" s="16" t="s">
        <v>8507</v>
      </c>
      <c r="E7526" s="16" t="s">
        <v>10222</v>
      </c>
      <c r="F7526" s="3" t="s">
        <v>10223</v>
      </c>
      <c r="G7526" s="3" t="s">
        <v>11450</v>
      </c>
      <c r="H7526" s="98">
        <v>0</v>
      </c>
      <c r="I7526" s="16">
        <v>470000000</v>
      </c>
      <c r="J7526" s="16" t="s">
        <v>229</v>
      </c>
      <c r="K7526" s="6" t="s">
        <v>641</v>
      </c>
      <c r="L7526" s="16" t="s">
        <v>10000</v>
      </c>
      <c r="M7526" s="162" t="s">
        <v>230</v>
      </c>
      <c r="N7526" s="65" t="s">
        <v>9424</v>
      </c>
      <c r="O7526" s="6" t="s">
        <v>8906</v>
      </c>
      <c r="P7526" s="58" t="s">
        <v>241</v>
      </c>
      <c r="Q7526" s="6" t="s">
        <v>234</v>
      </c>
      <c r="R7526" s="6">
        <v>4</v>
      </c>
      <c r="S7526" s="97">
        <v>59400</v>
      </c>
      <c r="T7526" s="4">
        <v>0</v>
      </c>
      <c r="U7526" s="4">
        <f t="shared" si="355"/>
        <v>0</v>
      </c>
      <c r="V7526" s="3"/>
      <c r="W7526" s="3">
        <v>2014</v>
      </c>
      <c r="X7526" s="3">
        <v>11</v>
      </c>
    </row>
    <row r="7527" spans="1:24" ht="102">
      <c r="A7527" s="3" t="s">
        <v>14271</v>
      </c>
      <c r="B7527" s="6" t="s">
        <v>361</v>
      </c>
      <c r="C7527" s="16" t="s">
        <v>10221</v>
      </c>
      <c r="D7527" s="16" t="s">
        <v>8507</v>
      </c>
      <c r="E7527" s="16" t="s">
        <v>10222</v>
      </c>
      <c r="F7527" s="3" t="s">
        <v>10223</v>
      </c>
      <c r="G7527" s="3" t="s">
        <v>11450</v>
      </c>
      <c r="H7527" s="98">
        <v>0</v>
      </c>
      <c r="I7527" s="16">
        <v>470000000</v>
      </c>
      <c r="J7527" s="16" t="s">
        <v>229</v>
      </c>
      <c r="K7527" s="6" t="s">
        <v>9453</v>
      </c>
      <c r="L7527" s="16" t="s">
        <v>10000</v>
      </c>
      <c r="M7527" s="162" t="s">
        <v>230</v>
      </c>
      <c r="N7527" s="65" t="s">
        <v>9424</v>
      </c>
      <c r="O7527" s="6" t="s">
        <v>8906</v>
      </c>
      <c r="P7527" s="58" t="s">
        <v>241</v>
      </c>
      <c r="Q7527" s="6" t="s">
        <v>234</v>
      </c>
      <c r="R7527" s="6">
        <v>4</v>
      </c>
      <c r="S7527" s="97">
        <v>59400</v>
      </c>
      <c r="T7527" s="4">
        <v>0</v>
      </c>
      <c r="U7527" s="4">
        <f>T7527*1.12</f>
        <v>0</v>
      </c>
      <c r="V7527" s="3"/>
      <c r="W7527" s="3">
        <v>2014</v>
      </c>
      <c r="X7527" s="3" t="s">
        <v>14785</v>
      </c>
    </row>
    <row r="7528" spans="1:24" ht="102">
      <c r="A7528" s="3" t="s">
        <v>17181</v>
      </c>
      <c r="B7528" s="6" t="s">
        <v>361</v>
      </c>
      <c r="C7528" s="16" t="s">
        <v>10221</v>
      </c>
      <c r="D7528" s="16" t="s">
        <v>8507</v>
      </c>
      <c r="E7528" s="16" t="s">
        <v>10222</v>
      </c>
      <c r="F7528" s="3" t="s">
        <v>10223</v>
      </c>
      <c r="G7528" s="3" t="s">
        <v>11450</v>
      </c>
      <c r="H7528" s="98">
        <v>0</v>
      </c>
      <c r="I7528" s="16">
        <v>470000000</v>
      </c>
      <c r="J7528" s="16" t="s">
        <v>229</v>
      </c>
      <c r="K7528" s="6" t="s">
        <v>9453</v>
      </c>
      <c r="L7528" s="16" t="s">
        <v>10000</v>
      </c>
      <c r="M7528" s="162" t="s">
        <v>230</v>
      </c>
      <c r="N7528" s="65" t="s">
        <v>9424</v>
      </c>
      <c r="O7528" s="6" t="s">
        <v>8906</v>
      </c>
      <c r="P7528" s="58" t="s">
        <v>241</v>
      </c>
      <c r="Q7528" s="6" t="s">
        <v>234</v>
      </c>
      <c r="R7528" s="6">
        <v>4</v>
      </c>
      <c r="S7528" s="97">
        <v>71280</v>
      </c>
      <c r="T7528" s="4">
        <v>0</v>
      </c>
      <c r="U7528" s="97">
        <f>T7528*1.12</f>
        <v>0</v>
      </c>
      <c r="V7528" s="3"/>
      <c r="W7528" s="3">
        <v>2014</v>
      </c>
      <c r="X7528" s="3">
        <v>11</v>
      </c>
    </row>
    <row r="7529" spans="1:24" ht="102">
      <c r="A7529" s="3" t="s">
        <v>18515</v>
      </c>
      <c r="B7529" s="6" t="s">
        <v>361</v>
      </c>
      <c r="C7529" s="16" t="s">
        <v>10221</v>
      </c>
      <c r="D7529" s="16" t="s">
        <v>8507</v>
      </c>
      <c r="E7529" s="16" t="s">
        <v>10222</v>
      </c>
      <c r="F7529" s="3" t="s">
        <v>10223</v>
      </c>
      <c r="G7529" s="3" t="s">
        <v>11450</v>
      </c>
      <c r="H7529" s="98">
        <v>0</v>
      </c>
      <c r="I7529" s="16">
        <v>470000000</v>
      </c>
      <c r="J7529" s="16" t="s">
        <v>229</v>
      </c>
      <c r="K7529" s="6" t="s">
        <v>18748</v>
      </c>
      <c r="L7529" s="16" t="s">
        <v>10000</v>
      </c>
      <c r="M7529" s="162" t="s">
        <v>230</v>
      </c>
      <c r="N7529" s="65" t="s">
        <v>9424</v>
      </c>
      <c r="O7529" s="6" t="s">
        <v>8906</v>
      </c>
      <c r="P7529" s="58" t="s">
        <v>241</v>
      </c>
      <c r="Q7529" s="6" t="s">
        <v>234</v>
      </c>
      <c r="R7529" s="6">
        <v>4</v>
      </c>
      <c r="S7529" s="97">
        <v>71280</v>
      </c>
      <c r="T7529" s="4">
        <v>0</v>
      </c>
      <c r="U7529" s="97">
        <f>T7529*1.12</f>
        <v>0</v>
      </c>
      <c r="V7529" s="3"/>
      <c r="W7529" s="3">
        <v>2014</v>
      </c>
      <c r="X7529" s="6">
        <v>11.15</v>
      </c>
    </row>
    <row r="7530" spans="1:24" ht="76.5">
      <c r="A7530" s="3" t="s">
        <v>19542</v>
      </c>
      <c r="B7530" s="6" t="s">
        <v>361</v>
      </c>
      <c r="C7530" s="16" t="s">
        <v>10221</v>
      </c>
      <c r="D7530" s="16" t="s">
        <v>8507</v>
      </c>
      <c r="E7530" s="16" t="s">
        <v>10222</v>
      </c>
      <c r="F7530" s="3" t="s">
        <v>10223</v>
      </c>
      <c r="G7530" s="3" t="s">
        <v>11450</v>
      </c>
      <c r="H7530" s="98">
        <v>0</v>
      </c>
      <c r="I7530" s="16">
        <v>470000000</v>
      </c>
      <c r="J7530" s="16" t="s">
        <v>229</v>
      </c>
      <c r="K7530" s="6" t="s">
        <v>9956</v>
      </c>
      <c r="L7530" s="16" t="s">
        <v>10000</v>
      </c>
      <c r="M7530" s="162" t="s">
        <v>230</v>
      </c>
      <c r="N7530" s="65" t="s">
        <v>9424</v>
      </c>
      <c r="O7530" s="6" t="s">
        <v>19407</v>
      </c>
      <c r="P7530" s="58" t="s">
        <v>241</v>
      </c>
      <c r="Q7530" s="6" t="s">
        <v>234</v>
      </c>
      <c r="R7530" s="6">
        <v>4</v>
      </c>
      <c r="S7530" s="97">
        <v>71280</v>
      </c>
      <c r="T7530" s="4">
        <f>R7530*S7530</f>
        <v>285120</v>
      </c>
      <c r="U7530" s="97">
        <f>T7530*1.12</f>
        <v>319334.40000000002</v>
      </c>
      <c r="V7530" s="3"/>
      <c r="W7530" s="3">
        <v>2014</v>
      </c>
      <c r="X7530" s="6"/>
    </row>
    <row r="7531" spans="1:24" ht="102">
      <c r="A7531" s="3" t="s">
        <v>11146</v>
      </c>
      <c r="B7531" s="6" t="s">
        <v>361</v>
      </c>
      <c r="C7531" s="16" t="s">
        <v>10224</v>
      </c>
      <c r="D7531" s="16" t="s">
        <v>8511</v>
      </c>
      <c r="E7531" s="16" t="s">
        <v>10225</v>
      </c>
      <c r="F7531" s="3" t="s">
        <v>10226</v>
      </c>
      <c r="G7531" s="3" t="s">
        <v>11450</v>
      </c>
      <c r="H7531" s="98">
        <v>0</v>
      </c>
      <c r="I7531" s="16">
        <v>470000000</v>
      </c>
      <c r="J7531" s="16" t="s">
        <v>229</v>
      </c>
      <c r="K7531" s="6" t="s">
        <v>641</v>
      </c>
      <c r="L7531" s="16" t="s">
        <v>10000</v>
      </c>
      <c r="M7531" s="162" t="s">
        <v>230</v>
      </c>
      <c r="N7531" s="65" t="s">
        <v>9424</v>
      </c>
      <c r="O7531" s="6" t="s">
        <v>8906</v>
      </c>
      <c r="P7531" s="58" t="s">
        <v>241</v>
      </c>
      <c r="Q7531" s="6" t="s">
        <v>234</v>
      </c>
      <c r="R7531" s="6">
        <v>4</v>
      </c>
      <c r="S7531" s="97">
        <v>45000</v>
      </c>
      <c r="T7531" s="4">
        <f>R7531*S7531</f>
        <v>180000</v>
      </c>
      <c r="U7531" s="97">
        <f t="shared" si="355"/>
        <v>201600.00000000003</v>
      </c>
      <c r="V7531" s="3"/>
      <c r="W7531" s="3">
        <v>2014</v>
      </c>
      <c r="X7531" s="3"/>
    </row>
    <row r="7532" spans="1:24" ht="102">
      <c r="A7532" s="3" t="s">
        <v>11147</v>
      </c>
      <c r="B7532" s="6" t="s">
        <v>361</v>
      </c>
      <c r="C7532" s="16" t="s">
        <v>10227</v>
      </c>
      <c r="D7532" s="16" t="s">
        <v>10228</v>
      </c>
      <c r="E7532" s="16" t="s">
        <v>10229</v>
      </c>
      <c r="F7532" s="3" t="s">
        <v>10230</v>
      </c>
      <c r="G7532" s="3" t="s">
        <v>11450</v>
      </c>
      <c r="H7532" s="98">
        <v>0</v>
      </c>
      <c r="I7532" s="16">
        <v>470000000</v>
      </c>
      <c r="J7532" s="16" t="s">
        <v>229</v>
      </c>
      <c r="K7532" s="6" t="s">
        <v>641</v>
      </c>
      <c r="L7532" s="16" t="s">
        <v>10000</v>
      </c>
      <c r="M7532" s="162" t="s">
        <v>230</v>
      </c>
      <c r="N7532" s="65" t="s">
        <v>9424</v>
      </c>
      <c r="O7532" s="6" t="s">
        <v>8906</v>
      </c>
      <c r="P7532" s="58" t="s">
        <v>241</v>
      </c>
      <c r="Q7532" s="6" t="s">
        <v>234</v>
      </c>
      <c r="R7532" s="6">
        <v>150</v>
      </c>
      <c r="S7532" s="97">
        <v>7000</v>
      </c>
      <c r="T7532" s="4">
        <f>R7532*S7532</f>
        <v>1050000</v>
      </c>
      <c r="U7532" s="97">
        <f t="shared" si="355"/>
        <v>1176000</v>
      </c>
      <c r="V7532" s="3"/>
      <c r="W7532" s="3">
        <v>2014</v>
      </c>
      <c r="X7532" s="3"/>
    </row>
    <row r="7533" spans="1:24" ht="102">
      <c r="A7533" s="3" t="s">
        <v>11148</v>
      </c>
      <c r="B7533" s="6" t="s">
        <v>361</v>
      </c>
      <c r="C7533" s="16" t="s">
        <v>10231</v>
      </c>
      <c r="D7533" s="16" t="s">
        <v>10232</v>
      </c>
      <c r="E7533" s="16" t="s">
        <v>10233</v>
      </c>
      <c r="F7533" s="6" t="s">
        <v>10234</v>
      </c>
      <c r="G7533" s="3" t="s">
        <v>11450</v>
      </c>
      <c r="H7533" s="98">
        <v>0</v>
      </c>
      <c r="I7533" s="16">
        <v>470000000</v>
      </c>
      <c r="J7533" s="16" t="s">
        <v>229</v>
      </c>
      <c r="K7533" s="6" t="s">
        <v>9453</v>
      </c>
      <c r="L7533" s="16" t="s">
        <v>10000</v>
      </c>
      <c r="M7533" s="162" t="s">
        <v>230</v>
      </c>
      <c r="N7533" s="65" t="s">
        <v>10235</v>
      </c>
      <c r="O7533" s="6" t="s">
        <v>8906</v>
      </c>
      <c r="P7533" s="58" t="s">
        <v>241</v>
      </c>
      <c r="Q7533" s="6" t="s">
        <v>234</v>
      </c>
      <c r="R7533" s="3">
        <v>20</v>
      </c>
      <c r="S7533" s="97">
        <v>25142.857142857141</v>
      </c>
      <c r="T7533" s="4">
        <f t="shared" ref="T7533:T7597" si="363">R7533*S7533</f>
        <v>502857.14285714284</v>
      </c>
      <c r="U7533" s="97">
        <f t="shared" si="355"/>
        <v>563200</v>
      </c>
      <c r="V7533" s="3"/>
      <c r="W7533" s="3">
        <v>2014</v>
      </c>
      <c r="X7533" s="3"/>
    </row>
    <row r="7534" spans="1:24" ht="306">
      <c r="A7534" s="3" t="s">
        <v>11149</v>
      </c>
      <c r="B7534" s="6" t="s">
        <v>361</v>
      </c>
      <c r="C7534" s="16" t="s">
        <v>10236</v>
      </c>
      <c r="D7534" s="16" t="s">
        <v>10237</v>
      </c>
      <c r="E7534" s="16" t="s">
        <v>10238</v>
      </c>
      <c r="F7534" s="6" t="s">
        <v>10239</v>
      </c>
      <c r="G7534" s="3" t="s">
        <v>11450</v>
      </c>
      <c r="H7534" s="98">
        <v>0</v>
      </c>
      <c r="I7534" s="16">
        <v>470000000</v>
      </c>
      <c r="J7534" s="16" t="s">
        <v>229</v>
      </c>
      <c r="K7534" s="6" t="s">
        <v>9453</v>
      </c>
      <c r="L7534" s="16" t="s">
        <v>10000</v>
      </c>
      <c r="M7534" s="162" t="s">
        <v>230</v>
      </c>
      <c r="N7534" s="65" t="s">
        <v>10235</v>
      </c>
      <c r="O7534" s="6" t="s">
        <v>8906</v>
      </c>
      <c r="P7534" s="58" t="s">
        <v>241</v>
      </c>
      <c r="Q7534" s="6" t="s">
        <v>234</v>
      </c>
      <c r="R7534" s="3">
        <v>20</v>
      </c>
      <c r="S7534" s="97">
        <v>104450.89285714286</v>
      </c>
      <c r="T7534" s="4">
        <f t="shared" si="363"/>
        <v>2089017.857142857</v>
      </c>
      <c r="U7534" s="97">
        <f t="shared" si="355"/>
        <v>2339700</v>
      </c>
      <c r="V7534" s="3"/>
      <c r="W7534" s="3">
        <v>2014</v>
      </c>
      <c r="X7534" s="3"/>
    </row>
    <row r="7535" spans="1:24" ht="331.5">
      <c r="A7535" s="3" t="s">
        <v>11150</v>
      </c>
      <c r="B7535" s="6" t="s">
        <v>361</v>
      </c>
      <c r="C7535" s="16" t="s">
        <v>10240</v>
      </c>
      <c r="D7535" s="16" t="s">
        <v>10241</v>
      </c>
      <c r="E7535" s="16" t="s">
        <v>10242</v>
      </c>
      <c r="F7535" s="6" t="s">
        <v>12066</v>
      </c>
      <c r="G7535" s="3" t="s">
        <v>11450</v>
      </c>
      <c r="H7535" s="98">
        <v>0</v>
      </c>
      <c r="I7535" s="16">
        <v>470000000</v>
      </c>
      <c r="J7535" s="16" t="s">
        <v>229</v>
      </c>
      <c r="K7535" s="6" t="s">
        <v>633</v>
      </c>
      <c r="L7535" s="16" t="s">
        <v>10000</v>
      </c>
      <c r="M7535" s="162" t="s">
        <v>230</v>
      </c>
      <c r="N7535" s="65" t="s">
        <v>10235</v>
      </c>
      <c r="O7535" s="6" t="s">
        <v>8906</v>
      </c>
      <c r="P7535" s="58" t="s">
        <v>241</v>
      </c>
      <c r="Q7535" s="6" t="s">
        <v>234</v>
      </c>
      <c r="R7535" s="3">
        <v>1</v>
      </c>
      <c r="S7535" s="97">
        <v>258900</v>
      </c>
      <c r="T7535" s="4">
        <f t="shared" si="363"/>
        <v>258900</v>
      </c>
      <c r="U7535" s="97">
        <f t="shared" si="355"/>
        <v>289968</v>
      </c>
      <c r="V7535" s="3"/>
      <c r="W7535" s="3">
        <v>2014</v>
      </c>
      <c r="X7535" s="3"/>
    </row>
    <row r="7536" spans="1:24" ht="165.75">
      <c r="A7536" s="3" t="s">
        <v>11151</v>
      </c>
      <c r="B7536" s="6" t="s">
        <v>361</v>
      </c>
      <c r="C7536" s="16" t="s">
        <v>10243</v>
      </c>
      <c r="D7536" s="16" t="s">
        <v>10244</v>
      </c>
      <c r="E7536" s="16" t="s">
        <v>10245</v>
      </c>
      <c r="F7536" s="6" t="s">
        <v>10246</v>
      </c>
      <c r="G7536" s="3" t="s">
        <v>11450</v>
      </c>
      <c r="H7536" s="98">
        <v>0</v>
      </c>
      <c r="I7536" s="16">
        <v>470000000</v>
      </c>
      <c r="J7536" s="16" t="s">
        <v>229</v>
      </c>
      <c r="K7536" s="6" t="s">
        <v>633</v>
      </c>
      <c r="L7536" s="16" t="s">
        <v>10000</v>
      </c>
      <c r="M7536" s="162" t="s">
        <v>230</v>
      </c>
      <c r="N7536" s="65" t="s">
        <v>10235</v>
      </c>
      <c r="O7536" s="6" t="s">
        <v>8906</v>
      </c>
      <c r="P7536" s="58" t="s">
        <v>241</v>
      </c>
      <c r="Q7536" s="6" t="s">
        <v>234</v>
      </c>
      <c r="R7536" s="3">
        <v>10</v>
      </c>
      <c r="S7536" s="99">
        <v>11794.642857142857</v>
      </c>
      <c r="T7536" s="4">
        <v>0</v>
      </c>
      <c r="U7536" s="4">
        <f t="shared" si="355"/>
        <v>0</v>
      </c>
      <c r="V7536" s="3"/>
      <c r="W7536" s="3">
        <v>2014</v>
      </c>
      <c r="X7536" s="3" t="s">
        <v>14230</v>
      </c>
    </row>
    <row r="7537" spans="1:24" ht="165.75">
      <c r="A7537" s="3" t="s">
        <v>16546</v>
      </c>
      <c r="B7537" s="6" t="s">
        <v>361</v>
      </c>
      <c r="C7537" s="16" t="s">
        <v>10243</v>
      </c>
      <c r="D7537" s="16" t="s">
        <v>10244</v>
      </c>
      <c r="E7537" s="16" t="s">
        <v>10245</v>
      </c>
      <c r="F7537" s="6" t="s">
        <v>10246</v>
      </c>
      <c r="G7537" s="3" t="s">
        <v>11450</v>
      </c>
      <c r="H7537" s="98">
        <v>0</v>
      </c>
      <c r="I7537" s="16">
        <v>470000000</v>
      </c>
      <c r="J7537" s="16" t="s">
        <v>229</v>
      </c>
      <c r="K7537" s="6" t="s">
        <v>10120</v>
      </c>
      <c r="L7537" s="16" t="s">
        <v>10000</v>
      </c>
      <c r="M7537" s="162" t="s">
        <v>230</v>
      </c>
      <c r="N7537" s="65" t="s">
        <v>10235</v>
      </c>
      <c r="O7537" s="6" t="s">
        <v>8906</v>
      </c>
      <c r="P7537" s="58" t="s">
        <v>241</v>
      </c>
      <c r="Q7537" s="6" t="s">
        <v>234</v>
      </c>
      <c r="R7537" s="3">
        <v>10</v>
      </c>
      <c r="S7537" s="99">
        <v>14153.57136</v>
      </c>
      <c r="T7537" s="4">
        <v>0</v>
      </c>
      <c r="U7537" s="4">
        <f t="shared" si="355"/>
        <v>0</v>
      </c>
      <c r="V7537" s="3"/>
      <c r="W7537" s="3">
        <v>2014</v>
      </c>
      <c r="X7537" s="3">
        <v>11</v>
      </c>
    </row>
    <row r="7538" spans="1:24" ht="165.75">
      <c r="A7538" s="3" t="s">
        <v>18519</v>
      </c>
      <c r="B7538" s="6" t="s">
        <v>361</v>
      </c>
      <c r="C7538" s="16" t="s">
        <v>10243</v>
      </c>
      <c r="D7538" s="16" t="s">
        <v>10244</v>
      </c>
      <c r="E7538" s="16" t="s">
        <v>10245</v>
      </c>
      <c r="F7538" s="6" t="s">
        <v>10246</v>
      </c>
      <c r="G7538" s="3" t="s">
        <v>11450</v>
      </c>
      <c r="H7538" s="98">
        <v>0</v>
      </c>
      <c r="I7538" s="16">
        <v>470000000</v>
      </c>
      <c r="J7538" s="16" t="s">
        <v>229</v>
      </c>
      <c r="K7538" s="6" t="s">
        <v>18748</v>
      </c>
      <c r="L7538" s="16" t="s">
        <v>10000</v>
      </c>
      <c r="M7538" s="162" t="s">
        <v>230</v>
      </c>
      <c r="N7538" s="65" t="s">
        <v>10235</v>
      </c>
      <c r="O7538" s="6" t="s">
        <v>8906</v>
      </c>
      <c r="P7538" s="58" t="s">
        <v>241</v>
      </c>
      <c r="Q7538" s="6" t="s">
        <v>234</v>
      </c>
      <c r="R7538" s="3">
        <v>10</v>
      </c>
      <c r="S7538" s="99">
        <v>14153.57136</v>
      </c>
      <c r="T7538" s="4">
        <v>0</v>
      </c>
      <c r="U7538" s="4">
        <f t="shared" si="355"/>
        <v>0</v>
      </c>
      <c r="V7538" s="3"/>
      <c r="W7538" s="3">
        <v>2014</v>
      </c>
      <c r="X7538" s="6">
        <v>11.15</v>
      </c>
    </row>
    <row r="7539" spans="1:24" ht="165.75">
      <c r="A7539" s="3" t="s">
        <v>19543</v>
      </c>
      <c r="B7539" s="6" t="s">
        <v>361</v>
      </c>
      <c r="C7539" s="16" t="s">
        <v>10243</v>
      </c>
      <c r="D7539" s="16" t="s">
        <v>10244</v>
      </c>
      <c r="E7539" s="16" t="s">
        <v>10245</v>
      </c>
      <c r="F7539" s="6" t="s">
        <v>10246</v>
      </c>
      <c r="G7539" s="3" t="s">
        <v>11450</v>
      </c>
      <c r="H7539" s="98">
        <v>0</v>
      </c>
      <c r="I7539" s="16">
        <v>470000000</v>
      </c>
      <c r="J7539" s="16" t="s">
        <v>229</v>
      </c>
      <c r="K7539" s="6" t="s">
        <v>9956</v>
      </c>
      <c r="L7539" s="16" t="s">
        <v>10000</v>
      </c>
      <c r="M7539" s="162" t="s">
        <v>230</v>
      </c>
      <c r="N7539" s="65" t="s">
        <v>10235</v>
      </c>
      <c r="O7539" s="6" t="s">
        <v>19407</v>
      </c>
      <c r="P7539" s="58" t="s">
        <v>241</v>
      </c>
      <c r="Q7539" s="6" t="s">
        <v>234</v>
      </c>
      <c r="R7539" s="3">
        <v>10</v>
      </c>
      <c r="S7539" s="99">
        <v>14153.57136</v>
      </c>
      <c r="T7539" s="4">
        <f t="shared" ref="T7539" si="364">R7539*S7539</f>
        <v>141535.71359999999</v>
      </c>
      <c r="U7539" s="97">
        <f t="shared" si="355"/>
        <v>158519.999232</v>
      </c>
      <c r="V7539" s="3"/>
      <c r="W7539" s="3">
        <v>2014</v>
      </c>
      <c r="X7539" s="6"/>
    </row>
    <row r="7540" spans="1:24" ht="102">
      <c r="A7540" s="3" t="s">
        <v>11152</v>
      </c>
      <c r="B7540" s="6" t="s">
        <v>361</v>
      </c>
      <c r="C7540" s="16" t="s">
        <v>10247</v>
      </c>
      <c r="D7540" s="16" t="s">
        <v>10248</v>
      </c>
      <c r="E7540" s="16" t="s">
        <v>10249</v>
      </c>
      <c r="F7540" s="6" t="s">
        <v>10250</v>
      </c>
      <c r="G7540" s="3" t="s">
        <v>11450</v>
      </c>
      <c r="H7540" s="98">
        <v>0</v>
      </c>
      <c r="I7540" s="16">
        <v>470000000</v>
      </c>
      <c r="J7540" s="16" t="s">
        <v>229</v>
      </c>
      <c r="K7540" s="6" t="s">
        <v>641</v>
      </c>
      <c r="L7540" s="16" t="s">
        <v>10000</v>
      </c>
      <c r="M7540" s="162" t="s">
        <v>230</v>
      </c>
      <c r="N7540" s="65" t="s">
        <v>10235</v>
      </c>
      <c r="O7540" s="6" t="s">
        <v>8906</v>
      </c>
      <c r="P7540" s="58" t="s">
        <v>241</v>
      </c>
      <c r="Q7540" s="6" t="s">
        <v>234</v>
      </c>
      <c r="R7540" s="3">
        <v>120</v>
      </c>
      <c r="S7540" s="1">
        <v>4325.8928571428569</v>
      </c>
      <c r="T7540" s="4">
        <f t="shared" si="363"/>
        <v>519107.14285714284</v>
      </c>
      <c r="U7540" s="97">
        <f t="shared" si="355"/>
        <v>581400</v>
      </c>
      <c r="V7540" s="3"/>
      <c r="W7540" s="3">
        <v>2014</v>
      </c>
      <c r="X7540" s="3"/>
    </row>
    <row r="7541" spans="1:24" ht="102">
      <c r="A7541" s="3" t="s">
        <v>11153</v>
      </c>
      <c r="B7541" s="6" t="s">
        <v>361</v>
      </c>
      <c r="C7541" s="16" t="s">
        <v>10251</v>
      </c>
      <c r="D7541" s="16" t="s">
        <v>10252</v>
      </c>
      <c r="E7541" s="16" t="s">
        <v>10253</v>
      </c>
      <c r="F7541" s="6" t="s">
        <v>10254</v>
      </c>
      <c r="G7541" s="3" t="s">
        <v>11450</v>
      </c>
      <c r="H7541" s="98">
        <v>0</v>
      </c>
      <c r="I7541" s="16">
        <v>470000000</v>
      </c>
      <c r="J7541" s="16" t="s">
        <v>229</v>
      </c>
      <c r="K7541" s="6" t="s">
        <v>641</v>
      </c>
      <c r="L7541" s="16" t="s">
        <v>10000</v>
      </c>
      <c r="M7541" s="162" t="s">
        <v>230</v>
      </c>
      <c r="N7541" s="65" t="s">
        <v>10235</v>
      </c>
      <c r="O7541" s="6" t="s">
        <v>8906</v>
      </c>
      <c r="P7541" s="58" t="s">
        <v>241</v>
      </c>
      <c r="Q7541" s="6" t="s">
        <v>234</v>
      </c>
      <c r="R7541" s="3">
        <v>20</v>
      </c>
      <c r="S7541" s="1">
        <v>24107.143</v>
      </c>
      <c r="T7541" s="4">
        <v>0</v>
      </c>
      <c r="U7541" s="4">
        <f t="shared" si="355"/>
        <v>0</v>
      </c>
      <c r="V7541" s="3"/>
      <c r="W7541" s="3">
        <v>2014</v>
      </c>
      <c r="X7541" s="3" t="s">
        <v>14785</v>
      </c>
    </row>
    <row r="7542" spans="1:24" ht="102">
      <c r="A7542" s="3" t="s">
        <v>16766</v>
      </c>
      <c r="B7542" s="6" t="s">
        <v>361</v>
      </c>
      <c r="C7542" s="16" t="s">
        <v>10251</v>
      </c>
      <c r="D7542" s="16" t="s">
        <v>10252</v>
      </c>
      <c r="E7542" s="16" t="s">
        <v>10253</v>
      </c>
      <c r="F7542" s="6" t="s">
        <v>10254</v>
      </c>
      <c r="G7542" s="3" t="s">
        <v>11450</v>
      </c>
      <c r="H7542" s="98">
        <v>0</v>
      </c>
      <c r="I7542" s="16">
        <v>470000000</v>
      </c>
      <c r="J7542" s="16" t="s">
        <v>229</v>
      </c>
      <c r="K7542" s="6" t="s">
        <v>10120</v>
      </c>
      <c r="L7542" s="16" t="s">
        <v>10000</v>
      </c>
      <c r="M7542" s="162" t="s">
        <v>230</v>
      </c>
      <c r="N7542" s="65" t="s">
        <v>10235</v>
      </c>
      <c r="O7542" s="6" t="s">
        <v>8906</v>
      </c>
      <c r="P7542" s="58" t="s">
        <v>241</v>
      </c>
      <c r="Q7542" s="6" t="s">
        <v>234</v>
      </c>
      <c r="R7542" s="3">
        <v>20</v>
      </c>
      <c r="S7542" s="1">
        <v>28928.571599999999</v>
      </c>
      <c r="T7542" s="4">
        <v>0</v>
      </c>
      <c r="U7542" s="4">
        <f t="shared" si="355"/>
        <v>0</v>
      </c>
      <c r="V7542" s="3"/>
      <c r="W7542" s="3">
        <v>2014</v>
      </c>
      <c r="X7542" s="3" t="s">
        <v>12076</v>
      </c>
    </row>
    <row r="7543" spans="1:24" ht="102">
      <c r="A7543" s="3" t="s">
        <v>11749</v>
      </c>
      <c r="B7543" s="6" t="s">
        <v>361</v>
      </c>
      <c r="C7543" s="16" t="s">
        <v>11800</v>
      </c>
      <c r="D7543" s="16" t="s">
        <v>255</v>
      </c>
      <c r="E7543" s="16" t="s">
        <v>11801</v>
      </c>
      <c r="F7543" s="6" t="s">
        <v>11750</v>
      </c>
      <c r="G7543" s="3" t="s">
        <v>11449</v>
      </c>
      <c r="H7543" s="54">
        <v>0</v>
      </c>
      <c r="I7543" s="16">
        <v>470000000</v>
      </c>
      <c r="J7543" s="157" t="s">
        <v>229</v>
      </c>
      <c r="K7543" s="5" t="s">
        <v>210</v>
      </c>
      <c r="L7543" s="6" t="s">
        <v>231</v>
      </c>
      <c r="M7543" s="3" t="s">
        <v>230</v>
      </c>
      <c r="N7543" s="65" t="s">
        <v>524</v>
      </c>
      <c r="O7543" s="6" t="s">
        <v>9225</v>
      </c>
      <c r="P7543" s="58">
        <v>168</v>
      </c>
      <c r="Q7543" s="6" t="s">
        <v>240</v>
      </c>
      <c r="R7543" s="20">
        <v>65</v>
      </c>
      <c r="S7543" s="2">
        <v>141240</v>
      </c>
      <c r="T7543" s="4">
        <v>0</v>
      </c>
      <c r="U7543" s="4">
        <f t="shared" si="355"/>
        <v>0</v>
      </c>
      <c r="V7543" s="3" t="s">
        <v>362</v>
      </c>
      <c r="W7543" s="3">
        <v>2014</v>
      </c>
      <c r="X7543" s="3" t="s">
        <v>12051</v>
      </c>
    </row>
    <row r="7544" spans="1:24" ht="102">
      <c r="A7544" s="3" t="s">
        <v>17478</v>
      </c>
      <c r="B7544" s="6" t="s">
        <v>361</v>
      </c>
      <c r="C7544" s="16" t="s">
        <v>11800</v>
      </c>
      <c r="D7544" s="16" t="s">
        <v>255</v>
      </c>
      <c r="E7544" s="16" t="s">
        <v>11801</v>
      </c>
      <c r="F7544" s="6" t="s">
        <v>11750</v>
      </c>
      <c r="G7544" s="3" t="s">
        <v>11449</v>
      </c>
      <c r="H7544" s="54">
        <v>0</v>
      </c>
      <c r="I7544" s="16">
        <v>470000000</v>
      </c>
      <c r="J7544" s="157" t="s">
        <v>229</v>
      </c>
      <c r="K7544" s="5" t="s">
        <v>9041</v>
      </c>
      <c r="L7544" s="6" t="s">
        <v>231</v>
      </c>
      <c r="M7544" s="3" t="s">
        <v>230</v>
      </c>
      <c r="N7544" s="65" t="s">
        <v>524</v>
      </c>
      <c r="O7544" s="6" t="s">
        <v>9225</v>
      </c>
      <c r="P7544" s="58">
        <v>168</v>
      </c>
      <c r="Q7544" s="6" t="s">
        <v>240</v>
      </c>
      <c r="R7544" s="20">
        <v>90</v>
      </c>
      <c r="S7544" s="2">
        <v>169488</v>
      </c>
      <c r="T7544" s="4">
        <f t="shared" ref="T7544" si="365">R7544*S7544</f>
        <v>15253920</v>
      </c>
      <c r="U7544" s="4">
        <f t="shared" si="355"/>
        <v>17084390.400000002</v>
      </c>
      <c r="V7544" s="3" t="s">
        <v>362</v>
      </c>
      <c r="W7544" s="3">
        <v>2014</v>
      </c>
      <c r="X7544" s="3"/>
    </row>
    <row r="7545" spans="1:24" ht="114.75">
      <c r="A7545" s="3" t="s">
        <v>11993</v>
      </c>
      <c r="B7545" s="6" t="s">
        <v>361</v>
      </c>
      <c r="C7545" s="55" t="s">
        <v>7634</v>
      </c>
      <c r="D7545" s="55" t="s">
        <v>7635</v>
      </c>
      <c r="E7545" s="55" t="s">
        <v>7636</v>
      </c>
      <c r="F7545" s="76" t="s">
        <v>11991</v>
      </c>
      <c r="G7545" s="3" t="s">
        <v>605</v>
      </c>
      <c r="H7545" s="54">
        <v>1</v>
      </c>
      <c r="I7545" s="55">
        <v>470000000</v>
      </c>
      <c r="J7545" s="56" t="s">
        <v>229</v>
      </c>
      <c r="K7545" s="57" t="s">
        <v>9655</v>
      </c>
      <c r="L7545" s="57" t="s">
        <v>11992</v>
      </c>
      <c r="M7545" s="3" t="s">
        <v>230</v>
      </c>
      <c r="N7545" s="6" t="s">
        <v>7652</v>
      </c>
      <c r="O7545" s="6" t="s">
        <v>365</v>
      </c>
      <c r="P7545" s="58" t="s">
        <v>401</v>
      </c>
      <c r="Q7545" s="46" t="s">
        <v>402</v>
      </c>
      <c r="R7545" s="216">
        <v>320000</v>
      </c>
      <c r="S7545" s="59">
        <v>125.19</v>
      </c>
      <c r="T7545" s="4">
        <f t="shared" si="363"/>
        <v>40060800</v>
      </c>
      <c r="U7545" s="4">
        <f t="shared" si="355"/>
        <v>44868096.000000007</v>
      </c>
      <c r="V7545" s="3"/>
      <c r="W7545" s="3">
        <v>2014</v>
      </c>
      <c r="X7545" s="3"/>
    </row>
    <row r="7546" spans="1:24" ht="114.75">
      <c r="A7546" s="3" t="s">
        <v>11996</v>
      </c>
      <c r="B7546" s="6" t="s">
        <v>361</v>
      </c>
      <c r="C7546" s="55" t="s">
        <v>7637</v>
      </c>
      <c r="D7546" s="55" t="s">
        <v>7635</v>
      </c>
      <c r="E7546" s="55" t="s">
        <v>7638</v>
      </c>
      <c r="F7546" s="76" t="s">
        <v>11997</v>
      </c>
      <c r="G7546" s="3" t="s">
        <v>605</v>
      </c>
      <c r="H7546" s="54">
        <v>1</v>
      </c>
      <c r="I7546" s="55">
        <v>470000000</v>
      </c>
      <c r="J7546" s="56" t="s">
        <v>229</v>
      </c>
      <c r="K7546" s="57" t="s">
        <v>9655</v>
      </c>
      <c r="L7546" s="57" t="s">
        <v>11992</v>
      </c>
      <c r="M7546" s="3" t="s">
        <v>230</v>
      </c>
      <c r="N7546" s="6" t="s">
        <v>7652</v>
      </c>
      <c r="O7546" s="6" t="s">
        <v>365</v>
      </c>
      <c r="P7546" s="58" t="s">
        <v>401</v>
      </c>
      <c r="Q7546" s="46" t="s">
        <v>402</v>
      </c>
      <c r="R7546" s="216">
        <v>160000</v>
      </c>
      <c r="S7546" s="59">
        <v>144.12</v>
      </c>
      <c r="T7546" s="4">
        <f t="shared" si="363"/>
        <v>23059200</v>
      </c>
      <c r="U7546" s="4">
        <f t="shared" si="355"/>
        <v>25826304.000000004</v>
      </c>
      <c r="V7546" s="3"/>
      <c r="W7546" s="3">
        <v>2014</v>
      </c>
      <c r="X7546" s="3"/>
    </row>
    <row r="7547" spans="1:24" ht="114.75">
      <c r="A7547" s="3" t="s">
        <v>11999</v>
      </c>
      <c r="B7547" s="6" t="s">
        <v>361</v>
      </c>
      <c r="C7547" s="55" t="s">
        <v>7627</v>
      </c>
      <c r="D7547" s="55" t="s">
        <v>7628</v>
      </c>
      <c r="E7547" s="55" t="s">
        <v>7629</v>
      </c>
      <c r="F7547" s="76" t="s">
        <v>12000</v>
      </c>
      <c r="G7547" s="3" t="s">
        <v>605</v>
      </c>
      <c r="H7547" s="54">
        <v>1</v>
      </c>
      <c r="I7547" s="55">
        <v>470000000</v>
      </c>
      <c r="J7547" s="56" t="s">
        <v>229</v>
      </c>
      <c r="K7547" s="57" t="s">
        <v>9655</v>
      </c>
      <c r="L7547" s="57" t="s">
        <v>11909</v>
      </c>
      <c r="M7547" s="3" t="s">
        <v>230</v>
      </c>
      <c r="N7547" s="6" t="s">
        <v>7652</v>
      </c>
      <c r="O7547" s="6" t="s">
        <v>365</v>
      </c>
      <c r="P7547" s="58" t="s">
        <v>401</v>
      </c>
      <c r="Q7547" s="46" t="s">
        <v>402</v>
      </c>
      <c r="R7547" s="216">
        <v>124340</v>
      </c>
      <c r="S7547" s="59">
        <v>87.26</v>
      </c>
      <c r="T7547" s="4">
        <f t="shared" si="363"/>
        <v>10849908.4</v>
      </c>
      <c r="U7547" s="4">
        <f t="shared" si="355"/>
        <v>12151897.408000002</v>
      </c>
      <c r="V7547" s="3"/>
      <c r="W7547" s="3">
        <v>2014</v>
      </c>
      <c r="X7547" s="3"/>
    </row>
    <row r="7548" spans="1:24" ht="114.75">
      <c r="A7548" s="3" t="s">
        <v>12002</v>
      </c>
      <c r="B7548" s="6" t="s">
        <v>361</v>
      </c>
      <c r="C7548" s="55" t="s">
        <v>7627</v>
      </c>
      <c r="D7548" s="55" t="s">
        <v>7628</v>
      </c>
      <c r="E7548" s="55" t="s">
        <v>7629</v>
      </c>
      <c r="F7548" s="76" t="s">
        <v>12004</v>
      </c>
      <c r="G7548" s="3" t="s">
        <v>605</v>
      </c>
      <c r="H7548" s="54">
        <v>1</v>
      </c>
      <c r="I7548" s="55">
        <v>470000000</v>
      </c>
      <c r="J7548" s="56" t="s">
        <v>229</v>
      </c>
      <c r="K7548" s="57" t="s">
        <v>641</v>
      </c>
      <c r="L7548" s="57" t="s">
        <v>12003</v>
      </c>
      <c r="M7548" s="3" t="s">
        <v>230</v>
      </c>
      <c r="N7548" s="6" t="s">
        <v>7652</v>
      </c>
      <c r="O7548" s="6" t="s">
        <v>365</v>
      </c>
      <c r="P7548" s="58" t="s">
        <v>401</v>
      </c>
      <c r="Q7548" s="46" t="s">
        <v>402</v>
      </c>
      <c r="R7548" s="216">
        <v>408000</v>
      </c>
      <c r="S7548" s="59">
        <v>87.26</v>
      </c>
      <c r="T7548" s="4">
        <f t="shared" si="363"/>
        <v>35602080</v>
      </c>
      <c r="U7548" s="4">
        <f t="shared" si="355"/>
        <v>39874329.600000001</v>
      </c>
      <c r="V7548" s="3"/>
      <c r="W7548" s="3">
        <v>2014</v>
      </c>
      <c r="X7548" s="3"/>
    </row>
    <row r="7549" spans="1:24" ht="114.75">
      <c r="A7549" s="3" t="s">
        <v>12005</v>
      </c>
      <c r="B7549" s="6" t="s">
        <v>361</v>
      </c>
      <c r="C7549" s="55" t="s">
        <v>7630</v>
      </c>
      <c r="D7549" s="55" t="s">
        <v>7628</v>
      </c>
      <c r="E7549" s="55" t="s">
        <v>7631</v>
      </c>
      <c r="F7549" s="76" t="s">
        <v>12006</v>
      </c>
      <c r="G7549" s="3" t="s">
        <v>605</v>
      </c>
      <c r="H7549" s="54">
        <v>1</v>
      </c>
      <c r="I7549" s="55">
        <v>470000000</v>
      </c>
      <c r="J7549" s="56" t="s">
        <v>229</v>
      </c>
      <c r="K7549" s="57" t="s">
        <v>641</v>
      </c>
      <c r="L7549" s="57" t="s">
        <v>11909</v>
      </c>
      <c r="M7549" s="3" t="s">
        <v>230</v>
      </c>
      <c r="N7549" s="6" t="s">
        <v>7652</v>
      </c>
      <c r="O7549" s="6" t="s">
        <v>365</v>
      </c>
      <c r="P7549" s="58" t="s">
        <v>401</v>
      </c>
      <c r="Q7549" s="46" t="s">
        <v>402</v>
      </c>
      <c r="R7549" s="216">
        <v>54450</v>
      </c>
      <c r="S7549" s="59">
        <v>105.67</v>
      </c>
      <c r="T7549" s="4">
        <f t="shared" si="363"/>
        <v>5753731.5</v>
      </c>
      <c r="U7549" s="4">
        <f t="shared" si="355"/>
        <v>6444179.2800000003</v>
      </c>
      <c r="V7549" s="3"/>
      <c r="W7549" s="3">
        <v>2014</v>
      </c>
      <c r="X7549" s="3"/>
    </row>
    <row r="7550" spans="1:24" ht="114.75">
      <c r="A7550" s="3" t="s">
        <v>13552</v>
      </c>
      <c r="B7550" s="6" t="s">
        <v>361</v>
      </c>
      <c r="C7550" s="6" t="s">
        <v>13959</v>
      </c>
      <c r="D7550" s="4" t="s">
        <v>13957</v>
      </c>
      <c r="E7550" s="6" t="s">
        <v>13958</v>
      </c>
      <c r="F7550" s="6" t="s">
        <v>13554</v>
      </c>
      <c r="G7550" s="3" t="s">
        <v>11449</v>
      </c>
      <c r="H7550" s="185">
        <v>0</v>
      </c>
      <c r="I7550" s="16">
        <v>470000000</v>
      </c>
      <c r="J7550" s="56" t="s">
        <v>229</v>
      </c>
      <c r="K7550" s="57" t="s">
        <v>642</v>
      </c>
      <c r="L7550" s="12" t="s">
        <v>404</v>
      </c>
      <c r="M7550" s="3" t="s">
        <v>230</v>
      </c>
      <c r="N7550" s="8" t="s">
        <v>8898</v>
      </c>
      <c r="O7550" s="6" t="s">
        <v>365</v>
      </c>
      <c r="P7550" s="58">
        <v>796</v>
      </c>
      <c r="Q7550" s="31" t="s">
        <v>234</v>
      </c>
      <c r="R7550" s="216">
        <v>1</v>
      </c>
      <c r="S7550" s="59">
        <v>2741518</v>
      </c>
      <c r="T7550" s="4">
        <f t="shared" si="363"/>
        <v>2741518</v>
      </c>
      <c r="U7550" s="4">
        <f t="shared" si="355"/>
        <v>3070500.16</v>
      </c>
      <c r="V7550" s="3"/>
      <c r="W7550" s="3">
        <v>2014</v>
      </c>
      <c r="X7550" s="3"/>
    </row>
    <row r="7551" spans="1:24" ht="114.75">
      <c r="A7551" s="3" t="s">
        <v>13553</v>
      </c>
      <c r="B7551" s="6" t="s">
        <v>361</v>
      </c>
      <c r="C7551" s="6" t="s">
        <v>7583</v>
      </c>
      <c r="D7551" s="4" t="s">
        <v>389</v>
      </c>
      <c r="E7551" s="6" t="s">
        <v>6274</v>
      </c>
      <c r="F7551" s="6" t="s">
        <v>13555</v>
      </c>
      <c r="G7551" s="3" t="s">
        <v>11449</v>
      </c>
      <c r="H7551" s="185">
        <v>0</v>
      </c>
      <c r="I7551" s="16">
        <v>470000000</v>
      </c>
      <c r="J7551" s="56" t="s">
        <v>229</v>
      </c>
      <c r="K7551" s="57" t="s">
        <v>642</v>
      </c>
      <c r="L7551" s="12" t="s">
        <v>404</v>
      </c>
      <c r="M7551" s="3" t="s">
        <v>230</v>
      </c>
      <c r="N7551" s="8" t="s">
        <v>8898</v>
      </c>
      <c r="O7551" s="6" t="s">
        <v>365</v>
      </c>
      <c r="P7551" s="58">
        <v>796</v>
      </c>
      <c r="Q7551" s="31" t="s">
        <v>234</v>
      </c>
      <c r="R7551" s="216">
        <v>4</v>
      </c>
      <c r="S7551" s="59">
        <v>31428.573000000004</v>
      </c>
      <c r="T7551" s="4">
        <f t="shared" si="363"/>
        <v>125714.29200000002</v>
      </c>
      <c r="U7551" s="4">
        <f t="shared" si="355"/>
        <v>140800.00704000003</v>
      </c>
      <c r="V7551" s="3"/>
      <c r="W7551" s="3">
        <v>2014</v>
      </c>
      <c r="X7551" s="3"/>
    </row>
    <row r="7552" spans="1:24" ht="114.75">
      <c r="A7552" s="3" t="s">
        <v>14414</v>
      </c>
      <c r="B7552" s="6" t="s">
        <v>361</v>
      </c>
      <c r="C7552" s="6" t="s">
        <v>3211</v>
      </c>
      <c r="D7552" s="6" t="s">
        <v>467</v>
      </c>
      <c r="E7552" s="6" t="s">
        <v>3212</v>
      </c>
      <c r="F7552" s="6" t="s">
        <v>14416</v>
      </c>
      <c r="G7552" s="3" t="s">
        <v>11449</v>
      </c>
      <c r="H7552" s="185">
        <v>0</v>
      </c>
      <c r="I7552" s="16">
        <v>470000000</v>
      </c>
      <c r="J7552" s="56" t="s">
        <v>229</v>
      </c>
      <c r="K7552" s="57" t="s">
        <v>14952</v>
      </c>
      <c r="L7552" s="12" t="s">
        <v>404</v>
      </c>
      <c r="M7552" s="3" t="s">
        <v>230</v>
      </c>
      <c r="N7552" s="8" t="s">
        <v>8898</v>
      </c>
      <c r="O7552" s="6" t="s">
        <v>365</v>
      </c>
      <c r="P7552" s="58">
        <v>796</v>
      </c>
      <c r="Q7552" s="6" t="s">
        <v>234</v>
      </c>
      <c r="R7552" s="21">
        <v>6</v>
      </c>
      <c r="S7552" s="2">
        <v>67665.600000000006</v>
      </c>
      <c r="T7552" s="50">
        <f t="shared" si="363"/>
        <v>405993.60000000003</v>
      </c>
      <c r="U7552" s="4">
        <f t="shared" si="355"/>
        <v>454712.83200000011</v>
      </c>
      <c r="V7552" s="3"/>
      <c r="W7552" s="3">
        <v>2014</v>
      </c>
      <c r="X7552" s="3"/>
    </row>
    <row r="7553" spans="1:24" ht="114.75">
      <c r="A7553" s="3" t="s">
        <v>14418</v>
      </c>
      <c r="B7553" s="6" t="s">
        <v>361</v>
      </c>
      <c r="C7553" s="6" t="s">
        <v>3211</v>
      </c>
      <c r="D7553" s="6" t="s">
        <v>467</v>
      </c>
      <c r="E7553" s="6" t="s">
        <v>3212</v>
      </c>
      <c r="F7553" s="6" t="s">
        <v>14417</v>
      </c>
      <c r="G7553" s="3" t="s">
        <v>11449</v>
      </c>
      <c r="H7553" s="185">
        <v>0</v>
      </c>
      <c r="I7553" s="16">
        <v>470000000</v>
      </c>
      <c r="J7553" s="56" t="s">
        <v>229</v>
      </c>
      <c r="K7553" s="57" t="s">
        <v>14952</v>
      </c>
      <c r="L7553" s="12" t="s">
        <v>404</v>
      </c>
      <c r="M7553" s="3" t="s">
        <v>230</v>
      </c>
      <c r="N7553" s="8" t="s">
        <v>8898</v>
      </c>
      <c r="O7553" s="6" t="s">
        <v>365</v>
      </c>
      <c r="P7553" s="58">
        <v>796</v>
      </c>
      <c r="Q7553" s="6" t="s">
        <v>234</v>
      </c>
      <c r="R7553" s="21">
        <v>8</v>
      </c>
      <c r="S7553" s="2">
        <v>25298</v>
      </c>
      <c r="T7553" s="4">
        <f t="shared" si="363"/>
        <v>202384</v>
      </c>
      <c r="U7553" s="4">
        <f t="shared" si="355"/>
        <v>226670.08000000002</v>
      </c>
      <c r="V7553" s="3"/>
      <c r="W7553" s="3">
        <v>2014</v>
      </c>
      <c r="X7553" s="3"/>
    </row>
    <row r="7554" spans="1:24" ht="114.75">
      <c r="A7554" s="3" t="s">
        <v>14422</v>
      </c>
      <c r="B7554" s="6" t="s">
        <v>361</v>
      </c>
      <c r="C7554" s="6" t="s">
        <v>3211</v>
      </c>
      <c r="D7554" s="6" t="s">
        <v>467</v>
      </c>
      <c r="E7554" s="6" t="s">
        <v>3212</v>
      </c>
      <c r="F7554" s="6" t="s">
        <v>14423</v>
      </c>
      <c r="G7554" s="3" t="s">
        <v>11449</v>
      </c>
      <c r="H7554" s="185">
        <v>0</v>
      </c>
      <c r="I7554" s="16">
        <v>470000000</v>
      </c>
      <c r="J7554" s="56" t="s">
        <v>229</v>
      </c>
      <c r="K7554" s="57" t="s">
        <v>14952</v>
      </c>
      <c r="L7554" s="12" t="s">
        <v>404</v>
      </c>
      <c r="M7554" s="3" t="s">
        <v>230</v>
      </c>
      <c r="N7554" s="8" t="s">
        <v>8898</v>
      </c>
      <c r="O7554" s="6" t="s">
        <v>365</v>
      </c>
      <c r="P7554" s="58">
        <v>796</v>
      </c>
      <c r="Q7554" s="6" t="s">
        <v>234</v>
      </c>
      <c r="R7554" s="21">
        <v>52</v>
      </c>
      <c r="S7554" s="2">
        <v>22538.400000000001</v>
      </c>
      <c r="T7554" s="4">
        <v>0</v>
      </c>
      <c r="U7554" s="4">
        <f t="shared" si="355"/>
        <v>0</v>
      </c>
      <c r="V7554" s="3"/>
      <c r="W7554" s="3">
        <v>2014</v>
      </c>
      <c r="X7554" s="3">
        <v>14</v>
      </c>
    </row>
    <row r="7555" spans="1:24" ht="114.75">
      <c r="A7555" s="3" t="s">
        <v>18362</v>
      </c>
      <c r="B7555" s="6" t="s">
        <v>361</v>
      </c>
      <c r="C7555" s="6" t="s">
        <v>3211</v>
      </c>
      <c r="D7555" s="6" t="s">
        <v>467</v>
      </c>
      <c r="E7555" s="6" t="s">
        <v>3212</v>
      </c>
      <c r="F7555" s="6" t="s">
        <v>14423</v>
      </c>
      <c r="G7555" s="3" t="s">
        <v>11449</v>
      </c>
      <c r="H7555" s="185">
        <v>0</v>
      </c>
      <c r="I7555" s="16">
        <v>470000000</v>
      </c>
      <c r="J7555" s="56" t="s">
        <v>229</v>
      </c>
      <c r="K7555" s="57" t="s">
        <v>14952</v>
      </c>
      <c r="L7555" s="12" t="s">
        <v>404</v>
      </c>
      <c r="M7555" s="3" t="s">
        <v>230</v>
      </c>
      <c r="N7555" s="8" t="s">
        <v>18360</v>
      </c>
      <c r="O7555" s="6" t="s">
        <v>365</v>
      </c>
      <c r="P7555" s="58">
        <v>796</v>
      </c>
      <c r="Q7555" s="6" t="s">
        <v>234</v>
      </c>
      <c r="R7555" s="21">
        <v>52</v>
      </c>
      <c r="S7555" s="2">
        <v>22538.400000000001</v>
      </c>
      <c r="T7555" s="4">
        <f t="shared" ref="T7555" si="366">R7555*S7555</f>
        <v>1171996.8</v>
      </c>
      <c r="U7555" s="4">
        <f t="shared" si="355"/>
        <v>1312636.4160000002</v>
      </c>
      <c r="V7555" s="3"/>
      <c r="W7555" s="3">
        <v>2014</v>
      </c>
      <c r="X7555" s="3"/>
    </row>
    <row r="7556" spans="1:24" ht="114.75">
      <c r="A7556" s="3" t="s">
        <v>14427</v>
      </c>
      <c r="B7556" s="6" t="s">
        <v>361</v>
      </c>
      <c r="C7556" s="6" t="s">
        <v>3211</v>
      </c>
      <c r="D7556" s="6" t="s">
        <v>467</v>
      </c>
      <c r="E7556" s="6" t="s">
        <v>3212</v>
      </c>
      <c r="F7556" s="6" t="s">
        <v>16438</v>
      </c>
      <c r="G7556" s="3" t="s">
        <v>11449</v>
      </c>
      <c r="H7556" s="185">
        <v>0</v>
      </c>
      <c r="I7556" s="16">
        <v>470000000</v>
      </c>
      <c r="J7556" s="56" t="s">
        <v>229</v>
      </c>
      <c r="K7556" s="57" t="s">
        <v>14952</v>
      </c>
      <c r="L7556" s="12" t="s">
        <v>404</v>
      </c>
      <c r="M7556" s="3" t="s">
        <v>230</v>
      </c>
      <c r="N7556" s="8" t="s">
        <v>18360</v>
      </c>
      <c r="O7556" s="6" t="s">
        <v>365</v>
      </c>
      <c r="P7556" s="58">
        <v>796</v>
      </c>
      <c r="Q7556" s="6" t="s">
        <v>234</v>
      </c>
      <c r="R7556" s="21">
        <v>166</v>
      </c>
      <c r="S7556" s="2">
        <v>18111.599999999999</v>
      </c>
      <c r="T7556" s="4">
        <f t="shared" si="363"/>
        <v>3006525.5999999996</v>
      </c>
      <c r="U7556" s="4">
        <f t="shared" si="355"/>
        <v>3367308.6719999998</v>
      </c>
      <c r="V7556" s="3"/>
      <c r="W7556" s="3">
        <v>2014</v>
      </c>
      <c r="X7556" s="3"/>
    </row>
    <row r="7557" spans="1:24" ht="114.75">
      <c r="A7557" s="3" t="s">
        <v>14430</v>
      </c>
      <c r="B7557" s="6" t="s">
        <v>361</v>
      </c>
      <c r="C7557" s="6" t="s">
        <v>3211</v>
      </c>
      <c r="D7557" s="6" t="s">
        <v>467</v>
      </c>
      <c r="E7557" s="6" t="s">
        <v>3212</v>
      </c>
      <c r="F7557" s="6" t="s">
        <v>14431</v>
      </c>
      <c r="G7557" s="3" t="s">
        <v>11449</v>
      </c>
      <c r="H7557" s="185">
        <v>0</v>
      </c>
      <c r="I7557" s="16">
        <v>470000000</v>
      </c>
      <c r="J7557" s="56" t="s">
        <v>229</v>
      </c>
      <c r="K7557" s="57" t="s">
        <v>14952</v>
      </c>
      <c r="L7557" s="12" t="s">
        <v>18110</v>
      </c>
      <c r="M7557" s="3" t="s">
        <v>230</v>
      </c>
      <c r="N7557" s="8" t="s">
        <v>8898</v>
      </c>
      <c r="O7557" s="6" t="s">
        <v>365</v>
      </c>
      <c r="P7557" s="58">
        <v>796</v>
      </c>
      <c r="Q7557" s="6" t="s">
        <v>234</v>
      </c>
      <c r="R7557" s="21">
        <v>10</v>
      </c>
      <c r="S7557" s="2">
        <v>70000</v>
      </c>
      <c r="T7557" s="4">
        <v>0</v>
      </c>
      <c r="U7557" s="4">
        <f t="shared" si="355"/>
        <v>0</v>
      </c>
      <c r="V7557" s="3"/>
      <c r="W7557" s="3">
        <v>2014</v>
      </c>
      <c r="X7557" s="3">
        <v>18</v>
      </c>
    </row>
    <row r="7558" spans="1:24" ht="114.75">
      <c r="A7558" s="3" t="s">
        <v>18111</v>
      </c>
      <c r="B7558" s="6" t="s">
        <v>361</v>
      </c>
      <c r="C7558" s="6" t="s">
        <v>3211</v>
      </c>
      <c r="D7558" s="6" t="s">
        <v>467</v>
      </c>
      <c r="E7558" s="6" t="s">
        <v>3212</v>
      </c>
      <c r="F7558" s="6" t="s">
        <v>14431</v>
      </c>
      <c r="G7558" s="3" t="s">
        <v>11449</v>
      </c>
      <c r="H7558" s="185">
        <v>0</v>
      </c>
      <c r="I7558" s="16">
        <v>470000000</v>
      </c>
      <c r="J7558" s="56" t="s">
        <v>229</v>
      </c>
      <c r="K7558" s="57" t="s">
        <v>14952</v>
      </c>
      <c r="L7558" s="12" t="s">
        <v>18110</v>
      </c>
      <c r="M7558" s="3" t="s">
        <v>230</v>
      </c>
      <c r="N7558" s="8" t="s">
        <v>8898</v>
      </c>
      <c r="O7558" s="6" t="s">
        <v>365</v>
      </c>
      <c r="P7558" s="58">
        <v>796</v>
      </c>
      <c r="Q7558" s="6" t="s">
        <v>234</v>
      </c>
      <c r="R7558" s="21">
        <v>20</v>
      </c>
      <c r="S7558" s="2">
        <v>70000</v>
      </c>
      <c r="T7558" s="4">
        <f t="shared" ref="T7558" si="367">R7558*S7558</f>
        <v>1400000</v>
      </c>
      <c r="U7558" s="4">
        <f t="shared" ref="U7558:U7621" si="368">T7558*1.12</f>
        <v>1568000.0000000002</v>
      </c>
      <c r="V7558" s="3"/>
      <c r="W7558" s="3">
        <v>2014</v>
      </c>
      <c r="X7558" s="3"/>
    </row>
    <row r="7559" spans="1:24" ht="114.75">
      <c r="A7559" s="3" t="s">
        <v>14432</v>
      </c>
      <c r="B7559" s="6" t="s">
        <v>361</v>
      </c>
      <c r="C7559" s="6" t="s">
        <v>3211</v>
      </c>
      <c r="D7559" s="6" t="s">
        <v>467</v>
      </c>
      <c r="E7559" s="6" t="s">
        <v>3212</v>
      </c>
      <c r="F7559" s="6" t="s">
        <v>14433</v>
      </c>
      <c r="G7559" s="3" t="s">
        <v>11449</v>
      </c>
      <c r="H7559" s="185">
        <v>0</v>
      </c>
      <c r="I7559" s="16">
        <v>470000000</v>
      </c>
      <c r="J7559" s="56" t="s">
        <v>229</v>
      </c>
      <c r="K7559" s="57" t="s">
        <v>14952</v>
      </c>
      <c r="L7559" s="12" t="s">
        <v>404</v>
      </c>
      <c r="M7559" s="3" t="s">
        <v>230</v>
      </c>
      <c r="N7559" s="8" t="s">
        <v>8898</v>
      </c>
      <c r="O7559" s="6" t="s">
        <v>365</v>
      </c>
      <c r="P7559" s="58">
        <v>796</v>
      </c>
      <c r="Q7559" s="6" t="s">
        <v>234</v>
      </c>
      <c r="R7559" s="21">
        <v>6</v>
      </c>
      <c r="S7559" s="2">
        <v>50100</v>
      </c>
      <c r="T7559" s="4">
        <f t="shared" si="363"/>
        <v>300600</v>
      </c>
      <c r="U7559" s="4">
        <f t="shared" si="368"/>
        <v>336672.00000000006</v>
      </c>
      <c r="V7559" s="3"/>
      <c r="W7559" s="3">
        <v>2014</v>
      </c>
      <c r="X7559" s="3"/>
    </row>
    <row r="7560" spans="1:24" ht="114.75">
      <c r="A7560" s="3" t="s">
        <v>14434</v>
      </c>
      <c r="B7560" s="6" t="s">
        <v>361</v>
      </c>
      <c r="C7560" s="6" t="s">
        <v>3211</v>
      </c>
      <c r="D7560" s="6" t="s">
        <v>467</v>
      </c>
      <c r="E7560" s="6" t="s">
        <v>3212</v>
      </c>
      <c r="F7560" s="6" t="s">
        <v>14435</v>
      </c>
      <c r="G7560" s="3" t="s">
        <v>11449</v>
      </c>
      <c r="H7560" s="185">
        <v>0</v>
      </c>
      <c r="I7560" s="16">
        <v>470000000</v>
      </c>
      <c r="J7560" s="56" t="s">
        <v>229</v>
      </c>
      <c r="K7560" s="57" t="s">
        <v>14952</v>
      </c>
      <c r="L7560" s="12" t="s">
        <v>404</v>
      </c>
      <c r="M7560" s="3" t="s">
        <v>230</v>
      </c>
      <c r="N7560" s="8" t="s">
        <v>8898</v>
      </c>
      <c r="O7560" s="6" t="s">
        <v>365</v>
      </c>
      <c r="P7560" s="58">
        <v>796</v>
      </c>
      <c r="Q7560" s="6" t="s">
        <v>234</v>
      </c>
      <c r="R7560" s="21">
        <v>28</v>
      </c>
      <c r="S7560" s="2">
        <v>4430</v>
      </c>
      <c r="T7560" s="4">
        <v>0</v>
      </c>
      <c r="U7560" s="4">
        <f t="shared" si="368"/>
        <v>0</v>
      </c>
      <c r="V7560" s="3"/>
      <c r="W7560" s="3">
        <v>2014</v>
      </c>
      <c r="X7560" s="3">
        <v>14</v>
      </c>
    </row>
    <row r="7561" spans="1:24" ht="114.75">
      <c r="A7561" s="3" t="s">
        <v>18361</v>
      </c>
      <c r="B7561" s="6" t="s">
        <v>361</v>
      </c>
      <c r="C7561" s="6" t="s">
        <v>3211</v>
      </c>
      <c r="D7561" s="6" t="s">
        <v>467</v>
      </c>
      <c r="E7561" s="6" t="s">
        <v>3212</v>
      </c>
      <c r="F7561" s="6" t="s">
        <v>14435</v>
      </c>
      <c r="G7561" s="3" t="s">
        <v>11449</v>
      </c>
      <c r="H7561" s="185">
        <v>0</v>
      </c>
      <c r="I7561" s="16">
        <v>470000000</v>
      </c>
      <c r="J7561" s="56" t="s">
        <v>229</v>
      </c>
      <c r="K7561" s="57" t="s">
        <v>14952</v>
      </c>
      <c r="L7561" s="12" t="s">
        <v>404</v>
      </c>
      <c r="M7561" s="3" t="s">
        <v>230</v>
      </c>
      <c r="N7561" s="8" t="s">
        <v>18360</v>
      </c>
      <c r="O7561" s="6" t="s">
        <v>365</v>
      </c>
      <c r="P7561" s="58">
        <v>796</v>
      </c>
      <c r="Q7561" s="6" t="s">
        <v>234</v>
      </c>
      <c r="R7561" s="21">
        <v>28</v>
      </c>
      <c r="S7561" s="2">
        <v>4430</v>
      </c>
      <c r="T7561" s="4">
        <f t="shared" ref="T7561" si="369">R7561*S7561</f>
        <v>124040</v>
      </c>
      <c r="U7561" s="4">
        <f t="shared" si="368"/>
        <v>138924.80000000002</v>
      </c>
      <c r="V7561" s="3"/>
      <c r="W7561" s="3">
        <v>2014</v>
      </c>
      <c r="X7561" s="3"/>
    </row>
    <row r="7562" spans="1:24" ht="114.75">
      <c r="A7562" s="3" t="s">
        <v>14437</v>
      </c>
      <c r="B7562" s="6" t="s">
        <v>361</v>
      </c>
      <c r="C7562" s="6" t="s">
        <v>3211</v>
      </c>
      <c r="D7562" s="6" t="s">
        <v>467</v>
      </c>
      <c r="E7562" s="6" t="s">
        <v>3212</v>
      </c>
      <c r="F7562" s="6" t="s">
        <v>14436</v>
      </c>
      <c r="G7562" s="3" t="s">
        <v>11449</v>
      </c>
      <c r="H7562" s="185">
        <v>0</v>
      </c>
      <c r="I7562" s="16">
        <v>470000000</v>
      </c>
      <c r="J7562" s="56" t="s">
        <v>229</v>
      </c>
      <c r="K7562" s="57" t="s">
        <v>14952</v>
      </c>
      <c r="L7562" s="12" t="s">
        <v>404</v>
      </c>
      <c r="M7562" s="3" t="s">
        <v>230</v>
      </c>
      <c r="N7562" s="8" t="s">
        <v>8898</v>
      </c>
      <c r="O7562" s="6" t="s">
        <v>365</v>
      </c>
      <c r="P7562" s="58">
        <v>796</v>
      </c>
      <c r="Q7562" s="6" t="s">
        <v>234</v>
      </c>
      <c r="R7562" s="21">
        <v>9</v>
      </c>
      <c r="S7562" s="2">
        <v>3405.6</v>
      </c>
      <c r="T7562" s="4">
        <f t="shared" si="363"/>
        <v>30650.399999999998</v>
      </c>
      <c r="U7562" s="4">
        <f t="shared" si="368"/>
        <v>34328.448000000004</v>
      </c>
      <c r="V7562" s="3"/>
      <c r="W7562" s="3">
        <v>2014</v>
      </c>
      <c r="X7562" s="3"/>
    </row>
    <row r="7563" spans="1:24" ht="114.75">
      <c r="A7563" s="3" t="s">
        <v>14438</v>
      </c>
      <c r="B7563" s="6" t="s">
        <v>361</v>
      </c>
      <c r="C7563" s="6" t="s">
        <v>3211</v>
      </c>
      <c r="D7563" s="6" t="s">
        <v>467</v>
      </c>
      <c r="E7563" s="6" t="s">
        <v>3212</v>
      </c>
      <c r="F7563" s="6" t="s">
        <v>14439</v>
      </c>
      <c r="G7563" s="3" t="s">
        <v>11449</v>
      </c>
      <c r="H7563" s="185">
        <v>0</v>
      </c>
      <c r="I7563" s="16">
        <v>470000000</v>
      </c>
      <c r="J7563" s="56" t="s">
        <v>229</v>
      </c>
      <c r="K7563" s="57" t="s">
        <v>14952</v>
      </c>
      <c r="L7563" s="12" t="s">
        <v>404</v>
      </c>
      <c r="M7563" s="3" t="s">
        <v>230</v>
      </c>
      <c r="N7563" s="8" t="s">
        <v>8898</v>
      </c>
      <c r="O7563" s="6" t="s">
        <v>365</v>
      </c>
      <c r="P7563" s="58">
        <v>796</v>
      </c>
      <c r="Q7563" s="6" t="s">
        <v>234</v>
      </c>
      <c r="R7563" s="21">
        <v>24</v>
      </c>
      <c r="S7563" s="2">
        <v>8739.6</v>
      </c>
      <c r="T7563" s="4">
        <f t="shared" si="363"/>
        <v>209750.40000000002</v>
      </c>
      <c r="U7563" s="4">
        <f t="shared" si="368"/>
        <v>234920.44800000006</v>
      </c>
      <c r="V7563" s="3"/>
      <c r="W7563" s="3">
        <v>2014</v>
      </c>
      <c r="X7563" s="3"/>
    </row>
    <row r="7564" spans="1:24" ht="114.75">
      <c r="A7564" s="3" t="s">
        <v>14441</v>
      </c>
      <c r="B7564" s="6" t="s">
        <v>361</v>
      </c>
      <c r="C7564" s="6" t="s">
        <v>3211</v>
      </c>
      <c r="D7564" s="6" t="s">
        <v>467</v>
      </c>
      <c r="E7564" s="6" t="s">
        <v>3212</v>
      </c>
      <c r="F7564" s="6" t="s">
        <v>14440</v>
      </c>
      <c r="G7564" s="3" t="s">
        <v>11449</v>
      </c>
      <c r="H7564" s="185">
        <v>0</v>
      </c>
      <c r="I7564" s="16">
        <v>470000000</v>
      </c>
      <c r="J7564" s="56" t="s">
        <v>229</v>
      </c>
      <c r="K7564" s="57" t="s">
        <v>14952</v>
      </c>
      <c r="L7564" s="12" t="s">
        <v>404</v>
      </c>
      <c r="M7564" s="3" t="s">
        <v>230</v>
      </c>
      <c r="N7564" s="8" t="s">
        <v>8898</v>
      </c>
      <c r="O7564" s="6" t="s">
        <v>365</v>
      </c>
      <c r="P7564" s="58">
        <v>796</v>
      </c>
      <c r="Q7564" s="6" t="s">
        <v>234</v>
      </c>
      <c r="R7564" s="21">
        <v>326</v>
      </c>
      <c r="S7564" s="2">
        <v>8739.6</v>
      </c>
      <c r="T7564" s="4">
        <f t="shared" si="363"/>
        <v>2849109.6</v>
      </c>
      <c r="U7564" s="4">
        <f t="shared" si="368"/>
        <v>3191002.7520000003</v>
      </c>
      <c r="V7564" s="3"/>
      <c r="W7564" s="3">
        <v>2014</v>
      </c>
      <c r="X7564" s="3"/>
    </row>
    <row r="7565" spans="1:24" ht="114.75">
      <c r="A7565" s="3" t="s">
        <v>14442</v>
      </c>
      <c r="B7565" s="6" t="s">
        <v>361</v>
      </c>
      <c r="C7565" s="6" t="s">
        <v>3211</v>
      </c>
      <c r="D7565" s="6" t="s">
        <v>467</v>
      </c>
      <c r="E7565" s="6" t="s">
        <v>3212</v>
      </c>
      <c r="F7565" s="6" t="s">
        <v>14445</v>
      </c>
      <c r="G7565" s="3" t="s">
        <v>11449</v>
      </c>
      <c r="H7565" s="185">
        <v>0</v>
      </c>
      <c r="I7565" s="16">
        <v>470000000</v>
      </c>
      <c r="J7565" s="56" t="s">
        <v>229</v>
      </c>
      <c r="K7565" s="57" t="s">
        <v>14952</v>
      </c>
      <c r="L7565" s="12" t="s">
        <v>404</v>
      </c>
      <c r="M7565" s="3" t="s">
        <v>230</v>
      </c>
      <c r="N7565" s="8" t="s">
        <v>8898</v>
      </c>
      <c r="O7565" s="6" t="s">
        <v>365</v>
      </c>
      <c r="P7565" s="58">
        <v>796</v>
      </c>
      <c r="Q7565" s="6" t="s">
        <v>234</v>
      </c>
      <c r="R7565" s="21">
        <v>70</v>
      </c>
      <c r="S7565" s="2">
        <v>18111.599999999999</v>
      </c>
      <c r="T7565" s="4">
        <v>0</v>
      </c>
      <c r="U7565" s="4">
        <f t="shared" si="368"/>
        <v>0</v>
      </c>
      <c r="V7565" s="3"/>
      <c r="W7565" s="3">
        <v>2014</v>
      </c>
      <c r="X7565" s="3">
        <v>14</v>
      </c>
    </row>
    <row r="7566" spans="1:24" ht="114.75">
      <c r="A7566" s="3" t="s">
        <v>18359</v>
      </c>
      <c r="B7566" s="6" t="s">
        <v>361</v>
      </c>
      <c r="C7566" s="6" t="s">
        <v>3211</v>
      </c>
      <c r="D7566" s="6" t="s">
        <v>467</v>
      </c>
      <c r="E7566" s="6" t="s">
        <v>3212</v>
      </c>
      <c r="F7566" s="6" t="s">
        <v>14445</v>
      </c>
      <c r="G7566" s="3" t="s">
        <v>11449</v>
      </c>
      <c r="H7566" s="185">
        <v>0</v>
      </c>
      <c r="I7566" s="16">
        <v>470000000</v>
      </c>
      <c r="J7566" s="56" t="s">
        <v>229</v>
      </c>
      <c r="K7566" s="57" t="s">
        <v>14952</v>
      </c>
      <c r="L7566" s="12" t="s">
        <v>404</v>
      </c>
      <c r="M7566" s="3" t="s">
        <v>230</v>
      </c>
      <c r="N7566" s="8" t="s">
        <v>18360</v>
      </c>
      <c r="O7566" s="6" t="s">
        <v>365</v>
      </c>
      <c r="P7566" s="58">
        <v>796</v>
      </c>
      <c r="Q7566" s="6" t="s">
        <v>234</v>
      </c>
      <c r="R7566" s="21">
        <v>70</v>
      </c>
      <c r="S7566" s="2">
        <v>18111.599999999999</v>
      </c>
      <c r="T7566" s="4">
        <f t="shared" ref="T7566" si="370">R7566*S7566</f>
        <v>1267812</v>
      </c>
      <c r="U7566" s="4">
        <f t="shared" si="368"/>
        <v>1419949.4400000002</v>
      </c>
      <c r="V7566" s="3"/>
      <c r="W7566" s="3">
        <v>2014</v>
      </c>
      <c r="X7566" s="3"/>
    </row>
    <row r="7567" spans="1:24" ht="102">
      <c r="A7567" s="3" t="s">
        <v>14443</v>
      </c>
      <c r="B7567" s="6" t="s">
        <v>361</v>
      </c>
      <c r="C7567" s="6" t="s">
        <v>3213</v>
      </c>
      <c r="D7567" s="6" t="s">
        <v>3214</v>
      </c>
      <c r="E7567" s="6" t="s">
        <v>3215</v>
      </c>
      <c r="F7567" s="6" t="s">
        <v>14446</v>
      </c>
      <c r="G7567" s="3" t="s">
        <v>11450</v>
      </c>
      <c r="H7567" s="54">
        <v>0</v>
      </c>
      <c r="I7567" s="16">
        <v>470000000</v>
      </c>
      <c r="J7567" s="157" t="s">
        <v>229</v>
      </c>
      <c r="K7567" s="5" t="s">
        <v>14662</v>
      </c>
      <c r="L7567" s="6" t="s">
        <v>231</v>
      </c>
      <c r="M7567" s="3" t="s">
        <v>230</v>
      </c>
      <c r="N7567" s="6" t="s">
        <v>524</v>
      </c>
      <c r="O7567" s="6" t="s">
        <v>233</v>
      </c>
      <c r="P7567" s="58">
        <v>796</v>
      </c>
      <c r="Q7567" s="6" t="s">
        <v>234</v>
      </c>
      <c r="R7567" s="20">
        <v>2</v>
      </c>
      <c r="S7567" s="2">
        <v>13069.2</v>
      </c>
      <c r="T7567" s="4">
        <f t="shared" si="363"/>
        <v>26138.400000000001</v>
      </c>
      <c r="U7567" s="4">
        <f t="shared" si="368"/>
        <v>29275.008000000005</v>
      </c>
      <c r="V7567" s="3" t="s">
        <v>362</v>
      </c>
      <c r="W7567" s="3">
        <v>2014</v>
      </c>
      <c r="X7567" s="3"/>
    </row>
    <row r="7568" spans="1:24" ht="102">
      <c r="A7568" s="3" t="s">
        <v>14444</v>
      </c>
      <c r="B7568" s="6" t="s">
        <v>361</v>
      </c>
      <c r="C7568" s="6" t="s">
        <v>3213</v>
      </c>
      <c r="D7568" s="6" t="s">
        <v>3214</v>
      </c>
      <c r="E7568" s="6" t="s">
        <v>3215</v>
      </c>
      <c r="F7568" s="6" t="s">
        <v>14449</v>
      </c>
      <c r="G7568" s="3" t="s">
        <v>11450</v>
      </c>
      <c r="H7568" s="54">
        <v>0</v>
      </c>
      <c r="I7568" s="16">
        <v>470000000</v>
      </c>
      <c r="J7568" s="157" t="s">
        <v>229</v>
      </c>
      <c r="K7568" s="5" t="s">
        <v>14662</v>
      </c>
      <c r="L7568" s="6" t="s">
        <v>231</v>
      </c>
      <c r="M7568" s="3" t="s">
        <v>230</v>
      </c>
      <c r="N7568" s="6" t="s">
        <v>524</v>
      </c>
      <c r="O7568" s="6" t="s">
        <v>233</v>
      </c>
      <c r="P7568" s="58">
        <v>796</v>
      </c>
      <c r="Q7568" s="6" t="s">
        <v>234</v>
      </c>
      <c r="R7568" s="20">
        <v>4</v>
      </c>
      <c r="S7568" s="2">
        <v>13069.2</v>
      </c>
      <c r="T7568" s="4">
        <f t="shared" si="363"/>
        <v>52276.800000000003</v>
      </c>
      <c r="U7568" s="4">
        <f t="shared" si="368"/>
        <v>58550.016000000011</v>
      </c>
      <c r="V7568" s="3" t="s">
        <v>362</v>
      </c>
      <c r="W7568" s="3">
        <v>2014</v>
      </c>
      <c r="X7568" s="3"/>
    </row>
    <row r="7569" spans="1:24" ht="102">
      <c r="A7569" s="3" t="s">
        <v>14447</v>
      </c>
      <c r="B7569" s="6" t="s">
        <v>361</v>
      </c>
      <c r="C7569" s="6" t="s">
        <v>3213</v>
      </c>
      <c r="D7569" s="6" t="s">
        <v>3214</v>
      </c>
      <c r="E7569" s="6" t="s">
        <v>3215</v>
      </c>
      <c r="F7569" s="6" t="s">
        <v>14450</v>
      </c>
      <c r="G7569" s="3" t="s">
        <v>11450</v>
      </c>
      <c r="H7569" s="54">
        <v>0</v>
      </c>
      <c r="I7569" s="16">
        <v>470000000</v>
      </c>
      <c r="J7569" s="157" t="s">
        <v>229</v>
      </c>
      <c r="K7569" s="5" t="s">
        <v>14662</v>
      </c>
      <c r="L7569" s="6" t="s">
        <v>231</v>
      </c>
      <c r="M7569" s="3" t="s">
        <v>230</v>
      </c>
      <c r="N7569" s="6" t="s">
        <v>524</v>
      </c>
      <c r="O7569" s="6" t="s">
        <v>233</v>
      </c>
      <c r="P7569" s="58">
        <v>796</v>
      </c>
      <c r="Q7569" s="6" t="s">
        <v>234</v>
      </c>
      <c r="R7569" s="20">
        <v>3</v>
      </c>
      <c r="S7569" s="2">
        <v>10704</v>
      </c>
      <c r="T7569" s="4">
        <f t="shared" si="363"/>
        <v>32112</v>
      </c>
      <c r="U7569" s="4">
        <f t="shared" si="368"/>
        <v>35965.440000000002</v>
      </c>
      <c r="V7569" s="3" t="s">
        <v>362</v>
      </c>
      <c r="W7569" s="3">
        <v>2014</v>
      </c>
      <c r="X7569" s="3"/>
    </row>
    <row r="7570" spans="1:24" ht="102">
      <c r="A7570" s="3" t="s">
        <v>14448</v>
      </c>
      <c r="B7570" s="6" t="s">
        <v>361</v>
      </c>
      <c r="C7570" s="6" t="s">
        <v>3213</v>
      </c>
      <c r="D7570" s="6" t="s">
        <v>3214</v>
      </c>
      <c r="E7570" s="6" t="s">
        <v>3215</v>
      </c>
      <c r="F7570" s="6" t="s">
        <v>14451</v>
      </c>
      <c r="G7570" s="3" t="s">
        <v>11450</v>
      </c>
      <c r="H7570" s="54">
        <v>0</v>
      </c>
      <c r="I7570" s="16">
        <v>470000000</v>
      </c>
      <c r="J7570" s="157" t="s">
        <v>229</v>
      </c>
      <c r="K7570" s="5" t="s">
        <v>14662</v>
      </c>
      <c r="L7570" s="6" t="s">
        <v>231</v>
      </c>
      <c r="M7570" s="3" t="s">
        <v>230</v>
      </c>
      <c r="N7570" s="6" t="s">
        <v>524</v>
      </c>
      <c r="O7570" s="6" t="s">
        <v>233</v>
      </c>
      <c r="P7570" s="58">
        <v>796</v>
      </c>
      <c r="Q7570" s="6" t="s">
        <v>234</v>
      </c>
      <c r="R7570" s="20">
        <v>2</v>
      </c>
      <c r="S7570" s="2">
        <v>10704</v>
      </c>
      <c r="T7570" s="4">
        <f t="shared" si="363"/>
        <v>21408</v>
      </c>
      <c r="U7570" s="4">
        <f t="shared" si="368"/>
        <v>23976.960000000003</v>
      </c>
      <c r="V7570" s="3" t="s">
        <v>362</v>
      </c>
      <c r="W7570" s="3">
        <v>2014</v>
      </c>
      <c r="X7570" s="3"/>
    </row>
    <row r="7571" spans="1:24" ht="102">
      <c r="A7571" s="3" t="s">
        <v>14454</v>
      </c>
      <c r="B7571" s="6" t="s">
        <v>361</v>
      </c>
      <c r="C7571" s="6" t="s">
        <v>3213</v>
      </c>
      <c r="D7571" s="6" t="s">
        <v>3214</v>
      </c>
      <c r="E7571" s="6" t="s">
        <v>3215</v>
      </c>
      <c r="F7571" s="6" t="s">
        <v>14458</v>
      </c>
      <c r="G7571" s="3" t="s">
        <v>11450</v>
      </c>
      <c r="H7571" s="54">
        <v>0</v>
      </c>
      <c r="I7571" s="16">
        <v>470000000</v>
      </c>
      <c r="J7571" s="157" t="s">
        <v>229</v>
      </c>
      <c r="K7571" s="5" t="s">
        <v>14662</v>
      </c>
      <c r="L7571" s="6" t="s">
        <v>231</v>
      </c>
      <c r="M7571" s="3" t="s">
        <v>230</v>
      </c>
      <c r="N7571" s="6" t="s">
        <v>524</v>
      </c>
      <c r="O7571" s="6" t="s">
        <v>233</v>
      </c>
      <c r="P7571" s="58">
        <v>796</v>
      </c>
      <c r="Q7571" s="6" t="s">
        <v>234</v>
      </c>
      <c r="R7571" s="20">
        <v>1</v>
      </c>
      <c r="S7571" s="2">
        <v>13069.2</v>
      </c>
      <c r="T7571" s="4">
        <f t="shared" si="363"/>
        <v>13069.2</v>
      </c>
      <c r="U7571" s="4">
        <f t="shared" si="368"/>
        <v>14637.504000000003</v>
      </c>
      <c r="V7571" s="3" t="s">
        <v>362</v>
      </c>
      <c r="W7571" s="3">
        <v>2014</v>
      </c>
      <c r="X7571" s="3"/>
    </row>
    <row r="7572" spans="1:24" ht="102">
      <c r="A7572" s="3" t="s">
        <v>14455</v>
      </c>
      <c r="B7572" s="6" t="s">
        <v>361</v>
      </c>
      <c r="C7572" s="6" t="s">
        <v>3213</v>
      </c>
      <c r="D7572" s="6" t="s">
        <v>3214</v>
      </c>
      <c r="E7572" s="6" t="s">
        <v>3215</v>
      </c>
      <c r="F7572" s="6" t="s">
        <v>14459</v>
      </c>
      <c r="G7572" s="3" t="s">
        <v>11450</v>
      </c>
      <c r="H7572" s="54">
        <v>0</v>
      </c>
      <c r="I7572" s="16">
        <v>470000000</v>
      </c>
      <c r="J7572" s="157" t="s">
        <v>229</v>
      </c>
      <c r="K7572" s="5" t="s">
        <v>14662</v>
      </c>
      <c r="L7572" s="6" t="s">
        <v>231</v>
      </c>
      <c r="M7572" s="3" t="s">
        <v>230</v>
      </c>
      <c r="N7572" s="6" t="s">
        <v>524</v>
      </c>
      <c r="O7572" s="6" t="s">
        <v>233</v>
      </c>
      <c r="P7572" s="58">
        <v>796</v>
      </c>
      <c r="Q7572" s="6" t="s">
        <v>234</v>
      </c>
      <c r="R7572" s="20">
        <v>3</v>
      </c>
      <c r="S7572" s="2">
        <v>10704</v>
      </c>
      <c r="T7572" s="4">
        <f t="shared" si="363"/>
        <v>32112</v>
      </c>
      <c r="U7572" s="4">
        <f t="shared" si="368"/>
        <v>35965.440000000002</v>
      </c>
      <c r="V7572" s="3" t="s">
        <v>362</v>
      </c>
      <c r="W7572" s="3">
        <v>2014</v>
      </c>
      <c r="X7572" s="3"/>
    </row>
    <row r="7573" spans="1:24" ht="102">
      <c r="A7573" s="3" t="s">
        <v>14456</v>
      </c>
      <c r="B7573" s="6" t="s">
        <v>361</v>
      </c>
      <c r="C7573" s="6" t="s">
        <v>3213</v>
      </c>
      <c r="D7573" s="6" t="s">
        <v>3214</v>
      </c>
      <c r="E7573" s="6" t="s">
        <v>3215</v>
      </c>
      <c r="F7573" s="6" t="s">
        <v>18112</v>
      </c>
      <c r="G7573" s="3" t="s">
        <v>11450</v>
      </c>
      <c r="H7573" s="54">
        <v>0</v>
      </c>
      <c r="I7573" s="16">
        <v>470000000</v>
      </c>
      <c r="J7573" s="157" t="s">
        <v>229</v>
      </c>
      <c r="K7573" s="5" t="s">
        <v>14662</v>
      </c>
      <c r="L7573" s="6" t="s">
        <v>231</v>
      </c>
      <c r="M7573" s="3" t="s">
        <v>230</v>
      </c>
      <c r="N7573" s="6" t="s">
        <v>524</v>
      </c>
      <c r="O7573" s="6" t="s">
        <v>233</v>
      </c>
      <c r="P7573" s="58">
        <v>796</v>
      </c>
      <c r="Q7573" s="6" t="s">
        <v>234</v>
      </c>
      <c r="R7573" s="20">
        <v>0</v>
      </c>
      <c r="S7573" s="2">
        <v>30240</v>
      </c>
      <c r="T7573" s="4">
        <f t="shared" si="363"/>
        <v>0</v>
      </c>
      <c r="U7573" s="4">
        <f t="shared" si="368"/>
        <v>0</v>
      </c>
      <c r="V7573" s="3" t="s">
        <v>362</v>
      </c>
      <c r="W7573" s="3">
        <v>2014</v>
      </c>
      <c r="X7573" s="3" t="s">
        <v>12076</v>
      </c>
    </row>
    <row r="7574" spans="1:24" ht="102">
      <c r="A7574" s="3" t="s">
        <v>14457</v>
      </c>
      <c r="B7574" s="6" t="s">
        <v>361</v>
      </c>
      <c r="C7574" s="6" t="s">
        <v>3213</v>
      </c>
      <c r="D7574" s="6" t="s">
        <v>3214</v>
      </c>
      <c r="E7574" s="6" t="s">
        <v>3215</v>
      </c>
      <c r="F7574" s="6" t="s">
        <v>14460</v>
      </c>
      <c r="G7574" s="3" t="s">
        <v>11450</v>
      </c>
      <c r="H7574" s="54">
        <v>0</v>
      </c>
      <c r="I7574" s="16">
        <v>470000000</v>
      </c>
      <c r="J7574" s="157" t="s">
        <v>229</v>
      </c>
      <c r="K7574" s="5" t="s">
        <v>14662</v>
      </c>
      <c r="L7574" s="6" t="s">
        <v>231</v>
      </c>
      <c r="M7574" s="3" t="s">
        <v>230</v>
      </c>
      <c r="N7574" s="6" t="s">
        <v>524</v>
      </c>
      <c r="O7574" s="6" t="s">
        <v>233</v>
      </c>
      <c r="P7574" s="58">
        <v>796</v>
      </c>
      <c r="Q7574" s="6" t="s">
        <v>234</v>
      </c>
      <c r="R7574" s="20">
        <v>2</v>
      </c>
      <c r="S7574" s="2">
        <v>30240</v>
      </c>
      <c r="T7574" s="4">
        <f t="shared" si="363"/>
        <v>60480</v>
      </c>
      <c r="U7574" s="4">
        <f t="shared" si="368"/>
        <v>67737.600000000006</v>
      </c>
      <c r="V7574" s="3" t="s">
        <v>362</v>
      </c>
      <c r="W7574" s="3">
        <v>2014</v>
      </c>
      <c r="X7574" s="3"/>
    </row>
    <row r="7575" spans="1:24" ht="102">
      <c r="A7575" s="3" t="s">
        <v>14461</v>
      </c>
      <c r="B7575" s="6" t="s">
        <v>361</v>
      </c>
      <c r="C7575" s="6" t="s">
        <v>3213</v>
      </c>
      <c r="D7575" s="6" t="s">
        <v>3214</v>
      </c>
      <c r="E7575" s="6" t="s">
        <v>3215</v>
      </c>
      <c r="F7575" s="6" t="s">
        <v>14467</v>
      </c>
      <c r="G7575" s="3" t="s">
        <v>11450</v>
      </c>
      <c r="H7575" s="54">
        <v>0</v>
      </c>
      <c r="I7575" s="16">
        <v>470000000</v>
      </c>
      <c r="J7575" s="157" t="s">
        <v>229</v>
      </c>
      <c r="K7575" s="5" t="s">
        <v>14662</v>
      </c>
      <c r="L7575" s="6" t="s">
        <v>231</v>
      </c>
      <c r="M7575" s="3" t="s">
        <v>230</v>
      </c>
      <c r="N7575" s="6" t="s">
        <v>524</v>
      </c>
      <c r="O7575" s="6" t="s">
        <v>233</v>
      </c>
      <c r="P7575" s="58">
        <v>796</v>
      </c>
      <c r="Q7575" s="6" t="s">
        <v>234</v>
      </c>
      <c r="R7575" s="20">
        <v>27</v>
      </c>
      <c r="S7575" s="2">
        <v>20160</v>
      </c>
      <c r="T7575" s="4">
        <f t="shared" si="363"/>
        <v>544320</v>
      </c>
      <c r="U7575" s="4">
        <f t="shared" si="368"/>
        <v>609638.40000000002</v>
      </c>
      <c r="V7575" s="3" t="s">
        <v>362</v>
      </c>
      <c r="W7575" s="3">
        <v>2014</v>
      </c>
      <c r="X7575" s="3"/>
    </row>
    <row r="7576" spans="1:24" ht="102">
      <c r="A7576" s="3" t="s">
        <v>14462</v>
      </c>
      <c r="B7576" s="6" t="s">
        <v>361</v>
      </c>
      <c r="C7576" s="6" t="s">
        <v>3213</v>
      </c>
      <c r="D7576" s="6" t="s">
        <v>3214</v>
      </c>
      <c r="E7576" s="6" t="s">
        <v>3215</v>
      </c>
      <c r="F7576" s="6" t="s">
        <v>14468</v>
      </c>
      <c r="G7576" s="3" t="s">
        <v>11450</v>
      </c>
      <c r="H7576" s="54">
        <v>0</v>
      </c>
      <c r="I7576" s="16">
        <v>470000000</v>
      </c>
      <c r="J7576" s="157" t="s">
        <v>229</v>
      </c>
      <c r="K7576" s="5" t="s">
        <v>14662</v>
      </c>
      <c r="L7576" s="6" t="s">
        <v>231</v>
      </c>
      <c r="M7576" s="3" t="s">
        <v>230</v>
      </c>
      <c r="N7576" s="6" t="s">
        <v>524</v>
      </c>
      <c r="O7576" s="6" t="s">
        <v>233</v>
      </c>
      <c r="P7576" s="58">
        <v>796</v>
      </c>
      <c r="Q7576" s="6" t="s">
        <v>234</v>
      </c>
      <c r="R7576" s="20">
        <v>2</v>
      </c>
      <c r="S7576" s="2">
        <v>20160</v>
      </c>
      <c r="T7576" s="4">
        <v>0</v>
      </c>
      <c r="U7576" s="4">
        <f t="shared" si="368"/>
        <v>0</v>
      </c>
      <c r="V7576" s="3" t="s">
        <v>362</v>
      </c>
      <c r="W7576" s="3">
        <v>2014</v>
      </c>
      <c r="X7576" s="3">
        <v>11</v>
      </c>
    </row>
    <row r="7577" spans="1:24" ht="102">
      <c r="A7577" s="3" t="s">
        <v>18113</v>
      </c>
      <c r="B7577" s="6" t="s">
        <v>361</v>
      </c>
      <c r="C7577" s="6" t="s">
        <v>3213</v>
      </c>
      <c r="D7577" s="6" t="s">
        <v>3214</v>
      </c>
      <c r="E7577" s="6" t="s">
        <v>3215</v>
      </c>
      <c r="F7577" s="6" t="s">
        <v>14468</v>
      </c>
      <c r="G7577" s="3" t="s">
        <v>11450</v>
      </c>
      <c r="H7577" s="54">
        <v>0</v>
      </c>
      <c r="I7577" s="16">
        <v>470000000</v>
      </c>
      <c r="J7577" s="157" t="s">
        <v>229</v>
      </c>
      <c r="K7577" s="5" t="s">
        <v>18114</v>
      </c>
      <c r="L7577" s="6" t="s">
        <v>231</v>
      </c>
      <c r="M7577" s="3" t="s">
        <v>230</v>
      </c>
      <c r="N7577" s="6" t="s">
        <v>524</v>
      </c>
      <c r="O7577" s="6" t="s">
        <v>233</v>
      </c>
      <c r="P7577" s="58">
        <v>796</v>
      </c>
      <c r="Q7577" s="6" t="s">
        <v>234</v>
      </c>
      <c r="R7577" s="20">
        <v>2</v>
      </c>
      <c r="S7577" s="2">
        <v>20160</v>
      </c>
      <c r="T7577" s="4">
        <f t="shared" ref="T7577" si="371">R7577*S7577</f>
        <v>40320</v>
      </c>
      <c r="U7577" s="4">
        <f t="shared" si="368"/>
        <v>45158.400000000001</v>
      </c>
      <c r="V7577" s="3" t="s">
        <v>362</v>
      </c>
      <c r="W7577" s="3">
        <v>2014</v>
      </c>
      <c r="X7577" s="3"/>
    </row>
    <row r="7578" spans="1:24" ht="102">
      <c r="A7578" s="3" t="s">
        <v>14463</v>
      </c>
      <c r="B7578" s="6" t="s">
        <v>361</v>
      </c>
      <c r="C7578" s="6" t="s">
        <v>3213</v>
      </c>
      <c r="D7578" s="6" t="s">
        <v>3214</v>
      </c>
      <c r="E7578" s="6" t="s">
        <v>3215</v>
      </c>
      <c r="F7578" s="6" t="s">
        <v>14469</v>
      </c>
      <c r="G7578" s="3" t="s">
        <v>11450</v>
      </c>
      <c r="H7578" s="54">
        <v>0</v>
      </c>
      <c r="I7578" s="16">
        <v>470000000</v>
      </c>
      <c r="J7578" s="157" t="s">
        <v>229</v>
      </c>
      <c r="K7578" s="5" t="s">
        <v>14662</v>
      </c>
      <c r="L7578" s="6" t="s">
        <v>231</v>
      </c>
      <c r="M7578" s="3" t="s">
        <v>230</v>
      </c>
      <c r="N7578" s="6" t="s">
        <v>524</v>
      </c>
      <c r="O7578" s="6" t="s">
        <v>233</v>
      </c>
      <c r="P7578" s="58">
        <v>796</v>
      </c>
      <c r="Q7578" s="6" t="s">
        <v>234</v>
      </c>
      <c r="R7578" s="20">
        <v>1</v>
      </c>
      <c r="S7578" s="2">
        <v>20368</v>
      </c>
      <c r="T7578" s="4">
        <f t="shared" si="363"/>
        <v>20368</v>
      </c>
      <c r="U7578" s="4">
        <f t="shared" si="368"/>
        <v>22812.160000000003</v>
      </c>
      <c r="V7578" s="3" t="s">
        <v>362</v>
      </c>
      <c r="W7578" s="3">
        <v>2014</v>
      </c>
      <c r="X7578" s="3"/>
    </row>
    <row r="7579" spans="1:24" ht="102">
      <c r="A7579" s="3" t="s">
        <v>14464</v>
      </c>
      <c r="B7579" s="6" t="s">
        <v>361</v>
      </c>
      <c r="C7579" s="6" t="s">
        <v>3213</v>
      </c>
      <c r="D7579" s="6" t="s">
        <v>3214</v>
      </c>
      <c r="E7579" s="6" t="s">
        <v>3215</v>
      </c>
      <c r="F7579" s="6" t="s">
        <v>14473</v>
      </c>
      <c r="G7579" s="3" t="s">
        <v>11450</v>
      </c>
      <c r="H7579" s="54">
        <v>0</v>
      </c>
      <c r="I7579" s="16">
        <v>470000000</v>
      </c>
      <c r="J7579" s="157" t="s">
        <v>229</v>
      </c>
      <c r="K7579" s="5" t="s">
        <v>14662</v>
      </c>
      <c r="L7579" s="6" t="s">
        <v>231</v>
      </c>
      <c r="M7579" s="3" t="s">
        <v>230</v>
      </c>
      <c r="N7579" s="6" t="s">
        <v>524</v>
      </c>
      <c r="O7579" s="6" t="s">
        <v>233</v>
      </c>
      <c r="P7579" s="58">
        <v>796</v>
      </c>
      <c r="Q7579" s="6" t="s">
        <v>234</v>
      </c>
      <c r="R7579" s="20">
        <v>2</v>
      </c>
      <c r="S7579" s="2">
        <v>20160</v>
      </c>
      <c r="T7579" s="4">
        <f t="shared" si="363"/>
        <v>40320</v>
      </c>
      <c r="U7579" s="4">
        <f t="shared" si="368"/>
        <v>45158.400000000001</v>
      </c>
      <c r="V7579" s="3" t="s">
        <v>362</v>
      </c>
      <c r="W7579" s="3">
        <v>2014</v>
      </c>
      <c r="X7579" s="3"/>
    </row>
    <row r="7580" spans="1:24" ht="102">
      <c r="A7580" s="3" t="s">
        <v>14465</v>
      </c>
      <c r="B7580" s="6" t="s">
        <v>361</v>
      </c>
      <c r="C7580" s="6" t="s">
        <v>3213</v>
      </c>
      <c r="D7580" s="6" t="s">
        <v>3214</v>
      </c>
      <c r="E7580" s="6" t="s">
        <v>3215</v>
      </c>
      <c r="F7580" s="6" t="s">
        <v>14475</v>
      </c>
      <c r="G7580" s="3" t="s">
        <v>11450</v>
      </c>
      <c r="H7580" s="54">
        <v>0</v>
      </c>
      <c r="I7580" s="16">
        <v>470000000</v>
      </c>
      <c r="J7580" s="157" t="s">
        <v>229</v>
      </c>
      <c r="K7580" s="5" t="s">
        <v>14662</v>
      </c>
      <c r="L7580" s="6" t="s">
        <v>231</v>
      </c>
      <c r="M7580" s="3" t="s">
        <v>230</v>
      </c>
      <c r="N7580" s="6" t="s">
        <v>524</v>
      </c>
      <c r="O7580" s="6" t="s">
        <v>233</v>
      </c>
      <c r="P7580" s="58">
        <v>796</v>
      </c>
      <c r="Q7580" s="6" t="s">
        <v>234</v>
      </c>
      <c r="R7580" s="20">
        <v>4</v>
      </c>
      <c r="S7580" s="2">
        <v>15540</v>
      </c>
      <c r="T7580" s="4">
        <f t="shared" si="363"/>
        <v>62160</v>
      </c>
      <c r="U7580" s="4">
        <f t="shared" si="368"/>
        <v>69619.200000000012</v>
      </c>
      <c r="V7580" s="3" t="s">
        <v>362</v>
      </c>
      <c r="W7580" s="3">
        <v>2014</v>
      </c>
      <c r="X7580" s="3"/>
    </row>
    <row r="7581" spans="1:24" ht="102">
      <c r="A7581" s="3" t="s">
        <v>14470</v>
      </c>
      <c r="B7581" s="6" t="s">
        <v>361</v>
      </c>
      <c r="C7581" s="6" t="s">
        <v>3213</v>
      </c>
      <c r="D7581" s="6" t="s">
        <v>3214</v>
      </c>
      <c r="E7581" s="6" t="s">
        <v>3215</v>
      </c>
      <c r="F7581" s="6" t="s">
        <v>14477</v>
      </c>
      <c r="G7581" s="3" t="s">
        <v>11450</v>
      </c>
      <c r="H7581" s="54">
        <v>0</v>
      </c>
      <c r="I7581" s="16">
        <v>470000000</v>
      </c>
      <c r="J7581" s="157" t="s">
        <v>229</v>
      </c>
      <c r="K7581" s="5" t="s">
        <v>14662</v>
      </c>
      <c r="L7581" s="6" t="s">
        <v>231</v>
      </c>
      <c r="M7581" s="3" t="s">
        <v>230</v>
      </c>
      <c r="N7581" s="6" t="s">
        <v>524</v>
      </c>
      <c r="O7581" s="6" t="s">
        <v>233</v>
      </c>
      <c r="P7581" s="58">
        <v>796</v>
      </c>
      <c r="Q7581" s="6" t="s">
        <v>234</v>
      </c>
      <c r="R7581" s="20">
        <v>2</v>
      </c>
      <c r="S7581" s="2">
        <v>15540</v>
      </c>
      <c r="T7581" s="4">
        <f t="shared" si="363"/>
        <v>31080</v>
      </c>
      <c r="U7581" s="4">
        <f t="shared" si="368"/>
        <v>34809.600000000006</v>
      </c>
      <c r="V7581" s="3" t="s">
        <v>362</v>
      </c>
      <c r="W7581" s="3">
        <v>2014</v>
      </c>
      <c r="X7581" s="3"/>
    </row>
    <row r="7582" spans="1:24" ht="102">
      <c r="A7582" s="3" t="s">
        <v>14471</v>
      </c>
      <c r="B7582" s="6" t="s">
        <v>361</v>
      </c>
      <c r="C7582" s="6" t="s">
        <v>3213</v>
      </c>
      <c r="D7582" s="6" t="s">
        <v>3214</v>
      </c>
      <c r="E7582" s="6" t="s">
        <v>3215</v>
      </c>
      <c r="F7582" s="6" t="s">
        <v>14485</v>
      </c>
      <c r="G7582" s="3" t="s">
        <v>11450</v>
      </c>
      <c r="H7582" s="54">
        <v>0</v>
      </c>
      <c r="I7582" s="16">
        <v>470000000</v>
      </c>
      <c r="J7582" s="157" t="s">
        <v>229</v>
      </c>
      <c r="K7582" s="5" t="s">
        <v>14662</v>
      </c>
      <c r="L7582" s="6" t="s">
        <v>231</v>
      </c>
      <c r="M7582" s="3" t="s">
        <v>230</v>
      </c>
      <c r="N7582" s="6" t="s">
        <v>524</v>
      </c>
      <c r="O7582" s="6" t="s">
        <v>233</v>
      </c>
      <c r="P7582" s="58">
        <v>796</v>
      </c>
      <c r="Q7582" s="6" t="s">
        <v>234</v>
      </c>
      <c r="R7582" s="20">
        <v>5</v>
      </c>
      <c r="S7582" s="2">
        <v>10956</v>
      </c>
      <c r="T7582" s="4">
        <f t="shared" si="363"/>
        <v>54780</v>
      </c>
      <c r="U7582" s="4">
        <f t="shared" si="368"/>
        <v>61353.600000000006</v>
      </c>
      <c r="V7582" s="3" t="s">
        <v>362</v>
      </c>
      <c r="W7582" s="3">
        <v>2014</v>
      </c>
      <c r="X7582" s="3"/>
    </row>
    <row r="7583" spans="1:24" ht="102">
      <c r="A7583" s="3" t="s">
        <v>14472</v>
      </c>
      <c r="B7583" s="6" t="s">
        <v>361</v>
      </c>
      <c r="C7583" s="6" t="s">
        <v>3213</v>
      </c>
      <c r="D7583" s="6" t="s">
        <v>3214</v>
      </c>
      <c r="E7583" s="6" t="s">
        <v>3215</v>
      </c>
      <c r="F7583" s="6" t="s">
        <v>14487</v>
      </c>
      <c r="G7583" s="3" t="s">
        <v>11450</v>
      </c>
      <c r="H7583" s="54">
        <v>0</v>
      </c>
      <c r="I7583" s="16">
        <v>470000000</v>
      </c>
      <c r="J7583" s="157" t="s">
        <v>229</v>
      </c>
      <c r="K7583" s="5" t="s">
        <v>14662</v>
      </c>
      <c r="L7583" s="6" t="s">
        <v>231</v>
      </c>
      <c r="M7583" s="3" t="s">
        <v>230</v>
      </c>
      <c r="N7583" s="6" t="s">
        <v>524</v>
      </c>
      <c r="O7583" s="6" t="s">
        <v>233</v>
      </c>
      <c r="P7583" s="58">
        <v>796</v>
      </c>
      <c r="Q7583" s="6" t="s">
        <v>234</v>
      </c>
      <c r="R7583" s="20">
        <v>1</v>
      </c>
      <c r="S7583" s="2">
        <v>9414</v>
      </c>
      <c r="T7583" s="4">
        <f t="shared" si="363"/>
        <v>9414</v>
      </c>
      <c r="U7583" s="4">
        <f t="shared" si="368"/>
        <v>10543.68</v>
      </c>
      <c r="V7583" s="3" t="s">
        <v>362</v>
      </c>
      <c r="W7583" s="3">
        <v>2014</v>
      </c>
      <c r="X7583" s="3"/>
    </row>
    <row r="7584" spans="1:24" ht="102">
      <c r="A7584" s="3" t="s">
        <v>14489</v>
      </c>
      <c r="B7584" s="6" t="s">
        <v>361</v>
      </c>
      <c r="C7584" s="6" t="s">
        <v>3213</v>
      </c>
      <c r="D7584" s="6" t="s">
        <v>3214</v>
      </c>
      <c r="E7584" s="6" t="s">
        <v>3215</v>
      </c>
      <c r="F7584" s="6" t="s">
        <v>14494</v>
      </c>
      <c r="G7584" s="3" t="s">
        <v>11450</v>
      </c>
      <c r="H7584" s="54">
        <v>0</v>
      </c>
      <c r="I7584" s="16">
        <v>470000000</v>
      </c>
      <c r="J7584" s="157" t="s">
        <v>229</v>
      </c>
      <c r="K7584" s="5" t="s">
        <v>14662</v>
      </c>
      <c r="L7584" s="6" t="s">
        <v>231</v>
      </c>
      <c r="M7584" s="3" t="s">
        <v>230</v>
      </c>
      <c r="N7584" s="6" t="s">
        <v>524</v>
      </c>
      <c r="O7584" s="6" t="s">
        <v>233</v>
      </c>
      <c r="P7584" s="58">
        <v>796</v>
      </c>
      <c r="Q7584" s="6" t="s">
        <v>234</v>
      </c>
      <c r="R7584" s="20">
        <v>2</v>
      </c>
      <c r="S7584" s="2">
        <v>10320</v>
      </c>
      <c r="T7584" s="4">
        <f t="shared" si="363"/>
        <v>20640</v>
      </c>
      <c r="U7584" s="4">
        <f t="shared" si="368"/>
        <v>23116.800000000003</v>
      </c>
      <c r="V7584" s="3" t="s">
        <v>362</v>
      </c>
      <c r="W7584" s="3">
        <v>2014</v>
      </c>
      <c r="X7584" s="3"/>
    </row>
    <row r="7585" spans="1:24" ht="102">
      <c r="A7585" s="3" t="s">
        <v>14490</v>
      </c>
      <c r="B7585" s="6" t="s">
        <v>361</v>
      </c>
      <c r="C7585" s="6" t="s">
        <v>3213</v>
      </c>
      <c r="D7585" s="6" t="s">
        <v>3214</v>
      </c>
      <c r="E7585" s="6" t="s">
        <v>3215</v>
      </c>
      <c r="F7585" s="6" t="s">
        <v>14495</v>
      </c>
      <c r="G7585" s="3" t="s">
        <v>11450</v>
      </c>
      <c r="H7585" s="54">
        <v>0</v>
      </c>
      <c r="I7585" s="16">
        <v>470000000</v>
      </c>
      <c r="J7585" s="157" t="s">
        <v>229</v>
      </c>
      <c r="K7585" s="5" t="s">
        <v>14662</v>
      </c>
      <c r="L7585" s="6" t="s">
        <v>231</v>
      </c>
      <c r="M7585" s="3" t="s">
        <v>230</v>
      </c>
      <c r="N7585" s="6" t="s">
        <v>524</v>
      </c>
      <c r="O7585" s="6" t="s">
        <v>233</v>
      </c>
      <c r="P7585" s="58">
        <v>796</v>
      </c>
      <c r="Q7585" s="6" t="s">
        <v>234</v>
      </c>
      <c r="R7585" s="20">
        <v>26</v>
      </c>
      <c r="S7585" s="2">
        <v>10320</v>
      </c>
      <c r="T7585" s="4">
        <f t="shared" si="363"/>
        <v>268320</v>
      </c>
      <c r="U7585" s="4">
        <f t="shared" si="368"/>
        <v>300518.40000000002</v>
      </c>
      <c r="V7585" s="3" t="s">
        <v>362</v>
      </c>
      <c r="W7585" s="3">
        <v>2014</v>
      </c>
      <c r="X7585" s="3"/>
    </row>
    <row r="7586" spans="1:24" ht="102">
      <c r="A7586" s="3" t="s">
        <v>14491</v>
      </c>
      <c r="B7586" s="6" t="s">
        <v>361</v>
      </c>
      <c r="C7586" s="6" t="s">
        <v>3213</v>
      </c>
      <c r="D7586" s="6" t="s">
        <v>3214</v>
      </c>
      <c r="E7586" s="6" t="s">
        <v>3215</v>
      </c>
      <c r="F7586" s="6" t="s">
        <v>14496</v>
      </c>
      <c r="G7586" s="3" t="s">
        <v>11450</v>
      </c>
      <c r="H7586" s="54">
        <v>0</v>
      </c>
      <c r="I7586" s="16">
        <v>470000000</v>
      </c>
      <c r="J7586" s="157" t="s">
        <v>229</v>
      </c>
      <c r="K7586" s="5" t="s">
        <v>14662</v>
      </c>
      <c r="L7586" s="6" t="s">
        <v>231</v>
      </c>
      <c r="M7586" s="3" t="s">
        <v>230</v>
      </c>
      <c r="N7586" s="6" t="s">
        <v>524</v>
      </c>
      <c r="O7586" s="6" t="s">
        <v>233</v>
      </c>
      <c r="P7586" s="58">
        <v>796</v>
      </c>
      <c r="Q7586" s="6" t="s">
        <v>234</v>
      </c>
      <c r="R7586" s="20">
        <v>4</v>
      </c>
      <c r="S7586" s="2">
        <v>10320</v>
      </c>
      <c r="T7586" s="4">
        <f t="shared" si="363"/>
        <v>41280</v>
      </c>
      <c r="U7586" s="4">
        <f t="shared" si="368"/>
        <v>46233.600000000006</v>
      </c>
      <c r="V7586" s="3" t="s">
        <v>362</v>
      </c>
      <c r="W7586" s="3">
        <v>2014</v>
      </c>
      <c r="X7586" s="3"/>
    </row>
    <row r="7587" spans="1:24" ht="102">
      <c r="A7587" s="3" t="s">
        <v>14492</v>
      </c>
      <c r="B7587" s="6" t="s">
        <v>361</v>
      </c>
      <c r="C7587" s="6" t="s">
        <v>3213</v>
      </c>
      <c r="D7587" s="6" t="s">
        <v>3214</v>
      </c>
      <c r="E7587" s="6" t="s">
        <v>3215</v>
      </c>
      <c r="F7587" s="6" t="s">
        <v>14497</v>
      </c>
      <c r="G7587" s="3" t="s">
        <v>11450</v>
      </c>
      <c r="H7587" s="54">
        <v>0</v>
      </c>
      <c r="I7587" s="16">
        <v>470000000</v>
      </c>
      <c r="J7587" s="157" t="s">
        <v>229</v>
      </c>
      <c r="K7587" s="5" t="s">
        <v>14662</v>
      </c>
      <c r="L7587" s="6" t="s">
        <v>231</v>
      </c>
      <c r="M7587" s="3" t="s">
        <v>230</v>
      </c>
      <c r="N7587" s="6" t="s">
        <v>524</v>
      </c>
      <c r="O7587" s="6" t="s">
        <v>233</v>
      </c>
      <c r="P7587" s="58">
        <v>796</v>
      </c>
      <c r="Q7587" s="6" t="s">
        <v>234</v>
      </c>
      <c r="R7587" s="20">
        <v>4</v>
      </c>
      <c r="S7587" s="2">
        <v>10320</v>
      </c>
      <c r="T7587" s="4">
        <f t="shared" si="363"/>
        <v>41280</v>
      </c>
      <c r="U7587" s="4">
        <f t="shared" si="368"/>
        <v>46233.600000000006</v>
      </c>
      <c r="V7587" s="3" t="s">
        <v>362</v>
      </c>
      <c r="W7587" s="3">
        <v>2014</v>
      </c>
      <c r="X7587" s="3"/>
    </row>
    <row r="7588" spans="1:24" ht="102">
      <c r="A7588" s="3" t="s">
        <v>14493</v>
      </c>
      <c r="B7588" s="6" t="s">
        <v>361</v>
      </c>
      <c r="C7588" s="6" t="s">
        <v>3213</v>
      </c>
      <c r="D7588" s="6" t="s">
        <v>3214</v>
      </c>
      <c r="E7588" s="6" t="s">
        <v>3215</v>
      </c>
      <c r="F7588" s="6" t="s">
        <v>14502</v>
      </c>
      <c r="G7588" s="3" t="s">
        <v>11450</v>
      </c>
      <c r="H7588" s="54">
        <v>0</v>
      </c>
      <c r="I7588" s="16">
        <v>470000000</v>
      </c>
      <c r="J7588" s="157" t="s">
        <v>229</v>
      </c>
      <c r="K7588" s="5" t="s">
        <v>14662</v>
      </c>
      <c r="L7588" s="6" t="s">
        <v>231</v>
      </c>
      <c r="M7588" s="3" t="s">
        <v>230</v>
      </c>
      <c r="N7588" s="6" t="s">
        <v>524</v>
      </c>
      <c r="O7588" s="6" t="s">
        <v>233</v>
      </c>
      <c r="P7588" s="58">
        <v>796</v>
      </c>
      <c r="Q7588" s="6" t="s">
        <v>234</v>
      </c>
      <c r="R7588" s="20">
        <v>257</v>
      </c>
      <c r="S7588" s="2">
        <v>10320</v>
      </c>
      <c r="T7588" s="4">
        <f t="shared" si="363"/>
        <v>2652240</v>
      </c>
      <c r="U7588" s="4">
        <f t="shared" si="368"/>
        <v>2970508.8000000003</v>
      </c>
      <c r="V7588" s="3" t="s">
        <v>362</v>
      </c>
      <c r="W7588" s="3">
        <v>2014</v>
      </c>
      <c r="X7588" s="3"/>
    </row>
    <row r="7589" spans="1:24" ht="102">
      <c r="A7589" s="3" t="s">
        <v>14498</v>
      </c>
      <c r="B7589" s="6" t="s">
        <v>361</v>
      </c>
      <c r="C7589" s="6" t="s">
        <v>3213</v>
      </c>
      <c r="D7589" s="6" t="s">
        <v>3214</v>
      </c>
      <c r="E7589" s="6" t="s">
        <v>3215</v>
      </c>
      <c r="F7589" s="6" t="s">
        <v>14503</v>
      </c>
      <c r="G7589" s="3" t="s">
        <v>11450</v>
      </c>
      <c r="H7589" s="54">
        <v>0</v>
      </c>
      <c r="I7589" s="16">
        <v>470000000</v>
      </c>
      <c r="J7589" s="157" t="s">
        <v>229</v>
      </c>
      <c r="K7589" s="5" t="s">
        <v>14662</v>
      </c>
      <c r="L7589" s="6" t="s">
        <v>231</v>
      </c>
      <c r="M7589" s="3" t="s">
        <v>230</v>
      </c>
      <c r="N7589" s="6" t="s">
        <v>524</v>
      </c>
      <c r="O7589" s="6" t="s">
        <v>233</v>
      </c>
      <c r="P7589" s="58">
        <v>796</v>
      </c>
      <c r="Q7589" s="6" t="s">
        <v>234</v>
      </c>
      <c r="R7589" s="20">
        <v>90</v>
      </c>
      <c r="S7589" s="2">
        <v>10320</v>
      </c>
      <c r="T7589" s="4">
        <f t="shared" si="363"/>
        <v>928800</v>
      </c>
      <c r="U7589" s="4">
        <f t="shared" si="368"/>
        <v>1040256.0000000001</v>
      </c>
      <c r="V7589" s="3" t="s">
        <v>362</v>
      </c>
      <c r="W7589" s="3">
        <v>2014</v>
      </c>
      <c r="X7589" s="3"/>
    </row>
    <row r="7590" spans="1:24" ht="102">
      <c r="A7590" s="3" t="s">
        <v>14499</v>
      </c>
      <c r="B7590" s="6" t="s">
        <v>361</v>
      </c>
      <c r="C7590" s="6" t="s">
        <v>3213</v>
      </c>
      <c r="D7590" s="6" t="s">
        <v>3214</v>
      </c>
      <c r="E7590" s="6" t="s">
        <v>3215</v>
      </c>
      <c r="F7590" s="6" t="s">
        <v>14504</v>
      </c>
      <c r="G7590" s="3" t="s">
        <v>11450</v>
      </c>
      <c r="H7590" s="54">
        <v>0</v>
      </c>
      <c r="I7590" s="16">
        <v>470000000</v>
      </c>
      <c r="J7590" s="157" t="s">
        <v>229</v>
      </c>
      <c r="K7590" s="5" t="s">
        <v>14662</v>
      </c>
      <c r="L7590" s="6" t="s">
        <v>231</v>
      </c>
      <c r="M7590" s="3" t="s">
        <v>230</v>
      </c>
      <c r="N7590" s="6" t="s">
        <v>524</v>
      </c>
      <c r="O7590" s="6" t="s">
        <v>233</v>
      </c>
      <c r="P7590" s="58">
        <v>796</v>
      </c>
      <c r="Q7590" s="6" t="s">
        <v>234</v>
      </c>
      <c r="R7590" s="20">
        <v>3</v>
      </c>
      <c r="S7590" s="2">
        <v>10320</v>
      </c>
      <c r="T7590" s="4">
        <f t="shared" si="363"/>
        <v>30960</v>
      </c>
      <c r="U7590" s="4">
        <f t="shared" si="368"/>
        <v>34675.200000000004</v>
      </c>
      <c r="V7590" s="3" t="s">
        <v>362</v>
      </c>
      <c r="W7590" s="3">
        <v>2014</v>
      </c>
      <c r="X7590" s="3"/>
    </row>
    <row r="7591" spans="1:24" ht="102">
      <c r="A7591" s="3" t="s">
        <v>14500</v>
      </c>
      <c r="B7591" s="6" t="s">
        <v>361</v>
      </c>
      <c r="C7591" s="6" t="s">
        <v>3213</v>
      </c>
      <c r="D7591" s="6" t="s">
        <v>3214</v>
      </c>
      <c r="E7591" s="6" t="s">
        <v>3215</v>
      </c>
      <c r="F7591" s="6" t="s">
        <v>14504</v>
      </c>
      <c r="G7591" s="3" t="s">
        <v>11450</v>
      </c>
      <c r="H7591" s="54">
        <v>0</v>
      </c>
      <c r="I7591" s="16">
        <v>470000000</v>
      </c>
      <c r="J7591" s="157" t="s">
        <v>229</v>
      </c>
      <c r="K7591" s="5" t="s">
        <v>14662</v>
      </c>
      <c r="L7591" s="6" t="s">
        <v>231</v>
      </c>
      <c r="M7591" s="3" t="s">
        <v>230</v>
      </c>
      <c r="N7591" s="6" t="s">
        <v>524</v>
      </c>
      <c r="O7591" s="6" t="s">
        <v>233</v>
      </c>
      <c r="P7591" s="58">
        <v>796</v>
      </c>
      <c r="Q7591" s="6" t="s">
        <v>234</v>
      </c>
      <c r="R7591" s="20">
        <v>3</v>
      </c>
      <c r="S7591" s="2">
        <v>10320</v>
      </c>
      <c r="T7591" s="4">
        <f t="shared" si="363"/>
        <v>30960</v>
      </c>
      <c r="U7591" s="4">
        <f t="shared" si="368"/>
        <v>34675.200000000004</v>
      </c>
      <c r="V7591" s="3" t="s">
        <v>362</v>
      </c>
      <c r="W7591" s="3">
        <v>2014</v>
      </c>
      <c r="X7591" s="3"/>
    </row>
    <row r="7592" spans="1:24" ht="102">
      <c r="A7592" s="3" t="s">
        <v>14501</v>
      </c>
      <c r="B7592" s="6" t="s">
        <v>361</v>
      </c>
      <c r="C7592" s="6" t="s">
        <v>3213</v>
      </c>
      <c r="D7592" s="6" t="s">
        <v>3214</v>
      </c>
      <c r="E7592" s="6" t="s">
        <v>3215</v>
      </c>
      <c r="F7592" s="6" t="s">
        <v>14506</v>
      </c>
      <c r="G7592" s="3" t="s">
        <v>11450</v>
      </c>
      <c r="H7592" s="54">
        <v>0</v>
      </c>
      <c r="I7592" s="16">
        <v>470000000</v>
      </c>
      <c r="J7592" s="157" t="s">
        <v>229</v>
      </c>
      <c r="K7592" s="5" t="s">
        <v>14662</v>
      </c>
      <c r="L7592" s="6" t="s">
        <v>231</v>
      </c>
      <c r="M7592" s="3" t="s">
        <v>230</v>
      </c>
      <c r="N7592" s="6" t="s">
        <v>524</v>
      </c>
      <c r="O7592" s="6" t="s">
        <v>233</v>
      </c>
      <c r="P7592" s="58">
        <v>796</v>
      </c>
      <c r="Q7592" s="6" t="s">
        <v>234</v>
      </c>
      <c r="R7592" s="20">
        <v>8</v>
      </c>
      <c r="S7592" s="2">
        <v>7044</v>
      </c>
      <c r="T7592" s="4">
        <f t="shared" si="363"/>
        <v>56352</v>
      </c>
      <c r="U7592" s="4">
        <f t="shared" si="368"/>
        <v>63114.240000000005</v>
      </c>
      <c r="V7592" s="3" t="s">
        <v>362</v>
      </c>
      <c r="W7592" s="3">
        <v>2014</v>
      </c>
      <c r="X7592" s="3"/>
    </row>
    <row r="7593" spans="1:24" ht="102">
      <c r="A7593" s="3" t="s">
        <v>14507</v>
      </c>
      <c r="B7593" s="6" t="s">
        <v>361</v>
      </c>
      <c r="C7593" s="6" t="s">
        <v>3213</v>
      </c>
      <c r="D7593" s="6" t="s">
        <v>3214</v>
      </c>
      <c r="E7593" s="6" t="s">
        <v>3215</v>
      </c>
      <c r="F7593" s="6" t="s">
        <v>14511</v>
      </c>
      <c r="G7593" s="3" t="s">
        <v>11450</v>
      </c>
      <c r="H7593" s="54">
        <v>0</v>
      </c>
      <c r="I7593" s="16">
        <v>470000000</v>
      </c>
      <c r="J7593" s="157" t="s">
        <v>229</v>
      </c>
      <c r="K7593" s="5" t="s">
        <v>14662</v>
      </c>
      <c r="L7593" s="6" t="s">
        <v>231</v>
      </c>
      <c r="M7593" s="3" t="s">
        <v>230</v>
      </c>
      <c r="N7593" s="6" t="s">
        <v>524</v>
      </c>
      <c r="O7593" s="6" t="s">
        <v>233</v>
      </c>
      <c r="P7593" s="58">
        <v>796</v>
      </c>
      <c r="Q7593" s="6" t="s">
        <v>234</v>
      </c>
      <c r="R7593" s="20">
        <v>22</v>
      </c>
      <c r="S7593" s="2">
        <v>5760</v>
      </c>
      <c r="T7593" s="4">
        <f t="shared" si="363"/>
        <v>126720</v>
      </c>
      <c r="U7593" s="4">
        <f t="shared" si="368"/>
        <v>141926.40000000002</v>
      </c>
      <c r="V7593" s="3" t="s">
        <v>362</v>
      </c>
      <c r="W7593" s="3">
        <v>2014</v>
      </c>
      <c r="X7593" s="3"/>
    </row>
    <row r="7594" spans="1:24" ht="102">
      <c r="A7594" s="3" t="s">
        <v>14508</v>
      </c>
      <c r="B7594" s="6" t="s">
        <v>361</v>
      </c>
      <c r="C7594" s="6" t="s">
        <v>3213</v>
      </c>
      <c r="D7594" s="6" t="s">
        <v>3214</v>
      </c>
      <c r="E7594" s="6" t="s">
        <v>3215</v>
      </c>
      <c r="F7594" s="6" t="s">
        <v>14512</v>
      </c>
      <c r="G7594" s="3" t="s">
        <v>11450</v>
      </c>
      <c r="H7594" s="54">
        <v>0</v>
      </c>
      <c r="I7594" s="16">
        <v>470000000</v>
      </c>
      <c r="J7594" s="157" t="s">
        <v>229</v>
      </c>
      <c r="K7594" s="5" t="s">
        <v>14662</v>
      </c>
      <c r="L7594" s="6" t="s">
        <v>231</v>
      </c>
      <c r="M7594" s="3" t="s">
        <v>230</v>
      </c>
      <c r="N7594" s="6" t="s">
        <v>524</v>
      </c>
      <c r="O7594" s="6" t="s">
        <v>233</v>
      </c>
      <c r="P7594" s="58">
        <v>796</v>
      </c>
      <c r="Q7594" s="6" t="s">
        <v>234</v>
      </c>
      <c r="R7594" s="20">
        <v>95</v>
      </c>
      <c r="S7594" s="2">
        <v>5760</v>
      </c>
      <c r="T7594" s="4">
        <f t="shared" si="363"/>
        <v>547200</v>
      </c>
      <c r="U7594" s="4">
        <f t="shared" si="368"/>
        <v>612864.00000000012</v>
      </c>
      <c r="V7594" s="3" t="s">
        <v>362</v>
      </c>
      <c r="W7594" s="3">
        <v>2014</v>
      </c>
      <c r="X7594" s="3"/>
    </row>
    <row r="7595" spans="1:24" ht="102">
      <c r="A7595" s="3" t="s">
        <v>14509</v>
      </c>
      <c r="B7595" s="6" t="s">
        <v>361</v>
      </c>
      <c r="C7595" s="6" t="s">
        <v>3213</v>
      </c>
      <c r="D7595" s="6" t="s">
        <v>3214</v>
      </c>
      <c r="E7595" s="6" t="s">
        <v>3215</v>
      </c>
      <c r="F7595" s="6" t="s">
        <v>14513</v>
      </c>
      <c r="G7595" s="3" t="s">
        <v>11450</v>
      </c>
      <c r="H7595" s="54">
        <v>0</v>
      </c>
      <c r="I7595" s="16">
        <v>470000000</v>
      </c>
      <c r="J7595" s="157" t="s">
        <v>229</v>
      </c>
      <c r="K7595" s="5" t="s">
        <v>14662</v>
      </c>
      <c r="L7595" s="6" t="s">
        <v>231</v>
      </c>
      <c r="M7595" s="3" t="s">
        <v>230</v>
      </c>
      <c r="N7595" s="6" t="s">
        <v>524</v>
      </c>
      <c r="O7595" s="6" t="s">
        <v>233</v>
      </c>
      <c r="P7595" s="58">
        <v>796</v>
      </c>
      <c r="Q7595" s="6" t="s">
        <v>234</v>
      </c>
      <c r="R7595" s="20">
        <v>56</v>
      </c>
      <c r="S7595" s="2">
        <v>3240</v>
      </c>
      <c r="T7595" s="4">
        <f t="shared" si="363"/>
        <v>181440</v>
      </c>
      <c r="U7595" s="4">
        <f t="shared" si="368"/>
        <v>203212.80000000002</v>
      </c>
      <c r="V7595" s="3" t="s">
        <v>362</v>
      </c>
      <c r="W7595" s="3">
        <v>2014</v>
      </c>
      <c r="X7595" s="3"/>
    </row>
    <row r="7596" spans="1:24" ht="102">
      <c r="A7596" s="3" t="s">
        <v>14510</v>
      </c>
      <c r="B7596" s="6" t="s">
        <v>361</v>
      </c>
      <c r="C7596" s="6" t="s">
        <v>3213</v>
      </c>
      <c r="D7596" s="6" t="s">
        <v>3214</v>
      </c>
      <c r="E7596" s="6" t="s">
        <v>3215</v>
      </c>
      <c r="F7596" s="6" t="s">
        <v>14514</v>
      </c>
      <c r="G7596" s="3" t="s">
        <v>11450</v>
      </c>
      <c r="H7596" s="54">
        <v>0</v>
      </c>
      <c r="I7596" s="16">
        <v>470000000</v>
      </c>
      <c r="J7596" s="157" t="s">
        <v>229</v>
      </c>
      <c r="K7596" s="5" t="s">
        <v>14662</v>
      </c>
      <c r="L7596" s="6" t="s">
        <v>231</v>
      </c>
      <c r="M7596" s="3" t="s">
        <v>230</v>
      </c>
      <c r="N7596" s="6" t="s">
        <v>524</v>
      </c>
      <c r="O7596" s="6" t="s">
        <v>233</v>
      </c>
      <c r="P7596" s="58">
        <v>796</v>
      </c>
      <c r="Q7596" s="6" t="s">
        <v>234</v>
      </c>
      <c r="R7596" s="20">
        <v>2</v>
      </c>
      <c r="S7596" s="2">
        <v>5760</v>
      </c>
      <c r="T7596" s="4">
        <f t="shared" si="363"/>
        <v>11520</v>
      </c>
      <c r="U7596" s="4">
        <f t="shared" si="368"/>
        <v>12902.400000000001</v>
      </c>
      <c r="V7596" s="3" t="s">
        <v>362</v>
      </c>
      <c r="W7596" s="3">
        <v>2014</v>
      </c>
      <c r="X7596" s="3"/>
    </row>
    <row r="7597" spans="1:24" ht="102">
      <c r="A7597" s="3" t="s">
        <v>14515</v>
      </c>
      <c r="B7597" s="6" t="s">
        <v>361</v>
      </c>
      <c r="C7597" s="6" t="s">
        <v>3213</v>
      </c>
      <c r="D7597" s="6" t="s">
        <v>3214</v>
      </c>
      <c r="E7597" s="6" t="s">
        <v>3215</v>
      </c>
      <c r="F7597" s="6" t="s">
        <v>14516</v>
      </c>
      <c r="G7597" s="3" t="s">
        <v>11450</v>
      </c>
      <c r="H7597" s="54">
        <v>0</v>
      </c>
      <c r="I7597" s="16">
        <v>470000000</v>
      </c>
      <c r="J7597" s="157" t="s">
        <v>229</v>
      </c>
      <c r="K7597" s="5" t="s">
        <v>14662</v>
      </c>
      <c r="L7597" s="6" t="s">
        <v>231</v>
      </c>
      <c r="M7597" s="3" t="s">
        <v>230</v>
      </c>
      <c r="N7597" s="6" t="s">
        <v>524</v>
      </c>
      <c r="O7597" s="6" t="s">
        <v>233</v>
      </c>
      <c r="P7597" s="58">
        <v>796</v>
      </c>
      <c r="Q7597" s="6" t="s">
        <v>234</v>
      </c>
      <c r="R7597" s="20">
        <v>17</v>
      </c>
      <c r="S7597" s="2">
        <v>5760</v>
      </c>
      <c r="T7597" s="4">
        <f t="shared" si="363"/>
        <v>97920</v>
      </c>
      <c r="U7597" s="4">
        <f t="shared" si="368"/>
        <v>109670.40000000001</v>
      </c>
      <c r="V7597" s="3" t="s">
        <v>362</v>
      </c>
      <c r="W7597" s="3">
        <v>2014</v>
      </c>
      <c r="X7597" s="3"/>
    </row>
    <row r="7598" spans="1:24" ht="89.25">
      <c r="A7598" s="3" t="s">
        <v>14518</v>
      </c>
      <c r="B7598" s="6" t="s">
        <v>361</v>
      </c>
      <c r="C7598" s="6" t="s">
        <v>3216</v>
      </c>
      <c r="D7598" s="6" t="s">
        <v>3217</v>
      </c>
      <c r="E7598" s="6" t="s">
        <v>3218</v>
      </c>
      <c r="F7598" s="6" t="s">
        <v>14519</v>
      </c>
      <c r="G7598" s="3" t="s">
        <v>11450</v>
      </c>
      <c r="H7598" s="54">
        <v>0</v>
      </c>
      <c r="I7598" s="16">
        <v>470000000</v>
      </c>
      <c r="J7598" s="157" t="s">
        <v>229</v>
      </c>
      <c r="K7598" s="5" t="s">
        <v>14662</v>
      </c>
      <c r="L7598" s="17" t="s">
        <v>11411</v>
      </c>
      <c r="M7598" s="3" t="s">
        <v>230</v>
      </c>
      <c r="N7598" s="6" t="s">
        <v>524</v>
      </c>
      <c r="O7598" s="6" t="s">
        <v>233</v>
      </c>
      <c r="P7598" s="58">
        <v>796</v>
      </c>
      <c r="Q7598" s="6" t="s">
        <v>234</v>
      </c>
      <c r="R7598" s="20">
        <v>1</v>
      </c>
      <c r="S7598" s="2">
        <v>5400</v>
      </c>
      <c r="T7598" s="4">
        <f t="shared" ref="T7598:T7612" si="372">R7598*S7598</f>
        <v>5400</v>
      </c>
      <c r="U7598" s="4">
        <f t="shared" si="368"/>
        <v>6048.0000000000009</v>
      </c>
      <c r="V7598" s="3" t="s">
        <v>362</v>
      </c>
      <c r="W7598" s="3">
        <v>2014</v>
      </c>
      <c r="X7598" s="3"/>
    </row>
    <row r="7599" spans="1:24" ht="89.25">
      <c r="A7599" s="3" t="s">
        <v>14520</v>
      </c>
      <c r="B7599" s="6" t="s">
        <v>361</v>
      </c>
      <c r="C7599" s="6" t="s">
        <v>3216</v>
      </c>
      <c r="D7599" s="6" t="s">
        <v>3217</v>
      </c>
      <c r="E7599" s="6" t="s">
        <v>3218</v>
      </c>
      <c r="F7599" s="6" t="s">
        <v>14523</v>
      </c>
      <c r="G7599" s="3" t="s">
        <v>11450</v>
      </c>
      <c r="H7599" s="54">
        <v>0</v>
      </c>
      <c r="I7599" s="16">
        <v>470000000</v>
      </c>
      <c r="J7599" s="157" t="s">
        <v>229</v>
      </c>
      <c r="K7599" s="5" t="s">
        <v>14662</v>
      </c>
      <c r="L7599" s="17" t="s">
        <v>11411</v>
      </c>
      <c r="M7599" s="3" t="s">
        <v>230</v>
      </c>
      <c r="N7599" s="6" t="s">
        <v>524</v>
      </c>
      <c r="O7599" s="6" t="s">
        <v>233</v>
      </c>
      <c r="P7599" s="58">
        <v>796</v>
      </c>
      <c r="Q7599" s="6" t="s">
        <v>234</v>
      </c>
      <c r="R7599" s="20">
        <v>33</v>
      </c>
      <c r="S7599" s="2">
        <v>6720</v>
      </c>
      <c r="T7599" s="4">
        <f t="shared" si="372"/>
        <v>221760</v>
      </c>
      <c r="U7599" s="4">
        <f t="shared" si="368"/>
        <v>248371.20000000001</v>
      </c>
      <c r="V7599" s="3" t="s">
        <v>362</v>
      </c>
      <c r="W7599" s="3">
        <v>2014</v>
      </c>
      <c r="X7599" s="3"/>
    </row>
    <row r="7600" spans="1:24" ht="89.25">
      <c r="A7600" s="3" t="s">
        <v>14521</v>
      </c>
      <c r="B7600" s="6" t="s">
        <v>361</v>
      </c>
      <c r="C7600" s="6" t="s">
        <v>3216</v>
      </c>
      <c r="D7600" s="6" t="s">
        <v>3217</v>
      </c>
      <c r="E7600" s="6" t="s">
        <v>3218</v>
      </c>
      <c r="F7600" s="6" t="s">
        <v>14524</v>
      </c>
      <c r="G7600" s="3" t="s">
        <v>11450</v>
      </c>
      <c r="H7600" s="54">
        <v>0</v>
      </c>
      <c r="I7600" s="16">
        <v>470000000</v>
      </c>
      <c r="J7600" s="157" t="s">
        <v>229</v>
      </c>
      <c r="K7600" s="5" t="s">
        <v>14662</v>
      </c>
      <c r="L7600" s="17" t="s">
        <v>11411</v>
      </c>
      <c r="M7600" s="3" t="s">
        <v>230</v>
      </c>
      <c r="N7600" s="6" t="s">
        <v>524</v>
      </c>
      <c r="O7600" s="6" t="s">
        <v>233</v>
      </c>
      <c r="P7600" s="58">
        <v>796</v>
      </c>
      <c r="Q7600" s="6" t="s">
        <v>234</v>
      </c>
      <c r="R7600" s="20">
        <v>2</v>
      </c>
      <c r="S7600" s="2">
        <v>6240</v>
      </c>
      <c r="T7600" s="4">
        <f t="shared" si="372"/>
        <v>12480</v>
      </c>
      <c r="U7600" s="4">
        <f t="shared" si="368"/>
        <v>13977.600000000002</v>
      </c>
      <c r="V7600" s="3" t="s">
        <v>362</v>
      </c>
      <c r="W7600" s="3">
        <v>2014</v>
      </c>
      <c r="X7600" s="3"/>
    </row>
    <row r="7601" spans="1:24" ht="89.25">
      <c r="A7601" s="3" t="s">
        <v>14522</v>
      </c>
      <c r="B7601" s="6" t="s">
        <v>361</v>
      </c>
      <c r="C7601" s="6" t="s">
        <v>3216</v>
      </c>
      <c r="D7601" s="6" t="s">
        <v>3217</v>
      </c>
      <c r="E7601" s="6" t="s">
        <v>3218</v>
      </c>
      <c r="F7601" s="6" t="s">
        <v>14525</v>
      </c>
      <c r="G7601" s="3" t="s">
        <v>11450</v>
      </c>
      <c r="H7601" s="54">
        <v>0</v>
      </c>
      <c r="I7601" s="16">
        <v>470000000</v>
      </c>
      <c r="J7601" s="157" t="s">
        <v>229</v>
      </c>
      <c r="K7601" s="5" t="s">
        <v>14662</v>
      </c>
      <c r="L7601" s="17" t="s">
        <v>11411</v>
      </c>
      <c r="M7601" s="3" t="s">
        <v>230</v>
      </c>
      <c r="N7601" s="6" t="s">
        <v>524</v>
      </c>
      <c r="O7601" s="6" t="s">
        <v>233</v>
      </c>
      <c r="P7601" s="58">
        <v>796</v>
      </c>
      <c r="Q7601" s="6" t="s">
        <v>234</v>
      </c>
      <c r="R7601" s="20">
        <v>2</v>
      </c>
      <c r="S7601" s="2">
        <v>3613.2</v>
      </c>
      <c r="T7601" s="4">
        <f t="shared" si="372"/>
        <v>7226.4</v>
      </c>
      <c r="U7601" s="4">
        <f t="shared" si="368"/>
        <v>8093.5680000000002</v>
      </c>
      <c r="V7601" s="3" t="s">
        <v>362</v>
      </c>
      <c r="W7601" s="3">
        <v>2014</v>
      </c>
      <c r="X7601" s="3"/>
    </row>
    <row r="7602" spans="1:24" ht="89.25">
      <c r="A7602" s="3" t="s">
        <v>14526</v>
      </c>
      <c r="B7602" s="6" t="s">
        <v>361</v>
      </c>
      <c r="C7602" s="6" t="s">
        <v>3216</v>
      </c>
      <c r="D7602" s="6" t="s">
        <v>3217</v>
      </c>
      <c r="E7602" s="6" t="s">
        <v>3218</v>
      </c>
      <c r="F7602" s="6" t="s">
        <v>14527</v>
      </c>
      <c r="G7602" s="3" t="s">
        <v>11450</v>
      </c>
      <c r="H7602" s="54">
        <v>0</v>
      </c>
      <c r="I7602" s="16">
        <v>470000000</v>
      </c>
      <c r="J7602" s="157" t="s">
        <v>229</v>
      </c>
      <c r="K7602" s="5" t="s">
        <v>14662</v>
      </c>
      <c r="L7602" s="17" t="s">
        <v>11411</v>
      </c>
      <c r="M7602" s="3" t="s">
        <v>230</v>
      </c>
      <c r="N7602" s="6" t="s">
        <v>524</v>
      </c>
      <c r="O7602" s="6" t="s">
        <v>233</v>
      </c>
      <c r="P7602" s="58">
        <v>796</v>
      </c>
      <c r="Q7602" s="6" t="s">
        <v>234</v>
      </c>
      <c r="R7602" s="20">
        <v>201</v>
      </c>
      <c r="S7602" s="2">
        <v>3613.2</v>
      </c>
      <c r="T7602" s="4">
        <f t="shared" si="372"/>
        <v>726253.2</v>
      </c>
      <c r="U7602" s="4">
        <f t="shared" si="368"/>
        <v>813403.58400000003</v>
      </c>
      <c r="V7602" s="3" t="s">
        <v>362</v>
      </c>
      <c r="W7602" s="3">
        <v>2014</v>
      </c>
      <c r="X7602" s="3"/>
    </row>
    <row r="7603" spans="1:24" ht="89.25">
      <c r="A7603" s="3" t="s">
        <v>14528</v>
      </c>
      <c r="B7603" s="6" t="s">
        <v>361</v>
      </c>
      <c r="C7603" s="6" t="s">
        <v>3216</v>
      </c>
      <c r="D7603" s="6" t="s">
        <v>3217</v>
      </c>
      <c r="E7603" s="6" t="s">
        <v>3218</v>
      </c>
      <c r="F7603" s="6" t="s">
        <v>16366</v>
      </c>
      <c r="G7603" s="3" t="s">
        <v>11450</v>
      </c>
      <c r="H7603" s="54">
        <v>0</v>
      </c>
      <c r="I7603" s="16">
        <v>470000000</v>
      </c>
      <c r="J7603" s="157" t="s">
        <v>229</v>
      </c>
      <c r="K7603" s="5" t="s">
        <v>14662</v>
      </c>
      <c r="L7603" s="17" t="s">
        <v>11411</v>
      </c>
      <c r="M7603" s="3" t="s">
        <v>230</v>
      </c>
      <c r="N7603" s="6" t="s">
        <v>524</v>
      </c>
      <c r="O7603" s="6" t="s">
        <v>233</v>
      </c>
      <c r="P7603" s="58">
        <v>796</v>
      </c>
      <c r="Q7603" s="6" t="s">
        <v>234</v>
      </c>
      <c r="R7603" s="20">
        <v>2</v>
      </c>
      <c r="S7603" s="2">
        <v>7320</v>
      </c>
      <c r="T7603" s="4">
        <f t="shared" si="372"/>
        <v>14640</v>
      </c>
      <c r="U7603" s="4">
        <f t="shared" si="368"/>
        <v>16396.800000000003</v>
      </c>
      <c r="V7603" s="3" t="s">
        <v>362</v>
      </c>
      <c r="W7603" s="3">
        <v>2014</v>
      </c>
      <c r="X7603" s="3"/>
    </row>
    <row r="7604" spans="1:24" ht="89.25">
      <c r="A7604" s="3" t="s">
        <v>14529</v>
      </c>
      <c r="B7604" s="6" t="s">
        <v>361</v>
      </c>
      <c r="C7604" s="6" t="s">
        <v>3216</v>
      </c>
      <c r="D7604" s="6" t="s">
        <v>3217</v>
      </c>
      <c r="E7604" s="6" t="s">
        <v>3218</v>
      </c>
      <c r="F7604" s="6" t="s">
        <v>16367</v>
      </c>
      <c r="G7604" s="3" t="s">
        <v>11450</v>
      </c>
      <c r="H7604" s="54">
        <v>0</v>
      </c>
      <c r="I7604" s="16">
        <v>470000000</v>
      </c>
      <c r="J7604" s="157" t="s">
        <v>229</v>
      </c>
      <c r="K7604" s="5" t="s">
        <v>14662</v>
      </c>
      <c r="L7604" s="17" t="s">
        <v>11411</v>
      </c>
      <c r="M7604" s="3" t="s">
        <v>230</v>
      </c>
      <c r="N7604" s="6" t="s">
        <v>524</v>
      </c>
      <c r="O7604" s="6" t="s">
        <v>233</v>
      </c>
      <c r="P7604" s="58">
        <v>796</v>
      </c>
      <c r="Q7604" s="6" t="s">
        <v>234</v>
      </c>
      <c r="R7604" s="20">
        <v>4</v>
      </c>
      <c r="S7604" s="2">
        <v>1800</v>
      </c>
      <c r="T7604" s="4">
        <f t="shared" si="372"/>
        <v>7200</v>
      </c>
      <c r="U7604" s="4">
        <f t="shared" si="368"/>
        <v>8064.0000000000009</v>
      </c>
      <c r="V7604" s="3" t="s">
        <v>362</v>
      </c>
      <c r="W7604" s="3">
        <v>2014</v>
      </c>
      <c r="X7604" s="3"/>
    </row>
    <row r="7605" spans="1:24" ht="89.25">
      <c r="A7605" s="3" t="s">
        <v>14530</v>
      </c>
      <c r="B7605" s="6" t="s">
        <v>361</v>
      </c>
      <c r="C7605" s="6" t="s">
        <v>3216</v>
      </c>
      <c r="D7605" s="6" t="s">
        <v>3217</v>
      </c>
      <c r="E7605" s="6" t="s">
        <v>3218</v>
      </c>
      <c r="F7605" s="6" t="s">
        <v>16368</v>
      </c>
      <c r="G7605" s="3" t="s">
        <v>11450</v>
      </c>
      <c r="H7605" s="54">
        <v>0</v>
      </c>
      <c r="I7605" s="16">
        <v>470000000</v>
      </c>
      <c r="J7605" s="157" t="s">
        <v>229</v>
      </c>
      <c r="K7605" s="5" t="s">
        <v>14662</v>
      </c>
      <c r="L7605" s="17" t="s">
        <v>11411</v>
      </c>
      <c r="M7605" s="3" t="s">
        <v>230</v>
      </c>
      <c r="N7605" s="6" t="s">
        <v>524</v>
      </c>
      <c r="O7605" s="6" t="s">
        <v>233</v>
      </c>
      <c r="P7605" s="58">
        <v>796</v>
      </c>
      <c r="Q7605" s="6" t="s">
        <v>234</v>
      </c>
      <c r="R7605" s="20">
        <v>2</v>
      </c>
      <c r="S7605" s="2">
        <v>2520</v>
      </c>
      <c r="T7605" s="4">
        <f t="shared" si="372"/>
        <v>5040</v>
      </c>
      <c r="U7605" s="4">
        <f t="shared" si="368"/>
        <v>5644.8</v>
      </c>
      <c r="V7605" s="3" t="s">
        <v>362</v>
      </c>
      <c r="W7605" s="3">
        <v>2014</v>
      </c>
      <c r="X7605" s="3"/>
    </row>
    <row r="7606" spans="1:24" ht="89.25">
      <c r="A7606" s="3" t="s">
        <v>14531</v>
      </c>
      <c r="B7606" s="6" t="s">
        <v>361</v>
      </c>
      <c r="C7606" s="6" t="s">
        <v>3216</v>
      </c>
      <c r="D7606" s="6" t="s">
        <v>3217</v>
      </c>
      <c r="E7606" s="6" t="s">
        <v>3218</v>
      </c>
      <c r="F7606" s="6" t="s">
        <v>16369</v>
      </c>
      <c r="G7606" s="3" t="s">
        <v>11450</v>
      </c>
      <c r="H7606" s="54">
        <v>0</v>
      </c>
      <c r="I7606" s="16">
        <v>470000000</v>
      </c>
      <c r="J7606" s="157" t="s">
        <v>229</v>
      </c>
      <c r="K7606" s="5" t="s">
        <v>14662</v>
      </c>
      <c r="L7606" s="17" t="s">
        <v>11411</v>
      </c>
      <c r="M7606" s="3" t="s">
        <v>230</v>
      </c>
      <c r="N7606" s="6" t="s">
        <v>524</v>
      </c>
      <c r="O7606" s="6" t="s">
        <v>233</v>
      </c>
      <c r="P7606" s="58">
        <v>796</v>
      </c>
      <c r="Q7606" s="6" t="s">
        <v>234</v>
      </c>
      <c r="R7606" s="20">
        <v>1</v>
      </c>
      <c r="S7606" s="2">
        <v>3360</v>
      </c>
      <c r="T7606" s="4">
        <f t="shared" si="372"/>
        <v>3360</v>
      </c>
      <c r="U7606" s="4">
        <f t="shared" si="368"/>
        <v>3763.2000000000003</v>
      </c>
      <c r="V7606" s="3" t="s">
        <v>362</v>
      </c>
      <c r="W7606" s="3">
        <v>2014</v>
      </c>
      <c r="X7606" s="3"/>
    </row>
    <row r="7607" spans="1:24" ht="89.25">
      <c r="A7607" s="3" t="s">
        <v>14532</v>
      </c>
      <c r="B7607" s="6" t="s">
        <v>361</v>
      </c>
      <c r="C7607" s="6" t="s">
        <v>3216</v>
      </c>
      <c r="D7607" s="6" t="s">
        <v>3217</v>
      </c>
      <c r="E7607" s="6" t="s">
        <v>3218</v>
      </c>
      <c r="F7607" s="6" t="s">
        <v>16370</v>
      </c>
      <c r="G7607" s="3" t="s">
        <v>11450</v>
      </c>
      <c r="H7607" s="54">
        <v>0</v>
      </c>
      <c r="I7607" s="16">
        <v>470000000</v>
      </c>
      <c r="J7607" s="157" t="s">
        <v>229</v>
      </c>
      <c r="K7607" s="5" t="s">
        <v>14662</v>
      </c>
      <c r="L7607" s="17" t="s">
        <v>11411</v>
      </c>
      <c r="M7607" s="3" t="s">
        <v>230</v>
      </c>
      <c r="N7607" s="6" t="s">
        <v>524</v>
      </c>
      <c r="O7607" s="6" t="s">
        <v>233</v>
      </c>
      <c r="P7607" s="58">
        <v>796</v>
      </c>
      <c r="Q7607" s="6" t="s">
        <v>234</v>
      </c>
      <c r="R7607" s="20">
        <v>70</v>
      </c>
      <c r="S7607" s="2">
        <v>1800</v>
      </c>
      <c r="T7607" s="4">
        <f t="shared" si="372"/>
        <v>126000</v>
      </c>
      <c r="U7607" s="4">
        <f t="shared" si="368"/>
        <v>141120</v>
      </c>
      <c r="V7607" s="3" t="s">
        <v>362</v>
      </c>
      <c r="W7607" s="3">
        <v>2014</v>
      </c>
      <c r="X7607" s="3"/>
    </row>
    <row r="7608" spans="1:24" ht="102">
      <c r="A7608" s="3" t="s">
        <v>14534</v>
      </c>
      <c r="B7608" s="6" t="s">
        <v>361</v>
      </c>
      <c r="C7608" s="5" t="s">
        <v>14533</v>
      </c>
      <c r="D7608" s="6" t="s">
        <v>14535</v>
      </c>
      <c r="E7608" s="6" t="s">
        <v>15281</v>
      </c>
      <c r="F7608" s="6" t="s">
        <v>15282</v>
      </c>
      <c r="G7608" s="3" t="s">
        <v>11450</v>
      </c>
      <c r="H7608" s="54">
        <v>0</v>
      </c>
      <c r="I7608" s="16">
        <v>470000000</v>
      </c>
      <c r="J7608" s="157" t="s">
        <v>229</v>
      </c>
      <c r="K7608" s="5" t="s">
        <v>14662</v>
      </c>
      <c r="L7608" s="6" t="s">
        <v>231</v>
      </c>
      <c r="M7608" s="3" t="s">
        <v>230</v>
      </c>
      <c r="N7608" s="6" t="s">
        <v>524</v>
      </c>
      <c r="O7608" s="6" t="s">
        <v>233</v>
      </c>
      <c r="P7608" s="58" t="s">
        <v>245</v>
      </c>
      <c r="Q7608" s="6" t="s">
        <v>14536</v>
      </c>
      <c r="R7608" s="20">
        <v>20</v>
      </c>
      <c r="S7608" s="2">
        <v>300</v>
      </c>
      <c r="T7608" s="4">
        <f t="shared" si="372"/>
        <v>6000</v>
      </c>
      <c r="U7608" s="4">
        <f t="shared" si="368"/>
        <v>6720.0000000000009</v>
      </c>
      <c r="V7608" s="3"/>
      <c r="W7608" s="3">
        <v>2014</v>
      </c>
      <c r="X7608" s="3"/>
    </row>
    <row r="7609" spans="1:24" ht="102">
      <c r="A7609" s="3" t="s">
        <v>14544</v>
      </c>
      <c r="B7609" s="6" t="s">
        <v>361</v>
      </c>
      <c r="C7609" s="6" t="s">
        <v>14545</v>
      </c>
      <c r="D7609" s="6" t="s">
        <v>3585</v>
      </c>
      <c r="E7609" s="6" t="s">
        <v>14546</v>
      </c>
      <c r="F7609" s="6" t="s">
        <v>15283</v>
      </c>
      <c r="G7609" s="3" t="s">
        <v>11450</v>
      </c>
      <c r="H7609" s="54">
        <v>0</v>
      </c>
      <c r="I7609" s="16">
        <v>470000000</v>
      </c>
      <c r="J7609" s="157" t="s">
        <v>229</v>
      </c>
      <c r="K7609" s="5" t="s">
        <v>14662</v>
      </c>
      <c r="L7609" s="6" t="s">
        <v>231</v>
      </c>
      <c r="M7609" s="3" t="s">
        <v>230</v>
      </c>
      <c r="N7609" s="6" t="s">
        <v>524</v>
      </c>
      <c r="O7609" s="6" t="s">
        <v>233</v>
      </c>
      <c r="P7609" s="58" t="s">
        <v>243</v>
      </c>
      <c r="Q7609" s="6" t="s">
        <v>244</v>
      </c>
      <c r="R7609" s="20">
        <v>126.5</v>
      </c>
      <c r="S7609" s="2">
        <v>385.2</v>
      </c>
      <c r="T7609" s="4">
        <f t="shared" si="372"/>
        <v>48727.799999999996</v>
      </c>
      <c r="U7609" s="4">
        <f t="shared" si="368"/>
        <v>54575.135999999999</v>
      </c>
      <c r="V7609" s="3"/>
      <c r="W7609" s="3">
        <v>2014</v>
      </c>
      <c r="X7609" s="3"/>
    </row>
    <row r="7610" spans="1:24" ht="102">
      <c r="A7610" s="3" t="s">
        <v>14557</v>
      </c>
      <c r="B7610" s="6" t="s">
        <v>361</v>
      </c>
      <c r="C7610" s="6" t="s">
        <v>14559</v>
      </c>
      <c r="D7610" s="6" t="s">
        <v>3766</v>
      </c>
      <c r="E7610" s="6" t="s">
        <v>14560</v>
      </c>
      <c r="F7610" s="6" t="s">
        <v>15904</v>
      </c>
      <c r="G7610" s="3" t="s">
        <v>11450</v>
      </c>
      <c r="H7610" s="54"/>
      <c r="I7610" s="16">
        <v>470000000</v>
      </c>
      <c r="J7610" s="157" t="s">
        <v>229</v>
      </c>
      <c r="K7610" s="5" t="s">
        <v>14662</v>
      </c>
      <c r="L7610" s="6" t="s">
        <v>231</v>
      </c>
      <c r="M7610" s="3" t="s">
        <v>230</v>
      </c>
      <c r="N7610" s="6" t="s">
        <v>524</v>
      </c>
      <c r="O7610" s="6" t="s">
        <v>233</v>
      </c>
      <c r="P7610" s="58" t="s">
        <v>247</v>
      </c>
      <c r="Q7610" s="6" t="s">
        <v>14561</v>
      </c>
      <c r="R7610" s="20">
        <v>90</v>
      </c>
      <c r="S7610" s="2">
        <v>112500</v>
      </c>
      <c r="T7610" s="4">
        <v>0</v>
      </c>
      <c r="U7610" s="4">
        <f t="shared" si="368"/>
        <v>0</v>
      </c>
      <c r="V7610" s="3"/>
      <c r="W7610" s="3">
        <v>2014</v>
      </c>
      <c r="X7610" s="3" t="s">
        <v>18370</v>
      </c>
    </row>
    <row r="7611" spans="1:24" ht="102">
      <c r="A7611" s="3" t="s">
        <v>18320</v>
      </c>
      <c r="B7611" s="6" t="s">
        <v>361</v>
      </c>
      <c r="C7611" s="6" t="s">
        <v>14559</v>
      </c>
      <c r="D7611" s="6" t="s">
        <v>3766</v>
      </c>
      <c r="E7611" s="6" t="s">
        <v>14560</v>
      </c>
      <c r="F7611" s="6" t="s">
        <v>18321</v>
      </c>
      <c r="G7611" s="3" t="s">
        <v>11449</v>
      </c>
      <c r="H7611" s="54"/>
      <c r="I7611" s="16">
        <v>470000000</v>
      </c>
      <c r="J7611" s="157" t="s">
        <v>229</v>
      </c>
      <c r="K7611" s="5" t="s">
        <v>10120</v>
      </c>
      <c r="L7611" s="6" t="s">
        <v>231</v>
      </c>
      <c r="M7611" s="3" t="s">
        <v>230</v>
      </c>
      <c r="N7611" s="6" t="s">
        <v>8914</v>
      </c>
      <c r="O7611" s="6" t="s">
        <v>233</v>
      </c>
      <c r="P7611" s="58" t="s">
        <v>247</v>
      </c>
      <c r="Q7611" s="6" t="s">
        <v>14561</v>
      </c>
      <c r="R7611" s="20">
        <v>90</v>
      </c>
      <c r="S7611" s="2">
        <v>112500</v>
      </c>
      <c r="T7611" s="4">
        <f t="shared" ref="T7611" si="373">R7611*S7611</f>
        <v>10125000</v>
      </c>
      <c r="U7611" s="4">
        <f t="shared" si="368"/>
        <v>11340000.000000002</v>
      </c>
      <c r="V7611" s="3"/>
      <c r="W7611" s="3">
        <v>2014</v>
      </c>
      <c r="X7611" s="3"/>
    </row>
    <row r="7612" spans="1:24" ht="114.75">
      <c r="A7612" s="3" t="s">
        <v>14558</v>
      </c>
      <c r="B7612" s="6" t="s">
        <v>361</v>
      </c>
      <c r="C7612" s="5" t="s">
        <v>14562</v>
      </c>
      <c r="D7612" s="4" t="s">
        <v>14563</v>
      </c>
      <c r="E7612" s="6" t="s">
        <v>15905</v>
      </c>
      <c r="F7612" s="5" t="s">
        <v>14565</v>
      </c>
      <c r="G7612" s="3" t="s">
        <v>11450</v>
      </c>
      <c r="H7612" s="54"/>
      <c r="I7612" s="16">
        <v>470000000</v>
      </c>
      <c r="J7612" s="157" t="s">
        <v>229</v>
      </c>
      <c r="K7612" s="5" t="s">
        <v>14662</v>
      </c>
      <c r="L7612" s="6" t="s">
        <v>231</v>
      </c>
      <c r="M7612" s="3" t="s">
        <v>230</v>
      </c>
      <c r="N7612" s="6" t="s">
        <v>524</v>
      </c>
      <c r="O7612" s="6" t="s">
        <v>233</v>
      </c>
      <c r="P7612" s="58" t="s">
        <v>248</v>
      </c>
      <c r="Q7612" s="170" t="s">
        <v>14564</v>
      </c>
      <c r="R7612" s="20">
        <v>1200</v>
      </c>
      <c r="S7612" s="2">
        <v>144</v>
      </c>
      <c r="T7612" s="4">
        <f t="shared" si="372"/>
        <v>172800</v>
      </c>
      <c r="U7612" s="4">
        <f t="shared" si="368"/>
        <v>193536.00000000003</v>
      </c>
      <c r="V7612" s="3"/>
      <c r="W7612" s="3">
        <v>2014</v>
      </c>
      <c r="X7612" s="3"/>
    </row>
    <row r="7613" spans="1:24" ht="102">
      <c r="A7613" s="3" t="s">
        <v>14566</v>
      </c>
      <c r="B7613" s="6" t="s">
        <v>361</v>
      </c>
      <c r="C7613" s="6" t="s">
        <v>15906</v>
      </c>
      <c r="D7613" s="4" t="s">
        <v>15907</v>
      </c>
      <c r="E7613" s="6" t="s">
        <v>16371</v>
      </c>
      <c r="F7613" s="6" t="s">
        <v>15908</v>
      </c>
      <c r="G7613" s="3" t="s">
        <v>11449</v>
      </c>
      <c r="H7613" s="54"/>
      <c r="I7613" s="16">
        <v>470000000</v>
      </c>
      <c r="J7613" s="157" t="s">
        <v>229</v>
      </c>
      <c r="K7613" s="5" t="s">
        <v>14662</v>
      </c>
      <c r="L7613" s="6" t="s">
        <v>231</v>
      </c>
      <c r="M7613" s="3" t="s">
        <v>230</v>
      </c>
      <c r="N7613" s="6" t="s">
        <v>524</v>
      </c>
      <c r="O7613" s="6" t="s">
        <v>233</v>
      </c>
      <c r="P7613" s="58" t="s">
        <v>247</v>
      </c>
      <c r="Q7613" s="6" t="s">
        <v>240</v>
      </c>
      <c r="R7613" s="20">
        <v>32</v>
      </c>
      <c r="S7613" s="2">
        <v>384000</v>
      </c>
      <c r="T7613" s="4">
        <v>0</v>
      </c>
      <c r="U7613" s="4">
        <f t="shared" si="368"/>
        <v>0</v>
      </c>
      <c r="V7613" s="3"/>
      <c r="W7613" s="3">
        <v>2014</v>
      </c>
      <c r="X7613" s="3" t="s">
        <v>17317</v>
      </c>
    </row>
    <row r="7614" spans="1:24" ht="102">
      <c r="A7614" s="3" t="s">
        <v>18352</v>
      </c>
      <c r="B7614" s="6" t="s">
        <v>361</v>
      </c>
      <c r="C7614" s="6" t="s">
        <v>15906</v>
      </c>
      <c r="D7614" s="4" t="s">
        <v>15907</v>
      </c>
      <c r="E7614" s="6" t="s">
        <v>16371</v>
      </c>
      <c r="F7614" s="6" t="s">
        <v>15908</v>
      </c>
      <c r="G7614" s="3" t="s">
        <v>11449</v>
      </c>
      <c r="H7614" s="54"/>
      <c r="I7614" s="16">
        <v>470000000</v>
      </c>
      <c r="J7614" s="157" t="s">
        <v>229</v>
      </c>
      <c r="K7614" s="5" t="s">
        <v>10120</v>
      </c>
      <c r="L7614" s="6" t="s">
        <v>231</v>
      </c>
      <c r="M7614" s="3" t="s">
        <v>230</v>
      </c>
      <c r="N7614" s="6" t="s">
        <v>17921</v>
      </c>
      <c r="O7614" s="6" t="s">
        <v>233</v>
      </c>
      <c r="P7614" s="58" t="s">
        <v>247</v>
      </c>
      <c r="Q7614" s="6" t="s">
        <v>240</v>
      </c>
      <c r="R7614" s="20">
        <v>90</v>
      </c>
      <c r="S7614" s="2">
        <v>384000</v>
      </c>
      <c r="T7614" s="4">
        <f t="shared" ref="T7614" si="374">R7614*S7614</f>
        <v>34560000</v>
      </c>
      <c r="U7614" s="4">
        <f t="shared" si="368"/>
        <v>38707200</v>
      </c>
      <c r="V7614" s="3"/>
      <c r="W7614" s="3">
        <v>2014</v>
      </c>
      <c r="X7614" s="3"/>
    </row>
    <row r="7615" spans="1:24" ht="102">
      <c r="A7615" s="3" t="s">
        <v>14568</v>
      </c>
      <c r="B7615" s="6" t="s">
        <v>361</v>
      </c>
      <c r="C7615" s="6" t="s">
        <v>14567</v>
      </c>
      <c r="D7615" s="4" t="s">
        <v>3747</v>
      </c>
      <c r="E7615" s="6" t="s">
        <v>15914</v>
      </c>
      <c r="F7615" s="6" t="s">
        <v>15909</v>
      </c>
      <c r="G7615" s="3" t="s">
        <v>11450</v>
      </c>
      <c r="H7615" s="54"/>
      <c r="I7615" s="16">
        <v>470000000</v>
      </c>
      <c r="J7615" s="157" t="s">
        <v>229</v>
      </c>
      <c r="K7615" s="5" t="s">
        <v>14662</v>
      </c>
      <c r="L7615" s="6" t="s">
        <v>231</v>
      </c>
      <c r="M7615" s="3" t="s">
        <v>230</v>
      </c>
      <c r="N7615" s="6" t="s">
        <v>524</v>
      </c>
      <c r="O7615" s="6" t="s">
        <v>233</v>
      </c>
      <c r="P7615" s="6" t="s">
        <v>250</v>
      </c>
      <c r="Q7615" s="6" t="s">
        <v>627</v>
      </c>
      <c r="R7615" s="6">
        <v>61.563000000000002</v>
      </c>
      <c r="S7615" s="2">
        <v>19620</v>
      </c>
      <c r="T7615" s="4">
        <v>0</v>
      </c>
      <c r="U7615" s="4">
        <f t="shared" si="368"/>
        <v>0</v>
      </c>
      <c r="V7615" s="3"/>
      <c r="W7615" s="3">
        <v>2014</v>
      </c>
      <c r="X7615" s="3" t="s">
        <v>12076</v>
      </c>
    </row>
    <row r="7616" spans="1:24" ht="102">
      <c r="A7616" s="3" t="s">
        <v>14569</v>
      </c>
      <c r="B7616" s="6" t="s">
        <v>361</v>
      </c>
      <c r="C7616" s="6" t="s">
        <v>14567</v>
      </c>
      <c r="D7616" s="4" t="s">
        <v>3747</v>
      </c>
      <c r="E7616" s="6" t="s">
        <v>15914</v>
      </c>
      <c r="F7616" s="6" t="s">
        <v>15910</v>
      </c>
      <c r="G7616" s="3" t="s">
        <v>11450</v>
      </c>
      <c r="H7616" s="54"/>
      <c r="I7616" s="16">
        <v>470000000</v>
      </c>
      <c r="J7616" s="157" t="s">
        <v>229</v>
      </c>
      <c r="K7616" s="5" t="s">
        <v>14662</v>
      </c>
      <c r="L7616" s="6" t="s">
        <v>231</v>
      </c>
      <c r="M7616" s="3" t="s">
        <v>230</v>
      </c>
      <c r="N7616" s="6" t="s">
        <v>524</v>
      </c>
      <c r="O7616" s="6" t="s">
        <v>233</v>
      </c>
      <c r="P7616" s="6" t="s">
        <v>250</v>
      </c>
      <c r="Q7616" s="6" t="s">
        <v>627</v>
      </c>
      <c r="R7616" s="20">
        <v>61.7</v>
      </c>
      <c r="S7616" s="2">
        <v>19620</v>
      </c>
      <c r="T7616" s="4">
        <v>0</v>
      </c>
      <c r="U7616" s="4">
        <f t="shared" si="368"/>
        <v>0</v>
      </c>
      <c r="V7616" s="3"/>
      <c r="W7616" s="3">
        <v>2014</v>
      </c>
      <c r="X7616" s="3" t="s">
        <v>12076</v>
      </c>
    </row>
    <row r="7617" spans="1:24" ht="102">
      <c r="A7617" s="3" t="s">
        <v>14570</v>
      </c>
      <c r="B7617" s="6" t="s">
        <v>361</v>
      </c>
      <c r="C7617" s="6" t="s">
        <v>14567</v>
      </c>
      <c r="D7617" s="4" t="s">
        <v>3747</v>
      </c>
      <c r="E7617" s="6" t="s">
        <v>15914</v>
      </c>
      <c r="F7617" s="6" t="s">
        <v>15911</v>
      </c>
      <c r="G7617" s="3" t="s">
        <v>11450</v>
      </c>
      <c r="H7617" s="54"/>
      <c r="I7617" s="16">
        <v>470000000</v>
      </c>
      <c r="J7617" s="157" t="s">
        <v>229</v>
      </c>
      <c r="K7617" s="5" t="s">
        <v>14662</v>
      </c>
      <c r="L7617" s="6" t="s">
        <v>231</v>
      </c>
      <c r="M7617" s="3" t="s">
        <v>230</v>
      </c>
      <c r="N7617" s="6" t="s">
        <v>524</v>
      </c>
      <c r="O7617" s="6" t="s">
        <v>233</v>
      </c>
      <c r="P7617" s="6" t="s">
        <v>250</v>
      </c>
      <c r="Q7617" s="6" t="s">
        <v>627</v>
      </c>
      <c r="R7617" s="20">
        <v>75</v>
      </c>
      <c r="S7617" s="2">
        <v>19620</v>
      </c>
      <c r="T7617" s="4">
        <v>0</v>
      </c>
      <c r="U7617" s="4">
        <f t="shared" si="368"/>
        <v>0</v>
      </c>
      <c r="V7617" s="3"/>
      <c r="W7617" s="3">
        <v>2014</v>
      </c>
      <c r="X7617" s="3" t="s">
        <v>12076</v>
      </c>
    </row>
    <row r="7618" spans="1:24" ht="102">
      <c r="A7618" s="3" t="s">
        <v>14571</v>
      </c>
      <c r="B7618" s="6" t="s">
        <v>361</v>
      </c>
      <c r="C7618" s="6" t="s">
        <v>14567</v>
      </c>
      <c r="D7618" s="4" t="s">
        <v>3747</v>
      </c>
      <c r="E7618" s="6" t="s">
        <v>15914</v>
      </c>
      <c r="F7618" s="6" t="s">
        <v>14574</v>
      </c>
      <c r="G7618" s="3" t="s">
        <v>11450</v>
      </c>
      <c r="H7618" s="54"/>
      <c r="I7618" s="16">
        <v>470000000</v>
      </c>
      <c r="J7618" s="157" t="s">
        <v>229</v>
      </c>
      <c r="K7618" s="5" t="s">
        <v>14662</v>
      </c>
      <c r="L7618" s="6" t="s">
        <v>231</v>
      </c>
      <c r="M7618" s="3" t="s">
        <v>230</v>
      </c>
      <c r="N7618" s="6" t="s">
        <v>524</v>
      </c>
      <c r="O7618" s="6" t="s">
        <v>233</v>
      </c>
      <c r="P7618" s="6" t="s">
        <v>250</v>
      </c>
      <c r="Q7618" s="6" t="s">
        <v>627</v>
      </c>
      <c r="R7618" s="20">
        <v>88.55</v>
      </c>
      <c r="S7618" s="2">
        <v>19620</v>
      </c>
      <c r="T7618" s="4">
        <v>0</v>
      </c>
      <c r="U7618" s="4">
        <f t="shared" si="368"/>
        <v>0</v>
      </c>
      <c r="V7618" s="3"/>
      <c r="W7618" s="3">
        <v>2014</v>
      </c>
      <c r="X7618" s="3" t="s">
        <v>12076</v>
      </c>
    </row>
    <row r="7619" spans="1:24" ht="102">
      <c r="A7619" s="3" t="s">
        <v>14572</v>
      </c>
      <c r="B7619" s="6" t="s">
        <v>361</v>
      </c>
      <c r="C7619" s="6" t="s">
        <v>14567</v>
      </c>
      <c r="D7619" s="4" t="s">
        <v>3747</v>
      </c>
      <c r="E7619" s="6" t="s">
        <v>15914</v>
      </c>
      <c r="F7619" s="6" t="s">
        <v>15912</v>
      </c>
      <c r="G7619" s="3" t="s">
        <v>11450</v>
      </c>
      <c r="H7619" s="54"/>
      <c r="I7619" s="16">
        <v>470000000</v>
      </c>
      <c r="J7619" s="157" t="s">
        <v>229</v>
      </c>
      <c r="K7619" s="5" t="s">
        <v>14662</v>
      </c>
      <c r="L7619" s="6" t="s">
        <v>231</v>
      </c>
      <c r="M7619" s="3" t="s">
        <v>230</v>
      </c>
      <c r="N7619" s="6" t="s">
        <v>524</v>
      </c>
      <c r="O7619" s="6" t="s">
        <v>233</v>
      </c>
      <c r="P7619" s="6" t="s">
        <v>250</v>
      </c>
      <c r="Q7619" s="6" t="s">
        <v>627</v>
      </c>
      <c r="R7619" s="20">
        <v>3.09</v>
      </c>
      <c r="S7619" s="2">
        <v>13200</v>
      </c>
      <c r="T7619" s="4">
        <v>0</v>
      </c>
      <c r="U7619" s="4">
        <f t="shared" si="368"/>
        <v>0</v>
      </c>
      <c r="V7619" s="3"/>
      <c r="W7619" s="3">
        <v>2014</v>
      </c>
      <c r="X7619" s="3" t="s">
        <v>12076</v>
      </c>
    </row>
    <row r="7620" spans="1:24" ht="102">
      <c r="A7620" s="3" t="s">
        <v>14573</v>
      </c>
      <c r="B7620" s="6" t="s">
        <v>361</v>
      </c>
      <c r="C7620" s="6" t="s">
        <v>14567</v>
      </c>
      <c r="D7620" s="4" t="s">
        <v>3747</v>
      </c>
      <c r="E7620" s="6" t="s">
        <v>15914</v>
      </c>
      <c r="F7620" s="6" t="s">
        <v>15913</v>
      </c>
      <c r="G7620" s="3" t="s">
        <v>11450</v>
      </c>
      <c r="H7620" s="54"/>
      <c r="I7620" s="16">
        <v>470000000</v>
      </c>
      <c r="J7620" s="157" t="s">
        <v>229</v>
      </c>
      <c r="K7620" s="5" t="s">
        <v>14662</v>
      </c>
      <c r="L7620" s="6" t="s">
        <v>231</v>
      </c>
      <c r="M7620" s="3" t="s">
        <v>230</v>
      </c>
      <c r="N7620" s="6" t="s">
        <v>524</v>
      </c>
      <c r="O7620" s="6" t="s">
        <v>233</v>
      </c>
      <c r="P7620" s="6" t="s">
        <v>250</v>
      </c>
      <c r="Q7620" s="6" t="s">
        <v>627</v>
      </c>
      <c r="R7620" s="20">
        <v>3.653</v>
      </c>
      <c r="S7620" s="2">
        <v>13200</v>
      </c>
      <c r="T7620" s="4">
        <v>0</v>
      </c>
      <c r="U7620" s="4">
        <f t="shared" si="368"/>
        <v>0</v>
      </c>
      <c r="V7620" s="3"/>
      <c r="W7620" s="3">
        <v>2014</v>
      </c>
      <c r="X7620" s="3" t="s">
        <v>12076</v>
      </c>
    </row>
    <row r="7621" spans="1:24" ht="89.25">
      <c r="A7621" s="3" t="s">
        <v>14936</v>
      </c>
      <c r="B7621" s="6" t="s">
        <v>361</v>
      </c>
      <c r="C7621" s="6" t="s">
        <v>3834</v>
      </c>
      <c r="D7621" s="4" t="s">
        <v>3835</v>
      </c>
      <c r="E7621" s="6" t="s">
        <v>3836</v>
      </c>
      <c r="F7621" s="6" t="s">
        <v>14943</v>
      </c>
      <c r="G7621" s="3" t="s">
        <v>11449</v>
      </c>
      <c r="H7621" s="54">
        <v>0</v>
      </c>
      <c r="I7621" s="6">
        <v>470000000</v>
      </c>
      <c r="J7621" s="243" t="s">
        <v>229</v>
      </c>
      <c r="K7621" s="5" t="s">
        <v>14662</v>
      </c>
      <c r="L7621" s="17" t="s">
        <v>11411</v>
      </c>
      <c r="M7621" s="3" t="s">
        <v>230</v>
      </c>
      <c r="N7621" s="6" t="s">
        <v>524</v>
      </c>
      <c r="O7621" s="6" t="s">
        <v>233</v>
      </c>
      <c r="P7621" s="58" t="s">
        <v>247</v>
      </c>
      <c r="Q7621" s="6" t="s">
        <v>240</v>
      </c>
      <c r="R7621" s="249">
        <v>0.16</v>
      </c>
      <c r="S7621" s="2">
        <v>156929</v>
      </c>
      <c r="T7621" s="4">
        <v>0</v>
      </c>
      <c r="U7621" s="4">
        <f t="shared" si="368"/>
        <v>0</v>
      </c>
      <c r="V7621" s="3" t="s">
        <v>362</v>
      </c>
      <c r="W7621" s="3">
        <v>2014</v>
      </c>
      <c r="X7621" s="3" t="s">
        <v>17399</v>
      </c>
    </row>
    <row r="7622" spans="1:24" ht="89.25">
      <c r="A7622" s="3" t="s">
        <v>18056</v>
      </c>
      <c r="B7622" s="6" t="s">
        <v>361</v>
      </c>
      <c r="C7622" s="6" t="s">
        <v>3834</v>
      </c>
      <c r="D7622" s="4" t="s">
        <v>3835</v>
      </c>
      <c r="E7622" s="6" t="s">
        <v>3836</v>
      </c>
      <c r="F7622" s="6" t="s">
        <v>14943</v>
      </c>
      <c r="G7622" s="3" t="s">
        <v>11450</v>
      </c>
      <c r="H7622" s="54">
        <v>0</v>
      </c>
      <c r="I7622" s="6">
        <v>470000000</v>
      </c>
      <c r="J7622" s="243" t="s">
        <v>229</v>
      </c>
      <c r="K7622" s="5" t="s">
        <v>10120</v>
      </c>
      <c r="L7622" s="17" t="s">
        <v>11411</v>
      </c>
      <c r="M7622" s="3" t="s">
        <v>230</v>
      </c>
      <c r="N7622" s="6" t="s">
        <v>528</v>
      </c>
      <c r="O7622" s="6" t="s">
        <v>233</v>
      </c>
      <c r="P7622" s="58" t="s">
        <v>247</v>
      </c>
      <c r="Q7622" s="6" t="s">
        <v>240</v>
      </c>
      <c r="R7622" s="249">
        <v>0.16</v>
      </c>
      <c r="S7622" s="2">
        <v>156928.79999999999</v>
      </c>
      <c r="T7622" s="4">
        <v>0</v>
      </c>
      <c r="U7622" s="4">
        <f t="shared" ref="U7622:U7689" si="375">T7622*1.12</f>
        <v>0</v>
      </c>
      <c r="V7622" s="3" t="s">
        <v>362</v>
      </c>
      <c r="W7622" s="3">
        <v>2014</v>
      </c>
      <c r="X7622" s="3" t="s">
        <v>12076</v>
      </c>
    </row>
    <row r="7623" spans="1:24" ht="89.25">
      <c r="A7623" s="3" t="s">
        <v>14937</v>
      </c>
      <c r="B7623" s="6" t="s">
        <v>361</v>
      </c>
      <c r="C7623" s="6" t="s">
        <v>16377</v>
      </c>
      <c r="D7623" s="4" t="s">
        <v>3835</v>
      </c>
      <c r="E7623" s="6" t="s">
        <v>16378</v>
      </c>
      <c r="F7623" s="6" t="s">
        <v>14944</v>
      </c>
      <c r="G7623" s="3" t="s">
        <v>11449</v>
      </c>
      <c r="H7623" s="54">
        <v>0</v>
      </c>
      <c r="I7623" s="6">
        <v>470000000</v>
      </c>
      <c r="J7623" s="243" t="s">
        <v>229</v>
      </c>
      <c r="K7623" s="5" t="s">
        <v>14934</v>
      </c>
      <c r="L7623" s="17" t="s">
        <v>11411</v>
      </c>
      <c r="M7623" s="3" t="s">
        <v>230</v>
      </c>
      <c r="N7623" s="6" t="s">
        <v>524</v>
      </c>
      <c r="O7623" s="6" t="s">
        <v>233</v>
      </c>
      <c r="P7623" s="58" t="s">
        <v>247</v>
      </c>
      <c r="Q7623" s="6" t="s">
        <v>240</v>
      </c>
      <c r="R7623" s="249">
        <v>0.02</v>
      </c>
      <c r="S7623" s="2">
        <v>191910</v>
      </c>
      <c r="T7623" s="4">
        <v>0</v>
      </c>
      <c r="U7623" s="4">
        <f t="shared" si="375"/>
        <v>0</v>
      </c>
      <c r="V7623" s="3" t="s">
        <v>362</v>
      </c>
      <c r="W7623" s="3">
        <v>2014</v>
      </c>
      <c r="X7623" s="3" t="s">
        <v>17399</v>
      </c>
    </row>
    <row r="7624" spans="1:24" ht="89.25">
      <c r="A7624" s="3" t="s">
        <v>18057</v>
      </c>
      <c r="B7624" s="6" t="s">
        <v>361</v>
      </c>
      <c r="C7624" s="6" t="s">
        <v>16377</v>
      </c>
      <c r="D7624" s="4" t="s">
        <v>3835</v>
      </c>
      <c r="E7624" s="6" t="s">
        <v>16378</v>
      </c>
      <c r="F7624" s="6" t="s">
        <v>14944</v>
      </c>
      <c r="G7624" s="3" t="s">
        <v>11450</v>
      </c>
      <c r="H7624" s="54">
        <v>0</v>
      </c>
      <c r="I7624" s="6">
        <v>470000000</v>
      </c>
      <c r="J7624" s="243" t="s">
        <v>229</v>
      </c>
      <c r="K7624" s="5" t="s">
        <v>10120</v>
      </c>
      <c r="L7624" s="17" t="s">
        <v>11411</v>
      </c>
      <c r="M7624" s="3" t="s">
        <v>230</v>
      </c>
      <c r="N7624" s="6" t="s">
        <v>528</v>
      </c>
      <c r="O7624" s="6" t="s">
        <v>233</v>
      </c>
      <c r="P7624" s="58" t="s">
        <v>247</v>
      </c>
      <c r="Q7624" s="6" t="s">
        <v>240</v>
      </c>
      <c r="R7624" s="249">
        <v>0.02</v>
      </c>
      <c r="S7624" s="2">
        <v>191910</v>
      </c>
      <c r="T7624" s="4">
        <v>0</v>
      </c>
      <c r="U7624" s="4">
        <f t="shared" si="375"/>
        <v>0</v>
      </c>
      <c r="V7624" s="3" t="s">
        <v>362</v>
      </c>
      <c r="W7624" s="3">
        <v>2014</v>
      </c>
      <c r="X7624" s="3" t="s">
        <v>12076</v>
      </c>
    </row>
    <row r="7625" spans="1:24" ht="89.25">
      <c r="A7625" s="3" t="s">
        <v>14938</v>
      </c>
      <c r="B7625" s="6" t="s">
        <v>361</v>
      </c>
      <c r="C7625" s="6" t="s">
        <v>16379</v>
      </c>
      <c r="D7625" s="4" t="s">
        <v>3835</v>
      </c>
      <c r="E7625" s="6" t="s">
        <v>16380</v>
      </c>
      <c r="F7625" s="6" t="s">
        <v>14945</v>
      </c>
      <c r="G7625" s="3" t="s">
        <v>11449</v>
      </c>
      <c r="H7625" s="54">
        <v>0</v>
      </c>
      <c r="I7625" s="6">
        <v>470000000</v>
      </c>
      <c r="J7625" s="243" t="s">
        <v>229</v>
      </c>
      <c r="K7625" s="5" t="s">
        <v>14934</v>
      </c>
      <c r="L7625" s="17" t="s">
        <v>11411</v>
      </c>
      <c r="M7625" s="3" t="s">
        <v>230</v>
      </c>
      <c r="N7625" s="6" t="s">
        <v>524</v>
      </c>
      <c r="O7625" s="6" t="s">
        <v>233</v>
      </c>
      <c r="P7625" s="58" t="s">
        <v>247</v>
      </c>
      <c r="Q7625" s="6" t="s">
        <v>240</v>
      </c>
      <c r="R7625" s="249">
        <v>2</v>
      </c>
      <c r="S7625" s="2">
        <v>191910</v>
      </c>
      <c r="T7625" s="4">
        <v>0</v>
      </c>
      <c r="U7625" s="4">
        <f t="shared" si="375"/>
        <v>0</v>
      </c>
      <c r="V7625" s="3" t="s">
        <v>362</v>
      </c>
      <c r="W7625" s="3">
        <v>2014</v>
      </c>
      <c r="X7625" s="3" t="s">
        <v>17399</v>
      </c>
    </row>
    <row r="7626" spans="1:24" ht="89.25">
      <c r="A7626" s="3" t="s">
        <v>18058</v>
      </c>
      <c r="B7626" s="6" t="s">
        <v>361</v>
      </c>
      <c r="C7626" s="6" t="s">
        <v>16379</v>
      </c>
      <c r="D7626" s="4" t="s">
        <v>3835</v>
      </c>
      <c r="E7626" s="6" t="s">
        <v>16380</v>
      </c>
      <c r="F7626" s="6" t="s">
        <v>14945</v>
      </c>
      <c r="G7626" s="3" t="s">
        <v>11450</v>
      </c>
      <c r="H7626" s="54">
        <v>0</v>
      </c>
      <c r="I7626" s="6">
        <v>470000000</v>
      </c>
      <c r="J7626" s="243" t="s">
        <v>229</v>
      </c>
      <c r="K7626" s="5" t="s">
        <v>10120</v>
      </c>
      <c r="L7626" s="17" t="s">
        <v>11411</v>
      </c>
      <c r="M7626" s="3" t="s">
        <v>230</v>
      </c>
      <c r="N7626" s="6" t="s">
        <v>528</v>
      </c>
      <c r="O7626" s="6" t="s">
        <v>233</v>
      </c>
      <c r="P7626" s="58" t="s">
        <v>247</v>
      </c>
      <c r="Q7626" s="6" t="s">
        <v>240</v>
      </c>
      <c r="R7626" s="249">
        <v>1.9999999999999998</v>
      </c>
      <c r="S7626" s="2">
        <v>191910</v>
      </c>
      <c r="T7626" s="4">
        <f t="shared" ref="T7626" si="376">R7626*S7626</f>
        <v>383819.99999999994</v>
      </c>
      <c r="U7626" s="4">
        <f t="shared" si="375"/>
        <v>429878.39999999997</v>
      </c>
      <c r="V7626" s="3" t="s">
        <v>362</v>
      </c>
      <c r="W7626" s="3">
        <v>2014</v>
      </c>
      <c r="X7626" s="3"/>
    </row>
    <row r="7627" spans="1:24" ht="89.25">
      <c r="A7627" s="3" t="s">
        <v>14939</v>
      </c>
      <c r="B7627" s="6" t="s">
        <v>361</v>
      </c>
      <c r="C7627" s="6" t="s">
        <v>3839</v>
      </c>
      <c r="D7627" s="4" t="s">
        <v>3835</v>
      </c>
      <c r="E7627" s="6" t="s">
        <v>3840</v>
      </c>
      <c r="F7627" s="6" t="s">
        <v>14946</v>
      </c>
      <c r="G7627" s="3" t="s">
        <v>11449</v>
      </c>
      <c r="H7627" s="54">
        <v>0</v>
      </c>
      <c r="I7627" s="6">
        <v>470000000</v>
      </c>
      <c r="J7627" s="243" t="s">
        <v>229</v>
      </c>
      <c r="K7627" s="5" t="s">
        <v>14934</v>
      </c>
      <c r="L7627" s="17" t="s">
        <v>11411</v>
      </c>
      <c r="M7627" s="3" t="s">
        <v>230</v>
      </c>
      <c r="N7627" s="6" t="s">
        <v>524</v>
      </c>
      <c r="O7627" s="6" t="s">
        <v>233</v>
      </c>
      <c r="P7627" s="58" t="s">
        <v>247</v>
      </c>
      <c r="Q7627" s="6" t="s">
        <v>240</v>
      </c>
      <c r="R7627" s="249">
        <v>6.7610000000000001</v>
      </c>
      <c r="S7627" s="2">
        <v>156929</v>
      </c>
      <c r="T7627" s="4">
        <v>0</v>
      </c>
      <c r="U7627" s="4">
        <f t="shared" si="375"/>
        <v>0</v>
      </c>
      <c r="V7627" s="3" t="s">
        <v>362</v>
      </c>
      <c r="W7627" s="3">
        <v>2014</v>
      </c>
      <c r="X7627" s="3" t="s">
        <v>17399</v>
      </c>
    </row>
    <row r="7628" spans="1:24" ht="89.25">
      <c r="A7628" s="3" t="s">
        <v>18059</v>
      </c>
      <c r="B7628" s="6" t="s">
        <v>361</v>
      </c>
      <c r="C7628" s="6" t="s">
        <v>3839</v>
      </c>
      <c r="D7628" s="4" t="s">
        <v>3835</v>
      </c>
      <c r="E7628" s="6" t="s">
        <v>3840</v>
      </c>
      <c r="F7628" s="6" t="s">
        <v>14946</v>
      </c>
      <c r="G7628" s="3" t="s">
        <v>11450</v>
      </c>
      <c r="H7628" s="54">
        <v>0</v>
      </c>
      <c r="I7628" s="6">
        <v>470000000</v>
      </c>
      <c r="J7628" s="243" t="s">
        <v>229</v>
      </c>
      <c r="K7628" s="5" t="s">
        <v>9041</v>
      </c>
      <c r="L7628" s="17" t="s">
        <v>11411</v>
      </c>
      <c r="M7628" s="3" t="s">
        <v>230</v>
      </c>
      <c r="N7628" s="6" t="s">
        <v>528</v>
      </c>
      <c r="O7628" s="6" t="s">
        <v>233</v>
      </c>
      <c r="P7628" s="58" t="s">
        <v>247</v>
      </c>
      <c r="Q7628" s="6" t="s">
        <v>240</v>
      </c>
      <c r="R7628" s="249">
        <v>6.7609999999999992</v>
      </c>
      <c r="S7628" s="2">
        <v>156928.79999999999</v>
      </c>
      <c r="T7628" s="4">
        <f t="shared" ref="T7628" si="377">R7628*S7628</f>
        <v>1060995.6167999997</v>
      </c>
      <c r="U7628" s="4">
        <f t="shared" si="375"/>
        <v>1188315.0908159998</v>
      </c>
      <c r="V7628" s="3" t="s">
        <v>362</v>
      </c>
      <c r="W7628" s="3">
        <v>2014</v>
      </c>
      <c r="X7628" s="3"/>
    </row>
    <row r="7629" spans="1:24" ht="89.25">
      <c r="A7629" s="3" t="s">
        <v>14940</v>
      </c>
      <c r="B7629" s="6" t="s">
        <v>361</v>
      </c>
      <c r="C7629" s="6" t="s">
        <v>7700</v>
      </c>
      <c r="D7629" s="6" t="s">
        <v>3835</v>
      </c>
      <c r="E7629" s="6" t="s">
        <v>7701</v>
      </c>
      <c r="F7629" s="6" t="s">
        <v>14947</v>
      </c>
      <c r="G7629" s="3" t="s">
        <v>11449</v>
      </c>
      <c r="H7629" s="54">
        <v>0</v>
      </c>
      <c r="I7629" s="16">
        <v>470000000</v>
      </c>
      <c r="J7629" s="157" t="s">
        <v>229</v>
      </c>
      <c r="K7629" s="5" t="s">
        <v>14934</v>
      </c>
      <c r="L7629" s="17" t="s">
        <v>11411</v>
      </c>
      <c r="M7629" s="3" t="s">
        <v>230</v>
      </c>
      <c r="N7629" s="6" t="s">
        <v>524</v>
      </c>
      <c r="O7629" s="6" t="s">
        <v>233</v>
      </c>
      <c r="P7629" s="58" t="s">
        <v>247</v>
      </c>
      <c r="Q7629" s="6" t="s">
        <v>240</v>
      </c>
      <c r="R7629" s="250">
        <v>0.56399999999999995</v>
      </c>
      <c r="S7629" s="2">
        <v>191910</v>
      </c>
      <c r="T7629" s="4">
        <v>0</v>
      </c>
      <c r="U7629" s="4">
        <f t="shared" si="375"/>
        <v>0</v>
      </c>
      <c r="V7629" s="3" t="s">
        <v>362</v>
      </c>
      <c r="W7629" s="3">
        <v>2014</v>
      </c>
      <c r="X7629" s="3" t="s">
        <v>17399</v>
      </c>
    </row>
    <row r="7630" spans="1:24" ht="89.25">
      <c r="A7630" s="3" t="s">
        <v>18060</v>
      </c>
      <c r="B7630" s="6" t="s">
        <v>361</v>
      </c>
      <c r="C7630" s="6" t="s">
        <v>7700</v>
      </c>
      <c r="D7630" s="6" t="s">
        <v>3835</v>
      </c>
      <c r="E7630" s="6" t="s">
        <v>7701</v>
      </c>
      <c r="F7630" s="6" t="s">
        <v>14947</v>
      </c>
      <c r="G7630" s="3" t="s">
        <v>11450</v>
      </c>
      <c r="H7630" s="54">
        <v>0</v>
      </c>
      <c r="I7630" s="16">
        <v>470000000</v>
      </c>
      <c r="J7630" s="157" t="s">
        <v>229</v>
      </c>
      <c r="K7630" s="5" t="s">
        <v>10120</v>
      </c>
      <c r="L7630" s="17" t="s">
        <v>11411</v>
      </c>
      <c r="M7630" s="3" t="s">
        <v>230</v>
      </c>
      <c r="N7630" s="6" t="s">
        <v>528</v>
      </c>
      <c r="O7630" s="6" t="s">
        <v>233</v>
      </c>
      <c r="P7630" s="58" t="s">
        <v>247</v>
      </c>
      <c r="Q7630" s="6" t="s">
        <v>240</v>
      </c>
      <c r="R7630" s="250">
        <v>0.56400000000000006</v>
      </c>
      <c r="S7630" s="2">
        <v>191910</v>
      </c>
      <c r="T7630" s="4">
        <v>0</v>
      </c>
      <c r="U7630" s="4">
        <f t="shared" si="375"/>
        <v>0</v>
      </c>
      <c r="V7630" s="3" t="s">
        <v>362</v>
      </c>
      <c r="W7630" s="3">
        <v>2014</v>
      </c>
      <c r="X7630" s="3" t="s">
        <v>12076</v>
      </c>
    </row>
    <row r="7631" spans="1:24" ht="89.25">
      <c r="A7631" s="3" t="s">
        <v>14941</v>
      </c>
      <c r="B7631" s="6" t="s">
        <v>361</v>
      </c>
      <c r="C7631" s="6" t="s">
        <v>16372</v>
      </c>
      <c r="D7631" s="6" t="s">
        <v>3835</v>
      </c>
      <c r="E7631" s="6" t="s">
        <v>16373</v>
      </c>
      <c r="F7631" s="6" t="s">
        <v>14948</v>
      </c>
      <c r="G7631" s="3" t="s">
        <v>11449</v>
      </c>
      <c r="H7631" s="54">
        <v>0</v>
      </c>
      <c r="I7631" s="6">
        <v>470000000</v>
      </c>
      <c r="J7631" s="243" t="s">
        <v>229</v>
      </c>
      <c r="K7631" s="5" t="s">
        <v>14934</v>
      </c>
      <c r="L7631" s="17" t="s">
        <v>11411</v>
      </c>
      <c r="M7631" s="3" t="s">
        <v>230</v>
      </c>
      <c r="N7631" s="6" t="s">
        <v>524</v>
      </c>
      <c r="O7631" s="6" t="s">
        <v>233</v>
      </c>
      <c r="P7631" s="58" t="s">
        <v>247</v>
      </c>
      <c r="Q7631" s="6" t="s">
        <v>240</v>
      </c>
      <c r="R7631" s="249">
        <v>0.51600000000000001</v>
      </c>
      <c r="S7631" s="2">
        <v>156929</v>
      </c>
      <c r="T7631" s="4">
        <v>0</v>
      </c>
      <c r="U7631" s="4">
        <f t="shared" si="375"/>
        <v>0</v>
      </c>
      <c r="V7631" s="3" t="s">
        <v>362</v>
      </c>
      <c r="W7631" s="3">
        <v>2014</v>
      </c>
      <c r="X7631" s="3" t="s">
        <v>17399</v>
      </c>
    </row>
    <row r="7632" spans="1:24" ht="89.25">
      <c r="A7632" s="3" t="s">
        <v>18061</v>
      </c>
      <c r="B7632" s="6" t="s">
        <v>361</v>
      </c>
      <c r="C7632" s="6" t="s">
        <v>16372</v>
      </c>
      <c r="D7632" s="6" t="s">
        <v>3835</v>
      </c>
      <c r="E7632" s="6" t="s">
        <v>16373</v>
      </c>
      <c r="F7632" s="6" t="s">
        <v>14948</v>
      </c>
      <c r="G7632" s="3" t="s">
        <v>11450</v>
      </c>
      <c r="H7632" s="54">
        <v>0</v>
      </c>
      <c r="I7632" s="6">
        <v>470000000</v>
      </c>
      <c r="J7632" s="243" t="s">
        <v>229</v>
      </c>
      <c r="K7632" s="5" t="s">
        <v>10120</v>
      </c>
      <c r="L7632" s="17" t="s">
        <v>11411</v>
      </c>
      <c r="M7632" s="3" t="s">
        <v>230</v>
      </c>
      <c r="N7632" s="6" t="s">
        <v>528</v>
      </c>
      <c r="O7632" s="6" t="s">
        <v>233</v>
      </c>
      <c r="P7632" s="58" t="s">
        <v>247</v>
      </c>
      <c r="Q7632" s="6" t="s">
        <v>240</v>
      </c>
      <c r="R7632" s="249">
        <v>0.51600000000000001</v>
      </c>
      <c r="S7632" s="2">
        <v>156928.79999999999</v>
      </c>
      <c r="T7632" s="4">
        <v>0</v>
      </c>
      <c r="U7632" s="4">
        <f t="shared" si="375"/>
        <v>0</v>
      </c>
      <c r="V7632" s="3" t="s">
        <v>362</v>
      </c>
      <c r="W7632" s="3">
        <v>2014</v>
      </c>
      <c r="X7632" s="3" t="s">
        <v>12076</v>
      </c>
    </row>
    <row r="7633" spans="1:24" ht="89.25">
      <c r="A7633" s="3" t="s">
        <v>14942</v>
      </c>
      <c r="B7633" s="6" t="s">
        <v>361</v>
      </c>
      <c r="C7633" s="6" t="s">
        <v>16374</v>
      </c>
      <c r="D7633" s="6" t="s">
        <v>3835</v>
      </c>
      <c r="E7633" s="6" t="s">
        <v>16375</v>
      </c>
      <c r="F7633" s="6" t="s">
        <v>14949</v>
      </c>
      <c r="G7633" s="3" t="s">
        <v>11449</v>
      </c>
      <c r="H7633" s="54">
        <v>0</v>
      </c>
      <c r="I7633" s="16">
        <v>470000000</v>
      </c>
      <c r="J7633" s="157" t="s">
        <v>229</v>
      </c>
      <c r="K7633" s="5" t="s">
        <v>14934</v>
      </c>
      <c r="L7633" s="17" t="s">
        <v>11411</v>
      </c>
      <c r="M7633" s="3" t="s">
        <v>230</v>
      </c>
      <c r="N7633" s="6" t="s">
        <v>524</v>
      </c>
      <c r="O7633" s="6" t="s">
        <v>233</v>
      </c>
      <c r="P7633" s="58" t="s">
        <v>247</v>
      </c>
      <c r="Q7633" s="6" t="s">
        <v>240</v>
      </c>
      <c r="R7633" s="250">
        <v>0.06</v>
      </c>
      <c r="S7633" s="2">
        <v>191910</v>
      </c>
      <c r="T7633" s="4">
        <v>0</v>
      </c>
      <c r="U7633" s="4">
        <f t="shared" si="375"/>
        <v>0</v>
      </c>
      <c r="V7633" s="3" t="s">
        <v>362</v>
      </c>
      <c r="W7633" s="3">
        <v>2014</v>
      </c>
      <c r="X7633" s="3" t="s">
        <v>17399</v>
      </c>
    </row>
    <row r="7634" spans="1:24" ht="89.25">
      <c r="A7634" s="3" t="s">
        <v>18062</v>
      </c>
      <c r="B7634" s="6" t="s">
        <v>361</v>
      </c>
      <c r="C7634" s="6" t="s">
        <v>16374</v>
      </c>
      <c r="D7634" s="6" t="s">
        <v>3835</v>
      </c>
      <c r="E7634" s="6" t="s">
        <v>16375</v>
      </c>
      <c r="F7634" s="6" t="s">
        <v>14949</v>
      </c>
      <c r="G7634" s="3" t="s">
        <v>11450</v>
      </c>
      <c r="H7634" s="54">
        <v>0</v>
      </c>
      <c r="I7634" s="16">
        <v>470000000</v>
      </c>
      <c r="J7634" s="157" t="s">
        <v>229</v>
      </c>
      <c r="K7634" s="5" t="s">
        <v>10120</v>
      </c>
      <c r="L7634" s="17" t="s">
        <v>11411</v>
      </c>
      <c r="M7634" s="3" t="s">
        <v>230</v>
      </c>
      <c r="N7634" s="6" t="s">
        <v>528</v>
      </c>
      <c r="O7634" s="6" t="s">
        <v>233</v>
      </c>
      <c r="P7634" s="58" t="s">
        <v>247</v>
      </c>
      <c r="Q7634" s="6" t="s">
        <v>240</v>
      </c>
      <c r="R7634" s="250">
        <v>0.06</v>
      </c>
      <c r="S7634" s="2">
        <v>191910</v>
      </c>
      <c r="T7634" s="4">
        <v>0</v>
      </c>
      <c r="U7634" s="4">
        <f t="shared" si="375"/>
        <v>0</v>
      </c>
      <c r="V7634" s="3" t="s">
        <v>362</v>
      </c>
      <c r="W7634" s="3">
        <v>2014</v>
      </c>
      <c r="X7634" s="3" t="s">
        <v>12076</v>
      </c>
    </row>
    <row r="7635" spans="1:24" ht="76.5">
      <c r="A7635" s="3" t="s">
        <v>15919</v>
      </c>
      <c r="B7635" s="6" t="s">
        <v>361</v>
      </c>
      <c r="C7635" s="6" t="s">
        <v>14148</v>
      </c>
      <c r="D7635" s="4" t="s">
        <v>255</v>
      </c>
      <c r="E7635" s="6" t="s">
        <v>14149</v>
      </c>
      <c r="F7635" s="6" t="s">
        <v>14976</v>
      </c>
      <c r="G7635" s="3" t="s">
        <v>11449</v>
      </c>
      <c r="H7635" s="185">
        <v>0</v>
      </c>
      <c r="I7635" s="16">
        <v>470000000</v>
      </c>
      <c r="J7635" s="56" t="s">
        <v>229</v>
      </c>
      <c r="K7635" s="57" t="s">
        <v>14977</v>
      </c>
      <c r="L7635" s="12" t="s">
        <v>404</v>
      </c>
      <c r="M7635" s="3" t="s">
        <v>230</v>
      </c>
      <c r="N7635" s="6" t="s">
        <v>524</v>
      </c>
      <c r="O7635" s="6" t="s">
        <v>9225</v>
      </c>
      <c r="P7635" s="58">
        <v>168</v>
      </c>
      <c r="Q7635" s="6" t="s">
        <v>240</v>
      </c>
      <c r="R7635" s="251">
        <v>18.43</v>
      </c>
      <c r="S7635" s="59">
        <v>218400</v>
      </c>
      <c r="T7635" s="4">
        <v>0</v>
      </c>
      <c r="U7635" s="4">
        <f t="shared" si="375"/>
        <v>0</v>
      </c>
      <c r="V7635" s="3"/>
      <c r="W7635" s="3">
        <v>2014</v>
      </c>
      <c r="X7635" s="3" t="s">
        <v>17416</v>
      </c>
    </row>
    <row r="7636" spans="1:24" ht="76.5">
      <c r="A7636" s="3" t="s">
        <v>17411</v>
      </c>
      <c r="B7636" s="6" t="s">
        <v>361</v>
      </c>
      <c r="C7636" s="6" t="s">
        <v>14148</v>
      </c>
      <c r="D7636" s="4" t="s">
        <v>255</v>
      </c>
      <c r="E7636" s="6" t="s">
        <v>14149</v>
      </c>
      <c r="F7636" s="6" t="s">
        <v>14976</v>
      </c>
      <c r="G7636" s="3" t="s">
        <v>11450</v>
      </c>
      <c r="H7636" s="185">
        <v>0</v>
      </c>
      <c r="I7636" s="16">
        <v>470000000</v>
      </c>
      <c r="J7636" s="56" t="s">
        <v>229</v>
      </c>
      <c r="K7636" s="57" t="s">
        <v>10120</v>
      </c>
      <c r="L7636" s="17" t="s">
        <v>11411</v>
      </c>
      <c r="M7636" s="3" t="s">
        <v>230</v>
      </c>
      <c r="N7636" s="6" t="s">
        <v>521</v>
      </c>
      <c r="O7636" s="6" t="s">
        <v>9225</v>
      </c>
      <c r="P7636" s="58">
        <v>168</v>
      </c>
      <c r="Q7636" s="6" t="s">
        <v>240</v>
      </c>
      <c r="R7636" s="251">
        <v>18.43</v>
      </c>
      <c r="S7636" s="59">
        <v>218400</v>
      </c>
      <c r="T7636" s="4">
        <v>0</v>
      </c>
      <c r="U7636" s="4">
        <f t="shared" si="375"/>
        <v>0</v>
      </c>
      <c r="V7636" s="3" t="s">
        <v>362</v>
      </c>
      <c r="W7636" s="3">
        <v>2014</v>
      </c>
      <c r="X7636" s="3">
        <v>8.11</v>
      </c>
    </row>
    <row r="7637" spans="1:24" ht="76.5">
      <c r="A7637" s="3" t="s">
        <v>18945</v>
      </c>
      <c r="B7637" s="6" t="s">
        <v>361</v>
      </c>
      <c r="C7637" s="6" t="s">
        <v>14148</v>
      </c>
      <c r="D7637" s="4" t="s">
        <v>255</v>
      </c>
      <c r="E7637" s="6" t="s">
        <v>14149</v>
      </c>
      <c r="F7637" s="6" t="s">
        <v>14976</v>
      </c>
      <c r="G7637" s="3" t="s">
        <v>11450</v>
      </c>
      <c r="H7637" s="185">
        <v>0.35</v>
      </c>
      <c r="I7637" s="16">
        <v>470000000</v>
      </c>
      <c r="J7637" s="56" t="s">
        <v>229</v>
      </c>
      <c r="K7637" s="57" t="s">
        <v>9369</v>
      </c>
      <c r="L7637" s="17" t="s">
        <v>11411</v>
      </c>
      <c r="M7637" s="3" t="s">
        <v>230</v>
      </c>
      <c r="N7637" s="6" t="s">
        <v>521</v>
      </c>
      <c r="O7637" s="6" t="s">
        <v>9225</v>
      </c>
      <c r="P7637" s="58">
        <v>168</v>
      </c>
      <c r="Q7637" s="6" t="s">
        <v>240</v>
      </c>
      <c r="R7637" s="251">
        <v>18.43</v>
      </c>
      <c r="S7637" s="59">
        <v>218400</v>
      </c>
      <c r="T7637" s="4">
        <v>0</v>
      </c>
      <c r="U7637" s="4">
        <f t="shared" si="375"/>
        <v>0</v>
      </c>
      <c r="V7637" s="3" t="s">
        <v>362</v>
      </c>
      <c r="W7637" s="3">
        <v>2014</v>
      </c>
      <c r="X7637" s="3" t="s">
        <v>17317</v>
      </c>
    </row>
    <row r="7638" spans="1:24" ht="76.5">
      <c r="A7638" s="3" t="s">
        <v>19630</v>
      </c>
      <c r="B7638" s="6" t="s">
        <v>361</v>
      </c>
      <c r="C7638" s="6" t="s">
        <v>14148</v>
      </c>
      <c r="D7638" s="4" t="s">
        <v>255</v>
      </c>
      <c r="E7638" s="6" t="s">
        <v>14149</v>
      </c>
      <c r="F7638" s="6" t="s">
        <v>14976</v>
      </c>
      <c r="G7638" s="3" t="s">
        <v>11450</v>
      </c>
      <c r="H7638" s="185">
        <v>0.35</v>
      </c>
      <c r="I7638" s="16">
        <v>470000000</v>
      </c>
      <c r="J7638" s="56" t="s">
        <v>229</v>
      </c>
      <c r="K7638" s="57" t="s">
        <v>9956</v>
      </c>
      <c r="L7638" s="17" t="s">
        <v>11411</v>
      </c>
      <c r="M7638" s="3" t="s">
        <v>230</v>
      </c>
      <c r="N7638" s="6" t="s">
        <v>19631</v>
      </c>
      <c r="O7638" s="6" t="s">
        <v>9225</v>
      </c>
      <c r="P7638" s="58">
        <v>168</v>
      </c>
      <c r="Q7638" s="6" t="s">
        <v>240</v>
      </c>
      <c r="R7638" s="251">
        <v>56.2</v>
      </c>
      <c r="S7638" s="59">
        <v>218400</v>
      </c>
      <c r="T7638" s="4">
        <f t="shared" ref="T7638" si="378">R7638*S7638</f>
        <v>12274080</v>
      </c>
      <c r="U7638" s="4">
        <f t="shared" si="375"/>
        <v>13746969.600000001</v>
      </c>
      <c r="V7638" s="3" t="s">
        <v>362</v>
      </c>
      <c r="W7638" s="3">
        <v>2014</v>
      </c>
      <c r="X7638" s="3"/>
    </row>
    <row r="7639" spans="1:24" ht="76.5">
      <c r="A7639" s="3" t="s">
        <v>15920</v>
      </c>
      <c r="B7639" s="6" t="s">
        <v>361</v>
      </c>
      <c r="C7639" s="6" t="s">
        <v>14978</v>
      </c>
      <c r="D7639" s="4" t="s">
        <v>255</v>
      </c>
      <c r="E7639" s="6" t="s">
        <v>14979</v>
      </c>
      <c r="F7639" s="6" t="s">
        <v>14980</v>
      </c>
      <c r="G7639" s="3" t="s">
        <v>11449</v>
      </c>
      <c r="H7639" s="185">
        <v>0</v>
      </c>
      <c r="I7639" s="16">
        <v>470000000</v>
      </c>
      <c r="J7639" s="56" t="s">
        <v>229</v>
      </c>
      <c r="K7639" s="57" t="s">
        <v>14977</v>
      </c>
      <c r="L7639" s="12" t="s">
        <v>404</v>
      </c>
      <c r="M7639" s="3" t="s">
        <v>230</v>
      </c>
      <c r="N7639" s="6" t="s">
        <v>524</v>
      </c>
      <c r="O7639" s="6" t="s">
        <v>9225</v>
      </c>
      <c r="P7639" s="58">
        <v>168</v>
      </c>
      <c r="Q7639" s="6" t="s">
        <v>240</v>
      </c>
      <c r="R7639" s="252">
        <v>11.675000000000001</v>
      </c>
      <c r="S7639" s="59">
        <v>222000</v>
      </c>
      <c r="T7639" s="4">
        <v>0</v>
      </c>
      <c r="U7639" s="4">
        <f t="shared" si="375"/>
        <v>0</v>
      </c>
      <c r="V7639" s="3"/>
      <c r="W7639" s="3">
        <v>2014</v>
      </c>
      <c r="X7639" s="3" t="s">
        <v>17416</v>
      </c>
    </row>
    <row r="7640" spans="1:24" ht="76.5">
      <c r="A7640" s="3" t="s">
        <v>17414</v>
      </c>
      <c r="B7640" s="6" t="s">
        <v>361</v>
      </c>
      <c r="C7640" s="6" t="s">
        <v>14978</v>
      </c>
      <c r="D7640" s="4" t="s">
        <v>255</v>
      </c>
      <c r="E7640" s="6" t="s">
        <v>14979</v>
      </c>
      <c r="F7640" s="6" t="s">
        <v>14980</v>
      </c>
      <c r="G7640" s="3" t="s">
        <v>11450</v>
      </c>
      <c r="H7640" s="185">
        <v>0</v>
      </c>
      <c r="I7640" s="16">
        <v>470000000</v>
      </c>
      <c r="J7640" s="56" t="s">
        <v>229</v>
      </c>
      <c r="K7640" s="57" t="s">
        <v>10120</v>
      </c>
      <c r="L7640" s="17" t="s">
        <v>11411</v>
      </c>
      <c r="M7640" s="3" t="s">
        <v>230</v>
      </c>
      <c r="N7640" s="6" t="s">
        <v>8914</v>
      </c>
      <c r="O7640" s="6" t="s">
        <v>9225</v>
      </c>
      <c r="P7640" s="58">
        <v>168</v>
      </c>
      <c r="Q7640" s="6" t="s">
        <v>240</v>
      </c>
      <c r="R7640" s="252">
        <v>11.675000000000001</v>
      </c>
      <c r="S7640" s="59">
        <v>222000</v>
      </c>
      <c r="T7640" s="4">
        <v>0</v>
      </c>
      <c r="U7640" s="4">
        <f t="shared" si="375"/>
        <v>0</v>
      </c>
      <c r="V7640" s="3" t="s">
        <v>362</v>
      </c>
      <c r="W7640" s="3">
        <v>2014</v>
      </c>
      <c r="X7640" s="3">
        <v>8.11</v>
      </c>
    </row>
    <row r="7641" spans="1:24" ht="76.5">
      <c r="A7641" s="3" t="s">
        <v>18949</v>
      </c>
      <c r="B7641" s="6" t="s">
        <v>361</v>
      </c>
      <c r="C7641" s="6" t="s">
        <v>14978</v>
      </c>
      <c r="D7641" s="4" t="s">
        <v>255</v>
      </c>
      <c r="E7641" s="6" t="s">
        <v>14979</v>
      </c>
      <c r="F7641" s="6" t="s">
        <v>14980</v>
      </c>
      <c r="G7641" s="3" t="s">
        <v>11450</v>
      </c>
      <c r="H7641" s="185">
        <v>0.35</v>
      </c>
      <c r="I7641" s="16">
        <v>470000000</v>
      </c>
      <c r="J7641" s="56" t="s">
        <v>229</v>
      </c>
      <c r="K7641" s="57" t="s">
        <v>9369</v>
      </c>
      <c r="L7641" s="17" t="s">
        <v>11411</v>
      </c>
      <c r="M7641" s="3" t="s">
        <v>230</v>
      </c>
      <c r="N7641" s="6" t="s">
        <v>8914</v>
      </c>
      <c r="O7641" s="6" t="s">
        <v>9225</v>
      </c>
      <c r="P7641" s="58">
        <v>168</v>
      </c>
      <c r="Q7641" s="6" t="s">
        <v>240</v>
      </c>
      <c r="R7641" s="252">
        <v>11.675000000000001</v>
      </c>
      <c r="S7641" s="59">
        <v>222000</v>
      </c>
      <c r="T7641" s="4">
        <f t="shared" ref="T7641" si="379">R7641*S7641</f>
        <v>2591850</v>
      </c>
      <c r="U7641" s="4">
        <f t="shared" si="375"/>
        <v>2902872.0000000005</v>
      </c>
      <c r="V7641" s="3" t="s">
        <v>362</v>
      </c>
      <c r="W7641" s="3">
        <v>2014</v>
      </c>
      <c r="X7641" s="3"/>
    </row>
    <row r="7642" spans="1:24" ht="76.5">
      <c r="A7642" s="3" t="s">
        <v>15921</v>
      </c>
      <c r="B7642" s="6" t="s">
        <v>361</v>
      </c>
      <c r="C7642" s="6" t="s">
        <v>14981</v>
      </c>
      <c r="D7642" s="4" t="s">
        <v>255</v>
      </c>
      <c r="E7642" s="6" t="s">
        <v>14982</v>
      </c>
      <c r="F7642" s="6" t="s">
        <v>14983</v>
      </c>
      <c r="G7642" s="3" t="s">
        <v>11449</v>
      </c>
      <c r="H7642" s="185">
        <v>0</v>
      </c>
      <c r="I7642" s="16">
        <v>470000000</v>
      </c>
      <c r="J7642" s="56" t="s">
        <v>229</v>
      </c>
      <c r="K7642" s="57" t="s">
        <v>14977</v>
      </c>
      <c r="L7642" s="12" t="s">
        <v>404</v>
      </c>
      <c r="M7642" s="3" t="s">
        <v>230</v>
      </c>
      <c r="N7642" s="6" t="s">
        <v>524</v>
      </c>
      <c r="O7642" s="6" t="s">
        <v>9225</v>
      </c>
      <c r="P7642" s="58">
        <v>168</v>
      </c>
      <c r="Q7642" s="6" t="s">
        <v>240</v>
      </c>
      <c r="R7642" s="252">
        <v>1.385</v>
      </c>
      <c r="S7642" s="59">
        <v>218280</v>
      </c>
      <c r="T7642" s="4">
        <v>0</v>
      </c>
      <c r="U7642" s="4">
        <f t="shared" si="375"/>
        <v>0</v>
      </c>
      <c r="V7642" s="3"/>
      <c r="W7642" s="3">
        <v>2014</v>
      </c>
      <c r="X7642" s="3" t="s">
        <v>17416</v>
      </c>
    </row>
    <row r="7643" spans="1:24" ht="76.5">
      <c r="A7643" s="3" t="s">
        <v>17420</v>
      </c>
      <c r="B7643" s="6" t="s">
        <v>361</v>
      </c>
      <c r="C7643" s="6" t="s">
        <v>14981</v>
      </c>
      <c r="D7643" s="4" t="s">
        <v>255</v>
      </c>
      <c r="E7643" s="6" t="s">
        <v>14982</v>
      </c>
      <c r="F7643" s="6" t="s">
        <v>14983</v>
      </c>
      <c r="G7643" s="3" t="s">
        <v>11450</v>
      </c>
      <c r="H7643" s="185">
        <v>0</v>
      </c>
      <c r="I7643" s="16">
        <v>470000000</v>
      </c>
      <c r="J7643" s="56" t="s">
        <v>229</v>
      </c>
      <c r="K7643" s="57" t="s">
        <v>10120</v>
      </c>
      <c r="L7643" s="17" t="s">
        <v>11411</v>
      </c>
      <c r="M7643" s="3" t="s">
        <v>230</v>
      </c>
      <c r="N7643" s="6" t="s">
        <v>528</v>
      </c>
      <c r="O7643" s="6" t="s">
        <v>9225</v>
      </c>
      <c r="P7643" s="58">
        <v>168</v>
      </c>
      <c r="Q7643" s="6" t="s">
        <v>240</v>
      </c>
      <c r="R7643" s="252">
        <v>1.3849999999999998</v>
      </c>
      <c r="S7643" s="59">
        <v>218280</v>
      </c>
      <c r="T7643" s="4">
        <v>0</v>
      </c>
      <c r="U7643" s="4">
        <f t="shared" si="375"/>
        <v>0</v>
      </c>
      <c r="V7643" s="3" t="s">
        <v>362</v>
      </c>
      <c r="W7643" s="3">
        <v>2014</v>
      </c>
      <c r="X7643" s="3" t="s">
        <v>12076</v>
      </c>
    </row>
    <row r="7644" spans="1:24" ht="102">
      <c r="A7644" s="3" t="s">
        <v>15922</v>
      </c>
      <c r="B7644" s="6" t="s">
        <v>361</v>
      </c>
      <c r="C7644" s="6" t="s">
        <v>16568</v>
      </c>
      <c r="D7644" s="6" t="s">
        <v>255</v>
      </c>
      <c r="E7644" s="6" t="s">
        <v>16569</v>
      </c>
      <c r="F7644" s="6" t="s">
        <v>14984</v>
      </c>
      <c r="G7644" s="3" t="s">
        <v>11449</v>
      </c>
      <c r="H7644" s="54">
        <v>0</v>
      </c>
      <c r="I7644" s="16">
        <v>470000000</v>
      </c>
      <c r="J7644" s="157" t="s">
        <v>229</v>
      </c>
      <c r="K7644" s="5" t="s">
        <v>211</v>
      </c>
      <c r="L7644" s="6" t="s">
        <v>231</v>
      </c>
      <c r="M7644" s="3" t="s">
        <v>230</v>
      </c>
      <c r="N7644" s="6" t="s">
        <v>524</v>
      </c>
      <c r="O7644" s="6" t="s">
        <v>233</v>
      </c>
      <c r="P7644" s="58">
        <v>168</v>
      </c>
      <c r="Q7644" s="6" t="s">
        <v>240</v>
      </c>
      <c r="R7644" s="118">
        <v>3.75</v>
      </c>
      <c r="S7644" s="2">
        <v>241200</v>
      </c>
      <c r="T7644" s="4">
        <v>0</v>
      </c>
      <c r="U7644" s="4">
        <f t="shared" si="375"/>
        <v>0</v>
      </c>
      <c r="V7644" s="3"/>
      <c r="W7644" s="3">
        <v>2014</v>
      </c>
      <c r="X7644" s="3" t="s">
        <v>17416</v>
      </c>
    </row>
    <row r="7645" spans="1:24" ht="89.25">
      <c r="A7645" s="3" t="s">
        <v>17421</v>
      </c>
      <c r="B7645" s="6" t="s">
        <v>361</v>
      </c>
      <c r="C7645" s="6" t="s">
        <v>16568</v>
      </c>
      <c r="D7645" s="6" t="s">
        <v>255</v>
      </c>
      <c r="E7645" s="6" t="s">
        <v>16569</v>
      </c>
      <c r="F7645" s="6" t="s">
        <v>14984</v>
      </c>
      <c r="G7645" s="3" t="s">
        <v>11450</v>
      </c>
      <c r="H7645" s="54">
        <v>0</v>
      </c>
      <c r="I7645" s="16">
        <v>470000000</v>
      </c>
      <c r="J7645" s="157" t="s">
        <v>229</v>
      </c>
      <c r="K7645" s="5" t="s">
        <v>10120</v>
      </c>
      <c r="L7645" s="17" t="s">
        <v>11411</v>
      </c>
      <c r="M7645" s="3" t="s">
        <v>230</v>
      </c>
      <c r="N7645" s="6" t="s">
        <v>528</v>
      </c>
      <c r="O7645" s="6" t="s">
        <v>233</v>
      </c>
      <c r="P7645" s="58">
        <v>168</v>
      </c>
      <c r="Q7645" s="6" t="s">
        <v>240</v>
      </c>
      <c r="R7645" s="118">
        <v>3.75</v>
      </c>
      <c r="S7645" s="2">
        <v>241200</v>
      </c>
      <c r="T7645" s="4">
        <v>0</v>
      </c>
      <c r="U7645" s="4">
        <f t="shared" si="375"/>
        <v>0</v>
      </c>
      <c r="V7645" s="3" t="s">
        <v>362</v>
      </c>
      <c r="W7645" s="3">
        <v>2014</v>
      </c>
      <c r="X7645" s="3" t="s">
        <v>12076</v>
      </c>
    </row>
    <row r="7646" spans="1:24" ht="102">
      <c r="A7646" s="3" t="s">
        <v>15923</v>
      </c>
      <c r="B7646" s="6" t="s">
        <v>361</v>
      </c>
      <c r="C7646" s="6" t="s">
        <v>16566</v>
      </c>
      <c r="D7646" s="6" t="s">
        <v>255</v>
      </c>
      <c r="E7646" s="6" t="s">
        <v>16567</v>
      </c>
      <c r="F7646" s="6" t="s">
        <v>14985</v>
      </c>
      <c r="G7646" s="3" t="s">
        <v>11449</v>
      </c>
      <c r="H7646" s="54">
        <v>0</v>
      </c>
      <c r="I7646" s="16">
        <v>470000000</v>
      </c>
      <c r="J7646" s="157" t="s">
        <v>229</v>
      </c>
      <c r="K7646" s="5" t="s">
        <v>211</v>
      </c>
      <c r="L7646" s="6" t="s">
        <v>231</v>
      </c>
      <c r="M7646" s="3" t="s">
        <v>230</v>
      </c>
      <c r="N7646" s="6" t="s">
        <v>524</v>
      </c>
      <c r="O7646" s="6" t="s">
        <v>233</v>
      </c>
      <c r="P7646" s="58">
        <v>168</v>
      </c>
      <c r="Q7646" s="6" t="s">
        <v>240</v>
      </c>
      <c r="R7646" s="251">
        <v>13.2</v>
      </c>
      <c r="S7646" s="59">
        <v>241200</v>
      </c>
      <c r="T7646" s="4">
        <v>0</v>
      </c>
      <c r="U7646" s="4">
        <f t="shared" si="375"/>
        <v>0</v>
      </c>
      <c r="V7646" s="3"/>
      <c r="W7646" s="3">
        <v>2014</v>
      </c>
      <c r="X7646" s="3" t="s">
        <v>17415</v>
      </c>
    </row>
    <row r="7647" spans="1:24" ht="89.25">
      <c r="A7647" s="3" t="s">
        <v>17423</v>
      </c>
      <c r="B7647" s="6" t="s">
        <v>361</v>
      </c>
      <c r="C7647" s="6" t="s">
        <v>16566</v>
      </c>
      <c r="D7647" s="6" t="s">
        <v>255</v>
      </c>
      <c r="E7647" s="6" t="s">
        <v>16567</v>
      </c>
      <c r="F7647" s="6" t="s">
        <v>14985</v>
      </c>
      <c r="G7647" s="3" t="s">
        <v>11450</v>
      </c>
      <c r="H7647" s="54">
        <v>0</v>
      </c>
      <c r="I7647" s="16">
        <v>470000000</v>
      </c>
      <c r="J7647" s="157" t="s">
        <v>229</v>
      </c>
      <c r="K7647" s="5" t="s">
        <v>10120</v>
      </c>
      <c r="L7647" s="17" t="s">
        <v>11411</v>
      </c>
      <c r="M7647" s="3" t="s">
        <v>230</v>
      </c>
      <c r="N7647" s="6" t="s">
        <v>528</v>
      </c>
      <c r="O7647" s="6" t="s">
        <v>233</v>
      </c>
      <c r="P7647" s="58">
        <v>168</v>
      </c>
      <c r="Q7647" s="6" t="s">
        <v>240</v>
      </c>
      <c r="R7647" s="251">
        <v>13.2</v>
      </c>
      <c r="S7647" s="59">
        <v>241200</v>
      </c>
      <c r="T7647" s="4">
        <v>0</v>
      </c>
      <c r="U7647" s="4">
        <f t="shared" si="375"/>
        <v>0</v>
      </c>
      <c r="V7647" s="3" t="s">
        <v>362</v>
      </c>
      <c r="W7647" s="3">
        <v>2014</v>
      </c>
      <c r="X7647" s="3">
        <v>8.11</v>
      </c>
    </row>
    <row r="7648" spans="1:24" ht="89.25">
      <c r="A7648" s="3" t="s">
        <v>18947</v>
      </c>
      <c r="B7648" s="6" t="s">
        <v>361</v>
      </c>
      <c r="C7648" s="6" t="s">
        <v>16566</v>
      </c>
      <c r="D7648" s="6" t="s">
        <v>255</v>
      </c>
      <c r="E7648" s="6" t="s">
        <v>16567</v>
      </c>
      <c r="F7648" s="6" t="s">
        <v>14985</v>
      </c>
      <c r="G7648" s="3" t="s">
        <v>11450</v>
      </c>
      <c r="H7648" s="54">
        <v>0.35</v>
      </c>
      <c r="I7648" s="16">
        <v>470000000</v>
      </c>
      <c r="J7648" s="157" t="s">
        <v>229</v>
      </c>
      <c r="K7648" s="5" t="s">
        <v>9369</v>
      </c>
      <c r="L7648" s="17" t="s">
        <v>11411</v>
      </c>
      <c r="M7648" s="3" t="s">
        <v>230</v>
      </c>
      <c r="N7648" s="6" t="s">
        <v>528</v>
      </c>
      <c r="O7648" s="6" t="s">
        <v>233</v>
      </c>
      <c r="P7648" s="58">
        <v>168</v>
      </c>
      <c r="Q7648" s="6" t="s">
        <v>240</v>
      </c>
      <c r="R7648" s="251">
        <v>13.2</v>
      </c>
      <c r="S7648" s="59">
        <v>241200</v>
      </c>
      <c r="T7648" s="4">
        <f t="shared" ref="T7648" si="380">R7648*S7648</f>
        <v>3183840</v>
      </c>
      <c r="U7648" s="4">
        <f t="shared" si="375"/>
        <v>3565900.8000000003</v>
      </c>
      <c r="V7648" s="3" t="s">
        <v>362</v>
      </c>
      <c r="W7648" s="3">
        <v>2014</v>
      </c>
      <c r="X7648" s="3"/>
    </row>
    <row r="7649" spans="1:24" ht="102">
      <c r="A7649" s="3" t="s">
        <v>15924</v>
      </c>
      <c r="B7649" s="6" t="s">
        <v>361</v>
      </c>
      <c r="C7649" s="6" t="s">
        <v>16564</v>
      </c>
      <c r="D7649" s="6" t="s">
        <v>255</v>
      </c>
      <c r="E7649" s="6" t="s">
        <v>16565</v>
      </c>
      <c r="F7649" s="6" t="s">
        <v>14986</v>
      </c>
      <c r="G7649" s="3" t="s">
        <v>11449</v>
      </c>
      <c r="H7649" s="54">
        <v>0</v>
      </c>
      <c r="I7649" s="16">
        <v>470000000</v>
      </c>
      <c r="J7649" s="157" t="s">
        <v>229</v>
      </c>
      <c r="K7649" s="5" t="s">
        <v>211</v>
      </c>
      <c r="L7649" s="6" t="s">
        <v>231</v>
      </c>
      <c r="M7649" s="3" t="s">
        <v>230</v>
      </c>
      <c r="N7649" s="6" t="s">
        <v>524</v>
      </c>
      <c r="O7649" s="6" t="s">
        <v>233</v>
      </c>
      <c r="P7649" s="58">
        <v>168</v>
      </c>
      <c r="Q7649" s="6" t="s">
        <v>240</v>
      </c>
      <c r="R7649" s="251">
        <v>22.04</v>
      </c>
      <c r="S7649" s="59">
        <v>241200</v>
      </c>
      <c r="T7649" s="4">
        <v>0</v>
      </c>
      <c r="U7649" s="4">
        <f t="shared" si="375"/>
        <v>0</v>
      </c>
      <c r="V7649" s="3"/>
      <c r="W7649" s="3">
        <v>2014</v>
      </c>
      <c r="X7649" s="3" t="s">
        <v>17415</v>
      </c>
    </row>
    <row r="7650" spans="1:24" ht="89.25">
      <c r="A7650" s="3" t="s">
        <v>17424</v>
      </c>
      <c r="B7650" s="6" t="s">
        <v>361</v>
      </c>
      <c r="C7650" s="6" t="s">
        <v>16564</v>
      </c>
      <c r="D7650" s="6" t="s">
        <v>255</v>
      </c>
      <c r="E7650" s="6" t="s">
        <v>16565</v>
      </c>
      <c r="F7650" s="6" t="s">
        <v>14986</v>
      </c>
      <c r="G7650" s="3" t="s">
        <v>11450</v>
      </c>
      <c r="H7650" s="54">
        <v>0</v>
      </c>
      <c r="I7650" s="16">
        <v>470000000</v>
      </c>
      <c r="J7650" s="157" t="s">
        <v>229</v>
      </c>
      <c r="K7650" s="5" t="s">
        <v>16428</v>
      </c>
      <c r="L7650" s="17" t="s">
        <v>11411</v>
      </c>
      <c r="M7650" s="3" t="s">
        <v>230</v>
      </c>
      <c r="N7650" s="6" t="s">
        <v>528</v>
      </c>
      <c r="O7650" s="6" t="s">
        <v>233</v>
      </c>
      <c r="P7650" s="58">
        <v>168</v>
      </c>
      <c r="Q7650" s="6" t="s">
        <v>240</v>
      </c>
      <c r="R7650" s="251">
        <v>22.04</v>
      </c>
      <c r="S7650" s="59">
        <v>241200</v>
      </c>
      <c r="T7650" s="4">
        <v>0</v>
      </c>
      <c r="U7650" s="4">
        <f t="shared" si="375"/>
        <v>0</v>
      </c>
      <c r="V7650" s="3" t="s">
        <v>362</v>
      </c>
      <c r="W7650" s="3">
        <v>2014</v>
      </c>
      <c r="X7650" s="3">
        <v>8.11</v>
      </c>
    </row>
    <row r="7651" spans="1:24" ht="89.25">
      <c r="A7651" s="3" t="s">
        <v>18948</v>
      </c>
      <c r="B7651" s="6" t="s">
        <v>361</v>
      </c>
      <c r="C7651" s="6" t="s">
        <v>16564</v>
      </c>
      <c r="D7651" s="6" t="s">
        <v>255</v>
      </c>
      <c r="E7651" s="6" t="s">
        <v>16565</v>
      </c>
      <c r="F7651" s="6" t="s">
        <v>14986</v>
      </c>
      <c r="G7651" s="3" t="s">
        <v>11450</v>
      </c>
      <c r="H7651" s="54">
        <v>0.35</v>
      </c>
      <c r="I7651" s="16">
        <v>470000000</v>
      </c>
      <c r="J7651" s="157" t="s">
        <v>229</v>
      </c>
      <c r="K7651" s="5" t="s">
        <v>9369</v>
      </c>
      <c r="L7651" s="17" t="s">
        <v>11411</v>
      </c>
      <c r="M7651" s="3" t="s">
        <v>230</v>
      </c>
      <c r="N7651" s="6" t="s">
        <v>528</v>
      </c>
      <c r="O7651" s="6" t="s">
        <v>233</v>
      </c>
      <c r="P7651" s="58">
        <v>168</v>
      </c>
      <c r="Q7651" s="6" t="s">
        <v>240</v>
      </c>
      <c r="R7651" s="251">
        <v>22.04</v>
      </c>
      <c r="S7651" s="59">
        <v>241200</v>
      </c>
      <c r="T7651" s="4">
        <f t="shared" ref="T7651" si="381">R7651*S7651</f>
        <v>5316048</v>
      </c>
      <c r="U7651" s="4">
        <f t="shared" si="375"/>
        <v>5953973.7600000007</v>
      </c>
      <c r="V7651" s="3" t="s">
        <v>362</v>
      </c>
      <c r="W7651" s="3">
        <v>2014</v>
      </c>
      <c r="X7651" s="3"/>
    </row>
    <row r="7652" spans="1:24" ht="102">
      <c r="A7652" s="3" t="s">
        <v>15925</v>
      </c>
      <c r="B7652" s="6" t="s">
        <v>361</v>
      </c>
      <c r="C7652" s="6" t="s">
        <v>16562</v>
      </c>
      <c r="D7652" s="6" t="s">
        <v>255</v>
      </c>
      <c r="E7652" s="6" t="s">
        <v>16563</v>
      </c>
      <c r="F7652" s="6" t="s">
        <v>14987</v>
      </c>
      <c r="G7652" s="3" t="s">
        <v>11449</v>
      </c>
      <c r="H7652" s="54">
        <v>0</v>
      </c>
      <c r="I7652" s="16">
        <v>470000000</v>
      </c>
      <c r="J7652" s="157" t="s">
        <v>229</v>
      </c>
      <c r="K7652" s="5" t="s">
        <v>211</v>
      </c>
      <c r="L7652" s="6" t="s">
        <v>231</v>
      </c>
      <c r="M7652" s="3" t="s">
        <v>230</v>
      </c>
      <c r="N7652" s="6" t="s">
        <v>524</v>
      </c>
      <c r="O7652" s="6" t="s">
        <v>233</v>
      </c>
      <c r="P7652" s="58">
        <v>168</v>
      </c>
      <c r="Q7652" s="6" t="s">
        <v>240</v>
      </c>
      <c r="R7652" s="252">
        <v>3.5379999999999998</v>
      </c>
      <c r="S7652" s="59">
        <v>241200</v>
      </c>
      <c r="T7652" s="4">
        <v>0</v>
      </c>
      <c r="U7652" s="4">
        <f t="shared" si="375"/>
        <v>0</v>
      </c>
      <c r="V7652" s="3"/>
      <c r="W7652" s="3">
        <v>2014</v>
      </c>
      <c r="X7652" s="3" t="s">
        <v>17415</v>
      </c>
    </row>
    <row r="7653" spans="1:24" ht="89.25">
      <c r="A7653" s="3" t="s">
        <v>17425</v>
      </c>
      <c r="B7653" s="6" t="s">
        <v>361</v>
      </c>
      <c r="C7653" s="6" t="s">
        <v>16562</v>
      </c>
      <c r="D7653" s="6" t="s">
        <v>255</v>
      </c>
      <c r="E7653" s="6" t="s">
        <v>16563</v>
      </c>
      <c r="F7653" s="6" t="s">
        <v>14987</v>
      </c>
      <c r="G7653" s="3" t="s">
        <v>11450</v>
      </c>
      <c r="H7653" s="54">
        <v>0</v>
      </c>
      <c r="I7653" s="16">
        <v>470000000</v>
      </c>
      <c r="J7653" s="157" t="s">
        <v>229</v>
      </c>
      <c r="K7653" s="5" t="s">
        <v>16428</v>
      </c>
      <c r="L7653" s="17" t="s">
        <v>11411</v>
      </c>
      <c r="M7653" s="3" t="s">
        <v>230</v>
      </c>
      <c r="N7653" s="6" t="s">
        <v>528</v>
      </c>
      <c r="O7653" s="6" t="s">
        <v>233</v>
      </c>
      <c r="P7653" s="58">
        <v>168</v>
      </c>
      <c r="Q7653" s="6" t="s">
        <v>240</v>
      </c>
      <c r="R7653" s="252">
        <v>3.5380000000000003</v>
      </c>
      <c r="S7653" s="59">
        <v>241200</v>
      </c>
      <c r="T7653" s="4">
        <v>0</v>
      </c>
      <c r="U7653" s="4">
        <f t="shared" si="375"/>
        <v>0</v>
      </c>
      <c r="V7653" s="3" t="s">
        <v>362</v>
      </c>
      <c r="W7653" s="3">
        <v>2014</v>
      </c>
      <c r="X7653" s="3" t="s">
        <v>12076</v>
      </c>
    </row>
    <row r="7654" spans="1:24" ht="102">
      <c r="A7654" s="3" t="s">
        <v>15926</v>
      </c>
      <c r="B7654" s="6" t="s">
        <v>361</v>
      </c>
      <c r="C7654" s="6" t="s">
        <v>16560</v>
      </c>
      <c r="D7654" s="6" t="s">
        <v>255</v>
      </c>
      <c r="E7654" s="6" t="s">
        <v>16561</v>
      </c>
      <c r="F7654" s="6" t="s">
        <v>14988</v>
      </c>
      <c r="G7654" s="3" t="s">
        <v>11449</v>
      </c>
      <c r="H7654" s="54">
        <v>0</v>
      </c>
      <c r="I7654" s="16">
        <v>470000000</v>
      </c>
      <c r="J7654" s="157" t="s">
        <v>229</v>
      </c>
      <c r="K7654" s="5" t="s">
        <v>14599</v>
      </c>
      <c r="L7654" s="6" t="s">
        <v>231</v>
      </c>
      <c r="M7654" s="3" t="s">
        <v>230</v>
      </c>
      <c r="N7654" s="6" t="s">
        <v>524</v>
      </c>
      <c r="O7654" s="6" t="s">
        <v>233</v>
      </c>
      <c r="P7654" s="58">
        <v>168</v>
      </c>
      <c r="Q7654" s="6" t="s">
        <v>240</v>
      </c>
      <c r="R7654" s="253">
        <v>1.86076</v>
      </c>
      <c r="S7654" s="1">
        <v>226800</v>
      </c>
      <c r="T7654" s="4">
        <v>0</v>
      </c>
      <c r="U7654" s="4">
        <f t="shared" si="375"/>
        <v>0</v>
      </c>
      <c r="V7654" s="3" t="s">
        <v>362</v>
      </c>
      <c r="W7654" s="3">
        <v>2014</v>
      </c>
      <c r="X7654" s="3" t="s">
        <v>17427</v>
      </c>
    </row>
    <row r="7655" spans="1:24" ht="89.25">
      <c r="A7655" s="3" t="s">
        <v>17426</v>
      </c>
      <c r="B7655" s="6" t="s">
        <v>361</v>
      </c>
      <c r="C7655" s="6" t="s">
        <v>16560</v>
      </c>
      <c r="D7655" s="6" t="s">
        <v>255</v>
      </c>
      <c r="E7655" s="6" t="s">
        <v>16561</v>
      </c>
      <c r="F7655" s="6" t="s">
        <v>14988</v>
      </c>
      <c r="G7655" s="3" t="s">
        <v>11450</v>
      </c>
      <c r="H7655" s="54">
        <v>0</v>
      </c>
      <c r="I7655" s="16">
        <v>470000000</v>
      </c>
      <c r="J7655" s="157" t="s">
        <v>229</v>
      </c>
      <c r="K7655" s="5" t="s">
        <v>16428</v>
      </c>
      <c r="L7655" s="17" t="s">
        <v>11411</v>
      </c>
      <c r="M7655" s="3" t="s">
        <v>230</v>
      </c>
      <c r="N7655" s="6" t="s">
        <v>528</v>
      </c>
      <c r="O7655" s="6" t="s">
        <v>233</v>
      </c>
      <c r="P7655" s="58">
        <v>168</v>
      </c>
      <c r="Q7655" s="6" t="s">
        <v>240</v>
      </c>
      <c r="R7655" s="253">
        <v>2.13</v>
      </c>
      <c r="S7655" s="1">
        <v>226800</v>
      </c>
      <c r="T7655" s="4">
        <v>0</v>
      </c>
      <c r="U7655" s="4">
        <f t="shared" si="375"/>
        <v>0</v>
      </c>
      <c r="V7655" s="3" t="s">
        <v>362</v>
      </c>
      <c r="W7655" s="3">
        <v>2014</v>
      </c>
      <c r="X7655" s="3" t="s">
        <v>12076</v>
      </c>
    </row>
    <row r="7656" spans="1:24" ht="102">
      <c r="A7656" s="3" t="s">
        <v>15927</v>
      </c>
      <c r="B7656" s="6" t="s">
        <v>361</v>
      </c>
      <c r="C7656" s="6" t="s">
        <v>3129</v>
      </c>
      <c r="D7656" s="6" t="s">
        <v>255</v>
      </c>
      <c r="E7656" s="6" t="s">
        <v>3130</v>
      </c>
      <c r="F7656" s="6" t="s">
        <v>14989</v>
      </c>
      <c r="G7656" s="3" t="s">
        <v>11450</v>
      </c>
      <c r="H7656" s="54">
        <v>0</v>
      </c>
      <c r="I7656" s="16">
        <v>470000000</v>
      </c>
      <c r="J7656" s="157" t="s">
        <v>229</v>
      </c>
      <c r="K7656" s="5" t="s">
        <v>14590</v>
      </c>
      <c r="L7656" s="6" t="s">
        <v>231</v>
      </c>
      <c r="M7656" s="3" t="s">
        <v>230</v>
      </c>
      <c r="N7656" s="6" t="s">
        <v>524</v>
      </c>
      <c r="O7656" s="6" t="s">
        <v>233</v>
      </c>
      <c r="P7656" s="58">
        <v>168</v>
      </c>
      <c r="Q7656" s="6" t="s">
        <v>240</v>
      </c>
      <c r="R7656" s="244">
        <v>0.83899999999999997</v>
      </c>
      <c r="S7656" s="2">
        <v>226800</v>
      </c>
      <c r="T7656" s="4">
        <v>0</v>
      </c>
      <c r="U7656" s="4">
        <f t="shared" si="375"/>
        <v>0</v>
      </c>
      <c r="V7656" s="3" t="s">
        <v>362</v>
      </c>
      <c r="W7656" s="3">
        <v>2014</v>
      </c>
      <c r="X7656" s="3" t="s">
        <v>12142</v>
      </c>
    </row>
    <row r="7657" spans="1:24" ht="102">
      <c r="A7657" s="3" t="s">
        <v>17429</v>
      </c>
      <c r="B7657" s="6" t="s">
        <v>361</v>
      </c>
      <c r="C7657" s="6" t="s">
        <v>3129</v>
      </c>
      <c r="D7657" s="6" t="s">
        <v>255</v>
      </c>
      <c r="E7657" s="6" t="s">
        <v>3130</v>
      </c>
      <c r="F7657" s="6" t="s">
        <v>14989</v>
      </c>
      <c r="G7657" s="3" t="s">
        <v>11450</v>
      </c>
      <c r="H7657" s="54">
        <v>0</v>
      </c>
      <c r="I7657" s="16">
        <v>470000000</v>
      </c>
      <c r="J7657" s="157" t="s">
        <v>229</v>
      </c>
      <c r="K7657" s="5" t="s">
        <v>16428</v>
      </c>
      <c r="L7657" s="17" t="s">
        <v>11411</v>
      </c>
      <c r="M7657" s="3" t="s">
        <v>230</v>
      </c>
      <c r="N7657" s="6" t="s">
        <v>528</v>
      </c>
      <c r="O7657" s="6" t="s">
        <v>233</v>
      </c>
      <c r="P7657" s="58">
        <v>168</v>
      </c>
      <c r="Q7657" s="6" t="s">
        <v>240</v>
      </c>
      <c r="R7657" s="244">
        <v>0.83899999999999997</v>
      </c>
      <c r="S7657" s="2">
        <v>226800</v>
      </c>
      <c r="T7657" s="4">
        <v>0</v>
      </c>
      <c r="U7657" s="4">
        <f t="shared" si="375"/>
        <v>0</v>
      </c>
      <c r="V7657" s="3" t="s">
        <v>362</v>
      </c>
      <c r="W7657" s="3">
        <v>2014</v>
      </c>
      <c r="X7657" s="3" t="s">
        <v>12076</v>
      </c>
    </row>
    <row r="7658" spans="1:24" ht="102">
      <c r="A7658" s="3" t="s">
        <v>15928</v>
      </c>
      <c r="B7658" s="6" t="s">
        <v>361</v>
      </c>
      <c r="C7658" s="6" t="s">
        <v>3129</v>
      </c>
      <c r="D7658" s="6" t="s">
        <v>255</v>
      </c>
      <c r="E7658" s="6" t="s">
        <v>3130</v>
      </c>
      <c r="F7658" s="6" t="s">
        <v>14990</v>
      </c>
      <c r="G7658" s="3" t="s">
        <v>11450</v>
      </c>
      <c r="H7658" s="54">
        <v>0</v>
      </c>
      <c r="I7658" s="16">
        <v>470000000</v>
      </c>
      <c r="J7658" s="157" t="s">
        <v>229</v>
      </c>
      <c r="K7658" s="5" t="s">
        <v>14590</v>
      </c>
      <c r="L7658" s="6" t="s">
        <v>231</v>
      </c>
      <c r="M7658" s="3" t="s">
        <v>230</v>
      </c>
      <c r="N7658" s="6" t="s">
        <v>524</v>
      </c>
      <c r="O7658" s="6" t="s">
        <v>233</v>
      </c>
      <c r="P7658" s="58">
        <v>168</v>
      </c>
      <c r="Q7658" s="6" t="s">
        <v>240</v>
      </c>
      <c r="R7658" s="244">
        <v>1.694</v>
      </c>
      <c r="S7658" s="2">
        <v>226800</v>
      </c>
      <c r="T7658" s="4">
        <v>0</v>
      </c>
      <c r="U7658" s="4">
        <f t="shared" si="375"/>
        <v>0</v>
      </c>
      <c r="V7658" s="3" t="s">
        <v>362</v>
      </c>
      <c r="W7658" s="3">
        <v>2014</v>
      </c>
      <c r="X7658" s="3" t="s">
        <v>12142</v>
      </c>
    </row>
    <row r="7659" spans="1:24" ht="102">
      <c r="A7659" s="3" t="s">
        <v>17430</v>
      </c>
      <c r="B7659" s="6" t="s">
        <v>361</v>
      </c>
      <c r="C7659" s="6" t="s">
        <v>3129</v>
      </c>
      <c r="D7659" s="6" t="s">
        <v>255</v>
      </c>
      <c r="E7659" s="6" t="s">
        <v>3130</v>
      </c>
      <c r="F7659" s="6" t="s">
        <v>14990</v>
      </c>
      <c r="G7659" s="3" t="s">
        <v>11450</v>
      </c>
      <c r="H7659" s="54">
        <v>0</v>
      </c>
      <c r="I7659" s="16">
        <v>470000000</v>
      </c>
      <c r="J7659" s="157" t="s">
        <v>229</v>
      </c>
      <c r="K7659" s="5" t="s">
        <v>16428</v>
      </c>
      <c r="L7659" s="17" t="s">
        <v>11411</v>
      </c>
      <c r="M7659" s="3" t="s">
        <v>230</v>
      </c>
      <c r="N7659" s="6" t="s">
        <v>528</v>
      </c>
      <c r="O7659" s="6" t="s">
        <v>233</v>
      </c>
      <c r="P7659" s="58">
        <v>168</v>
      </c>
      <c r="Q7659" s="6" t="s">
        <v>240</v>
      </c>
      <c r="R7659" s="244">
        <v>1.6940000000000002</v>
      </c>
      <c r="S7659" s="2">
        <v>226800</v>
      </c>
      <c r="T7659" s="4">
        <v>0</v>
      </c>
      <c r="U7659" s="4">
        <f t="shared" si="375"/>
        <v>0</v>
      </c>
      <c r="V7659" s="3" t="s">
        <v>362</v>
      </c>
      <c r="W7659" s="3">
        <v>2014</v>
      </c>
      <c r="X7659" s="3" t="s">
        <v>14265</v>
      </c>
    </row>
    <row r="7660" spans="1:24" ht="102">
      <c r="A7660" s="3" t="s">
        <v>19091</v>
      </c>
      <c r="B7660" s="6" t="s">
        <v>361</v>
      </c>
      <c r="C7660" s="6" t="s">
        <v>3129</v>
      </c>
      <c r="D7660" s="6" t="s">
        <v>255</v>
      </c>
      <c r="E7660" s="6" t="s">
        <v>3130</v>
      </c>
      <c r="F7660" s="6" t="s">
        <v>14990</v>
      </c>
      <c r="G7660" s="3" t="s">
        <v>11450</v>
      </c>
      <c r="H7660" s="54">
        <v>0</v>
      </c>
      <c r="I7660" s="16">
        <v>470000000</v>
      </c>
      <c r="J7660" s="157" t="s">
        <v>229</v>
      </c>
      <c r="K7660" s="5" t="s">
        <v>18748</v>
      </c>
      <c r="L7660" s="17" t="s">
        <v>11411</v>
      </c>
      <c r="M7660" s="3" t="s">
        <v>230</v>
      </c>
      <c r="N7660" s="6" t="s">
        <v>7685</v>
      </c>
      <c r="O7660" s="6" t="s">
        <v>18749</v>
      </c>
      <c r="P7660" s="58">
        <v>168</v>
      </c>
      <c r="Q7660" s="6" t="s">
        <v>240</v>
      </c>
      <c r="R7660" s="244">
        <v>1.6940000000000002</v>
      </c>
      <c r="S7660" s="2">
        <v>226800</v>
      </c>
      <c r="T7660" s="4">
        <v>0</v>
      </c>
      <c r="U7660" s="4">
        <f t="shared" ref="U7660" si="382">T7660*1.12</f>
        <v>0</v>
      </c>
      <c r="V7660" s="3" t="s">
        <v>362</v>
      </c>
      <c r="W7660" s="3">
        <v>2014</v>
      </c>
      <c r="X7660" s="3">
        <v>15.22</v>
      </c>
    </row>
    <row r="7661" spans="1:24" ht="102">
      <c r="A7661" s="3" t="s">
        <v>19370</v>
      </c>
      <c r="B7661" s="6" t="s">
        <v>361</v>
      </c>
      <c r="C7661" s="6" t="s">
        <v>3129</v>
      </c>
      <c r="D7661" s="6" t="s">
        <v>255</v>
      </c>
      <c r="E7661" s="6" t="s">
        <v>3130</v>
      </c>
      <c r="F7661" s="6" t="s">
        <v>14990</v>
      </c>
      <c r="G7661" s="3" t="s">
        <v>11450</v>
      </c>
      <c r="H7661" s="54">
        <v>0</v>
      </c>
      <c r="I7661" s="16">
        <v>470000000</v>
      </c>
      <c r="J7661" s="157" t="s">
        <v>229</v>
      </c>
      <c r="K7661" s="5" t="s">
        <v>18748</v>
      </c>
      <c r="L7661" s="17" t="s">
        <v>11411</v>
      </c>
      <c r="M7661" s="3" t="s">
        <v>230</v>
      </c>
      <c r="N7661" s="6" t="s">
        <v>7685</v>
      </c>
      <c r="O7661" s="6" t="s">
        <v>233</v>
      </c>
      <c r="P7661" s="58">
        <v>168</v>
      </c>
      <c r="Q7661" s="6" t="s">
        <v>240</v>
      </c>
      <c r="R7661" s="244">
        <v>1.6940000000000002</v>
      </c>
      <c r="S7661" s="2">
        <v>226800</v>
      </c>
      <c r="T7661" s="1">
        <f t="shared" ref="T7661" si="383">R7661*S7661</f>
        <v>384199.2</v>
      </c>
      <c r="U7661" s="4">
        <f t="shared" ref="U7661" si="384">T7661*1.12</f>
        <v>430303.10400000005</v>
      </c>
      <c r="V7661" s="3"/>
      <c r="W7661" s="3">
        <v>2014</v>
      </c>
      <c r="X7661" s="3"/>
    </row>
    <row r="7662" spans="1:24" ht="102">
      <c r="A7662" s="3" t="s">
        <v>15929</v>
      </c>
      <c r="B7662" s="6" t="s">
        <v>361</v>
      </c>
      <c r="C7662" s="6" t="s">
        <v>3129</v>
      </c>
      <c r="D7662" s="6" t="s">
        <v>255</v>
      </c>
      <c r="E7662" s="6" t="s">
        <v>3130</v>
      </c>
      <c r="F7662" s="6" t="s">
        <v>14991</v>
      </c>
      <c r="G7662" s="3" t="s">
        <v>11450</v>
      </c>
      <c r="H7662" s="54">
        <v>0</v>
      </c>
      <c r="I7662" s="16">
        <v>470000000</v>
      </c>
      <c r="J7662" s="157" t="s">
        <v>229</v>
      </c>
      <c r="K7662" s="5" t="s">
        <v>14590</v>
      </c>
      <c r="L7662" s="6" t="s">
        <v>231</v>
      </c>
      <c r="M7662" s="3" t="s">
        <v>230</v>
      </c>
      <c r="N7662" s="6" t="s">
        <v>524</v>
      </c>
      <c r="O7662" s="6" t="s">
        <v>233</v>
      </c>
      <c r="P7662" s="58">
        <v>168</v>
      </c>
      <c r="Q7662" s="6" t="s">
        <v>240</v>
      </c>
      <c r="R7662" s="118">
        <v>0.11</v>
      </c>
      <c r="S7662" s="2">
        <v>226800</v>
      </c>
      <c r="T7662" s="4">
        <v>0</v>
      </c>
      <c r="U7662" s="4">
        <f t="shared" si="375"/>
        <v>0</v>
      </c>
      <c r="V7662" s="3" t="s">
        <v>362</v>
      </c>
      <c r="W7662" s="3">
        <v>2014</v>
      </c>
      <c r="X7662" s="3" t="s">
        <v>12142</v>
      </c>
    </row>
    <row r="7663" spans="1:24" ht="102">
      <c r="A7663" s="3" t="s">
        <v>17431</v>
      </c>
      <c r="B7663" s="6" t="s">
        <v>361</v>
      </c>
      <c r="C7663" s="6" t="s">
        <v>3129</v>
      </c>
      <c r="D7663" s="6" t="s">
        <v>255</v>
      </c>
      <c r="E7663" s="6" t="s">
        <v>3130</v>
      </c>
      <c r="F7663" s="6" t="s">
        <v>14991</v>
      </c>
      <c r="G7663" s="3" t="s">
        <v>11450</v>
      </c>
      <c r="H7663" s="54">
        <v>0</v>
      </c>
      <c r="I7663" s="16">
        <v>470000000</v>
      </c>
      <c r="J7663" s="157" t="s">
        <v>229</v>
      </c>
      <c r="K7663" s="5" t="s">
        <v>10120</v>
      </c>
      <c r="L7663" s="17" t="s">
        <v>11411</v>
      </c>
      <c r="M7663" s="3" t="s">
        <v>230</v>
      </c>
      <c r="N7663" s="6" t="s">
        <v>528</v>
      </c>
      <c r="O7663" s="6" t="s">
        <v>233</v>
      </c>
      <c r="P7663" s="58">
        <v>168</v>
      </c>
      <c r="Q7663" s="6" t="s">
        <v>240</v>
      </c>
      <c r="R7663" s="118">
        <v>0.11</v>
      </c>
      <c r="S7663" s="2">
        <v>226800</v>
      </c>
      <c r="T7663" s="4">
        <v>0</v>
      </c>
      <c r="U7663" s="4">
        <f t="shared" si="375"/>
        <v>0</v>
      </c>
      <c r="V7663" s="3" t="s">
        <v>362</v>
      </c>
      <c r="W7663" s="3">
        <v>2014</v>
      </c>
      <c r="X7663" s="3" t="s">
        <v>12076</v>
      </c>
    </row>
    <row r="7664" spans="1:24" ht="102">
      <c r="A7664" s="3" t="s">
        <v>15930</v>
      </c>
      <c r="B7664" s="6" t="s">
        <v>361</v>
      </c>
      <c r="C7664" s="6" t="s">
        <v>3131</v>
      </c>
      <c r="D7664" s="6" t="s">
        <v>255</v>
      </c>
      <c r="E7664" s="6" t="s">
        <v>3132</v>
      </c>
      <c r="F7664" s="6" t="s">
        <v>14992</v>
      </c>
      <c r="G7664" s="3" t="s">
        <v>11450</v>
      </c>
      <c r="H7664" s="54">
        <v>0</v>
      </c>
      <c r="I7664" s="16">
        <v>470000000</v>
      </c>
      <c r="J7664" s="157" t="s">
        <v>229</v>
      </c>
      <c r="K7664" s="5" t="s">
        <v>14590</v>
      </c>
      <c r="L7664" s="6" t="s">
        <v>231</v>
      </c>
      <c r="M7664" s="3" t="s">
        <v>230</v>
      </c>
      <c r="N7664" s="6" t="s">
        <v>524</v>
      </c>
      <c r="O7664" s="6" t="s">
        <v>233</v>
      </c>
      <c r="P7664" s="58">
        <v>168</v>
      </c>
      <c r="Q7664" s="6" t="s">
        <v>240</v>
      </c>
      <c r="R7664" s="118">
        <v>0.25</v>
      </c>
      <c r="S7664" s="2">
        <v>226800</v>
      </c>
      <c r="T7664" s="4">
        <v>0</v>
      </c>
      <c r="U7664" s="4">
        <f t="shared" si="375"/>
        <v>0</v>
      </c>
      <c r="V7664" s="3" t="s">
        <v>362</v>
      </c>
      <c r="W7664" s="3">
        <v>2014</v>
      </c>
      <c r="X7664" s="3" t="s">
        <v>12142</v>
      </c>
    </row>
    <row r="7665" spans="1:24" ht="102">
      <c r="A7665" s="3" t="s">
        <v>17432</v>
      </c>
      <c r="B7665" s="6" t="s">
        <v>361</v>
      </c>
      <c r="C7665" s="6" t="s">
        <v>3131</v>
      </c>
      <c r="D7665" s="6" t="s">
        <v>255</v>
      </c>
      <c r="E7665" s="6" t="s">
        <v>3132</v>
      </c>
      <c r="F7665" s="6" t="s">
        <v>14992</v>
      </c>
      <c r="G7665" s="3" t="s">
        <v>11450</v>
      </c>
      <c r="H7665" s="54">
        <v>0</v>
      </c>
      <c r="I7665" s="16">
        <v>470000000</v>
      </c>
      <c r="J7665" s="157" t="s">
        <v>229</v>
      </c>
      <c r="K7665" s="5" t="s">
        <v>10120</v>
      </c>
      <c r="L7665" s="17" t="s">
        <v>11411</v>
      </c>
      <c r="M7665" s="3" t="s">
        <v>230</v>
      </c>
      <c r="N7665" s="6" t="s">
        <v>528</v>
      </c>
      <c r="O7665" s="6" t="s">
        <v>233</v>
      </c>
      <c r="P7665" s="58">
        <v>168</v>
      </c>
      <c r="Q7665" s="6" t="s">
        <v>240</v>
      </c>
      <c r="R7665" s="118">
        <v>0.25</v>
      </c>
      <c r="S7665" s="2">
        <v>226800</v>
      </c>
      <c r="T7665" s="4">
        <v>0</v>
      </c>
      <c r="U7665" s="4">
        <f t="shared" si="375"/>
        <v>0</v>
      </c>
      <c r="V7665" s="3" t="s">
        <v>362</v>
      </c>
      <c r="W7665" s="3">
        <v>2014</v>
      </c>
      <c r="X7665" s="3" t="s">
        <v>12076</v>
      </c>
    </row>
    <row r="7666" spans="1:24" ht="102">
      <c r="A7666" s="3" t="s">
        <v>15931</v>
      </c>
      <c r="B7666" s="6" t="s">
        <v>361</v>
      </c>
      <c r="C7666" s="6" t="s">
        <v>3131</v>
      </c>
      <c r="D7666" s="6" t="s">
        <v>255</v>
      </c>
      <c r="E7666" s="6" t="s">
        <v>3132</v>
      </c>
      <c r="F7666" s="6" t="s">
        <v>14993</v>
      </c>
      <c r="G7666" s="3" t="s">
        <v>11450</v>
      </c>
      <c r="H7666" s="54">
        <v>0</v>
      </c>
      <c r="I7666" s="16">
        <v>470000000</v>
      </c>
      <c r="J7666" s="157" t="s">
        <v>229</v>
      </c>
      <c r="K7666" s="5" t="s">
        <v>14590</v>
      </c>
      <c r="L7666" s="6" t="s">
        <v>231</v>
      </c>
      <c r="M7666" s="3" t="s">
        <v>230</v>
      </c>
      <c r="N7666" s="6" t="s">
        <v>524</v>
      </c>
      <c r="O7666" s="6" t="s">
        <v>233</v>
      </c>
      <c r="P7666" s="58">
        <v>168</v>
      </c>
      <c r="Q7666" s="6" t="s">
        <v>240</v>
      </c>
      <c r="R7666" s="244">
        <v>1.9710000000000001</v>
      </c>
      <c r="S7666" s="2">
        <v>226800</v>
      </c>
      <c r="T7666" s="4">
        <v>0</v>
      </c>
      <c r="U7666" s="4">
        <f t="shared" si="375"/>
        <v>0</v>
      </c>
      <c r="V7666" s="3" t="s">
        <v>362</v>
      </c>
      <c r="W7666" s="3">
        <v>2014</v>
      </c>
      <c r="X7666" s="3" t="s">
        <v>12142</v>
      </c>
    </row>
    <row r="7667" spans="1:24" ht="102">
      <c r="A7667" s="3" t="s">
        <v>17433</v>
      </c>
      <c r="B7667" s="6" t="s">
        <v>361</v>
      </c>
      <c r="C7667" s="6" t="s">
        <v>3131</v>
      </c>
      <c r="D7667" s="6" t="s">
        <v>255</v>
      </c>
      <c r="E7667" s="6" t="s">
        <v>3132</v>
      </c>
      <c r="F7667" s="6" t="s">
        <v>14993</v>
      </c>
      <c r="G7667" s="3" t="s">
        <v>11450</v>
      </c>
      <c r="H7667" s="54">
        <v>0</v>
      </c>
      <c r="I7667" s="16">
        <v>470000000</v>
      </c>
      <c r="J7667" s="157" t="s">
        <v>229</v>
      </c>
      <c r="K7667" s="5" t="s">
        <v>10120</v>
      </c>
      <c r="L7667" s="17" t="s">
        <v>11411</v>
      </c>
      <c r="M7667" s="3" t="s">
        <v>230</v>
      </c>
      <c r="N7667" s="6" t="s">
        <v>528</v>
      </c>
      <c r="O7667" s="6" t="s">
        <v>233</v>
      </c>
      <c r="P7667" s="58">
        <v>168</v>
      </c>
      <c r="Q7667" s="6" t="s">
        <v>240</v>
      </c>
      <c r="R7667" s="244">
        <v>1.9710000000000001</v>
      </c>
      <c r="S7667" s="2">
        <v>226800</v>
      </c>
      <c r="T7667" s="1">
        <f t="shared" ref="T7667" si="385">R7667*S7667</f>
        <v>447022.80000000005</v>
      </c>
      <c r="U7667" s="4">
        <f t="shared" si="375"/>
        <v>500665.53600000008</v>
      </c>
      <c r="V7667" s="3" t="s">
        <v>362</v>
      </c>
      <c r="W7667" s="3">
        <v>2014</v>
      </c>
      <c r="X7667" s="3"/>
    </row>
    <row r="7668" spans="1:24" ht="102">
      <c r="A7668" s="3" t="s">
        <v>15932</v>
      </c>
      <c r="B7668" s="6" t="s">
        <v>361</v>
      </c>
      <c r="C7668" s="6" t="s">
        <v>3133</v>
      </c>
      <c r="D7668" s="6" t="s">
        <v>255</v>
      </c>
      <c r="E7668" s="6" t="s">
        <v>3134</v>
      </c>
      <c r="F7668" s="6" t="s">
        <v>14994</v>
      </c>
      <c r="G7668" s="3" t="s">
        <v>11450</v>
      </c>
      <c r="H7668" s="54">
        <v>0</v>
      </c>
      <c r="I7668" s="16">
        <v>470000000</v>
      </c>
      <c r="J7668" s="157" t="s">
        <v>229</v>
      </c>
      <c r="K7668" s="5" t="s">
        <v>14590</v>
      </c>
      <c r="L7668" s="6" t="s">
        <v>231</v>
      </c>
      <c r="M7668" s="3" t="s">
        <v>230</v>
      </c>
      <c r="N7668" s="6" t="s">
        <v>524</v>
      </c>
      <c r="O7668" s="6" t="s">
        <v>233</v>
      </c>
      <c r="P7668" s="58">
        <v>168</v>
      </c>
      <c r="Q7668" s="6" t="s">
        <v>240</v>
      </c>
      <c r="R7668" s="245">
        <v>12.6805</v>
      </c>
      <c r="S7668" s="2">
        <v>226800</v>
      </c>
      <c r="T7668" s="4">
        <v>0</v>
      </c>
      <c r="U7668" s="4">
        <f t="shared" si="375"/>
        <v>0</v>
      </c>
      <c r="V7668" s="3" t="s">
        <v>362</v>
      </c>
      <c r="W7668" s="3">
        <v>2014</v>
      </c>
      <c r="X7668" s="3" t="s">
        <v>12142</v>
      </c>
    </row>
    <row r="7669" spans="1:24" ht="102">
      <c r="A7669" s="3" t="s">
        <v>17434</v>
      </c>
      <c r="B7669" s="6" t="s">
        <v>361</v>
      </c>
      <c r="C7669" s="6" t="s">
        <v>3133</v>
      </c>
      <c r="D7669" s="6" t="s">
        <v>255</v>
      </c>
      <c r="E7669" s="6" t="s">
        <v>3134</v>
      </c>
      <c r="F7669" s="6" t="s">
        <v>14994</v>
      </c>
      <c r="G7669" s="3" t="s">
        <v>11450</v>
      </c>
      <c r="H7669" s="54">
        <v>0</v>
      </c>
      <c r="I7669" s="16">
        <v>470000000</v>
      </c>
      <c r="J7669" s="157" t="s">
        <v>229</v>
      </c>
      <c r="K7669" s="5" t="s">
        <v>10120</v>
      </c>
      <c r="L7669" s="17" t="s">
        <v>11411</v>
      </c>
      <c r="M7669" s="3" t="s">
        <v>230</v>
      </c>
      <c r="N7669" s="6" t="s">
        <v>528</v>
      </c>
      <c r="O7669" s="6" t="s">
        <v>233</v>
      </c>
      <c r="P7669" s="58">
        <v>168</v>
      </c>
      <c r="Q7669" s="6" t="s">
        <v>240</v>
      </c>
      <c r="R7669" s="245">
        <v>12.6805</v>
      </c>
      <c r="S7669" s="2">
        <v>226800</v>
      </c>
      <c r="T7669" s="4">
        <v>0</v>
      </c>
      <c r="U7669" s="4">
        <f t="shared" si="375"/>
        <v>0</v>
      </c>
      <c r="V7669" s="3" t="s">
        <v>362</v>
      </c>
      <c r="W7669" s="3">
        <v>2014</v>
      </c>
      <c r="X7669" s="6" t="s">
        <v>18756</v>
      </c>
    </row>
    <row r="7670" spans="1:24" ht="102">
      <c r="A7670" s="3" t="s">
        <v>18760</v>
      </c>
      <c r="B7670" s="6" t="s">
        <v>361</v>
      </c>
      <c r="C7670" s="6" t="s">
        <v>3133</v>
      </c>
      <c r="D7670" s="6" t="s">
        <v>255</v>
      </c>
      <c r="E7670" s="6" t="s">
        <v>3134</v>
      </c>
      <c r="F7670" s="6" t="s">
        <v>14994</v>
      </c>
      <c r="G7670" s="3" t="s">
        <v>11450</v>
      </c>
      <c r="H7670" s="54">
        <v>0.35</v>
      </c>
      <c r="I7670" s="16">
        <v>470000000</v>
      </c>
      <c r="J7670" s="157" t="s">
        <v>229</v>
      </c>
      <c r="K7670" s="5" t="s">
        <v>18748</v>
      </c>
      <c r="L7670" s="17" t="s">
        <v>11411</v>
      </c>
      <c r="M7670" s="3" t="s">
        <v>230</v>
      </c>
      <c r="N7670" s="6" t="s">
        <v>7685</v>
      </c>
      <c r="O7670" s="6" t="s">
        <v>18749</v>
      </c>
      <c r="P7670" s="58">
        <v>168</v>
      </c>
      <c r="Q7670" s="6" t="s">
        <v>240</v>
      </c>
      <c r="R7670" s="255">
        <v>7.67</v>
      </c>
      <c r="S7670" s="2">
        <v>226800</v>
      </c>
      <c r="T7670" s="4">
        <v>0</v>
      </c>
      <c r="U7670" s="4">
        <f t="shared" si="375"/>
        <v>0</v>
      </c>
      <c r="V7670" s="3" t="s">
        <v>362</v>
      </c>
      <c r="W7670" s="3">
        <v>2014</v>
      </c>
      <c r="X7670" s="3" t="s">
        <v>19366</v>
      </c>
    </row>
    <row r="7671" spans="1:24" ht="102">
      <c r="A7671" s="3" t="s">
        <v>19371</v>
      </c>
      <c r="B7671" s="6" t="s">
        <v>361</v>
      </c>
      <c r="C7671" s="6" t="s">
        <v>3133</v>
      </c>
      <c r="D7671" s="6" t="s">
        <v>255</v>
      </c>
      <c r="E7671" s="6" t="s">
        <v>3134</v>
      </c>
      <c r="F7671" s="6" t="s">
        <v>14994</v>
      </c>
      <c r="G7671" s="3" t="s">
        <v>11450</v>
      </c>
      <c r="H7671" s="54">
        <v>0</v>
      </c>
      <c r="I7671" s="16">
        <v>470000000</v>
      </c>
      <c r="J7671" s="157" t="s">
        <v>229</v>
      </c>
      <c r="K7671" s="5" t="s">
        <v>18748</v>
      </c>
      <c r="L7671" s="17" t="s">
        <v>11411</v>
      </c>
      <c r="M7671" s="3" t="s">
        <v>230</v>
      </c>
      <c r="N7671" s="6" t="s">
        <v>7685</v>
      </c>
      <c r="O7671" s="6" t="s">
        <v>233</v>
      </c>
      <c r="P7671" s="58">
        <v>168</v>
      </c>
      <c r="Q7671" s="6" t="s">
        <v>240</v>
      </c>
      <c r="R7671" s="255">
        <v>7.67</v>
      </c>
      <c r="S7671" s="2">
        <v>226800</v>
      </c>
      <c r="T7671" s="1">
        <f t="shared" ref="T7671" si="386">R7671*S7671</f>
        <v>1739556</v>
      </c>
      <c r="U7671" s="4">
        <f t="shared" si="375"/>
        <v>1948302.7200000002</v>
      </c>
      <c r="V7671" s="3"/>
      <c r="W7671" s="3">
        <v>2014</v>
      </c>
      <c r="X7671" s="3"/>
    </row>
    <row r="7672" spans="1:24" ht="102">
      <c r="A7672" s="3" t="s">
        <v>15933</v>
      </c>
      <c r="B7672" s="6" t="s">
        <v>361</v>
      </c>
      <c r="C7672" s="6" t="s">
        <v>14995</v>
      </c>
      <c r="D7672" s="6" t="s">
        <v>255</v>
      </c>
      <c r="E7672" s="6" t="s">
        <v>14996</v>
      </c>
      <c r="F7672" s="6" t="s">
        <v>14997</v>
      </c>
      <c r="G7672" s="3" t="s">
        <v>11449</v>
      </c>
      <c r="H7672" s="54">
        <v>0</v>
      </c>
      <c r="I7672" s="16">
        <v>470000000</v>
      </c>
      <c r="J7672" s="157" t="s">
        <v>229</v>
      </c>
      <c r="K7672" s="5" t="s">
        <v>14590</v>
      </c>
      <c r="L7672" s="17" t="s">
        <v>11411</v>
      </c>
      <c r="M7672" s="3" t="s">
        <v>230</v>
      </c>
      <c r="N7672" s="6" t="s">
        <v>524</v>
      </c>
      <c r="O7672" s="6" t="s">
        <v>233</v>
      </c>
      <c r="P7672" s="58">
        <v>168</v>
      </c>
      <c r="Q7672" s="6" t="s">
        <v>240</v>
      </c>
      <c r="R7672" s="246">
        <v>8.4009999999999998</v>
      </c>
      <c r="S7672" s="2">
        <v>250380</v>
      </c>
      <c r="T7672" s="4">
        <v>0</v>
      </c>
      <c r="U7672" s="4">
        <f t="shared" si="375"/>
        <v>0</v>
      </c>
      <c r="V7672" s="3" t="s">
        <v>362</v>
      </c>
      <c r="W7672" s="3">
        <v>2014</v>
      </c>
      <c r="X7672" s="3" t="s">
        <v>17399</v>
      </c>
    </row>
    <row r="7673" spans="1:24" ht="102">
      <c r="A7673" s="3" t="s">
        <v>17435</v>
      </c>
      <c r="B7673" s="6" t="s">
        <v>361</v>
      </c>
      <c r="C7673" s="6" t="s">
        <v>14995</v>
      </c>
      <c r="D7673" s="6" t="s">
        <v>255</v>
      </c>
      <c r="E7673" s="6" t="s">
        <v>14996</v>
      </c>
      <c r="F7673" s="6" t="s">
        <v>14997</v>
      </c>
      <c r="G7673" s="3" t="s">
        <v>11450</v>
      </c>
      <c r="H7673" s="54">
        <v>0</v>
      </c>
      <c r="I7673" s="16">
        <v>470000000</v>
      </c>
      <c r="J7673" s="157" t="s">
        <v>229</v>
      </c>
      <c r="K7673" s="5" t="s">
        <v>10120</v>
      </c>
      <c r="L7673" s="17" t="s">
        <v>11411</v>
      </c>
      <c r="M7673" s="3" t="s">
        <v>230</v>
      </c>
      <c r="N7673" s="6" t="s">
        <v>528</v>
      </c>
      <c r="O7673" s="6" t="s">
        <v>233</v>
      </c>
      <c r="P7673" s="58">
        <v>168</v>
      </c>
      <c r="Q7673" s="6" t="s">
        <v>240</v>
      </c>
      <c r="R7673" s="246">
        <v>8.4009999999999998</v>
      </c>
      <c r="S7673" s="2">
        <v>250380</v>
      </c>
      <c r="T7673" s="4">
        <v>0</v>
      </c>
      <c r="U7673" s="4">
        <f t="shared" si="375"/>
        <v>0</v>
      </c>
      <c r="V7673" s="3" t="s">
        <v>362</v>
      </c>
      <c r="W7673" s="3">
        <v>2014</v>
      </c>
      <c r="X7673" s="3" t="s">
        <v>12076</v>
      </c>
    </row>
    <row r="7674" spans="1:24" ht="89.25">
      <c r="A7674" s="3" t="s">
        <v>15934</v>
      </c>
      <c r="B7674" s="6" t="s">
        <v>361</v>
      </c>
      <c r="C7674" s="6" t="s">
        <v>14998</v>
      </c>
      <c r="D7674" s="6" t="s">
        <v>255</v>
      </c>
      <c r="E7674" s="6" t="s">
        <v>14999</v>
      </c>
      <c r="F7674" s="6" t="s">
        <v>15000</v>
      </c>
      <c r="G7674" s="3" t="s">
        <v>11449</v>
      </c>
      <c r="H7674" s="54">
        <v>0</v>
      </c>
      <c r="I7674" s="16">
        <v>470000000</v>
      </c>
      <c r="J7674" s="157" t="s">
        <v>229</v>
      </c>
      <c r="K7674" s="5" t="s">
        <v>14590</v>
      </c>
      <c r="L7674" s="17" t="s">
        <v>11411</v>
      </c>
      <c r="M7674" s="3" t="s">
        <v>230</v>
      </c>
      <c r="N7674" s="6" t="s">
        <v>524</v>
      </c>
      <c r="O7674" s="6" t="s">
        <v>233</v>
      </c>
      <c r="P7674" s="58">
        <v>168</v>
      </c>
      <c r="Q7674" s="6" t="s">
        <v>240</v>
      </c>
      <c r="R7674" s="246">
        <v>0.16400000000000001</v>
      </c>
      <c r="S7674" s="2">
        <v>207900</v>
      </c>
      <c r="T7674" s="4">
        <v>0</v>
      </c>
      <c r="U7674" s="4">
        <f t="shared" si="375"/>
        <v>0</v>
      </c>
      <c r="V7674" s="3" t="s">
        <v>362</v>
      </c>
      <c r="W7674" s="3">
        <v>2014</v>
      </c>
      <c r="X7674" s="3" t="s">
        <v>17399</v>
      </c>
    </row>
    <row r="7675" spans="1:24" ht="89.25">
      <c r="A7675" s="3" t="s">
        <v>17437</v>
      </c>
      <c r="B7675" s="6" t="s">
        <v>361</v>
      </c>
      <c r="C7675" s="6" t="s">
        <v>14998</v>
      </c>
      <c r="D7675" s="6" t="s">
        <v>255</v>
      </c>
      <c r="E7675" s="6" t="s">
        <v>14999</v>
      </c>
      <c r="F7675" s="6" t="s">
        <v>15000</v>
      </c>
      <c r="G7675" s="3" t="s">
        <v>11450</v>
      </c>
      <c r="H7675" s="54">
        <v>0</v>
      </c>
      <c r="I7675" s="16">
        <v>470000000</v>
      </c>
      <c r="J7675" s="157" t="s">
        <v>229</v>
      </c>
      <c r="K7675" s="5" t="s">
        <v>10120</v>
      </c>
      <c r="L7675" s="17" t="s">
        <v>11411</v>
      </c>
      <c r="M7675" s="3" t="s">
        <v>230</v>
      </c>
      <c r="N7675" s="6" t="s">
        <v>528</v>
      </c>
      <c r="O7675" s="6" t="s">
        <v>233</v>
      </c>
      <c r="P7675" s="58">
        <v>168</v>
      </c>
      <c r="Q7675" s="6" t="s">
        <v>240</v>
      </c>
      <c r="R7675" s="246">
        <v>0.16400000000000001</v>
      </c>
      <c r="S7675" s="2">
        <v>207900</v>
      </c>
      <c r="T7675" s="4">
        <v>0</v>
      </c>
      <c r="U7675" s="4">
        <f t="shared" si="375"/>
        <v>0</v>
      </c>
      <c r="V7675" s="3" t="s">
        <v>362</v>
      </c>
      <c r="W7675" s="3">
        <v>2014</v>
      </c>
      <c r="X7675" s="3" t="s">
        <v>12076</v>
      </c>
    </row>
    <row r="7676" spans="1:24" ht="89.25">
      <c r="A7676" s="3" t="s">
        <v>15935</v>
      </c>
      <c r="B7676" s="6" t="s">
        <v>361</v>
      </c>
      <c r="C7676" s="6" t="s">
        <v>7650</v>
      </c>
      <c r="D7676" s="6" t="s">
        <v>255</v>
      </c>
      <c r="E7676" s="6" t="s">
        <v>7651</v>
      </c>
      <c r="F7676" s="6" t="s">
        <v>16313</v>
      </c>
      <c r="G7676" s="3" t="s">
        <v>11449</v>
      </c>
      <c r="H7676" s="54">
        <v>0</v>
      </c>
      <c r="I7676" s="16">
        <v>470000000</v>
      </c>
      <c r="J7676" s="157" t="s">
        <v>229</v>
      </c>
      <c r="K7676" s="5" t="s">
        <v>14590</v>
      </c>
      <c r="L7676" s="17" t="s">
        <v>11411</v>
      </c>
      <c r="M7676" s="3" t="s">
        <v>230</v>
      </c>
      <c r="N7676" s="6" t="s">
        <v>524</v>
      </c>
      <c r="O7676" s="6" t="s">
        <v>233</v>
      </c>
      <c r="P7676" s="58">
        <v>168</v>
      </c>
      <c r="Q7676" s="6" t="s">
        <v>240</v>
      </c>
      <c r="R7676" s="254">
        <v>1.2</v>
      </c>
      <c r="S7676" s="1">
        <v>207900</v>
      </c>
      <c r="T7676" s="4">
        <v>0</v>
      </c>
      <c r="U7676" s="4">
        <f t="shared" si="375"/>
        <v>0</v>
      </c>
      <c r="V7676" s="3"/>
      <c r="W7676" s="3">
        <v>2014</v>
      </c>
      <c r="X7676" s="3" t="s">
        <v>17399</v>
      </c>
    </row>
    <row r="7677" spans="1:24" ht="89.25">
      <c r="A7677" s="3" t="s">
        <v>17438</v>
      </c>
      <c r="B7677" s="6" t="s">
        <v>361</v>
      </c>
      <c r="C7677" s="6" t="s">
        <v>7650</v>
      </c>
      <c r="D7677" s="6" t="s">
        <v>255</v>
      </c>
      <c r="E7677" s="6" t="s">
        <v>7651</v>
      </c>
      <c r="F7677" s="6" t="s">
        <v>16313</v>
      </c>
      <c r="G7677" s="3" t="s">
        <v>11450</v>
      </c>
      <c r="H7677" s="54">
        <v>0</v>
      </c>
      <c r="I7677" s="16">
        <v>470000000</v>
      </c>
      <c r="J7677" s="157" t="s">
        <v>229</v>
      </c>
      <c r="K7677" s="5" t="s">
        <v>10120</v>
      </c>
      <c r="L7677" s="17" t="s">
        <v>11411</v>
      </c>
      <c r="M7677" s="3" t="s">
        <v>230</v>
      </c>
      <c r="N7677" s="6" t="s">
        <v>528</v>
      </c>
      <c r="O7677" s="6" t="s">
        <v>233</v>
      </c>
      <c r="P7677" s="58">
        <v>168</v>
      </c>
      <c r="Q7677" s="6" t="s">
        <v>240</v>
      </c>
      <c r="R7677" s="254">
        <v>1.2</v>
      </c>
      <c r="S7677" s="1">
        <v>207900</v>
      </c>
      <c r="T7677" s="4">
        <v>0</v>
      </c>
      <c r="U7677" s="4">
        <f t="shared" si="375"/>
        <v>0</v>
      </c>
      <c r="V7677" s="3"/>
      <c r="W7677" s="3">
        <v>2014</v>
      </c>
      <c r="X7677" s="3" t="s">
        <v>12076</v>
      </c>
    </row>
    <row r="7678" spans="1:24" ht="89.25">
      <c r="A7678" s="3" t="s">
        <v>15936</v>
      </c>
      <c r="B7678" s="6" t="s">
        <v>361</v>
      </c>
      <c r="C7678" s="6" t="s">
        <v>15001</v>
      </c>
      <c r="D7678" s="6" t="s">
        <v>255</v>
      </c>
      <c r="E7678" s="6" t="s">
        <v>15002</v>
      </c>
      <c r="F7678" s="6" t="s">
        <v>16314</v>
      </c>
      <c r="G7678" s="3" t="s">
        <v>11449</v>
      </c>
      <c r="H7678" s="54">
        <v>0</v>
      </c>
      <c r="I7678" s="16">
        <v>470000000</v>
      </c>
      <c r="J7678" s="157" t="s">
        <v>229</v>
      </c>
      <c r="K7678" s="5" t="s">
        <v>14590</v>
      </c>
      <c r="L7678" s="17" t="s">
        <v>11411</v>
      </c>
      <c r="M7678" s="3" t="s">
        <v>230</v>
      </c>
      <c r="N7678" s="6" t="s">
        <v>524</v>
      </c>
      <c r="O7678" s="6" t="s">
        <v>233</v>
      </c>
      <c r="P7678" s="58">
        <v>168</v>
      </c>
      <c r="Q7678" s="6" t="s">
        <v>240</v>
      </c>
      <c r="R7678" s="244">
        <v>0.69599999999999995</v>
      </c>
      <c r="S7678" s="1">
        <v>207900</v>
      </c>
      <c r="T7678" s="4">
        <v>0</v>
      </c>
      <c r="U7678" s="4">
        <f t="shared" si="375"/>
        <v>0</v>
      </c>
      <c r="V7678" s="3"/>
      <c r="W7678" s="3">
        <v>2014</v>
      </c>
      <c r="X7678" s="3" t="s">
        <v>17399</v>
      </c>
    </row>
    <row r="7679" spans="1:24" ht="89.25">
      <c r="A7679" s="3" t="s">
        <v>17439</v>
      </c>
      <c r="B7679" s="6" t="s">
        <v>361</v>
      </c>
      <c r="C7679" s="6" t="s">
        <v>15001</v>
      </c>
      <c r="D7679" s="6" t="s">
        <v>255</v>
      </c>
      <c r="E7679" s="6" t="s">
        <v>15002</v>
      </c>
      <c r="F7679" s="6" t="s">
        <v>16314</v>
      </c>
      <c r="G7679" s="3" t="s">
        <v>11450</v>
      </c>
      <c r="H7679" s="54">
        <v>0</v>
      </c>
      <c r="I7679" s="16">
        <v>470000000</v>
      </c>
      <c r="J7679" s="157" t="s">
        <v>229</v>
      </c>
      <c r="K7679" s="5" t="s">
        <v>10120</v>
      </c>
      <c r="L7679" s="17" t="s">
        <v>11411</v>
      </c>
      <c r="M7679" s="3" t="s">
        <v>230</v>
      </c>
      <c r="N7679" s="6" t="s">
        <v>528</v>
      </c>
      <c r="O7679" s="6" t="s">
        <v>233</v>
      </c>
      <c r="P7679" s="58">
        <v>168</v>
      </c>
      <c r="Q7679" s="6" t="s">
        <v>240</v>
      </c>
      <c r="R7679" s="244">
        <v>0.69599999999999995</v>
      </c>
      <c r="S7679" s="1">
        <v>207900</v>
      </c>
      <c r="T7679" s="4">
        <v>0</v>
      </c>
      <c r="U7679" s="4">
        <f t="shared" si="375"/>
        <v>0</v>
      </c>
      <c r="V7679" s="3"/>
      <c r="W7679" s="3">
        <v>2014</v>
      </c>
      <c r="X7679" s="3" t="s">
        <v>12076</v>
      </c>
    </row>
    <row r="7680" spans="1:24" ht="89.25">
      <c r="A7680" s="3" t="s">
        <v>15937</v>
      </c>
      <c r="B7680" s="6" t="s">
        <v>361</v>
      </c>
      <c r="C7680" s="6" t="s">
        <v>3108</v>
      </c>
      <c r="D7680" s="6" t="s">
        <v>255</v>
      </c>
      <c r="E7680" s="6" t="s">
        <v>3109</v>
      </c>
      <c r="F7680" s="6" t="s">
        <v>16315</v>
      </c>
      <c r="G7680" s="3" t="s">
        <v>11449</v>
      </c>
      <c r="H7680" s="54">
        <v>0</v>
      </c>
      <c r="I7680" s="16">
        <v>470000000</v>
      </c>
      <c r="J7680" s="157" t="s">
        <v>229</v>
      </c>
      <c r="K7680" s="5" t="s">
        <v>14590</v>
      </c>
      <c r="L7680" s="17" t="s">
        <v>11411</v>
      </c>
      <c r="M7680" s="3" t="s">
        <v>230</v>
      </c>
      <c r="N7680" s="6" t="s">
        <v>524</v>
      </c>
      <c r="O7680" s="6" t="s">
        <v>233</v>
      </c>
      <c r="P7680" s="58">
        <v>168</v>
      </c>
      <c r="Q7680" s="6" t="s">
        <v>240</v>
      </c>
      <c r="R7680" s="244">
        <v>41.392000000000003</v>
      </c>
      <c r="S7680" s="1">
        <v>201800</v>
      </c>
      <c r="T7680" s="4">
        <v>0</v>
      </c>
      <c r="U7680" s="4">
        <f t="shared" si="375"/>
        <v>0</v>
      </c>
      <c r="V7680" s="3"/>
      <c r="W7680" s="3">
        <v>2014</v>
      </c>
      <c r="X7680" s="3">
        <v>11.14</v>
      </c>
    </row>
    <row r="7681" spans="1:24" ht="89.25">
      <c r="A7681" s="3" t="s">
        <v>17441</v>
      </c>
      <c r="B7681" s="6" t="s">
        <v>361</v>
      </c>
      <c r="C7681" s="6" t="s">
        <v>3108</v>
      </c>
      <c r="D7681" s="6" t="s">
        <v>255</v>
      </c>
      <c r="E7681" s="6" t="s">
        <v>3109</v>
      </c>
      <c r="F7681" s="6" t="s">
        <v>16315</v>
      </c>
      <c r="G7681" s="3" t="s">
        <v>11449</v>
      </c>
      <c r="H7681" s="54">
        <v>0</v>
      </c>
      <c r="I7681" s="16">
        <v>470000000</v>
      </c>
      <c r="J7681" s="157" t="s">
        <v>229</v>
      </c>
      <c r="K7681" s="5" t="s">
        <v>10120</v>
      </c>
      <c r="L7681" s="17" t="s">
        <v>11411</v>
      </c>
      <c r="M7681" s="3" t="s">
        <v>230</v>
      </c>
      <c r="N7681" s="6" t="s">
        <v>521</v>
      </c>
      <c r="O7681" s="6" t="s">
        <v>233</v>
      </c>
      <c r="P7681" s="58">
        <v>168</v>
      </c>
      <c r="Q7681" s="6" t="s">
        <v>240</v>
      </c>
      <c r="R7681" s="244">
        <v>41.392000000000003</v>
      </c>
      <c r="S7681" s="1">
        <v>201800</v>
      </c>
      <c r="T7681" s="4">
        <f t="shared" ref="T7681" si="387">R7681*S7681</f>
        <v>8352905.6000000006</v>
      </c>
      <c r="U7681" s="4">
        <f t="shared" si="375"/>
        <v>9355254.2720000017</v>
      </c>
      <c r="V7681" s="3"/>
      <c r="W7681" s="3">
        <v>2014</v>
      </c>
      <c r="X7681" s="3"/>
    </row>
    <row r="7682" spans="1:24" ht="89.25">
      <c r="A7682" s="3" t="s">
        <v>15938</v>
      </c>
      <c r="B7682" s="6" t="s">
        <v>361</v>
      </c>
      <c r="C7682" s="6" t="s">
        <v>16630</v>
      </c>
      <c r="D7682" s="6" t="s">
        <v>255</v>
      </c>
      <c r="E7682" s="6" t="s">
        <v>16631</v>
      </c>
      <c r="F7682" s="6" t="s">
        <v>16316</v>
      </c>
      <c r="G7682" s="3" t="s">
        <v>11449</v>
      </c>
      <c r="H7682" s="54">
        <v>0</v>
      </c>
      <c r="I7682" s="16">
        <v>470000000</v>
      </c>
      <c r="J7682" s="157" t="s">
        <v>229</v>
      </c>
      <c r="K7682" s="5" t="s">
        <v>14590</v>
      </c>
      <c r="L7682" s="17" t="s">
        <v>11411</v>
      </c>
      <c r="M7682" s="3" t="s">
        <v>230</v>
      </c>
      <c r="N7682" s="6" t="s">
        <v>524</v>
      </c>
      <c r="O7682" s="6" t="s">
        <v>233</v>
      </c>
      <c r="P7682" s="58">
        <v>168</v>
      </c>
      <c r="Q7682" s="6" t="s">
        <v>240</v>
      </c>
      <c r="R7682" s="244">
        <v>5.3119999999999994</v>
      </c>
      <c r="S7682" s="1">
        <v>202000</v>
      </c>
      <c r="T7682" s="4">
        <v>0</v>
      </c>
      <c r="U7682" s="4">
        <f t="shared" si="375"/>
        <v>0</v>
      </c>
      <c r="V7682" s="3"/>
      <c r="W7682" s="3">
        <v>2014</v>
      </c>
      <c r="X7682" s="3" t="s">
        <v>17399</v>
      </c>
    </row>
    <row r="7683" spans="1:24" ht="89.25">
      <c r="A7683" s="3" t="s">
        <v>17440</v>
      </c>
      <c r="B7683" s="6" t="s">
        <v>361</v>
      </c>
      <c r="C7683" s="6" t="s">
        <v>16630</v>
      </c>
      <c r="D7683" s="6" t="s">
        <v>255</v>
      </c>
      <c r="E7683" s="6" t="s">
        <v>16631</v>
      </c>
      <c r="F7683" s="6" t="s">
        <v>16316</v>
      </c>
      <c r="G7683" s="3" t="s">
        <v>11450</v>
      </c>
      <c r="H7683" s="54">
        <v>0</v>
      </c>
      <c r="I7683" s="16">
        <v>470000000</v>
      </c>
      <c r="J7683" s="157" t="s">
        <v>229</v>
      </c>
      <c r="K7683" s="5" t="s">
        <v>10120</v>
      </c>
      <c r="L7683" s="17" t="s">
        <v>11411</v>
      </c>
      <c r="M7683" s="3" t="s">
        <v>230</v>
      </c>
      <c r="N7683" s="6" t="s">
        <v>528</v>
      </c>
      <c r="O7683" s="6" t="s">
        <v>233</v>
      </c>
      <c r="P7683" s="58">
        <v>168</v>
      </c>
      <c r="Q7683" s="6" t="s">
        <v>240</v>
      </c>
      <c r="R7683" s="244">
        <v>5.3119999999999994</v>
      </c>
      <c r="S7683" s="1">
        <v>202000</v>
      </c>
      <c r="T7683" s="4">
        <v>0</v>
      </c>
      <c r="U7683" s="4">
        <f t="shared" si="375"/>
        <v>0</v>
      </c>
      <c r="V7683" s="3"/>
      <c r="W7683" s="3">
        <v>2014</v>
      </c>
      <c r="X7683" s="3" t="s">
        <v>12076</v>
      </c>
    </row>
    <row r="7684" spans="1:24" ht="89.25">
      <c r="A7684" s="3" t="s">
        <v>15939</v>
      </c>
      <c r="B7684" s="6" t="s">
        <v>361</v>
      </c>
      <c r="C7684" s="6" t="s">
        <v>16570</v>
      </c>
      <c r="D7684" s="6" t="s">
        <v>255</v>
      </c>
      <c r="E7684" s="6" t="s">
        <v>16571</v>
      </c>
      <c r="F7684" s="6" t="s">
        <v>16317</v>
      </c>
      <c r="G7684" s="3" t="s">
        <v>11449</v>
      </c>
      <c r="H7684" s="54">
        <v>0</v>
      </c>
      <c r="I7684" s="16">
        <v>470000000</v>
      </c>
      <c r="J7684" s="157" t="s">
        <v>229</v>
      </c>
      <c r="K7684" s="5" t="s">
        <v>14590</v>
      </c>
      <c r="L7684" s="17" t="s">
        <v>11411</v>
      </c>
      <c r="M7684" s="3" t="s">
        <v>230</v>
      </c>
      <c r="N7684" s="6" t="s">
        <v>524</v>
      </c>
      <c r="O7684" s="6" t="s">
        <v>233</v>
      </c>
      <c r="P7684" s="58">
        <v>168</v>
      </c>
      <c r="Q7684" s="6" t="s">
        <v>240</v>
      </c>
      <c r="R7684" s="244">
        <v>6.9640000000000004</v>
      </c>
      <c r="S7684" s="1">
        <v>202000</v>
      </c>
      <c r="T7684" s="4">
        <v>0</v>
      </c>
      <c r="U7684" s="4">
        <f t="shared" si="375"/>
        <v>0</v>
      </c>
      <c r="V7684" s="3"/>
      <c r="W7684" s="3">
        <v>2014</v>
      </c>
      <c r="X7684" s="3" t="s">
        <v>17399</v>
      </c>
    </row>
    <row r="7685" spans="1:24" ht="89.25">
      <c r="A7685" s="3" t="s">
        <v>17442</v>
      </c>
      <c r="B7685" s="6" t="s">
        <v>361</v>
      </c>
      <c r="C7685" s="6" t="s">
        <v>16570</v>
      </c>
      <c r="D7685" s="6" t="s">
        <v>255</v>
      </c>
      <c r="E7685" s="6" t="s">
        <v>16571</v>
      </c>
      <c r="F7685" s="6" t="s">
        <v>16317</v>
      </c>
      <c r="G7685" s="3" t="s">
        <v>11450</v>
      </c>
      <c r="H7685" s="54">
        <v>0</v>
      </c>
      <c r="I7685" s="16">
        <v>470000000</v>
      </c>
      <c r="J7685" s="157" t="s">
        <v>229</v>
      </c>
      <c r="K7685" s="5" t="s">
        <v>16428</v>
      </c>
      <c r="L7685" s="17" t="s">
        <v>11411</v>
      </c>
      <c r="M7685" s="3" t="s">
        <v>230</v>
      </c>
      <c r="N7685" s="6" t="s">
        <v>528</v>
      </c>
      <c r="O7685" s="6" t="s">
        <v>233</v>
      </c>
      <c r="P7685" s="58">
        <v>168</v>
      </c>
      <c r="Q7685" s="6" t="s">
        <v>240</v>
      </c>
      <c r="R7685" s="244">
        <v>6.9640000000000004</v>
      </c>
      <c r="S7685" s="1">
        <v>202000</v>
      </c>
      <c r="T7685" s="4">
        <v>0</v>
      </c>
      <c r="U7685" s="4">
        <f t="shared" si="375"/>
        <v>0</v>
      </c>
      <c r="V7685" s="3"/>
      <c r="W7685" s="3">
        <v>2014</v>
      </c>
      <c r="X7685" s="3" t="s">
        <v>12076</v>
      </c>
    </row>
    <row r="7686" spans="1:24" ht="89.25">
      <c r="A7686" s="3" t="s">
        <v>15940</v>
      </c>
      <c r="B7686" s="6" t="s">
        <v>361</v>
      </c>
      <c r="C7686" s="6" t="s">
        <v>15003</v>
      </c>
      <c r="D7686" s="6" t="s">
        <v>255</v>
      </c>
      <c r="E7686" s="6" t="s">
        <v>15004</v>
      </c>
      <c r="F7686" s="6" t="s">
        <v>16318</v>
      </c>
      <c r="G7686" s="3" t="s">
        <v>11449</v>
      </c>
      <c r="H7686" s="54">
        <v>0</v>
      </c>
      <c r="I7686" s="16">
        <v>470000000</v>
      </c>
      <c r="J7686" s="157" t="s">
        <v>229</v>
      </c>
      <c r="K7686" s="5" t="s">
        <v>14590</v>
      </c>
      <c r="L7686" s="17" t="s">
        <v>11411</v>
      </c>
      <c r="M7686" s="3" t="s">
        <v>230</v>
      </c>
      <c r="N7686" s="6" t="s">
        <v>524</v>
      </c>
      <c r="O7686" s="6" t="s">
        <v>233</v>
      </c>
      <c r="P7686" s="58">
        <v>168</v>
      </c>
      <c r="Q7686" s="6" t="s">
        <v>240</v>
      </c>
      <c r="R7686" s="244">
        <v>2.0539999999999998</v>
      </c>
      <c r="S7686" s="1">
        <v>202000</v>
      </c>
      <c r="T7686" s="4">
        <v>0</v>
      </c>
      <c r="U7686" s="4">
        <f t="shared" si="375"/>
        <v>0</v>
      </c>
      <c r="V7686" s="3"/>
      <c r="W7686" s="3">
        <v>2014</v>
      </c>
      <c r="X7686" s="3" t="s">
        <v>17399</v>
      </c>
    </row>
    <row r="7687" spans="1:24" ht="89.25">
      <c r="A7687" s="3" t="s">
        <v>17443</v>
      </c>
      <c r="B7687" s="6" t="s">
        <v>361</v>
      </c>
      <c r="C7687" s="6" t="s">
        <v>15003</v>
      </c>
      <c r="D7687" s="6" t="s">
        <v>255</v>
      </c>
      <c r="E7687" s="6" t="s">
        <v>15004</v>
      </c>
      <c r="F7687" s="6" t="s">
        <v>16318</v>
      </c>
      <c r="G7687" s="3" t="s">
        <v>11450</v>
      </c>
      <c r="H7687" s="54">
        <v>0</v>
      </c>
      <c r="I7687" s="16">
        <v>470000000</v>
      </c>
      <c r="J7687" s="157" t="s">
        <v>229</v>
      </c>
      <c r="K7687" s="5" t="s">
        <v>16428</v>
      </c>
      <c r="L7687" s="17" t="s">
        <v>11411</v>
      </c>
      <c r="M7687" s="3" t="s">
        <v>230</v>
      </c>
      <c r="N7687" s="6" t="s">
        <v>528</v>
      </c>
      <c r="O7687" s="6" t="s">
        <v>233</v>
      </c>
      <c r="P7687" s="58">
        <v>168</v>
      </c>
      <c r="Q7687" s="6" t="s">
        <v>240</v>
      </c>
      <c r="R7687" s="244">
        <v>2.0539999999999998</v>
      </c>
      <c r="S7687" s="1">
        <v>202000</v>
      </c>
      <c r="T7687" s="4">
        <v>0</v>
      </c>
      <c r="U7687" s="4">
        <f t="shared" si="375"/>
        <v>0</v>
      </c>
      <c r="V7687" s="3"/>
      <c r="W7687" s="3">
        <v>2014</v>
      </c>
      <c r="X7687" s="3" t="s">
        <v>12076</v>
      </c>
    </row>
    <row r="7688" spans="1:24" ht="89.25">
      <c r="A7688" s="3" t="s">
        <v>15941</v>
      </c>
      <c r="B7688" s="6" t="s">
        <v>361</v>
      </c>
      <c r="C7688" s="6" t="s">
        <v>16572</v>
      </c>
      <c r="D7688" s="6" t="s">
        <v>255</v>
      </c>
      <c r="E7688" s="6" t="s">
        <v>16573</v>
      </c>
      <c r="F7688" s="6" t="s">
        <v>16319</v>
      </c>
      <c r="G7688" s="3" t="s">
        <v>11449</v>
      </c>
      <c r="H7688" s="54">
        <v>0</v>
      </c>
      <c r="I7688" s="16">
        <v>470000000</v>
      </c>
      <c r="J7688" s="157" t="s">
        <v>229</v>
      </c>
      <c r="K7688" s="5" t="s">
        <v>14590</v>
      </c>
      <c r="L7688" s="17" t="s">
        <v>11411</v>
      </c>
      <c r="M7688" s="3" t="s">
        <v>230</v>
      </c>
      <c r="N7688" s="6" t="s">
        <v>524</v>
      </c>
      <c r="O7688" s="6" t="s">
        <v>233</v>
      </c>
      <c r="P7688" s="58">
        <v>168</v>
      </c>
      <c r="Q7688" s="6" t="s">
        <v>240</v>
      </c>
      <c r="R7688" s="244">
        <v>9.532</v>
      </c>
      <c r="S7688" s="1">
        <v>180276</v>
      </c>
      <c r="T7688" s="4">
        <v>0</v>
      </c>
      <c r="U7688" s="4">
        <f t="shared" si="375"/>
        <v>0</v>
      </c>
      <c r="V7688" s="3"/>
      <c r="W7688" s="3">
        <v>2014</v>
      </c>
      <c r="X7688" s="3" t="s">
        <v>17399</v>
      </c>
    </row>
    <row r="7689" spans="1:24" ht="89.25">
      <c r="A7689" s="3" t="s">
        <v>17444</v>
      </c>
      <c r="B7689" s="6" t="s">
        <v>361</v>
      </c>
      <c r="C7689" s="6" t="s">
        <v>16572</v>
      </c>
      <c r="D7689" s="6" t="s">
        <v>255</v>
      </c>
      <c r="E7689" s="6" t="s">
        <v>16573</v>
      </c>
      <c r="F7689" s="6" t="s">
        <v>16319</v>
      </c>
      <c r="G7689" s="3" t="s">
        <v>11450</v>
      </c>
      <c r="H7689" s="54">
        <v>0</v>
      </c>
      <c r="I7689" s="16">
        <v>470000000</v>
      </c>
      <c r="J7689" s="157" t="s">
        <v>229</v>
      </c>
      <c r="K7689" s="5" t="s">
        <v>16428</v>
      </c>
      <c r="L7689" s="17" t="s">
        <v>11411</v>
      </c>
      <c r="M7689" s="3" t="s">
        <v>230</v>
      </c>
      <c r="N7689" s="6" t="s">
        <v>528</v>
      </c>
      <c r="O7689" s="6" t="s">
        <v>233</v>
      </c>
      <c r="P7689" s="58">
        <v>168</v>
      </c>
      <c r="Q7689" s="6" t="s">
        <v>240</v>
      </c>
      <c r="R7689" s="244">
        <v>9.532</v>
      </c>
      <c r="S7689" s="1">
        <v>180276</v>
      </c>
      <c r="T7689" s="4">
        <f t="shared" ref="T7689" si="388">R7689*S7689</f>
        <v>1718390.8319999999</v>
      </c>
      <c r="U7689" s="4">
        <f t="shared" si="375"/>
        <v>1924597.73184</v>
      </c>
      <c r="V7689" s="3"/>
      <c r="W7689" s="3">
        <v>2014</v>
      </c>
      <c r="X7689" s="3"/>
    </row>
    <row r="7690" spans="1:24" ht="89.25">
      <c r="A7690" s="3" t="s">
        <v>15942</v>
      </c>
      <c r="B7690" s="6" t="s">
        <v>361</v>
      </c>
      <c r="C7690" s="6" t="s">
        <v>16574</v>
      </c>
      <c r="D7690" s="6" t="s">
        <v>255</v>
      </c>
      <c r="E7690" s="6" t="s">
        <v>16575</v>
      </c>
      <c r="F7690" s="6" t="s">
        <v>16320</v>
      </c>
      <c r="G7690" s="3" t="s">
        <v>11449</v>
      </c>
      <c r="H7690" s="54">
        <v>0</v>
      </c>
      <c r="I7690" s="16">
        <v>470000000</v>
      </c>
      <c r="J7690" s="157" t="s">
        <v>229</v>
      </c>
      <c r="K7690" s="5" t="s">
        <v>14590</v>
      </c>
      <c r="L7690" s="17" t="s">
        <v>11411</v>
      </c>
      <c r="M7690" s="3" t="s">
        <v>230</v>
      </c>
      <c r="N7690" s="6" t="s">
        <v>524</v>
      </c>
      <c r="O7690" s="6" t="s">
        <v>233</v>
      </c>
      <c r="P7690" s="58">
        <v>168</v>
      </c>
      <c r="Q7690" s="6" t="s">
        <v>240</v>
      </c>
      <c r="R7690" s="244">
        <v>26.82</v>
      </c>
      <c r="S7690" s="1">
        <v>180276</v>
      </c>
      <c r="T7690" s="4">
        <v>0</v>
      </c>
      <c r="U7690" s="4">
        <f t="shared" ref="U7690:U7781" si="389">T7690*1.12</f>
        <v>0</v>
      </c>
      <c r="V7690" s="3"/>
      <c r="W7690" s="3">
        <v>2014</v>
      </c>
      <c r="X7690" s="3" t="s">
        <v>17399</v>
      </c>
    </row>
    <row r="7691" spans="1:24" ht="89.25">
      <c r="A7691" s="3" t="s">
        <v>17445</v>
      </c>
      <c r="B7691" s="6" t="s">
        <v>361</v>
      </c>
      <c r="C7691" s="6" t="s">
        <v>16574</v>
      </c>
      <c r="D7691" s="6" t="s">
        <v>255</v>
      </c>
      <c r="E7691" s="6" t="s">
        <v>16575</v>
      </c>
      <c r="F7691" s="6" t="s">
        <v>16320</v>
      </c>
      <c r="G7691" s="3" t="s">
        <v>11450</v>
      </c>
      <c r="H7691" s="54">
        <v>0</v>
      </c>
      <c r="I7691" s="16">
        <v>470000000</v>
      </c>
      <c r="J7691" s="157" t="s">
        <v>229</v>
      </c>
      <c r="K7691" s="5" t="s">
        <v>10120</v>
      </c>
      <c r="L7691" s="17" t="s">
        <v>11411</v>
      </c>
      <c r="M7691" s="3" t="s">
        <v>230</v>
      </c>
      <c r="N7691" s="6" t="s">
        <v>528</v>
      </c>
      <c r="O7691" s="6" t="s">
        <v>233</v>
      </c>
      <c r="P7691" s="58">
        <v>168</v>
      </c>
      <c r="Q7691" s="6" t="s">
        <v>240</v>
      </c>
      <c r="R7691" s="244">
        <v>26.945</v>
      </c>
      <c r="S7691" s="1">
        <v>180276</v>
      </c>
      <c r="T7691" s="4">
        <v>0</v>
      </c>
      <c r="U7691" s="4">
        <f t="shared" si="389"/>
        <v>0</v>
      </c>
      <c r="V7691" s="3"/>
      <c r="W7691" s="3">
        <v>2014</v>
      </c>
      <c r="X7691" s="3">
        <v>11.14</v>
      </c>
    </row>
    <row r="7692" spans="1:24" ht="89.25">
      <c r="A7692" s="3" t="s">
        <v>18378</v>
      </c>
      <c r="B7692" s="6" t="s">
        <v>361</v>
      </c>
      <c r="C7692" s="6" t="s">
        <v>16574</v>
      </c>
      <c r="D7692" s="6" t="s">
        <v>255</v>
      </c>
      <c r="E7692" s="6" t="s">
        <v>16575</v>
      </c>
      <c r="F7692" s="6" t="s">
        <v>16320</v>
      </c>
      <c r="G7692" s="3" t="s">
        <v>11450</v>
      </c>
      <c r="H7692" s="54">
        <v>0</v>
      </c>
      <c r="I7692" s="16">
        <v>470000000</v>
      </c>
      <c r="J7692" s="157" t="s">
        <v>229</v>
      </c>
      <c r="K7692" s="5" t="s">
        <v>9041</v>
      </c>
      <c r="L7692" s="17" t="s">
        <v>11411</v>
      </c>
      <c r="M7692" s="3" t="s">
        <v>230</v>
      </c>
      <c r="N7692" s="6" t="s">
        <v>521</v>
      </c>
      <c r="O7692" s="6" t="s">
        <v>233</v>
      </c>
      <c r="P7692" s="58">
        <v>168</v>
      </c>
      <c r="Q7692" s="6" t="s">
        <v>240</v>
      </c>
      <c r="R7692" s="244">
        <v>26.945</v>
      </c>
      <c r="S7692" s="1">
        <v>180276</v>
      </c>
      <c r="T7692" s="4">
        <v>0</v>
      </c>
      <c r="U7692" s="4">
        <f t="shared" si="389"/>
        <v>0</v>
      </c>
      <c r="V7692" s="3"/>
      <c r="W7692" s="3">
        <v>2014</v>
      </c>
      <c r="X7692" s="3">
        <v>8.11</v>
      </c>
    </row>
    <row r="7693" spans="1:24" ht="89.25">
      <c r="A7693" s="3" t="s">
        <v>18946</v>
      </c>
      <c r="B7693" s="6" t="s">
        <v>361</v>
      </c>
      <c r="C7693" s="6" t="s">
        <v>16574</v>
      </c>
      <c r="D7693" s="6" t="s">
        <v>255</v>
      </c>
      <c r="E7693" s="6" t="s">
        <v>16575</v>
      </c>
      <c r="F7693" s="6" t="s">
        <v>16320</v>
      </c>
      <c r="G7693" s="3" t="s">
        <v>11450</v>
      </c>
      <c r="H7693" s="54">
        <v>0.35</v>
      </c>
      <c r="I7693" s="16">
        <v>470000000</v>
      </c>
      <c r="J7693" s="157" t="s">
        <v>229</v>
      </c>
      <c r="K7693" s="5" t="s">
        <v>9369</v>
      </c>
      <c r="L7693" s="17" t="s">
        <v>11411</v>
      </c>
      <c r="M7693" s="3" t="s">
        <v>230</v>
      </c>
      <c r="N7693" s="6" t="s">
        <v>521</v>
      </c>
      <c r="O7693" s="6" t="s">
        <v>233</v>
      </c>
      <c r="P7693" s="58">
        <v>168</v>
      </c>
      <c r="Q7693" s="6" t="s">
        <v>240</v>
      </c>
      <c r="R7693" s="244">
        <v>26.945</v>
      </c>
      <c r="S7693" s="1">
        <v>180276</v>
      </c>
      <c r="T7693" s="4">
        <f t="shared" ref="T7693" si="390">R7693*S7693</f>
        <v>4857536.82</v>
      </c>
      <c r="U7693" s="4">
        <f t="shared" si="389"/>
        <v>5440441.2384000011</v>
      </c>
      <c r="V7693" s="3"/>
      <c r="W7693" s="3">
        <v>2014</v>
      </c>
      <c r="X7693" s="3"/>
    </row>
    <row r="7694" spans="1:24" ht="89.25">
      <c r="A7694" s="3" t="s">
        <v>15943</v>
      </c>
      <c r="B7694" s="6" t="s">
        <v>361</v>
      </c>
      <c r="C7694" s="6" t="s">
        <v>15005</v>
      </c>
      <c r="D7694" s="6" t="s">
        <v>255</v>
      </c>
      <c r="E7694" s="6" t="s">
        <v>15006</v>
      </c>
      <c r="F7694" s="6" t="s">
        <v>16321</v>
      </c>
      <c r="G7694" s="3" t="s">
        <v>11449</v>
      </c>
      <c r="H7694" s="54">
        <v>0</v>
      </c>
      <c r="I7694" s="16">
        <v>470000000</v>
      </c>
      <c r="J7694" s="157" t="s">
        <v>229</v>
      </c>
      <c r="K7694" s="5" t="s">
        <v>14590</v>
      </c>
      <c r="L7694" s="17" t="s">
        <v>11411</v>
      </c>
      <c r="M7694" s="3" t="s">
        <v>230</v>
      </c>
      <c r="N7694" s="6" t="s">
        <v>524</v>
      </c>
      <c r="O7694" s="6" t="s">
        <v>233</v>
      </c>
      <c r="P7694" s="58">
        <v>168</v>
      </c>
      <c r="Q7694" s="6" t="s">
        <v>240</v>
      </c>
      <c r="R7694" s="244">
        <v>6.73</v>
      </c>
      <c r="S7694" s="1">
        <v>180276</v>
      </c>
      <c r="T7694" s="4">
        <v>0</v>
      </c>
      <c r="U7694" s="4">
        <f t="shared" si="389"/>
        <v>0</v>
      </c>
      <c r="V7694" s="3"/>
      <c r="W7694" s="3">
        <v>2014</v>
      </c>
      <c r="X7694" s="3" t="s">
        <v>17399</v>
      </c>
    </row>
    <row r="7695" spans="1:24" ht="89.25">
      <c r="A7695" s="3" t="s">
        <v>17446</v>
      </c>
      <c r="B7695" s="6" t="s">
        <v>361</v>
      </c>
      <c r="C7695" s="6" t="s">
        <v>15005</v>
      </c>
      <c r="D7695" s="6" t="s">
        <v>255</v>
      </c>
      <c r="E7695" s="6" t="s">
        <v>15006</v>
      </c>
      <c r="F7695" s="6" t="s">
        <v>16321</v>
      </c>
      <c r="G7695" s="3" t="s">
        <v>11450</v>
      </c>
      <c r="H7695" s="54">
        <v>0</v>
      </c>
      <c r="I7695" s="16">
        <v>470000000</v>
      </c>
      <c r="J7695" s="157" t="s">
        <v>229</v>
      </c>
      <c r="K7695" s="5" t="s">
        <v>16428</v>
      </c>
      <c r="L7695" s="17" t="s">
        <v>11411</v>
      </c>
      <c r="M7695" s="3" t="s">
        <v>230</v>
      </c>
      <c r="N7695" s="6" t="s">
        <v>528</v>
      </c>
      <c r="O7695" s="6" t="s">
        <v>233</v>
      </c>
      <c r="P7695" s="58">
        <v>168</v>
      </c>
      <c r="Q7695" s="6" t="s">
        <v>240</v>
      </c>
      <c r="R7695" s="244">
        <v>6.73</v>
      </c>
      <c r="S7695" s="1">
        <v>180276</v>
      </c>
      <c r="T7695" s="4">
        <f t="shared" ref="T7695" si="391">R7695*S7695</f>
        <v>1213257.48</v>
      </c>
      <c r="U7695" s="4">
        <f t="shared" si="389"/>
        <v>1358848.3776</v>
      </c>
      <c r="V7695" s="3"/>
      <c r="W7695" s="3">
        <v>2014</v>
      </c>
      <c r="X7695" s="3"/>
    </row>
    <row r="7696" spans="1:24" ht="89.25">
      <c r="A7696" s="3" t="s">
        <v>15944</v>
      </c>
      <c r="B7696" s="6" t="s">
        <v>361</v>
      </c>
      <c r="C7696" s="6" t="s">
        <v>16576</v>
      </c>
      <c r="D7696" s="6" t="s">
        <v>255</v>
      </c>
      <c r="E7696" s="6" t="s">
        <v>16577</v>
      </c>
      <c r="F7696" s="6" t="s">
        <v>16322</v>
      </c>
      <c r="G7696" s="3" t="s">
        <v>11449</v>
      </c>
      <c r="H7696" s="54">
        <v>0</v>
      </c>
      <c r="I7696" s="16">
        <v>470000000</v>
      </c>
      <c r="J7696" s="157" t="s">
        <v>229</v>
      </c>
      <c r="K7696" s="5" t="s">
        <v>14590</v>
      </c>
      <c r="L7696" s="17" t="s">
        <v>11411</v>
      </c>
      <c r="M7696" s="3" t="s">
        <v>230</v>
      </c>
      <c r="N7696" s="6" t="s">
        <v>524</v>
      </c>
      <c r="O7696" s="6" t="s">
        <v>233</v>
      </c>
      <c r="P7696" s="58">
        <v>168</v>
      </c>
      <c r="Q7696" s="6" t="s">
        <v>240</v>
      </c>
      <c r="R7696" s="244">
        <v>2.5409999999999999</v>
      </c>
      <c r="S7696" s="1">
        <v>200000</v>
      </c>
      <c r="T7696" s="4">
        <v>0</v>
      </c>
      <c r="U7696" s="4">
        <f t="shared" si="389"/>
        <v>0</v>
      </c>
      <c r="V7696" s="3"/>
      <c r="W7696" s="3">
        <v>2014</v>
      </c>
      <c r="X7696" s="3" t="s">
        <v>17399</v>
      </c>
    </row>
    <row r="7697" spans="1:24" ht="89.25">
      <c r="A7697" s="3" t="s">
        <v>17447</v>
      </c>
      <c r="B7697" s="6" t="s">
        <v>361</v>
      </c>
      <c r="C7697" s="6" t="s">
        <v>16576</v>
      </c>
      <c r="D7697" s="6" t="s">
        <v>255</v>
      </c>
      <c r="E7697" s="6" t="s">
        <v>16577</v>
      </c>
      <c r="F7697" s="6" t="s">
        <v>16322</v>
      </c>
      <c r="G7697" s="3" t="s">
        <v>11450</v>
      </c>
      <c r="H7697" s="54">
        <v>0</v>
      </c>
      <c r="I7697" s="16">
        <v>470000000</v>
      </c>
      <c r="J7697" s="157" t="s">
        <v>229</v>
      </c>
      <c r="K7697" s="5" t="s">
        <v>16428</v>
      </c>
      <c r="L7697" s="17" t="s">
        <v>11411</v>
      </c>
      <c r="M7697" s="3" t="s">
        <v>230</v>
      </c>
      <c r="N7697" s="6" t="s">
        <v>528</v>
      </c>
      <c r="O7697" s="6" t="s">
        <v>233</v>
      </c>
      <c r="P7697" s="58">
        <v>168</v>
      </c>
      <c r="Q7697" s="6" t="s">
        <v>240</v>
      </c>
      <c r="R7697" s="244">
        <v>2.5409999999999999</v>
      </c>
      <c r="S7697" s="1">
        <v>202000</v>
      </c>
      <c r="T7697" s="4">
        <f t="shared" ref="T7697" si="392">R7697*S7697</f>
        <v>513282</v>
      </c>
      <c r="U7697" s="4">
        <f t="shared" si="389"/>
        <v>574875.84000000008</v>
      </c>
      <c r="V7697" s="3"/>
      <c r="W7697" s="3">
        <v>2014</v>
      </c>
      <c r="X7697" s="3"/>
    </row>
    <row r="7698" spans="1:24" ht="89.25">
      <c r="A7698" s="3" t="s">
        <v>15945</v>
      </c>
      <c r="B7698" s="6" t="s">
        <v>361</v>
      </c>
      <c r="C7698" s="6" t="s">
        <v>3104</v>
      </c>
      <c r="D7698" s="6" t="s">
        <v>255</v>
      </c>
      <c r="E7698" s="6" t="s">
        <v>3105</v>
      </c>
      <c r="F7698" s="6" t="s">
        <v>16323</v>
      </c>
      <c r="G7698" s="3" t="s">
        <v>11449</v>
      </c>
      <c r="H7698" s="54">
        <v>0</v>
      </c>
      <c r="I7698" s="16">
        <v>470000000</v>
      </c>
      <c r="J7698" s="157" t="s">
        <v>229</v>
      </c>
      <c r="K7698" s="5" t="s">
        <v>14590</v>
      </c>
      <c r="L7698" s="17" t="s">
        <v>11411</v>
      </c>
      <c r="M7698" s="3" t="s">
        <v>230</v>
      </c>
      <c r="N7698" s="6" t="s">
        <v>524</v>
      </c>
      <c r="O7698" s="6" t="s">
        <v>233</v>
      </c>
      <c r="P7698" s="58">
        <v>168</v>
      </c>
      <c r="Q7698" s="6" t="s">
        <v>240</v>
      </c>
      <c r="R7698" s="244">
        <v>29.297499999999999</v>
      </c>
      <c r="S7698" s="1">
        <v>200000</v>
      </c>
      <c r="T7698" s="4">
        <v>0</v>
      </c>
      <c r="U7698" s="4">
        <f t="shared" si="389"/>
        <v>0</v>
      </c>
      <c r="V7698" s="3"/>
      <c r="W7698" s="3">
        <v>2014</v>
      </c>
      <c r="X7698" s="3" t="s">
        <v>17399</v>
      </c>
    </row>
    <row r="7699" spans="1:24" ht="89.25">
      <c r="A7699" s="3" t="s">
        <v>17448</v>
      </c>
      <c r="B7699" s="6" t="s">
        <v>361</v>
      </c>
      <c r="C7699" s="6" t="s">
        <v>3104</v>
      </c>
      <c r="D7699" s="6" t="s">
        <v>255</v>
      </c>
      <c r="E7699" s="6" t="s">
        <v>3105</v>
      </c>
      <c r="F7699" s="6" t="s">
        <v>16323</v>
      </c>
      <c r="G7699" s="3" t="s">
        <v>11450</v>
      </c>
      <c r="H7699" s="54">
        <v>0</v>
      </c>
      <c r="I7699" s="16">
        <v>470000000</v>
      </c>
      <c r="J7699" s="157" t="s">
        <v>229</v>
      </c>
      <c r="K7699" s="5" t="s">
        <v>10120</v>
      </c>
      <c r="L7699" s="17" t="s">
        <v>11411</v>
      </c>
      <c r="M7699" s="3" t="s">
        <v>230</v>
      </c>
      <c r="N7699" s="6" t="s">
        <v>521</v>
      </c>
      <c r="O7699" s="6" t="s">
        <v>233</v>
      </c>
      <c r="P7699" s="58">
        <v>168</v>
      </c>
      <c r="Q7699" s="6" t="s">
        <v>240</v>
      </c>
      <c r="R7699" s="252">
        <v>29.297499999999999</v>
      </c>
      <c r="S7699" s="1">
        <v>207900</v>
      </c>
      <c r="T7699" s="4">
        <v>0</v>
      </c>
      <c r="U7699" s="4">
        <f t="shared" si="389"/>
        <v>0</v>
      </c>
      <c r="V7699" s="3"/>
      <c r="W7699" s="3">
        <v>2014</v>
      </c>
      <c r="X7699" s="3">
        <v>11</v>
      </c>
    </row>
    <row r="7700" spans="1:24" ht="89.25">
      <c r="A7700" s="3" t="s">
        <v>18951</v>
      </c>
      <c r="B7700" s="6" t="s">
        <v>361</v>
      </c>
      <c r="C7700" s="6" t="s">
        <v>3104</v>
      </c>
      <c r="D7700" s="6" t="s">
        <v>255</v>
      </c>
      <c r="E7700" s="6" t="s">
        <v>3105</v>
      </c>
      <c r="F7700" s="6" t="s">
        <v>16323</v>
      </c>
      <c r="G7700" s="3" t="s">
        <v>11450</v>
      </c>
      <c r="H7700" s="54">
        <v>0</v>
      </c>
      <c r="I7700" s="16">
        <v>470000000</v>
      </c>
      <c r="J7700" s="157" t="s">
        <v>229</v>
      </c>
      <c r="K7700" s="5" t="s">
        <v>9369</v>
      </c>
      <c r="L7700" s="17" t="s">
        <v>11411</v>
      </c>
      <c r="M7700" s="3" t="s">
        <v>230</v>
      </c>
      <c r="N7700" s="6" t="s">
        <v>521</v>
      </c>
      <c r="O7700" s="6" t="s">
        <v>233</v>
      </c>
      <c r="P7700" s="58">
        <v>168</v>
      </c>
      <c r="Q7700" s="6" t="s">
        <v>240</v>
      </c>
      <c r="R7700" s="252">
        <v>29.297499999999999</v>
      </c>
      <c r="S7700" s="1">
        <v>207900</v>
      </c>
      <c r="T7700" s="4">
        <f t="shared" ref="T7700" si="393">R7700*S7700</f>
        <v>6090950.25</v>
      </c>
      <c r="U7700" s="4">
        <f t="shared" si="389"/>
        <v>6821864.2800000003</v>
      </c>
      <c r="V7700" s="3"/>
      <c r="W7700" s="3">
        <v>2014</v>
      </c>
      <c r="X7700" s="3"/>
    </row>
    <row r="7701" spans="1:24" ht="89.25">
      <c r="A7701" s="3" t="s">
        <v>15946</v>
      </c>
      <c r="B7701" s="6" t="s">
        <v>361</v>
      </c>
      <c r="C7701" s="6" t="s">
        <v>16578</v>
      </c>
      <c r="D7701" s="6" t="s">
        <v>255</v>
      </c>
      <c r="E7701" s="6" t="s">
        <v>16579</v>
      </c>
      <c r="F7701" s="6" t="s">
        <v>16324</v>
      </c>
      <c r="G7701" s="3" t="s">
        <v>11449</v>
      </c>
      <c r="H7701" s="54">
        <v>0</v>
      </c>
      <c r="I7701" s="16">
        <v>470000000</v>
      </c>
      <c r="J7701" s="157" t="s">
        <v>229</v>
      </c>
      <c r="K7701" s="5" t="s">
        <v>14590</v>
      </c>
      <c r="L7701" s="17" t="s">
        <v>11411</v>
      </c>
      <c r="M7701" s="3" t="s">
        <v>230</v>
      </c>
      <c r="N7701" s="6" t="s">
        <v>524</v>
      </c>
      <c r="O7701" s="6" t="s">
        <v>233</v>
      </c>
      <c r="P7701" s="58">
        <v>168</v>
      </c>
      <c r="Q7701" s="6" t="s">
        <v>240</v>
      </c>
      <c r="R7701" s="244">
        <v>10.315</v>
      </c>
      <c r="S7701" s="1">
        <v>171000</v>
      </c>
      <c r="T7701" s="4">
        <v>0</v>
      </c>
      <c r="U7701" s="4">
        <f t="shared" si="389"/>
        <v>0</v>
      </c>
      <c r="V7701" s="3"/>
      <c r="W7701" s="3">
        <v>2014</v>
      </c>
      <c r="X7701" s="3" t="s">
        <v>16520</v>
      </c>
    </row>
    <row r="7702" spans="1:24" ht="89.25">
      <c r="A7702" s="3" t="s">
        <v>17449</v>
      </c>
      <c r="B7702" s="6" t="s">
        <v>361</v>
      </c>
      <c r="C7702" s="6" t="s">
        <v>16578</v>
      </c>
      <c r="D7702" s="6" t="s">
        <v>255</v>
      </c>
      <c r="E7702" s="6" t="s">
        <v>16579</v>
      </c>
      <c r="F7702" s="6" t="s">
        <v>16324</v>
      </c>
      <c r="G7702" s="3" t="s">
        <v>11450</v>
      </c>
      <c r="H7702" s="54">
        <v>0</v>
      </c>
      <c r="I7702" s="16">
        <v>470000000</v>
      </c>
      <c r="J7702" s="157" t="s">
        <v>229</v>
      </c>
      <c r="K7702" s="5" t="s">
        <v>10120</v>
      </c>
      <c r="L7702" s="17" t="s">
        <v>11411</v>
      </c>
      <c r="M7702" s="3" t="s">
        <v>230</v>
      </c>
      <c r="N7702" s="6" t="s">
        <v>528</v>
      </c>
      <c r="O7702" s="6" t="s">
        <v>233</v>
      </c>
      <c r="P7702" s="58">
        <v>168</v>
      </c>
      <c r="Q7702" s="6" t="s">
        <v>240</v>
      </c>
      <c r="R7702" s="244">
        <v>10.315000000000001</v>
      </c>
      <c r="S7702" s="1">
        <v>202000</v>
      </c>
      <c r="T7702" s="4">
        <v>0</v>
      </c>
      <c r="U7702" s="4">
        <f t="shared" si="389"/>
        <v>0</v>
      </c>
      <c r="V7702" s="3"/>
      <c r="W7702" s="3">
        <v>2014</v>
      </c>
      <c r="X7702" s="3" t="s">
        <v>14780</v>
      </c>
    </row>
    <row r="7703" spans="1:24" ht="89.25">
      <c r="A7703" s="3" t="s">
        <v>18773</v>
      </c>
      <c r="B7703" s="6" t="s">
        <v>361</v>
      </c>
      <c r="C7703" s="6" t="s">
        <v>16578</v>
      </c>
      <c r="D7703" s="6" t="s">
        <v>255</v>
      </c>
      <c r="E7703" s="6" t="s">
        <v>16579</v>
      </c>
      <c r="F7703" s="6" t="s">
        <v>16324</v>
      </c>
      <c r="G7703" s="3" t="s">
        <v>11450</v>
      </c>
      <c r="H7703" s="54">
        <v>0</v>
      </c>
      <c r="I7703" s="16">
        <v>470000000</v>
      </c>
      <c r="J7703" s="157" t="s">
        <v>229</v>
      </c>
      <c r="K7703" s="5" t="s">
        <v>18437</v>
      </c>
      <c r="L7703" s="17" t="s">
        <v>11411</v>
      </c>
      <c r="M7703" s="3" t="s">
        <v>230</v>
      </c>
      <c r="N7703" s="6" t="s">
        <v>528</v>
      </c>
      <c r="O7703" s="6" t="s">
        <v>233</v>
      </c>
      <c r="P7703" s="58">
        <v>168</v>
      </c>
      <c r="Q7703" s="6" t="s">
        <v>240</v>
      </c>
      <c r="R7703" s="244">
        <v>15</v>
      </c>
      <c r="S7703" s="1">
        <v>202000</v>
      </c>
      <c r="T7703" s="4">
        <f t="shared" ref="T7703" si="394">R7703*S7703</f>
        <v>3030000</v>
      </c>
      <c r="U7703" s="4">
        <f t="shared" si="389"/>
        <v>3393600.0000000005</v>
      </c>
      <c r="V7703" s="3"/>
      <c r="W7703" s="3">
        <v>2014</v>
      </c>
      <c r="X7703" s="3"/>
    </row>
    <row r="7704" spans="1:24" ht="89.25">
      <c r="A7704" s="3" t="s">
        <v>15947</v>
      </c>
      <c r="B7704" s="6" t="s">
        <v>361</v>
      </c>
      <c r="C7704" s="6" t="s">
        <v>16580</v>
      </c>
      <c r="D7704" s="6" t="s">
        <v>255</v>
      </c>
      <c r="E7704" s="6" t="s">
        <v>16581</v>
      </c>
      <c r="F7704" s="6" t="s">
        <v>16325</v>
      </c>
      <c r="G7704" s="3" t="s">
        <v>11449</v>
      </c>
      <c r="H7704" s="54">
        <v>0</v>
      </c>
      <c r="I7704" s="16">
        <v>470000000</v>
      </c>
      <c r="J7704" s="157" t="s">
        <v>229</v>
      </c>
      <c r="K7704" s="5" t="s">
        <v>14590</v>
      </c>
      <c r="L7704" s="17" t="s">
        <v>11411</v>
      </c>
      <c r="M7704" s="3" t="s">
        <v>230</v>
      </c>
      <c r="N7704" s="6" t="s">
        <v>524</v>
      </c>
      <c r="O7704" s="6" t="s">
        <v>233</v>
      </c>
      <c r="P7704" s="58">
        <v>168</v>
      </c>
      <c r="Q7704" s="6" t="s">
        <v>240</v>
      </c>
      <c r="R7704" s="244">
        <v>0.39200000000000002</v>
      </c>
      <c r="S7704" s="1">
        <v>171000</v>
      </c>
      <c r="T7704" s="4">
        <v>0</v>
      </c>
      <c r="U7704" s="4">
        <f t="shared" si="389"/>
        <v>0</v>
      </c>
      <c r="V7704" s="3"/>
      <c r="W7704" s="3">
        <v>2014</v>
      </c>
      <c r="X7704" s="3" t="s">
        <v>17399</v>
      </c>
    </row>
    <row r="7705" spans="1:24" ht="89.25">
      <c r="A7705" s="3" t="s">
        <v>17450</v>
      </c>
      <c r="B7705" s="6" t="s">
        <v>361</v>
      </c>
      <c r="C7705" s="6" t="s">
        <v>16580</v>
      </c>
      <c r="D7705" s="6" t="s">
        <v>255</v>
      </c>
      <c r="E7705" s="6" t="s">
        <v>16581</v>
      </c>
      <c r="F7705" s="6" t="s">
        <v>16325</v>
      </c>
      <c r="G7705" s="3" t="s">
        <v>11450</v>
      </c>
      <c r="H7705" s="54">
        <v>0</v>
      </c>
      <c r="I7705" s="16">
        <v>470000000</v>
      </c>
      <c r="J7705" s="157" t="s">
        <v>229</v>
      </c>
      <c r="K7705" s="5" t="s">
        <v>10120</v>
      </c>
      <c r="L7705" s="17" t="s">
        <v>11411</v>
      </c>
      <c r="M7705" s="3" t="s">
        <v>230</v>
      </c>
      <c r="N7705" s="6" t="s">
        <v>528</v>
      </c>
      <c r="O7705" s="6" t="s">
        <v>233</v>
      </c>
      <c r="P7705" s="58">
        <v>168</v>
      </c>
      <c r="Q7705" s="6" t="s">
        <v>240</v>
      </c>
      <c r="R7705" s="244">
        <v>0.39200000000000002</v>
      </c>
      <c r="S7705" s="1">
        <v>171000</v>
      </c>
      <c r="T7705" s="4">
        <f t="shared" ref="T7705" si="395">R7705*S7705</f>
        <v>67032</v>
      </c>
      <c r="U7705" s="4">
        <f t="shared" si="389"/>
        <v>75075.840000000011</v>
      </c>
      <c r="V7705" s="3"/>
      <c r="W7705" s="3">
        <v>2014</v>
      </c>
      <c r="X7705" s="3"/>
    </row>
    <row r="7706" spans="1:24" ht="89.25">
      <c r="A7706" s="3" t="s">
        <v>15948</v>
      </c>
      <c r="B7706" s="6" t="s">
        <v>361</v>
      </c>
      <c r="C7706" s="6" t="s">
        <v>15007</v>
      </c>
      <c r="D7706" s="6" t="s">
        <v>255</v>
      </c>
      <c r="E7706" s="6" t="s">
        <v>15008</v>
      </c>
      <c r="F7706" s="6" t="s">
        <v>16326</v>
      </c>
      <c r="G7706" s="3" t="s">
        <v>11449</v>
      </c>
      <c r="H7706" s="54">
        <v>0</v>
      </c>
      <c r="I7706" s="16">
        <v>470000000</v>
      </c>
      <c r="J7706" s="157" t="s">
        <v>229</v>
      </c>
      <c r="K7706" s="5" t="s">
        <v>14590</v>
      </c>
      <c r="L7706" s="17" t="s">
        <v>11411</v>
      </c>
      <c r="M7706" s="3" t="s">
        <v>230</v>
      </c>
      <c r="N7706" s="6" t="s">
        <v>524</v>
      </c>
      <c r="O7706" s="6" t="s">
        <v>233</v>
      </c>
      <c r="P7706" s="58">
        <v>168</v>
      </c>
      <c r="Q7706" s="6" t="s">
        <v>240</v>
      </c>
      <c r="R7706" s="244">
        <v>0.88400000000000001</v>
      </c>
      <c r="S7706" s="1">
        <v>171000</v>
      </c>
      <c r="T7706" s="4">
        <v>0</v>
      </c>
      <c r="U7706" s="4">
        <f t="shared" si="389"/>
        <v>0</v>
      </c>
      <c r="V7706" s="3"/>
      <c r="W7706" s="3">
        <v>2014</v>
      </c>
      <c r="X7706" s="3" t="s">
        <v>16520</v>
      </c>
    </row>
    <row r="7707" spans="1:24" ht="89.25">
      <c r="A7707" s="3" t="s">
        <v>17451</v>
      </c>
      <c r="B7707" s="6" t="s">
        <v>361</v>
      </c>
      <c r="C7707" s="6" t="s">
        <v>15007</v>
      </c>
      <c r="D7707" s="6" t="s">
        <v>255</v>
      </c>
      <c r="E7707" s="6" t="s">
        <v>15008</v>
      </c>
      <c r="F7707" s="6" t="s">
        <v>16326</v>
      </c>
      <c r="G7707" s="3" t="s">
        <v>11450</v>
      </c>
      <c r="H7707" s="54">
        <v>0</v>
      </c>
      <c r="I7707" s="16">
        <v>470000000</v>
      </c>
      <c r="J7707" s="157" t="s">
        <v>229</v>
      </c>
      <c r="K7707" s="5" t="s">
        <v>10120</v>
      </c>
      <c r="L7707" s="17" t="s">
        <v>11411</v>
      </c>
      <c r="M7707" s="3" t="s">
        <v>230</v>
      </c>
      <c r="N7707" s="6" t="s">
        <v>528</v>
      </c>
      <c r="O7707" s="6" t="s">
        <v>233</v>
      </c>
      <c r="P7707" s="58">
        <v>168</v>
      </c>
      <c r="Q7707" s="6" t="s">
        <v>240</v>
      </c>
      <c r="R7707" s="244">
        <v>0.8839999999999999</v>
      </c>
      <c r="S7707" s="1">
        <v>205440</v>
      </c>
      <c r="T7707" s="4">
        <f t="shared" ref="T7707" si="396">R7707*S7707</f>
        <v>181608.95999999999</v>
      </c>
      <c r="U7707" s="4">
        <f t="shared" si="389"/>
        <v>203402.03520000001</v>
      </c>
      <c r="V7707" s="3"/>
      <c r="W7707" s="3">
        <v>2014</v>
      </c>
      <c r="X7707" s="3"/>
    </row>
    <row r="7708" spans="1:24" ht="89.25">
      <c r="A7708" s="3" t="s">
        <v>15949</v>
      </c>
      <c r="B7708" s="6" t="s">
        <v>361</v>
      </c>
      <c r="C7708" s="6" t="s">
        <v>3102</v>
      </c>
      <c r="D7708" s="6" t="s">
        <v>255</v>
      </c>
      <c r="E7708" s="6" t="s">
        <v>3103</v>
      </c>
      <c r="F7708" s="6" t="s">
        <v>16327</v>
      </c>
      <c r="G7708" s="3" t="s">
        <v>11449</v>
      </c>
      <c r="H7708" s="54">
        <v>0</v>
      </c>
      <c r="I7708" s="16">
        <v>470000000</v>
      </c>
      <c r="J7708" s="157" t="s">
        <v>229</v>
      </c>
      <c r="K7708" s="5" t="s">
        <v>14590</v>
      </c>
      <c r="L7708" s="17" t="s">
        <v>11411</v>
      </c>
      <c r="M7708" s="3" t="s">
        <v>230</v>
      </c>
      <c r="N7708" s="6" t="s">
        <v>524</v>
      </c>
      <c r="O7708" s="6" t="s">
        <v>233</v>
      </c>
      <c r="P7708" s="58">
        <v>168</v>
      </c>
      <c r="Q7708" s="6" t="s">
        <v>240</v>
      </c>
      <c r="R7708" s="244">
        <v>76.60166667</v>
      </c>
      <c r="S7708" s="1">
        <v>160000</v>
      </c>
      <c r="T7708" s="4">
        <v>0</v>
      </c>
      <c r="U7708" s="4">
        <f t="shared" si="389"/>
        <v>0</v>
      </c>
      <c r="V7708" s="3"/>
      <c r="W7708" s="3">
        <v>2014</v>
      </c>
      <c r="X7708" s="6" t="s">
        <v>17321</v>
      </c>
    </row>
    <row r="7709" spans="1:24" ht="89.25">
      <c r="A7709" s="3" t="s">
        <v>17452</v>
      </c>
      <c r="B7709" s="6" t="s">
        <v>361</v>
      </c>
      <c r="C7709" s="6" t="s">
        <v>3102</v>
      </c>
      <c r="D7709" s="6" t="s">
        <v>255</v>
      </c>
      <c r="E7709" s="6" t="s">
        <v>3103</v>
      </c>
      <c r="F7709" s="6" t="s">
        <v>16327</v>
      </c>
      <c r="G7709" s="3" t="s">
        <v>11449</v>
      </c>
      <c r="H7709" s="54">
        <v>0</v>
      </c>
      <c r="I7709" s="16">
        <v>470000000</v>
      </c>
      <c r="J7709" s="157" t="s">
        <v>229</v>
      </c>
      <c r="K7709" s="5" t="s">
        <v>9041</v>
      </c>
      <c r="L7709" s="17" t="s">
        <v>11411</v>
      </c>
      <c r="M7709" s="3" t="s">
        <v>230</v>
      </c>
      <c r="N7709" s="6" t="s">
        <v>521</v>
      </c>
      <c r="O7709" s="6" t="s">
        <v>233</v>
      </c>
      <c r="P7709" s="58">
        <v>168</v>
      </c>
      <c r="Q7709" s="6" t="s">
        <v>240</v>
      </c>
      <c r="R7709" s="244">
        <v>76.900000000000006</v>
      </c>
      <c r="S7709" s="1">
        <v>171000</v>
      </c>
      <c r="T7709" s="4">
        <v>0</v>
      </c>
      <c r="U7709" s="4">
        <f t="shared" si="389"/>
        <v>0</v>
      </c>
      <c r="V7709" s="3"/>
      <c r="W7709" s="3">
        <v>2014</v>
      </c>
      <c r="X7709" s="3">
        <v>11</v>
      </c>
    </row>
    <row r="7710" spans="1:24" ht="89.25">
      <c r="A7710" s="3" t="s">
        <v>19053</v>
      </c>
      <c r="B7710" s="6" t="s">
        <v>361</v>
      </c>
      <c r="C7710" s="6" t="s">
        <v>3102</v>
      </c>
      <c r="D7710" s="6" t="s">
        <v>255</v>
      </c>
      <c r="E7710" s="6" t="s">
        <v>3103</v>
      </c>
      <c r="F7710" s="6" t="s">
        <v>16327</v>
      </c>
      <c r="G7710" s="3" t="s">
        <v>11449</v>
      </c>
      <c r="H7710" s="54">
        <v>0</v>
      </c>
      <c r="I7710" s="16">
        <v>470000000</v>
      </c>
      <c r="J7710" s="157" t="s">
        <v>229</v>
      </c>
      <c r="K7710" s="5" t="s">
        <v>18748</v>
      </c>
      <c r="L7710" s="17" t="s">
        <v>11411</v>
      </c>
      <c r="M7710" s="3" t="s">
        <v>230</v>
      </c>
      <c r="N7710" s="6" t="s">
        <v>521</v>
      </c>
      <c r="O7710" s="6" t="s">
        <v>233</v>
      </c>
      <c r="P7710" s="58">
        <v>168</v>
      </c>
      <c r="Q7710" s="6" t="s">
        <v>240</v>
      </c>
      <c r="R7710" s="244">
        <v>76.900000000000006</v>
      </c>
      <c r="S7710" s="1">
        <v>171000</v>
      </c>
      <c r="T7710" s="4">
        <f t="shared" ref="T7710" si="397">R7710*S7710</f>
        <v>13149900.000000002</v>
      </c>
      <c r="U7710" s="4">
        <f t="shared" ref="U7710" si="398">T7710*1.12</f>
        <v>14727888.000000004</v>
      </c>
      <c r="V7710" s="3"/>
      <c r="W7710" s="3">
        <v>2014</v>
      </c>
      <c r="X7710" s="3"/>
    </row>
    <row r="7711" spans="1:24" ht="89.25">
      <c r="A7711" s="3" t="s">
        <v>15950</v>
      </c>
      <c r="B7711" s="6" t="s">
        <v>361</v>
      </c>
      <c r="C7711" s="6" t="s">
        <v>16622</v>
      </c>
      <c r="D7711" s="6" t="s">
        <v>255</v>
      </c>
      <c r="E7711" s="6" t="s">
        <v>16623</v>
      </c>
      <c r="F7711" s="6" t="s">
        <v>16328</v>
      </c>
      <c r="G7711" s="3" t="s">
        <v>11449</v>
      </c>
      <c r="H7711" s="54">
        <v>0</v>
      </c>
      <c r="I7711" s="16">
        <v>470000000</v>
      </c>
      <c r="J7711" s="157" t="s">
        <v>229</v>
      </c>
      <c r="K7711" s="5" t="s">
        <v>14590</v>
      </c>
      <c r="L7711" s="17" t="s">
        <v>11411</v>
      </c>
      <c r="M7711" s="3" t="s">
        <v>230</v>
      </c>
      <c r="N7711" s="6" t="s">
        <v>524</v>
      </c>
      <c r="O7711" s="6" t="s">
        <v>233</v>
      </c>
      <c r="P7711" s="58">
        <v>168</v>
      </c>
      <c r="Q7711" s="6" t="s">
        <v>240</v>
      </c>
      <c r="R7711" s="244">
        <v>44.42</v>
      </c>
      <c r="S7711" s="1">
        <v>160000</v>
      </c>
      <c r="T7711" s="4">
        <v>0</v>
      </c>
      <c r="U7711" s="4">
        <f t="shared" si="389"/>
        <v>0</v>
      </c>
      <c r="V7711" s="3"/>
      <c r="W7711" s="3">
        <v>2014</v>
      </c>
      <c r="X7711" s="3" t="s">
        <v>16521</v>
      </c>
    </row>
    <row r="7712" spans="1:24" ht="89.25">
      <c r="A7712" s="3" t="s">
        <v>17453</v>
      </c>
      <c r="B7712" s="6" t="s">
        <v>361</v>
      </c>
      <c r="C7712" s="6" t="s">
        <v>16622</v>
      </c>
      <c r="D7712" s="6" t="s">
        <v>255</v>
      </c>
      <c r="E7712" s="6" t="s">
        <v>16623</v>
      </c>
      <c r="F7712" s="6" t="s">
        <v>16328</v>
      </c>
      <c r="G7712" s="3" t="s">
        <v>11449</v>
      </c>
      <c r="H7712" s="54">
        <v>0</v>
      </c>
      <c r="I7712" s="16">
        <v>470000000</v>
      </c>
      <c r="J7712" s="157" t="s">
        <v>229</v>
      </c>
      <c r="K7712" s="5" t="s">
        <v>10120</v>
      </c>
      <c r="L7712" s="17" t="s">
        <v>11411</v>
      </c>
      <c r="M7712" s="3" t="s">
        <v>230</v>
      </c>
      <c r="N7712" s="6" t="s">
        <v>521</v>
      </c>
      <c r="O7712" s="6" t="s">
        <v>233</v>
      </c>
      <c r="P7712" s="58">
        <v>168</v>
      </c>
      <c r="Q7712" s="6" t="s">
        <v>240</v>
      </c>
      <c r="R7712" s="244">
        <v>44.419999999999995</v>
      </c>
      <c r="S7712" s="1">
        <v>171000</v>
      </c>
      <c r="T7712" s="4">
        <v>0</v>
      </c>
      <c r="U7712" s="4">
        <f t="shared" si="389"/>
        <v>0</v>
      </c>
      <c r="V7712" s="3"/>
      <c r="W7712" s="3">
        <v>2014</v>
      </c>
      <c r="X7712" s="3">
        <v>11</v>
      </c>
    </row>
    <row r="7713" spans="1:24" ht="89.25">
      <c r="A7713" s="3" t="s">
        <v>19054</v>
      </c>
      <c r="B7713" s="6" t="s">
        <v>361</v>
      </c>
      <c r="C7713" s="6" t="s">
        <v>16622</v>
      </c>
      <c r="D7713" s="6" t="s">
        <v>255</v>
      </c>
      <c r="E7713" s="6" t="s">
        <v>16623</v>
      </c>
      <c r="F7713" s="6" t="s">
        <v>16328</v>
      </c>
      <c r="G7713" s="3" t="s">
        <v>11449</v>
      </c>
      <c r="H7713" s="54">
        <v>0</v>
      </c>
      <c r="I7713" s="16">
        <v>470000000</v>
      </c>
      <c r="J7713" s="157" t="s">
        <v>229</v>
      </c>
      <c r="K7713" s="5" t="s">
        <v>18748</v>
      </c>
      <c r="L7713" s="17" t="s">
        <v>11411</v>
      </c>
      <c r="M7713" s="3" t="s">
        <v>230</v>
      </c>
      <c r="N7713" s="6" t="s">
        <v>521</v>
      </c>
      <c r="O7713" s="6" t="s">
        <v>233</v>
      </c>
      <c r="P7713" s="58">
        <v>168</v>
      </c>
      <c r="Q7713" s="6" t="s">
        <v>240</v>
      </c>
      <c r="R7713" s="244">
        <v>44.419999999999995</v>
      </c>
      <c r="S7713" s="1">
        <v>171000</v>
      </c>
      <c r="T7713" s="4">
        <f t="shared" ref="T7713" si="399">R7713*S7713</f>
        <v>7595819.9999999991</v>
      </c>
      <c r="U7713" s="4">
        <f t="shared" ref="U7713" si="400">T7713*1.12</f>
        <v>8507318.4000000004</v>
      </c>
      <c r="V7713" s="3"/>
      <c r="W7713" s="3">
        <v>2014</v>
      </c>
      <c r="X7713" s="3"/>
    </row>
    <row r="7714" spans="1:24" ht="89.25">
      <c r="A7714" s="3" t="s">
        <v>15951</v>
      </c>
      <c r="B7714" s="6" t="s">
        <v>361</v>
      </c>
      <c r="C7714" s="6" t="s">
        <v>16582</v>
      </c>
      <c r="D7714" s="6" t="s">
        <v>255</v>
      </c>
      <c r="E7714" s="6" t="s">
        <v>16583</v>
      </c>
      <c r="F7714" s="6" t="s">
        <v>16329</v>
      </c>
      <c r="G7714" s="3" t="s">
        <v>11449</v>
      </c>
      <c r="H7714" s="54">
        <v>0</v>
      </c>
      <c r="I7714" s="16">
        <v>470000000</v>
      </c>
      <c r="J7714" s="157" t="s">
        <v>229</v>
      </c>
      <c r="K7714" s="5" t="s">
        <v>14590</v>
      </c>
      <c r="L7714" s="17" t="s">
        <v>11411</v>
      </c>
      <c r="M7714" s="3" t="s">
        <v>230</v>
      </c>
      <c r="N7714" s="6" t="s">
        <v>524</v>
      </c>
      <c r="O7714" s="6" t="s">
        <v>233</v>
      </c>
      <c r="P7714" s="58">
        <v>168</v>
      </c>
      <c r="Q7714" s="6" t="s">
        <v>240</v>
      </c>
      <c r="R7714" s="244">
        <v>51.514699999999998</v>
      </c>
      <c r="S7714" s="1">
        <v>160000</v>
      </c>
      <c r="T7714" s="4">
        <v>0</v>
      </c>
      <c r="U7714" s="4">
        <f t="shared" si="389"/>
        <v>0</v>
      </c>
      <c r="V7714" s="3"/>
      <c r="W7714" s="3">
        <v>2014</v>
      </c>
      <c r="X7714" s="3" t="s">
        <v>16521</v>
      </c>
    </row>
    <row r="7715" spans="1:24" ht="89.25">
      <c r="A7715" s="3" t="s">
        <v>17454</v>
      </c>
      <c r="B7715" s="6" t="s">
        <v>361</v>
      </c>
      <c r="C7715" s="6" t="s">
        <v>16582</v>
      </c>
      <c r="D7715" s="6" t="s">
        <v>255</v>
      </c>
      <c r="E7715" s="6" t="s">
        <v>16583</v>
      </c>
      <c r="F7715" s="6" t="s">
        <v>16329</v>
      </c>
      <c r="G7715" s="3" t="s">
        <v>11449</v>
      </c>
      <c r="H7715" s="54">
        <v>0</v>
      </c>
      <c r="I7715" s="16">
        <v>470000000</v>
      </c>
      <c r="J7715" s="157" t="s">
        <v>229</v>
      </c>
      <c r="K7715" s="5" t="s">
        <v>10120</v>
      </c>
      <c r="L7715" s="17" t="s">
        <v>11411</v>
      </c>
      <c r="M7715" s="3" t="s">
        <v>230</v>
      </c>
      <c r="N7715" s="6" t="s">
        <v>521</v>
      </c>
      <c r="O7715" s="6" t="s">
        <v>233</v>
      </c>
      <c r="P7715" s="58">
        <v>168</v>
      </c>
      <c r="Q7715" s="6" t="s">
        <v>240</v>
      </c>
      <c r="R7715" s="244">
        <v>51.514699999999991</v>
      </c>
      <c r="S7715" s="1">
        <v>171000</v>
      </c>
      <c r="T7715" s="4">
        <v>0</v>
      </c>
      <c r="U7715" s="4">
        <f t="shared" si="389"/>
        <v>0</v>
      </c>
      <c r="V7715" s="3"/>
      <c r="W7715" s="3">
        <v>2014</v>
      </c>
      <c r="X7715" s="3">
        <v>11</v>
      </c>
    </row>
    <row r="7716" spans="1:24" ht="89.25">
      <c r="A7716" s="3" t="s">
        <v>19055</v>
      </c>
      <c r="B7716" s="6" t="s">
        <v>361</v>
      </c>
      <c r="C7716" s="6" t="s">
        <v>16582</v>
      </c>
      <c r="D7716" s="6" t="s">
        <v>255</v>
      </c>
      <c r="E7716" s="6" t="s">
        <v>16583</v>
      </c>
      <c r="F7716" s="6" t="s">
        <v>16329</v>
      </c>
      <c r="G7716" s="3" t="s">
        <v>11449</v>
      </c>
      <c r="H7716" s="54">
        <v>0</v>
      </c>
      <c r="I7716" s="16">
        <v>470000000</v>
      </c>
      <c r="J7716" s="157" t="s">
        <v>229</v>
      </c>
      <c r="K7716" s="5" t="s">
        <v>18748</v>
      </c>
      <c r="L7716" s="17" t="s">
        <v>11411</v>
      </c>
      <c r="M7716" s="3" t="s">
        <v>230</v>
      </c>
      <c r="N7716" s="6" t="s">
        <v>521</v>
      </c>
      <c r="O7716" s="6" t="s">
        <v>233</v>
      </c>
      <c r="P7716" s="58">
        <v>168</v>
      </c>
      <c r="Q7716" s="6" t="s">
        <v>240</v>
      </c>
      <c r="R7716" s="244">
        <v>51.514699999999991</v>
      </c>
      <c r="S7716" s="1">
        <v>171000</v>
      </c>
      <c r="T7716" s="4">
        <f t="shared" ref="T7716" si="401">R7716*S7716</f>
        <v>8809013.6999999993</v>
      </c>
      <c r="U7716" s="4">
        <f t="shared" ref="U7716" si="402">T7716*1.12</f>
        <v>9866095.3440000005</v>
      </c>
      <c r="V7716" s="3"/>
      <c r="W7716" s="3">
        <v>2014</v>
      </c>
      <c r="X7716" s="3"/>
    </row>
    <row r="7717" spans="1:24" ht="89.25">
      <c r="A7717" s="3" t="s">
        <v>15952</v>
      </c>
      <c r="B7717" s="6" t="s">
        <v>361</v>
      </c>
      <c r="C7717" s="6" t="s">
        <v>15009</v>
      </c>
      <c r="D7717" s="6" t="s">
        <v>255</v>
      </c>
      <c r="E7717" s="6" t="s">
        <v>15010</v>
      </c>
      <c r="F7717" s="6" t="s">
        <v>16330</v>
      </c>
      <c r="G7717" s="3" t="s">
        <v>11449</v>
      </c>
      <c r="H7717" s="54">
        <v>0</v>
      </c>
      <c r="I7717" s="16">
        <v>470000000</v>
      </c>
      <c r="J7717" s="157" t="s">
        <v>229</v>
      </c>
      <c r="K7717" s="5" t="s">
        <v>14590</v>
      </c>
      <c r="L7717" s="17" t="s">
        <v>11411</v>
      </c>
      <c r="M7717" s="3" t="s">
        <v>230</v>
      </c>
      <c r="N7717" s="6" t="s">
        <v>524</v>
      </c>
      <c r="O7717" s="6" t="s">
        <v>233</v>
      </c>
      <c r="P7717" s="58">
        <v>168</v>
      </c>
      <c r="Q7717" s="6" t="s">
        <v>240</v>
      </c>
      <c r="R7717" s="244">
        <v>4.4569999999999999</v>
      </c>
      <c r="S7717" s="1">
        <v>160000</v>
      </c>
      <c r="T7717" s="4">
        <v>0</v>
      </c>
      <c r="U7717" s="4">
        <f t="shared" si="389"/>
        <v>0</v>
      </c>
      <c r="V7717" s="3"/>
      <c r="W7717" s="3">
        <v>2014</v>
      </c>
      <c r="X7717" s="3" t="s">
        <v>16520</v>
      </c>
    </row>
    <row r="7718" spans="1:24" ht="89.25">
      <c r="A7718" s="3" t="s">
        <v>17455</v>
      </c>
      <c r="B7718" s="6" t="s">
        <v>361</v>
      </c>
      <c r="C7718" s="6" t="s">
        <v>15009</v>
      </c>
      <c r="D7718" s="6" t="s">
        <v>255</v>
      </c>
      <c r="E7718" s="6" t="s">
        <v>15010</v>
      </c>
      <c r="F7718" s="6" t="s">
        <v>16330</v>
      </c>
      <c r="G7718" s="3" t="s">
        <v>11450</v>
      </c>
      <c r="H7718" s="54">
        <v>0</v>
      </c>
      <c r="I7718" s="16">
        <v>470000000</v>
      </c>
      <c r="J7718" s="157" t="s">
        <v>229</v>
      </c>
      <c r="K7718" s="5" t="s">
        <v>10120</v>
      </c>
      <c r="L7718" s="17" t="s">
        <v>11411</v>
      </c>
      <c r="M7718" s="3" t="s">
        <v>230</v>
      </c>
      <c r="N7718" s="6" t="s">
        <v>528</v>
      </c>
      <c r="O7718" s="6" t="s">
        <v>233</v>
      </c>
      <c r="P7718" s="58">
        <v>168</v>
      </c>
      <c r="Q7718" s="6" t="s">
        <v>240</v>
      </c>
      <c r="R7718" s="244">
        <v>4.4569999999999999</v>
      </c>
      <c r="S7718" s="1">
        <v>171000</v>
      </c>
      <c r="T7718" s="4">
        <f t="shared" ref="T7718" si="403">R7718*S7718</f>
        <v>762147</v>
      </c>
      <c r="U7718" s="4">
        <f t="shared" si="389"/>
        <v>853604.64000000013</v>
      </c>
      <c r="V7718" s="3"/>
      <c r="W7718" s="3">
        <v>2014</v>
      </c>
      <c r="X7718" s="3"/>
    </row>
    <row r="7719" spans="1:24" ht="89.25">
      <c r="A7719" s="3" t="s">
        <v>15953</v>
      </c>
      <c r="B7719" s="6" t="s">
        <v>361</v>
      </c>
      <c r="C7719" s="6" t="s">
        <v>15009</v>
      </c>
      <c r="D7719" s="6" t="s">
        <v>255</v>
      </c>
      <c r="E7719" s="6" t="s">
        <v>15010</v>
      </c>
      <c r="F7719" s="6" t="s">
        <v>16331</v>
      </c>
      <c r="G7719" s="3" t="s">
        <v>11449</v>
      </c>
      <c r="H7719" s="54">
        <v>0</v>
      </c>
      <c r="I7719" s="16">
        <v>470000000</v>
      </c>
      <c r="J7719" s="157" t="s">
        <v>229</v>
      </c>
      <c r="K7719" s="5" t="s">
        <v>14590</v>
      </c>
      <c r="L7719" s="17" t="s">
        <v>11411</v>
      </c>
      <c r="M7719" s="3" t="s">
        <v>230</v>
      </c>
      <c r="N7719" s="6" t="s">
        <v>524</v>
      </c>
      <c r="O7719" s="6" t="s">
        <v>233</v>
      </c>
      <c r="P7719" s="58">
        <v>168</v>
      </c>
      <c r="Q7719" s="6" t="s">
        <v>240</v>
      </c>
      <c r="R7719" s="244">
        <v>2.3380000000000001</v>
      </c>
      <c r="S7719" s="1">
        <v>160000</v>
      </c>
      <c r="T7719" s="4">
        <v>0</v>
      </c>
      <c r="U7719" s="4">
        <f t="shared" si="389"/>
        <v>0</v>
      </c>
      <c r="V7719" s="3"/>
      <c r="W7719" s="3">
        <v>2014</v>
      </c>
      <c r="X7719" s="3" t="s">
        <v>16520</v>
      </c>
    </row>
    <row r="7720" spans="1:24" ht="89.25">
      <c r="A7720" s="3" t="s">
        <v>17456</v>
      </c>
      <c r="B7720" s="6" t="s">
        <v>361</v>
      </c>
      <c r="C7720" s="6" t="s">
        <v>15009</v>
      </c>
      <c r="D7720" s="6" t="s">
        <v>255</v>
      </c>
      <c r="E7720" s="6" t="s">
        <v>15010</v>
      </c>
      <c r="F7720" s="6" t="s">
        <v>16331</v>
      </c>
      <c r="G7720" s="3" t="s">
        <v>11450</v>
      </c>
      <c r="H7720" s="54">
        <v>0</v>
      </c>
      <c r="I7720" s="16">
        <v>470000000</v>
      </c>
      <c r="J7720" s="157" t="s">
        <v>229</v>
      </c>
      <c r="K7720" s="5" t="s">
        <v>10120</v>
      </c>
      <c r="L7720" s="17" t="s">
        <v>11411</v>
      </c>
      <c r="M7720" s="3" t="s">
        <v>230</v>
      </c>
      <c r="N7720" s="6" t="s">
        <v>528</v>
      </c>
      <c r="O7720" s="6" t="s">
        <v>233</v>
      </c>
      <c r="P7720" s="58">
        <v>168</v>
      </c>
      <c r="Q7720" s="6" t="s">
        <v>240</v>
      </c>
      <c r="R7720" s="244">
        <v>2.3380000000000001</v>
      </c>
      <c r="S7720" s="1">
        <v>171000</v>
      </c>
      <c r="T7720" s="4">
        <f t="shared" ref="T7720" si="404">R7720*S7720</f>
        <v>399798</v>
      </c>
      <c r="U7720" s="4">
        <f t="shared" si="389"/>
        <v>447773.76000000007</v>
      </c>
      <c r="V7720" s="3"/>
      <c r="W7720" s="3">
        <v>2014</v>
      </c>
      <c r="X7720" s="3"/>
    </row>
    <row r="7721" spans="1:24" ht="89.25">
      <c r="A7721" s="3" t="s">
        <v>15954</v>
      </c>
      <c r="B7721" s="6" t="s">
        <v>361</v>
      </c>
      <c r="C7721" s="6" t="s">
        <v>15011</v>
      </c>
      <c r="D7721" s="6" t="s">
        <v>255</v>
      </c>
      <c r="E7721" s="6" t="s">
        <v>15012</v>
      </c>
      <c r="F7721" s="6" t="s">
        <v>16332</v>
      </c>
      <c r="G7721" s="3" t="s">
        <v>11449</v>
      </c>
      <c r="H7721" s="54">
        <v>0</v>
      </c>
      <c r="I7721" s="16">
        <v>470000000</v>
      </c>
      <c r="J7721" s="157" t="s">
        <v>229</v>
      </c>
      <c r="K7721" s="5" t="s">
        <v>14590</v>
      </c>
      <c r="L7721" s="17" t="s">
        <v>11411</v>
      </c>
      <c r="M7721" s="3" t="s">
        <v>230</v>
      </c>
      <c r="N7721" s="6" t="s">
        <v>524</v>
      </c>
      <c r="O7721" s="6" t="s">
        <v>233</v>
      </c>
      <c r="P7721" s="58">
        <v>168</v>
      </c>
      <c r="Q7721" s="6" t="s">
        <v>240</v>
      </c>
      <c r="R7721" s="244">
        <v>0.108</v>
      </c>
      <c r="S7721" s="1">
        <v>160000</v>
      </c>
      <c r="T7721" s="4">
        <v>0</v>
      </c>
      <c r="U7721" s="4">
        <f t="shared" si="389"/>
        <v>0</v>
      </c>
      <c r="V7721" s="3"/>
      <c r="W7721" s="3">
        <v>2014</v>
      </c>
      <c r="X7721" s="3" t="s">
        <v>16520</v>
      </c>
    </row>
    <row r="7722" spans="1:24" ht="89.25">
      <c r="A7722" s="3" t="s">
        <v>17457</v>
      </c>
      <c r="B7722" s="6" t="s">
        <v>361</v>
      </c>
      <c r="C7722" s="6" t="s">
        <v>15011</v>
      </c>
      <c r="D7722" s="6" t="s">
        <v>255</v>
      </c>
      <c r="E7722" s="6" t="s">
        <v>15012</v>
      </c>
      <c r="F7722" s="6" t="s">
        <v>16332</v>
      </c>
      <c r="G7722" s="3" t="s">
        <v>11450</v>
      </c>
      <c r="H7722" s="54">
        <v>0</v>
      </c>
      <c r="I7722" s="198">
        <v>470000000</v>
      </c>
      <c r="J7722" s="157" t="s">
        <v>229</v>
      </c>
      <c r="K7722" s="5" t="s">
        <v>10120</v>
      </c>
      <c r="L7722" s="17" t="s">
        <v>11411</v>
      </c>
      <c r="M7722" s="3" t="s">
        <v>230</v>
      </c>
      <c r="N7722" s="6" t="s">
        <v>528</v>
      </c>
      <c r="O7722" s="6" t="s">
        <v>233</v>
      </c>
      <c r="P7722" s="58">
        <v>168</v>
      </c>
      <c r="Q7722" s="6" t="s">
        <v>240</v>
      </c>
      <c r="R7722" s="252">
        <v>0.10799999999999998</v>
      </c>
      <c r="S7722" s="1">
        <v>171000</v>
      </c>
      <c r="T7722" s="4">
        <v>0</v>
      </c>
      <c r="U7722" s="4">
        <f t="shared" si="389"/>
        <v>0</v>
      </c>
      <c r="V7722" s="3"/>
      <c r="W7722" s="3">
        <v>2014</v>
      </c>
      <c r="X7722" s="6" t="s">
        <v>19076</v>
      </c>
    </row>
    <row r="7723" spans="1:24" ht="76.5">
      <c r="A7723" s="3" t="s">
        <v>18761</v>
      </c>
      <c r="B7723" s="6" t="s">
        <v>361</v>
      </c>
      <c r="C7723" s="6" t="s">
        <v>15011</v>
      </c>
      <c r="D7723" s="6" t="s">
        <v>255</v>
      </c>
      <c r="E7723" s="6" t="s">
        <v>15012</v>
      </c>
      <c r="F7723" s="6" t="s">
        <v>16332</v>
      </c>
      <c r="G7723" s="3" t="s">
        <v>11450</v>
      </c>
      <c r="H7723" s="54">
        <v>0.35</v>
      </c>
      <c r="I7723" s="16">
        <v>470000000</v>
      </c>
      <c r="J7723" s="157" t="s">
        <v>229</v>
      </c>
      <c r="K7723" s="5" t="s">
        <v>18748</v>
      </c>
      <c r="L7723" s="17" t="s">
        <v>11411</v>
      </c>
      <c r="M7723" s="3" t="s">
        <v>230</v>
      </c>
      <c r="N7723" s="6" t="s">
        <v>7685</v>
      </c>
      <c r="O7723" s="6" t="s">
        <v>18749</v>
      </c>
      <c r="P7723" s="58">
        <v>168</v>
      </c>
      <c r="Q7723" s="6" t="s">
        <v>240</v>
      </c>
      <c r="R7723" s="252">
        <v>3.2</v>
      </c>
      <c r="S7723" s="1">
        <v>171000</v>
      </c>
      <c r="T7723" s="4">
        <v>0</v>
      </c>
      <c r="U7723" s="4">
        <f t="shared" si="389"/>
        <v>0</v>
      </c>
      <c r="V7723" s="3" t="s">
        <v>362</v>
      </c>
      <c r="W7723" s="3">
        <v>2014</v>
      </c>
      <c r="X7723" s="3" t="s">
        <v>19366</v>
      </c>
    </row>
    <row r="7724" spans="1:24" ht="89.25">
      <c r="A7724" s="3" t="s">
        <v>19372</v>
      </c>
      <c r="B7724" s="6" t="s">
        <v>361</v>
      </c>
      <c r="C7724" s="6" t="s">
        <v>15011</v>
      </c>
      <c r="D7724" s="6" t="s">
        <v>255</v>
      </c>
      <c r="E7724" s="6" t="s">
        <v>15012</v>
      </c>
      <c r="F7724" s="6" t="s">
        <v>16332</v>
      </c>
      <c r="G7724" s="3" t="s">
        <v>11450</v>
      </c>
      <c r="H7724" s="54">
        <v>0</v>
      </c>
      <c r="I7724" s="16">
        <v>470000000</v>
      </c>
      <c r="J7724" s="157" t="s">
        <v>229</v>
      </c>
      <c r="K7724" s="5" t="s">
        <v>18748</v>
      </c>
      <c r="L7724" s="17" t="s">
        <v>11411</v>
      </c>
      <c r="M7724" s="3" t="s">
        <v>230</v>
      </c>
      <c r="N7724" s="6" t="s">
        <v>7685</v>
      </c>
      <c r="O7724" s="6" t="s">
        <v>233</v>
      </c>
      <c r="P7724" s="58">
        <v>168</v>
      </c>
      <c r="Q7724" s="6" t="s">
        <v>240</v>
      </c>
      <c r="R7724" s="252">
        <v>3.2</v>
      </c>
      <c r="S7724" s="1">
        <v>171000</v>
      </c>
      <c r="T7724" s="4">
        <f t="shared" ref="T7724" si="405">R7724*S7724</f>
        <v>547200</v>
      </c>
      <c r="U7724" s="4">
        <f t="shared" si="389"/>
        <v>612864.00000000012</v>
      </c>
      <c r="V7724" s="3"/>
      <c r="W7724" s="3">
        <v>2014</v>
      </c>
      <c r="X7724" s="3"/>
    </row>
    <row r="7725" spans="1:24" ht="89.25">
      <c r="A7725" s="3" t="s">
        <v>15955</v>
      </c>
      <c r="B7725" s="6" t="s">
        <v>361</v>
      </c>
      <c r="C7725" s="6" t="s">
        <v>15013</v>
      </c>
      <c r="D7725" s="6" t="s">
        <v>255</v>
      </c>
      <c r="E7725" s="6" t="s">
        <v>15014</v>
      </c>
      <c r="F7725" s="6" t="s">
        <v>16333</v>
      </c>
      <c r="G7725" s="3" t="s">
        <v>11449</v>
      </c>
      <c r="H7725" s="54">
        <v>0</v>
      </c>
      <c r="I7725" s="16">
        <v>470000000</v>
      </c>
      <c r="J7725" s="157" t="s">
        <v>229</v>
      </c>
      <c r="K7725" s="5" t="s">
        <v>14590</v>
      </c>
      <c r="L7725" s="17" t="s">
        <v>11411</v>
      </c>
      <c r="M7725" s="3" t="s">
        <v>230</v>
      </c>
      <c r="N7725" s="6" t="s">
        <v>524</v>
      </c>
      <c r="O7725" s="6" t="s">
        <v>233</v>
      </c>
      <c r="P7725" s="58">
        <v>168</v>
      </c>
      <c r="Q7725" s="6" t="s">
        <v>240</v>
      </c>
      <c r="R7725" s="244">
        <v>0.316</v>
      </c>
      <c r="S7725" s="1">
        <v>160000</v>
      </c>
      <c r="T7725" s="4">
        <v>0</v>
      </c>
      <c r="U7725" s="4">
        <f t="shared" si="389"/>
        <v>0</v>
      </c>
      <c r="V7725" s="3"/>
      <c r="W7725" s="3">
        <v>2014</v>
      </c>
      <c r="X7725" s="3" t="s">
        <v>16520</v>
      </c>
    </row>
    <row r="7726" spans="1:24" ht="89.25">
      <c r="A7726" s="3" t="s">
        <v>17458</v>
      </c>
      <c r="B7726" s="6" t="s">
        <v>361</v>
      </c>
      <c r="C7726" s="6" t="s">
        <v>15013</v>
      </c>
      <c r="D7726" s="6" t="s">
        <v>255</v>
      </c>
      <c r="E7726" s="6" t="s">
        <v>15014</v>
      </c>
      <c r="F7726" s="6" t="s">
        <v>16333</v>
      </c>
      <c r="G7726" s="3" t="s">
        <v>11450</v>
      </c>
      <c r="H7726" s="54">
        <v>0</v>
      </c>
      <c r="I7726" s="16">
        <v>470000000</v>
      </c>
      <c r="J7726" s="157" t="s">
        <v>229</v>
      </c>
      <c r="K7726" s="5" t="s">
        <v>10120</v>
      </c>
      <c r="L7726" s="17" t="s">
        <v>11411</v>
      </c>
      <c r="M7726" s="3" t="s">
        <v>230</v>
      </c>
      <c r="N7726" s="6" t="s">
        <v>528</v>
      </c>
      <c r="O7726" s="6" t="s">
        <v>233</v>
      </c>
      <c r="P7726" s="58">
        <v>168</v>
      </c>
      <c r="Q7726" s="6" t="s">
        <v>240</v>
      </c>
      <c r="R7726" s="244">
        <v>0.31600000000000006</v>
      </c>
      <c r="S7726" s="1">
        <v>171000</v>
      </c>
      <c r="T7726" s="4">
        <f t="shared" ref="T7726" si="406">R7726*S7726</f>
        <v>54036.000000000007</v>
      </c>
      <c r="U7726" s="4">
        <f t="shared" si="389"/>
        <v>60520.320000000014</v>
      </c>
      <c r="V7726" s="3"/>
      <c r="W7726" s="3">
        <v>2014</v>
      </c>
      <c r="X7726" s="3"/>
    </row>
    <row r="7727" spans="1:24" ht="89.25">
      <c r="A7727" s="3" t="s">
        <v>15956</v>
      </c>
      <c r="B7727" s="6" t="s">
        <v>361</v>
      </c>
      <c r="C7727" s="6" t="s">
        <v>15015</v>
      </c>
      <c r="D7727" s="6" t="s">
        <v>255</v>
      </c>
      <c r="E7727" s="6" t="s">
        <v>15016</v>
      </c>
      <c r="F7727" s="6" t="s">
        <v>15017</v>
      </c>
      <c r="G7727" s="3" t="s">
        <v>11449</v>
      </c>
      <c r="H7727" s="54">
        <v>0</v>
      </c>
      <c r="I7727" s="16">
        <v>470000000</v>
      </c>
      <c r="J7727" s="157" t="s">
        <v>229</v>
      </c>
      <c r="K7727" s="5" t="s">
        <v>14590</v>
      </c>
      <c r="L7727" s="17" t="s">
        <v>11411</v>
      </c>
      <c r="M7727" s="3" t="s">
        <v>230</v>
      </c>
      <c r="N7727" s="6" t="s">
        <v>524</v>
      </c>
      <c r="O7727" s="6" t="s">
        <v>233</v>
      </c>
      <c r="P7727" s="58">
        <v>168</v>
      </c>
      <c r="Q7727" s="6" t="s">
        <v>240</v>
      </c>
      <c r="R7727" s="244">
        <v>5.0339999999999998</v>
      </c>
      <c r="S7727" s="1">
        <v>205440</v>
      </c>
      <c r="T7727" s="4">
        <v>0</v>
      </c>
      <c r="U7727" s="4">
        <f t="shared" si="389"/>
        <v>0</v>
      </c>
      <c r="V7727" s="3"/>
      <c r="W7727" s="3">
        <v>2014</v>
      </c>
      <c r="X7727" s="3" t="s">
        <v>17399</v>
      </c>
    </row>
    <row r="7728" spans="1:24" ht="89.25">
      <c r="A7728" s="3" t="s">
        <v>17459</v>
      </c>
      <c r="B7728" s="6" t="s">
        <v>361</v>
      </c>
      <c r="C7728" s="6" t="s">
        <v>15015</v>
      </c>
      <c r="D7728" s="6" t="s">
        <v>255</v>
      </c>
      <c r="E7728" s="6" t="s">
        <v>15016</v>
      </c>
      <c r="F7728" s="6" t="s">
        <v>15017</v>
      </c>
      <c r="G7728" s="3" t="s">
        <v>11450</v>
      </c>
      <c r="H7728" s="54">
        <v>0</v>
      </c>
      <c r="I7728" s="16">
        <v>470000000</v>
      </c>
      <c r="J7728" s="157" t="s">
        <v>229</v>
      </c>
      <c r="K7728" s="5" t="s">
        <v>10120</v>
      </c>
      <c r="L7728" s="17" t="s">
        <v>11411</v>
      </c>
      <c r="M7728" s="3" t="s">
        <v>230</v>
      </c>
      <c r="N7728" s="6" t="s">
        <v>528</v>
      </c>
      <c r="O7728" s="6" t="s">
        <v>233</v>
      </c>
      <c r="P7728" s="58">
        <v>168</v>
      </c>
      <c r="Q7728" s="6" t="s">
        <v>240</v>
      </c>
      <c r="R7728" s="244">
        <v>5.0340000000000007</v>
      </c>
      <c r="S7728" s="1">
        <v>205440</v>
      </c>
      <c r="T7728" s="4">
        <f t="shared" ref="T7728" si="407">R7728*S7728</f>
        <v>1034184.9600000002</v>
      </c>
      <c r="U7728" s="4">
        <f t="shared" si="389"/>
        <v>1158287.1552000004</v>
      </c>
      <c r="V7728" s="3"/>
      <c r="W7728" s="3">
        <v>2014</v>
      </c>
      <c r="X7728" s="3"/>
    </row>
    <row r="7729" spans="1:24" ht="89.25">
      <c r="A7729" s="3" t="s">
        <v>15957</v>
      </c>
      <c r="B7729" s="6" t="s">
        <v>361</v>
      </c>
      <c r="C7729" s="6" t="s">
        <v>16624</v>
      </c>
      <c r="D7729" s="6" t="s">
        <v>255</v>
      </c>
      <c r="E7729" s="6" t="s">
        <v>16625</v>
      </c>
      <c r="F7729" s="6" t="s">
        <v>15018</v>
      </c>
      <c r="G7729" s="3" t="s">
        <v>11449</v>
      </c>
      <c r="H7729" s="54">
        <v>0</v>
      </c>
      <c r="I7729" s="16">
        <v>470000000</v>
      </c>
      <c r="J7729" s="157" t="s">
        <v>229</v>
      </c>
      <c r="K7729" s="5" t="s">
        <v>14590</v>
      </c>
      <c r="L7729" s="17" t="s">
        <v>11411</v>
      </c>
      <c r="M7729" s="3" t="s">
        <v>230</v>
      </c>
      <c r="N7729" s="6" t="s">
        <v>524</v>
      </c>
      <c r="O7729" s="6" t="s">
        <v>233</v>
      </c>
      <c r="P7729" s="58">
        <v>168</v>
      </c>
      <c r="Q7729" s="6" t="s">
        <v>240</v>
      </c>
      <c r="R7729" s="244">
        <v>1.6020000000000001</v>
      </c>
      <c r="S7729" s="1">
        <v>205440</v>
      </c>
      <c r="T7729" s="4">
        <v>0</v>
      </c>
      <c r="U7729" s="4">
        <f t="shared" si="389"/>
        <v>0</v>
      </c>
      <c r="V7729" s="3"/>
      <c r="W7729" s="3">
        <v>2014</v>
      </c>
      <c r="X7729" s="3" t="s">
        <v>17399</v>
      </c>
    </row>
    <row r="7730" spans="1:24" ht="89.25">
      <c r="A7730" s="3" t="s">
        <v>17460</v>
      </c>
      <c r="B7730" s="6" t="s">
        <v>361</v>
      </c>
      <c r="C7730" s="6" t="s">
        <v>16624</v>
      </c>
      <c r="D7730" s="6" t="s">
        <v>255</v>
      </c>
      <c r="E7730" s="6" t="s">
        <v>16625</v>
      </c>
      <c r="F7730" s="6" t="s">
        <v>15018</v>
      </c>
      <c r="G7730" s="3" t="s">
        <v>11450</v>
      </c>
      <c r="H7730" s="54">
        <v>0</v>
      </c>
      <c r="I7730" s="16">
        <v>470000000</v>
      </c>
      <c r="J7730" s="157" t="s">
        <v>229</v>
      </c>
      <c r="K7730" s="5" t="s">
        <v>10120</v>
      </c>
      <c r="L7730" s="17" t="s">
        <v>11411</v>
      </c>
      <c r="M7730" s="3" t="s">
        <v>230</v>
      </c>
      <c r="N7730" s="6" t="s">
        <v>528</v>
      </c>
      <c r="O7730" s="6" t="s">
        <v>233</v>
      </c>
      <c r="P7730" s="58">
        <v>168</v>
      </c>
      <c r="Q7730" s="6" t="s">
        <v>240</v>
      </c>
      <c r="R7730" s="244">
        <v>1.6019999999999999</v>
      </c>
      <c r="S7730" s="1">
        <v>205440</v>
      </c>
      <c r="T7730" s="4">
        <f t="shared" ref="T7730" si="408">R7730*S7730</f>
        <v>329114.87999999995</v>
      </c>
      <c r="U7730" s="4">
        <f t="shared" si="389"/>
        <v>368608.66559999995</v>
      </c>
      <c r="V7730" s="3"/>
      <c r="W7730" s="3">
        <v>2014</v>
      </c>
      <c r="X7730" s="3"/>
    </row>
    <row r="7731" spans="1:24" ht="89.25">
      <c r="A7731" s="3" t="s">
        <v>15958</v>
      </c>
      <c r="B7731" s="6" t="s">
        <v>361</v>
      </c>
      <c r="C7731" s="6" t="s">
        <v>15019</v>
      </c>
      <c r="D7731" s="6" t="s">
        <v>255</v>
      </c>
      <c r="E7731" s="6" t="s">
        <v>15020</v>
      </c>
      <c r="F7731" s="6" t="s">
        <v>15021</v>
      </c>
      <c r="G7731" s="3" t="s">
        <v>11449</v>
      </c>
      <c r="H7731" s="54">
        <v>0</v>
      </c>
      <c r="I7731" s="16">
        <v>470000000</v>
      </c>
      <c r="J7731" s="157" t="s">
        <v>229</v>
      </c>
      <c r="K7731" s="5" t="s">
        <v>14590</v>
      </c>
      <c r="L7731" s="17" t="s">
        <v>11411</v>
      </c>
      <c r="M7731" s="3" t="s">
        <v>230</v>
      </c>
      <c r="N7731" s="6" t="s">
        <v>524</v>
      </c>
      <c r="O7731" s="6" t="s">
        <v>233</v>
      </c>
      <c r="P7731" s="58">
        <v>168</v>
      </c>
      <c r="Q7731" s="6" t="s">
        <v>240</v>
      </c>
      <c r="R7731" s="244">
        <v>0.58399999999999996</v>
      </c>
      <c r="S7731" s="1">
        <v>205440</v>
      </c>
      <c r="T7731" s="4">
        <v>0</v>
      </c>
      <c r="U7731" s="4">
        <f t="shared" si="389"/>
        <v>0</v>
      </c>
      <c r="V7731" s="3"/>
      <c r="W7731" s="3">
        <v>2014</v>
      </c>
      <c r="X7731" s="3" t="s">
        <v>17399</v>
      </c>
    </row>
    <row r="7732" spans="1:24" ht="89.25">
      <c r="A7732" s="3" t="s">
        <v>17461</v>
      </c>
      <c r="B7732" s="6" t="s">
        <v>361</v>
      </c>
      <c r="C7732" s="6" t="s">
        <v>15019</v>
      </c>
      <c r="D7732" s="6" t="s">
        <v>255</v>
      </c>
      <c r="E7732" s="6" t="s">
        <v>15020</v>
      </c>
      <c r="F7732" s="6" t="s">
        <v>15021</v>
      </c>
      <c r="G7732" s="3" t="s">
        <v>11450</v>
      </c>
      <c r="H7732" s="54">
        <v>0</v>
      </c>
      <c r="I7732" s="16">
        <v>470000000</v>
      </c>
      <c r="J7732" s="157" t="s">
        <v>229</v>
      </c>
      <c r="K7732" s="5" t="s">
        <v>10120</v>
      </c>
      <c r="L7732" s="17" t="s">
        <v>11411</v>
      </c>
      <c r="M7732" s="3" t="s">
        <v>230</v>
      </c>
      <c r="N7732" s="6" t="s">
        <v>528</v>
      </c>
      <c r="O7732" s="6" t="s">
        <v>233</v>
      </c>
      <c r="P7732" s="58">
        <v>168</v>
      </c>
      <c r="Q7732" s="6" t="s">
        <v>240</v>
      </c>
      <c r="R7732" s="244">
        <v>0.58399999999999996</v>
      </c>
      <c r="S7732" s="1">
        <v>205440</v>
      </c>
      <c r="T7732" s="4">
        <f t="shared" ref="T7732" si="409">R7732*S7732</f>
        <v>119976.95999999999</v>
      </c>
      <c r="U7732" s="4">
        <f t="shared" si="389"/>
        <v>134374.19520000002</v>
      </c>
      <c r="V7732" s="3"/>
      <c r="W7732" s="3">
        <v>2014</v>
      </c>
      <c r="X7732" s="3"/>
    </row>
    <row r="7733" spans="1:24" ht="89.25">
      <c r="A7733" s="3" t="s">
        <v>15959</v>
      </c>
      <c r="B7733" s="6" t="s">
        <v>361</v>
      </c>
      <c r="C7733" s="6" t="s">
        <v>3100</v>
      </c>
      <c r="D7733" s="6" t="s">
        <v>255</v>
      </c>
      <c r="E7733" s="6" t="s">
        <v>3101</v>
      </c>
      <c r="F7733" s="6" t="s">
        <v>16629</v>
      </c>
      <c r="G7733" s="3" t="s">
        <v>11449</v>
      </c>
      <c r="H7733" s="54">
        <v>0</v>
      </c>
      <c r="I7733" s="16">
        <v>470000000</v>
      </c>
      <c r="J7733" s="157" t="s">
        <v>229</v>
      </c>
      <c r="K7733" s="5" t="s">
        <v>14590</v>
      </c>
      <c r="L7733" s="17" t="s">
        <v>11411</v>
      </c>
      <c r="M7733" s="3" t="s">
        <v>230</v>
      </c>
      <c r="N7733" s="6" t="s">
        <v>524</v>
      </c>
      <c r="O7733" s="6" t="s">
        <v>233</v>
      </c>
      <c r="P7733" s="58">
        <v>168</v>
      </c>
      <c r="Q7733" s="6" t="s">
        <v>240</v>
      </c>
      <c r="R7733" s="244">
        <v>0.28799999999999998</v>
      </c>
      <c r="S7733" s="1">
        <v>205440</v>
      </c>
      <c r="T7733" s="4">
        <v>0</v>
      </c>
      <c r="U7733" s="4">
        <f t="shared" si="389"/>
        <v>0</v>
      </c>
      <c r="V7733" s="3"/>
      <c r="W7733" s="3">
        <v>2014</v>
      </c>
      <c r="X7733" s="3" t="s">
        <v>17399</v>
      </c>
    </row>
    <row r="7734" spans="1:24" ht="89.25">
      <c r="A7734" s="3" t="s">
        <v>17462</v>
      </c>
      <c r="B7734" s="6" t="s">
        <v>361</v>
      </c>
      <c r="C7734" s="6" t="s">
        <v>3100</v>
      </c>
      <c r="D7734" s="6" t="s">
        <v>255</v>
      </c>
      <c r="E7734" s="6" t="s">
        <v>3101</v>
      </c>
      <c r="F7734" s="6" t="s">
        <v>16629</v>
      </c>
      <c r="G7734" s="3" t="s">
        <v>11450</v>
      </c>
      <c r="H7734" s="54">
        <v>0</v>
      </c>
      <c r="I7734" s="16">
        <v>470000000</v>
      </c>
      <c r="J7734" s="157" t="s">
        <v>229</v>
      </c>
      <c r="K7734" s="5" t="s">
        <v>10120</v>
      </c>
      <c r="L7734" s="17" t="s">
        <v>11411</v>
      </c>
      <c r="M7734" s="3" t="s">
        <v>230</v>
      </c>
      <c r="N7734" s="6" t="s">
        <v>528</v>
      </c>
      <c r="O7734" s="6" t="s">
        <v>233</v>
      </c>
      <c r="P7734" s="58">
        <v>168</v>
      </c>
      <c r="Q7734" s="6" t="s">
        <v>240</v>
      </c>
      <c r="R7734" s="244">
        <v>0.28799999999999998</v>
      </c>
      <c r="S7734" s="1">
        <v>205440</v>
      </c>
      <c r="T7734" s="4">
        <f t="shared" ref="T7734" si="410">R7734*S7734</f>
        <v>59166.719999999994</v>
      </c>
      <c r="U7734" s="4">
        <f t="shared" si="389"/>
        <v>66266.7264</v>
      </c>
      <c r="V7734" s="3"/>
      <c r="W7734" s="3">
        <v>2014</v>
      </c>
      <c r="X7734" s="3"/>
    </row>
    <row r="7735" spans="1:24" ht="89.25">
      <c r="A7735" s="3" t="s">
        <v>15960</v>
      </c>
      <c r="B7735" s="6" t="s">
        <v>361</v>
      </c>
      <c r="C7735" s="6" t="s">
        <v>16627</v>
      </c>
      <c r="D7735" s="6" t="s">
        <v>255</v>
      </c>
      <c r="E7735" s="6" t="s">
        <v>16628</v>
      </c>
      <c r="F7735" s="6" t="s">
        <v>16626</v>
      </c>
      <c r="G7735" s="3" t="s">
        <v>11449</v>
      </c>
      <c r="H7735" s="54">
        <v>0</v>
      </c>
      <c r="I7735" s="16">
        <v>470000000</v>
      </c>
      <c r="J7735" s="157" t="s">
        <v>229</v>
      </c>
      <c r="K7735" s="5" t="s">
        <v>14590</v>
      </c>
      <c r="L7735" s="17" t="s">
        <v>11411</v>
      </c>
      <c r="M7735" s="3" t="s">
        <v>230</v>
      </c>
      <c r="N7735" s="6" t="s">
        <v>524</v>
      </c>
      <c r="O7735" s="6" t="s">
        <v>233</v>
      </c>
      <c r="P7735" s="58">
        <v>168</v>
      </c>
      <c r="Q7735" s="6" t="s">
        <v>240</v>
      </c>
      <c r="R7735" s="244">
        <v>7.5999999999999998E-2</v>
      </c>
      <c r="S7735" s="1">
        <v>205440</v>
      </c>
      <c r="T7735" s="4">
        <v>0</v>
      </c>
      <c r="U7735" s="4">
        <f t="shared" si="389"/>
        <v>0</v>
      </c>
      <c r="V7735" s="3"/>
      <c r="W7735" s="3">
        <v>2014</v>
      </c>
      <c r="X7735" s="3" t="s">
        <v>17399</v>
      </c>
    </row>
    <row r="7736" spans="1:24" ht="89.25">
      <c r="A7736" s="3" t="s">
        <v>17463</v>
      </c>
      <c r="B7736" s="6" t="s">
        <v>361</v>
      </c>
      <c r="C7736" s="6" t="s">
        <v>16627</v>
      </c>
      <c r="D7736" s="6" t="s">
        <v>255</v>
      </c>
      <c r="E7736" s="6" t="s">
        <v>16628</v>
      </c>
      <c r="F7736" s="6" t="s">
        <v>16626</v>
      </c>
      <c r="G7736" s="3" t="s">
        <v>11450</v>
      </c>
      <c r="H7736" s="54">
        <v>0</v>
      </c>
      <c r="I7736" s="16">
        <v>470000000</v>
      </c>
      <c r="J7736" s="157" t="s">
        <v>229</v>
      </c>
      <c r="K7736" s="5" t="s">
        <v>10120</v>
      </c>
      <c r="L7736" s="17" t="s">
        <v>11411</v>
      </c>
      <c r="M7736" s="3" t="s">
        <v>230</v>
      </c>
      <c r="N7736" s="6" t="s">
        <v>528</v>
      </c>
      <c r="O7736" s="6" t="s">
        <v>233</v>
      </c>
      <c r="P7736" s="58">
        <v>168</v>
      </c>
      <c r="Q7736" s="6" t="s">
        <v>240</v>
      </c>
      <c r="R7736" s="244">
        <v>7.5999999999999998E-2</v>
      </c>
      <c r="S7736" s="1">
        <v>205440</v>
      </c>
      <c r="T7736" s="4">
        <f t="shared" ref="T7736" si="411">R7736*S7736</f>
        <v>15613.44</v>
      </c>
      <c r="U7736" s="4">
        <f t="shared" si="389"/>
        <v>17487.052800000001</v>
      </c>
      <c r="V7736" s="3"/>
      <c r="W7736" s="3">
        <v>2014</v>
      </c>
      <c r="X7736" s="3"/>
    </row>
    <row r="7737" spans="1:24" ht="89.25">
      <c r="A7737" s="3" t="s">
        <v>15961</v>
      </c>
      <c r="B7737" s="6" t="s">
        <v>361</v>
      </c>
      <c r="C7737" s="6" t="s">
        <v>15022</v>
      </c>
      <c r="D7737" s="6" t="s">
        <v>255</v>
      </c>
      <c r="E7737" s="6" t="s">
        <v>15023</v>
      </c>
      <c r="F7737" s="6" t="s">
        <v>15024</v>
      </c>
      <c r="G7737" s="3" t="s">
        <v>11449</v>
      </c>
      <c r="H7737" s="54">
        <v>0</v>
      </c>
      <c r="I7737" s="16">
        <v>470000000</v>
      </c>
      <c r="J7737" s="157" t="s">
        <v>229</v>
      </c>
      <c r="K7737" s="5" t="s">
        <v>14590</v>
      </c>
      <c r="L7737" s="17" t="s">
        <v>11411</v>
      </c>
      <c r="M7737" s="3" t="s">
        <v>230</v>
      </c>
      <c r="N7737" s="6" t="s">
        <v>524</v>
      </c>
      <c r="O7737" s="6" t="s">
        <v>233</v>
      </c>
      <c r="P7737" s="58">
        <v>168</v>
      </c>
      <c r="Q7737" s="6" t="s">
        <v>240</v>
      </c>
      <c r="R7737" s="244">
        <v>4.2000000000000003E-2</v>
      </c>
      <c r="S7737" s="1">
        <v>204440</v>
      </c>
      <c r="T7737" s="4">
        <v>0</v>
      </c>
      <c r="U7737" s="4">
        <f t="shared" si="389"/>
        <v>0</v>
      </c>
      <c r="V7737" s="3"/>
      <c r="W7737" s="3">
        <v>2014</v>
      </c>
      <c r="X7737" s="3" t="s">
        <v>16520</v>
      </c>
    </row>
    <row r="7738" spans="1:24" ht="89.25">
      <c r="A7738" s="3" t="s">
        <v>17464</v>
      </c>
      <c r="B7738" s="6" t="s">
        <v>361</v>
      </c>
      <c r="C7738" s="6" t="s">
        <v>15022</v>
      </c>
      <c r="D7738" s="6" t="s">
        <v>255</v>
      </c>
      <c r="E7738" s="6" t="s">
        <v>15023</v>
      </c>
      <c r="F7738" s="6" t="s">
        <v>15024</v>
      </c>
      <c r="G7738" s="3" t="s">
        <v>11450</v>
      </c>
      <c r="H7738" s="54">
        <v>0</v>
      </c>
      <c r="I7738" s="16">
        <v>470000000</v>
      </c>
      <c r="J7738" s="157" t="s">
        <v>229</v>
      </c>
      <c r="K7738" s="5" t="s">
        <v>10120</v>
      </c>
      <c r="L7738" s="17" t="s">
        <v>11411</v>
      </c>
      <c r="M7738" s="3" t="s">
        <v>230</v>
      </c>
      <c r="N7738" s="6" t="s">
        <v>528</v>
      </c>
      <c r="O7738" s="6" t="s">
        <v>233</v>
      </c>
      <c r="P7738" s="58">
        <v>168</v>
      </c>
      <c r="Q7738" s="6" t="s">
        <v>240</v>
      </c>
      <c r="R7738" s="244">
        <v>4.2000000000000003E-2</v>
      </c>
      <c r="S7738" s="1">
        <v>205440</v>
      </c>
      <c r="T7738" s="4">
        <f t="shared" ref="T7738" si="412">R7738*S7738</f>
        <v>8628.4800000000014</v>
      </c>
      <c r="U7738" s="4">
        <f t="shared" si="389"/>
        <v>9663.8976000000021</v>
      </c>
      <c r="V7738" s="3"/>
      <c r="W7738" s="3">
        <v>2014</v>
      </c>
      <c r="X7738" s="3"/>
    </row>
    <row r="7739" spans="1:24" ht="89.25">
      <c r="A7739" s="3" t="s">
        <v>15962</v>
      </c>
      <c r="B7739" s="6" t="s">
        <v>361</v>
      </c>
      <c r="C7739" s="6" t="s">
        <v>15025</v>
      </c>
      <c r="D7739" s="6" t="s">
        <v>255</v>
      </c>
      <c r="E7739" s="6" t="s">
        <v>15026</v>
      </c>
      <c r="F7739" s="6" t="s">
        <v>16334</v>
      </c>
      <c r="G7739" s="3" t="s">
        <v>11449</v>
      </c>
      <c r="H7739" s="54">
        <v>0</v>
      </c>
      <c r="I7739" s="16">
        <v>470000000</v>
      </c>
      <c r="J7739" s="157" t="s">
        <v>229</v>
      </c>
      <c r="K7739" s="5" t="s">
        <v>14590</v>
      </c>
      <c r="L7739" s="17" t="s">
        <v>11411</v>
      </c>
      <c r="M7739" s="3" t="s">
        <v>230</v>
      </c>
      <c r="N7739" s="6" t="s">
        <v>524</v>
      </c>
      <c r="O7739" s="6" t="s">
        <v>233</v>
      </c>
      <c r="P7739" s="58">
        <v>168</v>
      </c>
      <c r="Q7739" s="6" t="s">
        <v>240</v>
      </c>
      <c r="R7739" s="251">
        <v>60</v>
      </c>
      <c r="S7739" s="59">
        <v>169488</v>
      </c>
      <c r="T7739" s="4">
        <v>0</v>
      </c>
      <c r="U7739" s="4">
        <f t="shared" si="389"/>
        <v>0</v>
      </c>
      <c r="V7739" s="3"/>
      <c r="W7739" s="3">
        <v>2014</v>
      </c>
      <c r="X7739" s="3" t="s">
        <v>17317</v>
      </c>
    </row>
    <row r="7740" spans="1:24" ht="89.25">
      <c r="A7740" s="3" t="s">
        <v>17475</v>
      </c>
      <c r="B7740" s="6" t="s">
        <v>361</v>
      </c>
      <c r="C7740" s="6" t="s">
        <v>15025</v>
      </c>
      <c r="D7740" s="6" t="s">
        <v>255</v>
      </c>
      <c r="E7740" s="6" t="s">
        <v>15026</v>
      </c>
      <c r="F7740" s="6" t="s">
        <v>16334</v>
      </c>
      <c r="G7740" s="3" t="s">
        <v>11449</v>
      </c>
      <c r="H7740" s="54">
        <v>0</v>
      </c>
      <c r="I7740" s="16">
        <v>470000000</v>
      </c>
      <c r="J7740" s="157" t="s">
        <v>229</v>
      </c>
      <c r="K7740" s="5" t="s">
        <v>10120</v>
      </c>
      <c r="L7740" s="17" t="s">
        <v>11411</v>
      </c>
      <c r="M7740" s="3" t="s">
        <v>230</v>
      </c>
      <c r="N7740" s="6" t="s">
        <v>521</v>
      </c>
      <c r="O7740" s="6" t="s">
        <v>233</v>
      </c>
      <c r="P7740" s="58">
        <v>168</v>
      </c>
      <c r="Q7740" s="6" t="s">
        <v>240</v>
      </c>
      <c r="R7740" s="251">
        <v>122.88</v>
      </c>
      <c r="S7740" s="59">
        <v>169488</v>
      </c>
      <c r="T7740" s="4">
        <v>0</v>
      </c>
      <c r="U7740" s="4">
        <f t="shared" si="389"/>
        <v>0</v>
      </c>
      <c r="V7740" s="3"/>
      <c r="W7740" s="3">
        <v>2014</v>
      </c>
      <c r="X7740" s="3" t="s">
        <v>12076</v>
      </c>
    </row>
    <row r="7741" spans="1:24" ht="89.25">
      <c r="A7741" s="3" t="s">
        <v>15963</v>
      </c>
      <c r="B7741" s="6" t="s">
        <v>361</v>
      </c>
      <c r="C7741" s="6" t="s">
        <v>3100</v>
      </c>
      <c r="D7741" s="6" t="s">
        <v>255</v>
      </c>
      <c r="E7741" s="6" t="s">
        <v>3101</v>
      </c>
      <c r="F7741" s="6" t="s">
        <v>16335</v>
      </c>
      <c r="G7741" s="3" t="s">
        <v>11449</v>
      </c>
      <c r="H7741" s="54">
        <v>0</v>
      </c>
      <c r="I7741" s="16">
        <v>470000000</v>
      </c>
      <c r="J7741" s="157" t="s">
        <v>229</v>
      </c>
      <c r="K7741" s="5" t="s">
        <v>14590</v>
      </c>
      <c r="L7741" s="17" t="s">
        <v>11411</v>
      </c>
      <c r="M7741" s="3" t="s">
        <v>230</v>
      </c>
      <c r="N7741" s="6" t="s">
        <v>524</v>
      </c>
      <c r="O7741" s="6" t="s">
        <v>233</v>
      </c>
      <c r="P7741" s="58">
        <v>168</v>
      </c>
      <c r="Q7741" s="6" t="s">
        <v>240</v>
      </c>
      <c r="R7741" s="252">
        <v>1.3109999999999999</v>
      </c>
      <c r="S7741" s="59">
        <v>169488</v>
      </c>
      <c r="T7741" s="4">
        <v>0</v>
      </c>
      <c r="U7741" s="4">
        <f t="shared" si="389"/>
        <v>0</v>
      </c>
      <c r="V7741" s="3"/>
      <c r="W7741" s="3">
        <v>2014</v>
      </c>
      <c r="X7741" s="3" t="s">
        <v>17399</v>
      </c>
    </row>
    <row r="7742" spans="1:24" ht="89.25">
      <c r="A7742" s="3" t="s">
        <v>17476</v>
      </c>
      <c r="B7742" s="6" t="s">
        <v>361</v>
      </c>
      <c r="C7742" s="6" t="s">
        <v>3100</v>
      </c>
      <c r="D7742" s="6" t="s">
        <v>255</v>
      </c>
      <c r="E7742" s="6" t="s">
        <v>3101</v>
      </c>
      <c r="F7742" s="6" t="s">
        <v>16335</v>
      </c>
      <c r="G7742" s="3" t="s">
        <v>11450</v>
      </c>
      <c r="H7742" s="54">
        <v>0</v>
      </c>
      <c r="I7742" s="16">
        <v>470000000</v>
      </c>
      <c r="J7742" s="157" t="s">
        <v>229</v>
      </c>
      <c r="K7742" s="5" t="s">
        <v>10120</v>
      </c>
      <c r="L7742" s="17" t="s">
        <v>11411</v>
      </c>
      <c r="M7742" s="3" t="s">
        <v>230</v>
      </c>
      <c r="N7742" s="6" t="s">
        <v>528</v>
      </c>
      <c r="O7742" s="6" t="s">
        <v>233</v>
      </c>
      <c r="P7742" s="58">
        <v>168</v>
      </c>
      <c r="Q7742" s="6" t="s">
        <v>240</v>
      </c>
      <c r="R7742" s="252">
        <v>1.3109999999999999</v>
      </c>
      <c r="S7742" s="59">
        <v>169488</v>
      </c>
      <c r="T7742" s="4">
        <v>0</v>
      </c>
      <c r="U7742" s="4">
        <f t="shared" si="389"/>
        <v>0</v>
      </c>
      <c r="V7742" s="3"/>
      <c r="W7742" s="3">
        <v>2014</v>
      </c>
      <c r="X7742" s="3" t="s">
        <v>12076</v>
      </c>
    </row>
    <row r="7743" spans="1:24" ht="89.25">
      <c r="A7743" s="3" t="s">
        <v>15964</v>
      </c>
      <c r="B7743" s="6" t="s">
        <v>361</v>
      </c>
      <c r="C7743" s="6" t="s">
        <v>3102</v>
      </c>
      <c r="D7743" s="6" t="s">
        <v>255</v>
      </c>
      <c r="E7743" s="6" t="s">
        <v>3103</v>
      </c>
      <c r="F7743" s="6" t="s">
        <v>16336</v>
      </c>
      <c r="G7743" s="3" t="s">
        <v>11449</v>
      </c>
      <c r="H7743" s="54">
        <v>0</v>
      </c>
      <c r="I7743" s="16">
        <v>470000000</v>
      </c>
      <c r="J7743" s="157" t="s">
        <v>229</v>
      </c>
      <c r="K7743" s="5" t="s">
        <v>14590</v>
      </c>
      <c r="L7743" s="17" t="s">
        <v>11411</v>
      </c>
      <c r="M7743" s="3" t="s">
        <v>230</v>
      </c>
      <c r="N7743" s="6" t="s">
        <v>524</v>
      </c>
      <c r="O7743" s="6" t="s">
        <v>233</v>
      </c>
      <c r="P7743" s="58">
        <v>168</v>
      </c>
      <c r="Q7743" s="6" t="s">
        <v>240</v>
      </c>
      <c r="R7743" s="251">
        <v>60</v>
      </c>
      <c r="S7743" s="59">
        <v>169488</v>
      </c>
      <c r="T7743" s="4">
        <v>0</v>
      </c>
      <c r="U7743" s="4">
        <f t="shared" si="389"/>
        <v>0</v>
      </c>
      <c r="V7743" s="3"/>
      <c r="W7743" s="3">
        <v>2014</v>
      </c>
      <c r="X7743" s="3">
        <v>11.14</v>
      </c>
    </row>
    <row r="7744" spans="1:24" ht="89.25">
      <c r="A7744" s="3" t="s">
        <v>17477</v>
      </c>
      <c r="B7744" s="6" t="s">
        <v>361</v>
      </c>
      <c r="C7744" s="6" t="s">
        <v>3102</v>
      </c>
      <c r="D7744" s="6" t="s">
        <v>255</v>
      </c>
      <c r="E7744" s="6" t="s">
        <v>3103</v>
      </c>
      <c r="F7744" s="6" t="s">
        <v>16336</v>
      </c>
      <c r="G7744" s="3" t="s">
        <v>11449</v>
      </c>
      <c r="H7744" s="54">
        <v>0</v>
      </c>
      <c r="I7744" s="16">
        <v>470000000</v>
      </c>
      <c r="J7744" s="157" t="s">
        <v>229</v>
      </c>
      <c r="K7744" s="5" t="s">
        <v>16428</v>
      </c>
      <c r="L7744" s="17" t="s">
        <v>11411</v>
      </c>
      <c r="M7744" s="3" t="s">
        <v>230</v>
      </c>
      <c r="N7744" s="6" t="s">
        <v>521</v>
      </c>
      <c r="O7744" s="6" t="s">
        <v>233</v>
      </c>
      <c r="P7744" s="58">
        <v>168</v>
      </c>
      <c r="Q7744" s="6" t="s">
        <v>240</v>
      </c>
      <c r="R7744" s="251">
        <v>60</v>
      </c>
      <c r="S7744" s="59">
        <v>169488</v>
      </c>
      <c r="T7744" s="4">
        <v>0</v>
      </c>
      <c r="U7744" s="4">
        <f t="shared" si="389"/>
        <v>0</v>
      </c>
      <c r="V7744" s="3"/>
      <c r="W7744" s="3">
        <v>2014</v>
      </c>
      <c r="X7744" s="3" t="s">
        <v>12076</v>
      </c>
    </row>
    <row r="7745" spans="1:24" ht="102">
      <c r="A7745" s="3" t="s">
        <v>15965</v>
      </c>
      <c r="B7745" s="6" t="s">
        <v>361</v>
      </c>
      <c r="C7745" s="6" t="s">
        <v>15027</v>
      </c>
      <c r="D7745" s="6" t="s">
        <v>255</v>
      </c>
      <c r="E7745" s="6" t="s">
        <v>15028</v>
      </c>
      <c r="F7745" s="6" t="s">
        <v>15029</v>
      </c>
      <c r="G7745" s="3" t="s">
        <v>11450</v>
      </c>
      <c r="H7745" s="54">
        <v>0</v>
      </c>
      <c r="I7745" s="16">
        <v>470000000</v>
      </c>
      <c r="J7745" s="157" t="s">
        <v>229</v>
      </c>
      <c r="K7745" s="5" t="s">
        <v>14590</v>
      </c>
      <c r="L7745" s="17" t="s">
        <v>11411</v>
      </c>
      <c r="M7745" s="3" t="s">
        <v>230</v>
      </c>
      <c r="N7745" s="6" t="s">
        <v>524</v>
      </c>
      <c r="O7745" s="6" t="s">
        <v>233</v>
      </c>
      <c r="P7745" s="58">
        <v>168</v>
      </c>
      <c r="Q7745" s="6" t="s">
        <v>240</v>
      </c>
      <c r="R7745" s="252">
        <v>0.61599999999999999</v>
      </c>
      <c r="S7745" s="59">
        <v>225984</v>
      </c>
      <c r="T7745" s="4">
        <f t="shared" ref="T7745:T7808" si="413">R7745*S7745</f>
        <v>139206.144</v>
      </c>
      <c r="U7745" s="4">
        <f t="shared" si="389"/>
        <v>155910.88128</v>
      </c>
      <c r="V7745" s="3"/>
      <c r="W7745" s="3">
        <v>2014</v>
      </c>
      <c r="X7745" s="3"/>
    </row>
    <row r="7746" spans="1:24" ht="102">
      <c r="A7746" s="3" t="s">
        <v>15966</v>
      </c>
      <c r="B7746" s="6" t="s">
        <v>361</v>
      </c>
      <c r="C7746" s="6" t="s">
        <v>15030</v>
      </c>
      <c r="D7746" s="6" t="s">
        <v>255</v>
      </c>
      <c r="E7746" s="6" t="s">
        <v>15031</v>
      </c>
      <c r="F7746" s="6" t="s">
        <v>15032</v>
      </c>
      <c r="G7746" s="3" t="s">
        <v>11450</v>
      </c>
      <c r="H7746" s="54">
        <v>0</v>
      </c>
      <c r="I7746" s="16">
        <v>470000000</v>
      </c>
      <c r="J7746" s="157" t="s">
        <v>229</v>
      </c>
      <c r="K7746" s="5" t="s">
        <v>14590</v>
      </c>
      <c r="L7746" s="17" t="s">
        <v>11411</v>
      </c>
      <c r="M7746" s="3" t="s">
        <v>230</v>
      </c>
      <c r="N7746" s="6" t="s">
        <v>524</v>
      </c>
      <c r="O7746" s="6" t="s">
        <v>233</v>
      </c>
      <c r="P7746" s="58">
        <v>168</v>
      </c>
      <c r="Q7746" s="6" t="s">
        <v>240</v>
      </c>
      <c r="R7746" s="252">
        <v>1.145</v>
      </c>
      <c r="S7746" s="59">
        <v>225984</v>
      </c>
      <c r="T7746" s="4">
        <f t="shared" si="413"/>
        <v>258751.68</v>
      </c>
      <c r="U7746" s="4">
        <f t="shared" si="389"/>
        <v>289801.88160000002</v>
      </c>
      <c r="V7746" s="3"/>
      <c r="W7746" s="3">
        <v>2014</v>
      </c>
      <c r="X7746" s="3"/>
    </row>
    <row r="7747" spans="1:24" ht="102">
      <c r="A7747" s="3" t="s">
        <v>15967</v>
      </c>
      <c r="B7747" s="6" t="s">
        <v>361</v>
      </c>
      <c r="C7747" s="6" t="s">
        <v>15033</v>
      </c>
      <c r="D7747" s="6" t="s">
        <v>255</v>
      </c>
      <c r="E7747" s="6" t="s">
        <v>15034</v>
      </c>
      <c r="F7747" s="6" t="s">
        <v>15035</v>
      </c>
      <c r="G7747" s="3" t="s">
        <v>11450</v>
      </c>
      <c r="H7747" s="54">
        <v>0</v>
      </c>
      <c r="I7747" s="16">
        <v>470000000</v>
      </c>
      <c r="J7747" s="157" t="s">
        <v>229</v>
      </c>
      <c r="K7747" s="5" t="s">
        <v>14590</v>
      </c>
      <c r="L7747" s="17" t="s">
        <v>11411</v>
      </c>
      <c r="M7747" s="3" t="s">
        <v>230</v>
      </c>
      <c r="N7747" s="6" t="s">
        <v>524</v>
      </c>
      <c r="O7747" s="6" t="s">
        <v>233</v>
      </c>
      <c r="P7747" s="58">
        <v>168</v>
      </c>
      <c r="Q7747" s="6" t="s">
        <v>240</v>
      </c>
      <c r="R7747" s="255">
        <v>0.82979999999999998</v>
      </c>
      <c r="S7747" s="59">
        <v>225984</v>
      </c>
      <c r="T7747" s="4">
        <f t="shared" si="413"/>
        <v>187521.5232</v>
      </c>
      <c r="U7747" s="4">
        <f t="shared" si="389"/>
        <v>210024.10598400002</v>
      </c>
      <c r="V7747" s="3"/>
      <c r="W7747" s="3">
        <v>2014</v>
      </c>
      <c r="X7747" s="3"/>
    </row>
    <row r="7748" spans="1:24" ht="102">
      <c r="A7748" s="3" t="s">
        <v>15968</v>
      </c>
      <c r="B7748" s="6" t="s">
        <v>361</v>
      </c>
      <c r="C7748" s="6" t="s">
        <v>15036</v>
      </c>
      <c r="D7748" s="6" t="s">
        <v>255</v>
      </c>
      <c r="E7748" s="6" t="s">
        <v>15037</v>
      </c>
      <c r="F7748" s="6" t="s">
        <v>15038</v>
      </c>
      <c r="G7748" s="3" t="s">
        <v>11450</v>
      </c>
      <c r="H7748" s="54">
        <v>0</v>
      </c>
      <c r="I7748" s="16">
        <v>470000000</v>
      </c>
      <c r="J7748" s="157" t="s">
        <v>229</v>
      </c>
      <c r="K7748" s="5" t="s">
        <v>14590</v>
      </c>
      <c r="L7748" s="17" t="s">
        <v>11411</v>
      </c>
      <c r="M7748" s="3" t="s">
        <v>230</v>
      </c>
      <c r="N7748" s="6" t="s">
        <v>524</v>
      </c>
      <c r="O7748" s="6" t="s">
        <v>233</v>
      </c>
      <c r="P7748" s="58">
        <v>168</v>
      </c>
      <c r="Q7748" s="6" t="s">
        <v>240</v>
      </c>
      <c r="R7748" s="255">
        <v>0.15179999999999999</v>
      </c>
      <c r="S7748" s="59">
        <v>225984</v>
      </c>
      <c r="T7748" s="4">
        <f t="shared" si="413"/>
        <v>34304.371200000001</v>
      </c>
      <c r="U7748" s="4">
        <f t="shared" si="389"/>
        <v>38420.895744000009</v>
      </c>
      <c r="V7748" s="3"/>
      <c r="W7748" s="3">
        <v>2014</v>
      </c>
      <c r="X7748" s="3"/>
    </row>
    <row r="7749" spans="1:24" ht="89.25">
      <c r="A7749" s="3" t="s">
        <v>15969</v>
      </c>
      <c r="B7749" s="6" t="s">
        <v>361</v>
      </c>
      <c r="C7749" s="6" t="s">
        <v>3219</v>
      </c>
      <c r="D7749" s="6" t="s">
        <v>3220</v>
      </c>
      <c r="E7749" s="6" t="s">
        <v>3221</v>
      </c>
      <c r="F7749" s="6" t="s">
        <v>16337</v>
      </c>
      <c r="G7749" s="3" t="s">
        <v>11450</v>
      </c>
      <c r="H7749" s="54">
        <v>0</v>
      </c>
      <c r="I7749" s="16">
        <v>470000000</v>
      </c>
      <c r="J7749" s="157" t="s">
        <v>229</v>
      </c>
      <c r="K7749" s="5" t="s">
        <v>14590</v>
      </c>
      <c r="L7749" s="17" t="s">
        <v>11411</v>
      </c>
      <c r="M7749" s="3" t="s">
        <v>230</v>
      </c>
      <c r="N7749" s="6" t="s">
        <v>524</v>
      </c>
      <c r="O7749" s="6" t="s">
        <v>233</v>
      </c>
      <c r="P7749" s="58" t="s">
        <v>241</v>
      </c>
      <c r="Q7749" s="31" t="s">
        <v>234</v>
      </c>
      <c r="R7749" s="251">
        <v>4</v>
      </c>
      <c r="S7749" s="59">
        <v>31800</v>
      </c>
      <c r="T7749" s="4">
        <f t="shared" si="413"/>
        <v>127200</v>
      </c>
      <c r="U7749" s="4">
        <f t="shared" si="389"/>
        <v>142464</v>
      </c>
      <c r="V7749" s="3"/>
      <c r="W7749" s="3">
        <v>2014</v>
      </c>
      <c r="X7749" s="3"/>
    </row>
    <row r="7750" spans="1:24" ht="89.25">
      <c r="A7750" s="3" t="s">
        <v>15970</v>
      </c>
      <c r="B7750" s="6" t="s">
        <v>361</v>
      </c>
      <c r="C7750" s="6" t="s">
        <v>3219</v>
      </c>
      <c r="D7750" s="6" t="s">
        <v>3220</v>
      </c>
      <c r="E7750" s="6" t="s">
        <v>3221</v>
      </c>
      <c r="F7750" s="6" t="s">
        <v>15039</v>
      </c>
      <c r="G7750" s="3" t="s">
        <v>11450</v>
      </c>
      <c r="H7750" s="54">
        <v>0</v>
      </c>
      <c r="I7750" s="16">
        <v>470000000</v>
      </c>
      <c r="J7750" s="157" t="s">
        <v>229</v>
      </c>
      <c r="K7750" s="5" t="s">
        <v>14590</v>
      </c>
      <c r="L7750" s="17" t="s">
        <v>11411</v>
      </c>
      <c r="M7750" s="3" t="s">
        <v>230</v>
      </c>
      <c r="N7750" s="6" t="s">
        <v>524</v>
      </c>
      <c r="O7750" s="6" t="s">
        <v>233</v>
      </c>
      <c r="P7750" s="58" t="s">
        <v>241</v>
      </c>
      <c r="Q7750" s="31" t="s">
        <v>234</v>
      </c>
      <c r="R7750" s="251">
        <v>3</v>
      </c>
      <c r="S7750" s="59">
        <v>31800</v>
      </c>
      <c r="T7750" s="4">
        <f t="shared" si="413"/>
        <v>95400</v>
      </c>
      <c r="U7750" s="4">
        <f t="shared" si="389"/>
        <v>106848.00000000001</v>
      </c>
      <c r="V7750" s="3"/>
      <c r="W7750" s="3">
        <v>2014</v>
      </c>
      <c r="X7750" s="3"/>
    </row>
    <row r="7751" spans="1:24" ht="89.25">
      <c r="A7751" s="3" t="s">
        <v>15971</v>
      </c>
      <c r="B7751" s="6" t="s">
        <v>361</v>
      </c>
      <c r="C7751" s="6" t="s">
        <v>3219</v>
      </c>
      <c r="D7751" s="6" t="s">
        <v>3220</v>
      </c>
      <c r="E7751" s="6" t="s">
        <v>3221</v>
      </c>
      <c r="F7751" s="6" t="s">
        <v>16338</v>
      </c>
      <c r="G7751" s="3" t="s">
        <v>11450</v>
      </c>
      <c r="H7751" s="54">
        <v>0</v>
      </c>
      <c r="I7751" s="16">
        <v>470000000</v>
      </c>
      <c r="J7751" s="157" t="s">
        <v>229</v>
      </c>
      <c r="K7751" s="5" t="s">
        <v>14590</v>
      </c>
      <c r="L7751" s="17" t="s">
        <v>11411</v>
      </c>
      <c r="M7751" s="3" t="s">
        <v>230</v>
      </c>
      <c r="N7751" s="6" t="s">
        <v>524</v>
      </c>
      <c r="O7751" s="6" t="s">
        <v>233</v>
      </c>
      <c r="P7751" s="58" t="s">
        <v>241</v>
      </c>
      <c r="Q7751" s="31" t="s">
        <v>234</v>
      </c>
      <c r="R7751" s="251">
        <v>1</v>
      </c>
      <c r="S7751" s="59">
        <v>31800</v>
      </c>
      <c r="T7751" s="4">
        <f t="shared" si="413"/>
        <v>31800</v>
      </c>
      <c r="U7751" s="4">
        <f t="shared" si="389"/>
        <v>35616</v>
      </c>
      <c r="V7751" s="3"/>
      <c r="W7751" s="3">
        <v>2014</v>
      </c>
      <c r="X7751" s="3"/>
    </row>
    <row r="7752" spans="1:24" ht="89.25">
      <c r="A7752" s="3" t="s">
        <v>15972</v>
      </c>
      <c r="B7752" s="6" t="s">
        <v>361</v>
      </c>
      <c r="C7752" s="6" t="s">
        <v>3219</v>
      </c>
      <c r="D7752" s="6" t="s">
        <v>3220</v>
      </c>
      <c r="E7752" s="6" t="s">
        <v>3221</v>
      </c>
      <c r="F7752" s="6" t="s">
        <v>15040</v>
      </c>
      <c r="G7752" s="3" t="s">
        <v>11450</v>
      </c>
      <c r="H7752" s="54">
        <v>0</v>
      </c>
      <c r="I7752" s="16">
        <v>470000000</v>
      </c>
      <c r="J7752" s="157" t="s">
        <v>229</v>
      </c>
      <c r="K7752" s="5" t="s">
        <v>14590</v>
      </c>
      <c r="L7752" s="17" t="s">
        <v>11411</v>
      </c>
      <c r="M7752" s="3" t="s">
        <v>230</v>
      </c>
      <c r="N7752" s="6" t="s">
        <v>524</v>
      </c>
      <c r="O7752" s="6" t="s">
        <v>233</v>
      </c>
      <c r="P7752" s="58" t="s">
        <v>241</v>
      </c>
      <c r="Q7752" s="31" t="s">
        <v>234</v>
      </c>
      <c r="R7752" s="251">
        <v>2</v>
      </c>
      <c r="S7752" s="59">
        <v>31800</v>
      </c>
      <c r="T7752" s="4">
        <f t="shared" si="413"/>
        <v>63600</v>
      </c>
      <c r="U7752" s="4">
        <f t="shared" si="389"/>
        <v>71232</v>
      </c>
      <c r="V7752" s="3"/>
      <c r="W7752" s="3">
        <v>2014</v>
      </c>
      <c r="X7752" s="3"/>
    </row>
    <row r="7753" spans="1:24" ht="89.25">
      <c r="A7753" s="3" t="s">
        <v>15973</v>
      </c>
      <c r="B7753" s="6" t="s">
        <v>361</v>
      </c>
      <c r="C7753" s="6" t="s">
        <v>3219</v>
      </c>
      <c r="D7753" s="6" t="s">
        <v>3220</v>
      </c>
      <c r="E7753" s="6" t="s">
        <v>3221</v>
      </c>
      <c r="F7753" s="6" t="s">
        <v>15041</v>
      </c>
      <c r="G7753" s="3" t="s">
        <v>11450</v>
      </c>
      <c r="H7753" s="54">
        <v>0</v>
      </c>
      <c r="I7753" s="16">
        <v>470000000</v>
      </c>
      <c r="J7753" s="157" t="s">
        <v>229</v>
      </c>
      <c r="K7753" s="5" t="s">
        <v>14590</v>
      </c>
      <c r="L7753" s="17" t="s">
        <v>11411</v>
      </c>
      <c r="M7753" s="3" t="s">
        <v>230</v>
      </c>
      <c r="N7753" s="6" t="s">
        <v>524</v>
      </c>
      <c r="O7753" s="6" t="s">
        <v>233</v>
      </c>
      <c r="P7753" s="58" t="s">
        <v>241</v>
      </c>
      <c r="Q7753" s="31" t="s">
        <v>234</v>
      </c>
      <c r="R7753" s="251">
        <v>7</v>
      </c>
      <c r="S7753" s="59">
        <v>31800</v>
      </c>
      <c r="T7753" s="4">
        <f t="shared" si="413"/>
        <v>222600</v>
      </c>
      <c r="U7753" s="4">
        <f t="shared" si="389"/>
        <v>249312.00000000003</v>
      </c>
      <c r="V7753" s="3"/>
      <c r="W7753" s="3">
        <v>2014</v>
      </c>
      <c r="X7753" s="3"/>
    </row>
    <row r="7754" spans="1:24" ht="89.25">
      <c r="A7754" s="3" t="s">
        <v>15974</v>
      </c>
      <c r="B7754" s="6" t="s">
        <v>361</v>
      </c>
      <c r="C7754" s="6" t="s">
        <v>3219</v>
      </c>
      <c r="D7754" s="6" t="s">
        <v>3220</v>
      </c>
      <c r="E7754" s="6" t="s">
        <v>3221</v>
      </c>
      <c r="F7754" s="6" t="s">
        <v>15042</v>
      </c>
      <c r="G7754" s="3" t="s">
        <v>11450</v>
      </c>
      <c r="H7754" s="54">
        <v>0</v>
      </c>
      <c r="I7754" s="16">
        <v>470000000</v>
      </c>
      <c r="J7754" s="157" t="s">
        <v>229</v>
      </c>
      <c r="K7754" s="5" t="s">
        <v>14590</v>
      </c>
      <c r="L7754" s="17" t="s">
        <v>11411</v>
      </c>
      <c r="M7754" s="3" t="s">
        <v>230</v>
      </c>
      <c r="N7754" s="6" t="s">
        <v>524</v>
      </c>
      <c r="O7754" s="6" t="s">
        <v>233</v>
      </c>
      <c r="P7754" s="58" t="s">
        <v>241</v>
      </c>
      <c r="Q7754" s="31" t="s">
        <v>234</v>
      </c>
      <c r="R7754" s="251">
        <v>40</v>
      </c>
      <c r="S7754" s="59">
        <v>27048</v>
      </c>
      <c r="T7754" s="4">
        <f t="shared" si="413"/>
        <v>1081920</v>
      </c>
      <c r="U7754" s="4">
        <f t="shared" si="389"/>
        <v>1211750.4000000001</v>
      </c>
      <c r="V7754" s="3"/>
      <c r="W7754" s="3">
        <v>2014</v>
      </c>
      <c r="X7754" s="3"/>
    </row>
    <row r="7755" spans="1:24" ht="89.25">
      <c r="A7755" s="3" t="s">
        <v>15975</v>
      </c>
      <c r="B7755" s="6" t="s">
        <v>361</v>
      </c>
      <c r="C7755" s="6" t="s">
        <v>3219</v>
      </c>
      <c r="D7755" s="6" t="s">
        <v>3220</v>
      </c>
      <c r="E7755" s="6" t="s">
        <v>3221</v>
      </c>
      <c r="F7755" s="6" t="s">
        <v>15043</v>
      </c>
      <c r="G7755" s="3" t="s">
        <v>11450</v>
      </c>
      <c r="H7755" s="54">
        <v>0</v>
      </c>
      <c r="I7755" s="16">
        <v>470000000</v>
      </c>
      <c r="J7755" s="157" t="s">
        <v>229</v>
      </c>
      <c r="K7755" s="5" t="s">
        <v>14590</v>
      </c>
      <c r="L7755" s="17" t="s">
        <v>11411</v>
      </c>
      <c r="M7755" s="3" t="s">
        <v>230</v>
      </c>
      <c r="N7755" s="6" t="s">
        <v>524</v>
      </c>
      <c r="O7755" s="6" t="s">
        <v>233</v>
      </c>
      <c r="P7755" s="58" t="s">
        <v>241</v>
      </c>
      <c r="Q7755" s="31" t="s">
        <v>234</v>
      </c>
      <c r="R7755" s="251">
        <v>12</v>
      </c>
      <c r="S7755" s="59">
        <v>22248</v>
      </c>
      <c r="T7755" s="4">
        <f t="shared" si="413"/>
        <v>266976</v>
      </c>
      <c r="U7755" s="4">
        <f t="shared" si="389"/>
        <v>299013.12000000005</v>
      </c>
      <c r="V7755" s="3"/>
      <c r="W7755" s="3">
        <v>2014</v>
      </c>
      <c r="X7755" s="3"/>
    </row>
    <row r="7756" spans="1:24" ht="89.25">
      <c r="A7756" s="3" t="s">
        <v>15976</v>
      </c>
      <c r="B7756" s="6" t="s">
        <v>361</v>
      </c>
      <c r="C7756" s="6" t="s">
        <v>3219</v>
      </c>
      <c r="D7756" s="6" t="s">
        <v>3220</v>
      </c>
      <c r="E7756" s="6" t="s">
        <v>3221</v>
      </c>
      <c r="F7756" s="6" t="s">
        <v>15044</v>
      </c>
      <c r="G7756" s="3" t="s">
        <v>11450</v>
      </c>
      <c r="H7756" s="54">
        <v>0</v>
      </c>
      <c r="I7756" s="16">
        <v>470000000</v>
      </c>
      <c r="J7756" s="157" t="s">
        <v>229</v>
      </c>
      <c r="K7756" s="5" t="s">
        <v>14590</v>
      </c>
      <c r="L7756" s="17" t="s">
        <v>11411</v>
      </c>
      <c r="M7756" s="3" t="s">
        <v>230</v>
      </c>
      <c r="N7756" s="6" t="s">
        <v>524</v>
      </c>
      <c r="O7756" s="6" t="s">
        <v>233</v>
      </c>
      <c r="P7756" s="58" t="s">
        <v>241</v>
      </c>
      <c r="Q7756" s="31" t="s">
        <v>234</v>
      </c>
      <c r="R7756" s="251">
        <v>24</v>
      </c>
      <c r="S7756" s="59">
        <v>22248</v>
      </c>
      <c r="T7756" s="4">
        <f t="shared" si="413"/>
        <v>533952</v>
      </c>
      <c r="U7756" s="4">
        <f t="shared" si="389"/>
        <v>598026.24000000011</v>
      </c>
      <c r="V7756" s="3"/>
      <c r="W7756" s="3">
        <v>2014</v>
      </c>
      <c r="X7756" s="3"/>
    </row>
    <row r="7757" spans="1:24" ht="89.25">
      <c r="A7757" s="3" t="s">
        <v>15977</v>
      </c>
      <c r="B7757" s="6" t="s">
        <v>361</v>
      </c>
      <c r="C7757" s="6" t="s">
        <v>3219</v>
      </c>
      <c r="D7757" s="6" t="s">
        <v>3220</v>
      </c>
      <c r="E7757" s="6" t="s">
        <v>3221</v>
      </c>
      <c r="F7757" s="6" t="s">
        <v>15045</v>
      </c>
      <c r="G7757" s="3" t="s">
        <v>11450</v>
      </c>
      <c r="H7757" s="54">
        <v>0</v>
      </c>
      <c r="I7757" s="16">
        <v>470000000</v>
      </c>
      <c r="J7757" s="157" t="s">
        <v>229</v>
      </c>
      <c r="K7757" s="5" t="s">
        <v>14590</v>
      </c>
      <c r="L7757" s="17" t="s">
        <v>11411</v>
      </c>
      <c r="M7757" s="3" t="s">
        <v>230</v>
      </c>
      <c r="N7757" s="6" t="s">
        <v>524</v>
      </c>
      <c r="O7757" s="6" t="s">
        <v>233</v>
      </c>
      <c r="P7757" s="58" t="s">
        <v>241</v>
      </c>
      <c r="Q7757" s="31" t="s">
        <v>234</v>
      </c>
      <c r="R7757" s="251">
        <v>11</v>
      </c>
      <c r="S7757" s="59">
        <v>20184</v>
      </c>
      <c r="T7757" s="4">
        <f t="shared" si="413"/>
        <v>222024</v>
      </c>
      <c r="U7757" s="4">
        <f t="shared" si="389"/>
        <v>248666.88000000003</v>
      </c>
      <c r="V7757" s="3"/>
      <c r="W7757" s="3">
        <v>2014</v>
      </c>
      <c r="X7757" s="3"/>
    </row>
    <row r="7758" spans="1:24" ht="89.25">
      <c r="A7758" s="3" t="s">
        <v>15978</v>
      </c>
      <c r="B7758" s="6" t="s">
        <v>361</v>
      </c>
      <c r="C7758" s="6" t="s">
        <v>3219</v>
      </c>
      <c r="D7758" s="6" t="s">
        <v>3220</v>
      </c>
      <c r="E7758" s="6" t="s">
        <v>3221</v>
      </c>
      <c r="F7758" s="6" t="s">
        <v>15046</v>
      </c>
      <c r="G7758" s="3" t="s">
        <v>11450</v>
      </c>
      <c r="H7758" s="54">
        <v>0</v>
      </c>
      <c r="I7758" s="16">
        <v>470000000</v>
      </c>
      <c r="J7758" s="157" t="s">
        <v>229</v>
      </c>
      <c r="K7758" s="5" t="s">
        <v>14590</v>
      </c>
      <c r="L7758" s="17" t="s">
        <v>11411</v>
      </c>
      <c r="M7758" s="3" t="s">
        <v>230</v>
      </c>
      <c r="N7758" s="6" t="s">
        <v>524</v>
      </c>
      <c r="O7758" s="6" t="s">
        <v>233</v>
      </c>
      <c r="P7758" s="58" t="s">
        <v>241</v>
      </c>
      <c r="Q7758" s="31" t="s">
        <v>234</v>
      </c>
      <c r="R7758" s="251">
        <v>9</v>
      </c>
      <c r="S7758" s="59">
        <v>20184</v>
      </c>
      <c r="T7758" s="4">
        <f t="shared" si="413"/>
        <v>181656</v>
      </c>
      <c r="U7758" s="4">
        <f t="shared" si="389"/>
        <v>203454.72000000003</v>
      </c>
      <c r="V7758" s="3"/>
      <c r="W7758" s="3">
        <v>2014</v>
      </c>
      <c r="X7758" s="3"/>
    </row>
    <row r="7759" spans="1:24" ht="89.25">
      <c r="A7759" s="3" t="s">
        <v>15979</v>
      </c>
      <c r="B7759" s="6" t="s">
        <v>361</v>
      </c>
      <c r="C7759" s="6" t="s">
        <v>3219</v>
      </c>
      <c r="D7759" s="6" t="s">
        <v>3220</v>
      </c>
      <c r="E7759" s="6" t="s">
        <v>3221</v>
      </c>
      <c r="F7759" s="6" t="s">
        <v>15047</v>
      </c>
      <c r="G7759" s="3" t="s">
        <v>11450</v>
      </c>
      <c r="H7759" s="54">
        <v>0</v>
      </c>
      <c r="I7759" s="16">
        <v>470000000</v>
      </c>
      <c r="J7759" s="157" t="s">
        <v>229</v>
      </c>
      <c r="K7759" s="5" t="s">
        <v>14590</v>
      </c>
      <c r="L7759" s="17" t="s">
        <v>11411</v>
      </c>
      <c r="M7759" s="3" t="s">
        <v>230</v>
      </c>
      <c r="N7759" s="6" t="s">
        <v>524</v>
      </c>
      <c r="O7759" s="6" t="s">
        <v>233</v>
      </c>
      <c r="P7759" s="58" t="s">
        <v>241</v>
      </c>
      <c r="Q7759" s="31" t="s">
        <v>234</v>
      </c>
      <c r="R7759" s="251">
        <v>48</v>
      </c>
      <c r="S7759" s="59">
        <v>20184</v>
      </c>
      <c r="T7759" s="4">
        <f t="shared" si="413"/>
        <v>968832</v>
      </c>
      <c r="U7759" s="4">
        <f t="shared" si="389"/>
        <v>1085091.8400000001</v>
      </c>
      <c r="V7759" s="3"/>
      <c r="W7759" s="3">
        <v>2014</v>
      </c>
      <c r="X7759" s="3"/>
    </row>
    <row r="7760" spans="1:24" ht="89.25">
      <c r="A7760" s="3" t="s">
        <v>15980</v>
      </c>
      <c r="B7760" s="6" t="s">
        <v>361</v>
      </c>
      <c r="C7760" s="6" t="s">
        <v>3219</v>
      </c>
      <c r="D7760" s="6" t="s">
        <v>3220</v>
      </c>
      <c r="E7760" s="6" t="s">
        <v>3221</v>
      </c>
      <c r="F7760" s="6" t="s">
        <v>15048</v>
      </c>
      <c r="G7760" s="3" t="s">
        <v>11450</v>
      </c>
      <c r="H7760" s="54">
        <v>0</v>
      </c>
      <c r="I7760" s="16">
        <v>470000000</v>
      </c>
      <c r="J7760" s="157" t="s">
        <v>229</v>
      </c>
      <c r="K7760" s="5" t="s">
        <v>14590</v>
      </c>
      <c r="L7760" s="17" t="s">
        <v>11411</v>
      </c>
      <c r="M7760" s="3" t="s">
        <v>230</v>
      </c>
      <c r="N7760" s="6" t="s">
        <v>524</v>
      </c>
      <c r="O7760" s="6" t="s">
        <v>233</v>
      </c>
      <c r="P7760" s="58" t="s">
        <v>241</v>
      </c>
      <c r="Q7760" s="31" t="s">
        <v>234</v>
      </c>
      <c r="R7760" s="251">
        <v>11</v>
      </c>
      <c r="S7760" s="59">
        <v>16512</v>
      </c>
      <c r="T7760" s="4">
        <f t="shared" si="413"/>
        <v>181632</v>
      </c>
      <c r="U7760" s="4">
        <f t="shared" si="389"/>
        <v>203427.84000000003</v>
      </c>
      <c r="V7760" s="3"/>
      <c r="W7760" s="3">
        <v>2014</v>
      </c>
      <c r="X7760" s="3"/>
    </row>
    <row r="7761" spans="1:24" ht="89.25">
      <c r="A7761" s="3" t="s">
        <v>15981</v>
      </c>
      <c r="B7761" s="6" t="s">
        <v>361</v>
      </c>
      <c r="C7761" s="6" t="s">
        <v>3219</v>
      </c>
      <c r="D7761" s="6" t="s">
        <v>3220</v>
      </c>
      <c r="E7761" s="6" t="s">
        <v>3221</v>
      </c>
      <c r="F7761" s="6" t="s">
        <v>15049</v>
      </c>
      <c r="G7761" s="3" t="s">
        <v>11450</v>
      </c>
      <c r="H7761" s="54">
        <v>0</v>
      </c>
      <c r="I7761" s="16">
        <v>470000000</v>
      </c>
      <c r="J7761" s="157" t="s">
        <v>229</v>
      </c>
      <c r="K7761" s="5" t="s">
        <v>14590</v>
      </c>
      <c r="L7761" s="17" t="s">
        <v>11411</v>
      </c>
      <c r="M7761" s="3" t="s">
        <v>230</v>
      </c>
      <c r="N7761" s="6" t="s">
        <v>524</v>
      </c>
      <c r="O7761" s="6" t="s">
        <v>233</v>
      </c>
      <c r="P7761" s="58" t="s">
        <v>241</v>
      </c>
      <c r="Q7761" s="31" t="s">
        <v>234</v>
      </c>
      <c r="R7761" s="251">
        <v>26</v>
      </c>
      <c r="S7761" s="59">
        <v>16512</v>
      </c>
      <c r="T7761" s="4">
        <f t="shared" si="413"/>
        <v>429312</v>
      </c>
      <c r="U7761" s="4">
        <f t="shared" si="389"/>
        <v>480829.44000000006</v>
      </c>
      <c r="V7761" s="3"/>
      <c r="W7761" s="3">
        <v>2014</v>
      </c>
      <c r="X7761" s="3"/>
    </row>
    <row r="7762" spans="1:24" ht="89.25">
      <c r="A7762" s="3" t="s">
        <v>15982</v>
      </c>
      <c r="B7762" s="6" t="s">
        <v>361</v>
      </c>
      <c r="C7762" s="6" t="s">
        <v>3219</v>
      </c>
      <c r="D7762" s="6" t="s">
        <v>3220</v>
      </c>
      <c r="E7762" s="6" t="s">
        <v>3221</v>
      </c>
      <c r="F7762" s="6" t="s">
        <v>15050</v>
      </c>
      <c r="G7762" s="3" t="s">
        <v>11450</v>
      </c>
      <c r="H7762" s="54">
        <v>0</v>
      </c>
      <c r="I7762" s="16">
        <v>470000000</v>
      </c>
      <c r="J7762" s="157" t="s">
        <v>229</v>
      </c>
      <c r="K7762" s="5" t="s">
        <v>14590</v>
      </c>
      <c r="L7762" s="17" t="s">
        <v>11411</v>
      </c>
      <c r="M7762" s="3" t="s">
        <v>230</v>
      </c>
      <c r="N7762" s="6" t="s">
        <v>524</v>
      </c>
      <c r="O7762" s="6" t="s">
        <v>233</v>
      </c>
      <c r="P7762" s="58" t="s">
        <v>241</v>
      </c>
      <c r="Q7762" s="31" t="s">
        <v>234</v>
      </c>
      <c r="R7762" s="251">
        <v>15</v>
      </c>
      <c r="S7762" s="59">
        <v>27048</v>
      </c>
      <c r="T7762" s="4">
        <f t="shared" si="413"/>
        <v>405720</v>
      </c>
      <c r="U7762" s="4">
        <f t="shared" si="389"/>
        <v>454406.40000000002</v>
      </c>
      <c r="V7762" s="3"/>
      <c r="W7762" s="3">
        <v>2014</v>
      </c>
      <c r="X7762" s="3"/>
    </row>
    <row r="7763" spans="1:24" ht="89.25">
      <c r="A7763" s="3" t="s">
        <v>15983</v>
      </c>
      <c r="B7763" s="6" t="s">
        <v>361</v>
      </c>
      <c r="C7763" s="6" t="s">
        <v>3219</v>
      </c>
      <c r="D7763" s="6" t="s">
        <v>3220</v>
      </c>
      <c r="E7763" s="6" t="s">
        <v>3221</v>
      </c>
      <c r="F7763" s="6" t="s">
        <v>16339</v>
      </c>
      <c r="G7763" s="3" t="s">
        <v>11450</v>
      </c>
      <c r="H7763" s="54">
        <v>0</v>
      </c>
      <c r="I7763" s="16">
        <v>470000000</v>
      </c>
      <c r="J7763" s="157" t="s">
        <v>229</v>
      </c>
      <c r="K7763" s="5" t="s">
        <v>14590</v>
      </c>
      <c r="L7763" s="17" t="s">
        <v>11411</v>
      </c>
      <c r="M7763" s="3" t="s">
        <v>230</v>
      </c>
      <c r="N7763" s="6" t="s">
        <v>524</v>
      </c>
      <c r="O7763" s="6" t="s">
        <v>233</v>
      </c>
      <c r="P7763" s="58" t="s">
        <v>241</v>
      </c>
      <c r="Q7763" s="31" t="s">
        <v>234</v>
      </c>
      <c r="R7763" s="251">
        <v>5</v>
      </c>
      <c r="S7763" s="59">
        <v>57600</v>
      </c>
      <c r="T7763" s="4">
        <f t="shared" si="413"/>
        <v>288000</v>
      </c>
      <c r="U7763" s="4">
        <f t="shared" si="389"/>
        <v>322560.00000000006</v>
      </c>
      <c r="V7763" s="3"/>
      <c r="W7763" s="3">
        <v>2014</v>
      </c>
      <c r="X7763" s="3"/>
    </row>
    <row r="7764" spans="1:24" ht="89.25">
      <c r="A7764" s="3" t="s">
        <v>15984</v>
      </c>
      <c r="B7764" s="6" t="s">
        <v>361</v>
      </c>
      <c r="C7764" s="6" t="s">
        <v>3219</v>
      </c>
      <c r="D7764" s="6" t="s">
        <v>3220</v>
      </c>
      <c r="E7764" s="6" t="s">
        <v>3221</v>
      </c>
      <c r="F7764" s="6" t="s">
        <v>16340</v>
      </c>
      <c r="G7764" s="3" t="s">
        <v>11450</v>
      </c>
      <c r="H7764" s="54">
        <v>0</v>
      </c>
      <c r="I7764" s="16">
        <v>470000000</v>
      </c>
      <c r="J7764" s="157" t="s">
        <v>229</v>
      </c>
      <c r="K7764" s="5" t="s">
        <v>14590</v>
      </c>
      <c r="L7764" s="17" t="s">
        <v>11411</v>
      </c>
      <c r="M7764" s="3" t="s">
        <v>230</v>
      </c>
      <c r="N7764" s="6" t="s">
        <v>524</v>
      </c>
      <c r="O7764" s="6" t="s">
        <v>233</v>
      </c>
      <c r="P7764" s="58" t="s">
        <v>241</v>
      </c>
      <c r="Q7764" s="31" t="s">
        <v>234</v>
      </c>
      <c r="R7764" s="251">
        <v>19</v>
      </c>
      <c r="S7764" s="59">
        <v>39000</v>
      </c>
      <c r="T7764" s="4">
        <f t="shared" si="413"/>
        <v>741000</v>
      </c>
      <c r="U7764" s="4">
        <f t="shared" si="389"/>
        <v>829920.00000000012</v>
      </c>
      <c r="V7764" s="3"/>
      <c r="W7764" s="3">
        <v>2014</v>
      </c>
      <c r="X7764" s="3"/>
    </row>
    <row r="7765" spans="1:24" ht="89.25">
      <c r="A7765" s="3" t="s">
        <v>15985</v>
      </c>
      <c r="B7765" s="6" t="s">
        <v>361</v>
      </c>
      <c r="C7765" s="6" t="s">
        <v>3219</v>
      </c>
      <c r="D7765" s="6" t="s">
        <v>3220</v>
      </c>
      <c r="E7765" s="6" t="s">
        <v>3221</v>
      </c>
      <c r="F7765" s="6" t="s">
        <v>16341</v>
      </c>
      <c r="G7765" s="3" t="s">
        <v>11450</v>
      </c>
      <c r="H7765" s="54">
        <v>0</v>
      </c>
      <c r="I7765" s="16">
        <v>470000000</v>
      </c>
      <c r="J7765" s="157" t="s">
        <v>229</v>
      </c>
      <c r="K7765" s="5" t="s">
        <v>14590</v>
      </c>
      <c r="L7765" s="17" t="s">
        <v>11411</v>
      </c>
      <c r="M7765" s="3" t="s">
        <v>230</v>
      </c>
      <c r="N7765" s="6" t="s">
        <v>524</v>
      </c>
      <c r="O7765" s="6" t="s">
        <v>233</v>
      </c>
      <c r="P7765" s="58" t="s">
        <v>241</v>
      </c>
      <c r="Q7765" s="31" t="s">
        <v>234</v>
      </c>
      <c r="R7765" s="251">
        <v>1</v>
      </c>
      <c r="S7765" s="59">
        <v>31800</v>
      </c>
      <c r="T7765" s="4">
        <f t="shared" si="413"/>
        <v>31800</v>
      </c>
      <c r="U7765" s="4">
        <f t="shared" si="389"/>
        <v>35616</v>
      </c>
      <c r="V7765" s="3"/>
      <c r="W7765" s="3">
        <v>2014</v>
      </c>
      <c r="X7765" s="3"/>
    </row>
    <row r="7766" spans="1:24" ht="89.25">
      <c r="A7766" s="3" t="s">
        <v>15986</v>
      </c>
      <c r="B7766" s="6" t="s">
        <v>361</v>
      </c>
      <c r="C7766" s="6" t="s">
        <v>3219</v>
      </c>
      <c r="D7766" s="6" t="s">
        <v>3220</v>
      </c>
      <c r="E7766" s="6" t="s">
        <v>3221</v>
      </c>
      <c r="F7766" s="6" t="s">
        <v>15051</v>
      </c>
      <c r="G7766" s="3" t="s">
        <v>11450</v>
      </c>
      <c r="H7766" s="54">
        <v>0</v>
      </c>
      <c r="I7766" s="16">
        <v>470000000</v>
      </c>
      <c r="J7766" s="157" t="s">
        <v>229</v>
      </c>
      <c r="K7766" s="5" t="s">
        <v>14590</v>
      </c>
      <c r="L7766" s="17" t="s">
        <v>11411</v>
      </c>
      <c r="M7766" s="3" t="s">
        <v>230</v>
      </c>
      <c r="N7766" s="6" t="s">
        <v>524</v>
      </c>
      <c r="O7766" s="6" t="s">
        <v>233</v>
      </c>
      <c r="P7766" s="58" t="s">
        <v>241</v>
      </c>
      <c r="Q7766" s="31" t="s">
        <v>234</v>
      </c>
      <c r="R7766" s="251">
        <v>4</v>
      </c>
      <c r="S7766" s="59">
        <v>57600</v>
      </c>
      <c r="T7766" s="4">
        <f t="shared" si="413"/>
        <v>230400</v>
      </c>
      <c r="U7766" s="4">
        <f t="shared" si="389"/>
        <v>258048.00000000003</v>
      </c>
      <c r="V7766" s="3"/>
      <c r="W7766" s="3">
        <v>2014</v>
      </c>
      <c r="X7766" s="3"/>
    </row>
    <row r="7767" spans="1:24" ht="89.25">
      <c r="A7767" s="3" t="s">
        <v>15987</v>
      </c>
      <c r="B7767" s="6" t="s">
        <v>361</v>
      </c>
      <c r="C7767" s="6" t="s">
        <v>3219</v>
      </c>
      <c r="D7767" s="6" t="s">
        <v>3220</v>
      </c>
      <c r="E7767" s="6" t="s">
        <v>3221</v>
      </c>
      <c r="F7767" s="6" t="s">
        <v>16342</v>
      </c>
      <c r="G7767" s="3" t="s">
        <v>11450</v>
      </c>
      <c r="H7767" s="54">
        <v>0</v>
      </c>
      <c r="I7767" s="16">
        <v>470000000</v>
      </c>
      <c r="J7767" s="157" t="s">
        <v>229</v>
      </c>
      <c r="K7767" s="5" t="s">
        <v>14590</v>
      </c>
      <c r="L7767" s="17" t="s">
        <v>11411</v>
      </c>
      <c r="M7767" s="3" t="s">
        <v>230</v>
      </c>
      <c r="N7767" s="6" t="s">
        <v>524</v>
      </c>
      <c r="O7767" s="6" t="s">
        <v>233</v>
      </c>
      <c r="P7767" s="58" t="s">
        <v>241</v>
      </c>
      <c r="Q7767" s="31" t="s">
        <v>234</v>
      </c>
      <c r="R7767" s="251">
        <v>10</v>
      </c>
      <c r="S7767" s="59">
        <v>27048</v>
      </c>
      <c r="T7767" s="4">
        <f t="shared" si="413"/>
        <v>270480</v>
      </c>
      <c r="U7767" s="4">
        <f t="shared" si="389"/>
        <v>302937.60000000003</v>
      </c>
      <c r="V7767" s="3"/>
      <c r="W7767" s="3">
        <v>2014</v>
      </c>
      <c r="X7767" s="3"/>
    </row>
    <row r="7768" spans="1:24" ht="89.25">
      <c r="A7768" s="3" t="s">
        <v>15988</v>
      </c>
      <c r="B7768" s="6" t="s">
        <v>361</v>
      </c>
      <c r="C7768" s="6" t="s">
        <v>3219</v>
      </c>
      <c r="D7768" s="6" t="s">
        <v>3220</v>
      </c>
      <c r="E7768" s="6" t="s">
        <v>3221</v>
      </c>
      <c r="F7768" s="6" t="s">
        <v>16343</v>
      </c>
      <c r="G7768" s="3" t="s">
        <v>11450</v>
      </c>
      <c r="H7768" s="54">
        <v>0</v>
      </c>
      <c r="I7768" s="16">
        <v>470000000</v>
      </c>
      <c r="J7768" s="157" t="s">
        <v>229</v>
      </c>
      <c r="K7768" s="5" t="s">
        <v>14590</v>
      </c>
      <c r="L7768" s="17" t="s">
        <v>11411</v>
      </c>
      <c r="M7768" s="3" t="s">
        <v>230</v>
      </c>
      <c r="N7768" s="6" t="s">
        <v>524</v>
      </c>
      <c r="O7768" s="6" t="s">
        <v>233</v>
      </c>
      <c r="P7768" s="58" t="s">
        <v>241</v>
      </c>
      <c r="Q7768" s="31" t="s">
        <v>234</v>
      </c>
      <c r="R7768" s="251">
        <v>24</v>
      </c>
      <c r="S7768" s="59">
        <v>20184</v>
      </c>
      <c r="T7768" s="4">
        <f t="shared" si="413"/>
        <v>484416</v>
      </c>
      <c r="U7768" s="4">
        <f t="shared" si="389"/>
        <v>542545.92000000004</v>
      </c>
      <c r="V7768" s="3"/>
      <c r="W7768" s="3">
        <v>2014</v>
      </c>
      <c r="X7768" s="3"/>
    </row>
    <row r="7769" spans="1:24" ht="89.25">
      <c r="A7769" s="3" t="s">
        <v>15989</v>
      </c>
      <c r="B7769" s="6" t="s">
        <v>361</v>
      </c>
      <c r="C7769" s="6" t="s">
        <v>3219</v>
      </c>
      <c r="D7769" s="6" t="s">
        <v>3220</v>
      </c>
      <c r="E7769" s="6" t="s">
        <v>3221</v>
      </c>
      <c r="F7769" s="6" t="s">
        <v>15052</v>
      </c>
      <c r="G7769" s="3" t="s">
        <v>11450</v>
      </c>
      <c r="H7769" s="54">
        <v>0</v>
      </c>
      <c r="I7769" s="16">
        <v>470000000</v>
      </c>
      <c r="J7769" s="157" t="s">
        <v>229</v>
      </c>
      <c r="K7769" s="5" t="s">
        <v>14590</v>
      </c>
      <c r="L7769" s="17" t="s">
        <v>11411</v>
      </c>
      <c r="M7769" s="3" t="s">
        <v>230</v>
      </c>
      <c r="N7769" s="6" t="s">
        <v>524</v>
      </c>
      <c r="O7769" s="6" t="s">
        <v>233</v>
      </c>
      <c r="P7769" s="58" t="s">
        <v>241</v>
      </c>
      <c r="Q7769" s="31" t="s">
        <v>234</v>
      </c>
      <c r="R7769" s="251">
        <v>2</v>
      </c>
      <c r="S7769" s="59">
        <v>20184</v>
      </c>
      <c r="T7769" s="4">
        <f t="shared" si="413"/>
        <v>40368</v>
      </c>
      <c r="U7769" s="4">
        <f t="shared" si="389"/>
        <v>45212.160000000003</v>
      </c>
      <c r="V7769" s="3"/>
      <c r="W7769" s="3">
        <v>2014</v>
      </c>
      <c r="X7769" s="3"/>
    </row>
    <row r="7770" spans="1:24" ht="89.25">
      <c r="A7770" s="3" t="s">
        <v>15990</v>
      </c>
      <c r="B7770" s="6" t="s">
        <v>361</v>
      </c>
      <c r="C7770" s="6" t="s">
        <v>3219</v>
      </c>
      <c r="D7770" s="6" t="s">
        <v>3220</v>
      </c>
      <c r="E7770" s="6" t="s">
        <v>3221</v>
      </c>
      <c r="F7770" s="6" t="s">
        <v>15053</v>
      </c>
      <c r="G7770" s="3" t="s">
        <v>11450</v>
      </c>
      <c r="H7770" s="54">
        <v>0</v>
      </c>
      <c r="I7770" s="16">
        <v>470000000</v>
      </c>
      <c r="J7770" s="157" t="s">
        <v>229</v>
      </c>
      <c r="K7770" s="5" t="s">
        <v>14590</v>
      </c>
      <c r="L7770" s="17" t="s">
        <v>11411</v>
      </c>
      <c r="M7770" s="3" t="s">
        <v>230</v>
      </c>
      <c r="N7770" s="6" t="s">
        <v>524</v>
      </c>
      <c r="O7770" s="6" t="s">
        <v>233</v>
      </c>
      <c r="P7770" s="58" t="s">
        <v>241</v>
      </c>
      <c r="Q7770" s="31" t="s">
        <v>234</v>
      </c>
      <c r="R7770" s="251">
        <v>4</v>
      </c>
      <c r="S7770" s="59">
        <v>11040</v>
      </c>
      <c r="T7770" s="4">
        <f t="shared" si="413"/>
        <v>44160</v>
      </c>
      <c r="U7770" s="4">
        <f t="shared" si="389"/>
        <v>49459.200000000004</v>
      </c>
      <c r="V7770" s="3"/>
      <c r="W7770" s="3">
        <v>2014</v>
      </c>
      <c r="X7770" s="3"/>
    </row>
    <row r="7771" spans="1:24" ht="89.25">
      <c r="A7771" s="3" t="s">
        <v>15991</v>
      </c>
      <c r="B7771" s="6" t="s">
        <v>361</v>
      </c>
      <c r="C7771" s="6" t="s">
        <v>3219</v>
      </c>
      <c r="D7771" s="6" t="s">
        <v>3220</v>
      </c>
      <c r="E7771" s="6" t="s">
        <v>3221</v>
      </c>
      <c r="F7771" s="6" t="s">
        <v>16344</v>
      </c>
      <c r="G7771" s="3" t="s">
        <v>11450</v>
      </c>
      <c r="H7771" s="54">
        <v>0</v>
      </c>
      <c r="I7771" s="16">
        <v>470000000</v>
      </c>
      <c r="J7771" s="157" t="s">
        <v>229</v>
      </c>
      <c r="K7771" s="5" t="s">
        <v>14590</v>
      </c>
      <c r="L7771" s="17" t="s">
        <v>11411</v>
      </c>
      <c r="M7771" s="3" t="s">
        <v>230</v>
      </c>
      <c r="N7771" s="6" t="s">
        <v>524</v>
      </c>
      <c r="O7771" s="6" t="s">
        <v>233</v>
      </c>
      <c r="P7771" s="58" t="s">
        <v>241</v>
      </c>
      <c r="Q7771" s="31" t="s">
        <v>234</v>
      </c>
      <c r="R7771" s="251">
        <v>70</v>
      </c>
      <c r="S7771" s="59">
        <v>2800</v>
      </c>
      <c r="T7771" s="4">
        <f t="shared" si="413"/>
        <v>196000</v>
      </c>
      <c r="U7771" s="4">
        <f t="shared" si="389"/>
        <v>219520.00000000003</v>
      </c>
      <c r="V7771" s="3"/>
      <c r="W7771" s="3">
        <v>2014</v>
      </c>
      <c r="X7771" s="3"/>
    </row>
    <row r="7772" spans="1:24" ht="89.25">
      <c r="A7772" s="3" t="s">
        <v>15992</v>
      </c>
      <c r="B7772" s="6" t="s">
        <v>361</v>
      </c>
      <c r="C7772" s="6" t="s">
        <v>3219</v>
      </c>
      <c r="D7772" s="6" t="s">
        <v>3220</v>
      </c>
      <c r="E7772" s="6" t="s">
        <v>3221</v>
      </c>
      <c r="F7772" s="6" t="s">
        <v>16345</v>
      </c>
      <c r="G7772" s="3" t="s">
        <v>11450</v>
      </c>
      <c r="H7772" s="54">
        <v>0</v>
      </c>
      <c r="I7772" s="16">
        <v>470000000</v>
      </c>
      <c r="J7772" s="157" t="s">
        <v>229</v>
      </c>
      <c r="K7772" s="5" t="s">
        <v>14590</v>
      </c>
      <c r="L7772" s="17" t="s">
        <v>11411</v>
      </c>
      <c r="M7772" s="3" t="s">
        <v>230</v>
      </c>
      <c r="N7772" s="6" t="s">
        <v>524</v>
      </c>
      <c r="O7772" s="6" t="s">
        <v>233</v>
      </c>
      <c r="P7772" s="58" t="s">
        <v>241</v>
      </c>
      <c r="Q7772" s="31" t="s">
        <v>234</v>
      </c>
      <c r="R7772" s="251">
        <v>2</v>
      </c>
      <c r="S7772" s="59">
        <v>31800</v>
      </c>
      <c r="T7772" s="4">
        <f t="shared" si="413"/>
        <v>63600</v>
      </c>
      <c r="U7772" s="4">
        <f t="shared" si="389"/>
        <v>71232</v>
      </c>
      <c r="V7772" s="3"/>
      <c r="W7772" s="3">
        <v>2014</v>
      </c>
      <c r="X7772" s="3"/>
    </row>
    <row r="7773" spans="1:24" ht="89.25">
      <c r="A7773" s="3" t="s">
        <v>15993</v>
      </c>
      <c r="B7773" s="6" t="s">
        <v>361</v>
      </c>
      <c r="C7773" s="6" t="s">
        <v>3219</v>
      </c>
      <c r="D7773" s="6" t="s">
        <v>3220</v>
      </c>
      <c r="E7773" s="6" t="s">
        <v>3221</v>
      </c>
      <c r="F7773" s="6" t="s">
        <v>16346</v>
      </c>
      <c r="G7773" s="3" t="s">
        <v>11450</v>
      </c>
      <c r="H7773" s="54">
        <v>0</v>
      </c>
      <c r="I7773" s="16">
        <v>470000000</v>
      </c>
      <c r="J7773" s="157" t="s">
        <v>229</v>
      </c>
      <c r="K7773" s="5" t="s">
        <v>14590</v>
      </c>
      <c r="L7773" s="17" t="s">
        <v>11411</v>
      </c>
      <c r="M7773" s="3" t="s">
        <v>230</v>
      </c>
      <c r="N7773" s="6" t="s">
        <v>524</v>
      </c>
      <c r="O7773" s="6" t="s">
        <v>233</v>
      </c>
      <c r="P7773" s="58" t="s">
        <v>241</v>
      </c>
      <c r="Q7773" s="31" t="s">
        <v>234</v>
      </c>
      <c r="R7773" s="251">
        <v>2</v>
      </c>
      <c r="S7773" s="59">
        <v>20184</v>
      </c>
      <c r="T7773" s="4">
        <f t="shared" si="413"/>
        <v>40368</v>
      </c>
      <c r="U7773" s="4">
        <f t="shared" si="389"/>
        <v>45212.160000000003</v>
      </c>
      <c r="V7773" s="3"/>
      <c r="W7773" s="3">
        <v>2014</v>
      </c>
      <c r="X7773" s="3"/>
    </row>
    <row r="7774" spans="1:24" ht="102">
      <c r="A7774" s="3" t="s">
        <v>15994</v>
      </c>
      <c r="B7774" s="6" t="s">
        <v>361</v>
      </c>
      <c r="C7774" s="6" t="s">
        <v>3236</v>
      </c>
      <c r="D7774" s="6" t="s">
        <v>3237</v>
      </c>
      <c r="E7774" s="6" t="s">
        <v>3238</v>
      </c>
      <c r="F7774" s="6" t="s">
        <v>16645</v>
      </c>
      <c r="G7774" s="3" t="s">
        <v>11449</v>
      </c>
      <c r="H7774" s="54">
        <v>0</v>
      </c>
      <c r="I7774" s="16">
        <v>470000000</v>
      </c>
      <c r="J7774" s="157" t="s">
        <v>229</v>
      </c>
      <c r="K7774" s="5" t="s">
        <v>14590</v>
      </c>
      <c r="L7774" s="17" t="s">
        <v>11411</v>
      </c>
      <c r="M7774" s="3" t="s">
        <v>230</v>
      </c>
      <c r="N7774" s="6" t="s">
        <v>524</v>
      </c>
      <c r="O7774" s="6" t="s">
        <v>233</v>
      </c>
      <c r="P7774" s="58" t="s">
        <v>241</v>
      </c>
      <c r="Q7774" s="37" t="s">
        <v>234</v>
      </c>
      <c r="R7774" s="251">
        <v>10</v>
      </c>
      <c r="S7774" s="59">
        <v>255600</v>
      </c>
      <c r="T7774" s="4">
        <v>0</v>
      </c>
      <c r="U7774" s="4">
        <f t="shared" si="389"/>
        <v>0</v>
      </c>
      <c r="V7774" s="3"/>
      <c r="W7774" s="3">
        <v>2014</v>
      </c>
      <c r="X7774" s="3" t="s">
        <v>14780</v>
      </c>
    </row>
    <row r="7775" spans="1:24" ht="102">
      <c r="A7775" s="3" t="s">
        <v>18115</v>
      </c>
      <c r="B7775" s="6" t="s">
        <v>361</v>
      </c>
      <c r="C7775" s="6" t="s">
        <v>3236</v>
      </c>
      <c r="D7775" s="6" t="s">
        <v>3237</v>
      </c>
      <c r="E7775" s="6" t="s">
        <v>3238</v>
      </c>
      <c r="F7775" s="6" t="s">
        <v>16645</v>
      </c>
      <c r="G7775" s="3" t="s">
        <v>11449</v>
      </c>
      <c r="H7775" s="54">
        <v>0</v>
      </c>
      <c r="I7775" s="16">
        <v>470000000</v>
      </c>
      <c r="J7775" s="157" t="s">
        <v>229</v>
      </c>
      <c r="K7775" s="5" t="s">
        <v>10120</v>
      </c>
      <c r="L7775" s="17" t="s">
        <v>11411</v>
      </c>
      <c r="M7775" s="3" t="s">
        <v>230</v>
      </c>
      <c r="N7775" s="6" t="s">
        <v>524</v>
      </c>
      <c r="O7775" s="6" t="s">
        <v>233</v>
      </c>
      <c r="P7775" s="58" t="s">
        <v>241</v>
      </c>
      <c r="Q7775" s="37" t="s">
        <v>234</v>
      </c>
      <c r="R7775" s="251">
        <v>12</v>
      </c>
      <c r="S7775" s="59">
        <v>255600</v>
      </c>
      <c r="T7775" s="4">
        <f t="shared" si="413"/>
        <v>3067200</v>
      </c>
      <c r="U7775" s="4">
        <f t="shared" si="389"/>
        <v>3435264.0000000005</v>
      </c>
      <c r="V7775" s="3"/>
      <c r="W7775" s="3">
        <v>2014</v>
      </c>
      <c r="X7775" s="3"/>
    </row>
    <row r="7776" spans="1:24" ht="102">
      <c r="A7776" s="3" t="s">
        <v>15995</v>
      </c>
      <c r="B7776" s="6" t="s">
        <v>361</v>
      </c>
      <c r="C7776" s="6" t="s">
        <v>3236</v>
      </c>
      <c r="D7776" s="6" t="s">
        <v>3237</v>
      </c>
      <c r="E7776" s="6" t="s">
        <v>3238</v>
      </c>
      <c r="F7776" s="6" t="s">
        <v>16646</v>
      </c>
      <c r="G7776" s="3" t="s">
        <v>11449</v>
      </c>
      <c r="H7776" s="54">
        <v>0</v>
      </c>
      <c r="I7776" s="16">
        <v>470000000</v>
      </c>
      <c r="J7776" s="157" t="s">
        <v>229</v>
      </c>
      <c r="K7776" s="5" t="s">
        <v>14590</v>
      </c>
      <c r="L7776" s="17" t="s">
        <v>11411</v>
      </c>
      <c r="M7776" s="3" t="s">
        <v>230</v>
      </c>
      <c r="N7776" s="6" t="s">
        <v>524</v>
      </c>
      <c r="O7776" s="6" t="s">
        <v>233</v>
      </c>
      <c r="P7776" s="58" t="s">
        <v>241</v>
      </c>
      <c r="Q7776" s="31" t="s">
        <v>234</v>
      </c>
      <c r="R7776" s="251">
        <v>52</v>
      </c>
      <c r="S7776" s="59">
        <v>234000</v>
      </c>
      <c r="T7776" s="4">
        <f t="shared" si="413"/>
        <v>12168000</v>
      </c>
      <c r="U7776" s="4">
        <f t="shared" si="389"/>
        <v>13628160.000000002</v>
      </c>
      <c r="V7776" s="3"/>
      <c r="W7776" s="3">
        <v>2014</v>
      </c>
      <c r="X7776" s="3"/>
    </row>
    <row r="7777" spans="1:24" ht="114.75">
      <c r="A7777" s="3" t="s">
        <v>15996</v>
      </c>
      <c r="B7777" s="6" t="s">
        <v>361</v>
      </c>
      <c r="C7777" s="6" t="s">
        <v>3236</v>
      </c>
      <c r="D7777" s="6" t="s">
        <v>3237</v>
      </c>
      <c r="E7777" s="6" t="s">
        <v>3238</v>
      </c>
      <c r="F7777" s="6" t="s">
        <v>15054</v>
      </c>
      <c r="G7777" s="3" t="s">
        <v>11449</v>
      </c>
      <c r="H7777" s="54">
        <v>0</v>
      </c>
      <c r="I7777" s="16">
        <v>470000000</v>
      </c>
      <c r="J7777" s="157" t="s">
        <v>229</v>
      </c>
      <c r="K7777" s="5" t="s">
        <v>14590</v>
      </c>
      <c r="L7777" s="17" t="s">
        <v>11411</v>
      </c>
      <c r="M7777" s="3" t="s">
        <v>230</v>
      </c>
      <c r="N7777" s="6" t="s">
        <v>524</v>
      </c>
      <c r="O7777" s="6" t="s">
        <v>233</v>
      </c>
      <c r="P7777" s="58" t="s">
        <v>241</v>
      </c>
      <c r="Q7777" s="31" t="s">
        <v>234</v>
      </c>
      <c r="R7777" s="251">
        <v>52</v>
      </c>
      <c r="S7777" s="59">
        <v>1560000</v>
      </c>
      <c r="T7777" s="4">
        <v>0</v>
      </c>
      <c r="U7777" s="4">
        <f t="shared" si="389"/>
        <v>0</v>
      </c>
      <c r="V7777" s="3"/>
      <c r="W7777" s="3">
        <v>2014</v>
      </c>
      <c r="X7777" s="3">
        <v>6.11</v>
      </c>
    </row>
    <row r="7778" spans="1:24" ht="89.25">
      <c r="A7778" s="3" t="s">
        <v>17312</v>
      </c>
      <c r="B7778" s="6" t="s">
        <v>361</v>
      </c>
      <c r="C7778" s="6" t="s">
        <v>3236</v>
      </c>
      <c r="D7778" s="6" t="s">
        <v>3237</v>
      </c>
      <c r="E7778" s="6" t="s">
        <v>3238</v>
      </c>
      <c r="F7778" s="6" t="s">
        <v>17313</v>
      </c>
      <c r="G7778" s="3" t="s">
        <v>11449</v>
      </c>
      <c r="H7778" s="54">
        <v>0</v>
      </c>
      <c r="I7778" s="16">
        <v>470000000</v>
      </c>
      <c r="J7778" s="157" t="s">
        <v>229</v>
      </c>
      <c r="K7778" s="5" t="s">
        <v>17314</v>
      </c>
      <c r="L7778" s="17" t="s">
        <v>11411</v>
      </c>
      <c r="M7778" s="3" t="s">
        <v>230</v>
      </c>
      <c r="N7778" s="6" t="s">
        <v>524</v>
      </c>
      <c r="O7778" s="6" t="s">
        <v>233</v>
      </c>
      <c r="P7778" s="58" t="s">
        <v>241</v>
      </c>
      <c r="Q7778" s="31" t="s">
        <v>234</v>
      </c>
      <c r="R7778" s="251">
        <v>52</v>
      </c>
      <c r="S7778" s="59">
        <v>156000</v>
      </c>
      <c r="T7778" s="4">
        <v>0</v>
      </c>
      <c r="U7778" s="4">
        <f t="shared" si="389"/>
        <v>0</v>
      </c>
      <c r="V7778" s="3"/>
      <c r="W7778" s="3">
        <v>2014</v>
      </c>
      <c r="X7778" s="3" t="s">
        <v>18655</v>
      </c>
    </row>
    <row r="7779" spans="1:24" ht="89.25">
      <c r="A7779" s="3" t="s">
        <v>19077</v>
      </c>
      <c r="B7779" s="6" t="s">
        <v>361</v>
      </c>
      <c r="C7779" s="6" t="s">
        <v>3236</v>
      </c>
      <c r="D7779" s="6" t="s">
        <v>3237</v>
      </c>
      <c r="E7779" s="6" t="s">
        <v>3238</v>
      </c>
      <c r="F7779" s="6" t="s">
        <v>19078</v>
      </c>
      <c r="G7779" s="3" t="s">
        <v>11449</v>
      </c>
      <c r="H7779" s="54">
        <v>0</v>
      </c>
      <c r="I7779" s="16">
        <v>470000000</v>
      </c>
      <c r="J7779" s="157" t="s">
        <v>229</v>
      </c>
      <c r="K7779" s="5" t="s">
        <v>18748</v>
      </c>
      <c r="L7779" s="17" t="s">
        <v>11411</v>
      </c>
      <c r="M7779" s="3" t="s">
        <v>230</v>
      </c>
      <c r="N7779" s="6" t="s">
        <v>528</v>
      </c>
      <c r="O7779" s="6" t="s">
        <v>233</v>
      </c>
      <c r="P7779" s="58" t="s">
        <v>241</v>
      </c>
      <c r="Q7779" s="31" t="s">
        <v>234</v>
      </c>
      <c r="R7779" s="251">
        <v>52</v>
      </c>
      <c r="S7779" s="59">
        <v>156000</v>
      </c>
      <c r="T7779" s="4">
        <f>R7779*S7779</f>
        <v>8112000</v>
      </c>
      <c r="U7779" s="4">
        <f t="shared" ref="U7779" si="414">T7779*1.12</f>
        <v>9085440</v>
      </c>
      <c r="V7779" s="3"/>
      <c r="W7779" s="3">
        <v>2014</v>
      </c>
      <c r="X7779" s="3"/>
    </row>
    <row r="7780" spans="1:24" ht="89.25">
      <c r="A7780" s="3" t="s">
        <v>15997</v>
      </c>
      <c r="B7780" s="6" t="s">
        <v>361</v>
      </c>
      <c r="C7780" s="6" t="s">
        <v>3236</v>
      </c>
      <c r="D7780" s="6" t="s">
        <v>3237</v>
      </c>
      <c r="E7780" s="6" t="s">
        <v>3238</v>
      </c>
      <c r="F7780" s="6" t="s">
        <v>15055</v>
      </c>
      <c r="G7780" s="3" t="s">
        <v>11449</v>
      </c>
      <c r="H7780" s="54">
        <v>0</v>
      </c>
      <c r="I7780" s="16">
        <v>470000000</v>
      </c>
      <c r="J7780" s="157" t="s">
        <v>229</v>
      </c>
      <c r="K7780" s="5" t="s">
        <v>14590</v>
      </c>
      <c r="L7780" s="17" t="s">
        <v>11411</v>
      </c>
      <c r="M7780" s="3" t="s">
        <v>230</v>
      </c>
      <c r="N7780" s="6" t="s">
        <v>524</v>
      </c>
      <c r="O7780" s="6" t="s">
        <v>233</v>
      </c>
      <c r="P7780" s="58" t="s">
        <v>241</v>
      </c>
      <c r="Q7780" s="31" t="s">
        <v>234</v>
      </c>
      <c r="R7780" s="251">
        <v>2</v>
      </c>
      <c r="S7780" s="59">
        <v>444000</v>
      </c>
      <c r="T7780" s="4">
        <f t="shared" si="413"/>
        <v>888000</v>
      </c>
      <c r="U7780" s="4">
        <f t="shared" si="389"/>
        <v>994560.00000000012</v>
      </c>
      <c r="V7780" s="3"/>
      <c r="W7780" s="3">
        <v>2014</v>
      </c>
      <c r="X7780" s="3"/>
    </row>
    <row r="7781" spans="1:24" ht="127.5">
      <c r="A7781" s="3" t="s">
        <v>15998</v>
      </c>
      <c r="B7781" s="6" t="s">
        <v>361</v>
      </c>
      <c r="C7781" s="6" t="s">
        <v>3236</v>
      </c>
      <c r="D7781" s="6" t="s">
        <v>3237</v>
      </c>
      <c r="E7781" s="6" t="s">
        <v>3238</v>
      </c>
      <c r="F7781" s="6" t="s">
        <v>15056</v>
      </c>
      <c r="G7781" s="3" t="s">
        <v>11449</v>
      </c>
      <c r="H7781" s="54">
        <v>0</v>
      </c>
      <c r="I7781" s="16">
        <v>470000000</v>
      </c>
      <c r="J7781" s="157" t="s">
        <v>229</v>
      </c>
      <c r="K7781" s="5" t="s">
        <v>14590</v>
      </c>
      <c r="L7781" s="17" t="s">
        <v>11411</v>
      </c>
      <c r="M7781" s="3" t="s">
        <v>230</v>
      </c>
      <c r="N7781" s="6" t="s">
        <v>524</v>
      </c>
      <c r="O7781" s="6" t="s">
        <v>233</v>
      </c>
      <c r="P7781" s="58" t="s">
        <v>241</v>
      </c>
      <c r="Q7781" s="31" t="s">
        <v>234</v>
      </c>
      <c r="R7781" s="251">
        <v>29</v>
      </c>
      <c r="S7781" s="59">
        <v>438000</v>
      </c>
      <c r="T7781" s="4">
        <f t="shared" si="413"/>
        <v>12702000</v>
      </c>
      <c r="U7781" s="4">
        <f t="shared" si="389"/>
        <v>14226240.000000002</v>
      </c>
      <c r="V7781" s="3"/>
      <c r="W7781" s="3">
        <v>2014</v>
      </c>
      <c r="X7781" s="3"/>
    </row>
    <row r="7782" spans="1:24" ht="127.5">
      <c r="A7782" s="3" t="s">
        <v>15999</v>
      </c>
      <c r="B7782" s="6" t="s">
        <v>361</v>
      </c>
      <c r="C7782" s="6" t="s">
        <v>3236</v>
      </c>
      <c r="D7782" s="6" t="s">
        <v>3237</v>
      </c>
      <c r="E7782" s="6" t="s">
        <v>3238</v>
      </c>
      <c r="F7782" s="6" t="s">
        <v>15057</v>
      </c>
      <c r="G7782" s="3" t="s">
        <v>11449</v>
      </c>
      <c r="H7782" s="54">
        <v>0</v>
      </c>
      <c r="I7782" s="16">
        <v>470000000</v>
      </c>
      <c r="J7782" s="157" t="s">
        <v>229</v>
      </c>
      <c r="K7782" s="5" t="s">
        <v>14590</v>
      </c>
      <c r="L7782" s="17" t="s">
        <v>11411</v>
      </c>
      <c r="M7782" s="3" t="s">
        <v>230</v>
      </c>
      <c r="N7782" s="6" t="s">
        <v>524</v>
      </c>
      <c r="O7782" s="6" t="s">
        <v>233</v>
      </c>
      <c r="P7782" s="58" t="s">
        <v>241</v>
      </c>
      <c r="Q7782" s="31" t="s">
        <v>234</v>
      </c>
      <c r="R7782" s="251">
        <v>8</v>
      </c>
      <c r="S7782" s="59">
        <v>438000</v>
      </c>
      <c r="T7782" s="4">
        <f t="shared" si="413"/>
        <v>3504000</v>
      </c>
      <c r="U7782" s="4">
        <f>T7782*1.12</f>
        <v>3924480.0000000005</v>
      </c>
      <c r="V7782" s="3"/>
      <c r="W7782" s="3">
        <v>2014</v>
      </c>
      <c r="X7782" s="3"/>
    </row>
    <row r="7783" spans="1:24" ht="114.75">
      <c r="A7783" s="3" t="s">
        <v>16000</v>
      </c>
      <c r="B7783" s="6" t="s">
        <v>361</v>
      </c>
      <c r="C7783" s="6" t="s">
        <v>3236</v>
      </c>
      <c r="D7783" s="6" t="s">
        <v>3237</v>
      </c>
      <c r="E7783" s="6" t="s">
        <v>3238</v>
      </c>
      <c r="F7783" s="6" t="s">
        <v>15054</v>
      </c>
      <c r="G7783" s="3" t="s">
        <v>11449</v>
      </c>
      <c r="H7783" s="54">
        <v>0</v>
      </c>
      <c r="I7783" s="16">
        <v>470000000</v>
      </c>
      <c r="J7783" s="157" t="s">
        <v>229</v>
      </c>
      <c r="K7783" s="5" t="s">
        <v>14590</v>
      </c>
      <c r="L7783" s="17" t="s">
        <v>11411</v>
      </c>
      <c r="M7783" s="3" t="s">
        <v>230</v>
      </c>
      <c r="N7783" s="6" t="s">
        <v>524</v>
      </c>
      <c r="O7783" s="6" t="s">
        <v>233</v>
      </c>
      <c r="P7783" s="58" t="s">
        <v>241</v>
      </c>
      <c r="Q7783" s="31" t="s">
        <v>234</v>
      </c>
      <c r="R7783" s="251">
        <v>12</v>
      </c>
      <c r="S7783" s="59">
        <v>84000</v>
      </c>
      <c r="T7783" s="4">
        <f t="shared" si="413"/>
        <v>1008000</v>
      </c>
      <c r="U7783" s="4">
        <f t="shared" ref="U7783:U7847" si="415">T7783*1.12</f>
        <v>1128960</v>
      </c>
      <c r="V7783" s="3"/>
      <c r="W7783" s="3">
        <v>2014</v>
      </c>
      <c r="X7783" s="3"/>
    </row>
    <row r="7784" spans="1:24" ht="89.25">
      <c r="A7784" s="3" t="s">
        <v>16001</v>
      </c>
      <c r="B7784" s="6" t="s">
        <v>361</v>
      </c>
      <c r="C7784" s="6" t="s">
        <v>3236</v>
      </c>
      <c r="D7784" s="6" t="s">
        <v>3237</v>
      </c>
      <c r="E7784" s="6" t="s">
        <v>3238</v>
      </c>
      <c r="F7784" s="6" t="s">
        <v>15058</v>
      </c>
      <c r="G7784" s="3" t="s">
        <v>11449</v>
      </c>
      <c r="H7784" s="54">
        <v>0</v>
      </c>
      <c r="I7784" s="16">
        <v>470000000</v>
      </c>
      <c r="J7784" s="157" t="s">
        <v>229</v>
      </c>
      <c r="K7784" s="5" t="s">
        <v>14590</v>
      </c>
      <c r="L7784" s="17" t="s">
        <v>11411</v>
      </c>
      <c r="M7784" s="3" t="s">
        <v>230</v>
      </c>
      <c r="N7784" s="6" t="s">
        <v>524</v>
      </c>
      <c r="O7784" s="6" t="s">
        <v>233</v>
      </c>
      <c r="P7784" s="58" t="s">
        <v>241</v>
      </c>
      <c r="Q7784" s="31" t="s">
        <v>234</v>
      </c>
      <c r="R7784" s="251">
        <v>54</v>
      </c>
      <c r="S7784" s="59">
        <v>42000</v>
      </c>
      <c r="T7784" s="4">
        <v>0</v>
      </c>
      <c r="U7784" s="4">
        <f t="shared" si="415"/>
        <v>0</v>
      </c>
      <c r="V7784" s="3"/>
      <c r="W7784" s="3">
        <v>2014</v>
      </c>
      <c r="X7784" s="3">
        <v>11</v>
      </c>
    </row>
    <row r="7785" spans="1:24" ht="89.25">
      <c r="A7785" s="3" t="s">
        <v>18363</v>
      </c>
      <c r="B7785" s="6" t="s">
        <v>361</v>
      </c>
      <c r="C7785" s="6" t="s">
        <v>3236</v>
      </c>
      <c r="D7785" s="6" t="s">
        <v>3237</v>
      </c>
      <c r="E7785" s="6" t="s">
        <v>3238</v>
      </c>
      <c r="F7785" s="6" t="s">
        <v>15058</v>
      </c>
      <c r="G7785" s="3" t="s">
        <v>11449</v>
      </c>
      <c r="H7785" s="54">
        <v>0</v>
      </c>
      <c r="I7785" s="16">
        <v>470000000</v>
      </c>
      <c r="J7785" s="157" t="s">
        <v>229</v>
      </c>
      <c r="K7785" s="5" t="s">
        <v>10120</v>
      </c>
      <c r="L7785" s="17" t="s">
        <v>11411</v>
      </c>
      <c r="M7785" s="3" t="s">
        <v>230</v>
      </c>
      <c r="N7785" s="6" t="s">
        <v>524</v>
      </c>
      <c r="O7785" s="6" t="s">
        <v>233</v>
      </c>
      <c r="P7785" s="58" t="s">
        <v>241</v>
      </c>
      <c r="Q7785" s="31" t="s">
        <v>234</v>
      </c>
      <c r="R7785" s="251">
        <v>54</v>
      </c>
      <c r="S7785" s="59">
        <v>42000</v>
      </c>
      <c r="T7785" s="4">
        <f t="shared" ref="T7785" si="416">R7785*S7785</f>
        <v>2268000</v>
      </c>
      <c r="U7785" s="4">
        <f t="shared" si="415"/>
        <v>2540160.0000000005</v>
      </c>
      <c r="V7785" s="3"/>
      <c r="W7785" s="3">
        <v>2014</v>
      </c>
      <c r="X7785" s="3"/>
    </row>
    <row r="7786" spans="1:24" ht="102">
      <c r="A7786" s="3" t="s">
        <v>16002</v>
      </c>
      <c r="B7786" s="6" t="s">
        <v>361</v>
      </c>
      <c r="C7786" s="6" t="s">
        <v>3236</v>
      </c>
      <c r="D7786" s="6" t="s">
        <v>3237</v>
      </c>
      <c r="E7786" s="6" t="s">
        <v>3238</v>
      </c>
      <c r="F7786" s="6" t="s">
        <v>15059</v>
      </c>
      <c r="G7786" s="3" t="s">
        <v>11449</v>
      </c>
      <c r="H7786" s="54">
        <v>0</v>
      </c>
      <c r="I7786" s="16">
        <v>470000000</v>
      </c>
      <c r="J7786" s="157" t="s">
        <v>229</v>
      </c>
      <c r="K7786" s="5" t="s">
        <v>14590</v>
      </c>
      <c r="L7786" s="17" t="s">
        <v>11411</v>
      </c>
      <c r="M7786" s="3" t="s">
        <v>230</v>
      </c>
      <c r="N7786" s="6" t="s">
        <v>524</v>
      </c>
      <c r="O7786" s="6" t="s">
        <v>233</v>
      </c>
      <c r="P7786" s="58" t="s">
        <v>241</v>
      </c>
      <c r="Q7786" s="31" t="s">
        <v>234</v>
      </c>
      <c r="R7786" s="251">
        <v>2</v>
      </c>
      <c r="S7786" s="59">
        <v>180000</v>
      </c>
      <c r="T7786" s="4">
        <f t="shared" si="413"/>
        <v>360000</v>
      </c>
      <c r="U7786" s="4">
        <f t="shared" si="415"/>
        <v>403200.00000000006</v>
      </c>
      <c r="V7786" s="3"/>
      <c r="W7786" s="3">
        <v>2014</v>
      </c>
      <c r="X7786" s="3"/>
    </row>
    <row r="7787" spans="1:24" ht="114.75">
      <c r="A7787" s="3" t="s">
        <v>16003</v>
      </c>
      <c r="B7787" s="6" t="s">
        <v>361</v>
      </c>
      <c r="C7787" s="6" t="s">
        <v>3236</v>
      </c>
      <c r="D7787" s="6" t="s">
        <v>3237</v>
      </c>
      <c r="E7787" s="6" t="s">
        <v>3238</v>
      </c>
      <c r="F7787" s="6" t="s">
        <v>15060</v>
      </c>
      <c r="G7787" s="3" t="s">
        <v>11449</v>
      </c>
      <c r="H7787" s="54">
        <v>0</v>
      </c>
      <c r="I7787" s="16">
        <v>470000000</v>
      </c>
      <c r="J7787" s="157" t="s">
        <v>229</v>
      </c>
      <c r="K7787" s="5" t="s">
        <v>14590</v>
      </c>
      <c r="L7787" s="17" t="s">
        <v>11411</v>
      </c>
      <c r="M7787" s="3" t="s">
        <v>230</v>
      </c>
      <c r="N7787" s="6" t="s">
        <v>524</v>
      </c>
      <c r="O7787" s="6" t="s">
        <v>233</v>
      </c>
      <c r="P7787" s="58" t="s">
        <v>241</v>
      </c>
      <c r="Q7787" s="31" t="s">
        <v>234</v>
      </c>
      <c r="R7787" s="251">
        <v>3</v>
      </c>
      <c r="S7787" s="59">
        <v>342000</v>
      </c>
      <c r="T7787" s="4">
        <f t="shared" si="413"/>
        <v>1026000</v>
      </c>
      <c r="U7787" s="4">
        <f t="shared" si="415"/>
        <v>1149120</v>
      </c>
      <c r="V7787" s="3"/>
      <c r="W7787" s="3">
        <v>2014</v>
      </c>
      <c r="X7787" s="3"/>
    </row>
    <row r="7788" spans="1:24" ht="114.75">
      <c r="A7788" s="3" t="s">
        <v>16004</v>
      </c>
      <c r="B7788" s="6" t="s">
        <v>361</v>
      </c>
      <c r="C7788" s="6" t="s">
        <v>3236</v>
      </c>
      <c r="D7788" s="6" t="s">
        <v>3237</v>
      </c>
      <c r="E7788" s="6" t="s">
        <v>3238</v>
      </c>
      <c r="F7788" s="6" t="s">
        <v>15060</v>
      </c>
      <c r="G7788" s="3" t="s">
        <v>11449</v>
      </c>
      <c r="H7788" s="54">
        <v>0</v>
      </c>
      <c r="I7788" s="16">
        <v>470000000</v>
      </c>
      <c r="J7788" s="157" t="s">
        <v>229</v>
      </c>
      <c r="K7788" s="5" t="s">
        <v>14590</v>
      </c>
      <c r="L7788" s="17" t="s">
        <v>11411</v>
      </c>
      <c r="M7788" s="3" t="s">
        <v>230</v>
      </c>
      <c r="N7788" s="6" t="s">
        <v>524</v>
      </c>
      <c r="O7788" s="6" t="s">
        <v>233</v>
      </c>
      <c r="P7788" s="58" t="s">
        <v>241</v>
      </c>
      <c r="Q7788" s="31" t="s">
        <v>234</v>
      </c>
      <c r="R7788" s="251">
        <v>49</v>
      </c>
      <c r="S7788" s="59">
        <v>54000</v>
      </c>
      <c r="T7788" s="4">
        <v>0</v>
      </c>
      <c r="U7788" s="4">
        <f t="shared" si="415"/>
        <v>0</v>
      </c>
      <c r="V7788" s="3"/>
      <c r="W7788" s="3">
        <v>2014</v>
      </c>
      <c r="X7788" s="3">
        <v>6.11</v>
      </c>
    </row>
    <row r="7789" spans="1:24" ht="114.75">
      <c r="A7789" s="3" t="s">
        <v>18364</v>
      </c>
      <c r="B7789" s="6" t="s">
        <v>361</v>
      </c>
      <c r="C7789" s="6" t="s">
        <v>3236</v>
      </c>
      <c r="D7789" s="6" t="s">
        <v>3237</v>
      </c>
      <c r="E7789" s="6" t="s">
        <v>3238</v>
      </c>
      <c r="F7789" s="6" t="s">
        <v>18409</v>
      </c>
      <c r="G7789" s="3" t="s">
        <v>11449</v>
      </c>
      <c r="H7789" s="54">
        <v>0</v>
      </c>
      <c r="I7789" s="16">
        <v>470000000</v>
      </c>
      <c r="J7789" s="157" t="s">
        <v>229</v>
      </c>
      <c r="K7789" s="5" t="s">
        <v>10120</v>
      </c>
      <c r="L7789" s="17" t="s">
        <v>11411</v>
      </c>
      <c r="M7789" s="3" t="s">
        <v>230</v>
      </c>
      <c r="N7789" s="6" t="s">
        <v>524</v>
      </c>
      <c r="O7789" s="6" t="s">
        <v>233</v>
      </c>
      <c r="P7789" s="58" t="s">
        <v>241</v>
      </c>
      <c r="Q7789" s="31" t="s">
        <v>234</v>
      </c>
      <c r="R7789" s="251">
        <v>49</v>
      </c>
      <c r="S7789" s="59">
        <v>54000</v>
      </c>
      <c r="T7789" s="4">
        <f t="shared" ref="T7789" si="417">R7789*S7789</f>
        <v>2646000</v>
      </c>
      <c r="U7789" s="4">
        <f t="shared" si="415"/>
        <v>2963520.0000000005</v>
      </c>
      <c r="V7789" s="3"/>
      <c r="W7789" s="3">
        <v>2014</v>
      </c>
      <c r="X7789" s="3"/>
    </row>
    <row r="7790" spans="1:24" ht="114.75">
      <c r="A7790" s="3" t="s">
        <v>16005</v>
      </c>
      <c r="B7790" s="6" t="s">
        <v>361</v>
      </c>
      <c r="C7790" s="6" t="s">
        <v>3236</v>
      </c>
      <c r="D7790" s="6" t="s">
        <v>3237</v>
      </c>
      <c r="E7790" s="6" t="s">
        <v>3238</v>
      </c>
      <c r="F7790" s="6" t="s">
        <v>15061</v>
      </c>
      <c r="G7790" s="3" t="s">
        <v>11449</v>
      </c>
      <c r="H7790" s="54">
        <v>0</v>
      </c>
      <c r="I7790" s="16">
        <v>470000000</v>
      </c>
      <c r="J7790" s="157" t="s">
        <v>229</v>
      </c>
      <c r="K7790" s="5" t="s">
        <v>14590</v>
      </c>
      <c r="L7790" s="17" t="s">
        <v>11411</v>
      </c>
      <c r="M7790" s="3" t="s">
        <v>230</v>
      </c>
      <c r="N7790" s="6" t="s">
        <v>524</v>
      </c>
      <c r="O7790" s="6" t="s">
        <v>233</v>
      </c>
      <c r="P7790" s="58" t="s">
        <v>241</v>
      </c>
      <c r="Q7790" s="31" t="s">
        <v>234</v>
      </c>
      <c r="R7790" s="251">
        <v>8</v>
      </c>
      <c r="S7790" s="59">
        <v>130800</v>
      </c>
      <c r="T7790" s="4">
        <f t="shared" si="413"/>
        <v>1046400</v>
      </c>
      <c r="U7790" s="4">
        <f t="shared" si="415"/>
        <v>1171968</v>
      </c>
      <c r="V7790" s="3"/>
      <c r="W7790" s="3">
        <v>2014</v>
      </c>
      <c r="X7790" s="3"/>
    </row>
    <row r="7791" spans="1:24" ht="89.25">
      <c r="A7791" s="3" t="s">
        <v>16006</v>
      </c>
      <c r="B7791" s="6" t="s">
        <v>361</v>
      </c>
      <c r="C7791" s="6" t="s">
        <v>15062</v>
      </c>
      <c r="D7791" s="6" t="s">
        <v>255</v>
      </c>
      <c r="E7791" s="6" t="s">
        <v>15063</v>
      </c>
      <c r="F7791" s="6" t="s">
        <v>15064</v>
      </c>
      <c r="G7791" s="3" t="s">
        <v>11450</v>
      </c>
      <c r="H7791" s="54">
        <v>0</v>
      </c>
      <c r="I7791" s="16">
        <v>470000000</v>
      </c>
      <c r="J7791" s="157" t="s">
        <v>229</v>
      </c>
      <c r="K7791" s="5" t="s">
        <v>14590</v>
      </c>
      <c r="L7791" s="17" t="s">
        <v>11411</v>
      </c>
      <c r="M7791" s="3" t="s">
        <v>230</v>
      </c>
      <c r="N7791" s="6" t="s">
        <v>524</v>
      </c>
      <c r="O7791" s="6" t="s">
        <v>233</v>
      </c>
      <c r="P7791" s="58">
        <v>168</v>
      </c>
      <c r="Q7791" s="6" t="s">
        <v>240</v>
      </c>
      <c r="R7791" s="251">
        <v>0.04</v>
      </c>
      <c r="S7791" s="59">
        <v>144000</v>
      </c>
      <c r="T7791" s="4">
        <f t="shared" si="413"/>
        <v>5760</v>
      </c>
      <c r="U7791" s="4">
        <f t="shared" si="415"/>
        <v>6451.2000000000007</v>
      </c>
      <c r="V7791" s="3"/>
      <c r="W7791" s="3">
        <v>2014</v>
      </c>
      <c r="X7791" s="3"/>
    </row>
    <row r="7792" spans="1:24" ht="102">
      <c r="A7792" s="3" t="s">
        <v>16007</v>
      </c>
      <c r="B7792" s="6" t="s">
        <v>361</v>
      </c>
      <c r="C7792" s="6" t="s">
        <v>15065</v>
      </c>
      <c r="D7792" s="6" t="s">
        <v>10136</v>
      </c>
      <c r="E7792" s="6" t="s">
        <v>15066</v>
      </c>
      <c r="F7792" s="6" t="s">
        <v>15067</v>
      </c>
      <c r="G7792" s="3" t="s">
        <v>11450</v>
      </c>
      <c r="H7792" s="54">
        <v>0</v>
      </c>
      <c r="I7792" s="16">
        <v>470000000</v>
      </c>
      <c r="J7792" s="157" t="s">
        <v>229</v>
      </c>
      <c r="K7792" s="5" t="s">
        <v>14590</v>
      </c>
      <c r="L7792" s="17" t="s">
        <v>11411</v>
      </c>
      <c r="M7792" s="3" t="s">
        <v>230</v>
      </c>
      <c r="N7792" s="6" t="s">
        <v>524</v>
      </c>
      <c r="O7792" s="6" t="s">
        <v>233</v>
      </c>
      <c r="P7792" s="58" t="s">
        <v>241</v>
      </c>
      <c r="Q7792" s="31" t="s">
        <v>234</v>
      </c>
      <c r="R7792" s="251">
        <v>3</v>
      </c>
      <c r="S7792" s="59">
        <v>450000</v>
      </c>
      <c r="T7792" s="4">
        <f t="shared" si="413"/>
        <v>1350000</v>
      </c>
      <c r="U7792" s="4">
        <f t="shared" si="415"/>
        <v>1512000.0000000002</v>
      </c>
      <c r="V7792" s="3"/>
      <c r="W7792" s="3">
        <v>2014</v>
      </c>
      <c r="X7792" s="3"/>
    </row>
    <row r="7793" spans="1:24" ht="89.25">
      <c r="A7793" s="3" t="s">
        <v>16008</v>
      </c>
      <c r="B7793" s="6" t="s">
        <v>361</v>
      </c>
      <c r="C7793" s="6" t="s">
        <v>15068</v>
      </c>
      <c r="D7793" s="6" t="s">
        <v>15069</v>
      </c>
      <c r="E7793" s="6" t="s">
        <v>15070</v>
      </c>
      <c r="F7793" s="6" t="s">
        <v>15071</v>
      </c>
      <c r="G7793" s="3" t="s">
        <v>11450</v>
      </c>
      <c r="H7793" s="54">
        <v>0</v>
      </c>
      <c r="I7793" s="16">
        <v>470000000</v>
      </c>
      <c r="J7793" s="157" t="s">
        <v>229</v>
      </c>
      <c r="K7793" s="5" t="s">
        <v>14590</v>
      </c>
      <c r="L7793" s="17" t="s">
        <v>11411</v>
      </c>
      <c r="M7793" s="3" t="s">
        <v>230</v>
      </c>
      <c r="N7793" s="6" t="s">
        <v>524</v>
      </c>
      <c r="O7793" s="6" t="s">
        <v>233</v>
      </c>
      <c r="P7793" s="58" t="s">
        <v>241</v>
      </c>
      <c r="Q7793" s="31" t="s">
        <v>234</v>
      </c>
      <c r="R7793" s="251">
        <v>2</v>
      </c>
      <c r="S7793" s="59">
        <v>312000</v>
      </c>
      <c r="T7793" s="4">
        <f t="shared" si="413"/>
        <v>624000</v>
      </c>
      <c r="U7793" s="4">
        <f t="shared" si="415"/>
        <v>698880.00000000012</v>
      </c>
      <c r="V7793" s="3"/>
      <c r="W7793" s="3">
        <v>2014</v>
      </c>
      <c r="X7793" s="3"/>
    </row>
    <row r="7794" spans="1:24" ht="89.25">
      <c r="A7794" s="3" t="s">
        <v>16009</v>
      </c>
      <c r="B7794" s="6" t="s">
        <v>361</v>
      </c>
      <c r="C7794" s="6" t="s">
        <v>15072</v>
      </c>
      <c r="D7794" s="6" t="s">
        <v>15073</v>
      </c>
      <c r="E7794" s="6" t="s">
        <v>15074</v>
      </c>
      <c r="F7794" s="6" t="s">
        <v>15075</v>
      </c>
      <c r="G7794" s="3" t="s">
        <v>11450</v>
      </c>
      <c r="H7794" s="54">
        <v>0</v>
      </c>
      <c r="I7794" s="16">
        <v>470000000</v>
      </c>
      <c r="J7794" s="157" t="s">
        <v>229</v>
      </c>
      <c r="K7794" s="5" t="s">
        <v>14590</v>
      </c>
      <c r="L7794" s="17" t="s">
        <v>11411</v>
      </c>
      <c r="M7794" s="3" t="s">
        <v>230</v>
      </c>
      <c r="N7794" s="6" t="s">
        <v>524</v>
      </c>
      <c r="O7794" s="6" t="s">
        <v>233</v>
      </c>
      <c r="P7794" s="58" t="s">
        <v>241</v>
      </c>
      <c r="Q7794" s="31" t="s">
        <v>234</v>
      </c>
      <c r="R7794" s="251">
        <v>1</v>
      </c>
      <c r="S7794" s="59">
        <v>1800</v>
      </c>
      <c r="T7794" s="4">
        <f t="shared" si="413"/>
        <v>1800</v>
      </c>
      <c r="U7794" s="4">
        <f t="shared" si="415"/>
        <v>2016.0000000000002</v>
      </c>
      <c r="V7794" s="3"/>
      <c r="W7794" s="3">
        <v>2014</v>
      </c>
      <c r="X7794" s="3"/>
    </row>
    <row r="7795" spans="1:24" ht="89.25">
      <c r="A7795" s="3" t="s">
        <v>16010</v>
      </c>
      <c r="B7795" s="6" t="s">
        <v>361</v>
      </c>
      <c r="C7795" s="6" t="s">
        <v>15076</v>
      </c>
      <c r="D7795" s="6" t="s">
        <v>3244</v>
      </c>
      <c r="E7795" s="6" t="s">
        <v>15077</v>
      </c>
      <c r="F7795" s="6" t="s">
        <v>15078</v>
      </c>
      <c r="G7795" s="3" t="s">
        <v>11450</v>
      </c>
      <c r="H7795" s="54">
        <v>0</v>
      </c>
      <c r="I7795" s="16">
        <v>470000000</v>
      </c>
      <c r="J7795" s="157" t="s">
        <v>229</v>
      </c>
      <c r="K7795" s="5" t="s">
        <v>14590</v>
      </c>
      <c r="L7795" s="17" t="s">
        <v>11411</v>
      </c>
      <c r="M7795" s="3" t="s">
        <v>230</v>
      </c>
      <c r="N7795" s="6" t="s">
        <v>524</v>
      </c>
      <c r="O7795" s="6" t="s">
        <v>233</v>
      </c>
      <c r="P7795" s="58" t="s">
        <v>241</v>
      </c>
      <c r="Q7795" s="31" t="s">
        <v>234</v>
      </c>
      <c r="R7795" s="251">
        <v>7</v>
      </c>
      <c r="S7795" s="59">
        <v>144000</v>
      </c>
      <c r="T7795" s="4">
        <f t="shared" si="413"/>
        <v>1008000</v>
      </c>
      <c r="U7795" s="4">
        <f t="shared" si="415"/>
        <v>1128960</v>
      </c>
      <c r="V7795" s="3"/>
      <c r="W7795" s="3">
        <v>2014</v>
      </c>
      <c r="X7795" s="3"/>
    </row>
    <row r="7796" spans="1:24" ht="89.25">
      <c r="A7796" s="3" t="s">
        <v>16011</v>
      </c>
      <c r="B7796" s="6" t="s">
        <v>361</v>
      </c>
      <c r="C7796" s="6" t="s">
        <v>15076</v>
      </c>
      <c r="D7796" s="6" t="s">
        <v>3244</v>
      </c>
      <c r="E7796" s="6" t="s">
        <v>15077</v>
      </c>
      <c r="F7796" s="6" t="s">
        <v>15079</v>
      </c>
      <c r="G7796" s="3" t="s">
        <v>11450</v>
      </c>
      <c r="H7796" s="54">
        <v>0</v>
      </c>
      <c r="I7796" s="16">
        <v>470000000</v>
      </c>
      <c r="J7796" s="157" t="s">
        <v>229</v>
      </c>
      <c r="K7796" s="5" t="s">
        <v>14590</v>
      </c>
      <c r="L7796" s="17" t="s">
        <v>11411</v>
      </c>
      <c r="M7796" s="3" t="s">
        <v>230</v>
      </c>
      <c r="N7796" s="6" t="s">
        <v>524</v>
      </c>
      <c r="O7796" s="6" t="s">
        <v>233</v>
      </c>
      <c r="P7796" s="58" t="s">
        <v>241</v>
      </c>
      <c r="Q7796" s="31" t="s">
        <v>234</v>
      </c>
      <c r="R7796" s="251">
        <v>14</v>
      </c>
      <c r="S7796" s="59">
        <v>102000</v>
      </c>
      <c r="T7796" s="4">
        <f t="shared" si="413"/>
        <v>1428000</v>
      </c>
      <c r="U7796" s="4">
        <f t="shared" si="415"/>
        <v>1599360.0000000002</v>
      </c>
      <c r="V7796" s="3"/>
      <c r="W7796" s="3">
        <v>2014</v>
      </c>
      <c r="X7796" s="3"/>
    </row>
    <row r="7797" spans="1:24" ht="89.25">
      <c r="A7797" s="3" t="s">
        <v>16012</v>
      </c>
      <c r="B7797" s="6" t="s">
        <v>361</v>
      </c>
      <c r="C7797" s="6" t="s">
        <v>3243</v>
      </c>
      <c r="D7797" s="6" t="s">
        <v>3244</v>
      </c>
      <c r="E7797" s="6" t="s">
        <v>3245</v>
      </c>
      <c r="F7797" s="6" t="s">
        <v>15080</v>
      </c>
      <c r="G7797" s="3" t="s">
        <v>11450</v>
      </c>
      <c r="H7797" s="54">
        <v>0</v>
      </c>
      <c r="I7797" s="16">
        <v>470000000</v>
      </c>
      <c r="J7797" s="157" t="s">
        <v>229</v>
      </c>
      <c r="K7797" s="5" t="s">
        <v>14590</v>
      </c>
      <c r="L7797" s="17" t="s">
        <v>11411</v>
      </c>
      <c r="M7797" s="3" t="s">
        <v>230</v>
      </c>
      <c r="N7797" s="6" t="s">
        <v>524</v>
      </c>
      <c r="O7797" s="6" t="s">
        <v>233</v>
      </c>
      <c r="P7797" s="58" t="s">
        <v>241</v>
      </c>
      <c r="Q7797" s="31" t="s">
        <v>234</v>
      </c>
      <c r="R7797" s="251">
        <v>5</v>
      </c>
      <c r="S7797" s="59">
        <v>66000</v>
      </c>
      <c r="T7797" s="4">
        <f t="shared" si="413"/>
        <v>330000</v>
      </c>
      <c r="U7797" s="4">
        <f t="shared" si="415"/>
        <v>369600.00000000006</v>
      </c>
      <c r="V7797" s="3"/>
      <c r="W7797" s="3">
        <v>2014</v>
      </c>
      <c r="X7797" s="3"/>
    </row>
    <row r="7798" spans="1:24" ht="89.25">
      <c r="A7798" s="3" t="s">
        <v>16013</v>
      </c>
      <c r="B7798" s="6" t="s">
        <v>361</v>
      </c>
      <c r="C7798" s="6" t="s">
        <v>15081</v>
      </c>
      <c r="D7798" s="6" t="s">
        <v>15082</v>
      </c>
      <c r="E7798" s="6" t="s">
        <v>15083</v>
      </c>
      <c r="F7798" s="6" t="s">
        <v>15084</v>
      </c>
      <c r="G7798" s="3" t="s">
        <v>11450</v>
      </c>
      <c r="H7798" s="54">
        <v>0</v>
      </c>
      <c r="I7798" s="16">
        <v>470000000</v>
      </c>
      <c r="J7798" s="157" t="s">
        <v>229</v>
      </c>
      <c r="K7798" s="5" t="s">
        <v>14590</v>
      </c>
      <c r="L7798" s="17" t="s">
        <v>11411</v>
      </c>
      <c r="M7798" s="3" t="s">
        <v>230</v>
      </c>
      <c r="N7798" s="6" t="s">
        <v>524</v>
      </c>
      <c r="O7798" s="6" t="s">
        <v>233</v>
      </c>
      <c r="P7798" s="58" t="s">
        <v>241</v>
      </c>
      <c r="Q7798" s="31" t="s">
        <v>234</v>
      </c>
      <c r="R7798" s="251">
        <v>3</v>
      </c>
      <c r="S7798" s="59">
        <v>216000</v>
      </c>
      <c r="T7798" s="4">
        <f t="shared" si="413"/>
        <v>648000</v>
      </c>
      <c r="U7798" s="4">
        <f t="shared" si="415"/>
        <v>725760.00000000012</v>
      </c>
      <c r="V7798" s="3"/>
      <c r="W7798" s="3">
        <v>2014</v>
      </c>
      <c r="X7798" s="3"/>
    </row>
    <row r="7799" spans="1:24" ht="89.25">
      <c r="A7799" s="3" t="s">
        <v>16014</v>
      </c>
      <c r="B7799" s="6" t="s">
        <v>361</v>
      </c>
      <c r="C7799" s="6" t="s">
        <v>3258</v>
      </c>
      <c r="D7799" s="6" t="s">
        <v>3259</v>
      </c>
      <c r="E7799" s="6" t="s">
        <v>3260</v>
      </c>
      <c r="F7799" s="6" t="s">
        <v>15085</v>
      </c>
      <c r="G7799" s="3" t="s">
        <v>11450</v>
      </c>
      <c r="H7799" s="54">
        <v>0</v>
      </c>
      <c r="I7799" s="16">
        <v>470000000</v>
      </c>
      <c r="J7799" s="157" t="s">
        <v>229</v>
      </c>
      <c r="K7799" s="5" t="s">
        <v>14590</v>
      </c>
      <c r="L7799" s="17" t="s">
        <v>11411</v>
      </c>
      <c r="M7799" s="3" t="s">
        <v>230</v>
      </c>
      <c r="N7799" s="6" t="s">
        <v>524</v>
      </c>
      <c r="O7799" s="6" t="s">
        <v>233</v>
      </c>
      <c r="P7799" s="58" t="s">
        <v>241</v>
      </c>
      <c r="Q7799" s="31" t="s">
        <v>234</v>
      </c>
      <c r="R7799" s="251">
        <v>7</v>
      </c>
      <c r="S7799" s="59">
        <v>33600</v>
      </c>
      <c r="T7799" s="4">
        <f t="shared" si="413"/>
        <v>235200</v>
      </c>
      <c r="U7799" s="4">
        <f t="shared" si="415"/>
        <v>263424</v>
      </c>
      <c r="V7799" s="3"/>
      <c r="W7799" s="3">
        <v>2014</v>
      </c>
      <c r="X7799" s="3"/>
    </row>
    <row r="7800" spans="1:24" ht="89.25">
      <c r="A7800" s="3" t="s">
        <v>16015</v>
      </c>
      <c r="B7800" s="6" t="s">
        <v>361</v>
      </c>
      <c r="C7800" s="6" t="s">
        <v>3261</v>
      </c>
      <c r="D7800" s="6" t="s">
        <v>424</v>
      </c>
      <c r="E7800" s="6" t="s">
        <v>3262</v>
      </c>
      <c r="F7800" s="6" t="s">
        <v>15086</v>
      </c>
      <c r="G7800" s="3" t="s">
        <v>11450</v>
      </c>
      <c r="H7800" s="54">
        <v>0</v>
      </c>
      <c r="I7800" s="16">
        <v>470000000</v>
      </c>
      <c r="J7800" s="157" t="s">
        <v>229</v>
      </c>
      <c r="K7800" s="5" t="s">
        <v>14590</v>
      </c>
      <c r="L7800" s="17" t="s">
        <v>11411</v>
      </c>
      <c r="M7800" s="3" t="s">
        <v>230</v>
      </c>
      <c r="N7800" s="6" t="s">
        <v>524</v>
      </c>
      <c r="O7800" s="6" t="s">
        <v>233</v>
      </c>
      <c r="P7800" s="58" t="s">
        <v>241</v>
      </c>
      <c r="Q7800" s="31" t="s">
        <v>234</v>
      </c>
      <c r="R7800" s="251">
        <v>3</v>
      </c>
      <c r="S7800" s="59">
        <v>72000</v>
      </c>
      <c r="T7800" s="4">
        <f t="shared" si="413"/>
        <v>216000</v>
      </c>
      <c r="U7800" s="4">
        <f t="shared" si="415"/>
        <v>241920.00000000003</v>
      </c>
      <c r="V7800" s="3"/>
      <c r="W7800" s="3">
        <v>2014</v>
      </c>
      <c r="X7800" s="3"/>
    </row>
    <row r="7801" spans="1:24" ht="89.25">
      <c r="A7801" s="3" t="s">
        <v>16016</v>
      </c>
      <c r="B7801" s="6" t="s">
        <v>361</v>
      </c>
      <c r="C7801" s="6" t="s">
        <v>3258</v>
      </c>
      <c r="D7801" s="6" t="s">
        <v>3259</v>
      </c>
      <c r="E7801" s="6" t="s">
        <v>3260</v>
      </c>
      <c r="F7801" s="6" t="s">
        <v>15087</v>
      </c>
      <c r="G7801" s="3" t="s">
        <v>11450</v>
      </c>
      <c r="H7801" s="54">
        <v>0</v>
      </c>
      <c r="I7801" s="16">
        <v>470000000</v>
      </c>
      <c r="J7801" s="157" t="s">
        <v>229</v>
      </c>
      <c r="K7801" s="5" t="s">
        <v>14590</v>
      </c>
      <c r="L7801" s="17" t="s">
        <v>11411</v>
      </c>
      <c r="M7801" s="3" t="s">
        <v>230</v>
      </c>
      <c r="N7801" s="6" t="s">
        <v>524</v>
      </c>
      <c r="O7801" s="6" t="s">
        <v>233</v>
      </c>
      <c r="P7801" s="58" t="s">
        <v>241</v>
      </c>
      <c r="Q7801" s="31" t="s">
        <v>234</v>
      </c>
      <c r="R7801" s="251">
        <v>1</v>
      </c>
      <c r="S7801" s="59">
        <v>24000</v>
      </c>
      <c r="T7801" s="4">
        <f t="shared" si="413"/>
        <v>24000</v>
      </c>
      <c r="U7801" s="4">
        <f t="shared" si="415"/>
        <v>26880.000000000004</v>
      </c>
      <c r="V7801" s="3"/>
      <c r="W7801" s="3">
        <v>2014</v>
      </c>
      <c r="X7801" s="3"/>
    </row>
    <row r="7802" spans="1:24" ht="102">
      <c r="A7802" s="3" t="s">
        <v>16017</v>
      </c>
      <c r="B7802" s="6" t="s">
        <v>361</v>
      </c>
      <c r="C7802" s="6" t="s">
        <v>15065</v>
      </c>
      <c r="D7802" s="6" t="s">
        <v>10136</v>
      </c>
      <c r="E7802" s="6" t="s">
        <v>15066</v>
      </c>
      <c r="F7802" s="6" t="s">
        <v>15088</v>
      </c>
      <c r="G7802" s="3" t="s">
        <v>11450</v>
      </c>
      <c r="H7802" s="54">
        <v>0</v>
      </c>
      <c r="I7802" s="16">
        <v>470000000</v>
      </c>
      <c r="J7802" s="157" t="s">
        <v>229</v>
      </c>
      <c r="K7802" s="5" t="s">
        <v>14590</v>
      </c>
      <c r="L7802" s="17" t="s">
        <v>11411</v>
      </c>
      <c r="M7802" s="3" t="s">
        <v>230</v>
      </c>
      <c r="N7802" s="6" t="s">
        <v>524</v>
      </c>
      <c r="O7802" s="6" t="s">
        <v>233</v>
      </c>
      <c r="P7802" s="58" t="s">
        <v>241</v>
      </c>
      <c r="Q7802" s="37" t="s">
        <v>234</v>
      </c>
      <c r="R7802" s="251">
        <v>1</v>
      </c>
      <c r="S7802" s="59">
        <v>222000</v>
      </c>
      <c r="T7802" s="4">
        <v>0</v>
      </c>
      <c r="U7802" s="4">
        <f t="shared" si="415"/>
        <v>0</v>
      </c>
      <c r="V7802" s="3"/>
      <c r="W7802" s="3">
        <v>2014</v>
      </c>
      <c r="X7802" s="3" t="s">
        <v>12076</v>
      </c>
    </row>
    <row r="7803" spans="1:24" ht="89.25">
      <c r="A7803" s="3" t="s">
        <v>16018</v>
      </c>
      <c r="B7803" s="6" t="s">
        <v>361</v>
      </c>
      <c r="C7803" s="6" t="s">
        <v>15089</v>
      </c>
      <c r="D7803" s="6" t="s">
        <v>16376</v>
      </c>
      <c r="E7803" s="6" t="s">
        <v>15090</v>
      </c>
      <c r="F7803" s="6" t="s">
        <v>15091</v>
      </c>
      <c r="G7803" s="3" t="s">
        <v>11450</v>
      </c>
      <c r="H7803" s="54">
        <v>0</v>
      </c>
      <c r="I7803" s="16">
        <v>470000000</v>
      </c>
      <c r="J7803" s="157" t="s">
        <v>229</v>
      </c>
      <c r="K7803" s="5" t="s">
        <v>14590</v>
      </c>
      <c r="L7803" s="17" t="s">
        <v>11411</v>
      </c>
      <c r="M7803" s="3" t="s">
        <v>230</v>
      </c>
      <c r="N7803" s="6" t="s">
        <v>524</v>
      </c>
      <c r="O7803" s="6" t="s">
        <v>233</v>
      </c>
      <c r="P7803" s="58" t="s">
        <v>241</v>
      </c>
      <c r="Q7803" s="37" t="s">
        <v>234</v>
      </c>
      <c r="R7803" s="251">
        <v>1</v>
      </c>
      <c r="S7803" s="59">
        <v>18000</v>
      </c>
      <c r="T7803" s="4">
        <v>0</v>
      </c>
      <c r="U7803" s="4">
        <f t="shared" si="415"/>
        <v>0</v>
      </c>
      <c r="V7803" s="3"/>
      <c r="W7803" s="3">
        <v>2014</v>
      </c>
      <c r="X7803" s="3" t="s">
        <v>12076</v>
      </c>
    </row>
    <row r="7804" spans="1:24" ht="89.25">
      <c r="A7804" s="3" t="s">
        <v>16019</v>
      </c>
      <c r="B7804" s="6" t="s">
        <v>361</v>
      </c>
      <c r="C7804" s="6" t="s">
        <v>15092</v>
      </c>
      <c r="D7804" s="6" t="s">
        <v>3244</v>
      </c>
      <c r="E7804" s="6" t="s">
        <v>15093</v>
      </c>
      <c r="F7804" s="6" t="s">
        <v>15094</v>
      </c>
      <c r="G7804" s="3" t="s">
        <v>11450</v>
      </c>
      <c r="H7804" s="54">
        <v>0</v>
      </c>
      <c r="I7804" s="16">
        <v>470000000</v>
      </c>
      <c r="J7804" s="157" t="s">
        <v>229</v>
      </c>
      <c r="K7804" s="5" t="s">
        <v>14590</v>
      </c>
      <c r="L7804" s="17" t="s">
        <v>11411</v>
      </c>
      <c r="M7804" s="3" t="s">
        <v>230</v>
      </c>
      <c r="N7804" s="6" t="s">
        <v>524</v>
      </c>
      <c r="O7804" s="6" t="s">
        <v>233</v>
      </c>
      <c r="P7804" s="58" t="s">
        <v>241</v>
      </c>
      <c r="Q7804" s="31" t="s">
        <v>234</v>
      </c>
      <c r="R7804" s="251">
        <v>70</v>
      </c>
      <c r="S7804" s="59">
        <v>114000</v>
      </c>
      <c r="T7804" s="4">
        <f t="shared" si="413"/>
        <v>7980000</v>
      </c>
      <c r="U7804" s="4">
        <f t="shared" si="415"/>
        <v>8937600</v>
      </c>
      <c r="V7804" s="3"/>
      <c r="W7804" s="3">
        <v>2014</v>
      </c>
      <c r="X7804" s="3"/>
    </row>
    <row r="7805" spans="1:24" ht="89.25">
      <c r="A7805" s="3" t="s">
        <v>16020</v>
      </c>
      <c r="B7805" s="6" t="s">
        <v>361</v>
      </c>
      <c r="C7805" s="6" t="s">
        <v>3258</v>
      </c>
      <c r="D7805" s="6" t="s">
        <v>3259</v>
      </c>
      <c r="E7805" s="6" t="s">
        <v>3260</v>
      </c>
      <c r="F7805" s="6" t="s">
        <v>103</v>
      </c>
      <c r="G7805" s="3" t="s">
        <v>11450</v>
      </c>
      <c r="H7805" s="54">
        <v>0</v>
      </c>
      <c r="I7805" s="16">
        <v>470000000</v>
      </c>
      <c r="J7805" s="157" t="s">
        <v>229</v>
      </c>
      <c r="K7805" s="5" t="s">
        <v>14590</v>
      </c>
      <c r="L7805" s="17" t="s">
        <v>11411</v>
      </c>
      <c r="M7805" s="3" t="s">
        <v>230</v>
      </c>
      <c r="N7805" s="6" t="s">
        <v>524</v>
      </c>
      <c r="O7805" s="6" t="s">
        <v>233</v>
      </c>
      <c r="P7805" s="58" t="s">
        <v>241</v>
      </c>
      <c r="Q7805" s="31" t="s">
        <v>234</v>
      </c>
      <c r="R7805" s="251">
        <v>5</v>
      </c>
      <c r="S7805" s="59">
        <v>32400</v>
      </c>
      <c r="T7805" s="4">
        <f t="shared" si="413"/>
        <v>162000</v>
      </c>
      <c r="U7805" s="4">
        <f t="shared" si="415"/>
        <v>181440.00000000003</v>
      </c>
      <c r="V7805" s="3"/>
      <c r="W7805" s="3">
        <v>2014</v>
      </c>
      <c r="X7805" s="3"/>
    </row>
    <row r="7806" spans="1:24" ht="89.25">
      <c r="A7806" s="3" t="s">
        <v>16021</v>
      </c>
      <c r="B7806" s="6" t="s">
        <v>361</v>
      </c>
      <c r="C7806" s="6" t="s">
        <v>15095</v>
      </c>
      <c r="D7806" s="6" t="s">
        <v>15096</v>
      </c>
      <c r="E7806" s="6" t="s">
        <v>15097</v>
      </c>
      <c r="F7806" s="6" t="s">
        <v>15098</v>
      </c>
      <c r="G7806" s="3" t="s">
        <v>11450</v>
      </c>
      <c r="H7806" s="54">
        <v>0</v>
      </c>
      <c r="I7806" s="16">
        <v>470000000</v>
      </c>
      <c r="J7806" s="157" t="s">
        <v>229</v>
      </c>
      <c r="K7806" s="5" t="s">
        <v>14590</v>
      </c>
      <c r="L7806" s="17" t="s">
        <v>11411</v>
      </c>
      <c r="M7806" s="3" t="s">
        <v>230</v>
      </c>
      <c r="N7806" s="6" t="s">
        <v>524</v>
      </c>
      <c r="O7806" s="6" t="s">
        <v>233</v>
      </c>
      <c r="P7806" s="58" t="s">
        <v>241</v>
      </c>
      <c r="Q7806" s="31" t="s">
        <v>234</v>
      </c>
      <c r="R7806" s="251">
        <v>1</v>
      </c>
      <c r="S7806" s="59">
        <v>6000</v>
      </c>
      <c r="T7806" s="4">
        <f t="shared" si="413"/>
        <v>6000</v>
      </c>
      <c r="U7806" s="4">
        <f t="shared" si="415"/>
        <v>6720.0000000000009</v>
      </c>
      <c r="V7806" s="3"/>
      <c r="W7806" s="3">
        <v>2014</v>
      </c>
      <c r="X7806" s="3"/>
    </row>
    <row r="7807" spans="1:24" ht="89.25">
      <c r="A7807" s="3" t="s">
        <v>16022</v>
      </c>
      <c r="B7807" s="6" t="s">
        <v>361</v>
      </c>
      <c r="C7807" s="6" t="s">
        <v>15099</v>
      </c>
      <c r="D7807" s="6" t="s">
        <v>15100</v>
      </c>
      <c r="E7807" s="6" t="s">
        <v>15101</v>
      </c>
      <c r="F7807" s="6" t="s">
        <v>15102</v>
      </c>
      <c r="G7807" s="3" t="s">
        <v>11450</v>
      </c>
      <c r="H7807" s="54">
        <v>0</v>
      </c>
      <c r="I7807" s="16">
        <v>470000000</v>
      </c>
      <c r="J7807" s="157" t="s">
        <v>229</v>
      </c>
      <c r="K7807" s="5" t="s">
        <v>14590</v>
      </c>
      <c r="L7807" s="17" t="s">
        <v>11411</v>
      </c>
      <c r="M7807" s="3" t="s">
        <v>230</v>
      </c>
      <c r="N7807" s="6" t="s">
        <v>524</v>
      </c>
      <c r="O7807" s="6" t="s">
        <v>233</v>
      </c>
      <c r="P7807" s="58" t="s">
        <v>241</v>
      </c>
      <c r="Q7807" s="31" t="s">
        <v>234</v>
      </c>
      <c r="R7807" s="251">
        <v>1</v>
      </c>
      <c r="S7807" s="59">
        <v>36000</v>
      </c>
      <c r="T7807" s="4">
        <f t="shared" si="413"/>
        <v>36000</v>
      </c>
      <c r="U7807" s="4">
        <f t="shared" si="415"/>
        <v>40320.000000000007</v>
      </c>
      <c r="V7807" s="3"/>
      <c r="W7807" s="3">
        <v>2014</v>
      </c>
      <c r="X7807" s="3"/>
    </row>
    <row r="7808" spans="1:24" ht="89.25">
      <c r="A7808" s="3" t="s">
        <v>16023</v>
      </c>
      <c r="B7808" s="6" t="s">
        <v>361</v>
      </c>
      <c r="C7808" s="6" t="s">
        <v>15103</v>
      </c>
      <c r="D7808" s="6" t="s">
        <v>494</v>
      </c>
      <c r="E7808" s="6" t="s">
        <v>15104</v>
      </c>
      <c r="F7808" s="6" t="s">
        <v>15105</v>
      </c>
      <c r="G7808" s="3" t="s">
        <v>11450</v>
      </c>
      <c r="H7808" s="54">
        <v>0</v>
      </c>
      <c r="I7808" s="16">
        <v>470000000</v>
      </c>
      <c r="J7808" s="157" t="s">
        <v>229</v>
      </c>
      <c r="K7808" s="5" t="s">
        <v>14590</v>
      </c>
      <c r="L7808" s="17" t="s">
        <v>11411</v>
      </c>
      <c r="M7808" s="3" t="s">
        <v>230</v>
      </c>
      <c r="N7808" s="6" t="s">
        <v>524</v>
      </c>
      <c r="O7808" s="6" t="s">
        <v>233</v>
      </c>
      <c r="P7808" s="58" t="s">
        <v>241</v>
      </c>
      <c r="Q7808" s="31" t="s">
        <v>234</v>
      </c>
      <c r="R7808" s="251">
        <v>1</v>
      </c>
      <c r="S7808" s="59">
        <v>6000</v>
      </c>
      <c r="T7808" s="4">
        <f t="shared" si="413"/>
        <v>6000</v>
      </c>
      <c r="U7808" s="4">
        <f t="shared" si="415"/>
        <v>6720.0000000000009</v>
      </c>
      <c r="V7808" s="3"/>
      <c r="W7808" s="3">
        <v>2014</v>
      </c>
      <c r="X7808" s="3"/>
    </row>
    <row r="7809" spans="1:24" ht="89.25">
      <c r="A7809" s="3" t="s">
        <v>16024</v>
      </c>
      <c r="B7809" s="6" t="s">
        <v>361</v>
      </c>
      <c r="C7809" s="6" t="s">
        <v>11592</v>
      </c>
      <c r="D7809" s="6" t="s">
        <v>424</v>
      </c>
      <c r="E7809" s="6" t="s">
        <v>11593</v>
      </c>
      <c r="F7809" s="6" t="s">
        <v>15106</v>
      </c>
      <c r="G7809" s="3" t="s">
        <v>11450</v>
      </c>
      <c r="H7809" s="54">
        <v>0</v>
      </c>
      <c r="I7809" s="16">
        <v>470000000</v>
      </c>
      <c r="J7809" s="157" t="s">
        <v>229</v>
      </c>
      <c r="K7809" s="5" t="s">
        <v>14590</v>
      </c>
      <c r="L7809" s="17" t="s">
        <v>11411</v>
      </c>
      <c r="M7809" s="3" t="s">
        <v>230</v>
      </c>
      <c r="N7809" s="6" t="s">
        <v>524</v>
      </c>
      <c r="O7809" s="6" t="s">
        <v>233</v>
      </c>
      <c r="P7809" s="58" t="s">
        <v>241</v>
      </c>
      <c r="Q7809" s="31" t="s">
        <v>234</v>
      </c>
      <c r="R7809" s="251">
        <v>1</v>
      </c>
      <c r="S7809" s="59">
        <v>54000</v>
      </c>
      <c r="T7809" s="4">
        <f t="shared" ref="T7809:T7873" si="418">R7809*S7809</f>
        <v>54000</v>
      </c>
      <c r="U7809" s="4">
        <f t="shared" si="415"/>
        <v>60480.000000000007</v>
      </c>
      <c r="V7809" s="3"/>
      <c r="W7809" s="3">
        <v>2014</v>
      </c>
      <c r="X7809" s="3"/>
    </row>
    <row r="7810" spans="1:24" ht="89.25">
      <c r="A7810" s="3" t="s">
        <v>16025</v>
      </c>
      <c r="B7810" s="6" t="s">
        <v>361</v>
      </c>
      <c r="C7810" s="6" t="s">
        <v>15107</v>
      </c>
      <c r="D7810" s="6" t="s">
        <v>15108</v>
      </c>
      <c r="E7810" s="6" t="s">
        <v>15109</v>
      </c>
      <c r="F7810" s="6" t="s">
        <v>15110</v>
      </c>
      <c r="G7810" s="3" t="s">
        <v>11450</v>
      </c>
      <c r="H7810" s="54">
        <v>0</v>
      </c>
      <c r="I7810" s="16">
        <v>470000000</v>
      </c>
      <c r="J7810" s="157" t="s">
        <v>229</v>
      </c>
      <c r="K7810" s="5" t="s">
        <v>14590</v>
      </c>
      <c r="L7810" s="17" t="s">
        <v>11411</v>
      </c>
      <c r="M7810" s="3" t="s">
        <v>230</v>
      </c>
      <c r="N7810" s="6" t="s">
        <v>524</v>
      </c>
      <c r="O7810" s="6" t="s">
        <v>233</v>
      </c>
      <c r="P7810" s="58" t="s">
        <v>241</v>
      </c>
      <c r="Q7810" s="31" t="s">
        <v>234</v>
      </c>
      <c r="R7810" s="251">
        <v>1</v>
      </c>
      <c r="S7810" s="59">
        <v>18000</v>
      </c>
      <c r="T7810" s="4">
        <f t="shared" si="418"/>
        <v>18000</v>
      </c>
      <c r="U7810" s="4">
        <f t="shared" si="415"/>
        <v>20160.000000000004</v>
      </c>
      <c r="V7810" s="3"/>
      <c r="W7810" s="3">
        <v>2014</v>
      </c>
      <c r="X7810" s="3"/>
    </row>
    <row r="7811" spans="1:24" ht="89.25">
      <c r="A7811" s="3" t="s">
        <v>16026</v>
      </c>
      <c r="B7811" s="6" t="s">
        <v>361</v>
      </c>
      <c r="C7811" s="6" t="s">
        <v>3273</v>
      </c>
      <c r="D7811" s="6" t="s">
        <v>3274</v>
      </c>
      <c r="E7811" s="6" t="s">
        <v>3275</v>
      </c>
      <c r="F7811" s="6" t="s">
        <v>15111</v>
      </c>
      <c r="G7811" s="3" t="s">
        <v>11450</v>
      </c>
      <c r="H7811" s="54">
        <v>0</v>
      </c>
      <c r="I7811" s="16">
        <v>470000000</v>
      </c>
      <c r="J7811" s="157" t="s">
        <v>229</v>
      </c>
      <c r="K7811" s="5" t="s">
        <v>14590</v>
      </c>
      <c r="L7811" s="17" t="s">
        <v>11411</v>
      </c>
      <c r="M7811" s="3" t="s">
        <v>230</v>
      </c>
      <c r="N7811" s="6" t="s">
        <v>524</v>
      </c>
      <c r="O7811" s="6" t="s">
        <v>233</v>
      </c>
      <c r="P7811" s="58" t="s">
        <v>241</v>
      </c>
      <c r="Q7811" s="31" t="s">
        <v>234</v>
      </c>
      <c r="R7811" s="251">
        <v>1</v>
      </c>
      <c r="S7811" s="59">
        <v>54000</v>
      </c>
      <c r="T7811" s="4">
        <f t="shared" si="418"/>
        <v>54000</v>
      </c>
      <c r="U7811" s="4">
        <f t="shared" si="415"/>
        <v>60480.000000000007</v>
      </c>
      <c r="V7811" s="3"/>
      <c r="W7811" s="3">
        <v>2014</v>
      </c>
      <c r="X7811" s="3"/>
    </row>
    <row r="7812" spans="1:24" ht="102">
      <c r="A7812" s="3" t="s">
        <v>16027</v>
      </c>
      <c r="B7812" s="6" t="s">
        <v>361</v>
      </c>
      <c r="C7812" s="6" t="s">
        <v>15112</v>
      </c>
      <c r="D7812" s="6" t="s">
        <v>15113</v>
      </c>
      <c r="E7812" s="6" t="s">
        <v>15114</v>
      </c>
      <c r="F7812" s="6" t="s">
        <v>15115</v>
      </c>
      <c r="G7812" s="3" t="s">
        <v>11450</v>
      </c>
      <c r="H7812" s="54">
        <v>0</v>
      </c>
      <c r="I7812" s="16">
        <v>470000000</v>
      </c>
      <c r="J7812" s="157" t="s">
        <v>229</v>
      </c>
      <c r="K7812" s="5" t="s">
        <v>14590</v>
      </c>
      <c r="L7812" s="17" t="s">
        <v>11411</v>
      </c>
      <c r="M7812" s="3" t="s">
        <v>230</v>
      </c>
      <c r="N7812" s="6" t="s">
        <v>524</v>
      </c>
      <c r="O7812" s="6" t="s">
        <v>233</v>
      </c>
      <c r="P7812" s="58" t="s">
        <v>15116</v>
      </c>
      <c r="Q7812" s="31" t="s">
        <v>15117</v>
      </c>
      <c r="R7812" s="251"/>
      <c r="S7812" s="59"/>
      <c r="T7812" s="4">
        <f t="shared" si="418"/>
        <v>0</v>
      </c>
      <c r="U7812" s="4">
        <f t="shared" si="415"/>
        <v>0</v>
      </c>
      <c r="V7812" s="3"/>
      <c r="W7812" s="3">
        <v>2014</v>
      </c>
      <c r="X7812" s="3"/>
    </row>
    <row r="7813" spans="1:24" ht="89.25">
      <c r="A7813" s="3" t="s">
        <v>16028</v>
      </c>
      <c r="B7813" s="6" t="s">
        <v>361</v>
      </c>
      <c r="C7813" s="6" t="s">
        <v>15118</v>
      </c>
      <c r="D7813" s="6" t="s">
        <v>15119</v>
      </c>
      <c r="E7813" s="6" t="s">
        <v>15120</v>
      </c>
      <c r="F7813" s="6" t="s">
        <v>15121</v>
      </c>
      <c r="G7813" s="3" t="s">
        <v>11450</v>
      </c>
      <c r="H7813" s="54">
        <v>0</v>
      </c>
      <c r="I7813" s="16">
        <v>470000000</v>
      </c>
      <c r="J7813" s="157" t="s">
        <v>229</v>
      </c>
      <c r="K7813" s="5" t="s">
        <v>14590</v>
      </c>
      <c r="L7813" s="17" t="s">
        <v>11411</v>
      </c>
      <c r="M7813" s="3" t="s">
        <v>230</v>
      </c>
      <c r="N7813" s="6" t="s">
        <v>524</v>
      </c>
      <c r="O7813" s="6" t="s">
        <v>233</v>
      </c>
      <c r="P7813" s="58" t="s">
        <v>241</v>
      </c>
      <c r="Q7813" s="31" t="s">
        <v>234</v>
      </c>
      <c r="R7813" s="251">
        <v>1</v>
      </c>
      <c r="S7813" s="59">
        <v>6000</v>
      </c>
      <c r="T7813" s="4">
        <f t="shared" si="418"/>
        <v>6000</v>
      </c>
      <c r="U7813" s="4">
        <f t="shared" si="415"/>
        <v>6720.0000000000009</v>
      </c>
      <c r="V7813" s="3"/>
      <c r="W7813" s="3">
        <v>2014</v>
      </c>
      <c r="X7813" s="3"/>
    </row>
    <row r="7814" spans="1:24" ht="89.25">
      <c r="A7814" s="3" t="s">
        <v>16029</v>
      </c>
      <c r="B7814" s="6" t="s">
        <v>361</v>
      </c>
      <c r="C7814" s="6" t="s">
        <v>15122</v>
      </c>
      <c r="D7814" s="6" t="s">
        <v>3294</v>
      </c>
      <c r="E7814" s="6" t="s">
        <v>15123</v>
      </c>
      <c r="F7814" s="6" t="s">
        <v>15124</v>
      </c>
      <c r="G7814" s="3" t="s">
        <v>11450</v>
      </c>
      <c r="H7814" s="54">
        <v>0</v>
      </c>
      <c r="I7814" s="16">
        <v>470000000</v>
      </c>
      <c r="J7814" s="157" t="s">
        <v>229</v>
      </c>
      <c r="K7814" s="5" t="s">
        <v>14590</v>
      </c>
      <c r="L7814" s="17" t="s">
        <v>11411</v>
      </c>
      <c r="M7814" s="3" t="s">
        <v>230</v>
      </c>
      <c r="N7814" s="6" t="s">
        <v>524</v>
      </c>
      <c r="O7814" s="6" t="s">
        <v>233</v>
      </c>
      <c r="P7814" s="58" t="s">
        <v>241</v>
      </c>
      <c r="Q7814" s="31" t="s">
        <v>234</v>
      </c>
      <c r="R7814" s="251">
        <v>80</v>
      </c>
      <c r="S7814" s="59">
        <v>31240</v>
      </c>
      <c r="T7814" s="4">
        <f t="shared" si="418"/>
        <v>2499200</v>
      </c>
      <c r="U7814" s="4">
        <f t="shared" si="415"/>
        <v>2799104.0000000005</v>
      </c>
      <c r="V7814" s="3"/>
      <c r="W7814" s="3">
        <v>2014</v>
      </c>
      <c r="X7814" s="3"/>
    </row>
    <row r="7815" spans="1:24" ht="89.25">
      <c r="A7815" s="3" t="s">
        <v>16030</v>
      </c>
      <c r="B7815" s="6" t="s">
        <v>361</v>
      </c>
      <c r="C7815" s="6" t="s">
        <v>15125</v>
      </c>
      <c r="D7815" s="6" t="s">
        <v>424</v>
      </c>
      <c r="E7815" s="6" t="s">
        <v>15126</v>
      </c>
      <c r="F7815" s="6" t="s">
        <v>15127</v>
      </c>
      <c r="G7815" s="3" t="s">
        <v>11450</v>
      </c>
      <c r="H7815" s="54">
        <v>0</v>
      </c>
      <c r="I7815" s="16">
        <v>470000000</v>
      </c>
      <c r="J7815" s="157" t="s">
        <v>229</v>
      </c>
      <c r="K7815" s="5" t="s">
        <v>14590</v>
      </c>
      <c r="L7815" s="17" t="s">
        <v>11411</v>
      </c>
      <c r="M7815" s="3" t="s">
        <v>230</v>
      </c>
      <c r="N7815" s="6" t="s">
        <v>524</v>
      </c>
      <c r="O7815" s="6" t="s">
        <v>233</v>
      </c>
      <c r="P7815" s="58" t="s">
        <v>241</v>
      </c>
      <c r="Q7815" s="31" t="s">
        <v>234</v>
      </c>
      <c r="R7815" s="251">
        <v>4</v>
      </c>
      <c r="S7815" s="59">
        <v>5400</v>
      </c>
      <c r="T7815" s="4">
        <f t="shared" si="418"/>
        <v>21600</v>
      </c>
      <c r="U7815" s="4">
        <f t="shared" si="415"/>
        <v>24192.000000000004</v>
      </c>
      <c r="V7815" s="3"/>
      <c r="W7815" s="3">
        <v>2014</v>
      </c>
      <c r="X7815" s="3"/>
    </row>
    <row r="7816" spans="1:24" ht="89.25">
      <c r="A7816" s="3" t="s">
        <v>16031</v>
      </c>
      <c r="B7816" s="6" t="s">
        <v>361</v>
      </c>
      <c r="C7816" s="6" t="s">
        <v>15128</v>
      </c>
      <c r="D7816" s="6" t="s">
        <v>3014</v>
      </c>
      <c r="E7816" s="6" t="s">
        <v>15129</v>
      </c>
      <c r="F7816" s="6" t="s">
        <v>15130</v>
      </c>
      <c r="G7816" s="3" t="s">
        <v>11450</v>
      </c>
      <c r="H7816" s="54">
        <v>0</v>
      </c>
      <c r="I7816" s="16">
        <v>470000000</v>
      </c>
      <c r="J7816" s="157" t="s">
        <v>229</v>
      </c>
      <c r="K7816" s="5" t="s">
        <v>14590</v>
      </c>
      <c r="L7816" s="17" t="s">
        <v>11411</v>
      </c>
      <c r="M7816" s="3" t="s">
        <v>230</v>
      </c>
      <c r="N7816" s="6" t="s">
        <v>524</v>
      </c>
      <c r="O7816" s="6" t="s">
        <v>233</v>
      </c>
      <c r="P7816" s="58" t="s">
        <v>241</v>
      </c>
      <c r="Q7816" s="31" t="s">
        <v>234</v>
      </c>
      <c r="R7816" s="251">
        <v>148</v>
      </c>
      <c r="S7816" s="59">
        <v>504</v>
      </c>
      <c r="T7816" s="4">
        <f t="shared" si="418"/>
        <v>74592</v>
      </c>
      <c r="U7816" s="4">
        <f t="shared" si="415"/>
        <v>83543.040000000008</v>
      </c>
      <c r="V7816" s="3"/>
      <c r="W7816" s="3">
        <v>2014</v>
      </c>
      <c r="X7816" s="3"/>
    </row>
    <row r="7817" spans="1:24" ht="89.25">
      <c r="A7817" s="3" t="s">
        <v>16032</v>
      </c>
      <c r="B7817" s="6" t="s">
        <v>361</v>
      </c>
      <c r="C7817" s="6" t="s">
        <v>7675</v>
      </c>
      <c r="D7817" s="6" t="s">
        <v>3014</v>
      </c>
      <c r="E7817" s="6" t="s">
        <v>7676</v>
      </c>
      <c r="F7817" s="6" t="s">
        <v>15131</v>
      </c>
      <c r="G7817" s="3" t="s">
        <v>11450</v>
      </c>
      <c r="H7817" s="54">
        <v>0</v>
      </c>
      <c r="I7817" s="16">
        <v>470000000</v>
      </c>
      <c r="J7817" s="157" t="s">
        <v>229</v>
      </c>
      <c r="K7817" s="5" t="s">
        <v>14590</v>
      </c>
      <c r="L7817" s="17" t="s">
        <v>11411</v>
      </c>
      <c r="M7817" s="3" t="s">
        <v>230</v>
      </c>
      <c r="N7817" s="6" t="s">
        <v>524</v>
      </c>
      <c r="O7817" s="6" t="s">
        <v>233</v>
      </c>
      <c r="P7817" s="58" t="s">
        <v>241</v>
      </c>
      <c r="Q7817" s="31" t="s">
        <v>234</v>
      </c>
      <c r="R7817" s="251">
        <v>133</v>
      </c>
      <c r="S7817" s="59">
        <v>450</v>
      </c>
      <c r="T7817" s="4">
        <f t="shared" si="418"/>
        <v>59850</v>
      </c>
      <c r="U7817" s="4">
        <f t="shared" si="415"/>
        <v>67032</v>
      </c>
      <c r="V7817" s="3"/>
      <c r="W7817" s="3">
        <v>2014</v>
      </c>
      <c r="X7817" s="3"/>
    </row>
    <row r="7818" spans="1:24" ht="89.25">
      <c r="A7818" s="3" t="s">
        <v>16033</v>
      </c>
      <c r="B7818" s="6" t="s">
        <v>361</v>
      </c>
      <c r="C7818" s="6" t="s">
        <v>3357</v>
      </c>
      <c r="D7818" s="6" t="s">
        <v>3358</v>
      </c>
      <c r="E7818" s="6" t="s">
        <v>3359</v>
      </c>
      <c r="F7818" s="6" t="s">
        <v>15132</v>
      </c>
      <c r="G7818" s="3" t="s">
        <v>11450</v>
      </c>
      <c r="H7818" s="54">
        <v>0</v>
      </c>
      <c r="I7818" s="16">
        <v>470000000</v>
      </c>
      <c r="J7818" s="157" t="s">
        <v>229</v>
      </c>
      <c r="K7818" s="5" t="s">
        <v>14590</v>
      </c>
      <c r="L7818" s="17" t="s">
        <v>11411</v>
      </c>
      <c r="M7818" s="3" t="s">
        <v>230</v>
      </c>
      <c r="N7818" s="6" t="s">
        <v>524</v>
      </c>
      <c r="O7818" s="6" t="s">
        <v>233</v>
      </c>
      <c r="P7818" s="58" t="s">
        <v>241</v>
      </c>
      <c r="Q7818" s="31" t="s">
        <v>234</v>
      </c>
      <c r="R7818" s="251">
        <v>18</v>
      </c>
      <c r="S7818" s="59">
        <v>1800</v>
      </c>
      <c r="T7818" s="4">
        <f t="shared" si="418"/>
        <v>32400</v>
      </c>
      <c r="U7818" s="4">
        <f t="shared" si="415"/>
        <v>36288</v>
      </c>
      <c r="V7818" s="3"/>
      <c r="W7818" s="3">
        <v>2014</v>
      </c>
      <c r="X7818" s="3"/>
    </row>
    <row r="7819" spans="1:24" ht="89.25">
      <c r="A7819" s="3" t="s">
        <v>16034</v>
      </c>
      <c r="B7819" s="6" t="s">
        <v>361</v>
      </c>
      <c r="C7819" s="6" t="s">
        <v>3357</v>
      </c>
      <c r="D7819" s="6" t="s">
        <v>3358</v>
      </c>
      <c r="E7819" s="6" t="s">
        <v>3359</v>
      </c>
      <c r="F7819" s="6" t="s">
        <v>15133</v>
      </c>
      <c r="G7819" s="3" t="s">
        <v>11450</v>
      </c>
      <c r="H7819" s="54">
        <v>0</v>
      </c>
      <c r="I7819" s="16">
        <v>470000000</v>
      </c>
      <c r="J7819" s="157" t="s">
        <v>229</v>
      </c>
      <c r="K7819" s="5" t="s">
        <v>14590</v>
      </c>
      <c r="L7819" s="17" t="s">
        <v>11411</v>
      </c>
      <c r="M7819" s="3" t="s">
        <v>230</v>
      </c>
      <c r="N7819" s="6" t="s">
        <v>524</v>
      </c>
      <c r="O7819" s="6" t="s">
        <v>233</v>
      </c>
      <c r="P7819" s="58" t="s">
        <v>241</v>
      </c>
      <c r="Q7819" s="31" t="s">
        <v>234</v>
      </c>
      <c r="R7819" s="251">
        <v>9</v>
      </c>
      <c r="S7819" s="59">
        <v>3000</v>
      </c>
      <c r="T7819" s="4">
        <f t="shared" si="418"/>
        <v>27000</v>
      </c>
      <c r="U7819" s="4">
        <f t="shared" si="415"/>
        <v>30240.000000000004</v>
      </c>
      <c r="V7819" s="3"/>
      <c r="W7819" s="3">
        <v>2014</v>
      </c>
      <c r="X7819" s="3"/>
    </row>
    <row r="7820" spans="1:24" ht="89.25">
      <c r="A7820" s="3" t="s">
        <v>16035</v>
      </c>
      <c r="B7820" s="6" t="s">
        <v>361</v>
      </c>
      <c r="C7820" s="6" t="s">
        <v>15134</v>
      </c>
      <c r="D7820" s="6" t="s">
        <v>3344</v>
      </c>
      <c r="E7820" s="6" t="s">
        <v>15135</v>
      </c>
      <c r="F7820" s="6" t="s">
        <v>15136</v>
      </c>
      <c r="G7820" s="3" t="s">
        <v>11450</v>
      </c>
      <c r="H7820" s="54">
        <v>0</v>
      </c>
      <c r="I7820" s="16">
        <v>470000000</v>
      </c>
      <c r="J7820" s="157" t="s">
        <v>229</v>
      </c>
      <c r="K7820" s="5" t="s">
        <v>14590</v>
      </c>
      <c r="L7820" s="17" t="s">
        <v>11411</v>
      </c>
      <c r="M7820" s="3" t="s">
        <v>230</v>
      </c>
      <c r="N7820" s="6" t="s">
        <v>524</v>
      </c>
      <c r="O7820" s="6" t="s">
        <v>233</v>
      </c>
      <c r="P7820" s="58" t="s">
        <v>241</v>
      </c>
      <c r="Q7820" s="31" t="s">
        <v>234</v>
      </c>
      <c r="R7820" s="251">
        <v>12</v>
      </c>
      <c r="S7820" s="59">
        <v>306</v>
      </c>
      <c r="T7820" s="4">
        <f t="shared" si="418"/>
        <v>3672</v>
      </c>
      <c r="U7820" s="4">
        <f t="shared" si="415"/>
        <v>4112.6400000000003</v>
      </c>
      <c r="V7820" s="3"/>
      <c r="W7820" s="3">
        <v>2014</v>
      </c>
      <c r="X7820" s="3"/>
    </row>
    <row r="7821" spans="1:24" ht="89.25">
      <c r="A7821" s="3" t="s">
        <v>16036</v>
      </c>
      <c r="B7821" s="6" t="s">
        <v>361</v>
      </c>
      <c r="C7821" s="6" t="s">
        <v>15134</v>
      </c>
      <c r="D7821" s="6" t="s">
        <v>3344</v>
      </c>
      <c r="E7821" s="6" t="s">
        <v>15135</v>
      </c>
      <c r="F7821" s="9" t="s">
        <v>15137</v>
      </c>
      <c r="G7821" s="3" t="s">
        <v>11450</v>
      </c>
      <c r="H7821" s="54">
        <v>0</v>
      </c>
      <c r="I7821" s="16">
        <v>470000000</v>
      </c>
      <c r="J7821" s="157" t="s">
        <v>229</v>
      </c>
      <c r="K7821" s="5" t="s">
        <v>14590</v>
      </c>
      <c r="L7821" s="17" t="s">
        <v>11411</v>
      </c>
      <c r="M7821" s="3" t="s">
        <v>230</v>
      </c>
      <c r="N7821" s="6" t="s">
        <v>524</v>
      </c>
      <c r="O7821" s="6" t="s">
        <v>233</v>
      </c>
      <c r="P7821" s="58" t="s">
        <v>241</v>
      </c>
      <c r="Q7821" s="31" t="s">
        <v>234</v>
      </c>
      <c r="R7821" s="251">
        <v>6</v>
      </c>
      <c r="S7821" s="59">
        <v>384</v>
      </c>
      <c r="T7821" s="4">
        <f t="shared" si="418"/>
        <v>2304</v>
      </c>
      <c r="U7821" s="4">
        <f t="shared" si="415"/>
        <v>2580.4800000000005</v>
      </c>
      <c r="V7821" s="3"/>
      <c r="W7821" s="3">
        <v>2014</v>
      </c>
      <c r="X7821" s="3"/>
    </row>
    <row r="7822" spans="1:24" ht="89.25">
      <c r="A7822" s="3" t="s">
        <v>16037</v>
      </c>
      <c r="B7822" s="6" t="s">
        <v>361</v>
      </c>
      <c r="C7822" s="6" t="s">
        <v>15159</v>
      </c>
      <c r="D7822" s="6" t="s">
        <v>255</v>
      </c>
      <c r="E7822" s="6" t="s">
        <v>15138</v>
      </c>
      <c r="F7822" s="9" t="s">
        <v>15139</v>
      </c>
      <c r="G7822" s="3" t="s">
        <v>11450</v>
      </c>
      <c r="H7822" s="54">
        <v>0</v>
      </c>
      <c r="I7822" s="16">
        <v>470000000</v>
      </c>
      <c r="J7822" s="157" t="s">
        <v>229</v>
      </c>
      <c r="K7822" s="5" t="s">
        <v>14590</v>
      </c>
      <c r="L7822" s="17" t="s">
        <v>11411</v>
      </c>
      <c r="M7822" s="3" t="s">
        <v>230</v>
      </c>
      <c r="N7822" s="6" t="s">
        <v>524</v>
      </c>
      <c r="O7822" s="6" t="s">
        <v>233</v>
      </c>
      <c r="P7822" s="58" t="s">
        <v>237</v>
      </c>
      <c r="Q7822" s="6" t="s">
        <v>238</v>
      </c>
      <c r="R7822" s="3">
        <v>185</v>
      </c>
      <c r="S7822" s="59">
        <v>300</v>
      </c>
      <c r="T7822" s="4">
        <f t="shared" si="418"/>
        <v>55500</v>
      </c>
      <c r="U7822" s="4">
        <f t="shared" si="415"/>
        <v>62160.000000000007</v>
      </c>
      <c r="V7822" s="3"/>
      <c r="W7822" s="3">
        <v>2014</v>
      </c>
      <c r="X7822" s="3"/>
    </row>
    <row r="7823" spans="1:24" ht="89.25">
      <c r="A7823" s="3" t="s">
        <v>16038</v>
      </c>
      <c r="B7823" s="6" t="s">
        <v>361</v>
      </c>
      <c r="C7823" s="6" t="s">
        <v>15159</v>
      </c>
      <c r="D7823" s="6" t="s">
        <v>255</v>
      </c>
      <c r="E7823" s="6" t="s">
        <v>15138</v>
      </c>
      <c r="F7823" s="9" t="s">
        <v>15140</v>
      </c>
      <c r="G7823" s="3" t="s">
        <v>11450</v>
      </c>
      <c r="H7823" s="54">
        <v>0</v>
      </c>
      <c r="I7823" s="16">
        <v>470000000</v>
      </c>
      <c r="J7823" s="157" t="s">
        <v>229</v>
      </c>
      <c r="K7823" s="5" t="s">
        <v>14590</v>
      </c>
      <c r="L7823" s="17" t="s">
        <v>11411</v>
      </c>
      <c r="M7823" s="3" t="s">
        <v>230</v>
      </c>
      <c r="N7823" s="6" t="s">
        <v>524</v>
      </c>
      <c r="O7823" s="6" t="s">
        <v>233</v>
      </c>
      <c r="P7823" s="58" t="s">
        <v>237</v>
      </c>
      <c r="Q7823" s="6" t="s">
        <v>238</v>
      </c>
      <c r="R7823" s="3">
        <v>34</v>
      </c>
      <c r="S7823" s="59">
        <v>504</v>
      </c>
      <c r="T7823" s="4">
        <f t="shared" si="418"/>
        <v>17136</v>
      </c>
      <c r="U7823" s="4">
        <f t="shared" si="415"/>
        <v>19192.320000000003</v>
      </c>
      <c r="V7823" s="3"/>
      <c r="W7823" s="3">
        <v>2014</v>
      </c>
      <c r="X7823" s="3"/>
    </row>
    <row r="7824" spans="1:24" ht="89.25">
      <c r="A7824" s="3" t="s">
        <v>16039</v>
      </c>
      <c r="B7824" s="6" t="s">
        <v>361</v>
      </c>
      <c r="C7824" s="6" t="s">
        <v>15159</v>
      </c>
      <c r="D7824" s="6" t="s">
        <v>255</v>
      </c>
      <c r="E7824" s="6" t="s">
        <v>15138</v>
      </c>
      <c r="F7824" s="9" t="s">
        <v>15141</v>
      </c>
      <c r="G7824" s="3" t="s">
        <v>11450</v>
      </c>
      <c r="H7824" s="54">
        <v>0</v>
      </c>
      <c r="I7824" s="16">
        <v>470000000</v>
      </c>
      <c r="J7824" s="157" t="s">
        <v>229</v>
      </c>
      <c r="K7824" s="5" t="s">
        <v>14590</v>
      </c>
      <c r="L7824" s="17" t="s">
        <v>11411</v>
      </c>
      <c r="M7824" s="3" t="s">
        <v>230</v>
      </c>
      <c r="N7824" s="6" t="s">
        <v>524</v>
      </c>
      <c r="O7824" s="6" t="s">
        <v>233</v>
      </c>
      <c r="P7824" s="58" t="s">
        <v>237</v>
      </c>
      <c r="Q7824" s="6" t="s">
        <v>238</v>
      </c>
      <c r="R7824" s="3">
        <v>53</v>
      </c>
      <c r="S7824" s="59">
        <v>300</v>
      </c>
      <c r="T7824" s="4">
        <f t="shared" si="418"/>
        <v>15900</v>
      </c>
      <c r="U7824" s="4">
        <f t="shared" si="415"/>
        <v>17808</v>
      </c>
      <c r="V7824" s="3"/>
      <c r="W7824" s="3">
        <v>2014</v>
      </c>
      <c r="X7824" s="3"/>
    </row>
    <row r="7825" spans="1:24" ht="89.25">
      <c r="A7825" s="3" t="s">
        <v>16040</v>
      </c>
      <c r="B7825" s="6" t="s">
        <v>361</v>
      </c>
      <c r="C7825" s="6" t="s">
        <v>8384</v>
      </c>
      <c r="D7825" s="6" t="s">
        <v>255</v>
      </c>
      <c r="E7825" s="6" t="s">
        <v>8385</v>
      </c>
      <c r="F7825" s="9" t="s">
        <v>15142</v>
      </c>
      <c r="G7825" s="3" t="s">
        <v>11450</v>
      </c>
      <c r="H7825" s="54">
        <v>0</v>
      </c>
      <c r="I7825" s="16">
        <v>470000000</v>
      </c>
      <c r="J7825" s="157" t="s">
        <v>229</v>
      </c>
      <c r="K7825" s="5" t="s">
        <v>14590</v>
      </c>
      <c r="L7825" s="17" t="s">
        <v>11411</v>
      </c>
      <c r="M7825" s="3" t="s">
        <v>230</v>
      </c>
      <c r="N7825" s="6" t="s">
        <v>524</v>
      </c>
      <c r="O7825" s="6" t="s">
        <v>233</v>
      </c>
      <c r="P7825" s="58" t="s">
        <v>237</v>
      </c>
      <c r="Q7825" s="6" t="s">
        <v>238</v>
      </c>
      <c r="R7825" s="3">
        <v>3.2</v>
      </c>
      <c r="S7825" s="59">
        <v>300</v>
      </c>
      <c r="T7825" s="4">
        <f t="shared" si="418"/>
        <v>960</v>
      </c>
      <c r="U7825" s="4">
        <f t="shared" si="415"/>
        <v>1075.2</v>
      </c>
      <c r="V7825" s="3"/>
      <c r="W7825" s="3">
        <v>2014</v>
      </c>
      <c r="X7825" s="3"/>
    </row>
    <row r="7826" spans="1:24" ht="89.25">
      <c r="A7826" s="3" t="s">
        <v>16041</v>
      </c>
      <c r="B7826" s="6" t="s">
        <v>361</v>
      </c>
      <c r="C7826" s="6" t="s">
        <v>15143</v>
      </c>
      <c r="D7826" s="6" t="s">
        <v>255</v>
      </c>
      <c r="E7826" s="6" t="s">
        <v>15144</v>
      </c>
      <c r="F7826" s="9" t="s">
        <v>15145</v>
      </c>
      <c r="G7826" s="3" t="s">
        <v>11450</v>
      </c>
      <c r="H7826" s="54">
        <v>0</v>
      </c>
      <c r="I7826" s="16">
        <v>470000000</v>
      </c>
      <c r="J7826" s="157" t="s">
        <v>229</v>
      </c>
      <c r="K7826" s="5" t="s">
        <v>14590</v>
      </c>
      <c r="L7826" s="17" t="s">
        <v>11411</v>
      </c>
      <c r="M7826" s="3" t="s">
        <v>230</v>
      </c>
      <c r="N7826" s="6" t="s">
        <v>524</v>
      </c>
      <c r="O7826" s="6" t="s">
        <v>233</v>
      </c>
      <c r="P7826" s="58" t="s">
        <v>237</v>
      </c>
      <c r="Q7826" s="6" t="s">
        <v>238</v>
      </c>
      <c r="R7826" s="3">
        <v>2</v>
      </c>
      <c r="S7826" s="59">
        <v>300</v>
      </c>
      <c r="T7826" s="4">
        <v>0</v>
      </c>
      <c r="U7826" s="4">
        <f t="shared" si="415"/>
        <v>0</v>
      </c>
      <c r="V7826" s="3"/>
      <c r="W7826" s="3">
        <v>2014</v>
      </c>
      <c r="X7826" s="3"/>
    </row>
    <row r="7827" spans="1:24" ht="89.25">
      <c r="A7827" s="3" t="s">
        <v>16042</v>
      </c>
      <c r="B7827" s="6" t="s">
        <v>361</v>
      </c>
      <c r="C7827" s="6" t="s">
        <v>15143</v>
      </c>
      <c r="D7827" s="6" t="s">
        <v>255</v>
      </c>
      <c r="E7827" s="6" t="s">
        <v>15144</v>
      </c>
      <c r="F7827" s="9" t="s">
        <v>15145</v>
      </c>
      <c r="G7827" s="3" t="s">
        <v>11450</v>
      </c>
      <c r="H7827" s="54">
        <v>0</v>
      </c>
      <c r="I7827" s="16">
        <v>470000000</v>
      </c>
      <c r="J7827" s="157" t="s">
        <v>229</v>
      </c>
      <c r="K7827" s="5" t="s">
        <v>14590</v>
      </c>
      <c r="L7827" s="17" t="s">
        <v>11411</v>
      </c>
      <c r="M7827" s="3" t="s">
        <v>230</v>
      </c>
      <c r="N7827" s="6" t="s">
        <v>524</v>
      </c>
      <c r="O7827" s="6" t="s">
        <v>233</v>
      </c>
      <c r="P7827" s="58" t="s">
        <v>237</v>
      </c>
      <c r="Q7827" s="6" t="s">
        <v>238</v>
      </c>
      <c r="R7827" s="3">
        <v>335</v>
      </c>
      <c r="S7827" s="59">
        <v>300</v>
      </c>
      <c r="T7827" s="4">
        <f t="shared" si="418"/>
        <v>100500</v>
      </c>
      <c r="U7827" s="4">
        <f t="shared" si="415"/>
        <v>112560.00000000001</v>
      </c>
      <c r="V7827" s="3"/>
      <c r="W7827" s="3">
        <v>2014</v>
      </c>
      <c r="X7827" s="3"/>
    </row>
    <row r="7828" spans="1:24" ht="89.25">
      <c r="A7828" s="3" t="s">
        <v>16043</v>
      </c>
      <c r="B7828" s="6" t="s">
        <v>361</v>
      </c>
      <c r="C7828" s="6" t="s">
        <v>15146</v>
      </c>
      <c r="D7828" s="6" t="s">
        <v>255</v>
      </c>
      <c r="E7828" s="6" t="s">
        <v>15147</v>
      </c>
      <c r="F7828" s="9" t="s">
        <v>15148</v>
      </c>
      <c r="G7828" s="3" t="s">
        <v>11450</v>
      </c>
      <c r="H7828" s="54">
        <v>0</v>
      </c>
      <c r="I7828" s="16">
        <v>470000000</v>
      </c>
      <c r="J7828" s="157" t="s">
        <v>229</v>
      </c>
      <c r="K7828" s="5" t="s">
        <v>14590</v>
      </c>
      <c r="L7828" s="17" t="s">
        <v>11411</v>
      </c>
      <c r="M7828" s="3" t="s">
        <v>230</v>
      </c>
      <c r="N7828" s="6" t="s">
        <v>524</v>
      </c>
      <c r="O7828" s="6" t="s">
        <v>233</v>
      </c>
      <c r="P7828" s="58" t="s">
        <v>237</v>
      </c>
      <c r="Q7828" s="6" t="s">
        <v>238</v>
      </c>
      <c r="R7828" s="3">
        <v>129</v>
      </c>
      <c r="S7828" s="59">
        <v>300</v>
      </c>
      <c r="T7828" s="4">
        <f t="shared" si="418"/>
        <v>38700</v>
      </c>
      <c r="U7828" s="4">
        <f t="shared" si="415"/>
        <v>43344.000000000007</v>
      </c>
      <c r="V7828" s="3"/>
      <c r="W7828" s="3">
        <v>2014</v>
      </c>
      <c r="X7828" s="3"/>
    </row>
    <row r="7829" spans="1:24" ht="89.25">
      <c r="A7829" s="3" t="s">
        <v>16044</v>
      </c>
      <c r="B7829" s="6" t="s">
        <v>361</v>
      </c>
      <c r="C7829" s="6" t="s">
        <v>15134</v>
      </c>
      <c r="D7829" s="6" t="s">
        <v>3344</v>
      </c>
      <c r="E7829" s="6" t="s">
        <v>15135</v>
      </c>
      <c r="F7829" s="9" t="s">
        <v>15137</v>
      </c>
      <c r="G7829" s="3" t="s">
        <v>11450</v>
      </c>
      <c r="H7829" s="54">
        <v>0</v>
      </c>
      <c r="I7829" s="16">
        <v>470000000</v>
      </c>
      <c r="J7829" s="157" t="s">
        <v>229</v>
      </c>
      <c r="K7829" s="5" t="s">
        <v>14590</v>
      </c>
      <c r="L7829" s="17" t="s">
        <v>11411</v>
      </c>
      <c r="M7829" s="3" t="s">
        <v>230</v>
      </c>
      <c r="N7829" s="6" t="s">
        <v>524</v>
      </c>
      <c r="O7829" s="6" t="s">
        <v>233</v>
      </c>
      <c r="P7829" s="58" t="s">
        <v>241</v>
      </c>
      <c r="Q7829" s="31" t="s">
        <v>234</v>
      </c>
      <c r="R7829" s="3">
        <v>6</v>
      </c>
      <c r="S7829" s="59">
        <v>384</v>
      </c>
      <c r="T7829" s="4">
        <f t="shared" si="418"/>
        <v>2304</v>
      </c>
      <c r="U7829" s="4">
        <f t="shared" si="415"/>
        <v>2580.4800000000005</v>
      </c>
      <c r="V7829" s="3"/>
      <c r="W7829" s="3">
        <v>2014</v>
      </c>
      <c r="X7829" s="3"/>
    </row>
    <row r="7830" spans="1:24" ht="89.25">
      <c r="A7830" s="3" t="s">
        <v>16045</v>
      </c>
      <c r="B7830" s="6" t="s">
        <v>361</v>
      </c>
      <c r="C7830" s="6" t="s">
        <v>15149</v>
      </c>
      <c r="D7830" s="6" t="s">
        <v>418</v>
      </c>
      <c r="E7830" s="6" t="s">
        <v>15150</v>
      </c>
      <c r="F7830" s="9" t="s">
        <v>15151</v>
      </c>
      <c r="G7830" s="3" t="s">
        <v>11450</v>
      </c>
      <c r="H7830" s="54">
        <v>0</v>
      </c>
      <c r="I7830" s="16">
        <v>470000000</v>
      </c>
      <c r="J7830" s="157" t="s">
        <v>229</v>
      </c>
      <c r="K7830" s="5" t="s">
        <v>14590</v>
      </c>
      <c r="L7830" s="17" t="s">
        <v>11411</v>
      </c>
      <c r="M7830" s="3" t="s">
        <v>230</v>
      </c>
      <c r="N7830" s="6" t="s">
        <v>524</v>
      </c>
      <c r="O7830" s="6" t="s">
        <v>233</v>
      </c>
      <c r="P7830" s="58" t="s">
        <v>241</v>
      </c>
      <c r="Q7830" s="31" t="s">
        <v>234</v>
      </c>
      <c r="R7830" s="3">
        <v>3</v>
      </c>
      <c r="S7830" s="59">
        <v>384</v>
      </c>
      <c r="T7830" s="4">
        <f t="shared" si="418"/>
        <v>1152</v>
      </c>
      <c r="U7830" s="4">
        <f t="shared" si="415"/>
        <v>1290.2400000000002</v>
      </c>
      <c r="V7830" s="3"/>
      <c r="W7830" s="3">
        <v>2014</v>
      </c>
      <c r="X7830" s="3"/>
    </row>
    <row r="7831" spans="1:24" ht="89.25">
      <c r="A7831" s="3" t="s">
        <v>16046</v>
      </c>
      <c r="B7831" s="6" t="s">
        <v>361</v>
      </c>
      <c r="C7831" s="6" t="s">
        <v>15149</v>
      </c>
      <c r="D7831" s="6" t="s">
        <v>418</v>
      </c>
      <c r="E7831" s="6" t="s">
        <v>15150</v>
      </c>
      <c r="F7831" s="9" t="s">
        <v>15152</v>
      </c>
      <c r="G7831" s="3" t="s">
        <v>11450</v>
      </c>
      <c r="H7831" s="54">
        <v>0</v>
      </c>
      <c r="I7831" s="16">
        <v>470000000</v>
      </c>
      <c r="J7831" s="157" t="s">
        <v>229</v>
      </c>
      <c r="K7831" s="5" t="s">
        <v>14590</v>
      </c>
      <c r="L7831" s="17" t="s">
        <v>11411</v>
      </c>
      <c r="M7831" s="3" t="s">
        <v>230</v>
      </c>
      <c r="N7831" s="6" t="s">
        <v>524</v>
      </c>
      <c r="O7831" s="6" t="s">
        <v>233</v>
      </c>
      <c r="P7831" s="58" t="s">
        <v>241</v>
      </c>
      <c r="Q7831" s="31" t="s">
        <v>234</v>
      </c>
      <c r="R7831" s="3">
        <v>8</v>
      </c>
      <c r="S7831" s="59">
        <v>384</v>
      </c>
      <c r="T7831" s="4">
        <f t="shared" si="418"/>
        <v>3072</v>
      </c>
      <c r="U7831" s="4">
        <f t="shared" si="415"/>
        <v>3440.6400000000003</v>
      </c>
      <c r="V7831" s="3"/>
      <c r="W7831" s="3">
        <v>2014</v>
      </c>
      <c r="X7831" s="3"/>
    </row>
    <row r="7832" spans="1:24" ht="89.25">
      <c r="A7832" s="3" t="s">
        <v>16047</v>
      </c>
      <c r="B7832" s="6" t="s">
        <v>361</v>
      </c>
      <c r="C7832" s="6" t="s">
        <v>15153</v>
      </c>
      <c r="D7832" s="6" t="s">
        <v>418</v>
      </c>
      <c r="E7832" s="6" t="s">
        <v>15154</v>
      </c>
      <c r="F7832" s="9" t="s">
        <v>15155</v>
      </c>
      <c r="G7832" s="3" t="s">
        <v>11450</v>
      </c>
      <c r="H7832" s="54">
        <v>0</v>
      </c>
      <c r="I7832" s="16">
        <v>470000000</v>
      </c>
      <c r="J7832" s="157" t="s">
        <v>229</v>
      </c>
      <c r="K7832" s="5" t="s">
        <v>14590</v>
      </c>
      <c r="L7832" s="17" t="s">
        <v>11411</v>
      </c>
      <c r="M7832" s="3" t="s">
        <v>230</v>
      </c>
      <c r="N7832" s="6" t="s">
        <v>524</v>
      </c>
      <c r="O7832" s="6" t="s">
        <v>233</v>
      </c>
      <c r="P7832" s="58" t="s">
        <v>241</v>
      </c>
      <c r="Q7832" s="31" t="s">
        <v>234</v>
      </c>
      <c r="R7832" s="3">
        <v>1</v>
      </c>
      <c r="S7832" s="59">
        <v>384</v>
      </c>
      <c r="T7832" s="4">
        <f t="shared" si="418"/>
        <v>384</v>
      </c>
      <c r="U7832" s="4">
        <f t="shared" si="415"/>
        <v>430.08000000000004</v>
      </c>
      <c r="V7832" s="3"/>
      <c r="W7832" s="3">
        <v>2014</v>
      </c>
      <c r="X7832" s="3"/>
    </row>
    <row r="7833" spans="1:24" ht="89.25">
      <c r="A7833" s="3" t="s">
        <v>16048</v>
      </c>
      <c r="B7833" s="6" t="s">
        <v>361</v>
      </c>
      <c r="C7833" s="6" t="s">
        <v>15156</v>
      </c>
      <c r="D7833" s="6" t="s">
        <v>3021</v>
      </c>
      <c r="E7833" s="6" t="s">
        <v>15157</v>
      </c>
      <c r="F7833" s="9" t="s">
        <v>15158</v>
      </c>
      <c r="G7833" s="3" t="s">
        <v>11450</v>
      </c>
      <c r="H7833" s="54">
        <v>0</v>
      </c>
      <c r="I7833" s="16">
        <v>470000000</v>
      </c>
      <c r="J7833" s="157" t="s">
        <v>229</v>
      </c>
      <c r="K7833" s="5" t="s">
        <v>14590</v>
      </c>
      <c r="L7833" s="17" t="s">
        <v>11411</v>
      </c>
      <c r="M7833" s="3" t="s">
        <v>230</v>
      </c>
      <c r="N7833" s="6" t="s">
        <v>524</v>
      </c>
      <c r="O7833" s="6" t="s">
        <v>233</v>
      </c>
      <c r="P7833" s="58" t="s">
        <v>241</v>
      </c>
      <c r="Q7833" s="31" t="s">
        <v>234</v>
      </c>
      <c r="R7833" s="3">
        <v>1</v>
      </c>
      <c r="S7833" s="59">
        <v>960</v>
      </c>
      <c r="T7833" s="4">
        <f t="shared" si="418"/>
        <v>960</v>
      </c>
      <c r="U7833" s="4">
        <f t="shared" si="415"/>
        <v>1075.2</v>
      </c>
      <c r="V7833" s="3"/>
      <c r="W7833" s="3">
        <v>2014</v>
      </c>
      <c r="X7833" s="3"/>
    </row>
    <row r="7834" spans="1:24" ht="89.25">
      <c r="A7834" s="3" t="s">
        <v>16049</v>
      </c>
      <c r="B7834" s="6" t="s">
        <v>361</v>
      </c>
      <c r="C7834" s="6" t="s">
        <v>15159</v>
      </c>
      <c r="D7834" s="6" t="s">
        <v>255</v>
      </c>
      <c r="E7834" s="6" t="s">
        <v>15138</v>
      </c>
      <c r="F7834" s="9" t="s">
        <v>15160</v>
      </c>
      <c r="G7834" s="3" t="s">
        <v>11450</v>
      </c>
      <c r="H7834" s="54">
        <v>0</v>
      </c>
      <c r="I7834" s="16">
        <v>470000000</v>
      </c>
      <c r="J7834" s="157" t="s">
        <v>229</v>
      </c>
      <c r="K7834" s="5" t="s">
        <v>14590</v>
      </c>
      <c r="L7834" s="17" t="s">
        <v>11411</v>
      </c>
      <c r="M7834" s="3" t="s">
        <v>230</v>
      </c>
      <c r="N7834" s="6" t="s">
        <v>524</v>
      </c>
      <c r="O7834" s="6" t="s">
        <v>233</v>
      </c>
      <c r="P7834" s="58" t="s">
        <v>237</v>
      </c>
      <c r="Q7834" s="6" t="s">
        <v>238</v>
      </c>
      <c r="R7834" s="3">
        <v>2</v>
      </c>
      <c r="S7834" s="59">
        <v>300</v>
      </c>
      <c r="T7834" s="4">
        <f t="shared" si="418"/>
        <v>600</v>
      </c>
      <c r="U7834" s="4">
        <f t="shared" si="415"/>
        <v>672.00000000000011</v>
      </c>
      <c r="V7834" s="3"/>
      <c r="W7834" s="3">
        <v>2014</v>
      </c>
      <c r="X7834" s="3"/>
    </row>
    <row r="7835" spans="1:24" ht="89.25">
      <c r="A7835" s="3" t="s">
        <v>16050</v>
      </c>
      <c r="B7835" s="6" t="s">
        <v>361</v>
      </c>
      <c r="C7835" s="6" t="s">
        <v>15159</v>
      </c>
      <c r="D7835" s="6" t="s">
        <v>255</v>
      </c>
      <c r="E7835" s="6" t="s">
        <v>15138</v>
      </c>
      <c r="F7835" s="9" t="s">
        <v>15161</v>
      </c>
      <c r="G7835" s="3" t="s">
        <v>11450</v>
      </c>
      <c r="H7835" s="54">
        <v>0</v>
      </c>
      <c r="I7835" s="16">
        <v>470000000</v>
      </c>
      <c r="J7835" s="157" t="s">
        <v>229</v>
      </c>
      <c r="K7835" s="5" t="s">
        <v>14590</v>
      </c>
      <c r="L7835" s="17" t="s">
        <v>11411</v>
      </c>
      <c r="M7835" s="3" t="s">
        <v>230</v>
      </c>
      <c r="N7835" s="6" t="s">
        <v>524</v>
      </c>
      <c r="O7835" s="6" t="s">
        <v>233</v>
      </c>
      <c r="P7835" s="58" t="s">
        <v>237</v>
      </c>
      <c r="Q7835" s="6" t="s">
        <v>238</v>
      </c>
      <c r="R7835" s="3">
        <v>34</v>
      </c>
      <c r="S7835" s="59">
        <v>300</v>
      </c>
      <c r="T7835" s="4">
        <f t="shared" si="418"/>
        <v>10200</v>
      </c>
      <c r="U7835" s="4">
        <f t="shared" si="415"/>
        <v>11424.000000000002</v>
      </c>
      <c r="V7835" s="3"/>
      <c r="W7835" s="3">
        <v>2014</v>
      </c>
      <c r="X7835" s="3"/>
    </row>
    <row r="7836" spans="1:24" ht="89.25">
      <c r="A7836" s="3" t="s">
        <v>16051</v>
      </c>
      <c r="B7836" s="6" t="s">
        <v>361</v>
      </c>
      <c r="C7836" s="6" t="s">
        <v>3013</v>
      </c>
      <c r="D7836" s="6" t="s">
        <v>3014</v>
      </c>
      <c r="E7836" s="6" t="s">
        <v>3015</v>
      </c>
      <c r="F7836" s="9" t="s">
        <v>15162</v>
      </c>
      <c r="G7836" s="3" t="s">
        <v>11450</v>
      </c>
      <c r="H7836" s="54">
        <v>0</v>
      </c>
      <c r="I7836" s="16">
        <v>470000000</v>
      </c>
      <c r="J7836" s="157" t="s">
        <v>229</v>
      </c>
      <c r="K7836" s="5" t="s">
        <v>14590</v>
      </c>
      <c r="L7836" s="17" t="s">
        <v>11411</v>
      </c>
      <c r="M7836" s="3" t="s">
        <v>230</v>
      </c>
      <c r="N7836" s="6" t="s">
        <v>524</v>
      </c>
      <c r="O7836" s="6" t="s">
        <v>233</v>
      </c>
      <c r="P7836" s="58" t="s">
        <v>241</v>
      </c>
      <c r="Q7836" s="31" t="s">
        <v>234</v>
      </c>
      <c r="R7836" s="3">
        <v>2</v>
      </c>
      <c r="S7836" s="59">
        <v>504</v>
      </c>
      <c r="T7836" s="4">
        <f t="shared" si="418"/>
        <v>1008</v>
      </c>
      <c r="U7836" s="4">
        <f t="shared" si="415"/>
        <v>1128.96</v>
      </c>
      <c r="V7836" s="3"/>
      <c r="W7836" s="3">
        <v>2014</v>
      </c>
      <c r="X7836" s="3"/>
    </row>
    <row r="7837" spans="1:24" ht="89.25">
      <c r="A7837" s="3" t="s">
        <v>16052</v>
      </c>
      <c r="B7837" s="6" t="s">
        <v>361</v>
      </c>
      <c r="C7837" s="6" t="s">
        <v>3013</v>
      </c>
      <c r="D7837" s="6" t="s">
        <v>3014</v>
      </c>
      <c r="E7837" s="6" t="s">
        <v>3015</v>
      </c>
      <c r="F7837" s="9" t="s">
        <v>15163</v>
      </c>
      <c r="G7837" s="3" t="s">
        <v>11450</v>
      </c>
      <c r="H7837" s="54">
        <v>0</v>
      </c>
      <c r="I7837" s="16">
        <v>470000000</v>
      </c>
      <c r="J7837" s="157" t="s">
        <v>229</v>
      </c>
      <c r="K7837" s="5" t="s">
        <v>14590</v>
      </c>
      <c r="L7837" s="17" t="s">
        <v>11411</v>
      </c>
      <c r="M7837" s="3" t="s">
        <v>230</v>
      </c>
      <c r="N7837" s="6" t="s">
        <v>524</v>
      </c>
      <c r="O7837" s="6" t="s">
        <v>233</v>
      </c>
      <c r="P7837" s="58" t="s">
        <v>241</v>
      </c>
      <c r="Q7837" s="31" t="s">
        <v>234</v>
      </c>
      <c r="R7837" s="3">
        <v>4</v>
      </c>
      <c r="S7837" s="59">
        <v>504</v>
      </c>
      <c r="T7837" s="4">
        <f t="shared" si="418"/>
        <v>2016</v>
      </c>
      <c r="U7837" s="4">
        <f t="shared" si="415"/>
        <v>2257.92</v>
      </c>
      <c r="V7837" s="3"/>
      <c r="W7837" s="3">
        <v>2014</v>
      </c>
      <c r="X7837" s="3"/>
    </row>
    <row r="7838" spans="1:24" ht="89.25">
      <c r="A7838" s="3" t="s">
        <v>16053</v>
      </c>
      <c r="B7838" s="6" t="s">
        <v>361</v>
      </c>
      <c r="C7838" s="6" t="s">
        <v>3013</v>
      </c>
      <c r="D7838" s="6" t="s">
        <v>3014</v>
      </c>
      <c r="E7838" s="6" t="s">
        <v>3015</v>
      </c>
      <c r="F7838" s="9" t="s">
        <v>15164</v>
      </c>
      <c r="G7838" s="3" t="s">
        <v>11450</v>
      </c>
      <c r="H7838" s="54">
        <v>0</v>
      </c>
      <c r="I7838" s="16">
        <v>470000000</v>
      </c>
      <c r="J7838" s="157" t="s">
        <v>229</v>
      </c>
      <c r="K7838" s="5" t="s">
        <v>14590</v>
      </c>
      <c r="L7838" s="17" t="s">
        <v>11411</v>
      </c>
      <c r="M7838" s="3" t="s">
        <v>230</v>
      </c>
      <c r="N7838" s="6" t="s">
        <v>524</v>
      </c>
      <c r="O7838" s="6" t="s">
        <v>233</v>
      </c>
      <c r="P7838" s="58" t="s">
        <v>241</v>
      </c>
      <c r="Q7838" s="31" t="s">
        <v>234</v>
      </c>
      <c r="R7838" s="3">
        <v>6</v>
      </c>
      <c r="S7838" s="59">
        <v>504</v>
      </c>
      <c r="T7838" s="4">
        <f t="shared" si="418"/>
        <v>3024</v>
      </c>
      <c r="U7838" s="4">
        <f t="shared" si="415"/>
        <v>3386.88</v>
      </c>
      <c r="V7838" s="3"/>
      <c r="W7838" s="3">
        <v>2014</v>
      </c>
      <c r="X7838" s="3"/>
    </row>
    <row r="7839" spans="1:24" ht="89.25">
      <c r="A7839" s="3" t="s">
        <v>16054</v>
      </c>
      <c r="B7839" s="6" t="s">
        <v>361</v>
      </c>
      <c r="C7839" s="6" t="s">
        <v>15149</v>
      </c>
      <c r="D7839" s="6" t="s">
        <v>418</v>
      </c>
      <c r="E7839" s="6" t="s">
        <v>15150</v>
      </c>
      <c r="F7839" s="9" t="s">
        <v>15165</v>
      </c>
      <c r="G7839" s="3" t="s">
        <v>11450</v>
      </c>
      <c r="H7839" s="54">
        <v>0</v>
      </c>
      <c r="I7839" s="16">
        <v>470000000</v>
      </c>
      <c r="J7839" s="157" t="s">
        <v>229</v>
      </c>
      <c r="K7839" s="5" t="s">
        <v>14590</v>
      </c>
      <c r="L7839" s="17" t="s">
        <v>11411</v>
      </c>
      <c r="M7839" s="3" t="s">
        <v>230</v>
      </c>
      <c r="N7839" s="6" t="s">
        <v>524</v>
      </c>
      <c r="O7839" s="6" t="s">
        <v>233</v>
      </c>
      <c r="P7839" s="58" t="s">
        <v>241</v>
      </c>
      <c r="Q7839" s="31" t="s">
        <v>234</v>
      </c>
      <c r="R7839" s="3">
        <v>2</v>
      </c>
      <c r="S7839" s="59">
        <v>504</v>
      </c>
      <c r="T7839" s="4">
        <f t="shared" si="418"/>
        <v>1008</v>
      </c>
      <c r="U7839" s="4">
        <f t="shared" si="415"/>
        <v>1128.96</v>
      </c>
      <c r="V7839" s="3"/>
      <c r="W7839" s="3">
        <v>2014</v>
      </c>
      <c r="X7839" s="3"/>
    </row>
    <row r="7840" spans="1:24" ht="89.25">
      <c r="A7840" s="3" t="s">
        <v>16055</v>
      </c>
      <c r="B7840" s="6" t="s">
        <v>361</v>
      </c>
      <c r="C7840" s="6" t="s">
        <v>3430</v>
      </c>
      <c r="D7840" s="6" t="s">
        <v>3426</v>
      </c>
      <c r="E7840" s="6" t="s">
        <v>3431</v>
      </c>
      <c r="F7840" s="9" t="s">
        <v>15166</v>
      </c>
      <c r="G7840" s="3" t="s">
        <v>11450</v>
      </c>
      <c r="H7840" s="54">
        <v>0</v>
      </c>
      <c r="I7840" s="16">
        <v>470000000</v>
      </c>
      <c r="J7840" s="157" t="s">
        <v>229</v>
      </c>
      <c r="K7840" s="5" t="s">
        <v>14590</v>
      </c>
      <c r="L7840" s="17" t="s">
        <v>11411</v>
      </c>
      <c r="M7840" s="3" t="s">
        <v>230</v>
      </c>
      <c r="N7840" s="6" t="s">
        <v>524</v>
      </c>
      <c r="O7840" s="6" t="s">
        <v>233</v>
      </c>
      <c r="P7840" s="58" t="s">
        <v>241</v>
      </c>
      <c r="Q7840" s="31" t="s">
        <v>234</v>
      </c>
      <c r="R7840" s="3">
        <v>704</v>
      </c>
      <c r="S7840" s="59">
        <v>630</v>
      </c>
      <c r="T7840" s="4">
        <f t="shared" si="418"/>
        <v>443520</v>
      </c>
      <c r="U7840" s="4">
        <f t="shared" si="415"/>
        <v>496742.40000000002</v>
      </c>
      <c r="V7840" s="3"/>
      <c r="W7840" s="3">
        <v>2014</v>
      </c>
      <c r="X7840" s="3"/>
    </row>
    <row r="7841" spans="1:24" ht="89.25">
      <c r="A7841" s="3" t="s">
        <v>16056</v>
      </c>
      <c r="B7841" s="6" t="s">
        <v>361</v>
      </c>
      <c r="C7841" s="6" t="s">
        <v>14694</v>
      </c>
      <c r="D7841" s="6" t="s">
        <v>417</v>
      </c>
      <c r="E7841" s="6" t="s">
        <v>14695</v>
      </c>
      <c r="F7841" s="9" t="s">
        <v>15167</v>
      </c>
      <c r="G7841" s="3" t="s">
        <v>11450</v>
      </c>
      <c r="H7841" s="54">
        <v>0</v>
      </c>
      <c r="I7841" s="16">
        <v>470000000</v>
      </c>
      <c r="J7841" s="157" t="s">
        <v>229</v>
      </c>
      <c r="K7841" s="5" t="s">
        <v>14590</v>
      </c>
      <c r="L7841" s="17" t="s">
        <v>11411</v>
      </c>
      <c r="M7841" s="3" t="s">
        <v>230</v>
      </c>
      <c r="N7841" s="6" t="s">
        <v>524</v>
      </c>
      <c r="O7841" s="6" t="s">
        <v>233</v>
      </c>
      <c r="P7841" s="58" t="s">
        <v>243</v>
      </c>
      <c r="Q7841" s="31" t="s">
        <v>244</v>
      </c>
      <c r="R7841" s="3">
        <v>1.84</v>
      </c>
      <c r="S7841" s="59">
        <v>636</v>
      </c>
      <c r="T7841" s="4">
        <f t="shared" si="418"/>
        <v>1170.24</v>
      </c>
      <c r="U7841" s="4">
        <f t="shared" si="415"/>
        <v>1310.6688000000001</v>
      </c>
      <c r="V7841" s="3"/>
      <c r="W7841" s="3">
        <v>2014</v>
      </c>
      <c r="X7841" s="3"/>
    </row>
    <row r="7842" spans="1:24" ht="89.25">
      <c r="A7842" s="3" t="s">
        <v>16057</v>
      </c>
      <c r="B7842" s="6" t="s">
        <v>361</v>
      </c>
      <c r="C7842" s="6" t="s">
        <v>14694</v>
      </c>
      <c r="D7842" s="6" t="s">
        <v>417</v>
      </c>
      <c r="E7842" s="6" t="s">
        <v>14695</v>
      </c>
      <c r="F7842" s="9" t="s">
        <v>15168</v>
      </c>
      <c r="G7842" s="3" t="s">
        <v>11450</v>
      </c>
      <c r="H7842" s="54">
        <v>0</v>
      </c>
      <c r="I7842" s="16">
        <v>470000000</v>
      </c>
      <c r="J7842" s="157" t="s">
        <v>229</v>
      </c>
      <c r="K7842" s="5" t="s">
        <v>14590</v>
      </c>
      <c r="L7842" s="17" t="s">
        <v>11411</v>
      </c>
      <c r="M7842" s="3" t="s">
        <v>230</v>
      </c>
      <c r="N7842" s="6" t="s">
        <v>524</v>
      </c>
      <c r="O7842" s="6" t="s">
        <v>233</v>
      </c>
      <c r="P7842" s="58" t="s">
        <v>243</v>
      </c>
      <c r="Q7842" s="31" t="s">
        <v>244</v>
      </c>
      <c r="R7842" s="3">
        <v>7.2</v>
      </c>
      <c r="S7842" s="59">
        <v>636</v>
      </c>
      <c r="T7842" s="4">
        <f t="shared" si="418"/>
        <v>4579.2</v>
      </c>
      <c r="U7842" s="4">
        <f t="shared" si="415"/>
        <v>5128.7040000000006</v>
      </c>
      <c r="V7842" s="3"/>
      <c r="W7842" s="3">
        <v>2014</v>
      </c>
      <c r="X7842" s="3"/>
    </row>
    <row r="7843" spans="1:24" ht="89.25">
      <c r="A7843" s="3" t="s">
        <v>16058</v>
      </c>
      <c r="B7843" s="6" t="s">
        <v>361</v>
      </c>
      <c r="C7843" s="6" t="s">
        <v>14694</v>
      </c>
      <c r="D7843" s="6" t="s">
        <v>417</v>
      </c>
      <c r="E7843" s="6" t="s">
        <v>14695</v>
      </c>
      <c r="F7843" s="9" t="s">
        <v>15169</v>
      </c>
      <c r="G7843" s="3" t="s">
        <v>11450</v>
      </c>
      <c r="H7843" s="54">
        <v>0</v>
      </c>
      <c r="I7843" s="16">
        <v>470000000</v>
      </c>
      <c r="J7843" s="157" t="s">
        <v>229</v>
      </c>
      <c r="K7843" s="5" t="s">
        <v>14590</v>
      </c>
      <c r="L7843" s="17" t="s">
        <v>11411</v>
      </c>
      <c r="M7843" s="3" t="s">
        <v>230</v>
      </c>
      <c r="N7843" s="6" t="s">
        <v>524</v>
      </c>
      <c r="O7843" s="6" t="s">
        <v>233</v>
      </c>
      <c r="P7843" s="58" t="s">
        <v>243</v>
      </c>
      <c r="Q7843" s="31" t="s">
        <v>244</v>
      </c>
      <c r="R7843" s="3">
        <v>3.98</v>
      </c>
      <c r="S7843" s="59">
        <v>636</v>
      </c>
      <c r="T7843" s="4">
        <f t="shared" si="418"/>
        <v>2531.2800000000002</v>
      </c>
      <c r="U7843" s="4">
        <f t="shared" si="415"/>
        <v>2835.0336000000007</v>
      </c>
      <c r="V7843" s="3"/>
      <c r="W7843" s="3">
        <v>2014</v>
      </c>
      <c r="X7843" s="3"/>
    </row>
    <row r="7844" spans="1:24" ht="89.25">
      <c r="A7844" s="3" t="s">
        <v>16059</v>
      </c>
      <c r="B7844" s="6" t="s">
        <v>361</v>
      </c>
      <c r="C7844" s="6" t="s">
        <v>15170</v>
      </c>
      <c r="D7844" s="6" t="s">
        <v>3474</v>
      </c>
      <c r="E7844" s="6" t="s">
        <v>15171</v>
      </c>
      <c r="F7844" s="6" t="s">
        <v>15172</v>
      </c>
      <c r="G7844" s="3" t="s">
        <v>11450</v>
      </c>
      <c r="H7844" s="54">
        <v>0</v>
      </c>
      <c r="I7844" s="16">
        <v>470000000</v>
      </c>
      <c r="J7844" s="157" t="s">
        <v>229</v>
      </c>
      <c r="K7844" s="5" t="s">
        <v>14590</v>
      </c>
      <c r="L7844" s="17" t="s">
        <v>11411</v>
      </c>
      <c r="M7844" s="3" t="s">
        <v>230</v>
      </c>
      <c r="N7844" s="6" t="s">
        <v>524</v>
      </c>
      <c r="O7844" s="6" t="s">
        <v>233</v>
      </c>
      <c r="P7844" s="58" t="s">
        <v>243</v>
      </c>
      <c r="Q7844" s="31" t="s">
        <v>244</v>
      </c>
      <c r="R7844" s="3">
        <v>63.32</v>
      </c>
      <c r="S7844" s="59">
        <v>450</v>
      </c>
      <c r="T7844" s="4">
        <f t="shared" si="418"/>
        <v>28494</v>
      </c>
      <c r="U7844" s="4">
        <f t="shared" si="415"/>
        <v>31913.280000000002</v>
      </c>
      <c r="V7844" s="3"/>
      <c r="W7844" s="3">
        <v>2014</v>
      </c>
      <c r="X7844" s="3"/>
    </row>
    <row r="7845" spans="1:24" ht="89.25">
      <c r="A7845" s="3" t="s">
        <v>16060</v>
      </c>
      <c r="B7845" s="6" t="s">
        <v>361</v>
      </c>
      <c r="C7845" s="6" t="s">
        <v>15173</v>
      </c>
      <c r="D7845" s="6" t="s">
        <v>3474</v>
      </c>
      <c r="E7845" s="6" t="s">
        <v>15174</v>
      </c>
      <c r="F7845" s="6" t="s">
        <v>15175</v>
      </c>
      <c r="G7845" s="3" t="s">
        <v>11450</v>
      </c>
      <c r="H7845" s="54">
        <v>0</v>
      </c>
      <c r="I7845" s="16">
        <v>470000000</v>
      </c>
      <c r="J7845" s="157" t="s">
        <v>229</v>
      </c>
      <c r="K7845" s="5" t="s">
        <v>14590</v>
      </c>
      <c r="L7845" s="17" t="s">
        <v>11411</v>
      </c>
      <c r="M7845" s="3" t="s">
        <v>230</v>
      </c>
      <c r="N7845" s="6" t="s">
        <v>524</v>
      </c>
      <c r="O7845" s="6" t="s">
        <v>233</v>
      </c>
      <c r="P7845" s="58" t="s">
        <v>243</v>
      </c>
      <c r="Q7845" s="31" t="s">
        <v>244</v>
      </c>
      <c r="R7845" s="3">
        <v>12</v>
      </c>
      <c r="S7845" s="59">
        <v>672</v>
      </c>
      <c r="T7845" s="1">
        <f t="shared" si="418"/>
        <v>8064</v>
      </c>
      <c r="U7845" s="4">
        <f t="shared" si="415"/>
        <v>9031.68</v>
      </c>
      <c r="V7845" s="3"/>
      <c r="W7845" s="3">
        <v>2014</v>
      </c>
      <c r="X7845" s="3"/>
    </row>
    <row r="7846" spans="1:24" ht="89.25">
      <c r="A7846" s="3" t="s">
        <v>16061</v>
      </c>
      <c r="B7846" s="6" t="s">
        <v>361</v>
      </c>
      <c r="C7846" s="6" t="s">
        <v>15176</v>
      </c>
      <c r="D7846" s="6" t="s">
        <v>3474</v>
      </c>
      <c r="E7846" s="6" t="s">
        <v>15177</v>
      </c>
      <c r="F7846" s="6" t="s">
        <v>15178</v>
      </c>
      <c r="G7846" s="3" t="s">
        <v>11450</v>
      </c>
      <c r="H7846" s="54">
        <v>0</v>
      </c>
      <c r="I7846" s="16">
        <v>470000000</v>
      </c>
      <c r="J7846" s="157" t="s">
        <v>229</v>
      </c>
      <c r="K7846" s="5" t="s">
        <v>14590</v>
      </c>
      <c r="L7846" s="17" t="s">
        <v>11411</v>
      </c>
      <c r="M7846" s="3" t="s">
        <v>230</v>
      </c>
      <c r="N7846" s="6" t="s">
        <v>524</v>
      </c>
      <c r="O7846" s="6" t="s">
        <v>233</v>
      </c>
      <c r="P7846" s="58" t="s">
        <v>243</v>
      </c>
      <c r="Q7846" s="31" t="s">
        <v>244</v>
      </c>
      <c r="R7846" s="3">
        <v>47</v>
      </c>
      <c r="S7846" s="68">
        <v>674.4</v>
      </c>
      <c r="T7846" s="1">
        <f t="shared" si="418"/>
        <v>31696.799999999999</v>
      </c>
      <c r="U7846" s="4">
        <f t="shared" si="415"/>
        <v>35500.416000000005</v>
      </c>
      <c r="V7846" s="3"/>
      <c r="W7846" s="3">
        <v>2014</v>
      </c>
      <c r="X7846" s="3"/>
    </row>
    <row r="7847" spans="1:24" ht="89.25">
      <c r="A7847" s="3" t="s">
        <v>16062</v>
      </c>
      <c r="B7847" s="6" t="s">
        <v>361</v>
      </c>
      <c r="C7847" s="6" t="s">
        <v>15179</v>
      </c>
      <c r="D7847" s="6" t="s">
        <v>3474</v>
      </c>
      <c r="E7847" s="6" t="s">
        <v>15180</v>
      </c>
      <c r="F7847" s="6" t="s">
        <v>15181</v>
      </c>
      <c r="G7847" s="3" t="s">
        <v>11450</v>
      </c>
      <c r="H7847" s="54">
        <v>0</v>
      </c>
      <c r="I7847" s="16">
        <v>470000000</v>
      </c>
      <c r="J7847" s="157" t="s">
        <v>229</v>
      </c>
      <c r="K7847" s="5" t="s">
        <v>14590</v>
      </c>
      <c r="L7847" s="17" t="s">
        <v>11411</v>
      </c>
      <c r="M7847" s="3" t="s">
        <v>230</v>
      </c>
      <c r="N7847" s="6" t="s">
        <v>524</v>
      </c>
      <c r="O7847" s="6" t="s">
        <v>233</v>
      </c>
      <c r="P7847" s="58" t="s">
        <v>243</v>
      </c>
      <c r="Q7847" s="31" t="s">
        <v>244</v>
      </c>
      <c r="R7847" s="3">
        <v>25</v>
      </c>
      <c r="S7847" s="68">
        <v>674.4</v>
      </c>
      <c r="T7847" s="1">
        <f t="shared" si="418"/>
        <v>16860</v>
      </c>
      <c r="U7847" s="4">
        <f t="shared" si="415"/>
        <v>18883.2</v>
      </c>
      <c r="V7847" s="3"/>
      <c r="W7847" s="3">
        <v>2014</v>
      </c>
      <c r="X7847" s="3"/>
    </row>
    <row r="7848" spans="1:24" ht="89.25">
      <c r="A7848" s="3" t="s">
        <v>16063</v>
      </c>
      <c r="B7848" s="6" t="s">
        <v>361</v>
      </c>
      <c r="C7848" s="6" t="s">
        <v>15182</v>
      </c>
      <c r="D7848" s="6" t="s">
        <v>3474</v>
      </c>
      <c r="E7848" s="6" t="s">
        <v>15183</v>
      </c>
      <c r="F7848" s="6" t="s">
        <v>15184</v>
      </c>
      <c r="G7848" s="3" t="s">
        <v>11450</v>
      </c>
      <c r="H7848" s="54">
        <v>0</v>
      </c>
      <c r="I7848" s="16">
        <v>470000000</v>
      </c>
      <c r="J7848" s="157" t="s">
        <v>229</v>
      </c>
      <c r="K7848" s="5" t="s">
        <v>14590</v>
      </c>
      <c r="L7848" s="17" t="s">
        <v>11411</v>
      </c>
      <c r="M7848" s="3" t="s">
        <v>230</v>
      </c>
      <c r="N7848" s="6" t="s">
        <v>524</v>
      </c>
      <c r="O7848" s="6" t="s">
        <v>233</v>
      </c>
      <c r="P7848" s="58" t="s">
        <v>243</v>
      </c>
      <c r="Q7848" s="31" t="s">
        <v>244</v>
      </c>
      <c r="R7848" s="3">
        <v>1</v>
      </c>
      <c r="S7848" s="68">
        <v>450</v>
      </c>
      <c r="T7848" s="1">
        <f t="shared" si="418"/>
        <v>450</v>
      </c>
      <c r="U7848" s="4">
        <f t="shared" ref="U7848:U7937" si="419">T7848*1.12</f>
        <v>504.00000000000006</v>
      </c>
      <c r="V7848" s="3"/>
      <c r="W7848" s="3">
        <v>2014</v>
      </c>
      <c r="X7848" s="3"/>
    </row>
    <row r="7849" spans="1:24" ht="89.25">
      <c r="A7849" s="3" t="s">
        <v>16064</v>
      </c>
      <c r="B7849" s="6" t="s">
        <v>361</v>
      </c>
      <c r="C7849" s="6" t="s">
        <v>15185</v>
      </c>
      <c r="D7849" s="6" t="s">
        <v>3474</v>
      </c>
      <c r="E7849" s="6" t="s">
        <v>15186</v>
      </c>
      <c r="F7849" s="6" t="s">
        <v>15187</v>
      </c>
      <c r="G7849" s="3" t="s">
        <v>11450</v>
      </c>
      <c r="H7849" s="54">
        <v>0</v>
      </c>
      <c r="I7849" s="16">
        <v>470000000</v>
      </c>
      <c r="J7849" s="157" t="s">
        <v>229</v>
      </c>
      <c r="K7849" s="5" t="s">
        <v>14590</v>
      </c>
      <c r="L7849" s="17" t="s">
        <v>11411</v>
      </c>
      <c r="M7849" s="3" t="s">
        <v>230</v>
      </c>
      <c r="N7849" s="6" t="s">
        <v>524</v>
      </c>
      <c r="O7849" s="6" t="s">
        <v>233</v>
      </c>
      <c r="P7849" s="58" t="s">
        <v>243</v>
      </c>
      <c r="Q7849" s="31" t="s">
        <v>244</v>
      </c>
      <c r="R7849" s="3">
        <v>28</v>
      </c>
      <c r="S7849" s="68">
        <v>674.4</v>
      </c>
      <c r="T7849" s="1">
        <f t="shared" si="418"/>
        <v>18883.2</v>
      </c>
      <c r="U7849" s="4">
        <f t="shared" si="419"/>
        <v>21149.184000000001</v>
      </c>
      <c r="V7849" s="3"/>
      <c r="W7849" s="3">
        <v>2014</v>
      </c>
      <c r="X7849" s="3"/>
    </row>
    <row r="7850" spans="1:24" ht="89.25">
      <c r="A7850" s="3" t="s">
        <v>16065</v>
      </c>
      <c r="B7850" s="6" t="s">
        <v>361</v>
      </c>
      <c r="C7850" s="6" t="s">
        <v>15188</v>
      </c>
      <c r="D7850" s="6" t="s">
        <v>3474</v>
      </c>
      <c r="E7850" s="6" t="s">
        <v>15189</v>
      </c>
      <c r="F7850" s="6" t="s">
        <v>15190</v>
      </c>
      <c r="G7850" s="3" t="s">
        <v>11450</v>
      </c>
      <c r="H7850" s="54">
        <v>0</v>
      </c>
      <c r="I7850" s="16">
        <v>470000000</v>
      </c>
      <c r="J7850" s="157" t="s">
        <v>229</v>
      </c>
      <c r="K7850" s="5" t="s">
        <v>14590</v>
      </c>
      <c r="L7850" s="17" t="s">
        <v>11411</v>
      </c>
      <c r="M7850" s="3" t="s">
        <v>230</v>
      </c>
      <c r="N7850" s="6" t="s">
        <v>524</v>
      </c>
      <c r="O7850" s="6" t="s">
        <v>233</v>
      </c>
      <c r="P7850" s="58" t="s">
        <v>243</v>
      </c>
      <c r="Q7850" s="31" t="s">
        <v>244</v>
      </c>
      <c r="R7850" s="3">
        <v>2.4</v>
      </c>
      <c r="S7850" s="68">
        <v>674.4</v>
      </c>
      <c r="T7850" s="1">
        <f t="shared" si="418"/>
        <v>1618.56</v>
      </c>
      <c r="U7850" s="4">
        <f t="shared" si="419"/>
        <v>1812.7872000000002</v>
      </c>
      <c r="V7850" s="3"/>
      <c r="W7850" s="3">
        <v>2014</v>
      </c>
      <c r="X7850" s="3"/>
    </row>
    <row r="7851" spans="1:24" ht="89.25">
      <c r="A7851" s="3" t="s">
        <v>16066</v>
      </c>
      <c r="B7851" s="6" t="s">
        <v>361</v>
      </c>
      <c r="C7851" s="6" t="s">
        <v>15191</v>
      </c>
      <c r="D7851" s="6" t="s">
        <v>3474</v>
      </c>
      <c r="E7851" s="6" t="s">
        <v>15192</v>
      </c>
      <c r="F7851" s="6" t="s">
        <v>15193</v>
      </c>
      <c r="G7851" s="3" t="s">
        <v>11450</v>
      </c>
      <c r="H7851" s="54">
        <v>0</v>
      </c>
      <c r="I7851" s="16">
        <v>470000000</v>
      </c>
      <c r="J7851" s="157" t="s">
        <v>229</v>
      </c>
      <c r="K7851" s="5" t="s">
        <v>14590</v>
      </c>
      <c r="L7851" s="17" t="s">
        <v>11411</v>
      </c>
      <c r="M7851" s="3" t="s">
        <v>230</v>
      </c>
      <c r="N7851" s="6" t="s">
        <v>524</v>
      </c>
      <c r="O7851" s="6" t="s">
        <v>233</v>
      </c>
      <c r="P7851" s="58" t="s">
        <v>243</v>
      </c>
      <c r="Q7851" s="31" t="s">
        <v>244</v>
      </c>
      <c r="R7851" s="3">
        <v>16</v>
      </c>
      <c r="S7851" s="68">
        <v>450</v>
      </c>
      <c r="T7851" s="1">
        <f t="shared" si="418"/>
        <v>7200</v>
      </c>
      <c r="U7851" s="4">
        <f t="shared" si="419"/>
        <v>8064.0000000000009</v>
      </c>
      <c r="V7851" s="3"/>
      <c r="W7851" s="3">
        <v>2014</v>
      </c>
      <c r="X7851" s="3"/>
    </row>
    <row r="7852" spans="1:24" ht="89.25">
      <c r="A7852" s="3" t="s">
        <v>16067</v>
      </c>
      <c r="B7852" s="6" t="s">
        <v>361</v>
      </c>
      <c r="C7852" s="6" t="s">
        <v>15194</v>
      </c>
      <c r="D7852" s="6" t="s">
        <v>3490</v>
      </c>
      <c r="E7852" s="6" t="s">
        <v>15195</v>
      </c>
      <c r="F7852" s="6" t="s">
        <v>15196</v>
      </c>
      <c r="G7852" s="3" t="s">
        <v>11450</v>
      </c>
      <c r="H7852" s="54">
        <v>0</v>
      </c>
      <c r="I7852" s="16">
        <v>470000000</v>
      </c>
      <c r="J7852" s="157" t="s">
        <v>229</v>
      </c>
      <c r="K7852" s="5" t="s">
        <v>14590</v>
      </c>
      <c r="L7852" s="17" t="s">
        <v>11411</v>
      </c>
      <c r="M7852" s="3" t="s">
        <v>230</v>
      </c>
      <c r="N7852" s="6" t="s">
        <v>524</v>
      </c>
      <c r="O7852" s="6" t="s">
        <v>233</v>
      </c>
      <c r="P7852" s="58" t="s">
        <v>247</v>
      </c>
      <c r="Q7852" s="31" t="s">
        <v>244</v>
      </c>
      <c r="R7852" s="3">
        <v>2.5</v>
      </c>
      <c r="S7852" s="68">
        <v>943.19999999999993</v>
      </c>
      <c r="T7852" s="1">
        <f t="shared" si="418"/>
        <v>2358</v>
      </c>
      <c r="U7852" s="4">
        <f t="shared" si="419"/>
        <v>2640.96</v>
      </c>
      <c r="V7852" s="3"/>
      <c r="W7852" s="3">
        <v>2014</v>
      </c>
      <c r="X7852" s="3"/>
    </row>
    <row r="7853" spans="1:24" ht="89.25">
      <c r="A7853" s="3" t="s">
        <v>16068</v>
      </c>
      <c r="B7853" s="6" t="s">
        <v>361</v>
      </c>
      <c r="C7853" s="6" t="s">
        <v>15194</v>
      </c>
      <c r="D7853" s="6" t="s">
        <v>3490</v>
      </c>
      <c r="E7853" s="6" t="s">
        <v>15195</v>
      </c>
      <c r="F7853" s="6" t="s">
        <v>15197</v>
      </c>
      <c r="G7853" s="3" t="s">
        <v>11450</v>
      </c>
      <c r="H7853" s="54">
        <v>0</v>
      </c>
      <c r="I7853" s="16">
        <v>470000000</v>
      </c>
      <c r="J7853" s="157" t="s">
        <v>229</v>
      </c>
      <c r="K7853" s="5" t="s">
        <v>14590</v>
      </c>
      <c r="L7853" s="17" t="s">
        <v>11411</v>
      </c>
      <c r="M7853" s="3" t="s">
        <v>230</v>
      </c>
      <c r="N7853" s="6" t="s">
        <v>524</v>
      </c>
      <c r="O7853" s="6" t="s">
        <v>233</v>
      </c>
      <c r="P7853" s="58" t="s">
        <v>247</v>
      </c>
      <c r="Q7853" s="31" t="s">
        <v>244</v>
      </c>
      <c r="R7853" s="3">
        <v>0.85000000000000009</v>
      </c>
      <c r="S7853" s="68">
        <v>943.19999999999993</v>
      </c>
      <c r="T7853" s="1">
        <f t="shared" si="418"/>
        <v>801.72</v>
      </c>
      <c r="U7853" s="4">
        <f t="shared" si="419"/>
        <v>897.92640000000017</v>
      </c>
      <c r="V7853" s="3"/>
      <c r="W7853" s="3">
        <v>2014</v>
      </c>
      <c r="X7853" s="3"/>
    </row>
    <row r="7854" spans="1:24" ht="89.25">
      <c r="A7854" s="3" t="s">
        <v>16069</v>
      </c>
      <c r="B7854" s="6" t="s">
        <v>361</v>
      </c>
      <c r="C7854" s="6" t="s">
        <v>15198</v>
      </c>
      <c r="D7854" s="6" t="s">
        <v>5930</v>
      </c>
      <c r="E7854" s="6" t="s">
        <v>15199</v>
      </c>
      <c r="F7854" s="6" t="s">
        <v>15200</v>
      </c>
      <c r="G7854" s="3" t="s">
        <v>11450</v>
      </c>
      <c r="H7854" s="54">
        <v>0</v>
      </c>
      <c r="I7854" s="16">
        <v>470000000</v>
      </c>
      <c r="J7854" s="157" t="s">
        <v>229</v>
      </c>
      <c r="K7854" s="5" t="s">
        <v>14590</v>
      </c>
      <c r="L7854" s="17" t="s">
        <v>11411</v>
      </c>
      <c r="M7854" s="3" t="s">
        <v>230</v>
      </c>
      <c r="N7854" s="6" t="s">
        <v>524</v>
      </c>
      <c r="O7854" s="6" t="s">
        <v>233</v>
      </c>
      <c r="P7854" s="58" t="s">
        <v>241</v>
      </c>
      <c r="Q7854" s="31" t="s">
        <v>234</v>
      </c>
      <c r="R7854" s="3">
        <v>69</v>
      </c>
      <c r="S7854" s="59">
        <v>300</v>
      </c>
      <c r="T7854" s="1">
        <f t="shared" si="418"/>
        <v>20700</v>
      </c>
      <c r="U7854" s="4">
        <f t="shared" si="419"/>
        <v>23184.000000000004</v>
      </c>
      <c r="V7854" s="3"/>
      <c r="W7854" s="3">
        <v>2014</v>
      </c>
      <c r="X7854" s="3"/>
    </row>
    <row r="7855" spans="1:24" ht="89.25">
      <c r="A7855" s="3" t="s">
        <v>16070</v>
      </c>
      <c r="B7855" s="6" t="s">
        <v>361</v>
      </c>
      <c r="C7855" s="6" t="s">
        <v>15198</v>
      </c>
      <c r="D7855" s="6" t="s">
        <v>5930</v>
      </c>
      <c r="E7855" s="6" t="s">
        <v>15199</v>
      </c>
      <c r="F7855" s="6" t="s">
        <v>15201</v>
      </c>
      <c r="G7855" s="3" t="s">
        <v>11450</v>
      </c>
      <c r="H7855" s="54">
        <v>0</v>
      </c>
      <c r="I7855" s="16">
        <v>470000000</v>
      </c>
      <c r="J7855" s="157" t="s">
        <v>229</v>
      </c>
      <c r="K7855" s="5" t="s">
        <v>14590</v>
      </c>
      <c r="L7855" s="17" t="s">
        <v>11411</v>
      </c>
      <c r="M7855" s="3" t="s">
        <v>230</v>
      </c>
      <c r="N7855" s="6" t="s">
        <v>524</v>
      </c>
      <c r="O7855" s="6" t="s">
        <v>233</v>
      </c>
      <c r="P7855" s="58" t="s">
        <v>241</v>
      </c>
      <c r="Q7855" s="31" t="s">
        <v>234</v>
      </c>
      <c r="R7855" s="3">
        <v>69</v>
      </c>
      <c r="S7855" s="59">
        <v>480</v>
      </c>
      <c r="T7855" s="1">
        <f t="shared" si="418"/>
        <v>33120</v>
      </c>
      <c r="U7855" s="4">
        <f t="shared" si="419"/>
        <v>37094.400000000001</v>
      </c>
      <c r="V7855" s="3"/>
      <c r="W7855" s="3">
        <v>2014</v>
      </c>
      <c r="X7855" s="3"/>
    </row>
    <row r="7856" spans="1:24" ht="89.25">
      <c r="A7856" s="3" t="s">
        <v>16071</v>
      </c>
      <c r="B7856" s="6" t="s">
        <v>361</v>
      </c>
      <c r="C7856" s="6" t="s">
        <v>3495</v>
      </c>
      <c r="D7856" s="6" t="s">
        <v>3496</v>
      </c>
      <c r="E7856" s="6" t="s">
        <v>3497</v>
      </c>
      <c r="F7856" s="256" t="s">
        <v>15202</v>
      </c>
      <c r="G7856" s="3" t="s">
        <v>11450</v>
      </c>
      <c r="H7856" s="54">
        <v>0</v>
      </c>
      <c r="I7856" s="16">
        <v>470000000</v>
      </c>
      <c r="J7856" s="157" t="s">
        <v>229</v>
      </c>
      <c r="K7856" s="5" t="s">
        <v>14590</v>
      </c>
      <c r="L7856" s="17" t="s">
        <v>11411</v>
      </c>
      <c r="M7856" s="3" t="s">
        <v>230</v>
      </c>
      <c r="N7856" s="6" t="s">
        <v>524</v>
      </c>
      <c r="O7856" s="6" t="s">
        <v>233</v>
      </c>
      <c r="P7856" s="58" t="s">
        <v>241</v>
      </c>
      <c r="Q7856" s="31" t="s">
        <v>234</v>
      </c>
      <c r="R7856" s="3">
        <v>12000</v>
      </c>
      <c r="S7856" s="59">
        <v>16.8</v>
      </c>
      <c r="T7856" s="1">
        <f t="shared" si="418"/>
        <v>201600</v>
      </c>
      <c r="U7856" s="4">
        <f t="shared" si="419"/>
        <v>225792.00000000003</v>
      </c>
      <c r="V7856" s="3"/>
      <c r="W7856" s="3">
        <v>2014</v>
      </c>
      <c r="X7856" s="3"/>
    </row>
    <row r="7857" spans="1:24" ht="89.25">
      <c r="A7857" s="3" t="s">
        <v>16072</v>
      </c>
      <c r="B7857" s="6" t="s">
        <v>361</v>
      </c>
      <c r="C7857" s="6" t="s">
        <v>3495</v>
      </c>
      <c r="D7857" s="6" t="s">
        <v>3496</v>
      </c>
      <c r="E7857" s="6" t="s">
        <v>3497</v>
      </c>
      <c r="F7857" s="256" t="s">
        <v>15203</v>
      </c>
      <c r="G7857" s="3" t="s">
        <v>11450</v>
      </c>
      <c r="H7857" s="54">
        <v>0</v>
      </c>
      <c r="I7857" s="16">
        <v>470000000</v>
      </c>
      <c r="J7857" s="157" t="s">
        <v>229</v>
      </c>
      <c r="K7857" s="5" t="s">
        <v>14590</v>
      </c>
      <c r="L7857" s="17" t="s">
        <v>11411</v>
      </c>
      <c r="M7857" s="3" t="s">
        <v>230</v>
      </c>
      <c r="N7857" s="6" t="s">
        <v>524</v>
      </c>
      <c r="O7857" s="6" t="s">
        <v>233</v>
      </c>
      <c r="P7857" s="58" t="s">
        <v>241</v>
      </c>
      <c r="Q7857" s="31" t="s">
        <v>234</v>
      </c>
      <c r="R7857" s="6">
        <v>213</v>
      </c>
      <c r="S7857" s="59">
        <v>18</v>
      </c>
      <c r="T7857" s="1">
        <f t="shared" si="418"/>
        <v>3834</v>
      </c>
      <c r="U7857" s="4">
        <f t="shared" si="419"/>
        <v>4294.0800000000008</v>
      </c>
      <c r="V7857" s="3"/>
      <c r="W7857" s="3">
        <v>2014</v>
      </c>
      <c r="X7857" s="3"/>
    </row>
    <row r="7858" spans="1:24" ht="89.25">
      <c r="A7858" s="3" t="s">
        <v>16073</v>
      </c>
      <c r="B7858" s="6" t="s">
        <v>361</v>
      </c>
      <c r="C7858" s="6" t="s">
        <v>15204</v>
      </c>
      <c r="D7858" s="6" t="s">
        <v>3474</v>
      </c>
      <c r="E7858" s="6" t="s">
        <v>15205</v>
      </c>
      <c r="F7858" s="30" t="s">
        <v>15206</v>
      </c>
      <c r="G7858" s="3" t="s">
        <v>11450</v>
      </c>
      <c r="H7858" s="54">
        <v>0</v>
      </c>
      <c r="I7858" s="16">
        <v>470000000</v>
      </c>
      <c r="J7858" s="157" t="s">
        <v>229</v>
      </c>
      <c r="K7858" s="5" t="s">
        <v>14590</v>
      </c>
      <c r="L7858" s="17" t="s">
        <v>11411</v>
      </c>
      <c r="M7858" s="3" t="s">
        <v>230</v>
      </c>
      <c r="N7858" s="6" t="s">
        <v>524</v>
      </c>
      <c r="O7858" s="6" t="s">
        <v>233</v>
      </c>
      <c r="P7858" s="58" t="s">
        <v>241</v>
      </c>
      <c r="Q7858" s="31" t="s">
        <v>234</v>
      </c>
      <c r="R7858" s="6">
        <v>376</v>
      </c>
      <c r="S7858" s="59">
        <v>1260</v>
      </c>
      <c r="T7858" s="1">
        <f t="shared" si="418"/>
        <v>473760</v>
      </c>
      <c r="U7858" s="4">
        <f t="shared" si="419"/>
        <v>530611.20000000007</v>
      </c>
      <c r="V7858" s="3"/>
      <c r="W7858" s="3">
        <v>2014</v>
      </c>
      <c r="X7858" s="3"/>
    </row>
    <row r="7859" spans="1:24" ht="89.25">
      <c r="A7859" s="3" t="s">
        <v>16074</v>
      </c>
      <c r="B7859" s="6" t="s">
        <v>361</v>
      </c>
      <c r="C7859" s="6" t="s">
        <v>15204</v>
      </c>
      <c r="D7859" s="6" t="s">
        <v>3474</v>
      </c>
      <c r="E7859" s="6" t="s">
        <v>15205</v>
      </c>
      <c r="F7859" s="30" t="s">
        <v>15207</v>
      </c>
      <c r="G7859" s="3" t="s">
        <v>11450</v>
      </c>
      <c r="H7859" s="54">
        <v>0</v>
      </c>
      <c r="I7859" s="16">
        <v>470000000</v>
      </c>
      <c r="J7859" s="157" t="s">
        <v>229</v>
      </c>
      <c r="K7859" s="5" t="s">
        <v>14590</v>
      </c>
      <c r="L7859" s="17" t="s">
        <v>11411</v>
      </c>
      <c r="M7859" s="3" t="s">
        <v>230</v>
      </c>
      <c r="N7859" s="6" t="s">
        <v>524</v>
      </c>
      <c r="O7859" s="6" t="s">
        <v>233</v>
      </c>
      <c r="P7859" s="58" t="s">
        <v>241</v>
      </c>
      <c r="Q7859" s="31" t="s">
        <v>234</v>
      </c>
      <c r="R7859" s="6">
        <v>204</v>
      </c>
      <c r="S7859" s="59">
        <v>1320</v>
      </c>
      <c r="T7859" s="1">
        <f t="shared" si="418"/>
        <v>269280</v>
      </c>
      <c r="U7859" s="4">
        <f t="shared" si="419"/>
        <v>301593.60000000003</v>
      </c>
      <c r="V7859" s="3"/>
      <c r="W7859" s="3">
        <v>2014</v>
      </c>
      <c r="X7859" s="3"/>
    </row>
    <row r="7860" spans="1:24" ht="89.25">
      <c r="A7860" s="3" t="s">
        <v>16075</v>
      </c>
      <c r="B7860" s="6" t="s">
        <v>361</v>
      </c>
      <c r="C7860" s="6" t="s">
        <v>15204</v>
      </c>
      <c r="D7860" s="6" t="s">
        <v>3474</v>
      </c>
      <c r="E7860" s="6" t="s">
        <v>15205</v>
      </c>
      <c r="F7860" s="30" t="s">
        <v>15208</v>
      </c>
      <c r="G7860" s="3" t="s">
        <v>11450</v>
      </c>
      <c r="H7860" s="54">
        <v>0</v>
      </c>
      <c r="I7860" s="16">
        <v>470000000</v>
      </c>
      <c r="J7860" s="157" t="s">
        <v>229</v>
      </c>
      <c r="K7860" s="5" t="s">
        <v>14590</v>
      </c>
      <c r="L7860" s="17" t="s">
        <v>11411</v>
      </c>
      <c r="M7860" s="3" t="s">
        <v>230</v>
      </c>
      <c r="N7860" s="6" t="s">
        <v>524</v>
      </c>
      <c r="O7860" s="6" t="s">
        <v>233</v>
      </c>
      <c r="P7860" s="58" t="s">
        <v>241</v>
      </c>
      <c r="Q7860" s="31" t="s">
        <v>234</v>
      </c>
      <c r="R7860" s="6">
        <v>200</v>
      </c>
      <c r="S7860" s="59">
        <v>1320</v>
      </c>
      <c r="T7860" s="1">
        <f t="shared" si="418"/>
        <v>264000</v>
      </c>
      <c r="U7860" s="4">
        <f t="shared" si="419"/>
        <v>295680</v>
      </c>
      <c r="V7860" s="3"/>
      <c r="W7860" s="3">
        <v>2014</v>
      </c>
      <c r="X7860" s="3"/>
    </row>
    <row r="7861" spans="1:24" ht="89.25">
      <c r="A7861" s="3" t="s">
        <v>16076</v>
      </c>
      <c r="B7861" s="6" t="s">
        <v>361</v>
      </c>
      <c r="C7861" s="6" t="s">
        <v>15204</v>
      </c>
      <c r="D7861" s="6" t="s">
        <v>3474</v>
      </c>
      <c r="E7861" s="6" t="s">
        <v>15205</v>
      </c>
      <c r="F7861" s="30" t="s">
        <v>15209</v>
      </c>
      <c r="G7861" s="3" t="s">
        <v>11450</v>
      </c>
      <c r="H7861" s="54">
        <v>0</v>
      </c>
      <c r="I7861" s="16">
        <v>470000000</v>
      </c>
      <c r="J7861" s="157" t="s">
        <v>229</v>
      </c>
      <c r="K7861" s="5" t="s">
        <v>14590</v>
      </c>
      <c r="L7861" s="17" t="s">
        <v>11411</v>
      </c>
      <c r="M7861" s="3" t="s">
        <v>230</v>
      </c>
      <c r="N7861" s="6" t="s">
        <v>524</v>
      </c>
      <c r="O7861" s="6" t="s">
        <v>233</v>
      </c>
      <c r="P7861" s="58" t="s">
        <v>241</v>
      </c>
      <c r="Q7861" s="31" t="s">
        <v>234</v>
      </c>
      <c r="R7861" s="6">
        <v>106</v>
      </c>
      <c r="S7861" s="59">
        <v>1260</v>
      </c>
      <c r="T7861" s="1">
        <f t="shared" si="418"/>
        <v>133560</v>
      </c>
      <c r="U7861" s="4">
        <f t="shared" si="419"/>
        <v>149587.20000000001</v>
      </c>
      <c r="V7861" s="3"/>
      <c r="W7861" s="3">
        <v>2014</v>
      </c>
      <c r="X7861" s="3"/>
    </row>
    <row r="7862" spans="1:24" ht="89.25">
      <c r="A7862" s="3" t="s">
        <v>16077</v>
      </c>
      <c r="B7862" s="6" t="s">
        <v>361</v>
      </c>
      <c r="C7862" s="6" t="s">
        <v>15204</v>
      </c>
      <c r="D7862" s="6" t="s">
        <v>3474</v>
      </c>
      <c r="E7862" s="6" t="s">
        <v>15205</v>
      </c>
      <c r="F7862" s="30" t="s">
        <v>15210</v>
      </c>
      <c r="G7862" s="3" t="s">
        <v>11450</v>
      </c>
      <c r="H7862" s="54">
        <v>0</v>
      </c>
      <c r="I7862" s="16">
        <v>470000000</v>
      </c>
      <c r="J7862" s="157" t="s">
        <v>229</v>
      </c>
      <c r="K7862" s="5" t="s">
        <v>14590</v>
      </c>
      <c r="L7862" s="17" t="s">
        <v>11411</v>
      </c>
      <c r="M7862" s="3" t="s">
        <v>230</v>
      </c>
      <c r="N7862" s="6" t="s">
        <v>524</v>
      </c>
      <c r="O7862" s="6" t="s">
        <v>233</v>
      </c>
      <c r="P7862" s="58" t="s">
        <v>241</v>
      </c>
      <c r="Q7862" s="31" t="s">
        <v>234</v>
      </c>
      <c r="R7862" s="6">
        <v>1344</v>
      </c>
      <c r="S7862" s="59">
        <v>1320</v>
      </c>
      <c r="T7862" s="1">
        <f t="shared" si="418"/>
        <v>1774080</v>
      </c>
      <c r="U7862" s="4">
        <f t="shared" si="419"/>
        <v>1986969.6000000001</v>
      </c>
      <c r="V7862" s="3"/>
      <c r="W7862" s="3">
        <v>2014</v>
      </c>
      <c r="X7862" s="3"/>
    </row>
    <row r="7863" spans="1:24" ht="89.25">
      <c r="A7863" s="3" t="s">
        <v>16078</v>
      </c>
      <c r="B7863" s="6" t="s">
        <v>361</v>
      </c>
      <c r="C7863" s="6" t="s">
        <v>15211</v>
      </c>
      <c r="D7863" s="6" t="s">
        <v>3440</v>
      </c>
      <c r="E7863" s="6" t="s">
        <v>15212</v>
      </c>
      <c r="F7863" s="6" t="s">
        <v>15213</v>
      </c>
      <c r="G7863" s="3" t="s">
        <v>11450</v>
      </c>
      <c r="H7863" s="54">
        <v>0</v>
      </c>
      <c r="I7863" s="16">
        <v>470000000</v>
      </c>
      <c r="J7863" s="157" t="s">
        <v>229</v>
      </c>
      <c r="K7863" s="5" t="s">
        <v>14590</v>
      </c>
      <c r="L7863" s="17" t="s">
        <v>11411</v>
      </c>
      <c r="M7863" s="3" t="s">
        <v>230</v>
      </c>
      <c r="N7863" s="6" t="s">
        <v>524</v>
      </c>
      <c r="O7863" s="6" t="s">
        <v>233</v>
      </c>
      <c r="P7863" s="58" t="s">
        <v>243</v>
      </c>
      <c r="Q7863" s="31" t="s">
        <v>244</v>
      </c>
      <c r="R7863" s="6">
        <v>3.4</v>
      </c>
      <c r="S7863" s="59">
        <v>669.6</v>
      </c>
      <c r="T7863" s="1">
        <f t="shared" si="418"/>
        <v>2276.64</v>
      </c>
      <c r="U7863" s="4">
        <f t="shared" si="419"/>
        <v>2549.8368</v>
      </c>
      <c r="V7863" s="3"/>
      <c r="W7863" s="3">
        <v>2014</v>
      </c>
      <c r="X7863" s="3"/>
    </row>
    <row r="7864" spans="1:24" ht="89.25">
      <c r="A7864" s="3" t="s">
        <v>16079</v>
      </c>
      <c r="B7864" s="6" t="s">
        <v>361</v>
      </c>
      <c r="C7864" s="6" t="s">
        <v>15214</v>
      </c>
      <c r="D7864" s="6" t="s">
        <v>3533</v>
      </c>
      <c r="E7864" s="6" t="s">
        <v>15215</v>
      </c>
      <c r="F7864" s="6" t="s">
        <v>3523</v>
      </c>
      <c r="G7864" s="3" t="s">
        <v>11450</v>
      </c>
      <c r="H7864" s="54">
        <v>0</v>
      </c>
      <c r="I7864" s="16">
        <v>470000000</v>
      </c>
      <c r="J7864" s="157" t="s">
        <v>229</v>
      </c>
      <c r="K7864" s="5" t="s">
        <v>14590</v>
      </c>
      <c r="L7864" s="17" t="s">
        <v>11411</v>
      </c>
      <c r="M7864" s="3" t="s">
        <v>230</v>
      </c>
      <c r="N7864" s="6" t="s">
        <v>524</v>
      </c>
      <c r="O7864" s="6" t="s">
        <v>233</v>
      </c>
      <c r="P7864" s="58" t="s">
        <v>243</v>
      </c>
      <c r="Q7864" s="31" t="s">
        <v>244</v>
      </c>
      <c r="R7864" s="3">
        <v>36</v>
      </c>
      <c r="S7864" s="59">
        <v>240</v>
      </c>
      <c r="T7864" s="4">
        <f t="shared" si="418"/>
        <v>8640</v>
      </c>
      <c r="U7864" s="4">
        <f t="shared" si="419"/>
        <v>9676.8000000000011</v>
      </c>
      <c r="V7864" s="3"/>
      <c r="W7864" s="3">
        <v>2014</v>
      </c>
      <c r="X7864" s="3"/>
    </row>
    <row r="7865" spans="1:24" ht="89.25">
      <c r="A7865" s="3" t="s">
        <v>16080</v>
      </c>
      <c r="B7865" s="6" t="s">
        <v>361</v>
      </c>
      <c r="C7865" s="6" t="s">
        <v>15214</v>
      </c>
      <c r="D7865" s="6" t="s">
        <v>3533</v>
      </c>
      <c r="E7865" s="6" t="s">
        <v>15215</v>
      </c>
      <c r="F7865" s="6" t="s">
        <v>15216</v>
      </c>
      <c r="G7865" s="3" t="s">
        <v>11450</v>
      </c>
      <c r="H7865" s="54">
        <v>0</v>
      </c>
      <c r="I7865" s="16">
        <v>470000000</v>
      </c>
      <c r="J7865" s="157" t="s">
        <v>229</v>
      </c>
      <c r="K7865" s="5" t="s">
        <v>14590</v>
      </c>
      <c r="L7865" s="17" t="s">
        <v>11411</v>
      </c>
      <c r="M7865" s="3" t="s">
        <v>230</v>
      </c>
      <c r="N7865" s="6" t="s">
        <v>524</v>
      </c>
      <c r="O7865" s="6" t="s">
        <v>233</v>
      </c>
      <c r="P7865" s="58" t="s">
        <v>243</v>
      </c>
      <c r="Q7865" s="31" t="s">
        <v>244</v>
      </c>
      <c r="R7865" s="3">
        <v>97.6</v>
      </c>
      <c r="S7865" s="59">
        <v>900</v>
      </c>
      <c r="T7865" s="4">
        <f t="shared" si="418"/>
        <v>87840</v>
      </c>
      <c r="U7865" s="4">
        <f t="shared" si="419"/>
        <v>98380.800000000003</v>
      </c>
      <c r="V7865" s="3"/>
      <c r="W7865" s="3">
        <v>2014</v>
      </c>
      <c r="X7865" s="3"/>
    </row>
    <row r="7866" spans="1:24" ht="89.25">
      <c r="A7866" s="3" t="s">
        <v>16081</v>
      </c>
      <c r="B7866" s="6" t="s">
        <v>361</v>
      </c>
      <c r="C7866" s="6" t="s">
        <v>7502</v>
      </c>
      <c r="D7866" s="6" t="s">
        <v>3550</v>
      </c>
      <c r="E7866" s="6" t="s">
        <v>7503</v>
      </c>
      <c r="F7866" s="6" t="s">
        <v>15217</v>
      </c>
      <c r="G7866" s="3" t="s">
        <v>11450</v>
      </c>
      <c r="H7866" s="54">
        <v>0</v>
      </c>
      <c r="I7866" s="16">
        <v>470000000</v>
      </c>
      <c r="J7866" s="157" t="s">
        <v>229</v>
      </c>
      <c r="K7866" s="5" t="s">
        <v>14590</v>
      </c>
      <c r="L7866" s="17" t="s">
        <v>11411</v>
      </c>
      <c r="M7866" s="3" t="s">
        <v>230</v>
      </c>
      <c r="N7866" s="6" t="s">
        <v>524</v>
      </c>
      <c r="O7866" s="6" t="s">
        <v>233</v>
      </c>
      <c r="P7866" s="58" t="s">
        <v>243</v>
      </c>
      <c r="Q7866" s="31" t="s">
        <v>244</v>
      </c>
      <c r="R7866" s="3">
        <v>101</v>
      </c>
      <c r="S7866" s="59">
        <v>402</v>
      </c>
      <c r="T7866" s="4">
        <f t="shared" si="418"/>
        <v>40602</v>
      </c>
      <c r="U7866" s="4">
        <f t="shared" si="419"/>
        <v>45474.240000000005</v>
      </c>
      <c r="V7866" s="3"/>
      <c r="W7866" s="3">
        <v>2014</v>
      </c>
      <c r="X7866" s="3"/>
    </row>
    <row r="7867" spans="1:24" ht="89.25">
      <c r="A7867" s="3" t="s">
        <v>16082</v>
      </c>
      <c r="B7867" s="6" t="s">
        <v>361</v>
      </c>
      <c r="C7867" s="6" t="s">
        <v>15218</v>
      </c>
      <c r="D7867" s="6" t="s">
        <v>3550</v>
      </c>
      <c r="E7867" s="6" t="s">
        <v>15219</v>
      </c>
      <c r="F7867" s="6" t="s">
        <v>15220</v>
      </c>
      <c r="G7867" s="3" t="s">
        <v>11450</v>
      </c>
      <c r="H7867" s="54">
        <v>0</v>
      </c>
      <c r="I7867" s="16">
        <v>470000000</v>
      </c>
      <c r="J7867" s="157" t="s">
        <v>229</v>
      </c>
      <c r="K7867" s="5" t="s">
        <v>14590</v>
      </c>
      <c r="L7867" s="17" t="s">
        <v>11411</v>
      </c>
      <c r="M7867" s="3" t="s">
        <v>230</v>
      </c>
      <c r="N7867" s="6" t="s">
        <v>524</v>
      </c>
      <c r="O7867" s="6" t="s">
        <v>233</v>
      </c>
      <c r="P7867" s="58" t="s">
        <v>243</v>
      </c>
      <c r="Q7867" s="31" t="s">
        <v>244</v>
      </c>
      <c r="R7867" s="3">
        <v>25</v>
      </c>
      <c r="S7867" s="59">
        <v>402</v>
      </c>
      <c r="T7867" s="4">
        <f t="shared" si="418"/>
        <v>10050</v>
      </c>
      <c r="U7867" s="4">
        <f t="shared" si="419"/>
        <v>11256.000000000002</v>
      </c>
      <c r="V7867" s="3"/>
      <c r="W7867" s="3">
        <v>2014</v>
      </c>
      <c r="X7867" s="3"/>
    </row>
    <row r="7868" spans="1:24" ht="89.25">
      <c r="A7868" s="3" t="s">
        <v>16083</v>
      </c>
      <c r="B7868" s="6" t="s">
        <v>361</v>
      </c>
      <c r="C7868" s="6" t="s">
        <v>3570</v>
      </c>
      <c r="D7868" s="6" t="s">
        <v>3550</v>
      </c>
      <c r="E7868" s="6" t="s">
        <v>3571</v>
      </c>
      <c r="F7868" s="6" t="s">
        <v>15221</v>
      </c>
      <c r="G7868" s="3" t="s">
        <v>11450</v>
      </c>
      <c r="H7868" s="54">
        <v>0</v>
      </c>
      <c r="I7868" s="16">
        <v>470000000</v>
      </c>
      <c r="J7868" s="157" t="s">
        <v>229</v>
      </c>
      <c r="K7868" s="5" t="s">
        <v>14590</v>
      </c>
      <c r="L7868" s="17" t="s">
        <v>11411</v>
      </c>
      <c r="M7868" s="3" t="s">
        <v>230</v>
      </c>
      <c r="N7868" s="6" t="s">
        <v>524</v>
      </c>
      <c r="O7868" s="6" t="s">
        <v>233</v>
      </c>
      <c r="P7868" s="58" t="s">
        <v>243</v>
      </c>
      <c r="Q7868" s="37" t="s">
        <v>244</v>
      </c>
      <c r="R7868" s="3">
        <v>3000</v>
      </c>
      <c r="S7868" s="59">
        <v>4500</v>
      </c>
      <c r="T7868" s="4">
        <v>0</v>
      </c>
      <c r="U7868" s="4">
        <f t="shared" si="419"/>
        <v>0</v>
      </c>
      <c r="V7868" s="3"/>
      <c r="W7868" s="3">
        <v>2014</v>
      </c>
      <c r="X7868" s="3">
        <v>11.14</v>
      </c>
    </row>
    <row r="7869" spans="1:24" ht="89.25">
      <c r="A7869" s="3" t="s">
        <v>18116</v>
      </c>
      <c r="B7869" s="6" t="s">
        <v>361</v>
      </c>
      <c r="C7869" s="6" t="s">
        <v>3570</v>
      </c>
      <c r="D7869" s="6" t="s">
        <v>3550</v>
      </c>
      <c r="E7869" s="6" t="s">
        <v>3571</v>
      </c>
      <c r="F7869" s="6" t="s">
        <v>15221</v>
      </c>
      <c r="G7869" s="3" t="s">
        <v>11450</v>
      </c>
      <c r="H7869" s="54">
        <v>0</v>
      </c>
      <c r="I7869" s="16">
        <v>470000000</v>
      </c>
      <c r="J7869" s="157" t="s">
        <v>229</v>
      </c>
      <c r="K7869" s="5" t="s">
        <v>18084</v>
      </c>
      <c r="L7869" s="17" t="s">
        <v>11411</v>
      </c>
      <c r="M7869" s="3" t="s">
        <v>230</v>
      </c>
      <c r="N7869" s="6" t="s">
        <v>528</v>
      </c>
      <c r="O7869" s="6" t="s">
        <v>233</v>
      </c>
      <c r="P7869" s="58" t="s">
        <v>243</v>
      </c>
      <c r="Q7869" s="37" t="s">
        <v>244</v>
      </c>
      <c r="R7869" s="3">
        <v>3000</v>
      </c>
      <c r="S7869" s="59">
        <v>4500</v>
      </c>
      <c r="T7869" s="4">
        <f t="shared" ref="T7869" si="420">R7869*S7869</f>
        <v>13500000</v>
      </c>
      <c r="U7869" s="4">
        <f t="shared" si="419"/>
        <v>15120000.000000002</v>
      </c>
      <c r="V7869" s="3"/>
      <c r="W7869" s="3">
        <v>2014</v>
      </c>
      <c r="X7869" s="3"/>
    </row>
    <row r="7870" spans="1:24" ht="89.25">
      <c r="A7870" s="3" t="s">
        <v>16084</v>
      </c>
      <c r="B7870" s="6" t="s">
        <v>361</v>
      </c>
      <c r="C7870" s="6" t="s">
        <v>15222</v>
      </c>
      <c r="D7870" s="6" t="s">
        <v>3582</v>
      </c>
      <c r="E7870" s="6" t="s">
        <v>15223</v>
      </c>
      <c r="F7870" s="6" t="s">
        <v>15224</v>
      </c>
      <c r="G7870" s="3" t="s">
        <v>11450</v>
      </c>
      <c r="H7870" s="54">
        <v>0</v>
      </c>
      <c r="I7870" s="16">
        <v>470000000</v>
      </c>
      <c r="J7870" s="157" t="s">
        <v>229</v>
      </c>
      <c r="K7870" s="5" t="s">
        <v>14590</v>
      </c>
      <c r="L7870" s="17" t="s">
        <v>11411</v>
      </c>
      <c r="M7870" s="3" t="s">
        <v>230</v>
      </c>
      <c r="N7870" s="6" t="s">
        <v>524</v>
      </c>
      <c r="O7870" s="6" t="s">
        <v>233</v>
      </c>
      <c r="P7870" s="58">
        <v>112</v>
      </c>
      <c r="Q7870" s="37" t="s">
        <v>15225</v>
      </c>
      <c r="R7870" s="3">
        <v>512.78</v>
      </c>
      <c r="S7870" s="59">
        <v>354</v>
      </c>
      <c r="T7870" s="4">
        <f t="shared" si="418"/>
        <v>181524.12</v>
      </c>
      <c r="U7870" s="4">
        <f t="shared" si="419"/>
        <v>203307.01440000001</v>
      </c>
      <c r="V7870" s="3"/>
      <c r="W7870" s="3">
        <v>2014</v>
      </c>
      <c r="X7870" s="3"/>
    </row>
    <row r="7871" spans="1:24" ht="89.25">
      <c r="A7871" s="3" t="s">
        <v>16085</v>
      </c>
      <c r="B7871" s="6" t="s">
        <v>361</v>
      </c>
      <c r="C7871" s="6" t="s">
        <v>15226</v>
      </c>
      <c r="D7871" s="6" t="s">
        <v>3550</v>
      </c>
      <c r="E7871" s="6" t="s">
        <v>15227</v>
      </c>
      <c r="F7871" s="6" t="s">
        <v>15228</v>
      </c>
      <c r="G7871" s="3" t="s">
        <v>11450</v>
      </c>
      <c r="H7871" s="54">
        <v>0</v>
      </c>
      <c r="I7871" s="16">
        <v>470000000</v>
      </c>
      <c r="J7871" s="157" t="s">
        <v>229</v>
      </c>
      <c r="K7871" s="5" t="s">
        <v>14590</v>
      </c>
      <c r="L7871" s="17" t="s">
        <v>11411</v>
      </c>
      <c r="M7871" s="3" t="s">
        <v>230</v>
      </c>
      <c r="N7871" s="6" t="s">
        <v>524</v>
      </c>
      <c r="O7871" s="6" t="s">
        <v>233</v>
      </c>
      <c r="P7871" s="58" t="s">
        <v>243</v>
      </c>
      <c r="Q7871" s="31" t="s">
        <v>244</v>
      </c>
      <c r="R7871" s="1">
        <v>50</v>
      </c>
      <c r="S7871" s="59">
        <v>490.7</v>
      </c>
      <c r="T7871" s="4">
        <f t="shared" si="418"/>
        <v>24535</v>
      </c>
      <c r="U7871" s="4">
        <f t="shared" si="419"/>
        <v>27479.200000000004</v>
      </c>
      <c r="V7871" s="3"/>
      <c r="W7871" s="3">
        <v>2014</v>
      </c>
      <c r="X7871" s="3"/>
    </row>
    <row r="7872" spans="1:24" ht="89.25">
      <c r="A7872" s="3" t="s">
        <v>16086</v>
      </c>
      <c r="B7872" s="6" t="s">
        <v>361</v>
      </c>
      <c r="C7872" s="6" t="s">
        <v>15229</v>
      </c>
      <c r="D7872" s="6" t="s">
        <v>15230</v>
      </c>
      <c r="E7872" s="6" t="s">
        <v>15231</v>
      </c>
      <c r="F7872" s="6" t="s">
        <v>15232</v>
      </c>
      <c r="G7872" s="3" t="s">
        <v>11450</v>
      </c>
      <c r="H7872" s="54">
        <v>0</v>
      </c>
      <c r="I7872" s="16">
        <v>470000000</v>
      </c>
      <c r="J7872" s="157" t="s">
        <v>229</v>
      </c>
      <c r="K7872" s="5" t="s">
        <v>14590</v>
      </c>
      <c r="L7872" s="17" t="s">
        <v>11411</v>
      </c>
      <c r="M7872" s="3" t="s">
        <v>230</v>
      </c>
      <c r="N7872" s="6" t="s">
        <v>524</v>
      </c>
      <c r="O7872" s="6" t="s">
        <v>233</v>
      </c>
      <c r="P7872" s="58" t="s">
        <v>250</v>
      </c>
      <c r="Q7872" s="37" t="s">
        <v>251</v>
      </c>
      <c r="R7872" s="3">
        <v>16.399999999999999</v>
      </c>
      <c r="S7872" s="59">
        <v>46800</v>
      </c>
      <c r="T7872" s="4">
        <f t="shared" si="418"/>
        <v>767519.99999999988</v>
      </c>
      <c r="U7872" s="4">
        <f t="shared" si="419"/>
        <v>859622.39999999991</v>
      </c>
      <c r="V7872" s="3"/>
      <c r="W7872" s="3">
        <v>2014</v>
      </c>
      <c r="X7872" s="3"/>
    </row>
    <row r="7873" spans="1:24" ht="89.25">
      <c r="A7873" s="3" t="s">
        <v>16087</v>
      </c>
      <c r="B7873" s="6" t="s">
        <v>361</v>
      </c>
      <c r="C7873" s="6" t="s">
        <v>15233</v>
      </c>
      <c r="D7873" s="6" t="s">
        <v>15234</v>
      </c>
      <c r="E7873" s="6" t="s">
        <v>15235</v>
      </c>
      <c r="F7873" s="6" t="s">
        <v>3935</v>
      </c>
      <c r="G7873" s="3" t="s">
        <v>11450</v>
      </c>
      <c r="H7873" s="54">
        <v>0</v>
      </c>
      <c r="I7873" s="16">
        <v>470000000</v>
      </c>
      <c r="J7873" s="157" t="s">
        <v>229</v>
      </c>
      <c r="K7873" s="5" t="s">
        <v>14590</v>
      </c>
      <c r="L7873" s="17" t="s">
        <v>11411</v>
      </c>
      <c r="M7873" s="3" t="s">
        <v>230</v>
      </c>
      <c r="N7873" s="6" t="s">
        <v>524</v>
      </c>
      <c r="O7873" s="6" t="s">
        <v>233</v>
      </c>
      <c r="P7873" s="58" t="s">
        <v>250</v>
      </c>
      <c r="Q7873" s="37" t="s">
        <v>251</v>
      </c>
      <c r="R7873" s="3">
        <v>26.6</v>
      </c>
      <c r="S7873" s="59">
        <v>53280</v>
      </c>
      <c r="T7873" s="4">
        <f t="shared" si="418"/>
        <v>1417248</v>
      </c>
      <c r="U7873" s="4">
        <f t="shared" si="419"/>
        <v>1587317.7600000002</v>
      </c>
      <c r="V7873" s="3"/>
      <c r="W7873" s="3">
        <v>2014</v>
      </c>
      <c r="X7873" s="3"/>
    </row>
    <row r="7874" spans="1:24" ht="89.25">
      <c r="A7874" s="3" t="s">
        <v>16088</v>
      </c>
      <c r="B7874" s="6" t="s">
        <v>361</v>
      </c>
      <c r="C7874" s="6" t="s">
        <v>15236</v>
      </c>
      <c r="D7874" s="6" t="s">
        <v>8788</v>
      </c>
      <c r="E7874" s="6" t="s">
        <v>15237</v>
      </c>
      <c r="F7874" s="6" t="s">
        <v>15238</v>
      </c>
      <c r="G7874" s="3" t="s">
        <v>11450</v>
      </c>
      <c r="H7874" s="54">
        <v>0</v>
      </c>
      <c r="I7874" s="16">
        <v>470000000</v>
      </c>
      <c r="J7874" s="157" t="s">
        <v>229</v>
      </c>
      <c r="K7874" s="5" t="s">
        <v>14590</v>
      </c>
      <c r="L7874" s="17" t="s">
        <v>11411</v>
      </c>
      <c r="M7874" s="3" t="s">
        <v>230</v>
      </c>
      <c r="N7874" s="6" t="s">
        <v>524</v>
      </c>
      <c r="O7874" s="6" t="s">
        <v>233</v>
      </c>
      <c r="P7874" s="58" t="s">
        <v>250</v>
      </c>
      <c r="Q7874" s="37" t="s">
        <v>251</v>
      </c>
      <c r="R7874" s="3">
        <v>11</v>
      </c>
      <c r="S7874" s="59">
        <v>50100</v>
      </c>
      <c r="T7874" s="4">
        <v>0</v>
      </c>
      <c r="U7874" s="4">
        <f t="shared" si="419"/>
        <v>0</v>
      </c>
      <c r="V7874" s="3"/>
      <c r="W7874" s="3">
        <v>2014</v>
      </c>
      <c r="X7874" s="3" t="s">
        <v>14780</v>
      </c>
    </row>
    <row r="7875" spans="1:24" ht="89.25">
      <c r="A7875" s="3" t="s">
        <v>17945</v>
      </c>
      <c r="B7875" s="6" t="s">
        <v>361</v>
      </c>
      <c r="C7875" s="6" t="s">
        <v>15236</v>
      </c>
      <c r="D7875" s="6" t="s">
        <v>8788</v>
      </c>
      <c r="E7875" s="6" t="s">
        <v>15237</v>
      </c>
      <c r="F7875" s="6" t="s">
        <v>15238</v>
      </c>
      <c r="G7875" s="3" t="s">
        <v>11450</v>
      </c>
      <c r="H7875" s="54">
        <v>0</v>
      </c>
      <c r="I7875" s="16">
        <v>470000000</v>
      </c>
      <c r="J7875" s="157" t="s">
        <v>229</v>
      </c>
      <c r="K7875" s="5" t="s">
        <v>8950</v>
      </c>
      <c r="L7875" s="17" t="s">
        <v>11411</v>
      </c>
      <c r="M7875" s="3" t="s">
        <v>230</v>
      </c>
      <c r="N7875" s="6" t="s">
        <v>524</v>
      </c>
      <c r="O7875" s="6" t="s">
        <v>233</v>
      </c>
      <c r="P7875" s="58" t="s">
        <v>250</v>
      </c>
      <c r="Q7875" s="37" t="s">
        <v>251</v>
      </c>
      <c r="R7875" s="3">
        <v>12.2</v>
      </c>
      <c r="S7875" s="59">
        <v>50100</v>
      </c>
      <c r="T7875" s="4">
        <f t="shared" ref="T7875" si="421">R7875*S7875</f>
        <v>611220</v>
      </c>
      <c r="U7875" s="4">
        <f t="shared" si="419"/>
        <v>684566.4</v>
      </c>
      <c r="V7875" s="3"/>
      <c r="W7875" s="3">
        <v>2014</v>
      </c>
      <c r="X7875" s="3"/>
    </row>
    <row r="7876" spans="1:24" ht="89.25">
      <c r="A7876" s="3" t="s">
        <v>16089</v>
      </c>
      <c r="B7876" s="6" t="s">
        <v>361</v>
      </c>
      <c r="C7876" s="6" t="s">
        <v>15239</v>
      </c>
      <c r="D7876" s="6" t="s">
        <v>15240</v>
      </c>
      <c r="E7876" s="6" t="s">
        <v>15241</v>
      </c>
      <c r="F7876" s="6" t="s">
        <v>15242</v>
      </c>
      <c r="G7876" s="3" t="s">
        <v>11450</v>
      </c>
      <c r="H7876" s="54">
        <v>0</v>
      </c>
      <c r="I7876" s="16">
        <v>470000000</v>
      </c>
      <c r="J7876" s="157" t="s">
        <v>229</v>
      </c>
      <c r="K7876" s="5" t="s">
        <v>14590</v>
      </c>
      <c r="L7876" s="17" t="s">
        <v>11411</v>
      </c>
      <c r="M7876" s="3" t="s">
        <v>230</v>
      </c>
      <c r="N7876" s="6" t="s">
        <v>524</v>
      </c>
      <c r="O7876" s="6" t="s">
        <v>233</v>
      </c>
      <c r="P7876" s="58" t="s">
        <v>241</v>
      </c>
      <c r="Q7876" s="31" t="s">
        <v>234</v>
      </c>
      <c r="R7876" s="3">
        <v>138</v>
      </c>
      <c r="S7876" s="68">
        <v>900</v>
      </c>
      <c r="T7876" s="4">
        <v>0</v>
      </c>
      <c r="U7876" s="4">
        <f t="shared" si="419"/>
        <v>0</v>
      </c>
      <c r="V7876" s="3"/>
      <c r="W7876" s="3">
        <v>2014</v>
      </c>
      <c r="X7876" s="3">
        <v>11.14</v>
      </c>
    </row>
    <row r="7877" spans="1:24" ht="89.25">
      <c r="A7877" s="3" t="s">
        <v>17946</v>
      </c>
      <c r="B7877" s="6" t="s">
        <v>361</v>
      </c>
      <c r="C7877" s="6" t="s">
        <v>15239</v>
      </c>
      <c r="D7877" s="6" t="s">
        <v>15240</v>
      </c>
      <c r="E7877" s="6" t="s">
        <v>15241</v>
      </c>
      <c r="F7877" s="6" t="s">
        <v>15242</v>
      </c>
      <c r="G7877" s="3" t="s">
        <v>11450</v>
      </c>
      <c r="H7877" s="54">
        <v>0</v>
      </c>
      <c r="I7877" s="16">
        <v>470000000</v>
      </c>
      <c r="J7877" s="157" t="s">
        <v>229</v>
      </c>
      <c r="K7877" s="5" t="s">
        <v>8950</v>
      </c>
      <c r="L7877" s="17" t="s">
        <v>11411</v>
      </c>
      <c r="M7877" s="3" t="s">
        <v>230</v>
      </c>
      <c r="N7877" s="6" t="s">
        <v>528</v>
      </c>
      <c r="O7877" s="6" t="s">
        <v>233</v>
      </c>
      <c r="P7877" s="58" t="s">
        <v>241</v>
      </c>
      <c r="Q7877" s="31" t="s">
        <v>234</v>
      </c>
      <c r="R7877" s="3">
        <v>138</v>
      </c>
      <c r="S7877" s="68">
        <v>900</v>
      </c>
      <c r="T7877" s="4">
        <f t="shared" ref="T7877" si="422">R7877*S7877</f>
        <v>124200</v>
      </c>
      <c r="U7877" s="4">
        <f t="shared" si="419"/>
        <v>139104</v>
      </c>
      <c r="V7877" s="3"/>
      <c r="W7877" s="3">
        <v>2014</v>
      </c>
      <c r="X7877" s="3"/>
    </row>
    <row r="7878" spans="1:24" ht="89.25">
      <c r="A7878" s="3" t="s">
        <v>16090</v>
      </c>
      <c r="B7878" s="6" t="s">
        <v>361</v>
      </c>
      <c r="C7878" s="6" t="s">
        <v>15243</v>
      </c>
      <c r="D7878" s="6" t="s">
        <v>15240</v>
      </c>
      <c r="E7878" s="6" t="s">
        <v>15244</v>
      </c>
      <c r="F7878" s="6" t="s">
        <v>15245</v>
      </c>
      <c r="G7878" s="3" t="s">
        <v>11450</v>
      </c>
      <c r="H7878" s="54">
        <v>0</v>
      </c>
      <c r="I7878" s="16">
        <v>470000000</v>
      </c>
      <c r="J7878" s="157" t="s">
        <v>229</v>
      </c>
      <c r="K7878" s="5" t="s">
        <v>14590</v>
      </c>
      <c r="L7878" s="17" t="s">
        <v>11411</v>
      </c>
      <c r="M7878" s="3" t="s">
        <v>230</v>
      </c>
      <c r="N7878" s="6" t="s">
        <v>524</v>
      </c>
      <c r="O7878" s="6" t="s">
        <v>233</v>
      </c>
      <c r="P7878" s="58" t="s">
        <v>241</v>
      </c>
      <c r="Q7878" s="31" t="s">
        <v>234</v>
      </c>
      <c r="R7878" s="3">
        <v>18</v>
      </c>
      <c r="S7878" s="68">
        <v>900</v>
      </c>
      <c r="T7878" s="4">
        <v>0</v>
      </c>
      <c r="U7878" s="4">
        <f t="shared" si="419"/>
        <v>0</v>
      </c>
      <c r="V7878" s="3"/>
      <c r="W7878" s="3">
        <v>2014</v>
      </c>
      <c r="X7878" s="3" t="s">
        <v>17399</v>
      </c>
    </row>
    <row r="7879" spans="1:24" ht="89.25">
      <c r="A7879" s="3" t="s">
        <v>17947</v>
      </c>
      <c r="B7879" s="6" t="s">
        <v>361</v>
      </c>
      <c r="C7879" s="6" t="s">
        <v>15243</v>
      </c>
      <c r="D7879" s="6" t="s">
        <v>15240</v>
      </c>
      <c r="E7879" s="6" t="s">
        <v>15244</v>
      </c>
      <c r="F7879" s="6" t="s">
        <v>15245</v>
      </c>
      <c r="G7879" s="3" t="s">
        <v>605</v>
      </c>
      <c r="H7879" s="54">
        <v>0</v>
      </c>
      <c r="I7879" s="16">
        <v>470000000</v>
      </c>
      <c r="J7879" s="157" t="s">
        <v>229</v>
      </c>
      <c r="K7879" s="5" t="s">
        <v>8950</v>
      </c>
      <c r="L7879" s="17" t="s">
        <v>11411</v>
      </c>
      <c r="M7879" s="3" t="s">
        <v>230</v>
      </c>
      <c r="N7879" s="6" t="s">
        <v>528</v>
      </c>
      <c r="O7879" s="6" t="s">
        <v>233</v>
      </c>
      <c r="P7879" s="58" t="s">
        <v>241</v>
      </c>
      <c r="Q7879" s="31" t="s">
        <v>234</v>
      </c>
      <c r="R7879" s="3">
        <v>18</v>
      </c>
      <c r="S7879" s="68">
        <v>900</v>
      </c>
      <c r="T7879" s="4">
        <f t="shared" ref="T7879" si="423">R7879*S7879</f>
        <v>16200</v>
      </c>
      <c r="U7879" s="4">
        <f t="shared" si="419"/>
        <v>18144</v>
      </c>
      <c r="V7879" s="3"/>
      <c r="W7879" s="3">
        <v>2014</v>
      </c>
      <c r="X7879" s="3"/>
    </row>
    <row r="7880" spans="1:24" ht="89.25">
      <c r="A7880" s="3" t="s">
        <v>16091</v>
      </c>
      <c r="B7880" s="6" t="s">
        <v>361</v>
      </c>
      <c r="C7880" s="6" t="s">
        <v>15246</v>
      </c>
      <c r="D7880" s="6" t="s">
        <v>15240</v>
      </c>
      <c r="E7880" s="6" t="s">
        <v>15247</v>
      </c>
      <c r="F7880" s="6" t="s">
        <v>15248</v>
      </c>
      <c r="G7880" s="3" t="s">
        <v>11450</v>
      </c>
      <c r="H7880" s="54">
        <v>0</v>
      </c>
      <c r="I7880" s="16">
        <v>470000000</v>
      </c>
      <c r="J7880" s="157" t="s">
        <v>229</v>
      </c>
      <c r="K7880" s="5" t="s">
        <v>14590</v>
      </c>
      <c r="L7880" s="17" t="s">
        <v>11411</v>
      </c>
      <c r="M7880" s="3" t="s">
        <v>230</v>
      </c>
      <c r="N7880" s="6" t="s">
        <v>524</v>
      </c>
      <c r="O7880" s="6" t="s">
        <v>233</v>
      </c>
      <c r="P7880" s="58" t="s">
        <v>241</v>
      </c>
      <c r="Q7880" s="31" t="s">
        <v>234</v>
      </c>
      <c r="R7880" s="3">
        <v>9</v>
      </c>
      <c r="S7880" s="257">
        <v>300</v>
      </c>
      <c r="T7880" s="4">
        <v>0</v>
      </c>
      <c r="U7880" s="4">
        <f t="shared" si="419"/>
        <v>0</v>
      </c>
      <c r="V7880" s="3"/>
      <c r="W7880" s="3">
        <v>2014</v>
      </c>
      <c r="X7880" s="3" t="s">
        <v>17399</v>
      </c>
    </row>
    <row r="7881" spans="1:24" ht="89.25">
      <c r="A7881" s="3" t="s">
        <v>17948</v>
      </c>
      <c r="B7881" s="6" t="s">
        <v>361</v>
      </c>
      <c r="C7881" s="6" t="s">
        <v>15246</v>
      </c>
      <c r="D7881" s="6" t="s">
        <v>15240</v>
      </c>
      <c r="E7881" s="6" t="s">
        <v>15247</v>
      </c>
      <c r="F7881" s="6" t="s">
        <v>15248</v>
      </c>
      <c r="G7881" s="3" t="s">
        <v>605</v>
      </c>
      <c r="H7881" s="54">
        <v>0</v>
      </c>
      <c r="I7881" s="16">
        <v>470000000</v>
      </c>
      <c r="J7881" s="157" t="s">
        <v>229</v>
      </c>
      <c r="K7881" s="5" t="s">
        <v>8950</v>
      </c>
      <c r="L7881" s="17" t="s">
        <v>11411</v>
      </c>
      <c r="M7881" s="3" t="s">
        <v>230</v>
      </c>
      <c r="N7881" s="6" t="s">
        <v>528</v>
      </c>
      <c r="O7881" s="6" t="s">
        <v>233</v>
      </c>
      <c r="P7881" s="58" t="s">
        <v>241</v>
      </c>
      <c r="Q7881" s="31" t="s">
        <v>234</v>
      </c>
      <c r="R7881" s="3">
        <v>9</v>
      </c>
      <c r="S7881" s="257">
        <v>300</v>
      </c>
      <c r="T7881" s="4">
        <f t="shared" ref="T7881" si="424">R7881*S7881</f>
        <v>2700</v>
      </c>
      <c r="U7881" s="4">
        <f t="shared" si="419"/>
        <v>3024.0000000000005</v>
      </c>
      <c r="V7881" s="3"/>
      <c r="W7881" s="3">
        <v>2014</v>
      </c>
      <c r="X7881" s="3"/>
    </row>
    <row r="7882" spans="1:24" ht="89.25">
      <c r="A7882" s="3" t="s">
        <v>16092</v>
      </c>
      <c r="B7882" s="6" t="s">
        <v>361</v>
      </c>
      <c r="C7882" s="6" t="s">
        <v>15249</v>
      </c>
      <c r="D7882" s="6" t="s">
        <v>15250</v>
      </c>
      <c r="E7882" s="6" t="s">
        <v>15251</v>
      </c>
      <c r="F7882" s="6" t="s">
        <v>15252</v>
      </c>
      <c r="G7882" s="3" t="s">
        <v>11450</v>
      </c>
      <c r="H7882" s="54">
        <v>0</v>
      </c>
      <c r="I7882" s="16">
        <v>470000000</v>
      </c>
      <c r="J7882" s="157" t="s">
        <v>229</v>
      </c>
      <c r="K7882" s="5" t="s">
        <v>14590</v>
      </c>
      <c r="L7882" s="17" t="s">
        <v>11411</v>
      </c>
      <c r="M7882" s="3" t="s">
        <v>230</v>
      </c>
      <c r="N7882" s="6" t="s">
        <v>524</v>
      </c>
      <c r="O7882" s="6" t="s">
        <v>233</v>
      </c>
      <c r="P7882" s="58" t="s">
        <v>241</v>
      </c>
      <c r="Q7882" s="31" t="s">
        <v>234</v>
      </c>
      <c r="R7882" s="3">
        <v>31</v>
      </c>
      <c r="S7882" s="59">
        <v>300</v>
      </c>
      <c r="T7882" s="4">
        <v>0</v>
      </c>
      <c r="U7882" s="4">
        <f t="shared" si="419"/>
        <v>0</v>
      </c>
      <c r="V7882" s="3"/>
      <c r="W7882" s="3">
        <v>2014</v>
      </c>
      <c r="X7882" s="3" t="s">
        <v>17399</v>
      </c>
    </row>
    <row r="7883" spans="1:24" ht="89.25">
      <c r="A7883" s="3" t="s">
        <v>17949</v>
      </c>
      <c r="B7883" s="6" t="s">
        <v>361</v>
      </c>
      <c r="C7883" s="6" t="s">
        <v>15249</v>
      </c>
      <c r="D7883" s="6" t="s">
        <v>15250</v>
      </c>
      <c r="E7883" s="6" t="s">
        <v>15251</v>
      </c>
      <c r="F7883" s="6" t="s">
        <v>15252</v>
      </c>
      <c r="G7883" s="3" t="s">
        <v>605</v>
      </c>
      <c r="H7883" s="54">
        <v>0</v>
      </c>
      <c r="I7883" s="16">
        <v>470000000</v>
      </c>
      <c r="J7883" s="157" t="s">
        <v>229</v>
      </c>
      <c r="K7883" s="5" t="s">
        <v>8950</v>
      </c>
      <c r="L7883" s="17" t="s">
        <v>11411</v>
      </c>
      <c r="M7883" s="3" t="s">
        <v>230</v>
      </c>
      <c r="N7883" s="6" t="s">
        <v>528</v>
      </c>
      <c r="O7883" s="6" t="s">
        <v>233</v>
      </c>
      <c r="P7883" s="58" t="s">
        <v>241</v>
      </c>
      <c r="Q7883" s="31" t="s">
        <v>234</v>
      </c>
      <c r="R7883" s="3">
        <v>31</v>
      </c>
      <c r="S7883" s="59">
        <v>300</v>
      </c>
      <c r="T7883" s="4">
        <f t="shared" ref="T7883" si="425">R7883*S7883</f>
        <v>9300</v>
      </c>
      <c r="U7883" s="4">
        <f t="shared" si="419"/>
        <v>10416.000000000002</v>
      </c>
      <c r="V7883" s="3"/>
      <c r="W7883" s="3">
        <v>2014</v>
      </c>
      <c r="X7883" s="3"/>
    </row>
    <row r="7884" spans="1:24" ht="89.25">
      <c r="A7884" s="3" t="s">
        <v>16093</v>
      </c>
      <c r="B7884" s="6" t="s">
        <v>361</v>
      </c>
      <c r="C7884" s="6" t="s">
        <v>3189</v>
      </c>
      <c r="D7884" s="6" t="s">
        <v>3014</v>
      </c>
      <c r="E7884" s="6" t="s">
        <v>3190</v>
      </c>
      <c r="F7884" s="6" t="s">
        <v>15253</v>
      </c>
      <c r="G7884" s="3" t="s">
        <v>11450</v>
      </c>
      <c r="H7884" s="54">
        <v>0</v>
      </c>
      <c r="I7884" s="16">
        <v>470000000</v>
      </c>
      <c r="J7884" s="157" t="s">
        <v>229</v>
      </c>
      <c r="K7884" s="5" t="s">
        <v>14590</v>
      </c>
      <c r="L7884" s="17" t="s">
        <v>11411</v>
      </c>
      <c r="M7884" s="3" t="s">
        <v>230</v>
      </c>
      <c r="N7884" s="6" t="s">
        <v>524</v>
      </c>
      <c r="O7884" s="6" t="s">
        <v>233</v>
      </c>
      <c r="P7884" s="58" t="s">
        <v>241</v>
      </c>
      <c r="Q7884" s="31" t="s">
        <v>234</v>
      </c>
      <c r="R7884" s="3">
        <v>7</v>
      </c>
      <c r="S7884" s="59">
        <v>107568</v>
      </c>
      <c r="T7884" s="4">
        <v>0</v>
      </c>
      <c r="U7884" s="4">
        <f t="shared" si="419"/>
        <v>0</v>
      </c>
      <c r="V7884" s="3"/>
      <c r="W7884" s="3">
        <v>2014</v>
      </c>
      <c r="X7884" s="3">
        <v>11.14</v>
      </c>
    </row>
    <row r="7885" spans="1:24" ht="89.25">
      <c r="A7885" s="3" t="s">
        <v>17817</v>
      </c>
      <c r="B7885" s="6" t="s">
        <v>361</v>
      </c>
      <c r="C7885" s="6" t="s">
        <v>3189</v>
      </c>
      <c r="D7885" s="6" t="s">
        <v>3014</v>
      </c>
      <c r="E7885" s="6" t="s">
        <v>3190</v>
      </c>
      <c r="F7885" s="6" t="s">
        <v>15253</v>
      </c>
      <c r="G7885" s="3" t="s">
        <v>11450</v>
      </c>
      <c r="H7885" s="54">
        <v>0</v>
      </c>
      <c r="I7885" s="16">
        <v>470000000</v>
      </c>
      <c r="J7885" s="157" t="s">
        <v>229</v>
      </c>
      <c r="K7885" s="5" t="s">
        <v>8950</v>
      </c>
      <c r="L7885" s="17" t="s">
        <v>11411</v>
      </c>
      <c r="M7885" s="3" t="s">
        <v>230</v>
      </c>
      <c r="N7885" s="6" t="s">
        <v>528</v>
      </c>
      <c r="O7885" s="6" t="s">
        <v>233</v>
      </c>
      <c r="P7885" s="58" t="s">
        <v>241</v>
      </c>
      <c r="Q7885" s="31" t="s">
        <v>234</v>
      </c>
      <c r="R7885" s="3">
        <v>7</v>
      </c>
      <c r="S7885" s="59">
        <v>107568</v>
      </c>
      <c r="T7885" s="4">
        <f t="shared" ref="T7885" si="426">R7885*S7885</f>
        <v>752976</v>
      </c>
      <c r="U7885" s="4">
        <f t="shared" si="419"/>
        <v>843333.12000000011</v>
      </c>
      <c r="V7885" s="3"/>
      <c r="W7885" s="3">
        <v>2014</v>
      </c>
      <c r="X7885" s="3"/>
    </row>
    <row r="7886" spans="1:24" ht="89.25">
      <c r="A7886" s="3" t="s">
        <v>16094</v>
      </c>
      <c r="B7886" s="6" t="s">
        <v>361</v>
      </c>
      <c r="C7886" s="6" t="s">
        <v>3189</v>
      </c>
      <c r="D7886" s="6" t="s">
        <v>3014</v>
      </c>
      <c r="E7886" s="6" t="s">
        <v>3190</v>
      </c>
      <c r="F7886" s="6" t="s">
        <v>15254</v>
      </c>
      <c r="G7886" s="3" t="s">
        <v>11450</v>
      </c>
      <c r="H7886" s="54">
        <v>0</v>
      </c>
      <c r="I7886" s="16">
        <v>470000000</v>
      </c>
      <c r="J7886" s="157" t="s">
        <v>229</v>
      </c>
      <c r="K7886" s="5" t="s">
        <v>14590</v>
      </c>
      <c r="L7886" s="17" t="s">
        <v>11411</v>
      </c>
      <c r="M7886" s="3" t="s">
        <v>230</v>
      </c>
      <c r="N7886" s="6" t="s">
        <v>524</v>
      </c>
      <c r="O7886" s="6" t="s">
        <v>233</v>
      </c>
      <c r="P7886" s="58" t="s">
        <v>241</v>
      </c>
      <c r="Q7886" s="31" t="s">
        <v>234</v>
      </c>
      <c r="R7886" s="3">
        <v>20</v>
      </c>
      <c r="S7886" s="59">
        <v>65484</v>
      </c>
      <c r="T7886" s="4">
        <v>0</v>
      </c>
      <c r="U7886" s="4">
        <f t="shared" si="419"/>
        <v>0</v>
      </c>
      <c r="V7886" s="3"/>
      <c r="W7886" s="3">
        <v>2014</v>
      </c>
      <c r="X7886" s="3">
        <v>11.14</v>
      </c>
    </row>
    <row r="7887" spans="1:24" ht="89.25">
      <c r="A7887" s="3" t="s">
        <v>17818</v>
      </c>
      <c r="B7887" s="6" t="s">
        <v>361</v>
      </c>
      <c r="C7887" s="6" t="s">
        <v>3189</v>
      </c>
      <c r="D7887" s="6" t="s">
        <v>3014</v>
      </c>
      <c r="E7887" s="6" t="s">
        <v>3190</v>
      </c>
      <c r="F7887" s="6" t="s">
        <v>15254</v>
      </c>
      <c r="G7887" s="3" t="s">
        <v>11450</v>
      </c>
      <c r="H7887" s="54">
        <v>0</v>
      </c>
      <c r="I7887" s="16">
        <v>470000000</v>
      </c>
      <c r="J7887" s="157" t="s">
        <v>229</v>
      </c>
      <c r="K7887" s="5" t="s">
        <v>8950</v>
      </c>
      <c r="L7887" s="17" t="s">
        <v>11411</v>
      </c>
      <c r="M7887" s="3" t="s">
        <v>230</v>
      </c>
      <c r="N7887" s="6" t="s">
        <v>528</v>
      </c>
      <c r="O7887" s="6" t="s">
        <v>233</v>
      </c>
      <c r="P7887" s="58" t="s">
        <v>241</v>
      </c>
      <c r="Q7887" s="31" t="s">
        <v>234</v>
      </c>
      <c r="R7887" s="3">
        <v>20</v>
      </c>
      <c r="S7887" s="59">
        <v>65484</v>
      </c>
      <c r="T7887" s="4">
        <f t="shared" ref="T7887" si="427">R7887*S7887</f>
        <v>1309680</v>
      </c>
      <c r="U7887" s="4">
        <f t="shared" si="419"/>
        <v>1466841.6</v>
      </c>
      <c r="V7887" s="3"/>
      <c r="W7887" s="3">
        <v>2014</v>
      </c>
      <c r="X7887" s="3"/>
    </row>
    <row r="7888" spans="1:24" ht="89.25">
      <c r="A7888" s="3" t="s">
        <v>16095</v>
      </c>
      <c r="B7888" s="6" t="s">
        <v>361</v>
      </c>
      <c r="C7888" s="6" t="s">
        <v>3189</v>
      </c>
      <c r="D7888" s="6" t="s">
        <v>3014</v>
      </c>
      <c r="E7888" s="6" t="s">
        <v>3190</v>
      </c>
      <c r="F7888" s="6" t="s">
        <v>15255</v>
      </c>
      <c r="G7888" s="3" t="s">
        <v>11450</v>
      </c>
      <c r="H7888" s="54">
        <v>0</v>
      </c>
      <c r="I7888" s="16">
        <v>470000000</v>
      </c>
      <c r="J7888" s="157" t="s">
        <v>229</v>
      </c>
      <c r="K7888" s="5" t="s">
        <v>14590</v>
      </c>
      <c r="L7888" s="17" t="s">
        <v>11411</v>
      </c>
      <c r="M7888" s="3" t="s">
        <v>230</v>
      </c>
      <c r="N7888" s="6" t="s">
        <v>524</v>
      </c>
      <c r="O7888" s="6" t="s">
        <v>233</v>
      </c>
      <c r="P7888" s="58" t="s">
        <v>241</v>
      </c>
      <c r="Q7888" s="31" t="s">
        <v>234</v>
      </c>
      <c r="R7888" s="3">
        <v>5</v>
      </c>
      <c r="S7888" s="59">
        <v>30180</v>
      </c>
      <c r="T7888" s="4">
        <v>0</v>
      </c>
      <c r="U7888" s="4">
        <f t="shared" si="419"/>
        <v>0</v>
      </c>
      <c r="V7888" s="3"/>
      <c r="W7888" s="3">
        <v>2014</v>
      </c>
      <c r="X7888" s="3">
        <v>11.14</v>
      </c>
    </row>
    <row r="7889" spans="1:24" ht="89.25">
      <c r="A7889" s="3" t="s">
        <v>17486</v>
      </c>
      <c r="B7889" s="6" t="s">
        <v>361</v>
      </c>
      <c r="C7889" s="6" t="s">
        <v>3189</v>
      </c>
      <c r="D7889" s="6" t="s">
        <v>3014</v>
      </c>
      <c r="E7889" s="6" t="s">
        <v>3190</v>
      </c>
      <c r="F7889" s="6" t="s">
        <v>15255</v>
      </c>
      <c r="G7889" s="3" t="s">
        <v>11450</v>
      </c>
      <c r="H7889" s="54">
        <v>0</v>
      </c>
      <c r="I7889" s="16">
        <v>470000000</v>
      </c>
      <c r="J7889" s="157" t="s">
        <v>229</v>
      </c>
      <c r="K7889" s="5" t="s">
        <v>8950</v>
      </c>
      <c r="L7889" s="17" t="s">
        <v>11411</v>
      </c>
      <c r="M7889" s="3" t="s">
        <v>230</v>
      </c>
      <c r="N7889" s="6" t="s">
        <v>528</v>
      </c>
      <c r="O7889" s="6" t="s">
        <v>233</v>
      </c>
      <c r="P7889" s="58" t="s">
        <v>241</v>
      </c>
      <c r="Q7889" s="31" t="s">
        <v>234</v>
      </c>
      <c r="R7889" s="3">
        <v>5</v>
      </c>
      <c r="S7889" s="59">
        <v>30180</v>
      </c>
      <c r="T7889" s="4">
        <f t="shared" ref="T7889" si="428">R7889*S7889</f>
        <v>150900</v>
      </c>
      <c r="U7889" s="4">
        <f t="shared" si="419"/>
        <v>169008.00000000003</v>
      </c>
      <c r="V7889" s="3"/>
      <c r="W7889" s="3">
        <v>2014</v>
      </c>
      <c r="X7889" s="3"/>
    </row>
    <row r="7890" spans="1:24" ht="89.25">
      <c r="A7890" s="3" t="s">
        <v>16096</v>
      </c>
      <c r="B7890" s="6" t="s">
        <v>361</v>
      </c>
      <c r="C7890" s="6" t="s">
        <v>3189</v>
      </c>
      <c r="D7890" s="6" t="s">
        <v>3014</v>
      </c>
      <c r="E7890" s="6" t="s">
        <v>3190</v>
      </c>
      <c r="F7890" s="6" t="s">
        <v>15256</v>
      </c>
      <c r="G7890" s="3" t="s">
        <v>11450</v>
      </c>
      <c r="H7890" s="54">
        <v>0</v>
      </c>
      <c r="I7890" s="16">
        <v>470000000</v>
      </c>
      <c r="J7890" s="157" t="s">
        <v>229</v>
      </c>
      <c r="K7890" s="5" t="s">
        <v>14590</v>
      </c>
      <c r="L7890" s="17" t="s">
        <v>11411</v>
      </c>
      <c r="M7890" s="3" t="s">
        <v>230</v>
      </c>
      <c r="N7890" s="6" t="s">
        <v>524</v>
      </c>
      <c r="O7890" s="6" t="s">
        <v>233</v>
      </c>
      <c r="P7890" s="58" t="s">
        <v>241</v>
      </c>
      <c r="Q7890" s="31" t="s">
        <v>234</v>
      </c>
      <c r="R7890" s="3">
        <v>14</v>
      </c>
      <c r="S7890" s="59">
        <v>19742.399999999998</v>
      </c>
      <c r="T7890" s="4">
        <v>0</v>
      </c>
      <c r="U7890" s="4">
        <f t="shared" si="419"/>
        <v>0</v>
      </c>
      <c r="V7890" s="3"/>
      <c r="W7890" s="3">
        <v>2014</v>
      </c>
      <c r="X7890" s="3">
        <v>11.14</v>
      </c>
    </row>
    <row r="7891" spans="1:24" ht="89.25">
      <c r="A7891" s="3" t="s">
        <v>17821</v>
      </c>
      <c r="B7891" s="6" t="s">
        <v>361</v>
      </c>
      <c r="C7891" s="6" t="s">
        <v>3189</v>
      </c>
      <c r="D7891" s="6" t="s">
        <v>3014</v>
      </c>
      <c r="E7891" s="6" t="s">
        <v>3190</v>
      </c>
      <c r="F7891" s="6" t="s">
        <v>15256</v>
      </c>
      <c r="G7891" s="3" t="s">
        <v>11450</v>
      </c>
      <c r="H7891" s="54">
        <v>0</v>
      </c>
      <c r="I7891" s="16">
        <v>470000000</v>
      </c>
      <c r="J7891" s="157" t="s">
        <v>229</v>
      </c>
      <c r="K7891" s="5" t="s">
        <v>8950</v>
      </c>
      <c r="L7891" s="17" t="s">
        <v>11411</v>
      </c>
      <c r="M7891" s="3" t="s">
        <v>230</v>
      </c>
      <c r="N7891" s="6" t="s">
        <v>528</v>
      </c>
      <c r="O7891" s="6" t="s">
        <v>233</v>
      </c>
      <c r="P7891" s="58" t="s">
        <v>241</v>
      </c>
      <c r="Q7891" s="31" t="s">
        <v>234</v>
      </c>
      <c r="R7891" s="3">
        <v>14</v>
      </c>
      <c r="S7891" s="59">
        <v>19742.399999999998</v>
      </c>
      <c r="T7891" s="4">
        <f t="shared" ref="T7891" si="429">R7891*S7891</f>
        <v>276393.59999999998</v>
      </c>
      <c r="U7891" s="4">
        <f t="shared" si="419"/>
        <v>309560.83199999999</v>
      </c>
      <c r="V7891" s="3"/>
      <c r="W7891" s="3">
        <v>2014</v>
      </c>
      <c r="X7891" s="3"/>
    </row>
    <row r="7892" spans="1:24" ht="89.25">
      <c r="A7892" s="3" t="s">
        <v>16097</v>
      </c>
      <c r="B7892" s="6" t="s">
        <v>361</v>
      </c>
      <c r="C7892" s="6" t="s">
        <v>3189</v>
      </c>
      <c r="D7892" s="6" t="s">
        <v>3014</v>
      </c>
      <c r="E7892" s="6" t="s">
        <v>3190</v>
      </c>
      <c r="F7892" s="6" t="s">
        <v>17822</v>
      </c>
      <c r="G7892" s="3" t="s">
        <v>11450</v>
      </c>
      <c r="H7892" s="54">
        <v>0</v>
      </c>
      <c r="I7892" s="16">
        <v>470000000</v>
      </c>
      <c r="J7892" s="157" t="s">
        <v>229</v>
      </c>
      <c r="K7892" s="5" t="s">
        <v>14590</v>
      </c>
      <c r="L7892" s="17" t="s">
        <v>11411</v>
      </c>
      <c r="M7892" s="3" t="s">
        <v>230</v>
      </c>
      <c r="N7892" s="6" t="s">
        <v>524</v>
      </c>
      <c r="O7892" s="6" t="s">
        <v>233</v>
      </c>
      <c r="P7892" s="58" t="s">
        <v>241</v>
      </c>
      <c r="Q7892" s="31" t="s">
        <v>234</v>
      </c>
      <c r="R7892" s="3">
        <v>4</v>
      </c>
      <c r="S7892" s="59">
        <v>19742</v>
      </c>
      <c r="T7892" s="4">
        <v>0</v>
      </c>
      <c r="U7892" s="4">
        <f t="shared" si="419"/>
        <v>0</v>
      </c>
      <c r="V7892" s="3"/>
      <c r="W7892" s="3">
        <v>2014</v>
      </c>
      <c r="X7892" s="3">
        <v>11.14</v>
      </c>
    </row>
    <row r="7893" spans="1:24" ht="89.25">
      <c r="A7893" s="3" t="s">
        <v>17823</v>
      </c>
      <c r="B7893" s="6" t="s">
        <v>361</v>
      </c>
      <c r="C7893" s="6" t="s">
        <v>3189</v>
      </c>
      <c r="D7893" s="6" t="s">
        <v>3014</v>
      </c>
      <c r="E7893" s="6" t="s">
        <v>3190</v>
      </c>
      <c r="F7893" s="6" t="s">
        <v>17822</v>
      </c>
      <c r="G7893" s="3" t="s">
        <v>11450</v>
      </c>
      <c r="H7893" s="54">
        <v>0</v>
      </c>
      <c r="I7893" s="16">
        <v>470000000</v>
      </c>
      <c r="J7893" s="157" t="s">
        <v>229</v>
      </c>
      <c r="K7893" s="5" t="s">
        <v>8950</v>
      </c>
      <c r="L7893" s="17" t="s">
        <v>11411</v>
      </c>
      <c r="M7893" s="3" t="s">
        <v>230</v>
      </c>
      <c r="N7893" s="6" t="s">
        <v>528</v>
      </c>
      <c r="O7893" s="6" t="s">
        <v>233</v>
      </c>
      <c r="P7893" s="58" t="s">
        <v>241</v>
      </c>
      <c r="Q7893" s="31" t="s">
        <v>234</v>
      </c>
      <c r="R7893" s="3">
        <v>4</v>
      </c>
      <c r="S7893" s="59">
        <v>19742.399999999998</v>
      </c>
      <c r="T7893" s="4">
        <f t="shared" ref="T7893:T7895" si="430">R7893*S7893</f>
        <v>78969.599999999991</v>
      </c>
      <c r="U7893" s="4">
        <f t="shared" si="419"/>
        <v>88445.952000000005</v>
      </c>
      <c r="V7893" s="3"/>
      <c r="W7893" s="3">
        <v>2014</v>
      </c>
      <c r="X7893" s="3"/>
    </row>
    <row r="7894" spans="1:24" ht="89.25">
      <c r="A7894" s="3" t="s">
        <v>16098</v>
      </c>
      <c r="B7894" s="6" t="s">
        <v>361</v>
      </c>
      <c r="C7894" s="6" t="s">
        <v>3189</v>
      </c>
      <c r="D7894" s="6" t="s">
        <v>3014</v>
      </c>
      <c r="E7894" s="6" t="s">
        <v>3190</v>
      </c>
      <c r="F7894" s="6" t="s">
        <v>15257</v>
      </c>
      <c r="G7894" s="3" t="s">
        <v>11450</v>
      </c>
      <c r="H7894" s="54">
        <v>0</v>
      </c>
      <c r="I7894" s="16">
        <v>470000000</v>
      </c>
      <c r="J7894" s="157" t="s">
        <v>229</v>
      </c>
      <c r="K7894" s="5" t="s">
        <v>14590</v>
      </c>
      <c r="L7894" s="17" t="s">
        <v>11411</v>
      </c>
      <c r="M7894" s="3" t="s">
        <v>230</v>
      </c>
      <c r="N7894" s="6" t="s">
        <v>524</v>
      </c>
      <c r="O7894" s="6" t="s">
        <v>233</v>
      </c>
      <c r="P7894" s="58" t="s">
        <v>241</v>
      </c>
      <c r="Q7894" s="31" t="s">
        <v>234</v>
      </c>
      <c r="R7894" s="3">
        <v>0</v>
      </c>
      <c r="S7894" s="59">
        <v>11428.8</v>
      </c>
      <c r="T7894" s="4">
        <f t="shared" si="430"/>
        <v>0</v>
      </c>
      <c r="U7894" s="4">
        <f t="shared" si="419"/>
        <v>0</v>
      </c>
      <c r="V7894" s="3"/>
      <c r="W7894" s="3">
        <v>2014</v>
      </c>
      <c r="X7894" s="3" t="s">
        <v>12076</v>
      </c>
    </row>
    <row r="7895" spans="1:24" ht="89.25">
      <c r="A7895" s="3" t="s">
        <v>16099</v>
      </c>
      <c r="B7895" s="6" t="s">
        <v>361</v>
      </c>
      <c r="C7895" s="6" t="s">
        <v>3189</v>
      </c>
      <c r="D7895" s="6" t="s">
        <v>3014</v>
      </c>
      <c r="E7895" s="6" t="s">
        <v>3190</v>
      </c>
      <c r="F7895" s="6" t="s">
        <v>15258</v>
      </c>
      <c r="G7895" s="3" t="s">
        <v>11450</v>
      </c>
      <c r="H7895" s="54">
        <v>0</v>
      </c>
      <c r="I7895" s="16">
        <v>470000000</v>
      </c>
      <c r="J7895" s="157" t="s">
        <v>229</v>
      </c>
      <c r="K7895" s="5" t="s">
        <v>14590</v>
      </c>
      <c r="L7895" s="17" t="s">
        <v>11411</v>
      </c>
      <c r="M7895" s="3" t="s">
        <v>230</v>
      </c>
      <c r="N7895" s="6" t="s">
        <v>524</v>
      </c>
      <c r="O7895" s="6" t="s">
        <v>233</v>
      </c>
      <c r="P7895" s="58" t="s">
        <v>241</v>
      </c>
      <c r="Q7895" s="31" t="s">
        <v>234</v>
      </c>
      <c r="R7895" s="3">
        <v>4</v>
      </c>
      <c r="S7895" s="59">
        <v>11428.8</v>
      </c>
      <c r="T7895" s="4">
        <f t="shared" si="430"/>
        <v>45715.199999999997</v>
      </c>
      <c r="U7895" s="4">
        <f t="shared" si="419"/>
        <v>51201.024000000005</v>
      </c>
      <c r="V7895" s="3"/>
      <c r="W7895" s="3">
        <v>2014</v>
      </c>
      <c r="X7895" s="3"/>
    </row>
    <row r="7896" spans="1:24" ht="89.25">
      <c r="A7896" s="3" t="s">
        <v>16100</v>
      </c>
      <c r="B7896" s="6" t="s">
        <v>361</v>
      </c>
      <c r="C7896" s="6" t="s">
        <v>3189</v>
      </c>
      <c r="D7896" s="6" t="s">
        <v>3014</v>
      </c>
      <c r="E7896" s="6" t="s">
        <v>3190</v>
      </c>
      <c r="F7896" s="6" t="s">
        <v>15259</v>
      </c>
      <c r="G7896" s="3" t="s">
        <v>11450</v>
      </c>
      <c r="H7896" s="54">
        <v>0</v>
      </c>
      <c r="I7896" s="16">
        <v>470000000</v>
      </c>
      <c r="J7896" s="157" t="s">
        <v>229</v>
      </c>
      <c r="K7896" s="5" t="s">
        <v>14590</v>
      </c>
      <c r="L7896" s="17" t="s">
        <v>11411</v>
      </c>
      <c r="M7896" s="3" t="s">
        <v>230</v>
      </c>
      <c r="N7896" s="6" t="s">
        <v>524</v>
      </c>
      <c r="O7896" s="6" t="s">
        <v>233</v>
      </c>
      <c r="P7896" s="58" t="s">
        <v>241</v>
      </c>
      <c r="Q7896" s="31" t="s">
        <v>234</v>
      </c>
      <c r="R7896" s="3">
        <v>149</v>
      </c>
      <c r="S7896" s="59">
        <v>5972.4</v>
      </c>
      <c r="T7896" s="4">
        <v>0</v>
      </c>
      <c r="U7896" s="4">
        <f t="shared" si="419"/>
        <v>0</v>
      </c>
      <c r="V7896" s="3"/>
      <c r="W7896" s="3">
        <v>2014</v>
      </c>
      <c r="X7896" s="3">
        <v>11.14</v>
      </c>
    </row>
    <row r="7897" spans="1:24" ht="89.25">
      <c r="A7897" s="3" t="s">
        <v>17829</v>
      </c>
      <c r="B7897" s="6" t="s">
        <v>361</v>
      </c>
      <c r="C7897" s="6" t="s">
        <v>3189</v>
      </c>
      <c r="D7897" s="6" t="s">
        <v>3014</v>
      </c>
      <c r="E7897" s="6" t="s">
        <v>3190</v>
      </c>
      <c r="F7897" s="6" t="s">
        <v>15259</v>
      </c>
      <c r="G7897" s="3" t="s">
        <v>11450</v>
      </c>
      <c r="H7897" s="54">
        <v>0</v>
      </c>
      <c r="I7897" s="16">
        <v>470000000</v>
      </c>
      <c r="J7897" s="157" t="s">
        <v>229</v>
      </c>
      <c r="K7897" s="5" t="s">
        <v>8950</v>
      </c>
      <c r="L7897" s="17" t="s">
        <v>11411</v>
      </c>
      <c r="M7897" s="3" t="s">
        <v>230</v>
      </c>
      <c r="N7897" s="6" t="s">
        <v>528</v>
      </c>
      <c r="O7897" s="6" t="s">
        <v>233</v>
      </c>
      <c r="P7897" s="58" t="s">
        <v>241</v>
      </c>
      <c r="Q7897" s="31" t="s">
        <v>234</v>
      </c>
      <c r="R7897" s="3">
        <v>149</v>
      </c>
      <c r="S7897" s="59">
        <v>5972.4</v>
      </c>
      <c r="T7897" s="4">
        <f t="shared" ref="T7897" si="431">R7897*S7897</f>
        <v>889887.6</v>
      </c>
      <c r="U7897" s="4">
        <f t="shared" si="419"/>
        <v>996674.11200000008</v>
      </c>
      <c r="V7897" s="3"/>
      <c r="W7897" s="3">
        <v>2014</v>
      </c>
      <c r="X7897" s="3"/>
    </row>
    <row r="7898" spans="1:24" ht="89.25">
      <c r="A7898" s="3" t="s">
        <v>16101</v>
      </c>
      <c r="B7898" s="6" t="s">
        <v>361</v>
      </c>
      <c r="C7898" s="6" t="s">
        <v>3189</v>
      </c>
      <c r="D7898" s="6" t="s">
        <v>3014</v>
      </c>
      <c r="E7898" s="6" t="s">
        <v>3190</v>
      </c>
      <c r="F7898" s="6" t="s">
        <v>15260</v>
      </c>
      <c r="G7898" s="3" t="s">
        <v>11450</v>
      </c>
      <c r="H7898" s="54">
        <v>0</v>
      </c>
      <c r="I7898" s="16">
        <v>470000000</v>
      </c>
      <c r="J7898" s="157" t="s">
        <v>229</v>
      </c>
      <c r="K7898" s="5" t="s">
        <v>14590</v>
      </c>
      <c r="L7898" s="17" t="s">
        <v>11411</v>
      </c>
      <c r="M7898" s="3" t="s">
        <v>230</v>
      </c>
      <c r="N7898" s="6" t="s">
        <v>524</v>
      </c>
      <c r="O7898" s="6" t="s">
        <v>233</v>
      </c>
      <c r="P7898" s="58" t="s">
        <v>241</v>
      </c>
      <c r="Q7898" s="31" t="s">
        <v>234</v>
      </c>
      <c r="R7898" s="3">
        <v>66</v>
      </c>
      <c r="S7898" s="59">
        <v>6875</v>
      </c>
      <c r="T7898" s="4">
        <v>0</v>
      </c>
      <c r="U7898" s="4">
        <f t="shared" si="419"/>
        <v>0</v>
      </c>
      <c r="V7898" s="3"/>
      <c r="W7898" s="3">
        <v>2014</v>
      </c>
      <c r="X7898" s="3" t="s">
        <v>16521</v>
      </c>
    </row>
    <row r="7899" spans="1:24" ht="89.25">
      <c r="A7899" s="3" t="s">
        <v>17831</v>
      </c>
      <c r="B7899" s="6" t="s">
        <v>361</v>
      </c>
      <c r="C7899" s="6" t="s">
        <v>3189</v>
      </c>
      <c r="D7899" s="6" t="s">
        <v>3014</v>
      </c>
      <c r="E7899" s="6" t="s">
        <v>3190</v>
      </c>
      <c r="F7899" s="6" t="s">
        <v>15260</v>
      </c>
      <c r="G7899" s="3" t="s">
        <v>11450</v>
      </c>
      <c r="H7899" s="54">
        <v>0</v>
      </c>
      <c r="I7899" s="16">
        <v>470000000</v>
      </c>
      <c r="J7899" s="157" t="s">
        <v>229</v>
      </c>
      <c r="K7899" s="5" t="s">
        <v>8950</v>
      </c>
      <c r="L7899" s="17" t="s">
        <v>11411</v>
      </c>
      <c r="M7899" s="3" t="s">
        <v>230</v>
      </c>
      <c r="N7899" s="6" t="s">
        <v>528</v>
      </c>
      <c r="O7899" s="6" t="s">
        <v>233</v>
      </c>
      <c r="P7899" s="58" t="s">
        <v>241</v>
      </c>
      <c r="Q7899" s="31" t="s">
        <v>234</v>
      </c>
      <c r="R7899" s="3">
        <v>66</v>
      </c>
      <c r="S7899" s="59">
        <v>6874.8</v>
      </c>
      <c r="T7899" s="4">
        <f t="shared" ref="T7899" si="432">R7899*S7899</f>
        <v>453736.8</v>
      </c>
      <c r="U7899" s="4">
        <f t="shared" si="419"/>
        <v>508185.21600000001</v>
      </c>
      <c r="V7899" s="3"/>
      <c r="W7899" s="3">
        <v>2014</v>
      </c>
      <c r="X7899" s="3"/>
    </row>
    <row r="7900" spans="1:24" ht="89.25">
      <c r="A7900" s="3" t="s">
        <v>16102</v>
      </c>
      <c r="B7900" s="6" t="s">
        <v>361</v>
      </c>
      <c r="C7900" s="6" t="s">
        <v>3189</v>
      </c>
      <c r="D7900" s="6" t="s">
        <v>3014</v>
      </c>
      <c r="E7900" s="6" t="s">
        <v>3190</v>
      </c>
      <c r="F7900" s="6" t="s">
        <v>15261</v>
      </c>
      <c r="G7900" s="3" t="s">
        <v>11450</v>
      </c>
      <c r="H7900" s="54">
        <v>0</v>
      </c>
      <c r="I7900" s="16">
        <v>470000000</v>
      </c>
      <c r="J7900" s="157" t="s">
        <v>229</v>
      </c>
      <c r="K7900" s="5" t="s">
        <v>14590</v>
      </c>
      <c r="L7900" s="17" t="s">
        <v>11411</v>
      </c>
      <c r="M7900" s="3" t="s">
        <v>230</v>
      </c>
      <c r="N7900" s="6" t="s">
        <v>524</v>
      </c>
      <c r="O7900" s="6" t="s">
        <v>233</v>
      </c>
      <c r="P7900" s="58" t="s">
        <v>241</v>
      </c>
      <c r="Q7900" s="31" t="s">
        <v>234</v>
      </c>
      <c r="R7900" s="3">
        <v>39</v>
      </c>
      <c r="S7900" s="59">
        <v>2896.8</v>
      </c>
      <c r="T7900" s="4">
        <v>0</v>
      </c>
      <c r="U7900" s="4">
        <f t="shared" si="419"/>
        <v>0</v>
      </c>
      <c r="V7900" s="3"/>
      <c r="W7900" s="3">
        <v>2014</v>
      </c>
      <c r="X7900" s="3">
        <v>11.14</v>
      </c>
    </row>
    <row r="7901" spans="1:24" ht="89.25">
      <c r="A7901" s="3" t="s">
        <v>17834</v>
      </c>
      <c r="B7901" s="6" t="s">
        <v>361</v>
      </c>
      <c r="C7901" s="6" t="s">
        <v>3189</v>
      </c>
      <c r="D7901" s="6" t="s">
        <v>3014</v>
      </c>
      <c r="E7901" s="6" t="s">
        <v>3190</v>
      </c>
      <c r="F7901" s="6" t="s">
        <v>15261</v>
      </c>
      <c r="G7901" s="3" t="s">
        <v>11450</v>
      </c>
      <c r="H7901" s="54">
        <v>0</v>
      </c>
      <c r="I7901" s="16">
        <v>470000000</v>
      </c>
      <c r="J7901" s="157" t="s">
        <v>229</v>
      </c>
      <c r="K7901" s="5" t="s">
        <v>8950</v>
      </c>
      <c r="L7901" s="17" t="s">
        <v>11411</v>
      </c>
      <c r="M7901" s="3" t="s">
        <v>230</v>
      </c>
      <c r="N7901" s="6" t="s">
        <v>528</v>
      </c>
      <c r="O7901" s="6" t="s">
        <v>233</v>
      </c>
      <c r="P7901" s="58" t="s">
        <v>241</v>
      </c>
      <c r="Q7901" s="31" t="s">
        <v>234</v>
      </c>
      <c r="R7901" s="3">
        <v>39</v>
      </c>
      <c r="S7901" s="59">
        <v>2896.7999999999997</v>
      </c>
      <c r="T7901" s="4">
        <f t="shared" ref="T7901" si="433">R7901*S7901</f>
        <v>112975.19999999998</v>
      </c>
      <c r="U7901" s="4">
        <f t="shared" si="419"/>
        <v>126532.22399999999</v>
      </c>
      <c r="V7901" s="3"/>
      <c r="W7901" s="3">
        <v>2014</v>
      </c>
      <c r="X7901" s="3"/>
    </row>
    <row r="7902" spans="1:24" ht="89.25">
      <c r="A7902" s="3" t="s">
        <v>16103</v>
      </c>
      <c r="B7902" s="6" t="s">
        <v>361</v>
      </c>
      <c r="C7902" s="6" t="s">
        <v>3189</v>
      </c>
      <c r="D7902" s="6" t="s">
        <v>3014</v>
      </c>
      <c r="E7902" s="6" t="s">
        <v>3190</v>
      </c>
      <c r="F7902" s="6" t="s">
        <v>15262</v>
      </c>
      <c r="G7902" s="3" t="s">
        <v>11450</v>
      </c>
      <c r="H7902" s="54">
        <v>0</v>
      </c>
      <c r="I7902" s="16">
        <v>470000000</v>
      </c>
      <c r="J7902" s="157" t="s">
        <v>229</v>
      </c>
      <c r="K7902" s="5" t="s">
        <v>14590</v>
      </c>
      <c r="L7902" s="17" t="s">
        <v>11411</v>
      </c>
      <c r="M7902" s="3" t="s">
        <v>230</v>
      </c>
      <c r="N7902" s="6" t="s">
        <v>524</v>
      </c>
      <c r="O7902" s="6" t="s">
        <v>233</v>
      </c>
      <c r="P7902" s="58" t="s">
        <v>241</v>
      </c>
      <c r="Q7902" s="31" t="s">
        <v>234</v>
      </c>
      <c r="R7902" s="3">
        <v>16</v>
      </c>
      <c r="S7902" s="59">
        <v>2896.8</v>
      </c>
      <c r="T7902" s="4">
        <v>0</v>
      </c>
      <c r="U7902" s="4">
        <f t="shared" si="419"/>
        <v>0</v>
      </c>
      <c r="V7902" s="3"/>
      <c r="W7902" s="3">
        <v>2014</v>
      </c>
      <c r="X7902" s="3">
        <v>11.14</v>
      </c>
    </row>
    <row r="7903" spans="1:24" ht="89.25">
      <c r="A7903" s="3" t="s">
        <v>17835</v>
      </c>
      <c r="B7903" s="6" t="s">
        <v>361</v>
      </c>
      <c r="C7903" s="6" t="s">
        <v>3189</v>
      </c>
      <c r="D7903" s="6" t="s">
        <v>3014</v>
      </c>
      <c r="E7903" s="6" t="s">
        <v>3190</v>
      </c>
      <c r="F7903" s="6" t="s">
        <v>15262</v>
      </c>
      <c r="G7903" s="3" t="s">
        <v>11450</v>
      </c>
      <c r="H7903" s="54">
        <v>0</v>
      </c>
      <c r="I7903" s="16">
        <v>470000000</v>
      </c>
      <c r="J7903" s="157" t="s">
        <v>229</v>
      </c>
      <c r="K7903" s="5" t="s">
        <v>8950</v>
      </c>
      <c r="L7903" s="17" t="s">
        <v>11411</v>
      </c>
      <c r="M7903" s="3" t="s">
        <v>230</v>
      </c>
      <c r="N7903" s="6" t="s">
        <v>528</v>
      </c>
      <c r="O7903" s="6" t="s">
        <v>233</v>
      </c>
      <c r="P7903" s="58" t="s">
        <v>241</v>
      </c>
      <c r="Q7903" s="31" t="s">
        <v>234</v>
      </c>
      <c r="R7903" s="3">
        <v>16</v>
      </c>
      <c r="S7903" s="59">
        <v>2896.7999999999997</v>
      </c>
      <c r="T7903" s="4">
        <f t="shared" ref="T7903" si="434">R7903*S7903</f>
        <v>46348.799999999996</v>
      </c>
      <c r="U7903" s="4">
        <f t="shared" si="419"/>
        <v>51910.656000000003</v>
      </c>
      <c r="V7903" s="3"/>
      <c r="W7903" s="3">
        <v>2014</v>
      </c>
      <c r="X7903" s="3"/>
    </row>
    <row r="7904" spans="1:24" ht="89.25">
      <c r="A7904" s="3" t="s">
        <v>16104</v>
      </c>
      <c r="B7904" s="6" t="s">
        <v>361</v>
      </c>
      <c r="C7904" s="6" t="s">
        <v>3189</v>
      </c>
      <c r="D7904" s="6" t="s">
        <v>3014</v>
      </c>
      <c r="E7904" s="6" t="s">
        <v>3190</v>
      </c>
      <c r="F7904" s="6" t="s">
        <v>15263</v>
      </c>
      <c r="G7904" s="3" t="s">
        <v>11450</v>
      </c>
      <c r="H7904" s="54">
        <v>0</v>
      </c>
      <c r="I7904" s="16">
        <v>470000000</v>
      </c>
      <c r="J7904" s="157" t="s">
        <v>229</v>
      </c>
      <c r="K7904" s="5" t="s">
        <v>14590</v>
      </c>
      <c r="L7904" s="17" t="s">
        <v>11411</v>
      </c>
      <c r="M7904" s="3" t="s">
        <v>230</v>
      </c>
      <c r="N7904" s="6" t="s">
        <v>524</v>
      </c>
      <c r="O7904" s="6" t="s">
        <v>233</v>
      </c>
      <c r="P7904" s="58" t="s">
        <v>241</v>
      </c>
      <c r="Q7904" s="31" t="s">
        <v>234</v>
      </c>
      <c r="R7904" s="3">
        <v>80</v>
      </c>
      <c r="S7904" s="59">
        <v>2896.8</v>
      </c>
      <c r="T7904" s="4">
        <v>0</v>
      </c>
      <c r="U7904" s="4">
        <f t="shared" si="419"/>
        <v>0</v>
      </c>
      <c r="V7904" s="3"/>
      <c r="W7904" s="3">
        <v>2014</v>
      </c>
      <c r="X7904" s="3">
        <v>11.14</v>
      </c>
    </row>
    <row r="7905" spans="1:24" ht="89.25">
      <c r="A7905" s="3" t="s">
        <v>17836</v>
      </c>
      <c r="B7905" s="6" t="s">
        <v>361</v>
      </c>
      <c r="C7905" s="6" t="s">
        <v>3189</v>
      </c>
      <c r="D7905" s="6" t="s">
        <v>3014</v>
      </c>
      <c r="E7905" s="6" t="s">
        <v>3190</v>
      </c>
      <c r="F7905" s="6" t="s">
        <v>15263</v>
      </c>
      <c r="G7905" s="3" t="s">
        <v>11450</v>
      </c>
      <c r="H7905" s="54">
        <v>0</v>
      </c>
      <c r="I7905" s="16">
        <v>470000000</v>
      </c>
      <c r="J7905" s="157" t="s">
        <v>229</v>
      </c>
      <c r="K7905" s="5" t="s">
        <v>8950</v>
      </c>
      <c r="L7905" s="17" t="s">
        <v>11411</v>
      </c>
      <c r="M7905" s="3" t="s">
        <v>230</v>
      </c>
      <c r="N7905" s="6" t="s">
        <v>521</v>
      </c>
      <c r="O7905" s="6" t="s">
        <v>233</v>
      </c>
      <c r="P7905" s="58" t="s">
        <v>241</v>
      </c>
      <c r="Q7905" s="31" t="s">
        <v>234</v>
      </c>
      <c r="R7905" s="3">
        <v>80</v>
      </c>
      <c r="S7905" s="59">
        <v>2896.7999999999997</v>
      </c>
      <c r="T7905" s="4">
        <f t="shared" ref="T7905" si="435">R7905*S7905</f>
        <v>231743.99999999997</v>
      </c>
      <c r="U7905" s="4">
        <f t="shared" si="419"/>
        <v>259553.28</v>
      </c>
      <c r="V7905" s="3"/>
      <c r="W7905" s="3">
        <v>2014</v>
      </c>
      <c r="X7905" s="3"/>
    </row>
    <row r="7906" spans="1:24" ht="89.25">
      <c r="A7906" s="3" t="s">
        <v>16105</v>
      </c>
      <c r="B7906" s="6" t="s">
        <v>361</v>
      </c>
      <c r="C7906" s="6" t="s">
        <v>3189</v>
      </c>
      <c r="D7906" s="6" t="s">
        <v>3014</v>
      </c>
      <c r="E7906" s="6" t="s">
        <v>3190</v>
      </c>
      <c r="F7906" s="6" t="s">
        <v>15264</v>
      </c>
      <c r="G7906" s="3" t="s">
        <v>11450</v>
      </c>
      <c r="H7906" s="54">
        <v>0</v>
      </c>
      <c r="I7906" s="16">
        <v>470000000</v>
      </c>
      <c r="J7906" s="157" t="s">
        <v>229</v>
      </c>
      <c r="K7906" s="5" t="s">
        <v>14590</v>
      </c>
      <c r="L7906" s="17" t="s">
        <v>11411</v>
      </c>
      <c r="M7906" s="3" t="s">
        <v>230</v>
      </c>
      <c r="N7906" s="6" t="s">
        <v>524</v>
      </c>
      <c r="O7906" s="6" t="s">
        <v>233</v>
      </c>
      <c r="P7906" s="58" t="s">
        <v>241</v>
      </c>
      <c r="Q7906" s="31" t="s">
        <v>234</v>
      </c>
      <c r="R7906" s="3">
        <v>266</v>
      </c>
      <c r="S7906" s="59">
        <v>2896.8</v>
      </c>
      <c r="T7906" s="4">
        <v>0</v>
      </c>
      <c r="U7906" s="4">
        <f t="shared" si="419"/>
        <v>0</v>
      </c>
      <c r="V7906" s="3"/>
      <c r="W7906" s="3">
        <v>2014</v>
      </c>
      <c r="X7906" s="3">
        <v>11.14</v>
      </c>
    </row>
    <row r="7907" spans="1:24" ht="89.25">
      <c r="A7907" s="3" t="s">
        <v>17837</v>
      </c>
      <c r="B7907" s="6" t="s">
        <v>361</v>
      </c>
      <c r="C7907" s="6" t="s">
        <v>3189</v>
      </c>
      <c r="D7907" s="6" t="s">
        <v>3014</v>
      </c>
      <c r="E7907" s="6" t="s">
        <v>3190</v>
      </c>
      <c r="F7907" s="6" t="s">
        <v>15264</v>
      </c>
      <c r="G7907" s="3" t="s">
        <v>11450</v>
      </c>
      <c r="H7907" s="54">
        <v>0</v>
      </c>
      <c r="I7907" s="16">
        <v>470000000</v>
      </c>
      <c r="J7907" s="157" t="s">
        <v>229</v>
      </c>
      <c r="K7907" s="5" t="s">
        <v>8950</v>
      </c>
      <c r="L7907" s="17" t="s">
        <v>11411</v>
      </c>
      <c r="M7907" s="3" t="s">
        <v>230</v>
      </c>
      <c r="N7907" s="6" t="s">
        <v>521</v>
      </c>
      <c r="O7907" s="6" t="s">
        <v>233</v>
      </c>
      <c r="P7907" s="58" t="s">
        <v>241</v>
      </c>
      <c r="Q7907" s="31" t="s">
        <v>234</v>
      </c>
      <c r="R7907" s="3">
        <v>266</v>
      </c>
      <c r="S7907" s="59">
        <v>2896.7999999999997</v>
      </c>
      <c r="T7907" s="4">
        <v>0</v>
      </c>
      <c r="U7907" s="4">
        <f t="shared" si="419"/>
        <v>0</v>
      </c>
      <c r="V7907" s="3"/>
      <c r="W7907" s="3">
        <v>2014</v>
      </c>
      <c r="X7907" s="3" t="s">
        <v>18881</v>
      </c>
    </row>
    <row r="7908" spans="1:24" ht="63.75">
      <c r="A7908" s="3" t="s">
        <v>18882</v>
      </c>
      <c r="B7908" s="6" t="s">
        <v>361</v>
      </c>
      <c r="C7908" s="6" t="s">
        <v>3189</v>
      </c>
      <c r="D7908" s="6" t="s">
        <v>3014</v>
      </c>
      <c r="E7908" s="6" t="s">
        <v>3190</v>
      </c>
      <c r="F7908" s="6" t="s">
        <v>15264</v>
      </c>
      <c r="G7908" s="3" t="s">
        <v>11450</v>
      </c>
      <c r="H7908" s="54">
        <v>0.35</v>
      </c>
      <c r="I7908" s="16">
        <v>470000000</v>
      </c>
      <c r="J7908" s="157" t="s">
        <v>229</v>
      </c>
      <c r="K7908" s="5" t="s">
        <v>18437</v>
      </c>
      <c r="L7908" s="17" t="s">
        <v>11411</v>
      </c>
      <c r="M7908" s="3" t="s">
        <v>230</v>
      </c>
      <c r="N7908" s="6" t="s">
        <v>521</v>
      </c>
      <c r="O7908" s="6" t="s">
        <v>18749</v>
      </c>
      <c r="P7908" s="58" t="s">
        <v>241</v>
      </c>
      <c r="Q7908" s="31" t="s">
        <v>234</v>
      </c>
      <c r="R7908" s="3">
        <v>133</v>
      </c>
      <c r="S7908" s="59">
        <v>2896.7999999999997</v>
      </c>
      <c r="T7908" s="4">
        <f t="shared" ref="T7908" si="436">R7908*S7908</f>
        <v>385274.39999999997</v>
      </c>
      <c r="U7908" s="4">
        <f t="shared" si="419"/>
        <v>431507.32799999998</v>
      </c>
      <c r="V7908" s="3" t="s">
        <v>362</v>
      </c>
      <c r="W7908" s="3">
        <v>2014</v>
      </c>
      <c r="X7908" s="3"/>
    </row>
    <row r="7909" spans="1:24" ht="89.25">
      <c r="A7909" s="3" t="s">
        <v>16106</v>
      </c>
      <c r="B7909" s="6" t="s">
        <v>361</v>
      </c>
      <c r="C7909" s="6" t="s">
        <v>3189</v>
      </c>
      <c r="D7909" s="6" t="s">
        <v>3014</v>
      </c>
      <c r="E7909" s="6" t="s">
        <v>3190</v>
      </c>
      <c r="F7909" s="6" t="s">
        <v>15265</v>
      </c>
      <c r="G7909" s="3" t="s">
        <v>11450</v>
      </c>
      <c r="H7909" s="54">
        <v>0</v>
      </c>
      <c r="I7909" s="16">
        <v>470000000</v>
      </c>
      <c r="J7909" s="157" t="s">
        <v>229</v>
      </c>
      <c r="K7909" s="5" t="s">
        <v>14590</v>
      </c>
      <c r="L7909" s="17" t="s">
        <v>11411</v>
      </c>
      <c r="M7909" s="3" t="s">
        <v>230</v>
      </c>
      <c r="N7909" s="6" t="s">
        <v>524</v>
      </c>
      <c r="O7909" s="6" t="s">
        <v>233</v>
      </c>
      <c r="P7909" s="58" t="s">
        <v>241</v>
      </c>
      <c r="Q7909" s="31" t="s">
        <v>234</v>
      </c>
      <c r="R7909" s="3">
        <v>39</v>
      </c>
      <c r="S7909" s="59">
        <v>1605.6</v>
      </c>
      <c r="T7909" s="4">
        <v>0</v>
      </c>
      <c r="U7909" s="4">
        <f t="shared" si="419"/>
        <v>0</v>
      </c>
      <c r="V7909" s="3"/>
      <c r="W7909" s="3">
        <v>2014</v>
      </c>
      <c r="X7909" s="3">
        <v>11.14</v>
      </c>
    </row>
    <row r="7910" spans="1:24" ht="89.25">
      <c r="A7910" s="3" t="s">
        <v>17838</v>
      </c>
      <c r="B7910" s="6" t="s">
        <v>361</v>
      </c>
      <c r="C7910" s="6" t="s">
        <v>3189</v>
      </c>
      <c r="D7910" s="6" t="s">
        <v>3014</v>
      </c>
      <c r="E7910" s="6" t="s">
        <v>3190</v>
      </c>
      <c r="F7910" s="6" t="s">
        <v>15265</v>
      </c>
      <c r="G7910" s="3" t="s">
        <v>11450</v>
      </c>
      <c r="H7910" s="54">
        <v>0</v>
      </c>
      <c r="I7910" s="16">
        <v>470000000</v>
      </c>
      <c r="J7910" s="157" t="s">
        <v>229</v>
      </c>
      <c r="K7910" s="5" t="s">
        <v>16428</v>
      </c>
      <c r="L7910" s="17" t="s">
        <v>11411</v>
      </c>
      <c r="M7910" s="3" t="s">
        <v>230</v>
      </c>
      <c r="N7910" s="6" t="s">
        <v>528</v>
      </c>
      <c r="O7910" s="6" t="s">
        <v>233</v>
      </c>
      <c r="P7910" s="58" t="s">
        <v>241</v>
      </c>
      <c r="Q7910" s="31" t="s">
        <v>234</v>
      </c>
      <c r="R7910" s="3">
        <v>39</v>
      </c>
      <c r="S7910" s="59">
        <v>1605.6</v>
      </c>
      <c r="T7910" s="4">
        <f t="shared" ref="T7910" si="437">R7910*S7910</f>
        <v>62618.399999999994</v>
      </c>
      <c r="U7910" s="4">
        <f t="shared" si="419"/>
        <v>70132.607999999993</v>
      </c>
      <c r="V7910" s="3"/>
      <c r="W7910" s="3">
        <v>2014</v>
      </c>
      <c r="X7910" s="3"/>
    </row>
    <row r="7911" spans="1:24" ht="89.25">
      <c r="A7911" s="3" t="s">
        <v>16107</v>
      </c>
      <c r="B7911" s="6" t="s">
        <v>361</v>
      </c>
      <c r="C7911" s="6" t="s">
        <v>3189</v>
      </c>
      <c r="D7911" s="6" t="s">
        <v>3014</v>
      </c>
      <c r="E7911" s="6" t="s">
        <v>3190</v>
      </c>
      <c r="F7911" s="6" t="s">
        <v>15266</v>
      </c>
      <c r="G7911" s="3" t="s">
        <v>11450</v>
      </c>
      <c r="H7911" s="54">
        <v>0</v>
      </c>
      <c r="I7911" s="16">
        <v>470000000</v>
      </c>
      <c r="J7911" s="157" t="s">
        <v>229</v>
      </c>
      <c r="K7911" s="5" t="s">
        <v>14590</v>
      </c>
      <c r="L7911" s="17" t="s">
        <v>11411</v>
      </c>
      <c r="M7911" s="3" t="s">
        <v>230</v>
      </c>
      <c r="N7911" s="6" t="s">
        <v>524</v>
      </c>
      <c r="O7911" s="6" t="s">
        <v>233</v>
      </c>
      <c r="P7911" s="58" t="s">
        <v>241</v>
      </c>
      <c r="Q7911" s="31" t="s">
        <v>234</v>
      </c>
      <c r="R7911" s="3">
        <v>5</v>
      </c>
      <c r="S7911" s="59">
        <v>1605.6</v>
      </c>
      <c r="T7911" s="4">
        <v>0</v>
      </c>
      <c r="U7911" s="4">
        <f t="shared" si="419"/>
        <v>0</v>
      </c>
      <c r="V7911" s="3"/>
      <c r="W7911" s="3">
        <v>2014</v>
      </c>
      <c r="X7911" s="3">
        <v>11.14</v>
      </c>
    </row>
    <row r="7912" spans="1:24" ht="89.25">
      <c r="A7912" s="3" t="s">
        <v>17839</v>
      </c>
      <c r="B7912" s="6" t="s">
        <v>361</v>
      </c>
      <c r="C7912" s="6" t="s">
        <v>3189</v>
      </c>
      <c r="D7912" s="6" t="s">
        <v>3014</v>
      </c>
      <c r="E7912" s="6" t="s">
        <v>3190</v>
      </c>
      <c r="F7912" s="6" t="s">
        <v>15266</v>
      </c>
      <c r="G7912" s="3" t="s">
        <v>11450</v>
      </c>
      <c r="H7912" s="54">
        <v>0</v>
      </c>
      <c r="I7912" s="16">
        <v>470000000</v>
      </c>
      <c r="J7912" s="157" t="s">
        <v>229</v>
      </c>
      <c r="K7912" s="5" t="s">
        <v>16428</v>
      </c>
      <c r="L7912" s="17" t="s">
        <v>11411</v>
      </c>
      <c r="M7912" s="3" t="s">
        <v>230</v>
      </c>
      <c r="N7912" s="6" t="s">
        <v>528</v>
      </c>
      <c r="O7912" s="6" t="s">
        <v>233</v>
      </c>
      <c r="P7912" s="58" t="s">
        <v>241</v>
      </c>
      <c r="Q7912" s="31" t="s">
        <v>234</v>
      </c>
      <c r="R7912" s="3">
        <v>5</v>
      </c>
      <c r="S7912" s="59">
        <v>1605.6</v>
      </c>
      <c r="T7912" s="4">
        <f t="shared" ref="T7912" si="438">R7912*S7912</f>
        <v>8028</v>
      </c>
      <c r="U7912" s="4">
        <f t="shared" si="419"/>
        <v>8991.36</v>
      </c>
      <c r="V7912" s="3"/>
      <c r="W7912" s="3">
        <v>2014</v>
      </c>
      <c r="X7912" s="3"/>
    </row>
    <row r="7913" spans="1:24" ht="89.25">
      <c r="A7913" s="3" t="s">
        <v>16108</v>
      </c>
      <c r="B7913" s="6" t="s">
        <v>361</v>
      </c>
      <c r="C7913" s="6" t="s">
        <v>3189</v>
      </c>
      <c r="D7913" s="6" t="s">
        <v>3014</v>
      </c>
      <c r="E7913" s="6" t="s">
        <v>3190</v>
      </c>
      <c r="F7913" s="6" t="s">
        <v>15267</v>
      </c>
      <c r="G7913" s="3" t="s">
        <v>11450</v>
      </c>
      <c r="H7913" s="54">
        <v>0</v>
      </c>
      <c r="I7913" s="16">
        <v>470000000</v>
      </c>
      <c r="J7913" s="157" t="s">
        <v>229</v>
      </c>
      <c r="K7913" s="5" t="s">
        <v>14590</v>
      </c>
      <c r="L7913" s="17" t="s">
        <v>11411</v>
      </c>
      <c r="M7913" s="3" t="s">
        <v>230</v>
      </c>
      <c r="N7913" s="6" t="s">
        <v>524</v>
      </c>
      <c r="O7913" s="6" t="s">
        <v>233</v>
      </c>
      <c r="P7913" s="58" t="s">
        <v>241</v>
      </c>
      <c r="Q7913" s="31" t="s">
        <v>234</v>
      </c>
      <c r="R7913" s="3">
        <v>12</v>
      </c>
      <c r="S7913" s="59">
        <v>1605.6</v>
      </c>
      <c r="T7913" s="4">
        <v>0</v>
      </c>
      <c r="U7913" s="4">
        <f t="shared" si="419"/>
        <v>0</v>
      </c>
      <c r="V7913" s="3"/>
      <c r="W7913" s="3">
        <v>2014</v>
      </c>
      <c r="X7913" s="3">
        <v>11.14</v>
      </c>
    </row>
    <row r="7914" spans="1:24" ht="89.25">
      <c r="A7914" s="3" t="s">
        <v>17840</v>
      </c>
      <c r="B7914" s="6" t="s">
        <v>361</v>
      </c>
      <c r="C7914" s="6" t="s">
        <v>3189</v>
      </c>
      <c r="D7914" s="6" t="s">
        <v>3014</v>
      </c>
      <c r="E7914" s="6" t="s">
        <v>3190</v>
      </c>
      <c r="F7914" s="6" t="s">
        <v>15267</v>
      </c>
      <c r="G7914" s="3" t="s">
        <v>11450</v>
      </c>
      <c r="H7914" s="54">
        <v>0</v>
      </c>
      <c r="I7914" s="16">
        <v>470000000</v>
      </c>
      <c r="J7914" s="157" t="s">
        <v>229</v>
      </c>
      <c r="K7914" s="5" t="s">
        <v>16428</v>
      </c>
      <c r="L7914" s="17" t="s">
        <v>11411</v>
      </c>
      <c r="M7914" s="3" t="s">
        <v>230</v>
      </c>
      <c r="N7914" s="6" t="s">
        <v>528</v>
      </c>
      <c r="O7914" s="6" t="s">
        <v>233</v>
      </c>
      <c r="P7914" s="58" t="s">
        <v>241</v>
      </c>
      <c r="Q7914" s="31" t="s">
        <v>234</v>
      </c>
      <c r="R7914" s="3">
        <v>12</v>
      </c>
      <c r="S7914" s="59">
        <v>1605.6</v>
      </c>
      <c r="T7914" s="4">
        <f t="shared" ref="T7914" si="439">R7914*S7914</f>
        <v>19267.199999999997</v>
      </c>
      <c r="U7914" s="4">
        <f t="shared" si="419"/>
        <v>21579.263999999999</v>
      </c>
      <c r="V7914" s="3"/>
      <c r="W7914" s="3">
        <v>2014</v>
      </c>
      <c r="X7914" s="3"/>
    </row>
    <row r="7915" spans="1:24" ht="89.25">
      <c r="A7915" s="3" t="s">
        <v>16109</v>
      </c>
      <c r="B7915" s="6" t="s">
        <v>361</v>
      </c>
      <c r="C7915" s="6" t="s">
        <v>3189</v>
      </c>
      <c r="D7915" s="6" t="s">
        <v>3014</v>
      </c>
      <c r="E7915" s="6" t="s">
        <v>3190</v>
      </c>
      <c r="F7915" s="6" t="s">
        <v>15268</v>
      </c>
      <c r="G7915" s="3" t="s">
        <v>11450</v>
      </c>
      <c r="H7915" s="54">
        <v>0</v>
      </c>
      <c r="I7915" s="16">
        <v>470000000</v>
      </c>
      <c r="J7915" s="157" t="s">
        <v>229</v>
      </c>
      <c r="K7915" s="5" t="s">
        <v>14590</v>
      </c>
      <c r="L7915" s="17" t="s">
        <v>11411</v>
      </c>
      <c r="M7915" s="3" t="s">
        <v>230</v>
      </c>
      <c r="N7915" s="6" t="s">
        <v>524</v>
      </c>
      <c r="O7915" s="6" t="s">
        <v>233</v>
      </c>
      <c r="P7915" s="58" t="s">
        <v>241</v>
      </c>
      <c r="Q7915" s="31" t="s">
        <v>234</v>
      </c>
      <c r="R7915" s="3">
        <v>24</v>
      </c>
      <c r="S7915" s="59">
        <v>552</v>
      </c>
      <c r="T7915" s="4">
        <v>0</v>
      </c>
      <c r="U7915" s="4">
        <f t="shared" si="419"/>
        <v>0</v>
      </c>
      <c r="V7915" s="3"/>
      <c r="W7915" s="3">
        <v>2014</v>
      </c>
      <c r="X7915" s="3">
        <v>11.14</v>
      </c>
    </row>
    <row r="7916" spans="1:24" ht="89.25">
      <c r="A7916" s="3" t="s">
        <v>17841</v>
      </c>
      <c r="B7916" s="6" t="s">
        <v>361</v>
      </c>
      <c r="C7916" s="6" t="s">
        <v>3189</v>
      </c>
      <c r="D7916" s="6" t="s">
        <v>3014</v>
      </c>
      <c r="E7916" s="6" t="s">
        <v>3190</v>
      </c>
      <c r="F7916" s="6" t="s">
        <v>15268</v>
      </c>
      <c r="G7916" s="3" t="s">
        <v>11450</v>
      </c>
      <c r="H7916" s="54">
        <v>0</v>
      </c>
      <c r="I7916" s="16">
        <v>470000000</v>
      </c>
      <c r="J7916" s="157" t="s">
        <v>229</v>
      </c>
      <c r="K7916" s="5" t="s">
        <v>8950</v>
      </c>
      <c r="L7916" s="17" t="s">
        <v>11411</v>
      </c>
      <c r="M7916" s="3" t="s">
        <v>230</v>
      </c>
      <c r="N7916" s="6" t="s">
        <v>528</v>
      </c>
      <c r="O7916" s="6" t="s">
        <v>233</v>
      </c>
      <c r="P7916" s="58" t="s">
        <v>241</v>
      </c>
      <c r="Q7916" s="31" t="s">
        <v>234</v>
      </c>
      <c r="R7916" s="3">
        <v>24</v>
      </c>
      <c r="S7916" s="59">
        <v>552</v>
      </c>
      <c r="T7916" s="4">
        <f t="shared" ref="T7916" si="440">R7916*S7916</f>
        <v>13248</v>
      </c>
      <c r="U7916" s="4">
        <f t="shared" si="419"/>
        <v>14837.760000000002</v>
      </c>
      <c r="V7916" s="3"/>
      <c r="W7916" s="3">
        <v>2014</v>
      </c>
      <c r="X7916" s="3"/>
    </row>
    <row r="7917" spans="1:24" ht="89.25">
      <c r="A7917" s="3" t="s">
        <v>16110</v>
      </c>
      <c r="B7917" s="6" t="s">
        <v>361</v>
      </c>
      <c r="C7917" s="6" t="s">
        <v>3189</v>
      </c>
      <c r="D7917" s="6" t="s">
        <v>3014</v>
      </c>
      <c r="E7917" s="6" t="s">
        <v>3190</v>
      </c>
      <c r="F7917" s="6" t="s">
        <v>15269</v>
      </c>
      <c r="G7917" s="3" t="s">
        <v>11450</v>
      </c>
      <c r="H7917" s="54">
        <v>0</v>
      </c>
      <c r="I7917" s="16">
        <v>470000000</v>
      </c>
      <c r="J7917" s="157" t="s">
        <v>229</v>
      </c>
      <c r="K7917" s="5" t="s">
        <v>14590</v>
      </c>
      <c r="L7917" s="17" t="s">
        <v>11411</v>
      </c>
      <c r="M7917" s="3" t="s">
        <v>230</v>
      </c>
      <c r="N7917" s="6" t="s">
        <v>524</v>
      </c>
      <c r="O7917" s="6" t="s">
        <v>233</v>
      </c>
      <c r="P7917" s="58" t="s">
        <v>241</v>
      </c>
      <c r="Q7917" s="31" t="s">
        <v>234</v>
      </c>
      <c r="R7917" s="3">
        <v>37</v>
      </c>
      <c r="S7917" s="59">
        <v>552</v>
      </c>
      <c r="T7917" s="4">
        <v>0</v>
      </c>
      <c r="U7917" s="4">
        <f t="shared" si="419"/>
        <v>0</v>
      </c>
      <c r="V7917" s="3"/>
      <c r="W7917" s="3">
        <v>2014</v>
      </c>
      <c r="X7917" s="3">
        <v>11.14</v>
      </c>
    </row>
    <row r="7918" spans="1:24" ht="89.25">
      <c r="A7918" s="3" t="s">
        <v>17842</v>
      </c>
      <c r="B7918" s="6" t="s">
        <v>361</v>
      </c>
      <c r="C7918" s="6" t="s">
        <v>3189</v>
      </c>
      <c r="D7918" s="6" t="s">
        <v>3014</v>
      </c>
      <c r="E7918" s="6" t="s">
        <v>3190</v>
      </c>
      <c r="F7918" s="6" t="s">
        <v>15269</v>
      </c>
      <c r="G7918" s="3" t="s">
        <v>11450</v>
      </c>
      <c r="H7918" s="54">
        <v>0</v>
      </c>
      <c r="I7918" s="16">
        <v>470000000</v>
      </c>
      <c r="J7918" s="157" t="s">
        <v>229</v>
      </c>
      <c r="K7918" s="5" t="s">
        <v>8950</v>
      </c>
      <c r="L7918" s="17" t="s">
        <v>11411</v>
      </c>
      <c r="M7918" s="3" t="s">
        <v>230</v>
      </c>
      <c r="N7918" s="6" t="s">
        <v>528</v>
      </c>
      <c r="O7918" s="6" t="s">
        <v>233</v>
      </c>
      <c r="P7918" s="58" t="s">
        <v>241</v>
      </c>
      <c r="Q7918" s="31" t="s">
        <v>234</v>
      </c>
      <c r="R7918" s="3">
        <v>57</v>
      </c>
      <c r="S7918" s="59">
        <v>552</v>
      </c>
      <c r="T7918" s="4">
        <f t="shared" ref="T7918" si="441">R7918*S7918</f>
        <v>31464</v>
      </c>
      <c r="U7918" s="4">
        <f t="shared" si="419"/>
        <v>35239.68</v>
      </c>
      <c r="V7918" s="3"/>
      <c r="W7918" s="3">
        <v>2014</v>
      </c>
      <c r="X7918" s="3"/>
    </row>
    <row r="7919" spans="1:24" ht="89.25">
      <c r="A7919" s="3" t="s">
        <v>16111</v>
      </c>
      <c r="B7919" s="6" t="s">
        <v>361</v>
      </c>
      <c r="C7919" s="6" t="s">
        <v>3189</v>
      </c>
      <c r="D7919" s="6" t="s">
        <v>3014</v>
      </c>
      <c r="E7919" s="6" t="s">
        <v>3190</v>
      </c>
      <c r="F7919" s="6" t="s">
        <v>15270</v>
      </c>
      <c r="G7919" s="3" t="s">
        <v>11450</v>
      </c>
      <c r="H7919" s="54">
        <v>0</v>
      </c>
      <c r="I7919" s="16">
        <v>470000000</v>
      </c>
      <c r="J7919" s="157" t="s">
        <v>229</v>
      </c>
      <c r="K7919" s="5" t="s">
        <v>14590</v>
      </c>
      <c r="L7919" s="17" t="s">
        <v>11411</v>
      </c>
      <c r="M7919" s="3" t="s">
        <v>230</v>
      </c>
      <c r="N7919" s="6" t="s">
        <v>524</v>
      </c>
      <c r="O7919" s="6" t="s">
        <v>233</v>
      </c>
      <c r="P7919" s="58" t="s">
        <v>241</v>
      </c>
      <c r="Q7919" s="31" t="s">
        <v>234</v>
      </c>
      <c r="R7919" s="3">
        <v>342</v>
      </c>
      <c r="S7919" s="59">
        <v>244</v>
      </c>
      <c r="T7919" s="4">
        <v>0</v>
      </c>
      <c r="U7919" s="4">
        <f t="shared" si="419"/>
        <v>0</v>
      </c>
      <c r="V7919" s="3"/>
      <c r="W7919" s="3">
        <v>2014</v>
      </c>
      <c r="X7919" s="3">
        <v>11.14</v>
      </c>
    </row>
    <row r="7920" spans="1:24" ht="89.25">
      <c r="A7920" s="3" t="s">
        <v>17843</v>
      </c>
      <c r="B7920" s="6" t="s">
        <v>361</v>
      </c>
      <c r="C7920" s="6" t="s">
        <v>3189</v>
      </c>
      <c r="D7920" s="6" t="s">
        <v>3014</v>
      </c>
      <c r="E7920" s="6" t="s">
        <v>3190</v>
      </c>
      <c r="F7920" s="6" t="s">
        <v>15270</v>
      </c>
      <c r="G7920" s="3" t="s">
        <v>11450</v>
      </c>
      <c r="H7920" s="54">
        <v>0</v>
      </c>
      <c r="I7920" s="16">
        <v>470000000</v>
      </c>
      <c r="J7920" s="157" t="s">
        <v>229</v>
      </c>
      <c r="K7920" s="5" t="s">
        <v>8950</v>
      </c>
      <c r="L7920" s="17" t="s">
        <v>11411</v>
      </c>
      <c r="M7920" s="3" t="s">
        <v>230</v>
      </c>
      <c r="N7920" s="6" t="s">
        <v>521</v>
      </c>
      <c r="O7920" s="6" t="s">
        <v>233</v>
      </c>
      <c r="P7920" s="58" t="s">
        <v>241</v>
      </c>
      <c r="Q7920" s="31" t="s">
        <v>234</v>
      </c>
      <c r="R7920" s="3">
        <v>342</v>
      </c>
      <c r="S7920" s="59">
        <v>243.6</v>
      </c>
      <c r="T7920" s="4">
        <f t="shared" ref="T7920" si="442">R7920*S7920</f>
        <v>83311.199999999997</v>
      </c>
      <c r="U7920" s="4">
        <f t="shared" si="419"/>
        <v>93308.544000000009</v>
      </c>
      <c r="V7920" s="3"/>
      <c r="W7920" s="3">
        <v>2014</v>
      </c>
      <c r="X7920" s="3"/>
    </row>
    <row r="7921" spans="1:24" ht="89.25">
      <c r="A7921" s="3" t="s">
        <v>16112</v>
      </c>
      <c r="B7921" s="6" t="s">
        <v>361</v>
      </c>
      <c r="C7921" s="6" t="s">
        <v>3189</v>
      </c>
      <c r="D7921" s="6" t="s">
        <v>3014</v>
      </c>
      <c r="E7921" s="6" t="s">
        <v>3190</v>
      </c>
      <c r="F7921" s="6" t="s">
        <v>15271</v>
      </c>
      <c r="G7921" s="3" t="s">
        <v>11450</v>
      </c>
      <c r="H7921" s="54">
        <v>0</v>
      </c>
      <c r="I7921" s="16">
        <v>470000000</v>
      </c>
      <c r="J7921" s="157" t="s">
        <v>229</v>
      </c>
      <c r="K7921" s="5" t="s">
        <v>14590</v>
      </c>
      <c r="L7921" s="17" t="s">
        <v>11411</v>
      </c>
      <c r="M7921" s="3" t="s">
        <v>230</v>
      </c>
      <c r="N7921" s="6" t="s">
        <v>524</v>
      </c>
      <c r="O7921" s="6" t="s">
        <v>233</v>
      </c>
      <c r="P7921" s="58" t="s">
        <v>241</v>
      </c>
      <c r="Q7921" s="31" t="s">
        <v>234</v>
      </c>
      <c r="R7921" s="3">
        <v>78</v>
      </c>
      <c r="S7921" s="59">
        <v>193</v>
      </c>
      <c r="T7921" s="4">
        <v>0</v>
      </c>
      <c r="U7921" s="4">
        <f t="shared" si="419"/>
        <v>0</v>
      </c>
      <c r="V7921" s="3"/>
      <c r="W7921" s="3">
        <v>2014</v>
      </c>
      <c r="X7921" s="3">
        <v>11.14</v>
      </c>
    </row>
    <row r="7922" spans="1:24" ht="89.25">
      <c r="A7922" s="3" t="s">
        <v>17844</v>
      </c>
      <c r="B7922" s="6" t="s">
        <v>361</v>
      </c>
      <c r="C7922" s="6" t="s">
        <v>3189</v>
      </c>
      <c r="D7922" s="6" t="s">
        <v>3014</v>
      </c>
      <c r="E7922" s="6" t="s">
        <v>3190</v>
      </c>
      <c r="F7922" s="6" t="s">
        <v>15271</v>
      </c>
      <c r="G7922" s="3" t="s">
        <v>11450</v>
      </c>
      <c r="H7922" s="54">
        <v>0</v>
      </c>
      <c r="I7922" s="16">
        <v>470000000</v>
      </c>
      <c r="J7922" s="157" t="s">
        <v>229</v>
      </c>
      <c r="K7922" s="5" t="s">
        <v>8950</v>
      </c>
      <c r="L7922" s="17" t="s">
        <v>11411</v>
      </c>
      <c r="M7922" s="3" t="s">
        <v>230</v>
      </c>
      <c r="N7922" s="6" t="s">
        <v>521</v>
      </c>
      <c r="O7922" s="6" t="s">
        <v>233</v>
      </c>
      <c r="P7922" s="58" t="s">
        <v>241</v>
      </c>
      <c r="Q7922" s="31" t="s">
        <v>234</v>
      </c>
      <c r="R7922" s="3">
        <v>78</v>
      </c>
      <c r="S7922" s="59">
        <v>193</v>
      </c>
      <c r="T7922" s="4">
        <f t="shared" ref="T7922" si="443">R7922*S7922</f>
        <v>15054</v>
      </c>
      <c r="U7922" s="4">
        <f t="shared" si="419"/>
        <v>16860.480000000003</v>
      </c>
      <c r="V7922" s="3"/>
      <c r="W7922" s="3">
        <v>2014</v>
      </c>
      <c r="X7922" s="3"/>
    </row>
    <row r="7923" spans="1:24" ht="89.25">
      <c r="A7923" s="3" t="s">
        <v>16113</v>
      </c>
      <c r="B7923" s="6" t="s">
        <v>361</v>
      </c>
      <c r="C7923" s="6" t="s">
        <v>3189</v>
      </c>
      <c r="D7923" s="6" t="s">
        <v>3014</v>
      </c>
      <c r="E7923" s="6" t="s">
        <v>3190</v>
      </c>
      <c r="F7923" s="6" t="s">
        <v>15272</v>
      </c>
      <c r="G7923" s="3" t="s">
        <v>11450</v>
      </c>
      <c r="H7923" s="54">
        <v>0</v>
      </c>
      <c r="I7923" s="16">
        <v>470000000</v>
      </c>
      <c r="J7923" s="157" t="s">
        <v>229</v>
      </c>
      <c r="K7923" s="5" t="s">
        <v>14590</v>
      </c>
      <c r="L7923" s="17" t="s">
        <v>11411</v>
      </c>
      <c r="M7923" s="3" t="s">
        <v>230</v>
      </c>
      <c r="N7923" s="6" t="s">
        <v>524</v>
      </c>
      <c r="O7923" s="6" t="s">
        <v>233</v>
      </c>
      <c r="P7923" s="58" t="s">
        <v>241</v>
      </c>
      <c r="Q7923" s="31" t="s">
        <v>234</v>
      </c>
      <c r="R7923" s="3">
        <v>72</v>
      </c>
      <c r="S7923" s="59">
        <v>162</v>
      </c>
      <c r="T7923" s="4">
        <v>0</v>
      </c>
      <c r="U7923" s="4">
        <f t="shared" si="419"/>
        <v>0</v>
      </c>
      <c r="V7923" s="3"/>
      <c r="W7923" s="3">
        <v>2014</v>
      </c>
      <c r="X7923" s="3">
        <v>11.14</v>
      </c>
    </row>
    <row r="7924" spans="1:24" ht="89.25">
      <c r="A7924" s="3" t="s">
        <v>17845</v>
      </c>
      <c r="B7924" s="6" t="s">
        <v>361</v>
      </c>
      <c r="C7924" s="6" t="s">
        <v>3189</v>
      </c>
      <c r="D7924" s="6" t="s">
        <v>3014</v>
      </c>
      <c r="E7924" s="6" t="s">
        <v>3190</v>
      </c>
      <c r="F7924" s="6" t="s">
        <v>15272</v>
      </c>
      <c r="G7924" s="3" t="s">
        <v>11450</v>
      </c>
      <c r="H7924" s="54">
        <v>0</v>
      </c>
      <c r="I7924" s="16">
        <v>470000000</v>
      </c>
      <c r="J7924" s="157" t="s">
        <v>229</v>
      </c>
      <c r="K7924" s="5" t="s">
        <v>8950</v>
      </c>
      <c r="L7924" s="17" t="s">
        <v>11411</v>
      </c>
      <c r="M7924" s="3" t="s">
        <v>230</v>
      </c>
      <c r="N7924" s="6" t="s">
        <v>521</v>
      </c>
      <c r="O7924" s="6" t="s">
        <v>233</v>
      </c>
      <c r="P7924" s="58" t="s">
        <v>241</v>
      </c>
      <c r="Q7924" s="31" t="s">
        <v>234</v>
      </c>
      <c r="R7924" s="3">
        <v>72</v>
      </c>
      <c r="S7924" s="59">
        <v>162</v>
      </c>
      <c r="T7924" s="4">
        <f t="shared" ref="T7924" si="444">R7924*S7924</f>
        <v>11664</v>
      </c>
      <c r="U7924" s="4">
        <f t="shared" si="419"/>
        <v>13063.680000000002</v>
      </c>
      <c r="V7924" s="3"/>
      <c r="W7924" s="3">
        <v>2014</v>
      </c>
      <c r="X7924" s="3"/>
    </row>
    <row r="7925" spans="1:24" ht="89.25">
      <c r="A7925" s="3" t="s">
        <v>16114</v>
      </c>
      <c r="B7925" s="6" t="s">
        <v>361</v>
      </c>
      <c r="C7925" s="6" t="s">
        <v>3189</v>
      </c>
      <c r="D7925" s="6" t="s">
        <v>3014</v>
      </c>
      <c r="E7925" s="6" t="s">
        <v>3190</v>
      </c>
      <c r="F7925" s="6" t="s">
        <v>15273</v>
      </c>
      <c r="G7925" s="3" t="s">
        <v>11450</v>
      </c>
      <c r="H7925" s="54">
        <v>0</v>
      </c>
      <c r="I7925" s="16">
        <v>470000000</v>
      </c>
      <c r="J7925" s="157" t="s">
        <v>229</v>
      </c>
      <c r="K7925" s="5" t="s">
        <v>14590</v>
      </c>
      <c r="L7925" s="17" t="s">
        <v>11411</v>
      </c>
      <c r="M7925" s="3" t="s">
        <v>230</v>
      </c>
      <c r="N7925" s="6" t="s">
        <v>524</v>
      </c>
      <c r="O7925" s="6" t="s">
        <v>233</v>
      </c>
      <c r="P7925" s="58" t="s">
        <v>241</v>
      </c>
      <c r="Q7925" s="31" t="s">
        <v>234</v>
      </c>
      <c r="R7925" s="3">
        <v>34</v>
      </c>
      <c r="S7925" s="59">
        <v>73476</v>
      </c>
      <c r="T7925" s="4">
        <v>0</v>
      </c>
      <c r="U7925" s="4">
        <f t="shared" si="419"/>
        <v>0</v>
      </c>
      <c r="V7925" s="3"/>
      <c r="W7925" s="3">
        <v>2014</v>
      </c>
      <c r="X7925" s="3">
        <v>11.14</v>
      </c>
    </row>
    <row r="7926" spans="1:24" ht="89.25">
      <c r="A7926" s="3" t="s">
        <v>17846</v>
      </c>
      <c r="B7926" s="6" t="s">
        <v>361</v>
      </c>
      <c r="C7926" s="6" t="s">
        <v>3189</v>
      </c>
      <c r="D7926" s="6" t="s">
        <v>3014</v>
      </c>
      <c r="E7926" s="6" t="s">
        <v>3190</v>
      </c>
      <c r="F7926" s="6" t="s">
        <v>15273</v>
      </c>
      <c r="G7926" s="3" t="s">
        <v>11450</v>
      </c>
      <c r="H7926" s="54">
        <v>0</v>
      </c>
      <c r="I7926" s="16">
        <v>470000000</v>
      </c>
      <c r="J7926" s="157" t="s">
        <v>229</v>
      </c>
      <c r="K7926" s="5" t="s">
        <v>8950</v>
      </c>
      <c r="L7926" s="17" t="s">
        <v>11411</v>
      </c>
      <c r="M7926" s="3" t="s">
        <v>230</v>
      </c>
      <c r="N7926" s="6" t="s">
        <v>521</v>
      </c>
      <c r="O7926" s="6" t="s">
        <v>233</v>
      </c>
      <c r="P7926" s="58" t="s">
        <v>241</v>
      </c>
      <c r="Q7926" s="31" t="s">
        <v>234</v>
      </c>
      <c r="R7926" s="3">
        <v>34</v>
      </c>
      <c r="S7926" s="59">
        <v>73476</v>
      </c>
      <c r="T7926" s="4">
        <f t="shared" ref="T7926" si="445">R7926*S7926</f>
        <v>2498184</v>
      </c>
      <c r="U7926" s="4">
        <f t="shared" si="419"/>
        <v>2797966.08</v>
      </c>
      <c r="V7926" s="3"/>
      <c r="W7926" s="3">
        <v>2014</v>
      </c>
      <c r="X7926" s="3"/>
    </row>
    <row r="7927" spans="1:24" ht="89.25">
      <c r="A7927" s="3" t="s">
        <v>16115</v>
      </c>
      <c r="B7927" s="6" t="s">
        <v>361</v>
      </c>
      <c r="C7927" s="6" t="s">
        <v>3189</v>
      </c>
      <c r="D7927" s="6" t="s">
        <v>3014</v>
      </c>
      <c r="E7927" s="6" t="s">
        <v>3190</v>
      </c>
      <c r="F7927" s="6" t="s">
        <v>15274</v>
      </c>
      <c r="G7927" s="3" t="s">
        <v>11450</v>
      </c>
      <c r="H7927" s="54">
        <v>0</v>
      </c>
      <c r="I7927" s="16">
        <v>470000000</v>
      </c>
      <c r="J7927" s="157" t="s">
        <v>229</v>
      </c>
      <c r="K7927" s="5" t="s">
        <v>14590</v>
      </c>
      <c r="L7927" s="17" t="s">
        <v>11411</v>
      </c>
      <c r="M7927" s="3" t="s">
        <v>230</v>
      </c>
      <c r="N7927" s="6" t="s">
        <v>524</v>
      </c>
      <c r="O7927" s="6" t="s">
        <v>233</v>
      </c>
      <c r="P7927" s="58" t="s">
        <v>241</v>
      </c>
      <c r="Q7927" s="31" t="s">
        <v>234</v>
      </c>
      <c r="R7927" s="3">
        <v>22</v>
      </c>
      <c r="S7927" s="59">
        <v>73476</v>
      </c>
      <c r="T7927" s="4">
        <v>0</v>
      </c>
      <c r="U7927" s="4">
        <f t="shared" si="419"/>
        <v>0</v>
      </c>
      <c r="V7927" s="3"/>
      <c r="W7927" s="3">
        <v>2014</v>
      </c>
      <c r="X7927" s="3">
        <v>11.14</v>
      </c>
    </row>
    <row r="7928" spans="1:24" ht="89.25">
      <c r="A7928" s="3" t="s">
        <v>17847</v>
      </c>
      <c r="B7928" s="6" t="s">
        <v>361</v>
      </c>
      <c r="C7928" s="6" t="s">
        <v>3189</v>
      </c>
      <c r="D7928" s="6" t="s">
        <v>3014</v>
      </c>
      <c r="E7928" s="6" t="s">
        <v>3190</v>
      </c>
      <c r="F7928" s="6" t="s">
        <v>15274</v>
      </c>
      <c r="G7928" s="3" t="s">
        <v>11450</v>
      </c>
      <c r="H7928" s="54">
        <v>0</v>
      </c>
      <c r="I7928" s="16">
        <v>470000000</v>
      </c>
      <c r="J7928" s="157" t="s">
        <v>229</v>
      </c>
      <c r="K7928" s="5" t="s">
        <v>8950</v>
      </c>
      <c r="L7928" s="17" t="s">
        <v>11411</v>
      </c>
      <c r="M7928" s="3" t="s">
        <v>230</v>
      </c>
      <c r="N7928" s="6" t="s">
        <v>528</v>
      </c>
      <c r="O7928" s="6" t="s">
        <v>233</v>
      </c>
      <c r="P7928" s="58" t="s">
        <v>241</v>
      </c>
      <c r="Q7928" s="31" t="s">
        <v>234</v>
      </c>
      <c r="R7928" s="3">
        <v>22</v>
      </c>
      <c r="S7928" s="59">
        <v>73476</v>
      </c>
      <c r="T7928" s="4">
        <f t="shared" ref="T7928" si="446">R7928*S7928</f>
        <v>1616472</v>
      </c>
      <c r="U7928" s="4">
        <f t="shared" si="419"/>
        <v>1810448.6400000001</v>
      </c>
      <c r="V7928" s="3"/>
      <c r="W7928" s="3">
        <v>2014</v>
      </c>
      <c r="X7928" s="3"/>
    </row>
    <row r="7929" spans="1:24" ht="89.25">
      <c r="A7929" s="3" t="s">
        <v>16116</v>
      </c>
      <c r="B7929" s="6" t="s">
        <v>361</v>
      </c>
      <c r="C7929" s="6" t="s">
        <v>3189</v>
      </c>
      <c r="D7929" s="6" t="s">
        <v>3014</v>
      </c>
      <c r="E7929" s="6" t="s">
        <v>3190</v>
      </c>
      <c r="F7929" s="6" t="s">
        <v>15275</v>
      </c>
      <c r="G7929" s="3" t="s">
        <v>11450</v>
      </c>
      <c r="H7929" s="54">
        <v>0</v>
      </c>
      <c r="I7929" s="16">
        <v>470000000</v>
      </c>
      <c r="J7929" s="157" t="s">
        <v>229</v>
      </c>
      <c r="K7929" s="5" t="s">
        <v>14590</v>
      </c>
      <c r="L7929" s="17" t="s">
        <v>11411</v>
      </c>
      <c r="M7929" s="3" t="s">
        <v>230</v>
      </c>
      <c r="N7929" s="6" t="s">
        <v>524</v>
      </c>
      <c r="O7929" s="6" t="s">
        <v>233</v>
      </c>
      <c r="P7929" s="58" t="s">
        <v>241</v>
      </c>
      <c r="Q7929" s="31" t="s">
        <v>234</v>
      </c>
      <c r="R7929" s="3">
        <v>12</v>
      </c>
      <c r="S7929" s="59">
        <v>19742</v>
      </c>
      <c r="T7929" s="4">
        <v>0</v>
      </c>
      <c r="U7929" s="4">
        <f t="shared" si="419"/>
        <v>0</v>
      </c>
      <c r="V7929" s="3"/>
      <c r="W7929" s="3">
        <v>2014</v>
      </c>
      <c r="X7929" s="3">
        <v>11.14</v>
      </c>
    </row>
    <row r="7930" spans="1:24" ht="89.25">
      <c r="A7930" s="3" t="s">
        <v>17848</v>
      </c>
      <c r="B7930" s="6" t="s">
        <v>361</v>
      </c>
      <c r="C7930" s="6" t="s">
        <v>3189</v>
      </c>
      <c r="D7930" s="6" t="s">
        <v>3014</v>
      </c>
      <c r="E7930" s="6" t="s">
        <v>3190</v>
      </c>
      <c r="F7930" s="6" t="s">
        <v>15275</v>
      </c>
      <c r="G7930" s="3" t="s">
        <v>11450</v>
      </c>
      <c r="H7930" s="54">
        <v>0</v>
      </c>
      <c r="I7930" s="16">
        <v>470000000</v>
      </c>
      <c r="J7930" s="157" t="s">
        <v>229</v>
      </c>
      <c r="K7930" s="5" t="s">
        <v>8950</v>
      </c>
      <c r="L7930" s="17" t="s">
        <v>11411</v>
      </c>
      <c r="M7930" s="3" t="s">
        <v>230</v>
      </c>
      <c r="N7930" s="6" t="s">
        <v>528</v>
      </c>
      <c r="O7930" s="6" t="s">
        <v>233</v>
      </c>
      <c r="P7930" s="58" t="s">
        <v>241</v>
      </c>
      <c r="Q7930" s="31" t="s">
        <v>234</v>
      </c>
      <c r="R7930" s="3">
        <v>12</v>
      </c>
      <c r="S7930" s="59">
        <v>19742.399999999998</v>
      </c>
      <c r="T7930" s="4">
        <f t="shared" ref="T7930" si="447">R7930*S7930</f>
        <v>236908.79999999999</v>
      </c>
      <c r="U7930" s="4">
        <f t="shared" si="419"/>
        <v>265337.85600000003</v>
      </c>
      <c r="V7930" s="3"/>
      <c r="W7930" s="3">
        <v>2014</v>
      </c>
      <c r="X7930" s="3"/>
    </row>
    <row r="7931" spans="1:24" ht="89.25">
      <c r="A7931" s="3" t="s">
        <v>16117</v>
      </c>
      <c r="B7931" s="6" t="s">
        <v>361</v>
      </c>
      <c r="C7931" s="6" t="s">
        <v>3189</v>
      </c>
      <c r="D7931" s="6" t="s">
        <v>3014</v>
      </c>
      <c r="E7931" s="6" t="s">
        <v>3190</v>
      </c>
      <c r="F7931" s="6" t="s">
        <v>15276</v>
      </c>
      <c r="G7931" s="3" t="s">
        <v>11450</v>
      </c>
      <c r="H7931" s="54">
        <v>0</v>
      </c>
      <c r="I7931" s="16">
        <v>470000000</v>
      </c>
      <c r="J7931" s="157" t="s">
        <v>229</v>
      </c>
      <c r="K7931" s="5" t="s">
        <v>14590</v>
      </c>
      <c r="L7931" s="17" t="s">
        <v>11411</v>
      </c>
      <c r="M7931" s="3" t="s">
        <v>230</v>
      </c>
      <c r="N7931" s="6" t="s">
        <v>524</v>
      </c>
      <c r="O7931" s="6" t="s">
        <v>233</v>
      </c>
      <c r="P7931" s="58" t="s">
        <v>241</v>
      </c>
      <c r="Q7931" s="31" t="s">
        <v>234</v>
      </c>
      <c r="R7931" s="3">
        <v>335</v>
      </c>
      <c r="S7931" s="59">
        <v>6864</v>
      </c>
      <c r="T7931" s="4">
        <v>0</v>
      </c>
      <c r="U7931" s="4">
        <f t="shared" si="419"/>
        <v>0</v>
      </c>
      <c r="V7931" s="3"/>
      <c r="W7931" s="3">
        <v>2014</v>
      </c>
      <c r="X7931" s="3">
        <v>11.14</v>
      </c>
    </row>
    <row r="7932" spans="1:24" ht="89.25">
      <c r="A7932" s="3" t="s">
        <v>17849</v>
      </c>
      <c r="B7932" s="6" t="s">
        <v>361</v>
      </c>
      <c r="C7932" s="6" t="s">
        <v>3189</v>
      </c>
      <c r="D7932" s="6" t="s">
        <v>3014</v>
      </c>
      <c r="E7932" s="6" t="s">
        <v>3190</v>
      </c>
      <c r="F7932" s="6" t="s">
        <v>15276</v>
      </c>
      <c r="G7932" s="3" t="s">
        <v>11450</v>
      </c>
      <c r="H7932" s="54">
        <v>0</v>
      </c>
      <c r="I7932" s="16">
        <v>470000000</v>
      </c>
      <c r="J7932" s="157" t="s">
        <v>229</v>
      </c>
      <c r="K7932" s="5" t="s">
        <v>8950</v>
      </c>
      <c r="L7932" s="17" t="s">
        <v>11411</v>
      </c>
      <c r="M7932" s="3" t="s">
        <v>230</v>
      </c>
      <c r="N7932" s="6" t="s">
        <v>521</v>
      </c>
      <c r="O7932" s="6" t="s">
        <v>233</v>
      </c>
      <c r="P7932" s="58" t="s">
        <v>241</v>
      </c>
      <c r="Q7932" s="31" t="s">
        <v>234</v>
      </c>
      <c r="R7932" s="3">
        <v>335</v>
      </c>
      <c r="S7932" s="59">
        <v>6864</v>
      </c>
      <c r="T7932" s="4">
        <f t="shared" ref="T7932" si="448">R7932*S7932</f>
        <v>2299440</v>
      </c>
      <c r="U7932" s="4">
        <f t="shared" si="419"/>
        <v>2575372.8000000003</v>
      </c>
      <c r="V7932" s="3"/>
      <c r="W7932" s="3">
        <v>2014</v>
      </c>
      <c r="X7932" s="3"/>
    </row>
    <row r="7933" spans="1:24" ht="89.25">
      <c r="A7933" s="3" t="s">
        <v>16118</v>
      </c>
      <c r="B7933" s="6" t="s">
        <v>361</v>
      </c>
      <c r="C7933" s="6" t="s">
        <v>3189</v>
      </c>
      <c r="D7933" s="6" t="s">
        <v>3014</v>
      </c>
      <c r="E7933" s="6" t="s">
        <v>3190</v>
      </c>
      <c r="F7933" s="6" t="s">
        <v>15277</v>
      </c>
      <c r="G7933" s="3" t="s">
        <v>11450</v>
      </c>
      <c r="H7933" s="54">
        <v>0</v>
      </c>
      <c r="I7933" s="16">
        <v>470000000</v>
      </c>
      <c r="J7933" s="157" t="s">
        <v>229</v>
      </c>
      <c r="K7933" s="5" t="s">
        <v>14590</v>
      </c>
      <c r="L7933" s="17" t="s">
        <v>11411</v>
      </c>
      <c r="M7933" s="3" t="s">
        <v>230</v>
      </c>
      <c r="N7933" s="6" t="s">
        <v>524</v>
      </c>
      <c r="O7933" s="6" t="s">
        <v>233</v>
      </c>
      <c r="P7933" s="58" t="s">
        <v>241</v>
      </c>
      <c r="Q7933" s="31" t="s">
        <v>234</v>
      </c>
      <c r="R7933" s="3">
        <v>22</v>
      </c>
      <c r="S7933" s="59">
        <v>2897</v>
      </c>
      <c r="T7933" s="4">
        <v>0</v>
      </c>
      <c r="U7933" s="4">
        <f t="shared" si="419"/>
        <v>0</v>
      </c>
      <c r="V7933" s="3"/>
      <c r="W7933" s="3">
        <v>2014</v>
      </c>
      <c r="X7933" s="3" t="s">
        <v>17321</v>
      </c>
    </row>
    <row r="7934" spans="1:24" ht="89.25">
      <c r="A7934" s="3" t="s">
        <v>17850</v>
      </c>
      <c r="B7934" s="6" t="s">
        <v>361</v>
      </c>
      <c r="C7934" s="6" t="s">
        <v>3189</v>
      </c>
      <c r="D7934" s="6" t="s">
        <v>3014</v>
      </c>
      <c r="E7934" s="6" t="s">
        <v>3190</v>
      </c>
      <c r="F7934" s="6" t="s">
        <v>15277</v>
      </c>
      <c r="G7934" s="3" t="s">
        <v>11450</v>
      </c>
      <c r="H7934" s="54">
        <v>0</v>
      </c>
      <c r="I7934" s="16">
        <v>470000000</v>
      </c>
      <c r="J7934" s="157" t="s">
        <v>229</v>
      </c>
      <c r="K7934" s="5" t="s">
        <v>8950</v>
      </c>
      <c r="L7934" s="17" t="s">
        <v>11411</v>
      </c>
      <c r="M7934" s="3" t="s">
        <v>230</v>
      </c>
      <c r="N7934" s="6" t="s">
        <v>528</v>
      </c>
      <c r="O7934" s="6" t="s">
        <v>233</v>
      </c>
      <c r="P7934" s="58" t="s">
        <v>241</v>
      </c>
      <c r="Q7934" s="31" t="s">
        <v>234</v>
      </c>
      <c r="R7934" s="3">
        <v>46</v>
      </c>
      <c r="S7934" s="59">
        <v>2896.7999999999997</v>
      </c>
      <c r="T7934" s="4">
        <f t="shared" ref="T7934:T7951" si="449">R7934*S7934</f>
        <v>133252.79999999999</v>
      </c>
      <c r="U7934" s="4">
        <f t="shared" si="419"/>
        <v>149243.136</v>
      </c>
      <c r="V7934" s="3"/>
      <c r="W7934" s="3">
        <v>2014</v>
      </c>
      <c r="X7934" s="3"/>
    </row>
    <row r="7935" spans="1:24" ht="89.25">
      <c r="A7935" s="3" t="s">
        <v>16119</v>
      </c>
      <c r="B7935" s="6" t="s">
        <v>361</v>
      </c>
      <c r="C7935" s="6" t="s">
        <v>3189</v>
      </c>
      <c r="D7935" s="6" t="s">
        <v>3014</v>
      </c>
      <c r="E7935" s="6" t="s">
        <v>3190</v>
      </c>
      <c r="F7935" s="6" t="s">
        <v>15278</v>
      </c>
      <c r="G7935" s="3" t="s">
        <v>11450</v>
      </c>
      <c r="H7935" s="54">
        <v>0</v>
      </c>
      <c r="I7935" s="16">
        <v>470000000</v>
      </c>
      <c r="J7935" s="157" t="s">
        <v>229</v>
      </c>
      <c r="K7935" s="5" t="s">
        <v>14590</v>
      </c>
      <c r="L7935" s="17" t="s">
        <v>11411</v>
      </c>
      <c r="M7935" s="3" t="s">
        <v>230</v>
      </c>
      <c r="N7935" s="6" t="s">
        <v>524</v>
      </c>
      <c r="O7935" s="6" t="s">
        <v>233</v>
      </c>
      <c r="P7935" s="58" t="s">
        <v>241</v>
      </c>
      <c r="Q7935" s="31" t="s">
        <v>234</v>
      </c>
      <c r="R7935" s="3">
        <v>0</v>
      </c>
      <c r="S7935" s="59">
        <v>2897</v>
      </c>
      <c r="T7935" s="4">
        <f t="shared" si="449"/>
        <v>0</v>
      </c>
      <c r="U7935" s="4">
        <f t="shared" si="419"/>
        <v>0</v>
      </c>
      <c r="V7935" s="3"/>
      <c r="W7935" s="3">
        <v>2014</v>
      </c>
      <c r="X7935" s="3" t="s">
        <v>12076</v>
      </c>
    </row>
    <row r="7936" spans="1:24" ht="89.25">
      <c r="A7936" s="3" t="s">
        <v>16120</v>
      </c>
      <c r="B7936" s="6" t="s">
        <v>361</v>
      </c>
      <c r="C7936" s="6" t="s">
        <v>3189</v>
      </c>
      <c r="D7936" s="6" t="s">
        <v>3014</v>
      </c>
      <c r="E7936" s="6" t="s">
        <v>3190</v>
      </c>
      <c r="F7936" s="6" t="s">
        <v>15279</v>
      </c>
      <c r="G7936" s="3" t="s">
        <v>11450</v>
      </c>
      <c r="H7936" s="54">
        <v>0</v>
      </c>
      <c r="I7936" s="16">
        <v>470000000</v>
      </c>
      <c r="J7936" s="157" t="s">
        <v>229</v>
      </c>
      <c r="K7936" s="5" t="s">
        <v>14590</v>
      </c>
      <c r="L7936" s="17" t="s">
        <v>11411</v>
      </c>
      <c r="M7936" s="3" t="s">
        <v>230</v>
      </c>
      <c r="N7936" s="6" t="s">
        <v>524</v>
      </c>
      <c r="O7936" s="6" t="s">
        <v>233</v>
      </c>
      <c r="P7936" s="58" t="s">
        <v>241</v>
      </c>
      <c r="Q7936" s="31" t="s">
        <v>234</v>
      </c>
      <c r="R7936" s="3">
        <v>0</v>
      </c>
      <c r="S7936" s="59">
        <v>3146</v>
      </c>
      <c r="T7936" s="4">
        <f t="shared" si="449"/>
        <v>0</v>
      </c>
      <c r="U7936" s="4">
        <f t="shared" si="419"/>
        <v>0</v>
      </c>
      <c r="V7936" s="3"/>
      <c r="W7936" s="3">
        <v>2014</v>
      </c>
      <c r="X7936" s="3" t="s">
        <v>12076</v>
      </c>
    </row>
    <row r="7937" spans="1:24" ht="89.25">
      <c r="A7937" s="3" t="s">
        <v>16121</v>
      </c>
      <c r="B7937" s="6" t="s">
        <v>361</v>
      </c>
      <c r="C7937" s="6" t="s">
        <v>3189</v>
      </c>
      <c r="D7937" s="6" t="s">
        <v>3014</v>
      </c>
      <c r="E7937" s="6" t="s">
        <v>3190</v>
      </c>
      <c r="F7937" s="6" t="s">
        <v>15280</v>
      </c>
      <c r="G7937" s="3" t="s">
        <v>11450</v>
      </c>
      <c r="H7937" s="54">
        <v>0</v>
      </c>
      <c r="I7937" s="16">
        <v>470000000</v>
      </c>
      <c r="J7937" s="157" t="s">
        <v>229</v>
      </c>
      <c r="K7937" s="5" t="s">
        <v>14590</v>
      </c>
      <c r="L7937" s="17" t="s">
        <v>11411</v>
      </c>
      <c r="M7937" s="3" t="s">
        <v>230</v>
      </c>
      <c r="N7937" s="6" t="s">
        <v>524</v>
      </c>
      <c r="O7937" s="6" t="s">
        <v>233</v>
      </c>
      <c r="P7937" s="58" t="s">
        <v>241</v>
      </c>
      <c r="Q7937" s="31" t="s">
        <v>234</v>
      </c>
      <c r="R7937" s="3">
        <v>0</v>
      </c>
      <c r="S7937" s="59">
        <v>3146</v>
      </c>
      <c r="T7937" s="4">
        <f t="shared" si="449"/>
        <v>0</v>
      </c>
      <c r="U7937" s="4">
        <f t="shared" si="419"/>
        <v>0</v>
      </c>
      <c r="V7937" s="3"/>
      <c r="W7937" s="3">
        <v>2014</v>
      </c>
      <c r="X7937" s="3" t="s">
        <v>12076</v>
      </c>
    </row>
    <row r="7938" spans="1:24" ht="89.25">
      <c r="A7938" s="3" t="s">
        <v>16122</v>
      </c>
      <c r="B7938" s="6" t="s">
        <v>361</v>
      </c>
      <c r="C7938" s="6" t="s">
        <v>15284</v>
      </c>
      <c r="D7938" s="4" t="s">
        <v>3237</v>
      </c>
      <c r="E7938" s="6" t="s">
        <v>15285</v>
      </c>
      <c r="F7938" s="6" t="s">
        <v>15286</v>
      </c>
      <c r="G7938" s="3" t="s">
        <v>11449</v>
      </c>
      <c r="H7938" s="185">
        <v>0</v>
      </c>
      <c r="I7938" s="16">
        <v>470000000</v>
      </c>
      <c r="J7938" s="56" t="s">
        <v>229</v>
      </c>
      <c r="K7938" s="57" t="s">
        <v>7699</v>
      </c>
      <c r="L7938" s="17" t="s">
        <v>11411</v>
      </c>
      <c r="M7938" s="3" t="s">
        <v>230</v>
      </c>
      <c r="N7938" s="6" t="s">
        <v>521</v>
      </c>
      <c r="O7938" s="6" t="s">
        <v>15287</v>
      </c>
      <c r="P7938" s="58">
        <v>796</v>
      </c>
      <c r="Q7938" s="31" t="s">
        <v>234</v>
      </c>
      <c r="R7938" s="216">
        <v>3</v>
      </c>
      <c r="S7938" s="59">
        <v>923812</v>
      </c>
      <c r="T7938" s="4">
        <f t="shared" si="449"/>
        <v>2771436</v>
      </c>
      <c r="U7938" s="4">
        <f t="shared" ref="U7938:U8061" si="450">T7938*1.12</f>
        <v>3104008.3200000003</v>
      </c>
      <c r="V7938" s="3"/>
      <c r="W7938" s="3">
        <v>2014</v>
      </c>
      <c r="X7938" s="158"/>
    </row>
    <row r="7939" spans="1:24" ht="89.25">
      <c r="A7939" s="3" t="s">
        <v>16123</v>
      </c>
      <c r="B7939" s="6" t="s">
        <v>361</v>
      </c>
      <c r="C7939" s="6" t="s">
        <v>15068</v>
      </c>
      <c r="D7939" s="5" t="s">
        <v>15069</v>
      </c>
      <c r="E7939" s="6" t="s">
        <v>15070</v>
      </c>
      <c r="F7939" s="6" t="s">
        <v>15288</v>
      </c>
      <c r="G7939" s="3" t="s">
        <v>11449</v>
      </c>
      <c r="H7939" s="185">
        <v>0</v>
      </c>
      <c r="I7939" s="16">
        <v>470000000</v>
      </c>
      <c r="J7939" s="56" t="s">
        <v>229</v>
      </c>
      <c r="K7939" s="57" t="s">
        <v>7699</v>
      </c>
      <c r="L7939" s="17" t="s">
        <v>11411</v>
      </c>
      <c r="M7939" s="3" t="s">
        <v>230</v>
      </c>
      <c r="N7939" s="6" t="s">
        <v>521</v>
      </c>
      <c r="O7939" s="6" t="s">
        <v>15287</v>
      </c>
      <c r="P7939" s="58">
        <v>796</v>
      </c>
      <c r="Q7939" s="31" t="s">
        <v>234</v>
      </c>
      <c r="R7939" s="216">
        <v>6</v>
      </c>
      <c r="S7939" s="59">
        <v>378487.2</v>
      </c>
      <c r="T7939" s="4">
        <v>0</v>
      </c>
      <c r="U7939" s="4">
        <f t="shared" si="450"/>
        <v>0</v>
      </c>
      <c r="V7939" s="3"/>
      <c r="W7939" s="3">
        <v>2014</v>
      </c>
      <c r="X7939" s="3">
        <v>11.14</v>
      </c>
    </row>
    <row r="7940" spans="1:24" ht="89.25">
      <c r="A7940" s="3" t="s">
        <v>18365</v>
      </c>
      <c r="B7940" s="6" t="s">
        <v>361</v>
      </c>
      <c r="C7940" s="6" t="s">
        <v>15068</v>
      </c>
      <c r="D7940" s="5" t="s">
        <v>15069</v>
      </c>
      <c r="E7940" s="6" t="s">
        <v>15070</v>
      </c>
      <c r="F7940" s="6" t="s">
        <v>15288</v>
      </c>
      <c r="G7940" s="3" t="s">
        <v>11449</v>
      </c>
      <c r="H7940" s="185">
        <v>0</v>
      </c>
      <c r="I7940" s="16">
        <v>470000000</v>
      </c>
      <c r="J7940" s="56" t="s">
        <v>229</v>
      </c>
      <c r="K7940" s="57" t="s">
        <v>8950</v>
      </c>
      <c r="L7940" s="17" t="s">
        <v>11411</v>
      </c>
      <c r="M7940" s="3" t="s">
        <v>230</v>
      </c>
      <c r="N7940" s="6" t="s">
        <v>528</v>
      </c>
      <c r="O7940" s="6" t="s">
        <v>15287</v>
      </c>
      <c r="P7940" s="58">
        <v>796</v>
      </c>
      <c r="Q7940" s="327" t="s">
        <v>234</v>
      </c>
      <c r="R7940" s="216">
        <v>6</v>
      </c>
      <c r="S7940" s="59">
        <v>378487.2</v>
      </c>
      <c r="T7940" s="4">
        <v>0</v>
      </c>
      <c r="U7940" s="4">
        <f t="shared" si="450"/>
        <v>0</v>
      </c>
      <c r="V7940" s="3"/>
      <c r="W7940" s="3">
        <v>2014</v>
      </c>
      <c r="X7940" s="3" t="s">
        <v>19403</v>
      </c>
    </row>
    <row r="7941" spans="1:24" ht="89.25">
      <c r="A7941" s="3" t="s">
        <v>19281</v>
      </c>
      <c r="B7941" s="6" t="s">
        <v>361</v>
      </c>
      <c r="C7941" s="6" t="s">
        <v>15068</v>
      </c>
      <c r="D7941" s="5" t="s">
        <v>15069</v>
      </c>
      <c r="E7941" s="6" t="s">
        <v>15070</v>
      </c>
      <c r="F7941" s="6" t="s">
        <v>15288</v>
      </c>
      <c r="G7941" s="3" t="s">
        <v>11450</v>
      </c>
      <c r="H7941" s="185">
        <v>0.2</v>
      </c>
      <c r="I7941" s="16">
        <v>470000000</v>
      </c>
      <c r="J7941" s="56" t="s">
        <v>229</v>
      </c>
      <c r="K7941" s="57" t="s">
        <v>18437</v>
      </c>
      <c r="L7941" s="17" t="s">
        <v>11411</v>
      </c>
      <c r="M7941" s="3" t="s">
        <v>230</v>
      </c>
      <c r="N7941" s="6" t="s">
        <v>528</v>
      </c>
      <c r="O7941" s="16" t="s">
        <v>8915</v>
      </c>
      <c r="P7941" s="58">
        <v>796</v>
      </c>
      <c r="Q7941" s="327" t="s">
        <v>234</v>
      </c>
      <c r="R7941" s="216">
        <v>6</v>
      </c>
      <c r="S7941" s="59">
        <v>378487.2</v>
      </c>
      <c r="T7941" s="4">
        <f>R7941*S7941</f>
        <v>2270923.2000000002</v>
      </c>
      <c r="U7941" s="4">
        <f t="shared" si="450"/>
        <v>2543433.9840000006</v>
      </c>
      <c r="V7941" s="3" t="s">
        <v>362</v>
      </c>
      <c r="W7941" s="3">
        <v>2014</v>
      </c>
      <c r="X7941" s="3"/>
    </row>
    <row r="7942" spans="1:24" ht="89.25">
      <c r="A7942" s="3" t="s">
        <v>16124</v>
      </c>
      <c r="B7942" s="6" t="s">
        <v>361</v>
      </c>
      <c r="C7942" s="6" t="s">
        <v>15068</v>
      </c>
      <c r="D7942" s="5" t="s">
        <v>15069</v>
      </c>
      <c r="E7942" s="6" t="s">
        <v>15070</v>
      </c>
      <c r="F7942" s="6" t="s">
        <v>15289</v>
      </c>
      <c r="G7942" s="3" t="s">
        <v>11449</v>
      </c>
      <c r="H7942" s="185">
        <v>0</v>
      </c>
      <c r="I7942" s="16">
        <v>470000000</v>
      </c>
      <c r="J7942" s="56" t="s">
        <v>229</v>
      </c>
      <c r="K7942" s="57" t="s">
        <v>7699</v>
      </c>
      <c r="L7942" s="17" t="s">
        <v>11411</v>
      </c>
      <c r="M7942" s="3" t="s">
        <v>230</v>
      </c>
      <c r="N7942" s="6" t="s">
        <v>521</v>
      </c>
      <c r="O7942" s="6" t="s">
        <v>15287</v>
      </c>
      <c r="P7942" s="58">
        <v>796</v>
      </c>
      <c r="Q7942" s="31" t="s">
        <v>234</v>
      </c>
      <c r="R7942" s="216">
        <v>1</v>
      </c>
      <c r="S7942" s="59">
        <v>359745.1</v>
      </c>
      <c r="T7942" s="4">
        <v>0</v>
      </c>
      <c r="U7942" s="4">
        <f t="shared" si="450"/>
        <v>0</v>
      </c>
      <c r="V7942" s="3"/>
      <c r="W7942" s="3">
        <v>2014</v>
      </c>
      <c r="X7942" s="3">
        <v>11.14</v>
      </c>
    </row>
    <row r="7943" spans="1:24" ht="89.25">
      <c r="A7943" s="3" t="s">
        <v>18380</v>
      </c>
      <c r="B7943" s="6" t="s">
        <v>361</v>
      </c>
      <c r="C7943" s="6" t="s">
        <v>15068</v>
      </c>
      <c r="D7943" s="5" t="s">
        <v>15069</v>
      </c>
      <c r="E7943" s="6" t="s">
        <v>15070</v>
      </c>
      <c r="F7943" s="6" t="s">
        <v>15289</v>
      </c>
      <c r="G7943" s="3" t="s">
        <v>11449</v>
      </c>
      <c r="H7943" s="185">
        <v>0</v>
      </c>
      <c r="I7943" s="16">
        <v>470000000</v>
      </c>
      <c r="J7943" s="56" t="s">
        <v>229</v>
      </c>
      <c r="K7943" s="57" t="s">
        <v>8950</v>
      </c>
      <c r="L7943" s="17" t="s">
        <v>11411</v>
      </c>
      <c r="M7943" s="3" t="s">
        <v>230</v>
      </c>
      <c r="N7943" s="6" t="s">
        <v>528</v>
      </c>
      <c r="O7943" s="6" t="s">
        <v>15287</v>
      </c>
      <c r="P7943" s="58">
        <v>796</v>
      </c>
      <c r="Q7943" s="327" t="s">
        <v>234</v>
      </c>
      <c r="R7943" s="216">
        <v>1</v>
      </c>
      <c r="S7943" s="59">
        <v>359745.1</v>
      </c>
      <c r="T7943" s="4">
        <v>0</v>
      </c>
      <c r="U7943" s="4">
        <f t="shared" si="450"/>
        <v>0</v>
      </c>
      <c r="V7943" s="3"/>
      <c r="W7943" s="3">
        <v>2014</v>
      </c>
      <c r="X7943" s="3" t="s">
        <v>19404</v>
      </c>
    </row>
    <row r="7944" spans="1:24" ht="89.25">
      <c r="A7944" s="3" t="s">
        <v>19259</v>
      </c>
      <c r="B7944" s="6" t="s">
        <v>361</v>
      </c>
      <c r="C7944" s="6" t="s">
        <v>15068</v>
      </c>
      <c r="D7944" s="5" t="s">
        <v>15069</v>
      </c>
      <c r="E7944" s="6" t="s">
        <v>15070</v>
      </c>
      <c r="F7944" s="6" t="s">
        <v>15289</v>
      </c>
      <c r="G7944" s="3" t="s">
        <v>11450</v>
      </c>
      <c r="H7944" s="185">
        <v>0.2</v>
      </c>
      <c r="I7944" s="16">
        <v>470000000</v>
      </c>
      <c r="J7944" s="56" t="s">
        <v>229</v>
      </c>
      <c r="K7944" s="57" t="s">
        <v>18437</v>
      </c>
      <c r="L7944" s="17" t="s">
        <v>11411</v>
      </c>
      <c r="M7944" s="3" t="s">
        <v>230</v>
      </c>
      <c r="N7944" s="6" t="s">
        <v>528</v>
      </c>
      <c r="O7944" s="16" t="s">
        <v>8915</v>
      </c>
      <c r="P7944" s="58">
        <v>796</v>
      </c>
      <c r="Q7944" s="327" t="s">
        <v>234</v>
      </c>
      <c r="R7944" s="216">
        <v>6</v>
      </c>
      <c r="S7944" s="59">
        <v>359745.1</v>
      </c>
      <c r="T7944" s="4">
        <f>R7944*S7944</f>
        <v>2158470.5999999996</v>
      </c>
      <c r="U7944" s="4">
        <f t="shared" si="450"/>
        <v>2417487.0719999997</v>
      </c>
      <c r="V7944" s="3" t="s">
        <v>362</v>
      </c>
      <c r="W7944" s="3">
        <v>2014</v>
      </c>
      <c r="X7944" s="3"/>
    </row>
    <row r="7945" spans="1:24" ht="89.25">
      <c r="A7945" s="3" t="s">
        <v>16125</v>
      </c>
      <c r="B7945" s="6" t="s">
        <v>361</v>
      </c>
      <c r="C7945" s="6" t="s">
        <v>15284</v>
      </c>
      <c r="D7945" s="4" t="s">
        <v>3237</v>
      </c>
      <c r="E7945" s="6" t="s">
        <v>15285</v>
      </c>
      <c r="F7945" s="6" t="s">
        <v>15290</v>
      </c>
      <c r="G7945" s="3" t="s">
        <v>11449</v>
      </c>
      <c r="H7945" s="185">
        <v>0</v>
      </c>
      <c r="I7945" s="16">
        <v>470000000</v>
      </c>
      <c r="J7945" s="56" t="s">
        <v>229</v>
      </c>
      <c r="K7945" s="57" t="s">
        <v>7699</v>
      </c>
      <c r="L7945" s="17" t="s">
        <v>11411</v>
      </c>
      <c r="M7945" s="3" t="s">
        <v>230</v>
      </c>
      <c r="N7945" s="6" t="s">
        <v>521</v>
      </c>
      <c r="O7945" s="6" t="s">
        <v>15287</v>
      </c>
      <c r="P7945" s="58">
        <v>796</v>
      </c>
      <c r="Q7945" s="37" t="s">
        <v>234</v>
      </c>
      <c r="R7945" s="216">
        <v>1</v>
      </c>
      <c r="S7945" s="59">
        <v>97768</v>
      </c>
      <c r="T7945" s="4">
        <v>0</v>
      </c>
      <c r="U7945" s="4">
        <f t="shared" si="450"/>
        <v>0</v>
      </c>
      <c r="V7945" s="3"/>
      <c r="W7945" s="3">
        <v>2014</v>
      </c>
      <c r="X7945" s="3" t="s">
        <v>14785</v>
      </c>
    </row>
    <row r="7946" spans="1:24" ht="89.25">
      <c r="A7946" s="3" t="s">
        <v>18117</v>
      </c>
      <c r="B7946" s="6" t="s">
        <v>361</v>
      </c>
      <c r="C7946" s="6" t="s">
        <v>15284</v>
      </c>
      <c r="D7946" s="4" t="s">
        <v>3237</v>
      </c>
      <c r="E7946" s="6" t="s">
        <v>15285</v>
      </c>
      <c r="F7946" s="6" t="s">
        <v>15290</v>
      </c>
      <c r="G7946" s="3" t="s">
        <v>11449</v>
      </c>
      <c r="H7946" s="185">
        <v>0</v>
      </c>
      <c r="I7946" s="16">
        <v>470000000</v>
      </c>
      <c r="J7946" s="56" t="s">
        <v>229</v>
      </c>
      <c r="K7946" s="57" t="s">
        <v>7699</v>
      </c>
      <c r="L7946" s="17" t="s">
        <v>11411</v>
      </c>
      <c r="M7946" s="3" t="s">
        <v>230</v>
      </c>
      <c r="N7946" s="6" t="s">
        <v>521</v>
      </c>
      <c r="O7946" s="6" t="s">
        <v>15287</v>
      </c>
      <c r="P7946" s="58">
        <v>796</v>
      </c>
      <c r="Q7946" s="342" t="s">
        <v>234</v>
      </c>
      <c r="R7946" s="216">
        <v>1</v>
      </c>
      <c r="S7946" s="59">
        <v>97768</v>
      </c>
      <c r="T7946" s="4">
        <v>0</v>
      </c>
      <c r="U7946" s="4">
        <f t="shared" si="450"/>
        <v>0</v>
      </c>
      <c r="V7946" s="3"/>
      <c r="W7946" s="3">
        <v>2014</v>
      </c>
      <c r="X7946" s="3" t="s">
        <v>19405</v>
      </c>
    </row>
    <row r="7947" spans="1:24" ht="89.25">
      <c r="A7947" s="3" t="s">
        <v>19279</v>
      </c>
      <c r="B7947" s="6" t="s">
        <v>361</v>
      </c>
      <c r="C7947" s="6" t="s">
        <v>15284</v>
      </c>
      <c r="D7947" s="4" t="s">
        <v>3237</v>
      </c>
      <c r="E7947" s="6" t="s">
        <v>15285</v>
      </c>
      <c r="F7947" s="6" t="s">
        <v>15290</v>
      </c>
      <c r="G7947" s="3" t="s">
        <v>11450</v>
      </c>
      <c r="H7947" s="185">
        <v>0.2</v>
      </c>
      <c r="I7947" s="16">
        <v>470000000</v>
      </c>
      <c r="J7947" s="56" t="s">
        <v>229</v>
      </c>
      <c r="K7947" s="57" t="s">
        <v>18437</v>
      </c>
      <c r="L7947" s="17" t="s">
        <v>11411</v>
      </c>
      <c r="M7947" s="3" t="s">
        <v>230</v>
      </c>
      <c r="N7947" s="6" t="s">
        <v>528</v>
      </c>
      <c r="O7947" s="16" t="s">
        <v>8915</v>
      </c>
      <c r="P7947" s="58">
        <v>796</v>
      </c>
      <c r="Q7947" s="342" t="s">
        <v>234</v>
      </c>
      <c r="R7947" s="216">
        <v>1</v>
      </c>
      <c r="S7947" s="59">
        <v>97855</v>
      </c>
      <c r="T7947" s="4">
        <f>R7947*S7947</f>
        <v>97855</v>
      </c>
      <c r="U7947" s="4">
        <f t="shared" si="450"/>
        <v>109597.6</v>
      </c>
      <c r="V7947" s="3" t="s">
        <v>362</v>
      </c>
      <c r="W7947" s="3">
        <v>2014</v>
      </c>
      <c r="X7947" s="3"/>
    </row>
    <row r="7948" spans="1:24" ht="89.25">
      <c r="A7948" s="3" t="s">
        <v>16126</v>
      </c>
      <c r="B7948" s="6" t="s">
        <v>361</v>
      </c>
      <c r="C7948" s="6" t="s">
        <v>15284</v>
      </c>
      <c r="D7948" s="4" t="s">
        <v>3237</v>
      </c>
      <c r="E7948" s="6" t="s">
        <v>15285</v>
      </c>
      <c r="F7948" s="6" t="s">
        <v>15291</v>
      </c>
      <c r="G7948" s="3" t="s">
        <v>11449</v>
      </c>
      <c r="H7948" s="185">
        <v>0</v>
      </c>
      <c r="I7948" s="16">
        <v>470000000</v>
      </c>
      <c r="J7948" s="56" t="s">
        <v>229</v>
      </c>
      <c r="K7948" s="57" t="s">
        <v>7699</v>
      </c>
      <c r="L7948" s="17" t="s">
        <v>11411</v>
      </c>
      <c r="M7948" s="3" t="s">
        <v>230</v>
      </c>
      <c r="N7948" s="6" t="s">
        <v>521</v>
      </c>
      <c r="O7948" s="6" t="s">
        <v>15287</v>
      </c>
      <c r="P7948" s="58">
        <v>796</v>
      </c>
      <c r="Q7948" s="327" t="s">
        <v>234</v>
      </c>
      <c r="R7948" s="216">
        <v>1</v>
      </c>
      <c r="S7948" s="59">
        <v>82087</v>
      </c>
      <c r="T7948" s="4">
        <v>0</v>
      </c>
      <c r="U7948" s="4">
        <f t="shared" si="450"/>
        <v>0</v>
      </c>
      <c r="V7948" s="3"/>
      <c r="W7948" s="3">
        <v>2014</v>
      </c>
      <c r="X7948" s="3" t="s">
        <v>19406</v>
      </c>
    </row>
    <row r="7949" spans="1:24" ht="89.25">
      <c r="A7949" s="3" t="s">
        <v>19280</v>
      </c>
      <c r="B7949" s="6" t="s">
        <v>361</v>
      </c>
      <c r="C7949" s="6" t="s">
        <v>15284</v>
      </c>
      <c r="D7949" s="4" t="s">
        <v>3237</v>
      </c>
      <c r="E7949" s="6" t="s">
        <v>15285</v>
      </c>
      <c r="F7949" s="6" t="s">
        <v>15291</v>
      </c>
      <c r="G7949" s="3" t="s">
        <v>11450</v>
      </c>
      <c r="H7949" s="185">
        <v>0.2</v>
      </c>
      <c r="I7949" s="16">
        <v>470000000</v>
      </c>
      <c r="J7949" s="56" t="s">
        <v>229</v>
      </c>
      <c r="K7949" s="57" t="s">
        <v>18437</v>
      </c>
      <c r="L7949" s="17" t="s">
        <v>11411</v>
      </c>
      <c r="M7949" s="3" t="s">
        <v>230</v>
      </c>
      <c r="N7949" s="6" t="s">
        <v>528</v>
      </c>
      <c r="O7949" s="16" t="s">
        <v>8915</v>
      </c>
      <c r="P7949" s="58">
        <v>796</v>
      </c>
      <c r="Q7949" s="327" t="s">
        <v>234</v>
      </c>
      <c r="R7949" s="216">
        <v>1</v>
      </c>
      <c r="S7949" s="59">
        <v>82087</v>
      </c>
      <c r="T7949" s="4">
        <f>R7949*S7949</f>
        <v>82087</v>
      </c>
      <c r="U7949" s="4">
        <f t="shared" si="450"/>
        <v>91937.44</v>
      </c>
      <c r="V7949" s="3" t="s">
        <v>362</v>
      </c>
      <c r="W7949" s="3">
        <v>2014</v>
      </c>
      <c r="X7949" s="3"/>
    </row>
    <row r="7950" spans="1:24" ht="140.25">
      <c r="A7950" s="3" t="s">
        <v>16127</v>
      </c>
      <c r="B7950" s="6" t="s">
        <v>361</v>
      </c>
      <c r="C7950" s="6" t="s">
        <v>15292</v>
      </c>
      <c r="D7950" s="4" t="s">
        <v>15293</v>
      </c>
      <c r="E7950" s="6" t="s">
        <v>15294</v>
      </c>
      <c r="F7950" s="6" t="s">
        <v>15295</v>
      </c>
      <c r="G7950" s="3" t="s">
        <v>11450</v>
      </c>
      <c r="H7950" s="185">
        <v>0</v>
      </c>
      <c r="I7950" s="16">
        <v>470000000</v>
      </c>
      <c r="J7950" s="56" t="s">
        <v>229</v>
      </c>
      <c r="K7950" s="57" t="s">
        <v>7699</v>
      </c>
      <c r="L7950" s="17" t="s">
        <v>11411</v>
      </c>
      <c r="M7950" s="3" t="s">
        <v>230</v>
      </c>
      <c r="N7950" s="6" t="s">
        <v>521</v>
      </c>
      <c r="O7950" s="6" t="s">
        <v>15287</v>
      </c>
      <c r="P7950" s="58">
        <v>796</v>
      </c>
      <c r="Q7950" s="6" t="s">
        <v>234</v>
      </c>
      <c r="R7950" s="216">
        <v>1</v>
      </c>
      <c r="S7950" s="59">
        <v>360360</v>
      </c>
      <c r="T7950" s="4">
        <f t="shared" si="449"/>
        <v>360360</v>
      </c>
      <c r="U7950" s="4">
        <f t="shared" si="450"/>
        <v>403603.20000000001</v>
      </c>
      <c r="V7950" s="3"/>
      <c r="W7950" s="3">
        <v>2014</v>
      </c>
      <c r="X7950" s="158"/>
    </row>
    <row r="7951" spans="1:24" ht="140.25">
      <c r="A7951" s="3" t="s">
        <v>16128</v>
      </c>
      <c r="B7951" s="6" t="s">
        <v>361</v>
      </c>
      <c r="C7951" s="6" t="s">
        <v>15292</v>
      </c>
      <c r="D7951" s="4" t="s">
        <v>15293</v>
      </c>
      <c r="E7951" s="6" t="s">
        <v>15294</v>
      </c>
      <c r="F7951" s="6" t="s">
        <v>16644</v>
      </c>
      <c r="G7951" s="3" t="s">
        <v>11450</v>
      </c>
      <c r="H7951" s="185">
        <v>0</v>
      </c>
      <c r="I7951" s="16">
        <v>470000000</v>
      </c>
      <c r="J7951" s="56" t="s">
        <v>229</v>
      </c>
      <c r="K7951" s="57" t="s">
        <v>7699</v>
      </c>
      <c r="L7951" s="17" t="s">
        <v>11411</v>
      </c>
      <c r="M7951" s="3" t="s">
        <v>230</v>
      </c>
      <c r="N7951" s="6" t="s">
        <v>521</v>
      </c>
      <c r="O7951" s="6" t="s">
        <v>15287</v>
      </c>
      <c r="P7951" s="58">
        <v>796</v>
      </c>
      <c r="Q7951" s="6" t="s">
        <v>234</v>
      </c>
      <c r="R7951" s="216">
        <v>1</v>
      </c>
      <c r="S7951" s="59">
        <v>558000</v>
      </c>
      <c r="T7951" s="4">
        <f t="shared" si="449"/>
        <v>558000</v>
      </c>
      <c r="U7951" s="4">
        <f t="shared" si="450"/>
        <v>624960.00000000012</v>
      </c>
      <c r="V7951" s="3"/>
      <c r="W7951" s="3">
        <v>2014</v>
      </c>
      <c r="X7951" s="158"/>
    </row>
    <row r="7952" spans="1:24" ht="89.25">
      <c r="A7952" s="3" t="s">
        <v>16129</v>
      </c>
      <c r="B7952" s="6" t="s">
        <v>361</v>
      </c>
      <c r="C7952" s="6" t="s">
        <v>15296</v>
      </c>
      <c r="D7952" s="4" t="s">
        <v>343</v>
      </c>
      <c r="E7952" s="6" t="s">
        <v>15297</v>
      </c>
      <c r="F7952" s="6" t="s">
        <v>15298</v>
      </c>
      <c r="G7952" s="3" t="s">
        <v>11449</v>
      </c>
      <c r="H7952" s="185">
        <v>0</v>
      </c>
      <c r="I7952" s="16">
        <v>470000000</v>
      </c>
      <c r="J7952" s="56" t="s">
        <v>229</v>
      </c>
      <c r="K7952" s="57" t="s">
        <v>7699</v>
      </c>
      <c r="L7952" s="17" t="s">
        <v>11411</v>
      </c>
      <c r="M7952" s="3" t="s">
        <v>230</v>
      </c>
      <c r="N7952" s="15" t="s">
        <v>522</v>
      </c>
      <c r="O7952" s="6" t="s">
        <v>4568</v>
      </c>
      <c r="P7952" s="58" t="s">
        <v>235</v>
      </c>
      <c r="Q7952" s="6" t="s">
        <v>15299</v>
      </c>
      <c r="R7952" s="251">
        <v>0.15</v>
      </c>
      <c r="S7952" s="59">
        <v>8858565</v>
      </c>
      <c r="T7952" s="4">
        <v>0</v>
      </c>
      <c r="U7952" s="4">
        <f t="shared" si="450"/>
        <v>0</v>
      </c>
      <c r="V7952" s="3"/>
      <c r="W7952" s="3">
        <v>2014</v>
      </c>
      <c r="X7952" s="3">
        <v>11.14</v>
      </c>
    </row>
    <row r="7953" spans="1:24" ht="89.25">
      <c r="A7953" s="3" t="s">
        <v>17693</v>
      </c>
      <c r="B7953" s="6" t="s">
        <v>361</v>
      </c>
      <c r="C7953" s="6" t="s">
        <v>15296</v>
      </c>
      <c r="D7953" s="4" t="s">
        <v>343</v>
      </c>
      <c r="E7953" s="6" t="s">
        <v>15297</v>
      </c>
      <c r="F7953" s="6" t="s">
        <v>15298</v>
      </c>
      <c r="G7953" s="3" t="s">
        <v>11449</v>
      </c>
      <c r="H7953" s="185">
        <v>0</v>
      </c>
      <c r="I7953" s="16">
        <v>470000000</v>
      </c>
      <c r="J7953" s="56" t="s">
        <v>229</v>
      </c>
      <c r="K7953" s="57" t="s">
        <v>8950</v>
      </c>
      <c r="L7953" s="17" t="s">
        <v>11411</v>
      </c>
      <c r="M7953" s="3" t="s">
        <v>230</v>
      </c>
      <c r="N7953" s="15" t="s">
        <v>17497</v>
      </c>
      <c r="O7953" s="6" t="s">
        <v>4568</v>
      </c>
      <c r="P7953" s="58" t="s">
        <v>235</v>
      </c>
      <c r="Q7953" s="6" t="s">
        <v>15299</v>
      </c>
      <c r="R7953" s="251">
        <v>0.15</v>
      </c>
      <c r="S7953" s="59">
        <v>8858565</v>
      </c>
      <c r="T7953" s="4">
        <f t="shared" ref="T7953" si="451">R7953*S7953</f>
        <v>1328784.75</v>
      </c>
      <c r="U7953" s="4">
        <f t="shared" si="450"/>
        <v>1488238.9200000002</v>
      </c>
      <c r="V7953" s="3"/>
      <c r="W7953" s="3">
        <v>2014</v>
      </c>
      <c r="X7953" s="158"/>
    </row>
    <row r="7954" spans="1:24" ht="89.25">
      <c r="A7954" s="3" t="s">
        <v>16130</v>
      </c>
      <c r="B7954" s="6" t="s">
        <v>361</v>
      </c>
      <c r="C7954" s="6" t="s">
        <v>15300</v>
      </c>
      <c r="D7954" s="4" t="s">
        <v>343</v>
      </c>
      <c r="E7954" s="6" t="s">
        <v>15301</v>
      </c>
      <c r="F7954" s="6" t="s">
        <v>15302</v>
      </c>
      <c r="G7954" s="3" t="s">
        <v>11449</v>
      </c>
      <c r="H7954" s="185">
        <v>0</v>
      </c>
      <c r="I7954" s="16">
        <v>470000000</v>
      </c>
      <c r="J7954" s="56" t="s">
        <v>229</v>
      </c>
      <c r="K7954" s="57" t="s">
        <v>7699</v>
      </c>
      <c r="L7954" s="17" t="s">
        <v>11411</v>
      </c>
      <c r="M7954" s="3" t="s">
        <v>230</v>
      </c>
      <c r="N7954" s="15" t="s">
        <v>522</v>
      </c>
      <c r="O7954" s="6" t="s">
        <v>4568</v>
      </c>
      <c r="P7954" s="58" t="s">
        <v>235</v>
      </c>
      <c r="Q7954" s="6" t="s">
        <v>15299</v>
      </c>
      <c r="R7954" s="251">
        <v>0.37</v>
      </c>
      <c r="S7954" s="59">
        <v>14534356</v>
      </c>
      <c r="T7954" s="4">
        <v>0</v>
      </c>
      <c r="U7954" s="4">
        <f t="shared" si="450"/>
        <v>0</v>
      </c>
      <c r="V7954" s="3"/>
      <c r="W7954" s="3">
        <v>2014</v>
      </c>
      <c r="X7954" s="3">
        <v>11.14</v>
      </c>
    </row>
    <row r="7955" spans="1:24" ht="89.25">
      <c r="A7955" s="3" t="s">
        <v>17694</v>
      </c>
      <c r="B7955" s="6" t="s">
        <v>361</v>
      </c>
      <c r="C7955" s="6" t="s">
        <v>15300</v>
      </c>
      <c r="D7955" s="4" t="s">
        <v>343</v>
      </c>
      <c r="E7955" s="6" t="s">
        <v>15301</v>
      </c>
      <c r="F7955" s="6" t="s">
        <v>15302</v>
      </c>
      <c r="G7955" s="3" t="s">
        <v>11449</v>
      </c>
      <c r="H7955" s="185">
        <v>0</v>
      </c>
      <c r="I7955" s="16">
        <v>470000000</v>
      </c>
      <c r="J7955" s="56" t="s">
        <v>229</v>
      </c>
      <c r="K7955" s="57" t="s">
        <v>8950</v>
      </c>
      <c r="L7955" s="17" t="s">
        <v>11411</v>
      </c>
      <c r="M7955" s="3" t="s">
        <v>230</v>
      </c>
      <c r="N7955" s="15" t="s">
        <v>17497</v>
      </c>
      <c r="O7955" s="6" t="s">
        <v>4568</v>
      </c>
      <c r="P7955" s="58" t="s">
        <v>235</v>
      </c>
      <c r="Q7955" s="6" t="s">
        <v>15299</v>
      </c>
      <c r="R7955" s="251">
        <v>0.37</v>
      </c>
      <c r="S7955" s="59">
        <v>14534356</v>
      </c>
      <c r="T7955" s="4">
        <f t="shared" ref="T7955" si="452">R7955*S7955</f>
        <v>5377711.7199999997</v>
      </c>
      <c r="U7955" s="4">
        <f t="shared" si="450"/>
        <v>6023037.1264000004</v>
      </c>
      <c r="V7955" s="3"/>
      <c r="W7955" s="3">
        <v>2014</v>
      </c>
      <c r="X7955" s="158"/>
    </row>
    <row r="7956" spans="1:24" ht="153">
      <c r="A7956" s="3" t="s">
        <v>16131</v>
      </c>
      <c r="B7956" s="6" t="s">
        <v>361</v>
      </c>
      <c r="C7956" s="6" t="s">
        <v>4388</v>
      </c>
      <c r="D7956" s="6" t="s">
        <v>4375</v>
      </c>
      <c r="E7956" s="6" t="s">
        <v>4389</v>
      </c>
      <c r="F7956" s="6" t="s">
        <v>15303</v>
      </c>
      <c r="G7956" s="3" t="s">
        <v>11449</v>
      </c>
      <c r="H7956" s="54">
        <v>0</v>
      </c>
      <c r="I7956" s="16">
        <v>470000000</v>
      </c>
      <c r="J7956" s="56" t="s">
        <v>229</v>
      </c>
      <c r="K7956" s="57" t="s">
        <v>7699</v>
      </c>
      <c r="L7956" s="17" t="s">
        <v>11411</v>
      </c>
      <c r="M7956" s="162" t="s">
        <v>230</v>
      </c>
      <c r="N7956" s="15" t="s">
        <v>524</v>
      </c>
      <c r="O7956" s="6" t="s">
        <v>4568</v>
      </c>
      <c r="P7956" s="58" t="s">
        <v>241</v>
      </c>
      <c r="Q7956" s="6" t="s">
        <v>234</v>
      </c>
      <c r="R7956" s="1">
        <v>10</v>
      </c>
      <c r="S7956" s="59">
        <v>218000</v>
      </c>
      <c r="T7956" s="4">
        <v>0</v>
      </c>
      <c r="U7956" s="4">
        <f t="shared" si="450"/>
        <v>0</v>
      </c>
      <c r="V7956" s="3"/>
      <c r="W7956" s="3">
        <v>2014</v>
      </c>
      <c r="X7956" s="3">
        <v>11.14</v>
      </c>
    </row>
    <row r="7957" spans="1:24" ht="153">
      <c r="A7957" s="3" t="s">
        <v>18451</v>
      </c>
      <c r="B7957" s="6" t="s">
        <v>361</v>
      </c>
      <c r="C7957" s="6" t="s">
        <v>4388</v>
      </c>
      <c r="D7957" s="6" t="s">
        <v>4375</v>
      </c>
      <c r="E7957" s="6" t="s">
        <v>4389</v>
      </c>
      <c r="F7957" s="6" t="s">
        <v>15303</v>
      </c>
      <c r="G7957" s="3" t="s">
        <v>11449</v>
      </c>
      <c r="H7957" s="54">
        <v>0</v>
      </c>
      <c r="I7957" s="16">
        <v>470000000</v>
      </c>
      <c r="J7957" s="56" t="s">
        <v>229</v>
      </c>
      <c r="K7957" s="57" t="s">
        <v>8950</v>
      </c>
      <c r="L7957" s="17" t="s">
        <v>11411</v>
      </c>
      <c r="M7957" s="162" t="s">
        <v>230</v>
      </c>
      <c r="N7957" s="15" t="s">
        <v>8914</v>
      </c>
      <c r="O7957" s="6" t="s">
        <v>4568</v>
      </c>
      <c r="P7957" s="58" t="s">
        <v>241</v>
      </c>
      <c r="Q7957" s="6" t="s">
        <v>234</v>
      </c>
      <c r="R7957" s="1">
        <v>10</v>
      </c>
      <c r="S7957" s="59">
        <v>218000</v>
      </c>
      <c r="T7957" s="4">
        <v>0</v>
      </c>
      <c r="U7957" s="4">
        <f t="shared" si="450"/>
        <v>0</v>
      </c>
      <c r="V7957" s="3"/>
      <c r="W7957" s="3">
        <v>2014</v>
      </c>
      <c r="X7957" s="6" t="s">
        <v>18731</v>
      </c>
    </row>
    <row r="7958" spans="1:24" ht="153">
      <c r="A7958" s="3" t="s">
        <v>18450</v>
      </c>
      <c r="B7958" s="6" t="s">
        <v>361</v>
      </c>
      <c r="C7958" s="6" t="s">
        <v>4388</v>
      </c>
      <c r="D7958" s="6" t="s">
        <v>4375</v>
      </c>
      <c r="E7958" s="6" t="s">
        <v>4389</v>
      </c>
      <c r="F7958" s="6" t="s">
        <v>15303</v>
      </c>
      <c r="G7958" s="3" t="s">
        <v>11449</v>
      </c>
      <c r="H7958" s="54">
        <v>0.4</v>
      </c>
      <c r="I7958" s="16">
        <v>470000000</v>
      </c>
      <c r="J7958" s="56" t="s">
        <v>229</v>
      </c>
      <c r="K7958" s="57" t="s">
        <v>9369</v>
      </c>
      <c r="L7958" s="17" t="s">
        <v>11411</v>
      </c>
      <c r="M7958" s="162" t="s">
        <v>230</v>
      </c>
      <c r="N7958" s="15" t="s">
        <v>17491</v>
      </c>
      <c r="O7958" s="6" t="s">
        <v>18732</v>
      </c>
      <c r="P7958" s="58" t="s">
        <v>241</v>
      </c>
      <c r="Q7958" s="6" t="s">
        <v>234</v>
      </c>
      <c r="R7958" s="1">
        <v>10</v>
      </c>
      <c r="S7958" s="59">
        <v>218000</v>
      </c>
      <c r="T7958" s="4">
        <v>0</v>
      </c>
      <c r="U7958" s="4">
        <f t="shared" si="450"/>
        <v>0</v>
      </c>
      <c r="V7958" s="3" t="s">
        <v>362</v>
      </c>
      <c r="W7958" s="3">
        <v>2014</v>
      </c>
      <c r="X7958" s="3" t="s">
        <v>19353</v>
      </c>
    </row>
    <row r="7959" spans="1:24" ht="153">
      <c r="A7959" s="3" t="s">
        <v>19373</v>
      </c>
      <c r="B7959" s="6" t="s">
        <v>361</v>
      </c>
      <c r="C7959" s="6" t="s">
        <v>4388</v>
      </c>
      <c r="D7959" s="6" t="s">
        <v>4375</v>
      </c>
      <c r="E7959" s="6" t="s">
        <v>4389</v>
      </c>
      <c r="F7959" s="6" t="s">
        <v>15303</v>
      </c>
      <c r="G7959" s="3" t="s">
        <v>11449</v>
      </c>
      <c r="H7959" s="54">
        <v>0</v>
      </c>
      <c r="I7959" s="16">
        <v>470000000</v>
      </c>
      <c r="J7959" s="56" t="s">
        <v>229</v>
      </c>
      <c r="K7959" s="57" t="s">
        <v>18437</v>
      </c>
      <c r="L7959" s="17" t="s">
        <v>11411</v>
      </c>
      <c r="M7959" s="162" t="s">
        <v>230</v>
      </c>
      <c r="N7959" s="15" t="s">
        <v>17491</v>
      </c>
      <c r="O7959" s="6" t="s">
        <v>19407</v>
      </c>
      <c r="P7959" s="58" t="s">
        <v>241</v>
      </c>
      <c r="Q7959" s="6" t="s">
        <v>234</v>
      </c>
      <c r="R7959" s="1">
        <v>10</v>
      </c>
      <c r="S7959" s="59">
        <v>218000</v>
      </c>
      <c r="T7959" s="4">
        <f t="shared" ref="T7959" si="453">R7959*S7959</f>
        <v>2180000</v>
      </c>
      <c r="U7959" s="4">
        <f t="shared" si="450"/>
        <v>2441600</v>
      </c>
      <c r="V7959" s="3"/>
      <c r="W7959" s="3">
        <v>2014</v>
      </c>
      <c r="X7959" s="158"/>
    </row>
    <row r="7960" spans="1:24" ht="102">
      <c r="A7960" s="3" t="s">
        <v>16132</v>
      </c>
      <c r="B7960" s="6" t="s">
        <v>361</v>
      </c>
      <c r="C7960" s="6" t="s">
        <v>15304</v>
      </c>
      <c r="D7960" s="6" t="s">
        <v>15305</v>
      </c>
      <c r="E7960" s="6" t="s">
        <v>15306</v>
      </c>
      <c r="F7960" s="6" t="s">
        <v>15307</v>
      </c>
      <c r="G7960" s="3" t="s">
        <v>11450</v>
      </c>
      <c r="H7960" s="54">
        <v>0</v>
      </c>
      <c r="I7960" s="16">
        <v>470000000</v>
      </c>
      <c r="J7960" s="56" t="s">
        <v>229</v>
      </c>
      <c r="K7960" s="57" t="s">
        <v>7699</v>
      </c>
      <c r="L7960" s="17" t="s">
        <v>11411</v>
      </c>
      <c r="M7960" s="162" t="s">
        <v>230</v>
      </c>
      <c r="N7960" s="15" t="s">
        <v>524</v>
      </c>
      <c r="O7960" s="6" t="s">
        <v>4568</v>
      </c>
      <c r="P7960" s="58" t="s">
        <v>241</v>
      </c>
      <c r="Q7960" s="6" t="s">
        <v>234</v>
      </c>
      <c r="R7960" s="251">
        <v>5</v>
      </c>
      <c r="S7960" s="59">
        <v>69450</v>
      </c>
      <c r="T7960" s="4">
        <v>0</v>
      </c>
      <c r="U7960" s="4">
        <f t="shared" si="450"/>
        <v>0</v>
      </c>
      <c r="V7960" s="3"/>
      <c r="W7960" s="3">
        <v>2014</v>
      </c>
      <c r="X7960" s="3">
        <v>11.14</v>
      </c>
    </row>
    <row r="7961" spans="1:24" ht="102">
      <c r="A7961" s="3" t="s">
        <v>17695</v>
      </c>
      <c r="B7961" s="6" t="s">
        <v>361</v>
      </c>
      <c r="C7961" s="6" t="s">
        <v>15304</v>
      </c>
      <c r="D7961" s="6" t="s">
        <v>15305</v>
      </c>
      <c r="E7961" s="6" t="s">
        <v>15306</v>
      </c>
      <c r="F7961" s="6" t="s">
        <v>15307</v>
      </c>
      <c r="G7961" s="3" t="s">
        <v>11450</v>
      </c>
      <c r="H7961" s="54">
        <v>0</v>
      </c>
      <c r="I7961" s="16">
        <v>470000000</v>
      </c>
      <c r="J7961" s="56" t="s">
        <v>229</v>
      </c>
      <c r="K7961" s="57" t="s">
        <v>8950</v>
      </c>
      <c r="L7961" s="17" t="s">
        <v>11411</v>
      </c>
      <c r="M7961" s="162" t="s">
        <v>230</v>
      </c>
      <c r="N7961" s="15" t="s">
        <v>521</v>
      </c>
      <c r="O7961" s="6" t="s">
        <v>4568</v>
      </c>
      <c r="P7961" s="58" t="s">
        <v>241</v>
      </c>
      <c r="Q7961" s="6" t="s">
        <v>234</v>
      </c>
      <c r="R7961" s="251">
        <v>5</v>
      </c>
      <c r="S7961" s="59">
        <v>69450</v>
      </c>
      <c r="T7961" s="4">
        <f t="shared" ref="T7961" si="454">R7961*S7961</f>
        <v>347250</v>
      </c>
      <c r="U7961" s="4">
        <f t="shared" si="450"/>
        <v>388920.00000000006</v>
      </c>
      <c r="V7961" s="3"/>
      <c r="W7961" s="3">
        <v>2014</v>
      </c>
      <c r="X7961" s="158"/>
    </row>
    <row r="7962" spans="1:24" ht="102">
      <c r="A7962" s="3" t="s">
        <v>16133</v>
      </c>
      <c r="B7962" s="6" t="s">
        <v>361</v>
      </c>
      <c r="C7962" s="6" t="s">
        <v>15304</v>
      </c>
      <c r="D7962" s="6" t="s">
        <v>15305</v>
      </c>
      <c r="E7962" s="6" t="s">
        <v>15306</v>
      </c>
      <c r="F7962" s="6" t="s">
        <v>15308</v>
      </c>
      <c r="G7962" s="3" t="s">
        <v>11450</v>
      </c>
      <c r="H7962" s="54">
        <v>0</v>
      </c>
      <c r="I7962" s="16">
        <v>470000000</v>
      </c>
      <c r="J7962" s="56" t="s">
        <v>229</v>
      </c>
      <c r="K7962" s="57" t="s">
        <v>7699</v>
      </c>
      <c r="L7962" s="17" t="s">
        <v>11411</v>
      </c>
      <c r="M7962" s="162" t="s">
        <v>230</v>
      </c>
      <c r="N7962" s="15" t="s">
        <v>524</v>
      </c>
      <c r="O7962" s="6" t="s">
        <v>4568</v>
      </c>
      <c r="P7962" s="58" t="s">
        <v>241</v>
      </c>
      <c r="Q7962" s="6" t="s">
        <v>234</v>
      </c>
      <c r="R7962" s="251">
        <v>1</v>
      </c>
      <c r="S7962" s="59">
        <v>57483.88</v>
      </c>
      <c r="T7962" s="4">
        <v>0</v>
      </c>
      <c r="U7962" s="4">
        <f t="shared" si="450"/>
        <v>0</v>
      </c>
      <c r="V7962" s="3"/>
      <c r="W7962" s="3">
        <v>2014</v>
      </c>
      <c r="X7962" s="3">
        <v>11.14</v>
      </c>
    </row>
    <row r="7963" spans="1:24" ht="102">
      <c r="A7963" s="3" t="s">
        <v>17696</v>
      </c>
      <c r="B7963" s="6" t="s">
        <v>361</v>
      </c>
      <c r="C7963" s="6" t="s">
        <v>15304</v>
      </c>
      <c r="D7963" s="6" t="s">
        <v>15305</v>
      </c>
      <c r="E7963" s="6" t="s">
        <v>15306</v>
      </c>
      <c r="F7963" s="6" t="s">
        <v>15308</v>
      </c>
      <c r="G7963" s="3" t="s">
        <v>11450</v>
      </c>
      <c r="H7963" s="54">
        <v>0</v>
      </c>
      <c r="I7963" s="16">
        <v>470000000</v>
      </c>
      <c r="J7963" s="56" t="s">
        <v>229</v>
      </c>
      <c r="K7963" s="57" t="s">
        <v>8950</v>
      </c>
      <c r="L7963" s="17" t="s">
        <v>11411</v>
      </c>
      <c r="M7963" s="162" t="s">
        <v>230</v>
      </c>
      <c r="N7963" s="15" t="s">
        <v>521</v>
      </c>
      <c r="O7963" s="6" t="s">
        <v>4568</v>
      </c>
      <c r="P7963" s="58" t="s">
        <v>241</v>
      </c>
      <c r="Q7963" s="6" t="s">
        <v>234</v>
      </c>
      <c r="R7963" s="251">
        <v>1</v>
      </c>
      <c r="S7963" s="59">
        <v>57483.88</v>
      </c>
      <c r="T7963" s="4">
        <f t="shared" ref="T7963" si="455">R7963*S7963</f>
        <v>57483.88</v>
      </c>
      <c r="U7963" s="4">
        <f t="shared" si="450"/>
        <v>64381.945600000006</v>
      </c>
      <c r="V7963" s="3"/>
      <c r="W7963" s="3">
        <v>2014</v>
      </c>
      <c r="X7963" s="158"/>
    </row>
    <row r="7964" spans="1:24" ht="89.25">
      <c r="A7964" s="3" t="s">
        <v>16134</v>
      </c>
      <c r="B7964" s="6" t="s">
        <v>361</v>
      </c>
      <c r="C7964" s="6" t="s">
        <v>15309</v>
      </c>
      <c r="D7964" s="6" t="s">
        <v>15310</v>
      </c>
      <c r="E7964" s="6" t="s">
        <v>15311</v>
      </c>
      <c r="F7964" s="6" t="s">
        <v>15312</v>
      </c>
      <c r="G7964" s="3" t="s">
        <v>11450</v>
      </c>
      <c r="H7964" s="54">
        <v>0</v>
      </c>
      <c r="I7964" s="16">
        <v>470000000</v>
      </c>
      <c r="J7964" s="56" t="s">
        <v>229</v>
      </c>
      <c r="K7964" s="57" t="s">
        <v>7699</v>
      </c>
      <c r="L7964" s="17" t="s">
        <v>11411</v>
      </c>
      <c r="M7964" s="162" t="s">
        <v>230</v>
      </c>
      <c r="N7964" s="15" t="s">
        <v>524</v>
      </c>
      <c r="O7964" s="6" t="s">
        <v>4568</v>
      </c>
      <c r="P7964" s="58" t="s">
        <v>241</v>
      </c>
      <c r="Q7964" s="6" t="s">
        <v>234</v>
      </c>
      <c r="R7964" s="251">
        <v>2</v>
      </c>
      <c r="S7964" s="59">
        <v>110450</v>
      </c>
      <c r="T7964" s="4">
        <v>0</v>
      </c>
      <c r="U7964" s="4">
        <f t="shared" si="450"/>
        <v>0</v>
      </c>
      <c r="V7964" s="3"/>
      <c r="W7964" s="3">
        <v>2014</v>
      </c>
      <c r="X7964" s="3">
        <v>11.14</v>
      </c>
    </row>
    <row r="7965" spans="1:24" ht="89.25">
      <c r="A7965" s="3" t="s">
        <v>17697</v>
      </c>
      <c r="B7965" s="6" t="s">
        <v>361</v>
      </c>
      <c r="C7965" s="6" t="s">
        <v>15309</v>
      </c>
      <c r="D7965" s="6" t="s">
        <v>15310</v>
      </c>
      <c r="E7965" s="6" t="s">
        <v>15311</v>
      </c>
      <c r="F7965" s="6" t="s">
        <v>15312</v>
      </c>
      <c r="G7965" s="3" t="s">
        <v>11450</v>
      </c>
      <c r="H7965" s="54">
        <v>0</v>
      </c>
      <c r="I7965" s="16">
        <v>470000000</v>
      </c>
      <c r="J7965" s="56" t="s">
        <v>229</v>
      </c>
      <c r="K7965" s="57" t="s">
        <v>8950</v>
      </c>
      <c r="L7965" s="17" t="s">
        <v>11411</v>
      </c>
      <c r="M7965" s="162" t="s">
        <v>230</v>
      </c>
      <c r="N7965" s="15" t="s">
        <v>17491</v>
      </c>
      <c r="O7965" s="6" t="s">
        <v>4568</v>
      </c>
      <c r="P7965" s="58" t="s">
        <v>241</v>
      </c>
      <c r="Q7965" s="6" t="s">
        <v>234</v>
      </c>
      <c r="R7965" s="251">
        <v>2</v>
      </c>
      <c r="S7965" s="59">
        <v>110450</v>
      </c>
      <c r="T7965" s="4">
        <f t="shared" ref="T7965" si="456">R7965*S7965</f>
        <v>220900</v>
      </c>
      <c r="U7965" s="4">
        <f t="shared" si="450"/>
        <v>247408.00000000003</v>
      </c>
      <c r="V7965" s="3"/>
      <c r="W7965" s="3">
        <v>2014</v>
      </c>
      <c r="X7965" s="158"/>
    </row>
    <row r="7966" spans="1:24" ht="89.25">
      <c r="A7966" s="3" t="s">
        <v>16135</v>
      </c>
      <c r="B7966" s="6" t="s">
        <v>361</v>
      </c>
      <c r="C7966" s="6" t="s">
        <v>15313</v>
      </c>
      <c r="D7966" s="6" t="s">
        <v>15310</v>
      </c>
      <c r="E7966" s="6" t="s">
        <v>15314</v>
      </c>
      <c r="F7966" s="6" t="s">
        <v>15315</v>
      </c>
      <c r="G7966" s="3" t="s">
        <v>11450</v>
      </c>
      <c r="H7966" s="54">
        <v>0</v>
      </c>
      <c r="I7966" s="16">
        <v>470000000</v>
      </c>
      <c r="J7966" s="56" t="s">
        <v>229</v>
      </c>
      <c r="K7966" s="57" t="s">
        <v>7699</v>
      </c>
      <c r="L7966" s="17" t="s">
        <v>11411</v>
      </c>
      <c r="M7966" s="162" t="s">
        <v>230</v>
      </c>
      <c r="N7966" s="15" t="s">
        <v>524</v>
      </c>
      <c r="O7966" s="6" t="s">
        <v>4568</v>
      </c>
      <c r="P7966" s="58" t="s">
        <v>241</v>
      </c>
      <c r="Q7966" s="6" t="s">
        <v>234</v>
      </c>
      <c r="R7966" s="251">
        <v>2</v>
      </c>
      <c r="S7966" s="59">
        <v>170450</v>
      </c>
      <c r="T7966" s="4">
        <v>0</v>
      </c>
      <c r="U7966" s="4">
        <f t="shared" si="450"/>
        <v>0</v>
      </c>
      <c r="V7966" s="3"/>
      <c r="W7966" s="3">
        <v>2014</v>
      </c>
      <c r="X7966" s="3">
        <v>11.14</v>
      </c>
    </row>
    <row r="7967" spans="1:24" ht="89.25">
      <c r="A7967" s="3" t="s">
        <v>17698</v>
      </c>
      <c r="B7967" s="6" t="s">
        <v>361</v>
      </c>
      <c r="C7967" s="6" t="s">
        <v>15313</v>
      </c>
      <c r="D7967" s="6" t="s">
        <v>15310</v>
      </c>
      <c r="E7967" s="6" t="s">
        <v>15314</v>
      </c>
      <c r="F7967" s="6" t="s">
        <v>15315</v>
      </c>
      <c r="G7967" s="3" t="s">
        <v>11450</v>
      </c>
      <c r="H7967" s="54">
        <v>0</v>
      </c>
      <c r="I7967" s="16">
        <v>470000000</v>
      </c>
      <c r="J7967" s="56" t="s">
        <v>229</v>
      </c>
      <c r="K7967" s="57" t="s">
        <v>8950</v>
      </c>
      <c r="L7967" s="17" t="s">
        <v>11411</v>
      </c>
      <c r="M7967" s="162" t="s">
        <v>230</v>
      </c>
      <c r="N7967" s="15" t="s">
        <v>17491</v>
      </c>
      <c r="O7967" s="6" t="s">
        <v>4568</v>
      </c>
      <c r="P7967" s="58" t="s">
        <v>241</v>
      </c>
      <c r="Q7967" s="6" t="s">
        <v>234</v>
      </c>
      <c r="R7967" s="251">
        <v>2</v>
      </c>
      <c r="S7967" s="59">
        <v>170450</v>
      </c>
      <c r="T7967" s="4">
        <f t="shared" ref="T7967" si="457">R7967*S7967</f>
        <v>340900</v>
      </c>
      <c r="U7967" s="4">
        <f t="shared" si="450"/>
        <v>381808.00000000006</v>
      </c>
      <c r="V7967" s="3"/>
      <c r="W7967" s="3">
        <v>2014</v>
      </c>
      <c r="X7967" s="158"/>
    </row>
    <row r="7968" spans="1:24" ht="89.25">
      <c r="A7968" s="3" t="s">
        <v>16136</v>
      </c>
      <c r="B7968" s="6" t="s">
        <v>361</v>
      </c>
      <c r="C7968" s="6" t="s">
        <v>15309</v>
      </c>
      <c r="D7968" s="6" t="s">
        <v>15310</v>
      </c>
      <c r="E7968" s="6" t="s">
        <v>15311</v>
      </c>
      <c r="F7968" s="6" t="s">
        <v>15316</v>
      </c>
      <c r="G7968" s="3" t="s">
        <v>11450</v>
      </c>
      <c r="H7968" s="54">
        <v>0</v>
      </c>
      <c r="I7968" s="16">
        <v>470000000</v>
      </c>
      <c r="J7968" s="56" t="s">
        <v>229</v>
      </c>
      <c r="K7968" s="57" t="s">
        <v>7699</v>
      </c>
      <c r="L7968" s="17" t="s">
        <v>11411</v>
      </c>
      <c r="M7968" s="162" t="s">
        <v>230</v>
      </c>
      <c r="N7968" s="15" t="s">
        <v>524</v>
      </c>
      <c r="O7968" s="6" t="s">
        <v>4568</v>
      </c>
      <c r="P7968" s="58" t="s">
        <v>241</v>
      </c>
      <c r="Q7968" s="6" t="s">
        <v>234</v>
      </c>
      <c r="R7968" s="251">
        <v>4</v>
      </c>
      <c r="S7968" s="59">
        <v>38540</v>
      </c>
      <c r="T7968" s="4">
        <v>0</v>
      </c>
      <c r="U7968" s="4">
        <f t="shared" si="450"/>
        <v>0</v>
      </c>
      <c r="V7968" s="3"/>
      <c r="W7968" s="3">
        <v>2014</v>
      </c>
      <c r="X7968" s="3">
        <v>11.14</v>
      </c>
    </row>
    <row r="7969" spans="1:24" ht="89.25">
      <c r="A7969" s="3" t="s">
        <v>17699</v>
      </c>
      <c r="B7969" s="6" t="s">
        <v>361</v>
      </c>
      <c r="C7969" s="6" t="s">
        <v>15309</v>
      </c>
      <c r="D7969" s="6" t="s">
        <v>15310</v>
      </c>
      <c r="E7969" s="6" t="s">
        <v>15311</v>
      </c>
      <c r="F7969" s="6" t="s">
        <v>15316</v>
      </c>
      <c r="G7969" s="3" t="s">
        <v>11450</v>
      </c>
      <c r="H7969" s="54">
        <v>0</v>
      </c>
      <c r="I7969" s="16">
        <v>470000000</v>
      </c>
      <c r="J7969" s="56" t="s">
        <v>229</v>
      </c>
      <c r="K7969" s="57" t="s">
        <v>8950</v>
      </c>
      <c r="L7969" s="17" t="s">
        <v>11411</v>
      </c>
      <c r="M7969" s="162" t="s">
        <v>230</v>
      </c>
      <c r="N7969" s="15" t="s">
        <v>17491</v>
      </c>
      <c r="O7969" s="6" t="s">
        <v>4568</v>
      </c>
      <c r="P7969" s="58" t="s">
        <v>241</v>
      </c>
      <c r="Q7969" s="6" t="s">
        <v>234</v>
      </c>
      <c r="R7969" s="251">
        <v>4</v>
      </c>
      <c r="S7969" s="59">
        <v>38540</v>
      </c>
      <c r="T7969" s="4">
        <f t="shared" ref="T7969" si="458">R7969*S7969</f>
        <v>154160</v>
      </c>
      <c r="U7969" s="4">
        <f t="shared" si="450"/>
        <v>172659.20000000001</v>
      </c>
      <c r="V7969" s="3"/>
      <c r="W7969" s="3">
        <v>2014</v>
      </c>
      <c r="X7969" s="158"/>
    </row>
    <row r="7970" spans="1:24" ht="89.25">
      <c r="A7970" s="3" t="s">
        <v>16137</v>
      </c>
      <c r="B7970" s="6" t="s">
        <v>361</v>
      </c>
      <c r="C7970" s="6" t="s">
        <v>15317</v>
      </c>
      <c r="D7970" s="6" t="s">
        <v>15318</v>
      </c>
      <c r="E7970" s="6" t="s">
        <v>15319</v>
      </c>
      <c r="F7970" s="6" t="s">
        <v>15320</v>
      </c>
      <c r="G7970" s="3" t="s">
        <v>11450</v>
      </c>
      <c r="H7970" s="54">
        <v>0</v>
      </c>
      <c r="I7970" s="16">
        <v>470000000</v>
      </c>
      <c r="J7970" s="56" t="s">
        <v>229</v>
      </c>
      <c r="K7970" s="57" t="s">
        <v>7699</v>
      </c>
      <c r="L7970" s="17" t="s">
        <v>11411</v>
      </c>
      <c r="M7970" s="162" t="s">
        <v>230</v>
      </c>
      <c r="N7970" s="15" t="s">
        <v>524</v>
      </c>
      <c r="O7970" s="6" t="s">
        <v>4568</v>
      </c>
      <c r="P7970" s="58" t="s">
        <v>241</v>
      </c>
      <c r="Q7970" s="6" t="s">
        <v>234</v>
      </c>
      <c r="R7970" s="251">
        <v>9</v>
      </c>
      <c r="S7970" s="59">
        <v>12600</v>
      </c>
      <c r="T7970" s="4">
        <v>0</v>
      </c>
      <c r="U7970" s="4">
        <f t="shared" si="450"/>
        <v>0</v>
      </c>
      <c r="V7970" s="3"/>
      <c r="W7970" s="3">
        <v>2014</v>
      </c>
      <c r="X7970" s="3">
        <v>11.14</v>
      </c>
    </row>
    <row r="7971" spans="1:24" ht="89.25">
      <c r="A7971" s="3" t="s">
        <v>17700</v>
      </c>
      <c r="B7971" s="6" t="s">
        <v>361</v>
      </c>
      <c r="C7971" s="6" t="s">
        <v>15317</v>
      </c>
      <c r="D7971" s="6" t="s">
        <v>15318</v>
      </c>
      <c r="E7971" s="6" t="s">
        <v>15319</v>
      </c>
      <c r="F7971" s="6" t="s">
        <v>15320</v>
      </c>
      <c r="G7971" s="3" t="s">
        <v>11450</v>
      </c>
      <c r="H7971" s="54">
        <v>0</v>
      </c>
      <c r="I7971" s="16">
        <v>470000000</v>
      </c>
      <c r="J7971" s="56" t="s">
        <v>229</v>
      </c>
      <c r="K7971" s="57" t="s">
        <v>8950</v>
      </c>
      <c r="L7971" s="17" t="s">
        <v>11411</v>
      </c>
      <c r="M7971" s="162" t="s">
        <v>230</v>
      </c>
      <c r="N7971" s="15" t="s">
        <v>17560</v>
      </c>
      <c r="O7971" s="6" t="s">
        <v>4568</v>
      </c>
      <c r="P7971" s="58" t="s">
        <v>241</v>
      </c>
      <c r="Q7971" s="6" t="s">
        <v>234</v>
      </c>
      <c r="R7971" s="251">
        <v>9</v>
      </c>
      <c r="S7971" s="59">
        <v>12600</v>
      </c>
      <c r="T7971" s="4">
        <f t="shared" ref="T7971" si="459">R7971*S7971</f>
        <v>113400</v>
      </c>
      <c r="U7971" s="4">
        <f t="shared" si="450"/>
        <v>127008.00000000001</v>
      </c>
      <c r="V7971" s="3"/>
      <c r="W7971" s="3">
        <v>2014</v>
      </c>
      <c r="X7971" s="158"/>
    </row>
    <row r="7972" spans="1:24" ht="89.25">
      <c r="A7972" s="3" t="s">
        <v>16138</v>
      </c>
      <c r="B7972" s="6" t="s">
        <v>361</v>
      </c>
      <c r="C7972" s="6" t="s">
        <v>15317</v>
      </c>
      <c r="D7972" s="6" t="s">
        <v>15318</v>
      </c>
      <c r="E7972" s="6" t="s">
        <v>15319</v>
      </c>
      <c r="F7972" s="6" t="s">
        <v>17701</v>
      </c>
      <c r="G7972" s="3" t="s">
        <v>11450</v>
      </c>
      <c r="H7972" s="54">
        <v>0</v>
      </c>
      <c r="I7972" s="16">
        <v>470000000</v>
      </c>
      <c r="J7972" s="56" t="s">
        <v>229</v>
      </c>
      <c r="K7972" s="57" t="s">
        <v>7699</v>
      </c>
      <c r="L7972" s="17" t="s">
        <v>11411</v>
      </c>
      <c r="M7972" s="162" t="s">
        <v>230</v>
      </c>
      <c r="N7972" s="15" t="s">
        <v>524</v>
      </c>
      <c r="O7972" s="6" t="s">
        <v>4568</v>
      </c>
      <c r="P7972" s="58" t="s">
        <v>241</v>
      </c>
      <c r="Q7972" s="6" t="s">
        <v>234</v>
      </c>
      <c r="R7972" s="251">
        <v>6</v>
      </c>
      <c r="S7972" s="59">
        <v>12600</v>
      </c>
      <c r="T7972" s="4">
        <v>0</v>
      </c>
      <c r="U7972" s="4">
        <f t="shared" si="450"/>
        <v>0</v>
      </c>
      <c r="V7972" s="3"/>
      <c r="W7972" s="3">
        <v>2014</v>
      </c>
      <c r="X7972" s="3">
        <v>11.14</v>
      </c>
    </row>
    <row r="7973" spans="1:24" ht="89.25">
      <c r="A7973" s="3" t="s">
        <v>17702</v>
      </c>
      <c r="B7973" s="6" t="s">
        <v>361</v>
      </c>
      <c r="C7973" s="6" t="s">
        <v>15317</v>
      </c>
      <c r="D7973" s="6" t="s">
        <v>15318</v>
      </c>
      <c r="E7973" s="6" t="s">
        <v>15319</v>
      </c>
      <c r="F7973" s="6" t="s">
        <v>17701</v>
      </c>
      <c r="G7973" s="3" t="s">
        <v>11450</v>
      </c>
      <c r="H7973" s="54">
        <v>0</v>
      </c>
      <c r="I7973" s="16">
        <v>470000000</v>
      </c>
      <c r="J7973" s="56" t="s">
        <v>229</v>
      </c>
      <c r="K7973" s="57" t="s">
        <v>8950</v>
      </c>
      <c r="L7973" s="17" t="s">
        <v>11411</v>
      </c>
      <c r="M7973" s="162" t="s">
        <v>230</v>
      </c>
      <c r="N7973" s="15" t="s">
        <v>17560</v>
      </c>
      <c r="O7973" s="6" t="s">
        <v>4568</v>
      </c>
      <c r="P7973" s="58" t="s">
        <v>241</v>
      </c>
      <c r="Q7973" s="6" t="s">
        <v>234</v>
      </c>
      <c r="R7973" s="251">
        <v>6</v>
      </c>
      <c r="S7973" s="59">
        <v>12600</v>
      </c>
      <c r="T7973" s="4">
        <f t="shared" ref="T7973" si="460">R7973*S7973</f>
        <v>75600</v>
      </c>
      <c r="U7973" s="4">
        <f t="shared" si="450"/>
        <v>84672.000000000015</v>
      </c>
      <c r="V7973" s="3"/>
      <c r="W7973" s="3">
        <v>2014</v>
      </c>
      <c r="X7973" s="158"/>
    </row>
    <row r="7974" spans="1:24" ht="89.25">
      <c r="A7974" s="3" t="s">
        <v>16139</v>
      </c>
      <c r="B7974" s="6" t="s">
        <v>361</v>
      </c>
      <c r="C7974" s="6" t="s">
        <v>15317</v>
      </c>
      <c r="D7974" s="6" t="s">
        <v>15318</v>
      </c>
      <c r="E7974" s="6" t="s">
        <v>15319</v>
      </c>
      <c r="F7974" s="6" t="s">
        <v>15321</v>
      </c>
      <c r="G7974" s="3" t="s">
        <v>11450</v>
      </c>
      <c r="H7974" s="54">
        <v>0</v>
      </c>
      <c r="I7974" s="16">
        <v>470000000</v>
      </c>
      <c r="J7974" s="56" t="s">
        <v>229</v>
      </c>
      <c r="K7974" s="57" t="s">
        <v>7699</v>
      </c>
      <c r="L7974" s="17" t="s">
        <v>11411</v>
      </c>
      <c r="M7974" s="162" t="s">
        <v>230</v>
      </c>
      <c r="N7974" s="15" t="s">
        <v>524</v>
      </c>
      <c r="O7974" s="6" t="s">
        <v>4568</v>
      </c>
      <c r="P7974" s="58" t="s">
        <v>241</v>
      </c>
      <c r="Q7974" s="6" t="s">
        <v>234</v>
      </c>
      <c r="R7974" s="251">
        <v>4</v>
      </c>
      <c r="S7974" s="59">
        <v>64800</v>
      </c>
      <c r="T7974" s="4">
        <v>0</v>
      </c>
      <c r="U7974" s="4">
        <f t="shared" si="450"/>
        <v>0</v>
      </c>
      <c r="V7974" s="3"/>
      <c r="W7974" s="3">
        <v>2014</v>
      </c>
      <c r="X7974" s="3">
        <v>11.14</v>
      </c>
    </row>
    <row r="7975" spans="1:24" ht="89.25">
      <c r="A7975" s="3" t="s">
        <v>17703</v>
      </c>
      <c r="B7975" s="6" t="s">
        <v>361</v>
      </c>
      <c r="C7975" s="6" t="s">
        <v>15317</v>
      </c>
      <c r="D7975" s="6" t="s">
        <v>15318</v>
      </c>
      <c r="E7975" s="6" t="s">
        <v>15319</v>
      </c>
      <c r="F7975" s="6" t="s">
        <v>15321</v>
      </c>
      <c r="G7975" s="3" t="s">
        <v>11450</v>
      </c>
      <c r="H7975" s="54">
        <v>0</v>
      </c>
      <c r="I7975" s="16">
        <v>470000000</v>
      </c>
      <c r="J7975" s="56" t="s">
        <v>229</v>
      </c>
      <c r="K7975" s="57" t="s">
        <v>8950</v>
      </c>
      <c r="L7975" s="17" t="s">
        <v>11411</v>
      </c>
      <c r="M7975" s="162" t="s">
        <v>230</v>
      </c>
      <c r="N7975" s="15" t="s">
        <v>17560</v>
      </c>
      <c r="O7975" s="6" t="s">
        <v>4568</v>
      </c>
      <c r="P7975" s="58" t="s">
        <v>241</v>
      </c>
      <c r="Q7975" s="6" t="s">
        <v>234</v>
      </c>
      <c r="R7975" s="251">
        <v>4</v>
      </c>
      <c r="S7975" s="59">
        <v>64800</v>
      </c>
      <c r="T7975" s="4">
        <f t="shared" ref="T7975" si="461">R7975*S7975</f>
        <v>259200</v>
      </c>
      <c r="U7975" s="4">
        <f t="shared" si="450"/>
        <v>290304</v>
      </c>
      <c r="V7975" s="3"/>
      <c r="W7975" s="3">
        <v>2014</v>
      </c>
      <c r="X7975" s="158"/>
    </row>
    <row r="7976" spans="1:24" ht="89.25">
      <c r="A7976" s="3" t="s">
        <v>16140</v>
      </c>
      <c r="B7976" s="6" t="s">
        <v>361</v>
      </c>
      <c r="C7976" s="6" t="s">
        <v>15322</v>
      </c>
      <c r="D7976" s="6" t="s">
        <v>15323</v>
      </c>
      <c r="E7976" s="6" t="s">
        <v>15324</v>
      </c>
      <c r="F7976" s="6" t="s">
        <v>15325</v>
      </c>
      <c r="G7976" s="3" t="s">
        <v>11450</v>
      </c>
      <c r="H7976" s="54">
        <v>0</v>
      </c>
      <c r="I7976" s="16">
        <v>470000000</v>
      </c>
      <c r="J7976" s="56" t="s">
        <v>229</v>
      </c>
      <c r="K7976" s="57" t="s">
        <v>7699</v>
      </c>
      <c r="L7976" s="17" t="s">
        <v>11411</v>
      </c>
      <c r="M7976" s="162" t="s">
        <v>230</v>
      </c>
      <c r="N7976" s="15" t="s">
        <v>524</v>
      </c>
      <c r="O7976" s="6" t="s">
        <v>4568</v>
      </c>
      <c r="P7976" s="58" t="s">
        <v>241</v>
      </c>
      <c r="Q7976" s="6" t="s">
        <v>234</v>
      </c>
      <c r="R7976" s="251">
        <v>11</v>
      </c>
      <c r="S7976" s="59">
        <v>12600</v>
      </c>
      <c r="T7976" s="4">
        <v>0</v>
      </c>
      <c r="U7976" s="4">
        <f t="shared" si="450"/>
        <v>0</v>
      </c>
      <c r="V7976" s="3"/>
      <c r="W7976" s="3">
        <v>2014</v>
      </c>
      <c r="X7976" s="3">
        <v>11.14</v>
      </c>
    </row>
    <row r="7977" spans="1:24" ht="89.25">
      <c r="A7977" s="3" t="s">
        <v>17704</v>
      </c>
      <c r="B7977" s="6" t="s">
        <v>361</v>
      </c>
      <c r="C7977" s="6" t="s">
        <v>15322</v>
      </c>
      <c r="D7977" s="6" t="s">
        <v>15323</v>
      </c>
      <c r="E7977" s="6" t="s">
        <v>15324</v>
      </c>
      <c r="F7977" s="6" t="s">
        <v>15325</v>
      </c>
      <c r="G7977" s="3" t="s">
        <v>11450</v>
      </c>
      <c r="H7977" s="54">
        <v>0</v>
      </c>
      <c r="I7977" s="16">
        <v>470000000</v>
      </c>
      <c r="J7977" s="56" t="s">
        <v>229</v>
      </c>
      <c r="K7977" s="57" t="s">
        <v>8950</v>
      </c>
      <c r="L7977" s="17" t="s">
        <v>11411</v>
      </c>
      <c r="M7977" s="162" t="s">
        <v>230</v>
      </c>
      <c r="N7977" s="15" t="s">
        <v>17560</v>
      </c>
      <c r="O7977" s="6" t="s">
        <v>4568</v>
      </c>
      <c r="P7977" s="58" t="s">
        <v>241</v>
      </c>
      <c r="Q7977" s="6" t="s">
        <v>234</v>
      </c>
      <c r="R7977" s="251">
        <v>11</v>
      </c>
      <c r="S7977" s="59">
        <v>12600</v>
      </c>
      <c r="T7977" s="4">
        <f t="shared" ref="T7977" si="462">R7977*S7977</f>
        <v>138600</v>
      </c>
      <c r="U7977" s="4">
        <f t="shared" si="450"/>
        <v>155232.00000000003</v>
      </c>
      <c r="V7977" s="3"/>
      <c r="W7977" s="3">
        <v>2014</v>
      </c>
      <c r="X7977" s="158"/>
    </row>
    <row r="7978" spans="1:24" ht="89.25">
      <c r="A7978" s="3" t="s">
        <v>16141</v>
      </c>
      <c r="B7978" s="6" t="s">
        <v>361</v>
      </c>
      <c r="C7978" s="6" t="s">
        <v>15322</v>
      </c>
      <c r="D7978" s="6" t="s">
        <v>15323</v>
      </c>
      <c r="E7978" s="6" t="s">
        <v>15324</v>
      </c>
      <c r="F7978" s="6" t="s">
        <v>15326</v>
      </c>
      <c r="G7978" s="3" t="s">
        <v>11450</v>
      </c>
      <c r="H7978" s="54">
        <v>0</v>
      </c>
      <c r="I7978" s="16">
        <v>470000000</v>
      </c>
      <c r="J7978" s="56" t="s">
        <v>229</v>
      </c>
      <c r="K7978" s="57" t="s">
        <v>7699</v>
      </c>
      <c r="L7978" s="17" t="s">
        <v>11411</v>
      </c>
      <c r="M7978" s="162" t="s">
        <v>230</v>
      </c>
      <c r="N7978" s="15" t="s">
        <v>524</v>
      </c>
      <c r="O7978" s="6" t="s">
        <v>4568</v>
      </c>
      <c r="P7978" s="58" t="s">
        <v>241</v>
      </c>
      <c r="Q7978" s="6" t="s">
        <v>234</v>
      </c>
      <c r="R7978" s="251">
        <v>4</v>
      </c>
      <c r="S7978" s="59">
        <v>64800</v>
      </c>
      <c r="T7978" s="4">
        <v>0</v>
      </c>
      <c r="U7978" s="4">
        <f t="shared" si="450"/>
        <v>0</v>
      </c>
      <c r="V7978" s="3"/>
      <c r="W7978" s="3">
        <v>2014</v>
      </c>
      <c r="X7978" s="3">
        <v>11.14</v>
      </c>
    </row>
    <row r="7979" spans="1:24" ht="89.25">
      <c r="A7979" s="3" t="s">
        <v>17705</v>
      </c>
      <c r="B7979" s="6" t="s">
        <v>361</v>
      </c>
      <c r="C7979" s="6" t="s">
        <v>15322</v>
      </c>
      <c r="D7979" s="6" t="s">
        <v>15323</v>
      </c>
      <c r="E7979" s="6" t="s">
        <v>15324</v>
      </c>
      <c r="F7979" s="6" t="s">
        <v>15326</v>
      </c>
      <c r="G7979" s="3" t="s">
        <v>11450</v>
      </c>
      <c r="H7979" s="54">
        <v>0</v>
      </c>
      <c r="I7979" s="16">
        <v>470000000</v>
      </c>
      <c r="J7979" s="56" t="s">
        <v>229</v>
      </c>
      <c r="K7979" s="57" t="s">
        <v>8950</v>
      </c>
      <c r="L7979" s="17" t="s">
        <v>11411</v>
      </c>
      <c r="M7979" s="162" t="s">
        <v>230</v>
      </c>
      <c r="N7979" s="15" t="s">
        <v>17560</v>
      </c>
      <c r="O7979" s="6" t="s">
        <v>4568</v>
      </c>
      <c r="P7979" s="58" t="s">
        <v>241</v>
      </c>
      <c r="Q7979" s="6" t="s">
        <v>234</v>
      </c>
      <c r="R7979" s="251">
        <v>4</v>
      </c>
      <c r="S7979" s="59">
        <v>64800</v>
      </c>
      <c r="T7979" s="4">
        <f t="shared" ref="T7979" si="463">R7979*S7979</f>
        <v>259200</v>
      </c>
      <c r="U7979" s="4">
        <f t="shared" si="450"/>
        <v>290304</v>
      </c>
      <c r="V7979" s="3"/>
      <c r="W7979" s="3">
        <v>2014</v>
      </c>
      <c r="X7979" s="158"/>
    </row>
    <row r="7980" spans="1:24" ht="89.25">
      <c r="A7980" s="3" t="s">
        <v>16142</v>
      </c>
      <c r="B7980" s="6" t="s">
        <v>361</v>
      </c>
      <c r="C7980" s="6" t="s">
        <v>15327</v>
      </c>
      <c r="D7980" s="6" t="s">
        <v>3277</v>
      </c>
      <c r="E7980" s="6" t="s">
        <v>15328</v>
      </c>
      <c r="F7980" s="6" t="s">
        <v>15329</v>
      </c>
      <c r="G7980" s="3" t="s">
        <v>11450</v>
      </c>
      <c r="H7980" s="54">
        <v>0</v>
      </c>
      <c r="I7980" s="16">
        <v>470000000</v>
      </c>
      <c r="J7980" s="56" t="s">
        <v>229</v>
      </c>
      <c r="K7980" s="57" t="s">
        <v>7699</v>
      </c>
      <c r="L7980" s="17" t="s">
        <v>11411</v>
      </c>
      <c r="M7980" s="162" t="s">
        <v>230</v>
      </c>
      <c r="N7980" s="15" t="s">
        <v>524</v>
      </c>
      <c r="O7980" s="6" t="s">
        <v>4568</v>
      </c>
      <c r="P7980" s="58" t="s">
        <v>241</v>
      </c>
      <c r="Q7980" s="6" t="s">
        <v>234</v>
      </c>
      <c r="R7980" s="251">
        <v>50</v>
      </c>
      <c r="S7980" s="59">
        <v>11141.41</v>
      </c>
      <c r="T7980" s="4">
        <v>0</v>
      </c>
      <c r="U7980" s="4">
        <f t="shared" si="450"/>
        <v>0</v>
      </c>
      <c r="V7980" s="3"/>
      <c r="W7980" s="3">
        <v>2014</v>
      </c>
      <c r="X7980" s="3" t="s">
        <v>12051</v>
      </c>
    </row>
    <row r="7981" spans="1:24" ht="89.25">
      <c r="A7981" s="3" t="s">
        <v>17706</v>
      </c>
      <c r="B7981" s="6" t="s">
        <v>361</v>
      </c>
      <c r="C7981" s="6" t="s">
        <v>15327</v>
      </c>
      <c r="D7981" s="6" t="s">
        <v>3277</v>
      </c>
      <c r="E7981" s="6" t="s">
        <v>15328</v>
      </c>
      <c r="F7981" s="6" t="s">
        <v>15329</v>
      </c>
      <c r="G7981" s="3" t="s">
        <v>11450</v>
      </c>
      <c r="H7981" s="54">
        <v>0</v>
      </c>
      <c r="I7981" s="16">
        <v>470000000</v>
      </c>
      <c r="J7981" s="56" t="s">
        <v>229</v>
      </c>
      <c r="K7981" s="57" t="s">
        <v>8950</v>
      </c>
      <c r="L7981" s="17" t="s">
        <v>11411</v>
      </c>
      <c r="M7981" s="162" t="s">
        <v>230</v>
      </c>
      <c r="N7981" s="15" t="s">
        <v>524</v>
      </c>
      <c r="O7981" s="6" t="s">
        <v>4568</v>
      </c>
      <c r="P7981" s="58" t="s">
        <v>241</v>
      </c>
      <c r="Q7981" s="6" t="s">
        <v>234</v>
      </c>
      <c r="R7981" s="251">
        <v>60</v>
      </c>
      <c r="S7981" s="59">
        <v>15434</v>
      </c>
      <c r="T7981" s="4">
        <f t="shared" ref="T7981" si="464">R7981*S7981</f>
        <v>926040</v>
      </c>
      <c r="U7981" s="4">
        <f t="shared" si="450"/>
        <v>1037164.8</v>
      </c>
      <c r="V7981" s="3"/>
      <c r="W7981" s="3">
        <v>2014</v>
      </c>
      <c r="X7981" s="158"/>
    </row>
    <row r="7982" spans="1:24" ht="89.25">
      <c r="A7982" s="3" t="s">
        <v>16143</v>
      </c>
      <c r="B7982" s="6" t="s">
        <v>361</v>
      </c>
      <c r="C7982" s="6" t="s">
        <v>15330</v>
      </c>
      <c r="D7982" s="6" t="s">
        <v>454</v>
      </c>
      <c r="E7982" s="6" t="s">
        <v>15331</v>
      </c>
      <c r="F7982" s="6" t="s">
        <v>15332</v>
      </c>
      <c r="G7982" s="3" t="s">
        <v>11449</v>
      </c>
      <c r="H7982" s="54">
        <v>0</v>
      </c>
      <c r="I7982" s="16">
        <v>470000000</v>
      </c>
      <c r="J7982" s="56" t="s">
        <v>229</v>
      </c>
      <c r="K7982" s="57" t="s">
        <v>7699</v>
      </c>
      <c r="L7982" s="17" t="s">
        <v>11411</v>
      </c>
      <c r="M7982" s="162" t="s">
        <v>230</v>
      </c>
      <c r="N7982" s="15" t="s">
        <v>524</v>
      </c>
      <c r="O7982" s="6" t="s">
        <v>4568</v>
      </c>
      <c r="P7982" s="58" t="s">
        <v>241</v>
      </c>
      <c r="Q7982" s="6" t="s">
        <v>234</v>
      </c>
      <c r="R7982" s="251">
        <v>50</v>
      </c>
      <c r="S7982" s="59">
        <v>10406.41</v>
      </c>
      <c r="T7982" s="4">
        <v>0</v>
      </c>
      <c r="U7982" s="4">
        <f t="shared" si="450"/>
        <v>0</v>
      </c>
      <c r="V7982" s="3"/>
      <c r="W7982" s="3">
        <v>2014</v>
      </c>
      <c r="X7982" s="3" t="s">
        <v>16521</v>
      </c>
    </row>
    <row r="7983" spans="1:24" ht="89.25">
      <c r="A7983" s="3" t="s">
        <v>17707</v>
      </c>
      <c r="B7983" s="6" t="s">
        <v>361</v>
      </c>
      <c r="C7983" s="6" t="s">
        <v>15330</v>
      </c>
      <c r="D7983" s="6" t="s">
        <v>454</v>
      </c>
      <c r="E7983" s="6" t="s">
        <v>15331</v>
      </c>
      <c r="F7983" s="6" t="s">
        <v>15332</v>
      </c>
      <c r="G7983" s="3" t="s">
        <v>11449</v>
      </c>
      <c r="H7983" s="54">
        <v>0</v>
      </c>
      <c r="I7983" s="16">
        <v>470000000</v>
      </c>
      <c r="J7983" s="56" t="s">
        <v>229</v>
      </c>
      <c r="K7983" s="57" t="s">
        <v>8950</v>
      </c>
      <c r="L7983" s="17" t="s">
        <v>11411</v>
      </c>
      <c r="M7983" s="162" t="s">
        <v>230</v>
      </c>
      <c r="N7983" s="15" t="s">
        <v>521</v>
      </c>
      <c r="O7983" s="6" t="s">
        <v>4568</v>
      </c>
      <c r="P7983" s="58" t="s">
        <v>241</v>
      </c>
      <c r="Q7983" s="6" t="s">
        <v>234</v>
      </c>
      <c r="R7983" s="251">
        <v>50</v>
      </c>
      <c r="S7983" s="59">
        <v>38104</v>
      </c>
      <c r="T7983" s="4">
        <v>0</v>
      </c>
      <c r="U7983" s="4">
        <f t="shared" si="450"/>
        <v>0</v>
      </c>
      <c r="V7983" s="3"/>
      <c r="W7983" s="3">
        <v>2014</v>
      </c>
      <c r="X7983" s="3">
        <v>11</v>
      </c>
    </row>
    <row r="7984" spans="1:24" ht="89.25">
      <c r="A7984" s="3" t="s">
        <v>19067</v>
      </c>
      <c r="B7984" s="6" t="s">
        <v>361</v>
      </c>
      <c r="C7984" s="6" t="s">
        <v>15330</v>
      </c>
      <c r="D7984" s="6" t="s">
        <v>454</v>
      </c>
      <c r="E7984" s="6" t="s">
        <v>15331</v>
      </c>
      <c r="F7984" s="6" t="s">
        <v>15332</v>
      </c>
      <c r="G7984" s="3" t="s">
        <v>11449</v>
      </c>
      <c r="H7984" s="54">
        <v>0</v>
      </c>
      <c r="I7984" s="16">
        <v>470000000</v>
      </c>
      <c r="J7984" s="56" t="s">
        <v>229</v>
      </c>
      <c r="K7984" s="57" t="s">
        <v>18748</v>
      </c>
      <c r="L7984" s="17" t="s">
        <v>11411</v>
      </c>
      <c r="M7984" s="162" t="s">
        <v>230</v>
      </c>
      <c r="N7984" s="15" t="s">
        <v>521</v>
      </c>
      <c r="O7984" s="6" t="s">
        <v>4568</v>
      </c>
      <c r="P7984" s="58" t="s">
        <v>241</v>
      </c>
      <c r="Q7984" s="6" t="s">
        <v>234</v>
      </c>
      <c r="R7984" s="251">
        <v>50</v>
      </c>
      <c r="S7984" s="59">
        <v>38104</v>
      </c>
      <c r="T7984" s="4">
        <f t="shared" ref="T7984" si="465">R7984*S7984</f>
        <v>1905200</v>
      </c>
      <c r="U7984" s="4">
        <f t="shared" ref="U7984" si="466">T7984*1.12</f>
        <v>2133824</v>
      </c>
      <c r="V7984" s="3"/>
      <c r="W7984" s="3">
        <v>2014</v>
      </c>
      <c r="X7984" s="158"/>
    </row>
    <row r="7985" spans="1:24" ht="89.25">
      <c r="A7985" s="3" t="s">
        <v>16144</v>
      </c>
      <c r="B7985" s="6" t="s">
        <v>361</v>
      </c>
      <c r="C7985" s="6" t="s">
        <v>11463</v>
      </c>
      <c r="D7985" s="6" t="s">
        <v>454</v>
      </c>
      <c r="E7985" s="6" t="s">
        <v>11464</v>
      </c>
      <c r="F7985" s="6" t="s">
        <v>15333</v>
      </c>
      <c r="G7985" s="3" t="s">
        <v>11449</v>
      </c>
      <c r="H7985" s="54">
        <v>0</v>
      </c>
      <c r="I7985" s="16">
        <v>470000000</v>
      </c>
      <c r="J7985" s="56" t="s">
        <v>229</v>
      </c>
      <c r="K7985" s="57" t="s">
        <v>7699</v>
      </c>
      <c r="L7985" s="17" t="s">
        <v>11411</v>
      </c>
      <c r="M7985" s="162" t="s">
        <v>230</v>
      </c>
      <c r="N7985" s="15" t="s">
        <v>524</v>
      </c>
      <c r="O7985" s="6" t="s">
        <v>4568</v>
      </c>
      <c r="P7985" s="58" t="s">
        <v>241</v>
      </c>
      <c r="Q7985" s="6" t="s">
        <v>234</v>
      </c>
      <c r="R7985" s="251">
        <v>50</v>
      </c>
      <c r="S7985" s="59">
        <v>52680</v>
      </c>
      <c r="T7985" s="4">
        <v>0</v>
      </c>
      <c r="U7985" s="4">
        <f t="shared" si="450"/>
        <v>0</v>
      </c>
      <c r="V7985" s="3"/>
      <c r="W7985" s="3">
        <v>2014</v>
      </c>
      <c r="X7985" s="3" t="s">
        <v>17321</v>
      </c>
    </row>
    <row r="7986" spans="1:24" ht="89.25">
      <c r="A7986" s="3" t="s">
        <v>17708</v>
      </c>
      <c r="B7986" s="6" t="s">
        <v>361</v>
      </c>
      <c r="C7986" s="6" t="s">
        <v>11463</v>
      </c>
      <c r="D7986" s="6" t="s">
        <v>454</v>
      </c>
      <c r="E7986" s="6" t="s">
        <v>11464</v>
      </c>
      <c r="F7986" s="6" t="s">
        <v>15333</v>
      </c>
      <c r="G7986" s="3" t="s">
        <v>11449</v>
      </c>
      <c r="H7986" s="54">
        <v>0</v>
      </c>
      <c r="I7986" s="16">
        <v>470000000</v>
      </c>
      <c r="J7986" s="56" t="s">
        <v>229</v>
      </c>
      <c r="K7986" s="57" t="s">
        <v>8950</v>
      </c>
      <c r="L7986" s="17" t="s">
        <v>11411</v>
      </c>
      <c r="M7986" s="162" t="s">
        <v>230</v>
      </c>
      <c r="N7986" s="15" t="s">
        <v>521</v>
      </c>
      <c r="O7986" s="6" t="s">
        <v>4568</v>
      </c>
      <c r="P7986" s="58" t="s">
        <v>241</v>
      </c>
      <c r="Q7986" s="6" t="s">
        <v>234</v>
      </c>
      <c r="R7986" s="251">
        <v>60</v>
      </c>
      <c r="S7986" s="59">
        <v>107540</v>
      </c>
      <c r="T7986" s="4">
        <v>0</v>
      </c>
      <c r="U7986" s="4">
        <f t="shared" si="450"/>
        <v>0</v>
      </c>
      <c r="V7986" s="3"/>
      <c r="W7986" s="3">
        <v>2014</v>
      </c>
      <c r="X7986" s="3">
        <v>11</v>
      </c>
    </row>
    <row r="7987" spans="1:24" ht="89.25">
      <c r="A7987" s="3" t="s">
        <v>19066</v>
      </c>
      <c r="B7987" s="6" t="s">
        <v>361</v>
      </c>
      <c r="C7987" s="6" t="s">
        <v>11463</v>
      </c>
      <c r="D7987" s="6" t="s">
        <v>454</v>
      </c>
      <c r="E7987" s="6" t="s">
        <v>11464</v>
      </c>
      <c r="F7987" s="6" t="s">
        <v>15333</v>
      </c>
      <c r="G7987" s="3" t="s">
        <v>11449</v>
      </c>
      <c r="H7987" s="54">
        <v>0</v>
      </c>
      <c r="I7987" s="16">
        <v>470000000</v>
      </c>
      <c r="J7987" s="56" t="s">
        <v>229</v>
      </c>
      <c r="K7987" s="57" t="s">
        <v>18748</v>
      </c>
      <c r="L7987" s="17" t="s">
        <v>11411</v>
      </c>
      <c r="M7987" s="162" t="s">
        <v>230</v>
      </c>
      <c r="N7987" s="15" t="s">
        <v>521</v>
      </c>
      <c r="O7987" s="6" t="s">
        <v>4568</v>
      </c>
      <c r="P7987" s="58" t="s">
        <v>241</v>
      </c>
      <c r="Q7987" s="6" t="s">
        <v>234</v>
      </c>
      <c r="R7987" s="251">
        <v>60</v>
      </c>
      <c r="S7987" s="59">
        <v>107540</v>
      </c>
      <c r="T7987" s="4">
        <v>0</v>
      </c>
      <c r="U7987" s="4">
        <f t="shared" si="450"/>
        <v>0</v>
      </c>
      <c r="V7987" s="3"/>
      <c r="W7987" s="3">
        <v>2014</v>
      </c>
      <c r="X7987" s="3" t="s">
        <v>19396</v>
      </c>
    </row>
    <row r="7988" spans="1:24" ht="76.5">
      <c r="A7988" s="3" t="s">
        <v>19180</v>
      </c>
      <c r="B7988" s="6" t="s">
        <v>361</v>
      </c>
      <c r="C7988" s="6" t="s">
        <v>11463</v>
      </c>
      <c r="D7988" s="6" t="s">
        <v>454</v>
      </c>
      <c r="E7988" s="6" t="s">
        <v>11464</v>
      </c>
      <c r="F7988" s="6" t="s">
        <v>15333</v>
      </c>
      <c r="G7988" s="3" t="s">
        <v>11449</v>
      </c>
      <c r="H7988" s="54">
        <v>0</v>
      </c>
      <c r="I7988" s="16">
        <v>470000000</v>
      </c>
      <c r="J7988" s="56" t="s">
        <v>229</v>
      </c>
      <c r="K7988" s="57" t="s">
        <v>18437</v>
      </c>
      <c r="L7988" s="17" t="s">
        <v>11411</v>
      </c>
      <c r="M7988" s="162" t="s">
        <v>230</v>
      </c>
      <c r="N7988" s="15" t="s">
        <v>521</v>
      </c>
      <c r="O7988" s="6" t="s">
        <v>19407</v>
      </c>
      <c r="P7988" s="58" t="s">
        <v>241</v>
      </c>
      <c r="Q7988" s="6" t="s">
        <v>234</v>
      </c>
      <c r="R7988" s="251">
        <v>110</v>
      </c>
      <c r="S7988" s="59">
        <v>131933</v>
      </c>
      <c r="T7988" s="4">
        <v>0</v>
      </c>
      <c r="U7988" s="4">
        <f t="shared" si="450"/>
        <v>0</v>
      </c>
      <c r="V7988" s="3"/>
      <c r="W7988" s="3">
        <v>2014</v>
      </c>
      <c r="X7988" s="3">
        <v>11.14</v>
      </c>
    </row>
    <row r="7989" spans="1:24" ht="76.5">
      <c r="A7989" s="3" t="s">
        <v>19605</v>
      </c>
      <c r="B7989" s="6" t="s">
        <v>361</v>
      </c>
      <c r="C7989" s="6" t="s">
        <v>11463</v>
      </c>
      <c r="D7989" s="6" t="s">
        <v>454</v>
      </c>
      <c r="E7989" s="6" t="s">
        <v>11464</v>
      </c>
      <c r="F7989" s="6" t="s">
        <v>15333</v>
      </c>
      <c r="G7989" s="3" t="s">
        <v>11449</v>
      </c>
      <c r="H7989" s="54">
        <v>0</v>
      </c>
      <c r="I7989" s="16">
        <v>470000000</v>
      </c>
      <c r="J7989" s="56" t="s">
        <v>229</v>
      </c>
      <c r="K7989" s="57" t="s">
        <v>19379</v>
      </c>
      <c r="L7989" s="17" t="s">
        <v>11411</v>
      </c>
      <c r="M7989" s="162" t="s">
        <v>230</v>
      </c>
      <c r="N7989" s="15" t="s">
        <v>528</v>
      </c>
      <c r="O7989" s="6" t="s">
        <v>19407</v>
      </c>
      <c r="P7989" s="58" t="s">
        <v>241</v>
      </c>
      <c r="Q7989" s="6" t="s">
        <v>234</v>
      </c>
      <c r="R7989" s="251">
        <v>110</v>
      </c>
      <c r="S7989" s="59">
        <v>131933</v>
      </c>
      <c r="T7989" s="4">
        <f t="shared" ref="T7989" si="467">R7989*S7989</f>
        <v>14512630</v>
      </c>
      <c r="U7989" s="4">
        <f t="shared" si="450"/>
        <v>16254145.600000001</v>
      </c>
      <c r="V7989" s="3"/>
      <c r="W7989" s="3">
        <v>2014</v>
      </c>
      <c r="X7989" s="158"/>
    </row>
    <row r="7990" spans="1:24" ht="89.25">
      <c r="A7990" s="3" t="s">
        <v>16145</v>
      </c>
      <c r="B7990" s="6" t="s">
        <v>361</v>
      </c>
      <c r="C7990" s="6" t="s">
        <v>15334</v>
      </c>
      <c r="D7990" s="6" t="s">
        <v>15335</v>
      </c>
      <c r="E7990" s="6" t="s">
        <v>15336</v>
      </c>
      <c r="F7990" s="6" t="s">
        <v>15337</v>
      </c>
      <c r="G7990" s="3" t="s">
        <v>11449</v>
      </c>
      <c r="H7990" s="54">
        <v>0</v>
      </c>
      <c r="I7990" s="16">
        <v>470000000</v>
      </c>
      <c r="J7990" s="56" t="s">
        <v>229</v>
      </c>
      <c r="K7990" s="57" t="s">
        <v>7699</v>
      </c>
      <c r="L7990" s="17" t="s">
        <v>11411</v>
      </c>
      <c r="M7990" s="162" t="s">
        <v>230</v>
      </c>
      <c r="N7990" s="15" t="s">
        <v>524</v>
      </c>
      <c r="O7990" s="6" t="s">
        <v>4568</v>
      </c>
      <c r="P7990" s="58" t="s">
        <v>241</v>
      </c>
      <c r="Q7990" s="6" t="s">
        <v>234</v>
      </c>
      <c r="R7990" s="251">
        <v>50</v>
      </c>
      <c r="S7990" s="59">
        <v>375684</v>
      </c>
      <c r="T7990" s="4">
        <v>0</v>
      </c>
      <c r="U7990" s="4">
        <f t="shared" si="450"/>
        <v>0</v>
      </c>
      <c r="V7990" s="3"/>
      <c r="W7990" s="3">
        <v>2014</v>
      </c>
      <c r="X7990" s="3">
        <v>11.14</v>
      </c>
    </row>
    <row r="7991" spans="1:24" ht="89.25">
      <c r="A7991" s="3" t="s">
        <v>17709</v>
      </c>
      <c r="B7991" s="6" t="s">
        <v>361</v>
      </c>
      <c r="C7991" s="6" t="s">
        <v>15334</v>
      </c>
      <c r="D7991" s="6" t="s">
        <v>15335</v>
      </c>
      <c r="E7991" s="6" t="s">
        <v>15336</v>
      </c>
      <c r="F7991" s="6" t="s">
        <v>15337</v>
      </c>
      <c r="G7991" s="3" t="s">
        <v>11449</v>
      </c>
      <c r="H7991" s="54">
        <v>0</v>
      </c>
      <c r="I7991" s="16">
        <v>470000000</v>
      </c>
      <c r="J7991" s="56" t="s">
        <v>229</v>
      </c>
      <c r="K7991" s="57" t="s">
        <v>8950</v>
      </c>
      <c r="L7991" s="17" t="s">
        <v>11411</v>
      </c>
      <c r="M7991" s="162" t="s">
        <v>230</v>
      </c>
      <c r="N7991" s="15" t="s">
        <v>521</v>
      </c>
      <c r="O7991" s="6" t="s">
        <v>4568</v>
      </c>
      <c r="P7991" s="58" t="s">
        <v>241</v>
      </c>
      <c r="Q7991" s="6" t="s">
        <v>234</v>
      </c>
      <c r="R7991" s="251">
        <v>50</v>
      </c>
      <c r="S7991" s="59">
        <v>375684</v>
      </c>
      <c r="T7991" s="4">
        <v>0</v>
      </c>
      <c r="U7991" s="4">
        <f t="shared" si="450"/>
        <v>0</v>
      </c>
      <c r="V7991" s="3"/>
      <c r="W7991" s="3">
        <v>2014</v>
      </c>
      <c r="X7991" s="3" t="s">
        <v>19396</v>
      </c>
    </row>
    <row r="7992" spans="1:24" ht="76.5">
      <c r="A7992" s="3" t="s">
        <v>19181</v>
      </c>
      <c r="B7992" s="6" t="s">
        <v>361</v>
      </c>
      <c r="C7992" s="6" t="s">
        <v>15334</v>
      </c>
      <c r="D7992" s="6" t="s">
        <v>15335</v>
      </c>
      <c r="E7992" s="6" t="s">
        <v>15336</v>
      </c>
      <c r="F7992" s="6" t="s">
        <v>15337</v>
      </c>
      <c r="G7992" s="3" t="s">
        <v>11449</v>
      </c>
      <c r="H7992" s="54">
        <v>0</v>
      </c>
      <c r="I7992" s="16">
        <v>470000000</v>
      </c>
      <c r="J7992" s="56" t="s">
        <v>229</v>
      </c>
      <c r="K7992" s="57" t="s">
        <v>18866</v>
      </c>
      <c r="L7992" s="17" t="s">
        <v>11411</v>
      </c>
      <c r="M7992" s="162" t="s">
        <v>230</v>
      </c>
      <c r="N7992" s="15" t="s">
        <v>521</v>
      </c>
      <c r="O7992" s="6" t="s">
        <v>19407</v>
      </c>
      <c r="P7992" s="58" t="s">
        <v>241</v>
      </c>
      <c r="Q7992" s="6" t="s">
        <v>234</v>
      </c>
      <c r="R7992" s="251">
        <v>100</v>
      </c>
      <c r="S7992" s="59">
        <v>275065</v>
      </c>
      <c r="T7992" s="4">
        <f t="shared" ref="T7992" si="468">R7992*S7992</f>
        <v>27506500</v>
      </c>
      <c r="U7992" s="4">
        <f t="shared" si="450"/>
        <v>30807280.000000004</v>
      </c>
      <c r="V7992" s="3"/>
      <c r="W7992" s="3">
        <v>2014</v>
      </c>
      <c r="X7992" s="158"/>
    </row>
    <row r="7993" spans="1:24" ht="89.25">
      <c r="A7993" s="3" t="s">
        <v>16146</v>
      </c>
      <c r="B7993" s="6" t="s">
        <v>361</v>
      </c>
      <c r="C7993" s="6" t="s">
        <v>15338</v>
      </c>
      <c r="D7993" s="6" t="s">
        <v>4344</v>
      </c>
      <c r="E7993" s="6" t="s">
        <v>4345</v>
      </c>
      <c r="F7993" s="6" t="s">
        <v>15339</v>
      </c>
      <c r="G7993" s="3" t="s">
        <v>11449</v>
      </c>
      <c r="H7993" s="54">
        <v>0</v>
      </c>
      <c r="I7993" s="16">
        <v>470000000</v>
      </c>
      <c r="J7993" s="56" t="s">
        <v>229</v>
      </c>
      <c r="K7993" s="57" t="s">
        <v>7699</v>
      </c>
      <c r="L7993" s="17" t="s">
        <v>11411</v>
      </c>
      <c r="M7993" s="162" t="s">
        <v>230</v>
      </c>
      <c r="N7993" s="15" t="s">
        <v>524</v>
      </c>
      <c r="O7993" s="6" t="s">
        <v>4568</v>
      </c>
      <c r="P7993" s="58" t="s">
        <v>241</v>
      </c>
      <c r="Q7993" s="6" t="s">
        <v>234</v>
      </c>
      <c r="R7993" s="251">
        <v>50</v>
      </c>
      <c r="S7993" s="59">
        <v>89874.71</v>
      </c>
      <c r="T7993" s="4">
        <v>0</v>
      </c>
      <c r="U7993" s="4">
        <f t="shared" si="450"/>
        <v>0</v>
      </c>
      <c r="V7993" s="3"/>
      <c r="W7993" s="3">
        <v>2014</v>
      </c>
      <c r="X7993" s="3" t="s">
        <v>17321</v>
      </c>
    </row>
    <row r="7994" spans="1:24" ht="89.25">
      <c r="A7994" s="3" t="s">
        <v>17710</v>
      </c>
      <c r="B7994" s="6" t="s">
        <v>361</v>
      </c>
      <c r="C7994" s="6" t="s">
        <v>15338</v>
      </c>
      <c r="D7994" s="6" t="s">
        <v>4344</v>
      </c>
      <c r="E7994" s="6" t="s">
        <v>4345</v>
      </c>
      <c r="F7994" s="6" t="s">
        <v>15339</v>
      </c>
      <c r="G7994" s="3" t="s">
        <v>11449</v>
      </c>
      <c r="H7994" s="54">
        <v>0</v>
      </c>
      <c r="I7994" s="16">
        <v>470000000</v>
      </c>
      <c r="J7994" s="56" t="s">
        <v>229</v>
      </c>
      <c r="K7994" s="57" t="s">
        <v>8950</v>
      </c>
      <c r="L7994" s="17" t="s">
        <v>11411</v>
      </c>
      <c r="M7994" s="162" t="s">
        <v>230</v>
      </c>
      <c r="N7994" s="15" t="s">
        <v>521</v>
      </c>
      <c r="O7994" s="6" t="s">
        <v>4568</v>
      </c>
      <c r="P7994" s="58" t="s">
        <v>241</v>
      </c>
      <c r="Q7994" s="6" t="s">
        <v>234</v>
      </c>
      <c r="R7994" s="251">
        <v>60</v>
      </c>
      <c r="S7994" s="59">
        <v>164154.6</v>
      </c>
      <c r="T7994" s="4">
        <v>0</v>
      </c>
      <c r="U7994" s="4">
        <f t="shared" si="450"/>
        <v>0</v>
      </c>
      <c r="V7994" s="3"/>
      <c r="W7994" s="3">
        <v>2014</v>
      </c>
      <c r="X7994" s="3" t="s">
        <v>19396</v>
      </c>
    </row>
    <row r="7995" spans="1:24" ht="76.5">
      <c r="A7995" s="3" t="s">
        <v>19182</v>
      </c>
      <c r="B7995" s="6" t="s">
        <v>361</v>
      </c>
      <c r="C7995" s="6" t="s">
        <v>15338</v>
      </c>
      <c r="D7995" s="6" t="s">
        <v>4344</v>
      </c>
      <c r="E7995" s="6" t="s">
        <v>4345</v>
      </c>
      <c r="F7995" s="6" t="s">
        <v>15339</v>
      </c>
      <c r="G7995" s="3" t="s">
        <v>11449</v>
      </c>
      <c r="H7995" s="54">
        <v>0</v>
      </c>
      <c r="I7995" s="16">
        <v>470000000</v>
      </c>
      <c r="J7995" s="56" t="s">
        <v>229</v>
      </c>
      <c r="K7995" s="57" t="s">
        <v>18866</v>
      </c>
      <c r="L7995" s="17" t="s">
        <v>11411</v>
      </c>
      <c r="M7995" s="162" t="s">
        <v>230</v>
      </c>
      <c r="N7995" s="15" t="s">
        <v>521</v>
      </c>
      <c r="O7995" s="6" t="s">
        <v>19407</v>
      </c>
      <c r="P7995" s="58" t="s">
        <v>241</v>
      </c>
      <c r="Q7995" s="6" t="s">
        <v>234</v>
      </c>
      <c r="R7995" s="251">
        <v>110</v>
      </c>
      <c r="S7995" s="59">
        <v>126000</v>
      </c>
      <c r="T7995" s="4">
        <f t="shared" ref="T7995" si="469">R7995*S7995</f>
        <v>13860000</v>
      </c>
      <c r="U7995" s="4">
        <f t="shared" si="450"/>
        <v>15523200.000000002</v>
      </c>
      <c r="V7995" s="3"/>
      <c r="W7995" s="3">
        <v>2014</v>
      </c>
      <c r="X7995" s="158"/>
    </row>
    <row r="7996" spans="1:24" ht="89.25">
      <c r="A7996" s="3" t="s">
        <v>16147</v>
      </c>
      <c r="B7996" s="6" t="s">
        <v>361</v>
      </c>
      <c r="C7996" s="6" t="s">
        <v>15340</v>
      </c>
      <c r="D7996" s="6" t="s">
        <v>4365</v>
      </c>
      <c r="E7996" s="6" t="s">
        <v>15341</v>
      </c>
      <c r="F7996" s="6" t="s">
        <v>15342</v>
      </c>
      <c r="G7996" s="3" t="s">
        <v>11449</v>
      </c>
      <c r="H7996" s="54">
        <v>0</v>
      </c>
      <c r="I7996" s="16">
        <v>470000000</v>
      </c>
      <c r="J7996" s="56" t="s">
        <v>229</v>
      </c>
      <c r="K7996" s="57" t="s">
        <v>7699</v>
      </c>
      <c r="L7996" s="17" t="s">
        <v>11411</v>
      </c>
      <c r="M7996" s="162" t="s">
        <v>230</v>
      </c>
      <c r="N7996" s="15" t="s">
        <v>524</v>
      </c>
      <c r="O7996" s="6" t="s">
        <v>4568</v>
      </c>
      <c r="P7996" s="58" t="s">
        <v>241</v>
      </c>
      <c r="Q7996" s="6" t="s">
        <v>234</v>
      </c>
      <c r="R7996" s="251">
        <v>20</v>
      </c>
      <c r="S7996" s="59">
        <v>7360</v>
      </c>
      <c r="T7996" s="4">
        <v>0</v>
      </c>
      <c r="U7996" s="4">
        <f t="shared" si="450"/>
        <v>0</v>
      </c>
      <c r="V7996" s="3"/>
      <c r="W7996" s="3">
        <v>2014</v>
      </c>
      <c r="X7996" s="3" t="s">
        <v>17399</v>
      </c>
    </row>
    <row r="7997" spans="1:24" ht="89.25">
      <c r="A7997" s="3" t="s">
        <v>17711</v>
      </c>
      <c r="B7997" s="6" t="s">
        <v>361</v>
      </c>
      <c r="C7997" s="6" t="s">
        <v>15340</v>
      </c>
      <c r="D7997" s="6" t="s">
        <v>4365</v>
      </c>
      <c r="E7997" s="6" t="s">
        <v>15341</v>
      </c>
      <c r="F7997" s="6" t="s">
        <v>15342</v>
      </c>
      <c r="G7997" s="3" t="s">
        <v>11450</v>
      </c>
      <c r="H7997" s="54">
        <v>0</v>
      </c>
      <c r="I7997" s="16">
        <v>470000000</v>
      </c>
      <c r="J7997" s="56" t="s">
        <v>229</v>
      </c>
      <c r="K7997" s="57" t="s">
        <v>8950</v>
      </c>
      <c r="L7997" s="17" t="s">
        <v>11411</v>
      </c>
      <c r="M7997" s="162" t="s">
        <v>230</v>
      </c>
      <c r="N7997" s="15" t="s">
        <v>17491</v>
      </c>
      <c r="O7997" s="6" t="s">
        <v>4568</v>
      </c>
      <c r="P7997" s="58" t="s">
        <v>241</v>
      </c>
      <c r="Q7997" s="6" t="s">
        <v>234</v>
      </c>
      <c r="R7997" s="251">
        <v>20</v>
      </c>
      <c r="S7997" s="59">
        <v>7360</v>
      </c>
      <c r="T7997" s="4">
        <v>0</v>
      </c>
      <c r="U7997" s="4">
        <f t="shared" si="450"/>
        <v>0</v>
      </c>
      <c r="V7997" s="3"/>
      <c r="W7997" s="3">
        <v>2014</v>
      </c>
      <c r="X7997" s="3">
        <v>11.14</v>
      </c>
    </row>
    <row r="7998" spans="1:24" ht="89.25">
      <c r="A7998" s="3" t="s">
        <v>18649</v>
      </c>
      <c r="B7998" s="6" t="s">
        <v>361</v>
      </c>
      <c r="C7998" s="6" t="s">
        <v>15340</v>
      </c>
      <c r="D7998" s="6" t="s">
        <v>4365</v>
      </c>
      <c r="E7998" s="6" t="s">
        <v>15341</v>
      </c>
      <c r="F7998" s="6" t="s">
        <v>15342</v>
      </c>
      <c r="G7998" s="3" t="s">
        <v>11450</v>
      </c>
      <c r="H7998" s="54">
        <v>0</v>
      </c>
      <c r="I7998" s="16">
        <v>470000000</v>
      </c>
      <c r="J7998" s="56" t="s">
        <v>229</v>
      </c>
      <c r="K7998" s="57" t="s">
        <v>9369</v>
      </c>
      <c r="L7998" s="17" t="s">
        <v>11411</v>
      </c>
      <c r="M7998" s="162" t="s">
        <v>230</v>
      </c>
      <c r="N7998" s="15" t="s">
        <v>17560</v>
      </c>
      <c r="O7998" s="6" t="s">
        <v>4568</v>
      </c>
      <c r="P7998" s="58" t="s">
        <v>241</v>
      </c>
      <c r="Q7998" s="6" t="s">
        <v>234</v>
      </c>
      <c r="R7998" s="251">
        <v>20</v>
      </c>
      <c r="S7998" s="59">
        <v>7360</v>
      </c>
      <c r="T7998" s="4">
        <f t="shared" ref="T7998" si="470">R7998*S7998</f>
        <v>147200</v>
      </c>
      <c r="U7998" s="4">
        <f t="shared" si="450"/>
        <v>164864.00000000003</v>
      </c>
      <c r="V7998" s="3"/>
      <c r="W7998" s="3">
        <v>2014</v>
      </c>
      <c r="X7998" s="158"/>
    </row>
    <row r="7999" spans="1:24" ht="127.5">
      <c r="A7999" s="3" t="s">
        <v>16148</v>
      </c>
      <c r="B7999" s="6" t="s">
        <v>361</v>
      </c>
      <c r="C7999" s="6" t="s">
        <v>15343</v>
      </c>
      <c r="D7999" s="6" t="s">
        <v>10095</v>
      </c>
      <c r="E7999" s="6" t="s">
        <v>15344</v>
      </c>
      <c r="F7999" s="6" t="s">
        <v>15345</v>
      </c>
      <c r="G7999" s="3" t="s">
        <v>11449</v>
      </c>
      <c r="H7999" s="54">
        <v>0</v>
      </c>
      <c r="I7999" s="16">
        <v>470000000</v>
      </c>
      <c r="J7999" s="56" t="s">
        <v>229</v>
      </c>
      <c r="K7999" s="57" t="s">
        <v>7699</v>
      </c>
      <c r="L7999" s="17" t="s">
        <v>11411</v>
      </c>
      <c r="M7999" s="162" t="s">
        <v>230</v>
      </c>
      <c r="N7999" s="15" t="s">
        <v>524</v>
      </c>
      <c r="O7999" s="6" t="s">
        <v>4568</v>
      </c>
      <c r="P7999" s="58" t="s">
        <v>241</v>
      </c>
      <c r="Q7999" s="6" t="s">
        <v>234</v>
      </c>
      <c r="R7999" s="251">
        <v>2</v>
      </c>
      <c r="S7999" s="59">
        <v>56700</v>
      </c>
      <c r="T7999" s="4">
        <v>0</v>
      </c>
      <c r="U7999" s="4">
        <f t="shared" si="450"/>
        <v>0</v>
      </c>
      <c r="V7999" s="3"/>
      <c r="W7999" s="3">
        <v>2014</v>
      </c>
      <c r="X7999" s="3" t="s">
        <v>18368</v>
      </c>
    </row>
    <row r="8000" spans="1:24" ht="127.5">
      <c r="A8000" s="3" t="s">
        <v>16684</v>
      </c>
      <c r="B8000" s="6" t="s">
        <v>361</v>
      </c>
      <c r="C8000" s="6" t="s">
        <v>16691</v>
      </c>
      <c r="D8000" s="6" t="s">
        <v>10095</v>
      </c>
      <c r="E8000" s="6" t="s">
        <v>16690</v>
      </c>
      <c r="F8000" s="6" t="s">
        <v>16688</v>
      </c>
      <c r="G8000" s="3" t="s">
        <v>11450</v>
      </c>
      <c r="H8000" s="54">
        <v>0</v>
      </c>
      <c r="I8000" s="16">
        <v>470000000</v>
      </c>
      <c r="J8000" s="56" t="s">
        <v>229</v>
      </c>
      <c r="K8000" s="57" t="s">
        <v>8950</v>
      </c>
      <c r="L8000" s="17" t="s">
        <v>11411</v>
      </c>
      <c r="M8000" s="162" t="s">
        <v>230</v>
      </c>
      <c r="N8000" s="15" t="s">
        <v>8914</v>
      </c>
      <c r="O8000" s="6" t="s">
        <v>4568</v>
      </c>
      <c r="P8000" s="58" t="s">
        <v>241</v>
      </c>
      <c r="Q8000" s="6" t="s">
        <v>234</v>
      </c>
      <c r="R8000" s="251">
        <v>2</v>
      </c>
      <c r="S8000" s="59">
        <v>56700</v>
      </c>
      <c r="T8000" s="4">
        <v>0</v>
      </c>
      <c r="U8000" s="4">
        <f t="shared" si="450"/>
        <v>0</v>
      </c>
      <c r="V8000" s="3"/>
      <c r="W8000" s="3">
        <v>2014</v>
      </c>
      <c r="X8000" s="3">
        <v>11</v>
      </c>
    </row>
    <row r="8001" spans="1:24" ht="127.5">
      <c r="A8001" s="3" t="s">
        <v>18452</v>
      </c>
      <c r="B8001" s="6" t="s">
        <v>361</v>
      </c>
      <c r="C8001" s="6" t="s">
        <v>16691</v>
      </c>
      <c r="D8001" s="6" t="s">
        <v>10095</v>
      </c>
      <c r="E8001" s="6" t="s">
        <v>16690</v>
      </c>
      <c r="F8001" s="6" t="s">
        <v>16688</v>
      </c>
      <c r="G8001" s="3" t="s">
        <v>11450</v>
      </c>
      <c r="H8001" s="54">
        <v>0</v>
      </c>
      <c r="I8001" s="16">
        <v>470000000</v>
      </c>
      <c r="J8001" s="56" t="s">
        <v>229</v>
      </c>
      <c r="K8001" s="57" t="s">
        <v>9369</v>
      </c>
      <c r="L8001" s="17" t="s">
        <v>11411</v>
      </c>
      <c r="M8001" s="162" t="s">
        <v>230</v>
      </c>
      <c r="N8001" s="15" t="s">
        <v>8914</v>
      </c>
      <c r="O8001" s="6" t="s">
        <v>4568</v>
      </c>
      <c r="P8001" s="58" t="s">
        <v>241</v>
      </c>
      <c r="Q8001" s="6" t="s">
        <v>234</v>
      </c>
      <c r="R8001" s="251">
        <v>2</v>
      </c>
      <c r="S8001" s="59">
        <v>56700</v>
      </c>
      <c r="T8001" s="4">
        <f t="shared" ref="T8001" si="471">R8001*S8001</f>
        <v>113400</v>
      </c>
      <c r="U8001" s="4">
        <f t="shared" si="450"/>
        <v>127008.00000000001</v>
      </c>
      <c r="V8001" s="3"/>
      <c r="W8001" s="3">
        <v>2014</v>
      </c>
      <c r="X8001" s="158"/>
    </row>
    <row r="8002" spans="1:24" ht="127.5">
      <c r="A8002" s="3" t="s">
        <v>16149</v>
      </c>
      <c r="B8002" s="6" t="s">
        <v>361</v>
      </c>
      <c r="C8002" s="6" t="s">
        <v>10110</v>
      </c>
      <c r="D8002" s="6" t="s">
        <v>10095</v>
      </c>
      <c r="E8002" s="6" t="s">
        <v>10111</v>
      </c>
      <c r="F8002" s="6" t="s">
        <v>15346</v>
      </c>
      <c r="G8002" s="3" t="s">
        <v>11449</v>
      </c>
      <c r="H8002" s="54">
        <v>0</v>
      </c>
      <c r="I8002" s="16">
        <v>470000000</v>
      </c>
      <c r="J8002" s="56" t="s">
        <v>229</v>
      </c>
      <c r="K8002" s="57" t="s">
        <v>7699</v>
      </c>
      <c r="L8002" s="17" t="s">
        <v>11411</v>
      </c>
      <c r="M8002" s="162" t="s">
        <v>230</v>
      </c>
      <c r="N8002" s="15" t="s">
        <v>524</v>
      </c>
      <c r="O8002" s="6" t="s">
        <v>4568</v>
      </c>
      <c r="P8002" s="58" t="s">
        <v>241</v>
      </c>
      <c r="Q8002" s="6" t="s">
        <v>234</v>
      </c>
      <c r="R8002" s="251">
        <v>2</v>
      </c>
      <c r="S8002" s="59">
        <v>51300</v>
      </c>
      <c r="T8002" s="4">
        <v>0</v>
      </c>
      <c r="U8002" s="4">
        <f t="shared" si="450"/>
        <v>0</v>
      </c>
      <c r="V8002" s="3"/>
      <c r="W8002" s="3">
        <v>2014</v>
      </c>
      <c r="X8002" s="3" t="s">
        <v>17712</v>
      </c>
    </row>
    <row r="8003" spans="1:24" ht="89.25">
      <c r="A8003" s="3" t="s">
        <v>16689</v>
      </c>
      <c r="B8003" s="6" t="s">
        <v>361</v>
      </c>
      <c r="C8003" s="6" t="s">
        <v>16685</v>
      </c>
      <c r="D8003" s="6" t="s">
        <v>16686</v>
      </c>
      <c r="E8003" s="6" t="s">
        <v>16687</v>
      </c>
      <c r="F8003" s="6" t="s">
        <v>15346</v>
      </c>
      <c r="G8003" s="3" t="s">
        <v>11450</v>
      </c>
      <c r="H8003" s="54">
        <v>0</v>
      </c>
      <c r="I8003" s="16">
        <v>470000000</v>
      </c>
      <c r="J8003" s="56" t="s">
        <v>229</v>
      </c>
      <c r="K8003" s="57" t="s">
        <v>8950</v>
      </c>
      <c r="L8003" s="17" t="s">
        <v>11411</v>
      </c>
      <c r="M8003" s="162" t="s">
        <v>230</v>
      </c>
      <c r="N8003" s="15" t="s">
        <v>8914</v>
      </c>
      <c r="O8003" s="6" t="s">
        <v>4568</v>
      </c>
      <c r="P8003" s="58" t="s">
        <v>241</v>
      </c>
      <c r="Q8003" s="6" t="s">
        <v>234</v>
      </c>
      <c r="R8003" s="251">
        <v>2</v>
      </c>
      <c r="S8003" s="59">
        <v>51300</v>
      </c>
      <c r="T8003" s="4">
        <v>0</v>
      </c>
      <c r="U8003" s="4">
        <f t="shared" si="450"/>
        <v>0</v>
      </c>
      <c r="V8003" s="3"/>
      <c r="W8003" s="3">
        <v>2014</v>
      </c>
      <c r="X8003" s="3">
        <v>11</v>
      </c>
    </row>
    <row r="8004" spans="1:24" ht="89.25">
      <c r="A8004" s="3" t="s">
        <v>18453</v>
      </c>
      <c r="B8004" s="6" t="s">
        <v>361</v>
      </c>
      <c r="C8004" s="6" t="s">
        <v>16685</v>
      </c>
      <c r="D8004" s="6" t="s">
        <v>16686</v>
      </c>
      <c r="E8004" s="6" t="s">
        <v>16687</v>
      </c>
      <c r="F8004" s="6" t="s">
        <v>15346</v>
      </c>
      <c r="G8004" s="3" t="s">
        <v>11450</v>
      </c>
      <c r="H8004" s="54">
        <v>0</v>
      </c>
      <c r="I8004" s="16">
        <v>470000000</v>
      </c>
      <c r="J8004" s="56" t="s">
        <v>229</v>
      </c>
      <c r="K8004" s="57" t="s">
        <v>9369</v>
      </c>
      <c r="L8004" s="17" t="s">
        <v>11411</v>
      </c>
      <c r="M8004" s="162" t="s">
        <v>230</v>
      </c>
      <c r="N8004" s="15" t="s">
        <v>8914</v>
      </c>
      <c r="O8004" s="6" t="s">
        <v>4568</v>
      </c>
      <c r="P8004" s="58" t="s">
        <v>241</v>
      </c>
      <c r="Q8004" s="6" t="s">
        <v>234</v>
      </c>
      <c r="R8004" s="251">
        <v>2</v>
      </c>
      <c r="S8004" s="59">
        <v>51300</v>
      </c>
      <c r="T8004" s="4">
        <f t="shared" ref="T8004" si="472">R8004*S8004</f>
        <v>102600</v>
      </c>
      <c r="U8004" s="4">
        <f t="shared" si="450"/>
        <v>114912.00000000001</v>
      </c>
      <c r="V8004" s="3"/>
      <c r="W8004" s="3">
        <v>2014</v>
      </c>
      <c r="X8004" s="158"/>
    </row>
    <row r="8005" spans="1:24" ht="127.5">
      <c r="A8005" s="3" t="s">
        <v>16150</v>
      </c>
      <c r="B8005" s="6" t="s">
        <v>361</v>
      </c>
      <c r="C8005" s="6" t="s">
        <v>15347</v>
      </c>
      <c r="D8005" s="6" t="s">
        <v>15348</v>
      </c>
      <c r="E8005" s="6" t="s">
        <v>15349</v>
      </c>
      <c r="F8005" s="6" t="s">
        <v>15350</v>
      </c>
      <c r="G8005" s="3" t="s">
        <v>11449</v>
      </c>
      <c r="H8005" s="54">
        <v>0</v>
      </c>
      <c r="I8005" s="16">
        <v>470000000</v>
      </c>
      <c r="J8005" s="56" t="s">
        <v>229</v>
      </c>
      <c r="K8005" s="57" t="s">
        <v>7699</v>
      </c>
      <c r="L8005" s="17" t="s">
        <v>11411</v>
      </c>
      <c r="M8005" s="162" t="s">
        <v>230</v>
      </c>
      <c r="N8005" s="15" t="s">
        <v>524</v>
      </c>
      <c r="O8005" s="6" t="s">
        <v>4568</v>
      </c>
      <c r="P8005" s="58" t="s">
        <v>241</v>
      </c>
      <c r="Q8005" s="6" t="s">
        <v>234</v>
      </c>
      <c r="R8005" s="251">
        <v>5</v>
      </c>
      <c r="S8005" s="59">
        <v>528139</v>
      </c>
      <c r="T8005" s="4">
        <v>0</v>
      </c>
      <c r="U8005" s="4">
        <f t="shared" si="450"/>
        <v>0</v>
      </c>
      <c r="V8005" s="3"/>
      <c r="W8005" s="3">
        <v>2014</v>
      </c>
      <c r="X8005" s="3" t="s">
        <v>17399</v>
      </c>
    </row>
    <row r="8006" spans="1:24" ht="127.5">
      <c r="A8006" s="3" t="s">
        <v>17713</v>
      </c>
      <c r="B8006" s="6" t="s">
        <v>361</v>
      </c>
      <c r="C8006" s="6" t="s">
        <v>15347</v>
      </c>
      <c r="D8006" s="6" t="s">
        <v>15348</v>
      </c>
      <c r="E8006" s="6" t="s">
        <v>15349</v>
      </c>
      <c r="F8006" s="6" t="s">
        <v>15350</v>
      </c>
      <c r="G8006" s="3" t="s">
        <v>11450</v>
      </c>
      <c r="H8006" s="54">
        <v>0</v>
      </c>
      <c r="I8006" s="16">
        <v>470000000</v>
      </c>
      <c r="J8006" s="56" t="s">
        <v>229</v>
      </c>
      <c r="K8006" s="57" t="s">
        <v>8950</v>
      </c>
      <c r="L8006" s="17" t="s">
        <v>11411</v>
      </c>
      <c r="M8006" s="162" t="s">
        <v>230</v>
      </c>
      <c r="N8006" s="15" t="s">
        <v>17491</v>
      </c>
      <c r="O8006" s="6" t="s">
        <v>4568</v>
      </c>
      <c r="P8006" s="58" t="s">
        <v>241</v>
      </c>
      <c r="Q8006" s="6" t="s">
        <v>234</v>
      </c>
      <c r="R8006" s="251">
        <v>5</v>
      </c>
      <c r="S8006" s="59">
        <v>528139</v>
      </c>
      <c r="T8006" s="4">
        <f>R8006*S8006</f>
        <v>2640695</v>
      </c>
      <c r="U8006" s="4">
        <f t="shared" si="450"/>
        <v>2957578.4000000004</v>
      </c>
      <c r="V8006" s="3"/>
      <c r="W8006" s="3">
        <v>2014</v>
      </c>
      <c r="X8006" s="3"/>
    </row>
    <row r="8007" spans="1:24" ht="140.25">
      <c r="A8007" s="3" t="s">
        <v>16151</v>
      </c>
      <c r="B8007" s="6" t="s">
        <v>361</v>
      </c>
      <c r="C8007" s="6" t="s">
        <v>15351</v>
      </c>
      <c r="D8007" s="6" t="s">
        <v>15352</v>
      </c>
      <c r="E8007" s="6" t="s">
        <v>15353</v>
      </c>
      <c r="F8007" s="6" t="s">
        <v>15354</v>
      </c>
      <c r="G8007" s="3" t="s">
        <v>11449</v>
      </c>
      <c r="H8007" s="54">
        <v>0</v>
      </c>
      <c r="I8007" s="16">
        <v>470000000</v>
      </c>
      <c r="J8007" s="56" t="s">
        <v>229</v>
      </c>
      <c r="K8007" s="57" t="s">
        <v>7699</v>
      </c>
      <c r="L8007" s="17" t="s">
        <v>11411</v>
      </c>
      <c r="M8007" s="162" t="s">
        <v>230</v>
      </c>
      <c r="N8007" s="15" t="s">
        <v>524</v>
      </c>
      <c r="O8007" s="6" t="s">
        <v>4568</v>
      </c>
      <c r="P8007" s="58" t="s">
        <v>241</v>
      </c>
      <c r="Q8007" s="6" t="s">
        <v>234</v>
      </c>
      <c r="R8007" s="251">
        <v>6</v>
      </c>
      <c r="S8007" s="59">
        <v>199500</v>
      </c>
      <c r="T8007" s="4">
        <v>0</v>
      </c>
      <c r="U8007" s="4">
        <f t="shared" si="450"/>
        <v>0</v>
      </c>
      <c r="V8007" s="3"/>
      <c r="W8007" s="3">
        <v>2014</v>
      </c>
      <c r="X8007" s="3" t="s">
        <v>17399</v>
      </c>
    </row>
    <row r="8008" spans="1:24" ht="140.25">
      <c r="A8008" s="3" t="s">
        <v>16693</v>
      </c>
      <c r="B8008" s="6" t="s">
        <v>361</v>
      </c>
      <c r="C8008" s="6" t="s">
        <v>15351</v>
      </c>
      <c r="D8008" s="6" t="s">
        <v>15352</v>
      </c>
      <c r="E8008" s="6" t="s">
        <v>15353</v>
      </c>
      <c r="F8008" s="6" t="s">
        <v>16692</v>
      </c>
      <c r="G8008" s="3" t="s">
        <v>11450</v>
      </c>
      <c r="H8008" s="54">
        <v>0</v>
      </c>
      <c r="I8008" s="16">
        <v>470000000</v>
      </c>
      <c r="J8008" s="56" t="s">
        <v>229</v>
      </c>
      <c r="K8008" s="57" t="s">
        <v>8950</v>
      </c>
      <c r="L8008" s="17" t="s">
        <v>11411</v>
      </c>
      <c r="M8008" s="162" t="s">
        <v>230</v>
      </c>
      <c r="N8008" s="15" t="s">
        <v>17491</v>
      </c>
      <c r="O8008" s="6" t="s">
        <v>4568</v>
      </c>
      <c r="P8008" s="58" t="s">
        <v>241</v>
      </c>
      <c r="Q8008" s="6" t="s">
        <v>234</v>
      </c>
      <c r="R8008" s="251">
        <v>6</v>
      </c>
      <c r="S8008" s="59">
        <v>199500</v>
      </c>
      <c r="T8008" s="4">
        <v>0</v>
      </c>
      <c r="U8008" s="4">
        <f t="shared" si="450"/>
        <v>0</v>
      </c>
      <c r="V8008" s="3"/>
      <c r="W8008" s="3">
        <v>2014</v>
      </c>
      <c r="X8008" s="3" t="s">
        <v>18655</v>
      </c>
    </row>
    <row r="8009" spans="1:24" ht="114.75">
      <c r="A8009" s="3" t="s">
        <v>18454</v>
      </c>
      <c r="B8009" s="6" t="s">
        <v>361</v>
      </c>
      <c r="C8009" s="6" t="s">
        <v>15351</v>
      </c>
      <c r="D8009" s="6" t="s">
        <v>15352</v>
      </c>
      <c r="E8009" s="6" t="s">
        <v>15353</v>
      </c>
      <c r="F8009" s="6" t="s">
        <v>18656</v>
      </c>
      <c r="G8009" s="3" t="s">
        <v>11450</v>
      </c>
      <c r="H8009" s="54">
        <v>0</v>
      </c>
      <c r="I8009" s="16">
        <v>470000000</v>
      </c>
      <c r="J8009" s="56" t="s">
        <v>229</v>
      </c>
      <c r="K8009" s="57" t="s">
        <v>9369</v>
      </c>
      <c r="L8009" s="17" t="s">
        <v>11411</v>
      </c>
      <c r="M8009" s="162" t="s">
        <v>230</v>
      </c>
      <c r="N8009" s="15" t="s">
        <v>8914</v>
      </c>
      <c r="O8009" s="6" t="s">
        <v>4568</v>
      </c>
      <c r="P8009" s="58" t="s">
        <v>241</v>
      </c>
      <c r="Q8009" s="6" t="s">
        <v>234</v>
      </c>
      <c r="R8009" s="251">
        <v>6</v>
      </c>
      <c r="S8009" s="59">
        <v>199500</v>
      </c>
      <c r="T8009" s="4">
        <f t="shared" ref="T8009" si="473">R8009*S8009</f>
        <v>1197000</v>
      </c>
      <c r="U8009" s="4">
        <f t="shared" si="450"/>
        <v>1340640.0000000002</v>
      </c>
      <c r="V8009" s="3"/>
      <c r="W8009" s="3">
        <v>2014</v>
      </c>
      <c r="X8009" s="158"/>
    </row>
    <row r="8010" spans="1:24" ht="89.25">
      <c r="A8010" s="3" t="s">
        <v>16152</v>
      </c>
      <c r="B8010" s="6" t="s">
        <v>361</v>
      </c>
      <c r="C8010" s="6" t="s">
        <v>15355</v>
      </c>
      <c r="D8010" s="6" t="s">
        <v>3747</v>
      </c>
      <c r="E8010" s="6" t="s">
        <v>15356</v>
      </c>
      <c r="F8010" s="6" t="s">
        <v>15357</v>
      </c>
      <c r="G8010" s="3" t="s">
        <v>11449</v>
      </c>
      <c r="H8010" s="54">
        <v>1</v>
      </c>
      <c r="I8010" s="16">
        <v>470000000</v>
      </c>
      <c r="J8010" s="157" t="s">
        <v>229</v>
      </c>
      <c r="K8010" s="5" t="s">
        <v>14811</v>
      </c>
      <c r="L8010" s="6" t="s">
        <v>12251</v>
      </c>
      <c r="M8010" s="3" t="s">
        <v>12250</v>
      </c>
      <c r="N8010" s="6" t="s">
        <v>7685</v>
      </c>
      <c r="O8010" s="6" t="s">
        <v>233</v>
      </c>
      <c r="P8010" s="58" t="s">
        <v>241</v>
      </c>
      <c r="Q8010" s="6" t="s">
        <v>234</v>
      </c>
      <c r="R8010" s="18">
        <v>6</v>
      </c>
      <c r="S8010" s="2">
        <v>27072</v>
      </c>
      <c r="T8010" s="4">
        <v>0</v>
      </c>
      <c r="U8010" s="4">
        <f t="shared" si="450"/>
        <v>0</v>
      </c>
      <c r="V8010" s="3" t="s">
        <v>362</v>
      </c>
      <c r="W8010" s="3">
        <v>2014</v>
      </c>
      <c r="X8010" s="3" t="s">
        <v>17399</v>
      </c>
    </row>
    <row r="8011" spans="1:24" ht="89.25">
      <c r="A8011" s="3" t="s">
        <v>17932</v>
      </c>
      <c r="B8011" s="6" t="s">
        <v>361</v>
      </c>
      <c r="C8011" s="6" t="s">
        <v>15355</v>
      </c>
      <c r="D8011" s="6" t="s">
        <v>3747</v>
      </c>
      <c r="E8011" s="6" t="s">
        <v>15356</v>
      </c>
      <c r="F8011" s="6" t="s">
        <v>15357</v>
      </c>
      <c r="G8011" s="3" t="s">
        <v>11450</v>
      </c>
      <c r="H8011" s="54">
        <v>1</v>
      </c>
      <c r="I8011" s="16">
        <v>470000000</v>
      </c>
      <c r="J8011" s="157" t="s">
        <v>229</v>
      </c>
      <c r="K8011" s="5" t="s">
        <v>8950</v>
      </c>
      <c r="L8011" s="6" t="s">
        <v>12251</v>
      </c>
      <c r="M8011" s="3" t="s">
        <v>12250</v>
      </c>
      <c r="N8011" s="6" t="s">
        <v>17921</v>
      </c>
      <c r="O8011" s="6" t="s">
        <v>233</v>
      </c>
      <c r="P8011" s="58" t="s">
        <v>241</v>
      </c>
      <c r="Q8011" s="6" t="s">
        <v>234</v>
      </c>
      <c r="R8011" s="18">
        <v>6</v>
      </c>
      <c r="S8011" s="2">
        <v>27072</v>
      </c>
      <c r="T8011" s="4">
        <f t="shared" ref="T8011" si="474">R8011*S8011</f>
        <v>162432</v>
      </c>
      <c r="U8011" s="4">
        <f t="shared" si="450"/>
        <v>181923.84000000003</v>
      </c>
      <c r="V8011" s="3" t="s">
        <v>362</v>
      </c>
      <c r="W8011" s="3">
        <v>2014</v>
      </c>
      <c r="X8011" s="158"/>
    </row>
    <row r="8012" spans="1:24" ht="89.25">
      <c r="A8012" s="3" t="s">
        <v>16153</v>
      </c>
      <c r="B8012" s="6" t="s">
        <v>361</v>
      </c>
      <c r="C8012" s="6" t="s">
        <v>15358</v>
      </c>
      <c r="D8012" s="6" t="s">
        <v>3747</v>
      </c>
      <c r="E8012" s="6" t="s">
        <v>15359</v>
      </c>
      <c r="F8012" s="6" t="s">
        <v>15360</v>
      </c>
      <c r="G8012" s="3" t="s">
        <v>11449</v>
      </c>
      <c r="H8012" s="54">
        <v>1</v>
      </c>
      <c r="I8012" s="16">
        <v>470000000</v>
      </c>
      <c r="J8012" s="157" t="s">
        <v>229</v>
      </c>
      <c r="K8012" s="5" t="s">
        <v>14811</v>
      </c>
      <c r="L8012" s="6" t="s">
        <v>12251</v>
      </c>
      <c r="M8012" s="3" t="s">
        <v>12250</v>
      </c>
      <c r="N8012" s="6" t="s">
        <v>7685</v>
      </c>
      <c r="O8012" s="6" t="s">
        <v>233</v>
      </c>
      <c r="P8012" s="58" t="s">
        <v>241</v>
      </c>
      <c r="Q8012" s="6" t="s">
        <v>234</v>
      </c>
      <c r="R8012" s="251">
        <v>36</v>
      </c>
      <c r="S8012" s="59">
        <v>21835</v>
      </c>
      <c r="T8012" s="4">
        <v>0</v>
      </c>
      <c r="U8012" s="4">
        <f t="shared" si="450"/>
        <v>0</v>
      </c>
      <c r="V8012" s="3" t="s">
        <v>362</v>
      </c>
      <c r="W8012" s="3">
        <v>2014</v>
      </c>
      <c r="X8012" s="3" t="s">
        <v>17399</v>
      </c>
    </row>
    <row r="8013" spans="1:24" ht="89.25">
      <c r="A8013" s="3" t="s">
        <v>17933</v>
      </c>
      <c r="B8013" s="6" t="s">
        <v>361</v>
      </c>
      <c r="C8013" s="6" t="s">
        <v>15358</v>
      </c>
      <c r="D8013" s="6" t="s">
        <v>3747</v>
      </c>
      <c r="E8013" s="6" t="s">
        <v>15359</v>
      </c>
      <c r="F8013" s="6" t="s">
        <v>15360</v>
      </c>
      <c r="G8013" s="3" t="s">
        <v>11450</v>
      </c>
      <c r="H8013" s="54">
        <v>1</v>
      </c>
      <c r="I8013" s="16">
        <v>470000000</v>
      </c>
      <c r="J8013" s="157" t="s">
        <v>229</v>
      </c>
      <c r="K8013" s="5" t="s">
        <v>8950</v>
      </c>
      <c r="L8013" s="6" t="s">
        <v>12251</v>
      </c>
      <c r="M8013" s="3" t="s">
        <v>12250</v>
      </c>
      <c r="N8013" s="6" t="s">
        <v>17921</v>
      </c>
      <c r="O8013" s="6" t="s">
        <v>233</v>
      </c>
      <c r="P8013" s="58" t="s">
        <v>241</v>
      </c>
      <c r="Q8013" s="6" t="s">
        <v>234</v>
      </c>
      <c r="R8013" s="251">
        <v>36</v>
      </c>
      <c r="S8013" s="59">
        <v>21835</v>
      </c>
      <c r="T8013" s="4">
        <f t="shared" ref="T8013" si="475">R8013*S8013</f>
        <v>786060</v>
      </c>
      <c r="U8013" s="4">
        <f t="shared" si="450"/>
        <v>880387.20000000007</v>
      </c>
      <c r="V8013" s="3" t="s">
        <v>362</v>
      </c>
      <c r="W8013" s="3">
        <v>2014</v>
      </c>
      <c r="X8013" s="158"/>
    </row>
    <row r="8014" spans="1:24" ht="89.25">
      <c r="A8014" s="3" t="s">
        <v>16154</v>
      </c>
      <c r="B8014" s="6" t="s">
        <v>361</v>
      </c>
      <c r="C8014" s="6" t="s">
        <v>15361</v>
      </c>
      <c r="D8014" s="6" t="s">
        <v>3999</v>
      </c>
      <c r="E8014" s="6" t="s">
        <v>15362</v>
      </c>
      <c r="F8014" s="6" t="s">
        <v>15363</v>
      </c>
      <c r="G8014" s="3" t="s">
        <v>11449</v>
      </c>
      <c r="H8014" s="54">
        <v>1</v>
      </c>
      <c r="I8014" s="16">
        <v>470000000</v>
      </c>
      <c r="J8014" s="157" t="s">
        <v>229</v>
      </c>
      <c r="K8014" s="5" t="s">
        <v>14811</v>
      </c>
      <c r="L8014" s="6" t="s">
        <v>12251</v>
      </c>
      <c r="M8014" s="3" t="s">
        <v>12250</v>
      </c>
      <c r="N8014" s="6" t="s">
        <v>7685</v>
      </c>
      <c r="O8014" s="6" t="s">
        <v>233</v>
      </c>
      <c r="P8014" s="58" t="s">
        <v>241</v>
      </c>
      <c r="Q8014" s="6" t="s">
        <v>234</v>
      </c>
      <c r="R8014" s="251">
        <v>8</v>
      </c>
      <c r="S8014" s="59">
        <v>2740</v>
      </c>
      <c r="T8014" s="4">
        <v>0</v>
      </c>
      <c r="U8014" s="4">
        <f t="shared" si="450"/>
        <v>0</v>
      </c>
      <c r="V8014" s="3" t="s">
        <v>362</v>
      </c>
      <c r="W8014" s="3">
        <v>2014</v>
      </c>
      <c r="X8014" s="3" t="s">
        <v>17399</v>
      </c>
    </row>
    <row r="8015" spans="1:24" ht="89.25">
      <c r="A8015" s="3" t="s">
        <v>17934</v>
      </c>
      <c r="B8015" s="6" t="s">
        <v>361</v>
      </c>
      <c r="C8015" s="6" t="s">
        <v>15361</v>
      </c>
      <c r="D8015" s="6" t="s">
        <v>3999</v>
      </c>
      <c r="E8015" s="6" t="s">
        <v>15362</v>
      </c>
      <c r="F8015" s="6" t="s">
        <v>15363</v>
      </c>
      <c r="G8015" s="3" t="s">
        <v>11450</v>
      </c>
      <c r="H8015" s="54">
        <v>1</v>
      </c>
      <c r="I8015" s="16">
        <v>470000000</v>
      </c>
      <c r="J8015" s="157" t="s">
        <v>229</v>
      </c>
      <c r="K8015" s="5" t="s">
        <v>8950</v>
      </c>
      <c r="L8015" s="6" t="s">
        <v>12251</v>
      </c>
      <c r="M8015" s="3" t="s">
        <v>12250</v>
      </c>
      <c r="N8015" s="6" t="s">
        <v>17921</v>
      </c>
      <c r="O8015" s="6" t="s">
        <v>233</v>
      </c>
      <c r="P8015" s="58" t="s">
        <v>241</v>
      </c>
      <c r="Q8015" s="6" t="s">
        <v>234</v>
      </c>
      <c r="R8015" s="251">
        <v>8</v>
      </c>
      <c r="S8015" s="59">
        <v>2740</v>
      </c>
      <c r="T8015" s="4">
        <f t="shared" ref="T8015" si="476">R8015*S8015</f>
        <v>21920</v>
      </c>
      <c r="U8015" s="4">
        <f t="shared" si="450"/>
        <v>24550.400000000001</v>
      </c>
      <c r="V8015" s="3" t="s">
        <v>362</v>
      </c>
      <c r="W8015" s="3">
        <v>2014</v>
      </c>
      <c r="X8015" s="158"/>
    </row>
    <row r="8016" spans="1:24" ht="89.25">
      <c r="A8016" s="3" t="s">
        <v>16155</v>
      </c>
      <c r="B8016" s="6" t="s">
        <v>361</v>
      </c>
      <c r="C8016" s="6" t="s">
        <v>15364</v>
      </c>
      <c r="D8016" s="6" t="s">
        <v>4025</v>
      </c>
      <c r="E8016" s="6" t="s">
        <v>15365</v>
      </c>
      <c r="F8016" s="6" t="s">
        <v>15366</v>
      </c>
      <c r="G8016" s="3" t="s">
        <v>11449</v>
      </c>
      <c r="H8016" s="54">
        <v>1</v>
      </c>
      <c r="I8016" s="16">
        <v>470000000</v>
      </c>
      <c r="J8016" s="157" t="s">
        <v>229</v>
      </c>
      <c r="K8016" s="5" t="s">
        <v>14754</v>
      </c>
      <c r="L8016" s="6" t="s">
        <v>12251</v>
      </c>
      <c r="M8016" s="3" t="s">
        <v>12250</v>
      </c>
      <c r="N8016" s="6" t="s">
        <v>7685</v>
      </c>
      <c r="O8016" s="6" t="s">
        <v>233</v>
      </c>
      <c r="P8016" s="58" t="s">
        <v>241</v>
      </c>
      <c r="Q8016" s="6" t="s">
        <v>234</v>
      </c>
      <c r="R8016" s="251">
        <v>5</v>
      </c>
      <c r="S8016" s="59">
        <v>7887</v>
      </c>
      <c r="T8016" s="4">
        <v>0</v>
      </c>
      <c r="U8016" s="4">
        <f t="shared" si="450"/>
        <v>0</v>
      </c>
      <c r="V8016" s="3" t="s">
        <v>362</v>
      </c>
      <c r="W8016" s="3">
        <v>2014</v>
      </c>
      <c r="X8016" s="3" t="s">
        <v>17399</v>
      </c>
    </row>
    <row r="8017" spans="1:24" ht="89.25">
      <c r="A8017" s="3" t="s">
        <v>17935</v>
      </c>
      <c r="B8017" s="6" t="s">
        <v>361</v>
      </c>
      <c r="C8017" s="6" t="s">
        <v>15364</v>
      </c>
      <c r="D8017" s="6" t="s">
        <v>4025</v>
      </c>
      <c r="E8017" s="6" t="s">
        <v>15365</v>
      </c>
      <c r="F8017" s="6" t="s">
        <v>15366</v>
      </c>
      <c r="G8017" s="3" t="s">
        <v>11450</v>
      </c>
      <c r="H8017" s="54">
        <v>1</v>
      </c>
      <c r="I8017" s="16">
        <v>470000000</v>
      </c>
      <c r="J8017" s="157" t="s">
        <v>229</v>
      </c>
      <c r="K8017" s="5" t="s">
        <v>14754</v>
      </c>
      <c r="L8017" s="6" t="s">
        <v>12251</v>
      </c>
      <c r="M8017" s="3" t="s">
        <v>12250</v>
      </c>
      <c r="N8017" s="6" t="s">
        <v>17921</v>
      </c>
      <c r="O8017" s="6" t="s">
        <v>233</v>
      </c>
      <c r="P8017" s="58" t="s">
        <v>241</v>
      </c>
      <c r="Q8017" s="6" t="s">
        <v>234</v>
      </c>
      <c r="R8017" s="251">
        <v>5</v>
      </c>
      <c r="S8017" s="59">
        <v>7887</v>
      </c>
      <c r="T8017" s="4">
        <f t="shared" ref="T8017:T8045" si="477">R8017*S8017</f>
        <v>39435</v>
      </c>
      <c r="U8017" s="4">
        <f t="shared" si="450"/>
        <v>44167.200000000004</v>
      </c>
      <c r="V8017" s="3" t="s">
        <v>362</v>
      </c>
      <c r="W8017" s="3">
        <v>2014</v>
      </c>
      <c r="X8017" s="158"/>
    </row>
    <row r="8018" spans="1:24" ht="89.25">
      <c r="A8018" s="3" t="s">
        <v>16156</v>
      </c>
      <c r="B8018" s="6" t="s">
        <v>361</v>
      </c>
      <c r="C8018" s="6" t="s">
        <v>15367</v>
      </c>
      <c r="D8018" s="6" t="s">
        <v>3747</v>
      </c>
      <c r="E8018" s="6" t="s">
        <v>15368</v>
      </c>
      <c r="F8018" s="6" t="s">
        <v>15369</v>
      </c>
      <c r="G8018" s="3" t="s">
        <v>11450</v>
      </c>
      <c r="H8018" s="54">
        <v>1</v>
      </c>
      <c r="I8018" s="16">
        <v>470000000</v>
      </c>
      <c r="J8018" s="157" t="s">
        <v>229</v>
      </c>
      <c r="K8018" s="5" t="s">
        <v>14754</v>
      </c>
      <c r="L8018" s="6" t="s">
        <v>12251</v>
      </c>
      <c r="M8018" s="3" t="s">
        <v>12250</v>
      </c>
      <c r="N8018" s="15" t="s">
        <v>524</v>
      </c>
      <c r="O8018" s="6" t="s">
        <v>14853</v>
      </c>
      <c r="P8018" s="58">
        <v>796</v>
      </c>
      <c r="Q8018" s="6" t="s">
        <v>234</v>
      </c>
      <c r="R8018" s="251">
        <v>118</v>
      </c>
      <c r="S8018" s="59">
        <v>1440</v>
      </c>
      <c r="T8018" s="4">
        <f t="shared" si="477"/>
        <v>169920</v>
      </c>
      <c r="U8018" s="4">
        <f t="shared" si="450"/>
        <v>190310.40000000002</v>
      </c>
      <c r="V8018" s="3" t="s">
        <v>362</v>
      </c>
      <c r="W8018" s="3">
        <v>2014</v>
      </c>
      <c r="X8018" s="158"/>
    </row>
    <row r="8019" spans="1:24" ht="89.25">
      <c r="A8019" s="3" t="s">
        <v>16157</v>
      </c>
      <c r="B8019" s="6" t="s">
        <v>361</v>
      </c>
      <c r="C8019" s="6" t="s">
        <v>15370</v>
      </c>
      <c r="D8019" s="6" t="s">
        <v>4052</v>
      </c>
      <c r="E8019" s="6" t="s">
        <v>15371</v>
      </c>
      <c r="F8019" s="6" t="s">
        <v>15372</v>
      </c>
      <c r="G8019" s="3" t="s">
        <v>11449</v>
      </c>
      <c r="H8019" s="54">
        <v>1</v>
      </c>
      <c r="I8019" s="16">
        <v>470000000</v>
      </c>
      <c r="J8019" s="157" t="s">
        <v>229</v>
      </c>
      <c r="K8019" s="5" t="s">
        <v>14754</v>
      </c>
      <c r="L8019" s="6" t="s">
        <v>12251</v>
      </c>
      <c r="M8019" s="3" t="s">
        <v>12250</v>
      </c>
      <c r="N8019" s="6" t="s">
        <v>7685</v>
      </c>
      <c r="O8019" s="6" t="s">
        <v>233</v>
      </c>
      <c r="P8019" s="58" t="s">
        <v>241</v>
      </c>
      <c r="Q8019" s="6" t="s">
        <v>234</v>
      </c>
      <c r="R8019" s="18">
        <v>28</v>
      </c>
      <c r="S8019" s="2">
        <v>24874</v>
      </c>
      <c r="T8019" s="4">
        <v>0</v>
      </c>
      <c r="U8019" s="4">
        <f t="shared" si="450"/>
        <v>0</v>
      </c>
      <c r="V8019" s="3" t="s">
        <v>362</v>
      </c>
      <c r="W8019" s="3">
        <v>2014</v>
      </c>
      <c r="X8019" s="3" t="s">
        <v>17399</v>
      </c>
    </row>
    <row r="8020" spans="1:24" ht="89.25">
      <c r="A8020" s="3" t="s">
        <v>17900</v>
      </c>
      <c r="B8020" s="6" t="s">
        <v>361</v>
      </c>
      <c r="C8020" s="6" t="s">
        <v>15370</v>
      </c>
      <c r="D8020" s="6" t="s">
        <v>4052</v>
      </c>
      <c r="E8020" s="6" t="s">
        <v>15371</v>
      </c>
      <c r="F8020" s="6" t="s">
        <v>15372</v>
      </c>
      <c r="G8020" s="3" t="s">
        <v>11450</v>
      </c>
      <c r="H8020" s="54">
        <v>1</v>
      </c>
      <c r="I8020" s="16">
        <v>470000000</v>
      </c>
      <c r="J8020" s="157" t="s">
        <v>229</v>
      </c>
      <c r="K8020" s="5" t="s">
        <v>8950</v>
      </c>
      <c r="L8020" s="6" t="s">
        <v>12251</v>
      </c>
      <c r="M8020" s="3" t="s">
        <v>12250</v>
      </c>
      <c r="N8020" s="6" t="s">
        <v>7685</v>
      </c>
      <c r="O8020" s="6" t="s">
        <v>14853</v>
      </c>
      <c r="P8020" s="58" t="s">
        <v>241</v>
      </c>
      <c r="Q8020" s="6" t="s">
        <v>234</v>
      </c>
      <c r="R8020" s="18">
        <v>28</v>
      </c>
      <c r="S8020" s="2">
        <v>24874</v>
      </c>
      <c r="T8020" s="4">
        <f t="shared" ref="T8020" si="478">R8020*S8020</f>
        <v>696472</v>
      </c>
      <c r="U8020" s="4">
        <f t="shared" si="450"/>
        <v>780048.64000000013</v>
      </c>
      <c r="V8020" s="3" t="s">
        <v>362</v>
      </c>
      <c r="W8020" s="3">
        <v>2014</v>
      </c>
      <c r="X8020" s="158"/>
    </row>
    <row r="8021" spans="1:24" ht="89.25">
      <c r="A8021" s="3" t="s">
        <v>16158</v>
      </c>
      <c r="B8021" s="6" t="s">
        <v>361</v>
      </c>
      <c r="C8021" s="6" t="s">
        <v>15373</v>
      </c>
      <c r="D8021" s="6" t="s">
        <v>4052</v>
      </c>
      <c r="E8021" s="6" t="s">
        <v>15374</v>
      </c>
      <c r="F8021" s="6" t="s">
        <v>15375</v>
      </c>
      <c r="G8021" s="3" t="s">
        <v>11449</v>
      </c>
      <c r="H8021" s="54">
        <v>1</v>
      </c>
      <c r="I8021" s="16">
        <v>470000000</v>
      </c>
      <c r="J8021" s="157" t="s">
        <v>229</v>
      </c>
      <c r="K8021" s="5" t="s">
        <v>14754</v>
      </c>
      <c r="L8021" s="6" t="s">
        <v>12251</v>
      </c>
      <c r="M8021" s="3" t="s">
        <v>12250</v>
      </c>
      <c r="N8021" s="6" t="s">
        <v>7685</v>
      </c>
      <c r="O8021" s="6" t="s">
        <v>233</v>
      </c>
      <c r="P8021" s="58" t="s">
        <v>241</v>
      </c>
      <c r="Q8021" s="6" t="s">
        <v>234</v>
      </c>
      <c r="R8021" s="251">
        <v>16</v>
      </c>
      <c r="S8021" s="59">
        <v>12388</v>
      </c>
      <c r="T8021" s="4">
        <v>0</v>
      </c>
      <c r="U8021" s="4">
        <f t="shared" si="450"/>
        <v>0</v>
      </c>
      <c r="V8021" s="3" t="s">
        <v>362</v>
      </c>
      <c r="W8021" s="3">
        <v>2014</v>
      </c>
      <c r="X8021" s="3" t="s">
        <v>17399</v>
      </c>
    </row>
    <row r="8022" spans="1:24" ht="89.25">
      <c r="A8022" s="3" t="s">
        <v>17899</v>
      </c>
      <c r="B8022" s="6" t="s">
        <v>361</v>
      </c>
      <c r="C8022" s="6" t="s">
        <v>15373</v>
      </c>
      <c r="D8022" s="6" t="s">
        <v>4052</v>
      </c>
      <c r="E8022" s="6" t="s">
        <v>15374</v>
      </c>
      <c r="F8022" s="6" t="s">
        <v>15375</v>
      </c>
      <c r="G8022" s="3" t="s">
        <v>11450</v>
      </c>
      <c r="H8022" s="54">
        <v>1</v>
      </c>
      <c r="I8022" s="16">
        <v>470000000</v>
      </c>
      <c r="J8022" s="157" t="s">
        <v>229</v>
      </c>
      <c r="K8022" s="5" t="s">
        <v>8950</v>
      </c>
      <c r="L8022" s="6" t="s">
        <v>12251</v>
      </c>
      <c r="M8022" s="3" t="s">
        <v>12250</v>
      </c>
      <c r="N8022" s="6" t="s">
        <v>7685</v>
      </c>
      <c r="O8022" s="6" t="s">
        <v>14853</v>
      </c>
      <c r="P8022" s="58" t="s">
        <v>241</v>
      </c>
      <c r="Q8022" s="6" t="s">
        <v>234</v>
      </c>
      <c r="R8022" s="251">
        <v>16</v>
      </c>
      <c r="S8022" s="59">
        <v>12388</v>
      </c>
      <c r="T8022" s="4">
        <f t="shared" ref="T8022" si="479">R8022*S8022</f>
        <v>198208</v>
      </c>
      <c r="U8022" s="4">
        <f t="shared" si="450"/>
        <v>221992.96000000002</v>
      </c>
      <c r="V8022" s="3" t="s">
        <v>362</v>
      </c>
      <c r="W8022" s="3">
        <v>2014</v>
      </c>
      <c r="X8022" s="158"/>
    </row>
    <row r="8023" spans="1:24" ht="89.25">
      <c r="A8023" s="3" t="s">
        <v>16159</v>
      </c>
      <c r="B8023" s="6" t="s">
        <v>361</v>
      </c>
      <c r="C8023" s="6" t="s">
        <v>15376</v>
      </c>
      <c r="D8023" s="6" t="s">
        <v>15377</v>
      </c>
      <c r="E8023" s="6" t="s">
        <v>15378</v>
      </c>
      <c r="F8023" s="6" t="s">
        <v>15379</v>
      </c>
      <c r="G8023" s="3" t="s">
        <v>11450</v>
      </c>
      <c r="H8023" s="54">
        <v>1</v>
      </c>
      <c r="I8023" s="16">
        <v>470000000</v>
      </c>
      <c r="J8023" s="157" t="s">
        <v>229</v>
      </c>
      <c r="K8023" s="5" t="s">
        <v>14754</v>
      </c>
      <c r="L8023" s="6" t="s">
        <v>12251</v>
      </c>
      <c r="M8023" s="3" t="s">
        <v>12250</v>
      </c>
      <c r="N8023" s="6" t="s">
        <v>7685</v>
      </c>
      <c r="O8023" s="6" t="s">
        <v>233</v>
      </c>
      <c r="P8023" s="58" t="s">
        <v>241</v>
      </c>
      <c r="Q8023" s="6" t="s">
        <v>234</v>
      </c>
      <c r="R8023" s="251">
        <v>1</v>
      </c>
      <c r="S8023" s="59">
        <v>40376</v>
      </c>
      <c r="T8023" s="4">
        <v>0</v>
      </c>
      <c r="U8023" s="4">
        <f t="shared" si="450"/>
        <v>0</v>
      </c>
      <c r="V8023" s="3" t="s">
        <v>362</v>
      </c>
      <c r="W8023" s="3">
        <v>2014</v>
      </c>
      <c r="X8023" s="3">
        <v>11</v>
      </c>
    </row>
    <row r="8024" spans="1:24" ht="89.25">
      <c r="A8024" s="3" t="s">
        <v>18381</v>
      </c>
      <c r="B8024" s="6" t="s">
        <v>361</v>
      </c>
      <c r="C8024" s="6" t="s">
        <v>15376</v>
      </c>
      <c r="D8024" s="6" t="s">
        <v>15377</v>
      </c>
      <c r="E8024" s="6" t="s">
        <v>15378</v>
      </c>
      <c r="F8024" s="6" t="s">
        <v>15379</v>
      </c>
      <c r="G8024" s="3" t="s">
        <v>11450</v>
      </c>
      <c r="H8024" s="54">
        <v>1</v>
      </c>
      <c r="I8024" s="16">
        <v>470000000</v>
      </c>
      <c r="J8024" s="157" t="s">
        <v>229</v>
      </c>
      <c r="K8024" s="5" t="s">
        <v>8950</v>
      </c>
      <c r="L8024" s="6" t="s">
        <v>12251</v>
      </c>
      <c r="M8024" s="3" t="s">
        <v>12250</v>
      </c>
      <c r="N8024" s="6" t="s">
        <v>7685</v>
      </c>
      <c r="O8024" s="6" t="s">
        <v>233</v>
      </c>
      <c r="P8024" s="58" t="s">
        <v>241</v>
      </c>
      <c r="Q8024" s="6" t="s">
        <v>234</v>
      </c>
      <c r="R8024" s="251">
        <v>1</v>
      </c>
      <c r="S8024" s="59">
        <v>40376</v>
      </c>
      <c r="T8024" s="4">
        <f t="shared" ref="T8024" si="480">R8024*S8024</f>
        <v>40376</v>
      </c>
      <c r="U8024" s="4">
        <f t="shared" si="450"/>
        <v>45221.120000000003</v>
      </c>
      <c r="V8024" s="3" t="s">
        <v>362</v>
      </c>
      <c r="W8024" s="3">
        <v>2014</v>
      </c>
      <c r="X8024" s="158"/>
    </row>
    <row r="8025" spans="1:24" ht="89.25">
      <c r="A8025" s="3" t="s">
        <v>16160</v>
      </c>
      <c r="B8025" s="6" t="s">
        <v>361</v>
      </c>
      <c r="C8025" s="6" t="s">
        <v>15380</v>
      </c>
      <c r="D8025" s="6" t="s">
        <v>3980</v>
      </c>
      <c r="E8025" s="6" t="s">
        <v>15381</v>
      </c>
      <c r="F8025" s="6" t="s">
        <v>15382</v>
      </c>
      <c r="G8025" s="3" t="s">
        <v>11449</v>
      </c>
      <c r="H8025" s="54">
        <v>1</v>
      </c>
      <c r="I8025" s="16">
        <v>470000000</v>
      </c>
      <c r="J8025" s="157" t="s">
        <v>229</v>
      </c>
      <c r="K8025" s="5" t="s">
        <v>14754</v>
      </c>
      <c r="L8025" s="6" t="s">
        <v>12251</v>
      </c>
      <c r="M8025" s="3" t="s">
        <v>12250</v>
      </c>
      <c r="N8025" s="6" t="s">
        <v>7685</v>
      </c>
      <c r="O8025" s="6" t="s">
        <v>233</v>
      </c>
      <c r="P8025" s="58" t="s">
        <v>241</v>
      </c>
      <c r="Q8025" s="6" t="s">
        <v>234</v>
      </c>
      <c r="R8025" s="251">
        <v>0</v>
      </c>
      <c r="S8025" s="59">
        <v>9943</v>
      </c>
      <c r="T8025" s="4">
        <f t="shared" si="477"/>
        <v>0</v>
      </c>
      <c r="U8025" s="4">
        <f t="shared" si="450"/>
        <v>0</v>
      </c>
      <c r="V8025" s="3" t="s">
        <v>362</v>
      </c>
      <c r="W8025" s="3">
        <v>2014</v>
      </c>
      <c r="X8025" s="3" t="s">
        <v>12076</v>
      </c>
    </row>
    <row r="8026" spans="1:24" ht="89.25">
      <c r="A8026" s="3" t="s">
        <v>16161</v>
      </c>
      <c r="B8026" s="6" t="s">
        <v>361</v>
      </c>
      <c r="C8026" s="6" t="s">
        <v>15383</v>
      </c>
      <c r="D8026" s="6" t="s">
        <v>3980</v>
      </c>
      <c r="E8026" s="6" t="s">
        <v>15384</v>
      </c>
      <c r="F8026" s="6" t="s">
        <v>15385</v>
      </c>
      <c r="G8026" s="3" t="s">
        <v>11449</v>
      </c>
      <c r="H8026" s="54">
        <v>1</v>
      </c>
      <c r="I8026" s="16">
        <v>470000000</v>
      </c>
      <c r="J8026" s="157" t="s">
        <v>229</v>
      </c>
      <c r="K8026" s="5" t="s">
        <v>14754</v>
      </c>
      <c r="L8026" s="6" t="s">
        <v>12251</v>
      </c>
      <c r="M8026" s="3" t="s">
        <v>12250</v>
      </c>
      <c r="N8026" s="6" t="s">
        <v>7685</v>
      </c>
      <c r="O8026" s="6" t="s">
        <v>233</v>
      </c>
      <c r="P8026" s="58" t="s">
        <v>241</v>
      </c>
      <c r="Q8026" s="6" t="s">
        <v>234</v>
      </c>
      <c r="R8026" s="251">
        <v>0</v>
      </c>
      <c r="S8026" s="59">
        <v>7250</v>
      </c>
      <c r="T8026" s="4">
        <f t="shared" si="477"/>
        <v>0</v>
      </c>
      <c r="U8026" s="4">
        <f t="shared" si="450"/>
        <v>0</v>
      </c>
      <c r="V8026" s="3" t="s">
        <v>362</v>
      </c>
      <c r="W8026" s="3">
        <v>2014</v>
      </c>
      <c r="X8026" s="3" t="s">
        <v>12076</v>
      </c>
    </row>
    <row r="8027" spans="1:24" ht="89.25">
      <c r="A8027" s="3" t="s">
        <v>16162</v>
      </c>
      <c r="B8027" s="6" t="s">
        <v>361</v>
      </c>
      <c r="C8027" s="6" t="s">
        <v>15386</v>
      </c>
      <c r="D8027" s="6" t="s">
        <v>3999</v>
      </c>
      <c r="E8027" s="6" t="s">
        <v>15387</v>
      </c>
      <c r="F8027" s="6" t="s">
        <v>15388</v>
      </c>
      <c r="G8027" s="3" t="s">
        <v>11449</v>
      </c>
      <c r="H8027" s="54">
        <v>1</v>
      </c>
      <c r="I8027" s="16">
        <v>470000000</v>
      </c>
      <c r="J8027" s="157" t="s">
        <v>229</v>
      </c>
      <c r="K8027" s="5" t="s">
        <v>14754</v>
      </c>
      <c r="L8027" s="6" t="s">
        <v>12251</v>
      </c>
      <c r="M8027" s="3" t="s">
        <v>12250</v>
      </c>
      <c r="N8027" s="6" t="s">
        <v>7685</v>
      </c>
      <c r="O8027" s="6" t="s">
        <v>233</v>
      </c>
      <c r="P8027" s="58" t="s">
        <v>241</v>
      </c>
      <c r="Q8027" s="6" t="s">
        <v>234</v>
      </c>
      <c r="R8027" s="251">
        <v>20</v>
      </c>
      <c r="S8027" s="59">
        <v>8806</v>
      </c>
      <c r="T8027" s="4">
        <v>0</v>
      </c>
      <c r="U8027" s="4">
        <f t="shared" si="450"/>
        <v>0</v>
      </c>
      <c r="V8027" s="3" t="s">
        <v>362</v>
      </c>
      <c r="W8027" s="3">
        <v>2014</v>
      </c>
      <c r="X8027" s="3" t="s">
        <v>17399</v>
      </c>
    </row>
    <row r="8028" spans="1:24" ht="89.25">
      <c r="A8028" s="3" t="s">
        <v>17936</v>
      </c>
      <c r="B8028" s="6" t="s">
        <v>361</v>
      </c>
      <c r="C8028" s="6" t="s">
        <v>15386</v>
      </c>
      <c r="D8028" s="6" t="s">
        <v>3999</v>
      </c>
      <c r="E8028" s="6" t="s">
        <v>15387</v>
      </c>
      <c r="F8028" s="6" t="s">
        <v>15388</v>
      </c>
      <c r="G8028" s="3" t="s">
        <v>11450</v>
      </c>
      <c r="H8028" s="54">
        <v>1</v>
      </c>
      <c r="I8028" s="16">
        <v>470000000</v>
      </c>
      <c r="J8028" s="157" t="s">
        <v>229</v>
      </c>
      <c r="K8028" s="5" t="s">
        <v>8950</v>
      </c>
      <c r="L8028" s="6" t="s">
        <v>12251</v>
      </c>
      <c r="M8028" s="3" t="s">
        <v>12250</v>
      </c>
      <c r="N8028" s="6" t="s">
        <v>17921</v>
      </c>
      <c r="O8028" s="6" t="s">
        <v>233</v>
      </c>
      <c r="P8028" s="58" t="s">
        <v>241</v>
      </c>
      <c r="Q8028" s="6" t="s">
        <v>234</v>
      </c>
      <c r="R8028" s="251">
        <v>20</v>
      </c>
      <c r="S8028" s="59">
        <v>8806</v>
      </c>
      <c r="T8028" s="4">
        <f t="shared" ref="T8028" si="481">R8028*S8028</f>
        <v>176120</v>
      </c>
      <c r="U8028" s="4">
        <f t="shared" si="450"/>
        <v>197254.40000000002</v>
      </c>
      <c r="V8028" s="3" t="s">
        <v>362</v>
      </c>
      <c r="W8028" s="3">
        <v>2014</v>
      </c>
      <c r="X8028" s="158"/>
    </row>
    <row r="8029" spans="1:24" ht="89.25">
      <c r="A8029" s="3" t="s">
        <v>16163</v>
      </c>
      <c r="B8029" s="6" t="s">
        <v>361</v>
      </c>
      <c r="C8029" s="6" t="s">
        <v>15389</v>
      </c>
      <c r="D8029" s="6" t="s">
        <v>3999</v>
      </c>
      <c r="E8029" s="6" t="s">
        <v>15390</v>
      </c>
      <c r="F8029" s="6" t="s">
        <v>15391</v>
      </c>
      <c r="G8029" s="3" t="s">
        <v>11449</v>
      </c>
      <c r="H8029" s="54">
        <v>1</v>
      </c>
      <c r="I8029" s="16">
        <v>470000000</v>
      </c>
      <c r="J8029" s="157" t="s">
        <v>229</v>
      </c>
      <c r="K8029" s="5" t="s">
        <v>14754</v>
      </c>
      <c r="L8029" s="6" t="s">
        <v>12251</v>
      </c>
      <c r="M8029" s="3" t="s">
        <v>12250</v>
      </c>
      <c r="N8029" s="6" t="s">
        <v>7685</v>
      </c>
      <c r="O8029" s="6" t="s">
        <v>233</v>
      </c>
      <c r="P8029" s="58" t="s">
        <v>241</v>
      </c>
      <c r="Q8029" s="6" t="s">
        <v>234</v>
      </c>
      <c r="R8029" s="251">
        <v>6</v>
      </c>
      <c r="S8029" s="59">
        <v>5121</v>
      </c>
      <c r="T8029" s="4">
        <v>0</v>
      </c>
      <c r="U8029" s="4">
        <f t="shared" si="450"/>
        <v>0</v>
      </c>
      <c r="V8029" s="3" t="s">
        <v>362</v>
      </c>
      <c r="W8029" s="3">
        <v>2014</v>
      </c>
      <c r="X8029" s="3" t="s">
        <v>17898</v>
      </c>
    </row>
    <row r="8030" spans="1:24" ht="89.25">
      <c r="A8030" s="3" t="s">
        <v>17897</v>
      </c>
      <c r="B8030" s="6" t="s">
        <v>361</v>
      </c>
      <c r="C8030" s="6" t="s">
        <v>15389</v>
      </c>
      <c r="D8030" s="6" t="s">
        <v>3999</v>
      </c>
      <c r="E8030" s="6" t="s">
        <v>15390</v>
      </c>
      <c r="F8030" s="6" t="s">
        <v>15391</v>
      </c>
      <c r="G8030" s="3" t="s">
        <v>11450</v>
      </c>
      <c r="H8030" s="54">
        <v>1</v>
      </c>
      <c r="I8030" s="16">
        <v>470000000</v>
      </c>
      <c r="J8030" s="157" t="s">
        <v>229</v>
      </c>
      <c r="K8030" s="5" t="s">
        <v>8950</v>
      </c>
      <c r="L8030" s="6" t="s">
        <v>12251</v>
      </c>
      <c r="M8030" s="3" t="s">
        <v>12250</v>
      </c>
      <c r="N8030" s="15" t="s">
        <v>528</v>
      </c>
      <c r="O8030" s="6" t="s">
        <v>14853</v>
      </c>
      <c r="P8030" s="58" t="s">
        <v>241</v>
      </c>
      <c r="Q8030" s="6" t="s">
        <v>234</v>
      </c>
      <c r="R8030" s="251">
        <v>6</v>
      </c>
      <c r="S8030" s="59">
        <v>5121</v>
      </c>
      <c r="T8030" s="4">
        <f t="shared" ref="T8030" si="482">R8030*S8030</f>
        <v>30726</v>
      </c>
      <c r="U8030" s="4">
        <f t="shared" si="450"/>
        <v>34413.120000000003</v>
      </c>
      <c r="V8030" s="3" t="s">
        <v>362</v>
      </c>
      <c r="W8030" s="3">
        <v>2014</v>
      </c>
      <c r="X8030" s="158"/>
    </row>
    <row r="8031" spans="1:24" ht="89.25">
      <c r="A8031" s="3" t="s">
        <v>16164</v>
      </c>
      <c r="B8031" s="6" t="s">
        <v>361</v>
      </c>
      <c r="C8031" s="6" t="s">
        <v>15392</v>
      </c>
      <c r="D8031" s="6" t="s">
        <v>3747</v>
      </c>
      <c r="E8031" s="6" t="s">
        <v>15393</v>
      </c>
      <c r="F8031" s="6" t="s">
        <v>15394</v>
      </c>
      <c r="G8031" s="3" t="s">
        <v>11450</v>
      </c>
      <c r="H8031" s="54">
        <v>1</v>
      </c>
      <c r="I8031" s="16">
        <v>470000000</v>
      </c>
      <c r="J8031" s="157" t="s">
        <v>229</v>
      </c>
      <c r="K8031" s="5" t="s">
        <v>14754</v>
      </c>
      <c r="L8031" s="6" t="s">
        <v>12251</v>
      </c>
      <c r="M8031" s="3" t="s">
        <v>12250</v>
      </c>
      <c r="N8031" s="6" t="s">
        <v>7685</v>
      </c>
      <c r="O8031" s="6" t="s">
        <v>233</v>
      </c>
      <c r="P8031" s="58" t="s">
        <v>241</v>
      </c>
      <c r="Q8031" s="6" t="s">
        <v>234</v>
      </c>
      <c r="R8031" s="251">
        <v>2</v>
      </c>
      <c r="S8031" s="59">
        <v>5400</v>
      </c>
      <c r="T8031" s="4">
        <v>0</v>
      </c>
      <c r="U8031" s="4">
        <f t="shared" si="450"/>
        <v>0</v>
      </c>
      <c r="V8031" s="3" t="s">
        <v>362</v>
      </c>
      <c r="W8031" s="3">
        <v>2014</v>
      </c>
      <c r="X8031" s="3" t="s">
        <v>12076</v>
      </c>
    </row>
    <row r="8032" spans="1:24" ht="89.25">
      <c r="A8032" s="3" t="s">
        <v>16165</v>
      </c>
      <c r="B8032" s="6" t="s">
        <v>361</v>
      </c>
      <c r="C8032" s="6" t="s">
        <v>15392</v>
      </c>
      <c r="D8032" s="6" t="s">
        <v>3747</v>
      </c>
      <c r="E8032" s="6" t="s">
        <v>15393</v>
      </c>
      <c r="F8032" s="6" t="s">
        <v>15395</v>
      </c>
      <c r="G8032" s="3" t="s">
        <v>11450</v>
      </c>
      <c r="H8032" s="54">
        <v>1</v>
      </c>
      <c r="I8032" s="16">
        <v>470000000</v>
      </c>
      <c r="J8032" s="157" t="s">
        <v>229</v>
      </c>
      <c r="K8032" s="5" t="s">
        <v>14754</v>
      </c>
      <c r="L8032" s="6" t="s">
        <v>12251</v>
      </c>
      <c r="M8032" s="3" t="s">
        <v>12250</v>
      </c>
      <c r="N8032" s="6" t="s">
        <v>7685</v>
      </c>
      <c r="O8032" s="6" t="s">
        <v>233</v>
      </c>
      <c r="P8032" s="58" t="s">
        <v>241</v>
      </c>
      <c r="Q8032" s="6" t="s">
        <v>234</v>
      </c>
      <c r="R8032" s="251">
        <v>3</v>
      </c>
      <c r="S8032" s="59">
        <v>5400</v>
      </c>
      <c r="T8032" s="4">
        <v>0</v>
      </c>
      <c r="U8032" s="4">
        <f t="shared" si="450"/>
        <v>0</v>
      </c>
      <c r="V8032" s="3" t="s">
        <v>362</v>
      </c>
      <c r="W8032" s="3">
        <v>2014</v>
      </c>
      <c r="X8032" s="3" t="s">
        <v>12076</v>
      </c>
    </row>
    <row r="8033" spans="1:24" ht="89.25">
      <c r="A8033" s="3" t="s">
        <v>16166</v>
      </c>
      <c r="B8033" s="6" t="s">
        <v>361</v>
      </c>
      <c r="C8033" s="6" t="s">
        <v>15392</v>
      </c>
      <c r="D8033" s="6" t="s">
        <v>3747</v>
      </c>
      <c r="E8033" s="6" t="s">
        <v>15393</v>
      </c>
      <c r="F8033" s="6" t="s">
        <v>15396</v>
      </c>
      <c r="G8033" s="3" t="s">
        <v>11450</v>
      </c>
      <c r="H8033" s="54">
        <v>1</v>
      </c>
      <c r="I8033" s="16">
        <v>470000000</v>
      </c>
      <c r="J8033" s="157" t="s">
        <v>229</v>
      </c>
      <c r="K8033" s="5" t="s">
        <v>14754</v>
      </c>
      <c r="L8033" s="6" t="s">
        <v>12251</v>
      </c>
      <c r="M8033" s="3" t="s">
        <v>12250</v>
      </c>
      <c r="N8033" s="6" t="s">
        <v>7685</v>
      </c>
      <c r="O8033" s="6" t="s">
        <v>233</v>
      </c>
      <c r="P8033" s="58" t="s">
        <v>241</v>
      </c>
      <c r="Q8033" s="6" t="s">
        <v>234</v>
      </c>
      <c r="R8033" s="251">
        <v>51</v>
      </c>
      <c r="S8033" s="59">
        <v>7800</v>
      </c>
      <c r="T8033" s="4">
        <v>0</v>
      </c>
      <c r="U8033" s="4">
        <f t="shared" si="450"/>
        <v>0</v>
      </c>
      <c r="V8033" s="3" t="s">
        <v>362</v>
      </c>
      <c r="W8033" s="3">
        <v>2014</v>
      </c>
      <c r="X8033" s="3">
        <v>11.14</v>
      </c>
    </row>
    <row r="8034" spans="1:24" ht="89.25">
      <c r="A8034" s="3" t="s">
        <v>18373</v>
      </c>
      <c r="B8034" s="6" t="s">
        <v>361</v>
      </c>
      <c r="C8034" s="6" t="s">
        <v>15392</v>
      </c>
      <c r="D8034" s="6" t="s">
        <v>3747</v>
      </c>
      <c r="E8034" s="6" t="s">
        <v>15393</v>
      </c>
      <c r="F8034" s="6" t="s">
        <v>15396</v>
      </c>
      <c r="G8034" s="3" t="s">
        <v>11450</v>
      </c>
      <c r="H8034" s="54">
        <v>1</v>
      </c>
      <c r="I8034" s="16">
        <v>470000000</v>
      </c>
      <c r="J8034" s="157" t="s">
        <v>229</v>
      </c>
      <c r="K8034" s="5" t="s">
        <v>8950</v>
      </c>
      <c r="L8034" s="6" t="s">
        <v>12251</v>
      </c>
      <c r="M8034" s="3" t="s">
        <v>12250</v>
      </c>
      <c r="N8034" s="6" t="s">
        <v>17921</v>
      </c>
      <c r="O8034" s="6" t="s">
        <v>233</v>
      </c>
      <c r="P8034" s="58" t="s">
        <v>241</v>
      </c>
      <c r="Q8034" s="6" t="s">
        <v>234</v>
      </c>
      <c r="R8034" s="251">
        <v>51</v>
      </c>
      <c r="S8034" s="59">
        <v>7800</v>
      </c>
      <c r="T8034" s="4">
        <f t="shared" ref="T8034" si="483">R8034*S8034</f>
        <v>397800</v>
      </c>
      <c r="U8034" s="4">
        <f t="shared" si="450"/>
        <v>445536.00000000006</v>
      </c>
      <c r="V8034" s="3" t="s">
        <v>362</v>
      </c>
      <c r="W8034" s="3">
        <v>2014</v>
      </c>
      <c r="X8034" s="158"/>
    </row>
    <row r="8035" spans="1:24" ht="89.25">
      <c r="A8035" s="3" t="s">
        <v>16167</v>
      </c>
      <c r="B8035" s="6" t="s">
        <v>361</v>
      </c>
      <c r="C8035" s="6" t="s">
        <v>15397</v>
      </c>
      <c r="D8035" s="6" t="s">
        <v>3747</v>
      </c>
      <c r="E8035" s="6" t="s">
        <v>15398</v>
      </c>
      <c r="F8035" s="6" t="s">
        <v>15399</v>
      </c>
      <c r="G8035" s="3" t="s">
        <v>11450</v>
      </c>
      <c r="H8035" s="54">
        <v>1</v>
      </c>
      <c r="I8035" s="16">
        <v>470000000</v>
      </c>
      <c r="J8035" s="157" t="s">
        <v>229</v>
      </c>
      <c r="K8035" s="5" t="s">
        <v>14754</v>
      </c>
      <c r="L8035" s="6" t="s">
        <v>12251</v>
      </c>
      <c r="M8035" s="3" t="s">
        <v>12250</v>
      </c>
      <c r="N8035" s="6" t="s">
        <v>7685</v>
      </c>
      <c r="O8035" s="6" t="s">
        <v>233</v>
      </c>
      <c r="P8035" s="58" t="s">
        <v>241</v>
      </c>
      <c r="Q8035" s="6" t="s">
        <v>234</v>
      </c>
      <c r="R8035" s="251">
        <v>4</v>
      </c>
      <c r="S8035" s="59">
        <v>45990</v>
      </c>
      <c r="T8035" s="4">
        <v>0</v>
      </c>
      <c r="U8035" s="4">
        <f t="shared" si="450"/>
        <v>0</v>
      </c>
      <c r="V8035" s="3" t="s">
        <v>362</v>
      </c>
      <c r="W8035" s="3">
        <v>2014</v>
      </c>
      <c r="X8035" s="3" t="s">
        <v>12076</v>
      </c>
    </row>
    <row r="8036" spans="1:24" ht="89.25">
      <c r="A8036" s="3" t="s">
        <v>16168</v>
      </c>
      <c r="B8036" s="6" t="s">
        <v>361</v>
      </c>
      <c r="C8036" s="6" t="s">
        <v>15400</v>
      </c>
      <c r="D8036" s="6" t="s">
        <v>4074</v>
      </c>
      <c r="E8036" s="6" t="s">
        <v>15401</v>
      </c>
      <c r="F8036" s="6" t="s">
        <v>15402</v>
      </c>
      <c r="G8036" s="3" t="s">
        <v>11450</v>
      </c>
      <c r="H8036" s="54">
        <v>0</v>
      </c>
      <c r="I8036" s="16">
        <v>470000000</v>
      </c>
      <c r="J8036" s="157" t="s">
        <v>229</v>
      </c>
      <c r="K8036" s="5" t="s">
        <v>15403</v>
      </c>
      <c r="L8036" s="17" t="s">
        <v>11411</v>
      </c>
      <c r="M8036" s="162" t="s">
        <v>230</v>
      </c>
      <c r="N8036" s="15" t="s">
        <v>8914</v>
      </c>
      <c r="O8036" s="6" t="s">
        <v>14853</v>
      </c>
      <c r="P8036" s="58" t="s">
        <v>247</v>
      </c>
      <c r="Q8036" s="6" t="s">
        <v>240</v>
      </c>
      <c r="R8036" s="4">
        <v>9.6</v>
      </c>
      <c r="S8036" s="2">
        <v>45600</v>
      </c>
      <c r="T8036" s="4">
        <f>R8036*S8036</f>
        <v>437760</v>
      </c>
      <c r="U8036" s="4">
        <f t="shared" si="450"/>
        <v>490291.20000000007</v>
      </c>
      <c r="V8036" s="3" t="s">
        <v>362</v>
      </c>
      <c r="W8036" s="3">
        <v>2014</v>
      </c>
      <c r="X8036" s="158"/>
    </row>
    <row r="8037" spans="1:24" ht="89.25">
      <c r="A8037" s="3" t="s">
        <v>16169</v>
      </c>
      <c r="B8037" s="6" t="s">
        <v>361</v>
      </c>
      <c r="C8037" s="6" t="s">
        <v>15902</v>
      </c>
      <c r="D8037" s="6" t="s">
        <v>15404</v>
      </c>
      <c r="E8037" s="6" t="s">
        <v>15903</v>
      </c>
      <c r="F8037" s="6" t="s">
        <v>15901</v>
      </c>
      <c r="G8037" s="3" t="s">
        <v>11450</v>
      </c>
      <c r="H8037" s="54">
        <v>0</v>
      </c>
      <c r="I8037" s="16">
        <v>470000000</v>
      </c>
      <c r="J8037" s="157" t="s">
        <v>229</v>
      </c>
      <c r="K8037" s="5" t="s">
        <v>15403</v>
      </c>
      <c r="L8037" s="17" t="s">
        <v>11411</v>
      </c>
      <c r="M8037" s="162" t="s">
        <v>230</v>
      </c>
      <c r="N8037" s="6" t="s">
        <v>7685</v>
      </c>
      <c r="O8037" s="6" t="s">
        <v>14853</v>
      </c>
      <c r="P8037" s="58" t="s">
        <v>250</v>
      </c>
      <c r="Q8037" s="6" t="s">
        <v>251</v>
      </c>
      <c r="R8037" s="251">
        <v>4200</v>
      </c>
      <c r="S8037" s="59">
        <v>1400</v>
      </c>
      <c r="T8037" s="4">
        <v>0</v>
      </c>
      <c r="U8037" s="4">
        <f t="shared" si="450"/>
        <v>0</v>
      </c>
      <c r="V8037" s="3" t="s">
        <v>362</v>
      </c>
      <c r="W8037" s="3">
        <v>2014</v>
      </c>
      <c r="X8037" s="158" t="s">
        <v>17892</v>
      </c>
    </row>
    <row r="8038" spans="1:24" ht="89.25">
      <c r="A8038" s="3" t="s">
        <v>17891</v>
      </c>
      <c r="B8038" s="6" t="s">
        <v>361</v>
      </c>
      <c r="C8038" s="6" t="s">
        <v>15902</v>
      </c>
      <c r="D8038" s="6" t="s">
        <v>15404</v>
      </c>
      <c r="E8038" s="6" t="s">
        <v>15903</v>
      </c>
      <c r="F8038" s="6" t="s">
        <v>15901</v>
      </c>
      <c r="G8038" s="3" t="s">
        <v>11449</v>
      </c>
      <c r="H8038" s="54">
        <v>0</v>
      </c>
      <c r="I8038" s="16">
        <v>470000000</v>
      </c>
      <c r="J8038" s="157" t="s">
        <v>229</v>
      </c>
      <c r="K8038" s="5" t="s">
        <v>8950</v>
      </c>
      <c r="L8038" s="6" t="s">
        <v>12251</v>
      </c>
      <c r="M8038" s="3" t="s">
        <v>12250</v>
      </c>
      <c r="N8038" s="6" t="s">
        <v>7685</v>
      </c>
      <c r="O8038" s="6" t="s">
        <v>14853</v>
      </c>
      <c r="P8038" s="58" t="s">
        <v>250</v>
      </c>
      <c r="Q8038" s="6" t="s">
        <v>251</v>
      </c>
      <c r="R8038" s="251">
        <v>9000</v>
      </c>
      <c r="S8038" s="59">
        <v>1250</v>
      </c>
      <c r="T8038" s="4">
        <f t="shared" ref="T8038" si="484">R8038*S8038</f>
        <v>11250000</v>
      </c>
      <c r="U8038" s="4">
        <f t="shared" si="450"/>
        <v>12600000.000000002</v>
      </c>
      <c r="V8038" s="3" t="s">
        <v>362</v>
      </c>
      <c r="W8038" s="3">
        <v>2014</v>
      </c>
      <c r="X8038" s="158"/>
    </row>
    <row r="8039" spans="1:24" ht="89.25">
      <c r="A8039" s="3" t="s">
        <v>16170</v>
      </c>
      <c r="B8039" s="6" t="s">
        <v>361</v>
      </c>
      <c r="C8039" s="6" t="s">
        <v>15405</v>
      </c>
      <c r="D8039" s="6" t="s">
        <v>15406</v>
      </c>
      <c r="E8039" s="6" t="s">
        <v>15407</v>
      </c>
      <c r="F8039" s="6" t="s">
        <v>15408</v>
      </c>
      <c r="G8039" s="3" t="s">
        <v>11450</v>
      </c>
      <c r="H8039" s="54">
        <v>0</v>
      </c>
      <c r="I8039" s="16">
        <v>470000000</v>
      </c>
      <c r="J8039" s="157" t="s">
        <v>229</v>
      </c>
      <c r="K8039" s="5" t="s">
        <v>15403</v>
      </c>
      <c r="L8039" s="17" t="s">
        <v>11411</v>
      </c>
      <c r="M8039" s="162" t="s">
        <v>230</v>
      </c>
      <c r="N8039" s="15" t="s">
        <v>521</v>
      </c>
      <c r="O8039" s="6" t="s">
        <v>14853</v>
      </c>
      <c r="P8039" s="58" t="s">
        <v>250</v>
      </c>
      <c r="Q8039" s="6" t="s">
        <v>251</v>
      </c>
      <c r="R8039" s="251">
        <v>100</v>
      </c>
      <c r="S8039" s="59">
        <v>22000</v>
      </c>
      <c r="T8039" s="4">
        <f t="shared" si="477"/>
        <v>2200000</v>
      </c>
      <c r="U8039" s="4">
        <f t="shared" si="450"/>
        <v>2464000.0000000005</v>
      </c>
      <c r="V8039" s="3"/>
      <c r="W8039" s="3">
        <v>2014</v>
      </c>
      <c r="X8039" s="158"/>
    </row>
    <row r="8040" spans="1:24" ht="89.25">
      <c r="A8040" s="3" t="s">
        <v>16171</v>
      </c>
      <c r="B8040" s="6" t="s">
        <v>361</v>
      </c>
      <c r="C8040" s="6" t="s">
        <v>15409</v>
      </c>
      <c r="D8040" s="6" t="s">
        <v>454</v>
      </c>
      <c r="E8040" s="6" t="s">
        <v>15410</v>
      </c>
      <c r="F8040" s="6" t="s">
        <v>15411</v>
      </c>
      <c r="G8040" s="3" t="s">
        <v>11450</v>
      </c>
      <c r="H8040" s="54">
        <v>0</v>
      </c>
      <c r="I8040" s="16">
        <v>470000000</v>
      </c>
      <c r="J8040" s="157" t="s">
        <v>229</v>
      </c>
      <c r="K8040" s="5" t="s">
        <v>15403</v>
      </c>
      <c r="L8040" s="17" t="s">
        <v>11411</v>
      </c>
      <c r="M8040" s="162" t="s">
        <v>230</v>
      </c>
      <c r="N8040" s="15" t="s">
        <v>521</v>
      </c>
      <c r="O8040" s="6" t="s">
        <v>14853</v>
      </c>
      <c r="P8040" s="58" t="s">
        <v>241</v>
      </c>
      <c r="Q8040" s="6" t="s">
        <v>234</v>
      </c>
      <c r="R8040" s="251">
        <v>35</v>
      </c>
      <c r="S8040" s="59">
        <v>224.5</v>
      </c>
      <c r="T8040" s="4">
        <f t="shared" si="477"/>
        <v>7857.5</v>
      </c>
      <c r="U8040" s="4">
        <f t="shared" si="450"/>
        <v>8800.4000000000015</v>
      </c>
      <c r="V8040" s="3"/>
      <c r="W8040" s="3">
        <v>2014</v>
      </c>
      <c r="X8040" s="158"/>
    </row>
    <row r="8041" spans="1:24" ht="89.25">
      <c r="A8041" s="3" t="s">
        <v>16172</v>
      </c>
      <c r="B8041" s="6" t="s">
        <v>361</v>
      </c>
      <c r="C8041" s="6" t="s">
        <v>15412</v>
      </c>
      <c r="D8041" s="6" t="s">
        <v>15119</v>
      </c>
      <c r="E8041" s="6" t="s">
        <v>15413</v>
      </c>
      <c r="F8041" s="6" t="s">
        <v>15414</v>
      </c>
      <c r="G8041" s="3" t="s">
        <v>11450</v>
      </c>
      <c r="H8041" s="54">
        <v>0</v>
      </c>
      <c r="I8041" s="16">
        <v>470000000</v>
      </c>
      <c r="J8041" s="157" t="s">
        <v>229</v>
      </c>
      <c r="K8041" s="5" t="s">
        <v>15403</v>
      </c>
      <c r="L8041" s="17" t="s">
        <v>11411</v>
      </c>
      <c r="M8041" s="162" t="s">
        <v>230</v>
      </c>
      <c r="N8041" s="15" t="s">
        <v>521</v>
      </c>
      <c r="O8041" s="6" t="s">
        <v>14853</v>
      </c>
      <c r="P8041" s="58" t="s">
        <v>241</v>
      </c>
      <c r="Q8041" s="6" t="s">
        <v>234</v>
      </c>
      <c r="R8041" s="251">
        <v>2</v>
      </c>
      <c r="S8041" s="59">
        <v>86520</v>
      </c>
      <c r="T8041" s="4">
        <f t="shared" si="477"/>
        <v>173040</v>
      </c>
      <c r="U8041" s="4">
        <f t="shared" si="450"/>
        <v>193804.80000000002</v>
      </c>
      <c r="V8041" s="3"/>
      <c r="W8041" s="3">
        <v>2014</v>
      </c>
      <c r="X8041" s="158"/>
    </row>
    <row r="8042" spans="1:24" ht="89.25">
      <c r="A8042" s="3" t="s">
        <v>16173</v>
      </c>
      <c r="B8042" s="6" t="s">
        <v>361</v>
      </c>
      <c r="C8042" s="6" t="s">
        <v>4323</v>
      </c>
      <c r="D8042" s="6" t="s">
        <v>454</v>
      </c>
      <c r="E8042" s="6" t="s">
        <v>4324</v>
      </c>
      <c r="F8042" s="6" t="s">
        <v>15415</v>
      </c>
      <c r="G8042" s="3" t="s">
        <v>11450</v>
      </c>
      <c r="H8042" s="54">
        <v>0</v>
      </c>
      <c r="I8042" s="16">
        <v>470000000</v>
      </c>
      <c r="J8042" s="157" t="s">
        <v>229</v>
      </c>
      <c r="K8042" s="5" t="s">
        <v>15403</v>
      </c>
      <c r="L8042" s="17" t="s">
        <v>11411</v>
      </c>
      <c r="M8042" s="162" t="s">
        <v>230</v>
      </c>
      <c r="N8042" s="15" t="s">
        <v>521</v>
      </c>
      <c r="O8042" s="6" t="s">
        <v>14853</v>
      </c>
      <c r="P8042" s="58" t="s">
        <v>241</v>
      </c>
      <c r="Q8042" s="6" t="s">
        <v>234</v>
      </c>
      <c r="R8042" s="251">
        <v>13</v>
      </c>
      <c r="S8042" s="59">
        <v>3965</v>
      </c>
      <c r="T8042" s="4">
        <f t="shared" si="477"/>
        <v>51545</v>
      </c>
      <c r="U8042" s="4">
        <f t="shared" si="450"/>
        <v>57730.400000000009</v>
      </c>
      <c r="V8042" s="3"/>
      <c r="W8042" s="3">
        <v>2014</v>
      </c>
      <c r="X8042" s="158"/>
    </row>
    <row r="8043" spans="1:24" ht="89.25">
      <c r="A8043" s="3" t="s">
        <v>16174</v>
      </c>
      <c r="B8043" s="6" t="s">
        <v>361</v>
      </c>
      <c r="C8043" s="6" t="s">
        <v>15416</v>
      </c>
      <c r="D8043" s="6" t="s">
        <v>454</v>
      </c>
      <c r="E8043" s="6" t="s">
        <v>15417</v>
      </c>
      <c r="F8043" s="6" t="s">
        <v>15418</v>
      </c>
      <c r="G8043" s="3" t="s">
        <v>11450</v>
      </c>
      <c r="H8043" s="54">
        <v>0</v>
      </c>
      <c r="I8043" s="16">
        <v>470000000</v>
      </c>
      <c r="J8043" s="157" t="s">
        <v>229</v>
      </c>
      <c r="K8043" s="5" t="s">
        <v>15403</v>
      </c>
      <c r="L8043" s="17" t="s">
        <v>11411</v>
      </c>
      <c r="M8043" s="162" t="s">
        <v>230</v>
      </c>
      <c r="N8043" s="15" t="s">
        <v>521</v>
      </c>
      <c r="O8043" s="6" t="s">
        <v>14853</v>
      </c>
      <c r="P8043" s="58" t="s">
        <v>241</v>
      </c>
      <c r="Q8043" s="6" t="s">
        <v>234</v>
      </c>
      <c r="R8043" s="251">
        <v>5</v>
      </c>
      <c r="S8043" s="59">
        <v>6490</v>
      </c>
      <c r="T8043" s="4">
        <f t="shared" si="477"/>
        <v>32450</v>
      </c>
      <c r="U8043" s="4">
        <f t="shared" si="450"/>
        <v>36344</v>
      </c>
      <c r="V8043" s="3"/>
      <c r="W8043" s="3">
        <v>2014</v>
      </c>
      <c r="X8043" s="158"/>
    </row>
    <row r="8044" spans="1:24" ht="89.25">
      <c r="A8044" s="3" t="s">
        <v>16175</v>
      </c>
      <c r="B8044" s="6" t="s">
        <v>361</v>
      </c>
      <c r="C8044" s="6" t="s">
        <v>15419</v>
      </c>
      <c r="D8044" s="6" t="s">
        <v>454</v>
      </c>
      <c r="E8044" s="6" t="s">
        <v>15420</v>
      </c>
      <c r="F8044" s="6" t="s">
        <v>15421</v>
      </c>
      <c r="G8044" s="3" t="s">
        <v>11450</v>
      </c>
      <c r="H8044" s="54">
        <v>0</v>
      </c>
      <c r="I8044" s="16">
        <v>470000000</v>
      </c>
      <c r="J8044" s="157" t="s">
        <v>229</v>
      </c>
      <c r="K8044" s="5" t="s">
        <v>15403</v>
      </c>
      <c r="L8044" s="17" t="s">
        <v>11411</v>
      </c>
      <c r="M8044" s="162" t="s">
        <v>230</v>
      </c>
      <c r="N8044" s="15" t="s">
        <v>521</v>
      </c>
      <c r="O8044" s="6" t="s">
        <v>14853</v>
      </c>
      <c r="P8044" s="58" t="s">
        <v>241</v>
      </c>
      <c r="Q8044" s="6" t="s">
        <v>234</v>
      </c>
      <c r="R8044" s="251">
        <v>103</v>
      </c>
      <c r="S8044" s="59">
        <v>9012</v>
      </c>
      <c r="T8044" s="4">
        <f t="shared" si="477"/>
        <v>928236</v>
      </c>
      <c r="U8044" s="4">
        <f t="shared" si="450"/>
        <v>1039624.3200000001</v>
      </c>
      <c r="V8044" s="3"/>
      <c r="W8044" s="3">
        <v>2014</v>
      </c>
      <c r="X8044" s="158"/>
    </row>
    <row r="8045" spans="1:24" ht="89.25">
      <c r="A8045" s="3" t="s">
        <v>16176</v>
      </c>
      <c r="B8045" s="6" t="s">
        <v>361</v>
      </c>
      <c r="C8045" s="6" t="s">
        <v>3270</v>
      </c>
      <c r="D8045" s="6" t="s">
        <v>3271</v>
      </c>
      <c r="E8045" s="6" t="s">
        <v>3272</v>
      </c>
      <c r="F8045" s="6" t="s">
        <v>15422</v>
      </c>
      <c r="G8045" s="3" t="s">
        <v>11450</v>
      </c>
      <c r="H8045" s="54">
        <v>0</v>
      </c>
      <c r="I8045" s="16">
        <v>470000000</v>
      </c>
      <c r="J8045" s="157" t="s">
        <v>229</v>
      </c>
      <c r="K8045" s="5" t="s">
        <v>15403</v>
      </c>
      <c r="L8045" s="17" t="s">
        <v>11411</v>
      </c>
      <c r="M8045" s="162" t="s">
        <v>230</v>
      </c>
      <c r="N8045" s="15" t="s">
        <v>521</v>
      </c>
      <c r="O8045" s="6" t="s">
        <v>14853</v>
      </c>
      <c r="P8045" s="58" t="s">
        <v>241</v>
      </c>
      <c r="Q8045" s="6" t="s">
        <v>234</v>
      </c>
      <c r="R8045" s="251">
        <v>25</v>
      </c>
      <c r="S8045" s="59">
        <v>6076</v>
      </c>
      <c r="T8045" s="4">
        <f t="shared" si="477"/>
        <v>151900</v>
      </c>
      <c r="U8045" s="4">
        <f t="shared" si="450"/>
        <v>170128.00000000003</v>
      </c>
      <c r="V8045" s="3"/>
      <c r="W8045" s="3">
        <v>2014</v>
      </c>
      <c r="X8045" s="158"/>
    </row>
    <row r="8046" spans="1:24" ht="89.25">
      <c r="A8046" s="3" t="s">
        <v>16177</v>
      </c>
      <c r="B8046" s="6" t="s">
        <v>361</v>
      </c>
      <c r="C8046" s="6" t="s">
        <v>15423</v>
      </c>
      <c r="D8046" s="6" t="s">
        <v>10136</v>
      </c>
      <c r="E8046" s="6" t="s">
        <v>15424</v>
      </c>
      <c r="F8046" s="6" t="s">
        <v>15425</v>
      </c>
      <c r="G8046" s="3" t="s">
        <v>11450</v>
      </c>
      <c r="H8046" s="54">
        <v>0</v>
      </c>
      <c r="I8046" s="16">
        <v>470000000</v>
      </c>
      <c r="J8046" s="157" t="s">
        <v>229</v>
      </c>
      <c r="K8046" s="5" t="s">
        <v>15403</v>
      </c>
      <c r="L8046" s="17" t="s">
        <v>11411</v>
      </c>
      <c r="M8046" s="162" t="s">
        <v>230</v>
      </c>
      <c r="N8046" s="15" t="s">
        <v>521</v>
      </c>
      <c r="O8046" s="6" t="s">
        <v>14853</v>
      </c>
      <c r="P8046" s="58" t="s">
        <v>241</v>
      </c>
      <c r="Q8046" s="6" t="s">
        <v>234</v>
      </c>
      <c r="R8046" s="251">
        <v>28</v>
      </c>
      <c r="S8046" s="59">
        <v>145000</v>
      </c>
      <c r="T8046" s="4">
        <v>0</v>
      </c>
      <c r="U8046" s="4">
        <f t="shared" si="450"/>
        <v>0</v>
      </c>
      <c r="V8046" s="3"/>
      <c r="W8046" s="3">
        <v>2014</v>
      </c>
      <c r="X8046" s="3">
        <v>11.14</v>
      </c>
    </row>
    <row r="8047" spans="1:24" ht="89.25">
      <c r="A8047" s="3" t="s">
        <v>18455</v>
      </c>
      <c r="B8047" s="6" t="s">
        <v>361</v>
      </c>
      <c r="C8047" s="6" t="s">
        <v>15423</v>
      </c>
      <c r="D8047" s="6" t="s">
        <v>10136</v>
      </c>
      <c r="E8047" s="6" t="s">
        <v>15424</v>
      </c>
      <c r="F8047" s="6" t="s">
        <v>15425</v>
      </c>
      <c r="G8047" s="3" t="s">
        <v>11450</v>
      </c>
      <c r="H8047" s="54">
        <v>0</v>
      </c>
      <c r="I8047" s="16">
        <v>470000000</v>
      </c>
      <c r="J8047" s="157" t="s">
        <v>229</v>
      </c>
      <c r="K8047" s="5" t="s">
        <v>9369</v>
      </c>
      <c r="L8047" s="17" t="s">
        <v>11411</v>
      </c>
      <c r="M8047" s="162" t="s">
        <v>230</v>
      </c>
      <c r="N8047" s="15" t="s">
        <v>17560</v>
      </c>
      <c r="O8047" s="6" t="s">
        <v>14853</v>
      </c>
      <c r="P8047" s="58" t="s">
        <v>241</v>
      </c>
      <c r="Q8047" s="6" t="s">
        <v>234</v>
      </c>
      <c r="R8047" s="251">
        <v>28</v>
      </c>
      <c r="S8047" s="59">
        <v>145000</v>
      </c>
      <c r="T8047" s="4">
        <f t="shared" ref="T8047" si="485">R8047*S8047</f>
        <v>4060000</v>
      </c>
      <c r="U8047" s="4">
        <f t="shared" si="450"/>
        <v>4547200</v>
      </c>
      <c r="V8047" s="3"/>
      <c r="W8047" s="3">
        <v>2014</v>
      </c>
      <c r="X8047" s="158"/>
    </row>
    <row r="8048" spans="1:24" ht="89.25">
      <c r="A8048" s="3" t="s">
        <v>16178</v>
      </c>
      <c r="B8048" s="6" t="s">
        <v>361</v>
      </c>
      <c r="C8048" s="6" t="s">
        <v>15426</v>
      </c>
      <c r="D8048" s="6" t="s">
        <v>454</v>
      </c>
      <c r="E8048" s="6" t="s">
        <v>15427</v>
      </c>
      <c r="F8048" s="6" t="s">
        <v>15428</v>
      </c>
      <c r="G8048" s="3" t="s">
        <v>11450</v>
      </c>
      <c r="H8048" s="54">
        <v>0</v>
      </c>
      <c r="I8048" s="16">
        <v>470000000</v>
      </c>
      <c r="J8048" s="157" t="s">
        <v>229</v>
      </c>
      <c r="K8048" s="5" t="s">
        <v>15403</v>
      </c>
      <c r="L8048" s="17" t="s">
        <v>11411</v>
      </c>
      <c r="M8048" s="162" t="s">
        <v>230</v>
      </c>
      <c r="N8048" s="15" t="s">
        <v>521</v>
      </c>
      <c r="O8048" s="6" t="s">
        <v>14853</v>
      </c>
      <c r="P8048" s="58" t="s">
        <v>241</v>
      </c>
      <c r="Q8048" s="6" t="s">
        <v>234</v>
      </c>
      <c r="R8048" s="251">
        <v>98</v>
      </c>
      <c r="S8048" s="59">
        <v>7135</v>
      </c>
      <c r="T8048" s="4">
        <v>0</v>
      </c>
      <c r="U8048" s="4">
        <f t="shared" si="450"/>
        <v>0</v>
      </c>
      <c r="V8048" s="3"/>
      <c r="W8048" s="3">
        <v>2014</v>
      </c>
      <c r="X8048" s="3">
        <v>11.14</v>
      </c>
    </row>
    <row r="8049" spans="1:24" ht="89.25">
      <c r="A8049" s="3" t="s">
        <v>18456</v>
      </c>
      <c r="B8049" s="6" t="s">
        <v>361</v>
      </c>
      <c r="C8049" s="6" t="s">
        <v>15426</v>
      </c>
      <c r="D8049" s="6" t="s">
        <v>454</v>
      </c>
      <c r="E8049" s="6" t="s">
        <v>15427</v>
      </c>
      <c r="F8049" s="6" t="s">
        <v>15428</v>
      </c>
      <c r="G8049" s="3" t="s">
        <v>11450</v>
      </c>
      <c r="H8049" s="54">
        <v>0</v>
      </c>
      <c r="I8049" s="16">
        <v>470000000</v>
      </c>
      <c r="J8049" s="157" t="s">
        <v>229</v>
      </c>
      <c r="K8049" s="5" t="s">
        <v>9369</v>
      </c>
      <c r="L8049" s="17" t="s">
        <v>11411</v>
      </c>
      <c r="M8049" s="162" t="s">
        <v>230</v>
      </c>
      <c r="N8049" s="15" t="s">
        <v>17560</v>
      </c>
      <c r="O8049" s="6" t="s">
        <v>14853</v>
      </c>
      <c r="P8049" s="58" t="s">
        <v>241</v>
      </c>
      <c r="Q8049" s="6" t="s">
        <v>234</v>
      </c>
      <c r="R8049" s="251">
        <v>98</v>
      </c>
      <c r="S8049" s="59">
        <v>7135</v>
      </c>
      <c r="T8049" s="4">
        <f t="shared" ref="T8049" si="486">R8049*S8049</f>
        <v>699230</v>
      </c>
      <c r="U8049" s="4">
        <f t="shared" si="450"/>
        <v>783137.60000000009</v>
      </c>
      <c r="V8049" s="3"/>
      <c r="W8049" s="3">
        <v>2014</v>
      </c>
      <c r="X8049" s="158"/>
    </row>
    <row r="8050" spans="1:24" ht="89.25">
      <c r="A8050" s="3" t="s">
        <v>16179</v>
      </c>
      <c r="B8050" s="6" t="s">
        <v>361</v>
      </c>
      <c r="C8050" s="6" t="s">
        <v>4325</v>
      </c>
      <c r="D8050" s="6" t="s">
        <v>3277</v>
      </c>
      <c r="E8050" s="6" t="s">
        <v>4326</v>
      </c>
      <c r="F8050" s="6" t="s">
        <v>15429</v>
      </c>
      <c r="G8050" s="3" t="s">
        <v>11450</v>
      </c>
      <c r="H8050" s="54">
        <v>0</v>
      </c>
      <c r="I8050" s="16">
        <v>470000000</v>
      </c>
      <c r="J8050" s="157" t="s">
        <v>229</v>
      </c>
      <c r="K8050" s="5" t="s">
        <v>15403</v>
      </c>
      <c r="L8050" s="17" t="s">
        <v>11411</v>
      </c>
      <c r="M8050" s="162" t="s">
        <v>230</v>
      </c>
      <c r="N8050" s="15" t="s">
        <v>521</v>
      </c>
      <c r="O8050" s="6" t="s">
        <v>14853</v>
      </c>
      <c r="P8050" s="58" t="s">
        <v>241</v>
      </c>
      <c r="Q8050" s="6" t="s">
        <v>234</v>
      </c>
      <c r="R8050" s="251">
        <v>4</v>
      </c>
      <c r="S8050" s="59">
        <v>7210</v>
      </c>
      <c r="T8050" s="4">
        <v>0</v>
      </c>
      <c r="U8050" s="4">
        <f t="shared" si="450"/>
        <v>0</v>
      </c>
      <c r="V8050" s="3"/>
      <c r="W8050" s="3">
        <v>2014</v>
      </c>
      <c r="X8050" s="3">
        <v>11.14</v>
      </c>
    </row>
    <row r="8051" spans="1:24" ht="89.25">
      <c r="A8051" s="3" t="s">
        <v>18457</v>
      </c>
      <c r="B8051" s="6" t="s">
        <v>361</v>
      </c>
      <c r="C8051" s="6" t="s">
        <v>4325</v>
      </c>
      <c r="D8051" s="6" t="s">
        <v>3277</v>
      </c>
      <c r="E8051" s="6" t="s">
        <v>4326</v>
      </c>
      <c r="F8051" s="6" t="s">
        <v>15429</v>
      </c>
      <c r="G8051" s="3" t="s">
        <v>11450</v>
      </c>
      <c r="H8051" s="54">
        <v>0</v>
      </c>
      <c r="I8051" s="16">
        <v>470000000</v>
      </c>
      <c r="J8051" s="157" t="s">
        <v>229</v>
      </c>
      <c r="K8051" s="5" t="s">
        <v>9369</v>
      </c>
      <c r="L8051" s="17" t="s">
        <v>11411</v>
      </c>
      <c r="M8051" s="162" t="s">
        <v>230</v>
      </c>
      <c r="N8051" s="15" t="s">
        <v>17560</v>
      </c>
      <c r="O8051" s="6" t="s">
        <v>14853</v>
      </c>
      <c r="P8051" s="58" t="s">
        <v>241</v>
      </c>
      <c r="Q8051" s="6" t="s">
        <v>234</v>
      </c>
      <c r="R8051" s="251">
        <v>4</v>
      </c>
      <c r="S8051" s="59">
        <v>7210</v>
      </c>
      <c r="T8051" s="4">
        <f t="shared" ref="T8051" si="487">R8051*S8051</f>
        <v>28840</v>
      </c>
      <c r="U8051" s="4">
        <f t="shared" si="450"/>
        <v>32300.800000000003</v>
      </c>
      <c r="V8051" s="3"/>
      <c r="W8051" s="3">
        <v>2014</v>
      </c>
      <c r="X8051" s="158"/>
    </row>
    <row r="8052" spans="1:24" ht="89.25">
      <c r="A8052" s="3" t="s">
        <v>16180</v>
      </c>
      <c r="B8052" s="6" t="s">
        <v>361</v>
      </c>
      <c r="C8052" s="6" t="s">
        <v>14748</v>
      </c>
      <c r="D8052" s="6" t="s">
        <v>14201</v>
      </c>
      <c r="E8052" s="6" t="s">
        <v>14749</v>
      </c>
      <c r="F8052" s="6" t="s">
        <v>15430</v>
      </c>
      <c r="G8052" s="3" t="s">
        <v>11449</v>
      </c>
      <c r="H8052" s="54">
        <v>0</v>
      </c>
      <c r="I8052" s="16">
        <v>470000000</v>
      </c>
      <c r="J8052" s="157" t="s">
        <v>229</v>
      </c>
      <c r="K8052" s="5" t="s">
        <v>14754</v>
      </c>
      <c r="L8052" s="17" t="s">
        <v>11411</v>
      </c>
      <c r="M8052" s="3" t="s">
        <v>230</v>
      </c>
      <c r="N8052" s="6" t="s">
        <v>524</v>
      </c>
      <c r="O8052" s="6" t="s">
        <v>233</v>
      </c>
      <c r="P8052" s="58" t="s">
        <v>247</v>
      </c>
      <c r="Q8052" s="6" t="s">
        <v>240</v>
      </c>
      <c r="R8052" s="51">
        <v>2.69</v>
      </c>
      <c r="S8052" s="2">
        <v>187027.19999999998</v>
      </c>
      <c r="T8052" s="4">
        <v>0</v>
      </c>
      <c r="U8052" s="4">
        <f t="shared" si="450"/>
        <v>0</v>
      </c>
      <c r="V8052" s="3" t="s">
        <v>362</v>
      </c>
      <c r="W8052" s="3">
        <v>2014</v>
      </c>
      <c r="X8052" s="3" t="s">
        <v>17399</v>
      </c>
    </row>
    <row r="8053" spans="1:24" ht="89.25">
      <c r="A8053" s="3" t="s">
        <v>17999</v>
      </c>
      <c r="B8053" s="6" t="s">
        <v>361</v>
      </c>
      <c r="C8053" s="6" t="s">
        <v>14748</v>
      </c>
      <c r="D8053" s="6" t="s">
        <v>14201</v>
      </c>
      <c r="E8053" s="6" t="s">
        <v>14749</v>
      </c>
      <c r="F8053" s="6" t="s">
        <v>15430</v>
      </c>
      <c r="G8053" s="3" t="s">
        <v>11450</v>
      </c>
      <c r="H8053" s="54">
        <v>0</v>
      </c>
      <c r="I8053" s="16">
        <v>470000000</v>
      </c>
      <c r="J8053" s="157" t="s">
        <v>229</v>
      </c>
      <c r="K8053" s="5" t="s">
        <v>8950</v>
      </c>
      <c r="L8053" s="17" t="s">
        <v>11411</v>
      </c>
      <c r="M8053" s="3" t="s">
        <v>230</v>
      </c>
      <c r="N8053" s="6" t="s">
        <v>528</v>
      </c>
      <c r="O8053" s="6" t="s">
        <v>233</v>
      </c>
      <c r="P8053" s="58" t="s">
        <v>247</v>
      </c>
      <c r="Q8053" s="6" t="s">
        <v>240</v>
      </c>
      <c r="R8053" s="51">
        <v>2.69</v>
      </c>
      <c r="S8053" s="2">
        <v>187027.19999999998</v>
      </c>
      <c r="T8053" s="4">
        <f t="shared" ref="T8053" si="488">R8053*S8053</f>
        <v>503103.16799999995</v>
      </c>
      <c r="U8053" s="4">
        <f t="shared" si="450"/>
        <v>563475.54816000001</v>
      </c>
      <c r="V8053" s="3" t="s">
        <v>362</v>
      </c>
      <c r="W8053" s="3">
        <v>2014</v>
      </c>
      <c r="X8053" s="158"/>
    </row>
    <row r="8054" spans="1:24" ht="89.25">
      <c r="A8054" s="3" t="s">
        <v>16181</v>
      </c>
      <c r="B8054" s="6" t="s">
        <v>361</v>
      </c>
      <c r="C8054" s="6" t="s">
        <v>15431</v>
      </c>
      <c r="D8054" s="6" t="s">
        <v>15432</v>
      </c>
      <c r="E8054" s="6" t="s">
        <v>15433</v>
      </c>
      <c r="F8054" s="6" t="s">
        <v>15434</v>
      </c>
      <c r="G8054" s="3" t="s">
        <v>11449</v>
      </c>
      <c r="H8054" s="54">
        <v>0</v>
      </c>
      <c r="I8054" s="16">
        <v>470000000</v>
      </c>
      <c r="J8054" s="157" t="s">
        <v>229</v>
      </c>
      <c r="K8054" s="5" t="s">
        <v>14754</v>
      </c>
      <c r="L8054" s="17" t="s">
        <v>11411</v>
      </c>
      <c r="M8054" s="3" t="s">
        <v>230</v>
      </c>
      <c r="N8054" s="6" t="s">
        <v>524</v>
      </c>
      <c r="O8054" s="6" t="s">
        <v>233</v>
      </c>
      <c r="P8054" s="58" t="s">
        <v>247</v>
      </c>
      <c r="Q8054" s="6" t="s">
        <v>240</v>
      </c>
      <c r="R8054" s="51">
        <v>2.7</v>
      </c>
      <c r="S8054" s="2">
        <v>223027.19999999998</v>
      </c>
      <c r="T8054" s="4">
        <v>0</v>
      </c>
      <c r="U8054" s="4">
        <f t="shared" si="450"/>
        <v>0</v>
      </c>
      <c r="V8054" s="3" t="s">
        <v>362</v>
      </c>
      <c r="W8054" s="3">
        <v>2014</v>
      </c>
      <c r="X8054" s="3" t="s">
        <v>17399</v>
      </c>
    </row>
    <row r="8055" spans="1:24" ht="89.25">
      <c r="A8055" s="3" t="s">
        <v>18000</v>
      </c>
      <c r="B8055" s="6" t="s">
        <v>361</v>
      </c>
      <c r="C8055" s="6" t="s">
        <v>15431</v>
      </c>
      <c r="D8055" s="6" t="s">
        <v>15432</v>
      </c>
      <c r="E8055" s="6" t="s">
        <v>15433</v>
      </c>
      <c r="F8055" s="6" t="s">
        <v>15434</v>
      </c>
      <c r="G8055" s="3" t="s">
        <v>11450</v>
      </c>
      <c r="H8055" s="54">
        <v>0</v>
      </c>
      <c r="I8055" s="16">
        <v>470000000</v>
      </c>
      <c r="J8055" s="157" t="s">
        <v>229</v>
      </c>
      <c r="K8055" s="5" t="s">
        <v>8950</v>
      </c>
      <c r="L8055" s="17" t="s">
        <v>11411</v>
      </c>
      <c r="M8055" s="3" t="s">
        <v>230</v>
      </c>
      <c r="N8055" s="6" t="s">
        <v>528</v>
      </c>
      <c r="O8055" s="6" t="s">
        <v>233</v>
      </c>
      <c r="P8055" s="58" t="s">
        <v>247</v>
      </c>
      <c r="Q8055" s="6" t="s">
        <v>240</v>
      </c>
      <c r="R8055" s="51">
        <v>2.7</v>
      </c>
      <c r="S8055" s="2">
        <v>223027.19999999998</v>
      </c>
      <c r="T8055" s="4">
        <v>0</v>
      </c>
      <c r="U8055" s="4">
        <f t="shared" si="450"/>
        <v>0</v>
      </c>
      <c r="V8055" s="3" t="s">
        <v>362</v>
      </c>
      <c r="W8055" s="3">
        <v>2014</v>
      </c>
      <c r="X8055" s="3" t="s">
        <v>12076</v>
      </c>
    </row>
    <row r="8056" spans="1:24" ht="89.25">
      <c r="A8056" s="3" t="s">
        <v>16182</v>
      </c>
      <c r="B8056" s="6" t="s">
        <v>361</v>
      </c>
      <c r="C8056" s="6" t="s">
        <v>15435</v>
      </c>
      <c r="D8056" s="6" t="s">
        <v>15432</v>
      </c>
      <c r="E8056" s="6" t="s">
        <v>15436</v>
      </c>
      <c r="F8056" s="6" t="s">
        <v>15437</v>
      </c>
      <c r="G8056" s="3" t="s">
        <v>11449</v>
      </c>
      <c r="H8056" s="54">
        <v>0</v>
      </c>
      <c r="I8056" s="16">
        <v>470000000</v>
      </c>
      <c r="J8056" s="157" t="s">
        <v>229</v>
      </c>
      <c r="K8056" s="5" t="s">
        <v>14754</v>
      </c>
      <c r="L8056" s="17" t="s">
        <v>11411</v>
      </c>
      <c r="M8056" s="3" t="s">
        <v>230</v>
      </c>
      <c r="N8056" s="6" t="s">
        <v>524</v>
      </c>
      <c r="O8056" s="6" t="s">
        <v>233</v>
      </c>
      <c r="P8056" s="58" t="s">
        <v>247</v>
      </c>
      <c r="Q8056" s="6" t="s">
        <v>240</v>
      </c>
      <c r="R8056" s="51">
        <v>21.36</v>
      </c>
      <c r="S8056" s="2">
        <v>223027.19999999998</v>
      </c>
      <c r="T8056" s="4">
        <v>0</v>
      </c>
      <c r="U8056" s="4">
        <f t="shared" si="450"/>
        <v>0</v>
      </c>
      <c r="V8056" s="3" t="s">
        <v>362</v>
      </c>
      <c r="W8056" s="3">
        <v>2014</v>
      </c>
      <c r="X8056" s="3">
        <v>7.11</v>
      </c>
    </row>
    <row r="8057" spans="1:24" ht="89.25">
      <c r="A8057" s="3" t="s">
        <v>17963</v>
      </c>
      <c r="B8057" s="6" t="s">
        <v>361</v>
      </c>
      <c r="C8057" s="6" t="s">
        <v>15435</v>
      </c>
      <c r="D8057" s="6" t="s">
        <v>15432</v>
      </c>
      <c r="E8057" s="6" t="s">
        <v>15436</v>
      </c>
      <c r="F8057" s="6" t="s">
        <v>15437</v>
      </c>
      <c r="G8057" s="3" t="s">
        <v>11450</v>
      </c>
      <c r="H8057" s="54">
        <v>0</v>
      </c>
      <c r="I8057" s="16">
        <v>470000000</v>
      </c>
      <c r="J8057" s="157" t="s">
        <v>229</v>
      </c>
      <c r="K8057" s="5" t="s">
        <v>8950</v>
      </c>
      <c r="L8057" s="17" t="s">
        <v>11411</v>
      </c>
      <c r="M8057" s="3" t="s">
        <v>230</v>
      </c>
      <c r="N8057" s="6" t="s">
        <v>524</v>
      </c>
      <c r="O8057" s="6" t="s">
        <v>233</v>
      </c>
      <c r="P8057" s="58" t="s">
        <v>247</v>
      </c>
      <c r="Q8057" s="6" t="s">
        <v>240</v>
      </c>
      <c r="R8057" s="51">
        <v>21.36</v>
      </c>
      <c r="S8057" s="2">
        <v>223027.19999999998</v>
      </c>
      <c r="T8057" s="4">
        <f t="shared" ref="T8057" si="489">R8057*S8057</f>
        <v>4763860.9919999996</v>
      </c>
      <c r="U8057" s="4">
        <f t="shared" si="450"/>
        <v>5335524.3110400001</v>
      </c>
      <c r="V8057" s="3" t="s">
        <v>362</v>
      </c>
      <c r="W8057" s="3">
        <v>2014</v>
      </c>
      <c r="X8057" s="158"/>
    </row>
    <row r="8058" spans="1:24" ht="89.25">
      <c r="A8058" s="3" t="s">
        <v>16183</v>
      </c>
      <c r="B8058" s="6" t="s">
        <v>361</v>
      </c>
      <c r="C8058" s="6" t="s">
        <v>14748</v>
      </c>
      <c r="D8058" s="6" t="s">
        <v>14201</v>
      </c>
      <c r="E8058" s="6" t="s">
        <v>14749</v>
      </c>
      <c r="F8058" s="6" t="s">
        <v>15438</v>
      </c>
      <c r="G8058" s="3" t="s">
        <v>11449</v>
      </c>
      <c r="H8058" s="54">
        <v>0</v>
      </c>
      <c r="I8058" s="16">
        <v>470000000</v>
      </c>
      <c r="J8058" s="157" t="s">
        <v>229</v>
      </c>
      <c r="K8058" s="5" t="s">
        <v>14754</v>
      </c>
      <c r="L8058" s="17" t="s">
        <v>11411</v>
      </c>
      <c r="M8058" s="3" t="s">
        <v>230</v>
      </c>
      <c r="N8058" s="6" t="s">
        <v>524</v>
      </c>
      <c r="O8058" s="6" t="s">
        <v>233</v>
      </c>
      <c r="P8058" s="58" t="s">
        <v>247</v>
      </c>
      <c r="Q8058" s="6" t="s">
        <v>240</v>
      </c>
      <c r="R8058" s="51">
        <v>13</v>
      </c>
      <c r="S8058" s="2">
        <v>223027.19999999998</v>
      </c>
      <c r="T8058" s="4">
        <v>0</v>
      </c>
      <c r="U8058" s="4">
        <f t="shared" si="450"/>
        <v>0</v>
      </c>
      <c r="V8058" s="3" t="s">
        <v>362</v>
      </c>
      <c r="W8058" s="3">
        <v>2014</v>
      </c>
      <c r="X8058" s="3">
        <v>7.11</v>
      </c>
    </row>
    <row r="8059" spans="1:24" ht="89.25">
      <c r="A8059" s="3" t="s">
        <v>18001</v>
      </c>
      <c r="B8059" s="6" t="s">
        <v>361</v>
      </c>
      <c r="C8059" s="6" t="s">
        <v>14748</v>
      </c>
      <c r="D8059" s="6" t="s">
        <v>14201</v>
      </c>
      <c r="E8059" s="6" t="s">
        <v>14749</v>
      </c>
      <c r="F8059" s="6" t="s">
        <v>15438</v>
      </c>
      <c r="G8059" s="3" t="s">
        <v>11450</v>
      </c>
      <c r="H8059" s="54">
        <v>0</v>
      </c>
      <c r="I8059" s="16">
        <v>470000000</v>
      </c>
      <c r="J8059" s="157" t="s">
        <v>229</v>
      </c>
      <c r="K8059" s="5" t="s">
        <v>8950</v>
      </c>
      <c r="L8059" s="17" t="s">
        <v>11411</v>
      </c>
      <c r="M8059" s="3" t="s">
        <v>230</v>
      </c>
      <c r="N8059" s="6" t="s">
        <v>524</v>
      </c>
      <c r="O8059" s="6" t="s">
        <v>233</v>
      </c>
      <c r="P8059" s="58" t="s">
        <v>247</v>
      </c>
      <c r="Q8059" s="6" t="s">
        <v>240</v>
      </c>
      <c r="R8059" s="51">
        <v>13</v>
      </c>
      <c r="S8059" s="2">
        <v>223027.19999999998</v>
      </c>
      <c r="T8059" s="4">
        <v>0</v>
      </c>
      <c r="U8059" s="4">
        <f t="shared" si="450"/>
        <v>0</v>
      </c>
      <c r="V8059" s="3" t="s">
        <v>362</v>
      </c>
      <c r="W8059" s="3">
        <v>2014</v>
      </c>
      <c r="X8059" s="3" t="s">
        <v>19076</v>
      </c>
    </row>
    <row r="8060" spans="1:24" ht="76.5">
      <c r="A8060" s="3" t="s">
        <v>19606</v>
      </c>
      <c r="B8060" s="6" t="s">
        <v>361</v>
      </c>
      <c r="C8060" s="6" t="s">
        <v>14748</v>
      </c>
      <c r="D8060" s="6" t="s">
        <v>14201</v>
      </c>
      <c r="E8060" s="6" t="s">
        <v>14749</v>
      </c>
      <c r="F8060" s="6" t="s">
        <v>15438</v>
      </c>
      <c r="G8060" s="3" t="s">
        <v>11450</v>
      </c>
      <c r="H8060" s="54">
        <v>0</v>
      </c>
      <c r="I8060" s="16">
        <v>470000000</v>
      </c>
      <c r="J8060" s="157" t="s">
        <v>229</v>
      </c>
      <c r="K8060" s="5" t="s">
        <v>9956</v>
      </c>
      <c r="L8060" s="17" t="s">
        <v>11411</v>
      </c>
      <c r="M8060" s="3" t="s">
        <v>230</v>
      </c>
      <c r="N8060" s="6" t="s">
        <v>19607</v>
      </c>
      <c r="O8060" s="6" t="s">
        <v>19407</v>
      </c>
      <c r="P8060" s="58" t="s">
        <v>247</v>
      </c>
      <c r="Q8060" s="6" t="s">
        <v>240</v>
      </c>
      <c r="R8060" s="51">
        <v>18</v>
      </c>
      <c r="S8060" s="2">
        <v>223027.20000000001</v>
      </c>
      <c r="T8060" s="4">
        <f t="shared" ref="T8060" si="490">R8060*S8060</f>
        <v>4014489.6000000001</v>
      </c>
      <c r="U8060" s="4">
        <f t="shared" si="450"/>
        <v>4496228.3520000009</v>
      </c>
      <c r="V8060" s="3"/>
      <c r="W8060" s="3">
        <v>2014</v>
      </c>
      <c r="X8060" s="158"/>
    </row>
    <row r="8061" spans="1:24" ht="89.25">
      <c r="A8061" s="3" t="s">
        <v>16184</v>
      </c>
      <c r="B8061" s="6" t="s">
        <v>361</v>
      </c>
      <c r="C8061" s="6" t="s">
        <v>15439</v>
      </c>
      <c r="D8061" s="6" t="s">
        <v>3860</v>
      </c>
      <c r="E8061" s="6" t="s">
        <v>15440</v>
      </c>
      <c r="F8061" s="6" t="s">
        <v>15441</v>
      </c>
      <c r="G8061" s="3" t="s">
        <v>11449</v>
      </c>
      <c r="H8061" s="54">
        <v>0</v>
      </c>
      <c r="I8061" s="16">
        <v>470000000</v>
      </c>
      <c r="J8061" s="157" t="s">
        <v>229</v>
      </c>
      <c r="K8061" s="5" t="s">
        <v>14754</v>
      </c>
      <c r="L8061" s="17" t="s">
        <v>11411</v>
      </c>
      <c r="M8061" s="3" t="s">
        <v>230</v>
      </c>
      <c r="N8061" s="6" t="s">
        <v>524</v>
      </c>
      <c r="O8061" s="6" t="s">
        <v>233</v>
      </c>
      <c r="P8061" s="58" t="s">
        <v>247</v>
      </c>
      <c r="Q8061" s="6" t="s">
        <v>240</v>
      </c>
      <c r="R8061" s="251">
        <v>0.65600000000000003</v>
      </c>
      <c r="S8061" s="59">
        <v>187027.19999999998</v>
      </c>
      <c r="T8061" s="4">
        <v>0</v>
      </c>
      <c r="U8061" s="4">
        <f t="shared" si="450"/>
        <v>0</v>
      </c>
      <c r="V8061" s="3" t="s">
        <v>362</v>
      </c>
      <c r="W8061" s="3">
        <v>2014</v>
      </c>
      <c r="X8061" s="3" t="s">
        <v>17399</v>
      </c>
    </row>
    <row r="8062" spans="1:24" ht="89.25">
      <c r="A8062" s="3" t="s">
        <v>18002</v>
      </c>
      <c r="B8062" s="6" t="s">
        <v>361</v>
      </c>
      <c r="C8062" s="6" t="s">
        <v>15439</v>
      </c>
      <c r="D8062" s="6" t="s">
        <v>3860</v>
      </c>
      <c r="E8062" s="6" t="s">
        <v>15440</v>
      </c>
      <c r="F8062" s="6" t="s">
        <v>15441</v>
      </c>
      <c r="G8062" s="3" t="s">
        <v>11450</v>
      </c>
      <c r="H8062" s="54">
        <v>0</v>
      </c>
      <c r="I8062" s="16">
        <v>470000000</v>
      </c>
      <c r="J8062" s="157" t="s">
        <v>229</v>
      </c>
      <c r="K8062" s="5" t="s">
        <v>8950</v>
      </c>
      <c r="L8062" s="17" t="s">
        <v>11411</v>
      </c>
      <c r="M8062" s="3" t="s">
        <v>230</v>
      </c>
      <c r="N8062" s="6" t="s">
        <v>528</v>
      </c>
      <c r="O8062" s="6" t="s">
        <v>233</v>
      </c>
      <c r="P8062" s="58" t="s">
        <v>247</v>
      </c>
      <c r="Q8062" s="6" t="s">
        <v>240</v>
      </c>
      <c r="R8062" s="251">
        <v>0.65600000000000003</v>
      </c>
      <c r="S8062" s="59">
        <v>187027.19999999998</v>
      </c>
      <c r="T8062" s="4">
        <v>0</v>
      </c>
      <c r="U8062" s="4">
        <f t="shared" ref="U8062:U8127" si="491">T8062*1.12</f>
        <v>0</v>
      </c>
      <c r="V8062" s="3" t="s">
        <v>362</v>
      </c>
      <c r="W8062" s="3">
        <v>2014</v>
      </c>
      <c r="X8062" s="3" t="s">
        <v>12076</v>
      </c>
    </row>
    <row r="8063" spans="1:24" ht="89.25">
      <c r="A8063" s="3" t="s">
        <v>16185</v>
      </c>
      <c r="B8063" s="6" t="s">
        <v>361</v>
      </c>
      <c r="C8063" s="6" t="s">
        <v>15442</v>
      </c>
      <c r="D8063" s="6" t="s">
        <v>3860</v>
      </c>
      <c r="E8063" s="6" t="s">
        <v>15443</v>
      </c>
      <c r="F8063" s="6" t="s">
        <v>15444</v>
      </c>
      <c r="G8063" s="3" t="s">
        <v>11449</v>
      </c>
      <c r="H8063" s="54">
        <v>0</v>
      </c>
      <c r="I8063" s="16">
        <v>470000000</v>
      </c>
      <c r="J8063" s="157" t="s">
        <v>229</v>
      </c>
      <c r="K8063" s="5" t="s">
        <v>14754</v>
      </c>
      <c r="L8063" s="17" t="s">
        <v>11411</v>
      </c>
      <c r="M8063" s="3" t="s">
        <v>230</v>
      </c>
      <c r="N8063" s="6" t="s">
        <v>524</v>
      </c>
      <c r="O8063" s="6" t="s">
        <v>233</v>
      </c>
      <c r="P8063" s="58" t="s">
        <v>247</v>
      </c>
      <c r="Q8063" s="6" t="s">
        <v>240</v>
      </c>
      <c r="R8063" s="251">
        <v>0.183</v>
      </c>
      <c r="S8063" s="59">
        <v>187027.19999999998</v>
      </c>
      <c r="T8063" s="4">
        <v>0</v>
      </c>
      <c r="U8063" s="4">
        <f t="shared" si="491"/>
        <v>0</v>
      </c>
      <c r="V8063" s="3" t="s">
        <v>362</v>
      </c>
      <c r="W8063" s="3">
        <v>2014</v>
      </c>
      <c r="X8063" s="3" t="s">
        <v>17399</v>
      </c>
    </row>
    <row r="8064" spans="1:24" ht="89.25">
      <c r="A8064" s="3" t="s">
        <v>18003</v>
      </c>
      <c r="B8064" s="6" t="s">
        <v>361</v>
      </c>
      <c r="C8064" s="6" t="s">
        <v>15442</v>
      </c>
      <c r="D8064" s="6" t="s">
        <v>3860</v>
      </c>
      <c r="E8064" s="6" t="s">
        <v>15443</v>
      </c>
      <c r="F8064" s="6" t="s">
        <v>15444</v>
      </c>
      <c r="G8064" s="3" t="s">
        <v>11450</v>
      </c>
      <c r="H8064" s="54">
        <v>0</v>
      </c>
      <c r="I8064" s="16">
        <v>470000000</v>
      </c>
      <c r="J8064" s="157" t="s">
        <v>229</v>
      </c>
      <c r="K8064" s="5" t="s">
        <v>8950</v>
      </c>
      <c r="L8064" s="17" t="s">
        <v>11411</v>
      </c>
      <c r="M8064" s="3" t="s">
        <v>230</v>
      </c>
      <c r="N8064" s="6" t="s">
        <v>528</v>
      </c>
      <c r="O8064" s="6" t="s">
        <v>233</v>
      </c>
      <c r="P8064" s="58" t="s">
        <v>247</v>
      </c>
      <c r="Q8064" s="6" t="s">
        <v>240</v>
      </c>
      <c r="R8064" s="251">
        <v>0.183</v>
      </c>
      <c r="S8064" s="59">
        <v>187027.19999999998</v>
      </c>
      <c r="T8064" s="4">
        <v>0</v>
      </c>
      <c r="U8064" s="4">
        <f t="shared" si="491"/>
        <v>0</v>
      </c>
      <c r="V8064" s="3" t="s">
        <v>362</v>
      </c>
      <c r="W8064" s="3">
        <v>2014</v>
      </c>
      <c r="X8064" s="3" t="s">
        <v>12076</v>
      </c>
    </row>
    <row r="8065" spans="1:24" ht="89.25">
      <c r="A8065" s="3" t="s">
        <v>16186</v>
      </c>
      <c r="B8065" s="6" t="s">
        <v>361</v>
      </c>
      <c r="C8065" s="6" t="s">
        <v>15445</v>
      </c>
      <c r="D8065" s="6" t="s">
        <v>3860</v>
      </c>
      <c r="E8065" s="6" t="s">
        <v>15446</v>
      </c>
      <c r="F8065" s="6" t="s">
        <v>15447</v>
      </c>
      <c r="G8065" s="3" t="s">
        <v>11449</v>
      </c>
      <c r="H8065" s="54">
        <v>0</v>
      </c>
      <c r="I8065" s="16">
        <v>470000000</v>
      </c>
      <c r="J8065" s="157" t="s">
        <v>229</v>
      </c>
      <c r="K8065" s="5" t="s">
        <v>14754</v>
      </c>
      <c r="L8065" s="17" t="s">
        <v>11411</v>
      </c>
      <c r="M8065" s="3" t="s">
        <v>230</v>
      </c>
      <c r="N8065" s="6" t="s">
        <v>524</v>
      </c>
      <c r="O8065" s="6" t="s">
        <v>233</v>
      </c>
      <c r="P8065" s="58" t="s">
        <v>247</v>
      </c>
      <c r="Q8065" s="6" t="s">
        <v>240</v>
      </c>
      <c r="R8065" s="251">
        <v>1.7630000000000001</v>
      </c>
      <c r="S8065" s="59">
        <v>187027.19999999998</v>
      </c>
      <c r="T8065" s="4">
        <v>0</v>
      </c>
      <c r="U8065" s="4">
        <f t="shared" si="491"/>
        <v>0</v>
      </c>
      <c r="V8065" s="3" t="s">
        <v>362</v>
      </c>
      <c r="W8065" s="3">
        <v>2014</v>
      </c>
      <c r="X8065" s="3" t="s">
        <v>17399</v>
      </c>
    </row>
    <row r="8066" spans="1:24" ht="89.25">
      <c r="A8066" s="3" t="s">
        <v>18004</v>
      </c>
      <c r="B8066" s="6" t="s">
        <v>361</v>
      </c>
      <c r="C8066" s="6" t="s">
        <v>15445</v>
      </c>
      <c r="D8066" s="6" t="s">
        <v>3860</v>
      </c>
      <c r="E8066" s="6" t="s">
        <v>15446</v>
      </c>
      <c r="F8066" s="6" t="s">
        <v>15447</v>
      </c>
      <c r="G8066" s="3" t="s">
        <v>11450</v>
      </c>
      <c r="H8066" s="54">
        <v>0</v>
      </c>
      <c r="I8066" s="16">
        <v>470000000</v>
      </c>
      <c r="J8066" s="157" t="s">
        <v>229</v>
      </c>
      <c r="K8066" s="5" t="s">
        <v>8950</v>
      </c>
      <c r="L8066" s="17" t="s">
        <v>11411</v>
      </c>
      <c r="M8066" s="3" t="s">
        <v>230</v>
      </c>
      <c r="N8066" s="6" t="s">
        <v>528</v>
      </c>
      <c r="O8066" s="6" t="s">
        <v>233</v>
      </c>
      <c r="P8066" s="58" t="s">
        <v>247</v>
      </c>
      <c r="Q8066" s="6" t="s">
        <v>240</v>
      </c>
      <c r="R8066" s="251">
        <v>1.7630000000000001</v>
      </c>
      <c r="S8066" s="59">
        <v>187027.19999999998</v>
      </c>
      <c r="T8066" s="4">
        <v>0</v>
      </c>
      <c r="U8066" s="4">
        <f t="shared" si="491"/>
        <v>0</v>
      </c>
      <c r="V8066" s="3" t="s">
        <v>362</v>
      </c>
      <c r="W8066" s="3">
        <v>2014</v>
      </c>
      <c r="X8066" s="3" t="s">
        <v>12076</v>
      </c>
    </row>
    <row r="8067" spans="1:24" ht="89.25">
      <c r="A8067" s="3" t="s">
        <v>16187</v>
      </c>
      <c r="B8067" s="6" t="s">
        <v>361</v>
      </c>
      <c r="C8067" s="6" t="s">
        <v>15448</v>
      </c>
      <c r="D8067" s="6" t="s">
        <v>15449</v>
      </c>
      <c r="E8067" s="6" t="s">
        <v>15450</v>
      </c>
      <c r="F8067" s="6" t="s">
        <v>15451</v>
      </c>
      <c r="G8067" s="3" t="s">
        <v>11449</v>
      </c>
      <c r="H8067" s="54">
        <v>0</v>
      </c>
      <c r="I8067" s="16">
        <v>470000000</v>
      </c>
      <c r="J8067" s="157" t="s">
        <v>229</v>
      </c>
      <c r="K8067" s="5" t="s">
        <v>14754</v>
      </c>
      <c r="L8067" s="17" t="s">
        <v>11411</v>
      </c>
      <c r="M8067" s="3" t="s">
        <v>230</v>
      </c>
      <c r="N8067" s="6" t="s">
        <v>524</v>
      </c>
      <c r="O8067" s="6" t="s">
        <v>233</v>
      </c>
      <c r="P8067" s="58" t="s">
        <v>247</v>
      </c>
      <c r="Q8067" s="6" t="s">
        <v>240</v>
      </c>
      <c r="R8067" s="251">
        <v>0.128</v>
      </c>
      <c r="S8067" s="59">
        <v>182624.4</v>
      </c>
      <c r="T8067" s="4">
        <v>0</v>
      </c>
      <c r="U8067" s="4">
        <f t="shared" si="491"/>
        <v>0</v>
      </c>
      <c r="V8067" s="3" t="s">
        <v>362</v>
      </c>
      <c r="W8067" s="3">
        <v>2014</v>
      </c>
      <c r="X8067" s="3" t="s">
        <v>17399</v>
      </c>
    </row>
    <row r="8068" spans="1:24" ht="89.25">
      <c r="A8068" s="3" t="s">
        <v>18005</v>
      </c>
      <c r="B8068" s="6" t="s">
        <v>361</v>
      </c>
      <c r="C8068" s="6" t="s">
        <v>15448</v>
      </c>
      <c r="D8068" s="6" t="s">
        <v>15449</v>
      </c>
      <c r="E8068" s="6" t="s">
        <v>15450</v>
      </c>
      <c r="F8068" s="6" t="s">
        <v>15451</v>
      </c>
      <c r="G8068" s="3" t="s">
        <v>11450</v>
      </c>
      <c r="H8068" s="54">
        <v>0</v>
      </c>
      <c r="I8068" s="16">
        <v>470000000</v>
      </c>
      <c r="J8068" s="157" t="s">
        <v>229</v>
      </c>
      <c r="K8068" s="5" t="s">
        <v>8950</v>
      </c>
      <c r="L8068" s="17" t="s">
        <v>11411</v>
      </c>
      <c r="M8068" s="3" t="s">
        <v>230</v>
      </c>
      <c r="N8068" s="6" t="s">
        <v>528</v>
      </c>
      <c r="O8068" s="6" t="s">
        <v>233</v>
      </c>
      <c r="P8068" s="58" t="s">
        <v>247</v>
      </c>
      <c r="Q8068" s="6" t="s">
        <v>240</v>
      </c>
      <c r="R8068" s="251">
        <v>0.128</v>
      </c>
      <c r="S8068" s="59">
        <v>182624.4</v>
      </c>
      <c r="T8068" s="4">
        <v>0</v>
      </c>
      <c r="U8068" s="4">
        <f t="shared" si="491"/>
        <v>0</v>
      </c>
      <c r="V8068" s="3" t="s">
        <v>362</v>
      </c>
      <c r="W8068" s="3">
        <v>2014</v>
      </c>
      <c r="X8068" s="3" t="s">
        <v>12076</v>
      </c>
    </row>
    <row r="8069" spans="1:24" ht="89.25">
      <c r="A8069" s="3" t="s">
        <v>16188</v>
      </c>
      <c r="B8069" s="6" t="s">
        <v>361</v>
      </c>
      <c r="C8069" s="6" t="s">
        <v>15452</v>
      </c>
      <c r="D8069" s="6" t="s">
        <v>15449</v>
      </c>
      <c r="E8069" s="6" t="s">
        <v>15453</v>
      </c>
      <c r="F8069" s="6" t="s">
        <v>15454</v>
      </c>
      <c r="G8069" s="3" t="s">
        <v>11449</v>
      </c>
      <c r="H8069" s="54">
        <v>0</v>
      </c>
      <c r="I8069" s="16">
        <v>470000000</v>
      </c>
      <c r="J8069" s="157" t="s">
        <v>229</v>
      </c>
      <c r="K8069" s="5" t="s">
        <v>14754</v>
      </c>
      <c r="L8069" s="17" t="s">
        <v>11411</v>
      </c>
      <c r="M8069" s="3" t="s">
        <v>230</v>
      </c>
      <c r="N8069" s="6" t="s">
        <v>524</v>
      </c>
      <c r="O8069" s="6" t="s">
        <v>233</v>
      </c>
      <c r="P8069" s="58" t="s">
        <v>247</v>
      </c>
      <c r="Q8069" s="6" t="s">
        <v>240</v>
      </c>
      <c r="R8069" s="251">
        <v>0.11</v>
      </c>
      <c r="S8069" s="59">
        <v>182624.4</v>
      </c>
      <c r="T8069" s="4">
        <v>0</v>
      </c>
      <c r="U8069" s="4">
        <f t="shared" si="491"/>
        <v>0</v>
      </c>
      <c r="V8069" s="3" t="s">
        <v>362</v>
      </c>
      <c r="W8069" s="3">
        <v>2014</v>
      </c>
      <c r="X8069" s="3" t="s">
        <v>17399</v>
      </c>
    </row>
    <row r="8070" spans="1:24" ht="89.25">
      <c r="A8070" s="3" t="s">
        <v>18006</v>
      </c>
      <c r="B8070" s="6" t="s">
        <v>361</v>
      </c>
      <c r="C8070" s="6" t="s">
        <v>15452</v>
      </c>
      <c r="D8070" s="6" t="s">
        <v>15449</v>
      </c>
      <c r="E8070" s="6" t="s">
        <v>15453</v>
      </c>
      <c r="F8070" s="6" t="s">
        <v>15454</v>
      </c>
      <c r="G8070" s="3" t="s">
        <v>11450</v>
      </c>
      <c r="H8070" s="54">
        <v>0</v>
      </c>
      <c r="I8070" s="16">
        <v>470000000</v>
      </c>
      <c r="J8070" s="157" t="s">
        <v>229</v>
      </c>
      <c r="K8070" s="5" t="s">
        <v>8950</v>
      </c>
      <c r="L8070" s="17" t="s">
        <v>11411</v>
      </c>
      <c r="M8070" s="3" t="s">
        <v>230</v>
      </c>
      <c r="N8070" s="6" t="s">
        <v>528</v>
      </c>
      <c r="O8070" s="6" t="s">
        <v>233</v>
      </c>
      <c r="P8070" s="58" t="s">
        <v>247</v>
      </c>
      <c r="Q8070" s="6" t="s">
        <v>240</v>
      </c>
      <c r="R8070" s="251">
        <v>0.11</v>
      </c>
      <c r="S8070" s="59">
        <v>182624.4</v>
      </c>
      <c r="T8070" s="4">
        <v>0</v>
      </c>
      <c r="U8070" s="4">
        <f t="shared" si="491"/>
        <v>0</v>
      </c>
      <c r="V8070" s="3" t="s">
        <v>362</v>
      </c>
      <c r="W8070" s="3">
        <v>2014</v>
      </c>
      <c r="X8070" s="3" t="s">
        <v>12076</v>
      </c>
    </row>
    <row r="8071" spans="1:24" ht="89.25">
      <c r="A8071" s="3" t="s">
        <v>16189</v>
      </c>
      <c r="B8071" s="6" t="s">
        <v>361</v>
      </c>
      <c r="C8071" s="6" t="s">
        <v>14748</v>
      </c>
      <c r="D8071" s="6" t="s">
        <v>14201</v>
      </c>
      <c r="E8071" s="6" t="s">
        <v>14749</v>
      </c>
      <c r="F8071" s="6" t="s">
        <v>15455</v>
      </c>
      <c r="G8071" s="3" t="s">
        <v>11449</v>
      </c>
      <c r="H8071" s="54">
        <v>0</v>
      </c>
      <c r="I8071" s="16">
        <v>470000000</v>
      </c>
      <c r="J8071" s="157" t="s">
        <v>229</v>
      </c>
      <c r="K8071" s="5" t="s">
        <v>14754</v>
      </c>
      <c r="L8071" s="17" t="s">
        <v>11411</v>
      </c>
      <c r="M8071" s="3" t="s">
        <v>230</v>
      </c>
      <c r="N8071" s="6" t="s">
        <v>524</v>
      </c>
      <c r="O8071" s="6" t="s">
        <v>233</v>
      </c>
      <c r="P8071" s="58" t="s">
        <v>247</v>
      </c>
      <c r="Q8071" s="6" t="s">
        <v>240</v>
      </c>
      <c r="R8071" s="251">
        <v>64.349999999999994</v>
      </c>
      <c r="S8071" s="59">
        <v>187027.19999999998</v>
      </c>
      <c r="T8071" s="4">
        <v>0</v>
      </c>
      <c r="U8071" s="4">
        <f t="shared" si="491"/>
        <v>0</v>
      </c>
      <c r="V8071" s="3" t="s">
        <v>362</v>
      </c>
      <c r="W8071" s="3">
        <v>2014</v>
      </c>
      <c r="X8071" s="3">
        <v>11.14</v>
      </c>
    </row>
    <row r="8072" spans="1:24" ht="89.25">
      <c r="A8072" s="3" t="s">
        <v>18007</v>
      </c>
      <c r="B8072" s="6" t="s">
        <v>361</v>
      </c>
      <c r="C8072" s="6" t="s">
        <v>14748</v>
      </c>
      <c r="D8072" s="6" t="s">
        <v>14201</v>
      </c>
      <c r="E8072" s="6" t="s">
        <v>14749</v>
      </c>
      <c r="F8072" s="6" t="s">
        <v>15455</v>
      </c>
      <c r="G8072" s="3" t="s">
        <v>11449</v>
      </c>
      <c r="H8072" s="54">
        <v>0</v>
      </c>
      <c r="I8072" s="16">
        <v>470000000</v>
      </c>
      <c r="J8072" s="157" t="s">
        <v>229</v>
      </c>
      <c r="K8072" s="5" t="s">
        <v>16428</v>
      </c>
      <c r="L8072" s="17" t="s">
        <v>11411</v>
      </c>
      <c r="M8072" s="3" t="s">
        <v>230</v>
      </c>
      <c r="N8072" s="6" t="s">
        <v>521</v>
      </c>
      <c r="O8072" s="6" t="s">
        <v>233</v>
      </c>
      <c r="P8072" s="58" t="s">
        <v>247</v>
      </c>
      <c r="Q8072" s="6" t="s">
        <v>240</v>
      </c>
      <c r="R8072" s="251">
        <v>64.349999999999994</v>
      </c>
      <c r="S8072" s="59">
        <v>187027.19999999998</v>
      </c>
      <c r="T8072" s="4">
        <v>0</v>
      </c>
      <c r="U8072" s="4">
        <f t="shared" si="491"/>
        <v>0</v>
      </c>
      <c r="V8072" s="3" t="s">
        <v>362</v>
      </c>
      <c r="W8072" s="3">
        <v>2014</v>
      </c>
      <c r="X8072" s="3">
        <v>11.22</v>
      </c>
    </row>
    <row r="8073" spans="1:24" ht="89.25">
      <c r="A8073" s="3" t="s">
        <v>19062</v>
      </c>
      <c r="B8073" s="6" t="s">
        <v>361</v>
      </c>
      <c r="C8073" s="6" t="s">
        <v>14748</v>
      </c>
      <c r="D8073" s="6" t="s">
        <v>14201</v>
      </c>
      <c r="E8073" s="6" t="s">
        <v>14749</v>
      </c>
      <c r="F8073" s="6" t="s">
        <v>15455</v>
      </c>
      <c r="G8073" s="3" t="s">
        <v>11449</v>
      </c>
      <c r="H8073" s="54">
        <v>0</v>
      </c>
      <c r="I8073" s="16">
        <v>470000000</v>
      </c>
      <c r="J8073" s="157" t="s">
        <v>229</v>
      </c>
      <c r="K8073" s="5" t="s">
        <v>18748</v>
      </c>
      <c r="L8073" s="17" t="s">
        <v>11411</v>
      </c>
      <c r="M8073" s="3" t="s">
        <v>230</v>
      </c>
      <c r="N8073" s="6" t="s">
        <v>521</v>
      </c>
      <c r="O8073" s="6" t="s">
        <v>233</v>
      </c>
      <c r="P8073" s="58" t="s">
        <v>247</v>
      </c>
      <c r="Q8073" s="6" t="s">
        <v>240</v>
      </c>
      <c r="R8073" s="251">
        <v>64.349999999999994</v>
      </c>
      <c r="S8073" s="59">
        <v>187027.19999999998</v>
      </c>
      <c r="T8073" s="4">
        <f t="shared" ref="T8073" si="492">R8073*S8073</f>
        <v>12035200.319999998</v>
      </c>
      <c r="U8073" s="4">
        <f t="shared" ref="U8073" si="493">T8073*1.12</f>
        <v>13479424.3584</v>
      </c>
      <c r="V8073" s="3"/>
      <c r="W8073" s="3">
        <v>2014</v>
      </c>
      <c r="X8073" s="158"/>
    </row>
    <row r="8074" spans="1:24" ht="89.25">
      <c r="A8074" s="3" t="s">
        <v>16190</v>
      </c>
      <c r="B8074" s="6" t="s">
        <v>361</v>
      </c>
      <c r="C8074" s="6" t="s">
        <v>15456</v>
      </c>
      <c r="D8074" s="6" t="s">
        <v>3860</v>
      </c>
      <c r="E8074" s="6" t="s">
        <v>15457</v>
      </c>
      <c r="F8074" s="6" t="s">
        <v>15458</v>
      </c>
      <c r="G8074" s="3" t="s">
        <v>11449</v>
      </c>
      <c r="H8074" s="54">
        <v>0</v>
      </c>
      <c r="I8074" s="16">
        <v>470000000</v>
      </c>
      <c r="J8074" s="157" t="s">
        <v>229</v>
      </c>
      <c r="K8074" s="5" t="s">
        <v>14754</v>
      </c>
      <c r="L8074" s="17" t="s">
        <v>11411</v>
      </c>
      <c r="M8074" s="3" t="s">
        <v>230</v>
      </c>
      <c r="N8074" s="6" t="s">
        <v>524</v>
      </c>
      <c r="O8074" s="6" t="s">
        <v>233</v>
      </c>
      <c r="P8074" s="58" t="s">
        <v>247</v>
      </c>
      <c r="Q8074" s="6" t="s">
        <v>240</v>
      </c>
      <c r="R8074" s="251">
        <v>156.83000000000001</v>
      </c>
      <c r="S8074" s="59">
        <v>187027.19999999998</v>
      </c>
      <c r="T8074" s="4">
        <v>0</v>
      </c>
      <c r="U8074" s="4">
        <f t="shared" si="491"/>
        <v>0</v>
      </c>
      <c r="V8074" s="3" t="s">
        <v>362</v>
      </c>
      <c r="W8074" s="3">
        <v>2014</v>
      </c>
      <c r="X8074" s="3">
        <v>11</v>
      </c>
    </row>
    <row r="8075" spans="1:24" ht="89.25">
      <c r="A8075" s="3" t="s">
        <v>18008</v>
      </c>
      <c r="B8075" s="6" t="s">
        <v>361</v>
      </c>
      <c r="C8075" s="6" t="s">
        <v>15456</v>
      </c>
      <c r="D8075" s="6" t="s">
        <v>3860</v>
      </c>
      <c r="E8075" s="6" t="s">
        <v>15457</v>
      </c>
      <c r="F8075" s="6" t="s">
        <v>15458</v>
      </c>
      <c r="G8075" s="3" t="s">
        <v>11449</v>
      </c>
      <c r="H8075" s="54">
        <v>0</v>
      </c>
      <c r="I8075" s="16">
        <v>470000000</v>
      </c>
      <c r="J8075" s="157" t="s">
        <v>229</v>
      </c>
      <c r="K8075" s="5" t="s">
        <v>8950</v>
      </c>
      <c r="L8075" s="17" t="s">
        <v>11411</v>
      </c>
      <c r="M8075" s="3" t="s">
        <v>230</v>
      </c>
      <c r="N8075" s="6" t="s">
        <v>524</v>
      </c>
      <c r="O8075" s="6" t="s">
        <v>233</v>
      </c>
      <c r="P8075" s="58" t="s">
        <v>247</v>
      </c>
      <c r="Q8075" s="6" t="s">
        <v>240</v>
      </c>
      <c r="R8075" s="251">
        <v>156.83000000000001</v>
      </c>
      <c r="S8075" s="59">
        <v>187027.19999999998</v>
      </c>
      <c r="T8075" s="4">
        <v>0</v>
      </c>
      <c r="U8075" s="4">
        <f t="shared" si="491"/>
        <v>0</v>
      </c>
      <c r="V8075" s="3" t="s">
        <v>362</v>
      </c>
      <c r="W8075" s="3">
        <v>2014</v>
      </c>
      <c r="X8075" s="3">
        <v>11.22</v>
      </c>
    </row>
    <row r="8076" spans="1:24" ht="89.25">
      <c r="A8076" s="3" t="s">
        <v>19057</v>
      </c>
      <c r="B8076" s="6" t="s">
        <v>361</v>
      </c>
      <c r="C8076" s="6" t="s">
        <v>15456</v>
      </c>
      <c r="D8076" s="6" t="s">
        <v>3860</v>
      </c>
      <c r="E8076" s="6" t="s">
        <v>15457</v>
      </c>
      <c r="F8076" s="6" t="s">
        <v>15458</v>
      </c>
      <c r="G8076" s="3" t="s">
        <v>11449</v>
      </c>
      <c r="H8076" s="54">
        <v>0</v>
      </c>
      <c r="I8076" s="16">
        <v>470000000</v>
      </c>
      <c r="J8076" s="157" t="s">
        <v>229</v>
      </c>
      <c r="K8076" s="5" t="s">
        <v>18748</v>
      </c>
      <c r="L8076" s="17" t="s">
        <v>11411</v>
      </c>
      <c r="M8076" s="3" t="s">
        <v>230</v>
      </c>
      <c r="N8076" s="6" t="s">
        <v>524</v>
      </c>
      <c r="O8076" s="6" t="s">
        <v>233</v>
      </c>
      <c r="P8076" s="58" t="s">
        <v>247</v>
      </c>
      <c r="Q8076" s="6" t="s">
        <v>240</v>
      </c>
      <c r="R8076" s="251">
        <v>156.83000000000001</v>
      </c>
      <c r="S8076" s="59">
        <v>187027.19999999998</v>
      </c>
      <c r="T8076" s="4">
        <f t="shared" ref="T8076" si="494">R8076*S8076</f>
        <v>29331475.776000001</v>
      </c>
      <c r="U8076" s="4">
        <f t="shared" ref="U8076" si="495">T8076*1.12</f>
        <v>32851252.869120006</v>
      </c>
      <c r="V8076" s="3"/>
      <c r="W8076" s="3">
        <v>2014</v>
      </c>
      <c r="X8076" s="158"/>
    </row>
    <row r="8077" spans="1:24" ht="89.25">
      <c r="A8077" s="3" t="s">
        <v>16191</v>
      </c>
      <c r="B8077" s="6" t="s">
        <v>361</v>
      </c>
      <c r="C8077" s="6" t="s">
        <v>15459</v>
      </c>
      <c r="D8077" s="6" t="s">
        <v>3878</v>
      </c>
      <c r="E8077" s="6" t="s">
        <v>15460</v>
      </c>
      <c r="F8077" s="6" t="s">
        <v>15461</v>
      </c>
      <c r="G8077" s="3" t="s">
        <v>11449</v>
      </c>
      <c r="H8077" s="54">
        <v>0</v>
      </c>
      <c r="I8077" s="16">
        <v>470000000</v>
      </c>
      <c r="J8077" s="157" t="s">
        <v>229</v>
      </c>
      <c r="K8077" s="5" t="s">
        <v>14754</v>
      </c>
      <c r="L8077" s="17" t="s">
        <v>11411</v>
      </c>
      <c r="M8077" s="3" t="s">
        <v>230</v>
      </c>
      <c r="N8077" s="6" t="s">
        <v>524</v>
      </c>
      <c r="O8077" s="6" t="s">
        <v>233</v>
      </c>
      <c r="P8077" s="58" t="s">
        <v>247</v>
      </c>
      <c r="Q8077" s="6" t="s">
        <v>240</v>
      </c>
      <c r="R8077" s="251">
        <v>0.184</v>
      </c>
      <c r="S8077" s="59">
        <v>165865.19999999998</v>
      </c>
      <c r="T8077" s="4">
        <v>0</v>
      </c>
      <c r="U8077" s="4">
        <f t="shared" si="491"/>
        <v>0</v>
      </c>
      <c r="V8077" s="3" t="s">
        <v>362</v>
      </c>
      <c r="W8077" s="3">
        <v>2014</v>
      </c>
      <c r="X8077" s="3" t="s">
        <v>17399</v>
      </c>
    </row>
    <row r="8078" spans="1:24" ht="89.25">
      <c r="A8078" s="3" t="s">
        <v>18009</v>
      </c>
      <c r="B8078" s="6" t="s">
        <v>361</v>
      </c>
      <c r="C8078" s="6" t="s">
        <v>15459</v>
      </c>
      <c r="D8078" s="6" t="s">
        <v>3878</v>
      </c>
      <c r="E8078" s="6" t="s">
        <v>15460</v>
      </c>
      <c r="F8078" s="6" t="s">
        <v>15461</v>
      </c>
      <c r="G8078" s="3" t="s">
        <v>11450</v>
      </c>
      <c r="H8078" s="54">
        <v>0</v>
      </c>
      <c r="I8078" s="16">
        <v>470000000</v>
      </c>
      <c r="J8078" s="157" t="s">
        <v>229</v>
      </c>
      <c r="K8078" s="5" t="s">
        <v>8950</v>
      </c>
      <c r="L8078" s="17" t="s">
        <v>11411</v>
      </c>
      <c r="M8078" s="3" t="s">
        <v>230</v>
      </c>
      <c r="N8078" s="6" t="s">
        <v>528</v>
      </c>
      <c r="O8078" s="6" t="s">
        <v>233</v>
      </c>
      <c r="P8078" s="58" t="s">
        <v>247</v>
      </c>
      <c r="Q8078" s="6" t="s">
        <v>240</v>
      </c>
      <c r="R8078" s="251">
        <v>0.184</v>
      </c>
      <c r="S8078" s="59">
        <v>165865.19999999998</v>
      </c>
      <c r="T8078" s="4">
        <v>0</v>
      </c>
      <c r="U8078" s="4">
        <f t="shared" si="491"/>
        <v>0</v>
      </c>
      <c r="V8078" s="3" t="s">
        <v>362</v>
      </c>
      <c r="W8078" s="3">
        <v>2014</v>
      </c>
      <c r="X8078" s="3" t="s">
        <v>12076</v>
      </c>
    </row>
    <row r="8079" spans="1:24" ht="89.25">
      <c r="A8079" s="3" t="s">
        <v>16192</v>
      </c>
      <c r="B8079" s="6" t="s">
        <v>361</v>
      </c>
      <c r="C8079" s="6" t="s">
        <v>15462</v>
      </c>
      <c r="D8079" s="6" t="s">
        <v>3878</v>
      </c>
      <c r="E8079" s="6" t="s">
        <v>15463</v>
      </c>
      <c r="F8079" s="6" t="s">
        <v>15464</v>
      </c>
      <c r="G8079" s="3" t="s">
        <v>11449</v>
      </c>
      <c r="H8079" s="54">
        <v>0</v>
      </c>
      <c r="I8079" s="16">
        <v>470000000</v>
      </c>
      <c r="J8079" s="157" t="s">
        <v>229</v>
      </c>
      <c r="K8079" s="5" t="s">
        <v>14754</v>
      </c>
      <c r="L8079" s="17" t="s">
        <v>11411</v>
      </c>
      <c r="M8079" s="3" t="s">
        <v>230</v>
      </c>
      <c r="N8079" s="6" t="s">
        <v>524</v>
      </c>
      <c r="O8079" s="6" t="s">
        <v>233</v>
      </c>
      <c r="P8079" s="58" t="s">
        <v>247</v>
      </c>
      <c r="Q8079" s="6" t="s">
        <v>240</v>
      </c>
      <c r="R8079" s="251">
        <v>0.08</v>
      </c>
      <c r="S8079" s="59">
        <v>165865.19999999998</v>
      </c>
      <c r="T8079" s="4">
        <v>0</v>
      </c>
      <c r="U8079" s="4">
        <f t="shared" si="491"/>
        <v>0</v>
      </c>
      <c r="V8079" s="3" t="s">
        <v>362</v>
      </c>
      <c r="W8079" s="3">
        <v>2014</v>
      </c>
      <c r="X8079" s="3" t="s">
        <v>17399</v>
      </c>
    </row>
    <row r="8080" spans="1:24" ht="89.25">
      <c r="A8080" s="3" t="s">
        <v>18010</v>
      </c>
      <c r="B8080" s="6" t="s">
        <v>361</v>
      </c>
      <c r="C8080" s="6" t="s">
        <v>15462</v>
      </c>
      <c r="D8080" s="6" t="s">
        <v>3878</v>
      </c>
      <c r="E8080" s="6" t="s">
        <v>15463</v>
      </c>
      <c r="F8080" s="6" t="s">
        <v>15464</v>
      </c>
      <c r="G8080" s="3" t="s">
        <v>11450</v>
      </c>
      <c r="H8080" s="54">
        <v>0</v>
      </c>
      <c r="I8080" s="16">
        <v>470000000</v>
      </c>
      <c r="J8080" s="157" t="s">
        <v>229</v>
      </c>
      <c r="K8080" s="5" t="s">
        <v>8950</v>
      </c>
      <c r="L8080" s="17" t="s">
        <v>11411</v>
      </c>
      <c r="M8080" s="3" t="s">
        <v>230</v>
      </c>
      <c r="N8080" s="6" t="s">
        <v>528</v>
      </c>
      <c r="O8080" s="6" t="s">
        <v>233</v>
      </c>
      <c r="P8080" s="58" t="s">
        <v>247</v>
      </c>
      <c r="Q8080" s="6" t="s">
        <v>240</v>
      </c>
      <c r="R8080" s="251">
        <v>0.08</v>
      </c>
      <c r="S8080" s="59">
        <v>165865.19999999998</v>
      </c>
      <c r="T8080" s="4">
        <v>0</v>
      </c>
      <c r="U8080" s="4">
        <f t="shared" si="491"/>
        <v>0</v>
      </c>
      <c r="V8080" s="3" t="s">
        <v>362</v>
      </c>
      <c r="W8080" s="3">
        <v>2014</v>
      </c>
      <c r="X8080" s="3" t="s">
        <v>12076</v>
      </c>
    </row>
    <row r="8081" spans="1:24" ht="89.25">
      <c r="A8081" s="3" t="s">
        <v>16193</v>
      </c>
      <c r="B8081" s="6" t="s">
        <v>361</v>
      </c>
      <c r="C8081" s="6" t="s">
        <v>15465</v>
      </c>
      <c r="D8081" s="6" t="s">
        <v>3878</v>
      </c>
      <c r="E8081" s="6" t="s">
        <v>15466</v>
      </c>
      <c r="F8081" s="6" t="s">
        <v>15467</v>
      </c>
      <c r="G8081" s="3" t="s">
        <v>11449</v>
      </c>
      <c r="H8081" s="54">
        <v>0</v>
      </c>
      <c r="I8081" s="16">
        <v>470000000</v>
      </c>
      <c r="J8081" s="157" t="s">
        <v>229</v>
      </c>
      <c r="K8081" s="5" t="s">
        <v>14754</v>
      </c>
      <c r="L8081" s="17" t="s">
        <v>11411</v>
      </c>
      <c r="M8081" s="3" t="s">
        <v>230</v>
      </c>
      <c r="N8081" s="6" t="s">
        <v>524</v>
      </c>
      <c r="O8081" s="6" t="s">
        <v>233</v>
      </c>
      <c r="P8081" s="58" t="s">
        <v>247</v>
      </c>
      <c r="Q8081" s="6" t="s">
        <v>240</v>
      </c>
      <c r="R8081" s="251">
        <v>4.2709999999999999</v>
      </c>
      <c r="S8081" s="59">
        <v>165865.19999999998</v>
      </c>
      <c r="T8081" s="4">
        <v>0</v>
      </c>
      <c r="U8081" s="4">
        <f t="shared" si="491"/>
        <v>0</v>
      </c>
      <c r="V8081" s="3" t="s">
        <v>362</v>
      </c>
      <c r="W8081" s="3">
        <v>2014</v>
      </c>
      <c r="X8081" s="3" t="s">
        <v>17399</v>
      </c>
    </row>
    <row r="8082" spans="1:24" ht="89.25">
      <c r="A8082" s="3" t="s">
        <v>18011</v>
      </c>
      <c r="B8082" s="6" t="s">
        <v>361</v>
      </c>
      <c r="C8082" s="6" t="s">
        <v>15465</v>
      </c>
      <c r="D8082" s="6" t="s">
        <v>3878</v>
      </c>
      <c r="E8082" s="6" t="s">
        <v>15466</v>
      </c>
      <c r="F8082" s="6" t="s">
        <v>15467</v>
      </c>
      <c r="G8082" s="3" t="s">
        <v>11450</v>
      </c>
      <c r="H8082" s="54">
        <v>0</v>
      </c>
      <c r="I8082" s="16">
        <v>470000000</v>
      </c>
      <c r="J8082" s="157" t="s">
        <v>229</v>
      </c>
      <c r="K8082" s="5" t="s">
        <v>8950</v>
      </c>
      <c r="L8082" s="17" t="s">
        <v>11411</v>
      </c>
      <c r="M8082" s="3" t="s">
        <v>230</v>
      </c>
      <c r="N8082" s="6" t="s">
        <v>528</v>
      </c>
      <c r="O8082" s="6" t="s">
        <v>233</v>
      </c>
      <c r="P8082" s="58" t="s">
        <v>247</v>
      </c>
      <c r="Q8082" s="6" t="s">
        <v>240</v>
      </c>
      <c r="R8082" s="251">
        <v>4.2709999999999999</v>
      </c>
      <c r="S8082" s="59">
        <v>165865.19999999998</v>
      </c>
      <c r="T8082" s="4">
        <f t="shared" ref="T8082" si="496">R8082*S8082</f>
        <v>708410.26919999986</v>
      </c>
      <c r="U8082" s="4">
        <f t="shared" si="491"/>
        <v>793419.50150399993</v>
      </c>
      <c r="V8082" s="3" t="s">
        <v>362</v>
      </c>
      <c r="W8082" s="3">
        <v>2014</v>
      </c>
      <c r="X8082" s="158"/>
    </row>
    <row r="8083" spans="1:24" ht="89.25">
      <c r="A8083" s="3" t="s">
        <v>16194</v>
      </c>
      <c r="B8083" s="6" t="s">
        <v>361</v>
      </c>
      <c r="C8083" s="6" t="s">
        <v>15468</v>
      </c>
      <c r="D8083" s="6" t="s">
        <v>3878</v>
      </c>
      <c r="E8083" s="6" t="s">
        <v>15469</v>
      </c>
      <c r="F8083" s="6" t="s">
        <v>15470</v>
      </c>
      <c r="G8083" s="3" t="s">
        <v>11449</v>
      </c>
      <c r="H8083" s="54">
        <v>0</v>
      </c>
      <c r="I8083" s="16">
        <v>470000000</v>
      </c>
      <c r="J8083" s="157" t="s">
        <v>229</v>
      </c>
      <c r="K8083" s="5" t="s">
        <v>14754</v>
      </c>
      <c r="L8083" s="17" t="s">
        <v>11411</v>
      </c>
      <c r="M8083" s="3" t="s">
        <v>230</v>
      </c>
      <c r="N8083" s="6" t="s">
        <v>524</v>
      </c>
      <c r="O8083" s="6" t="s">
        <v>233</v>
      </c>
      <c r="P8083" s="58" t="s">
        <v>247</v>
      </c>
      <c r="Q8083" s="6" t="s">
        <v>240</v>
      </c>
      <c r="R8083" s="251">
        <v>0.85799999999999987</v>
      </c>
      <c r="S8083" s="59">
        <v>165865.19999999998</v>
      </c>
      <c r="T8083" s="4">
        <v>0</v>
      </c>
      <c r="U8083" s="4">
        <f t="shared" si="491"/>
        <v>0</v>
      </c>
      <c r="V8083" s="3" t="s">
        <v>362</v>
      </c>
      <c r="W8083" s="3">
        <v>2014</v>
      </c>
      <c r="X8083" s="3" t="s">
        <v>17399</v>
      </c>
    </row>
    <row r="8084" spans="1:24" ht="89.25">
      <c r="A8084" s="3" t="s">
        <v>18012</v>
      </c>
      <c r="B8084" s="6" t="s">
        <v>361</v>
      </c>
      <c r="C8084" s="6" t="s">
        <v>15468</v>
      </c>
      <c r="D8084" s="6" t="s">
        <v>3878</v>
      </c>
      <c r="E8084" s="6" t="s">
        <v>15469</v>
      </c>
      <c r="F8084" s="6" t="s">
        <v>15470</v>
      </c>
      <c r="G8084" s="3" t="s">
        <v>11450</v>
      </c>
      <c r="H8084" s="54">
        <v>0</v>
      </c>
      <c r="I8084" s="16">
        <v>470000000</v>
      </c>
      <c r="J8084" s="157" t="s">
        <v>229</v>
      </c>
      <c r="K8084" s="5" t="s">
        <v>8950</v>
      </c>
      <c r="L8084" s="17" t="s">
        <v>11411</v>
      </c>
      <c r="M8084" s="3" t="s">
        <v>230</v>
      </c>
      <c r="N8084" s="6" t="s">
        <v>528</v>
      </c>
      <c r="O8084" s="6" t="s">
        <v>233</v>
      </c>
      <c r="P8084" s="58" t="s">
        <v>247</v>
      </c>
      <c r="Q8084" s="6" t="s">
        <v>240</v>
      </c>
      <c r="R8084" s="251">
        <v>0.85799999999999987</v>
      </c>
      <c r="S8084" s="59">
        <v>165865.19999999998</v>
      </c>
      <c r="T8084" s="4">
        <v>0</v>
      </c>
      <c r="U8084" s="4">
        <f t="shared" si="491"/>
        <v>0</v>
      </c>
      <c r="V8084" s="3" t="s">
        <v>362</v>
      </c>
      <c r="W8084" s="3">
        <v>2014</v>
      </c>
      <c r="X8084" s="3" t="s">
        <v>12076</v>
      </c>
    </row>
    <row r="8085" spans="1:24" ht="89.25">
      <c r="A8085" s="3" t="s">
        <v>16195</v>
      </c>
      <c r="B8085" s="6" t="s">
        <v>361</v>
      </c>
      <c r="C8085" s="6" t="s">
        <v>15471</v>
      </c>
      <c r="D8085" s="6" t="s">
        <v>3878</v>
      </c>
      <c r="E8085" s="6" t="s">
        <v>15472</v>
      </c>
      <c r="F8085" s="6" t="s">
        <v>15473</v>
      </c>
      <c r="G8085" s="3" t="s">
        <v>11449</v>
      </c>
      <c r="H8085" s="54">
        <v>0</v>
      </c>
      <c r="I8085" s="16">
        <v>470000000</v>
      </c>
      <c r="J8085" s="157" t="s">
        <v>229</v>
      </c>
      <c r="K8085" s="5" t="s">
        <v>14754</v>
      </c>
      <c r="L8085" s="17" t="s">
        <v>11411</v>
      </c>
      <c r="M8085" s="3" t="s">
        <v>230</v>
      </c>
      <c r="N8085" s="6" t="s">
        <v>524</v>
      </c>
      <c r="O8085" s="6" t="s">
        <v>233</v>
      </c>
      <c r="P8085" s="58" t="s">
        <v>247</v>
      </c>
      <c r="Q8085" s="6" t="s">
        <v>240</v>
      </c>
      <c r="R8085" s="251">
        <v>7.56</v>
      </c>
      <c r="S8085" s="59">
        <v>165865.19999999998</v>
      </c>
      <c r="T8085" s="4">
        <v>0</v>
      </c>
      <c r="U8085" s="4">
        <f t="shared" si="491"/>
        <v>0</v>
      </c>
      <c r="V8085" s="3" t="s">
        <v>362</v>
      </c>
      <c r="W8085" s="3">
        <v>2014</v>
      </c>
      <c r="X8085" s="3">
        <v>7.11</v>
      </c>
    </row>
    <row r="8086" spans="1:24" ht="89.25">
      <c r="A8086" s="3" t="s">
        <v>18013</v>
      </c>
      <c r="B8086" s="6" t="s">
        <v>361</v>
      </c>
      <c r="C8086" s="6" t="s">
        <v>15471</v>
      </c>
      <c r="D8086" s="6" t="s">
        <v>3878</v>
      </c>
      <c r="E8086" s="6" t="s">
        <v>15472</v>
      </c>
      <c r="F8086" s="6" t="s">
        <v>15473</v>
      </c>
      <c r="G8086" s="3" t="s">
        <v>11450</v>
      </c>
      <c r="H8086" s="54">
        <v>0</v>
      </c>
      <c r="I8086" s="16">
        <v>470000000</v>
      </c>
      <c r="J8086" s="157" t="s">
        <v>229</v>
      </c>
      <c r="K8086" s="5" t="s">
        <v>8950</v>
      </c>
      <c r="L8086" s="17" t="s">
        <v>11411</v>
      </c>
      <c r="M8086" s="3" t="s">
        <v>230</v>
      </c>
      <c r="N8086" s="6" t="s">
        <v>524</v>
      </c>
      <c r="O8086" s="6" t="s">
        <v>233</v>
      </c>
      <c r="P8086" s="58" t="s">
        <v>247</v>
      </c>
      <c r="Q8086" s="6" t="s">
        <v>240</v>
      </c>
      <c r="R8086" s="251">
        <v>7.56</v>
      </c>
      <c r="S8086" s="59">
        <v>165865.19999999998</v>
      </c>
      <c r="T8086" s="4">
        <f t="shared" ref="T8086" si="497">R8086*S8086</f>
        <v>1253940.9119999998</v>
      </c>
      <c r="U8086" s="4">
        <f t="shared" si="491"/>
        <v>1404413.8214399999</v>
      </c>
      <c r="V8086" s="3" t="s">
        <v>362</v>
      </c>
      <c r="W8086" s="3">
        <v>2014</v>
      </c>
      <c r="X8086" s="158"/>
    </row>
    <row r="8087" spans="1:24" ht="89.25">
      <c r="A8087" s="3" t="s">
        <v>16196</v>
      </c>
      <c r="B8087" s="6" t="s">
        <v>361</v>
      </c>
      <c r="C8087" s="6" t="s">
        <v>15474</v>
      </c>
      <c r="D8087" s="6" t="s">
        <v>3878</v>
      </c>
      <c r="E8087" s="6" t="s">
        <v>15475</v>
      </c>
      <c r="F8087" s="6" t="s">
        <v>15476</v>
      </c>
      <c r="G8087" s="3" t="s">
        <v>11449</v>
      </c>
      <c r="H8087" s="54">
        <v>0</v>
      </c>
      <c r="I8087" s="16">
        <v>470000000</v>
      </c>
      <c r="J8087" s="157" t="s">
        <v>229</v>
      </c>
      <c r="K8087" s="5" t="s">
        <v>14754</v>
      </c>
      <c r="L8087" s="17" t="s">
        <v>11411</v>
      </c>
      <c r="M8087" s="3" t="s">
        <v>230</v>
      </c>
      <c r="N8087" s="6" t="s">
        <v>524</v>
      </c>
      <c r="O8087" s="6" t="s">
        <v>233</v>
      </c>
      <c r="P8087" s="58" t="s">
        <v>247</v>
      </c>
      <c r="Q8087" s="6" t="s">
        <v>240</v>
      </c>
      <c r="R8087" s="251">
        <v>0.14000000000000001</v>
      </c>
      <c r="S8087" s="59">
        <v>155856</v>
      </c>
      <c r="T8087" s="4">
        <v>0</v>
      </c>
      <c r="U8087" s="4">
        <f t="shared" si="491"/>
        <v>0</v>
      </c>
      <c r="V8087" s="3" t="s">
        <v>362</v>
      </c>
      <c r="W8087" s="3">
        <v>2014</v>
      </c>
      <c r="X8087" s="3" t="s">
        <v>17399</v>
      </c>
    </row>
    <row r="8088" spans="1:24" ht="89.25">
      <c r="A8088" s="3" t="s">
        <v>18014</v>
      </c>
      <c r="B8088" s="6" t="s">
        <v>361</v>
      </c>
      <c r="C8088" s="6" t="s">
        <v>15474</v>
      </c>
      <c r="D8088" s="6" t="s">
        <v>3878</v>
      </c>
      <c r="E8088" s="6" t="s">
        <v>15475</v>
      </c>
      <c r="F8088" s="6" t="s">
        <v>15476</v>
      </c>
      <c r="G8088" s="3" t="s">
        <v>11450</v>
      </c>
      <c r="H8088" s="54">
        <v>0</v>
      </c>
      <c r="I8088" s="16">
        <v>470000000</v>
      </c>
      <c r="J8088" s="157" t="s">
        <v>229</v>
      </c>
      <c r="K8088" s="5" t="s">
        <v>8950</v>
      </c>
      <c r="L8088" s="17" t="s">
        <v>11411</v>
      </c>
      <c r="M8088" s="3" t="s">
        <v>230</v>
      </c>
      <c r="N8088" s="6" t="s">
        <v>528</v>
      </c>
      <c r="O8088" s="6" t="s">
        <v>233</v>
      </c>
      <c r="P8088" s="58" t="s">
        <v>247</v>
      </c>
      <c r="Q8088" s="6" t="s">
        <v>240</v>
      </c>
      <c r="R8088" s="251">
        <v>0.14000000000000001</v>
      </c>
      <c r="S8088" s="59">
        <v>155856</v>
      </c>
      <c r="T8088" s="4">
        <v>0</v>
      </c>
      <c r="U8088" s="4">
        <f t="shared" si="491"/>
        <v>0</v>
      </c>
      <c r="V8088" s="3" t="s">
        <v>362</v>
      </c>
      <c r="W8088" s="3">
        <v>2014</v>
      </c>
      <c r="X8088" s="3" t="s">
        <v>12076</v>
      </c>
    </row>
    <row r="8089" spans="1:24" ht="89.25">
      <c r="A8089" s="3" t="s">
        <v>16197</v>
      </c>
      <c r="B8089" s="6" t="s">
        <v>361</v>
      </c>
      <c r="C8089" s="6" t="s">
        <v>15477</v>
      </c>
      <c r="D8089" s="6" t="s">
        <v>3878</v>
      </c>
      <c r="E8089" s="6" t="s">
        <v>15478</v>
      </c>
      <c r="F8089" s="6" t="s">
        <v>15479</v>
      </c>
      <c r="G8089" s="3" t="s">
        <v>11449</v>
      </c>
      <c r="H8089" s="54">
        <v>0</v>
      </c>
      <c r="I8089" s="16">
        <v>470000000</v>
      </c>
      <c r="J8089" s="157" t="s">
        <v>229</v>
      </c>
      <c r="K8089" s="5" t="s">
        <v>14754</v>
      </c>
      <c r="L8089" s="17" t="s">
        <v>11411</v>
      </c>
      <c r="M8089" s="3" t="s">
        <v>230</v>
      </c>
      <c r="N8089" s="6" t="s">
        <v>524</v>
      </c>
      <c r="O8089" s="6" t="s">
        <v>233</v>
      </c>
      <c r="P8089" s="58" t="s">
        <v>247</v>
      </c>
      <c r="Q8089" s="6" t="s">
        <v>240</v>
      </c>
      <c r="R8089" s="251">
        <v>0.43</v>
      </c>
      <c r="S8089" s="59">
        <v>167856</v>
      </c>
      <c r="T8089" s="4">
        <v>0</v>
      </c>
      <c r="U8089" s="4">
        <f t="shared" si="491"/>
        <v>0</v>
      </c>
      <c r="V8089" s="3" t="s">
        <v>362</v>
      </c>
      <c r="W8089" s="3">
        <v>2014</v>
      </c>
      <c r="X8089" s="3" t="s">
        <v>17399</v>
      </c>
    </row>
    <row r="8090" spans="1:24" ht="89.25">
      <c r="A8090" s="3" t="s">
        <v>18015</v>
      </c>
      <c r="B8090" s="6" t="s">
        <v>361</v>
      </c>
      <c r="C8090" s="6" t="s">
        <v>15477</v>
      </c>
      <c r="D8090" s="6" t="s">
        <v>3878</v>
      </c>
      <c r="E8090" s="6" t="s">
        <v>15478</v>
      </c>
      <c r="F8090" s="6" t="s">
        <v>15479</v>
      </c>
      <c r="G8090" s="3" t="s">
        <v>11450</v>
      </c>
      <c r="H8090" s="54">
        <v>0</v>
      </c>
      <c r="I8090" s="16">
        <v>470000000</v>
      </c>
      <c r="J8090" s="157" t="s">
        <v>229</v>
      </c>
      <c r="K8090" s="5" t="s">
        <v>8950</v>
      </c>
      <c r="L8090" s="17" t="s">
        <v>11411</v>
      </c>
      <c r="M8090" s="3" t="s">
        <v>230</v>
      </c>
      <c r="N8090" s="6" t="s">
        <v>528</v>
      </c>
      <c r="O8090" s="6" t="s">
        <v>233</v>
      </c>
      <c r="P8090" s="58" t="s">
        <v>247</v>
      </c>
      <c r="Q8090" s="6" t="s">
        <v>240</v>
      </c>
      <c r="R8090" s="251">
        <v>0.43</v>
      </c>
      <c r="S8090" s="59">
        <v>167856</v>
      </c>
      <c r="T8090" s="4">
        <v>0</v>
      </c>
      <c r="U8090" s="4">
        <f t="shared" si="491"/>
        <v>0</v>
      </c>
      <c r="V8090" s="3" t="s">
        <v>362</v>
      </c>
      <c r="W8090" s="3">
        <v>2014</v>
      </c>
      <c r="X8090" s="3" t="s">
        <v>12076</v>
      </c>
    </row>
    <row r="8091" spans="1:24" ht="89.25">
      <c r="A8091" s="3" t="s">
        <v>16198</v>
      </c>
      <c r="B8091" s="6" t="s">
        <v>361</v>
      </c>
      <c r="C8091" s="6" t="s">
        <v>15915</v>
      </c>
      <c r="D8091" s="6" t="s">
        <v>3887</v>
      </c>
      <c r="E8091" s="6" t="s">
        <v>15916</v>
      </c>
      <c r="F8091" s="6" t="s">
        <v>15480</v>
      </c>
      <c r="G8091" s="3" t="s">
        <v>11449</v>
      </c>
      <c r="H8091" s="54">
        <v>0</v>
      </c>
      <c r="I8091" s="16">
        <v>470000000</v>
      </c>
      <c r="J8091" s="157" t="s">
        <v>229</v>
      </c>
      <c r="K8091" s="5" t="s">
        <v>14754</v>
      </c>
      <c r="L8091" s="17" t="s">
        <v>11411</v>
      </c>
      <c r="M8091" s="3" t="s">
        <v>230</v>
      </c>
      <c r="N8091" s="6" t="s">
        <v>524</v>
      </c>
      <c r="O8091" s="6" t="s">
        <v>233</v>
      </c>
      <c r="P8091" s="58" t="s">
        <v>247</v>
      </c>
      <c r="Q8091" s="6" t="s">
        <v>240</v>
      </c>
      <c r="R8091" s="251">
        <v>1.8499999999999999</v>
      </c>
      <c r="S8091" s="59">
        <v>162792</v>
      </c>
      <c r="T8091" s="4">
        <v>0</v>
      </c>
      <c r="U8091" s="4">
        <f t="shared" si="491"/>
        <v>0</v>
      </c>
      <c r="V8091" s="3" t="s">
        <v>362</v>
      </c>
      <c r="W8091" s="3">
        <v>2014</v>
      </c>
      <c r="X8091" s="3" t="s">
        <v>17399</v>
      </c>
    </row>
    <row r="8092" spans="1:24" ht="89.25">
      <c r="A8092" s="3" t="s">
        <v>18016</v>
      </c>
      <c r="B8092" s="6" t="s">
        <v>361</v>
      </c>
      <c r="C8092" s="6" t="s">
        <v>15915</v>
      </c>
      <c r="D8092" s="6" t="s">
        <v>3887</v>
      </c>
      <c r="E8092" s="6" t="s">
        <v>15916</v>
      </c>
      <c r="F8092" s="6" t="s">
        <v>15480</v>
      </c>
      <c r="G8092" s="3" t="s">
        <v>11450</v>
      </c>
      <c r="H8092" s="54">
        <v>0</v>
      </c>
      <c r="I8092" s="16">
        <v>470000000</v>
      </c>
      <c r="J8092" s="157" t="s">
        <v>229</v>
      </c>
      <c r="K8092" s="5" t="s">
        <v>8950</v>
      </c>
      <c r="L8092" s="17" t="s">
        <v>11411</v>
      </c>
      <c r="M8092" s="3" t="s">
        <v>230</v>
      </c>
      <c r="N8092" s="6" t="s">
        <v>528</v>
      </c>
      <c r="O8092" s="6" t="s">
        <v>233</v>
      </c>
      <c r="P8092" s="58" t="s">
        <v>247</v>
      </c>
      <c r="Q8092" s="6" t="s">
        <v>240</v>
      </c>
      <c r="R8092" s="251">
        <v>1.8499999999999999</v>
      </c>
      <c r="S8092" s="59">
        <v>162792</v>
      </c>
      <c r="T8092" s="4">
        <v>0</v>
      </c>
      <c r="U8092" s="4">
        <f t="shared" si="491"/>
        <v>0</v>
      </c>
      <c r="V8092" s="3" t="s">
        <v>362</v>
      </c>
      <c r="W8092" s="3">
        <v>2014</v>
      </c>
      <c r="X8092" s="3" t="s">
        <v>12076</v>
      </c>
    </row>
    <row r="8093" spans="1:24" ht="89.25">
      <c r="A8093" s="3" t="s">
        <v>16199</v>
      </c>
      <c r="B8093" s="6" t="s">
        <v>361</v>
      </c>
      <c r="C8093" s="6" t="s">
        <v>15915</v>
      </c>
      <c r="D8093" s="6" t="s">
        <v>3887</v>
      </c>
      <c r="E8093" s="6" t="s">
        <v>15916</v>
      </c>
      <c r="F8093" s="6" t="s">
        <v>15481</v>
      </c>
      <c r="G8093" s="3" t="s">
        <v>11449</v>
      </c>
      <c r="H8093" s="54">
        <v>0</v>
      </c>
      <c r="I8093" s="16">
        <v>470000000</v>
      </c>
      <c r="J8093" s="157" t="s">
        <v>229</v>
      </c>
      <c r="K8093" s="5" t="s">
        <v>14754</v>
      </c>
      <c r="L8093" s="17" t="s">
        <v>11411</v>
      </c>
      <c r="M8093" s="3" t="s">
        <v>230</v>
      </c>
      <c r="N8093" s="6" t="s">
        <v>524</v>
      </c>
      <c r="O8093" s="6" t="s">
        <v>233</v>
      </c>
      <c r="P8093" s="58" t="s">
        <v>247</v>
      </c>
      <c r="Q8093" s="6" t="s">
        <v>240</v>
      </c>
      <c r="R8093" s="251">
        <v>1.1459999999999999</v>
      </c>
      <c r="S8093" s="59">
        <v>162792</v>
      </c>
      <c r="T8093" s="4">
        <v>0</v>
      </c>
      <c r="U8093" s="4">
        <f t="shared" si="491"/>
        <v>0</v>
      </c>
      <c r="V8093" s="3" t="s">
        <v>362</v>
      </c>
      <c r="W8093" s="3">
        <v>2014</v>
      </c>
      <c r="X8093" s="3" t="s">
        <v>17399</v>
      </c>
    </row>
    <row r="8094" spans="1:24" ht="89.25">
      <c r="A8094" s="3" t="s">
        <v>18017</v>
      </c>
      <c r="B8094" s="6" t="s">
        <v>361</v>
      </c>
      <c r="C8094" s="6" t="s">
        <v>15915</v>
      </c>
      <c r="D8094" s="6" t="s">
        <v>3887</v>
      </c>
      <c r="E8094" s="6" t="s">
        <v>15916</v>
      </c>
      <c r="F8094" s="6" t="s">
        <v>15481</v>
      </c>
      <c r="G8094" s="3" t="s">
        <v>11450</v>
      </c>
      <c r="H8094" s="54">
        <v>0</v>
      </c>
      <c r="I8094" s="16">
        <v>470000000</v>
      </c>
      <c r="J8094" s="157" t="s">
        <v>229</v>
      </c>
      <c r="K8094" s="5" t="s">
        <v>8950</v>
      </c>
      <c r="L8094" s="17" t="s">
        <v>11411</v>
      </c>
      <c r="M8094" s="3" t="s">
        <v>230</v>
      </c>
      <c r="N8094" s="6" t="s">
        <v>528</v>
      </c>
      <c r="O8094" s="6" t="s">
        <v>233</v>
      </c>
      <c r="P8094" s="58" t="s">
        <v>247</v>
      </c>
      <c r="Q8094" s="6" t="s">
        <v>240</v>
      </c>
      <c r="R8094" s="251">
        <v>1.1459999999999999</v>
      </c>
      <c r="S8094" s="59">
        <v>162792</v>
      </c>
      <c r="T8094" s="4">
        <v>0</v>
      </c>
      <c r="U8094" s="4">
        <f t="shared" si="491"/>
        <v>0</v>
      </c>
      <c r="V8094" s="3" t="s">
        <v>362</v>
      </c>
      <c r="W8094" s="3">
        <v>2014</v>
      </c>
      <c r="X8094" s="3" t="s">
        <v>12076</v>
      </c>
    </row>
    <row r="8095" spans="1:24" ht="89.25">
      <c r="A8095" s="3" t="s">
        <v>16200</v>
      </c>
      <c r="B8095" s="6" t="s">
        <v>361</v>
      </c>
      <c r="C8095" s="6" t="s">
        <v>15915</v>
      </c>
      <c r="D8095" s="6" t="s">
        <v>3887</v>
      </c>
      <c r="E8095" s="6" t="s">
        <v>15916</v>
      </c>
      <c r="F8095" s="6" t="s">
        <v>15482</v>
      </c>
      <c r="G8095" s="3" t="s">
        <v>11449</v>
      </c>
      <c r="H8095" s="54">
        <v>0</v>
      </c>
      <c r="I8095" s="16">
        <v>470000000</v>
      </c>
      <c r="J8095" s="157" t="s">
        <v>229</v>
      </c>
      <c r="K8095" s="5" t="s">
        <v>14754</v>
      </c>
      <c r="L8095" s="17" t="s">
        <v>11411</v>
      </c>
      <c r="M8095" s="3" t="s">
        <v>230</v>
      </c>
      <c r="N8095" s="6" t="s">
        <v>524</v>
      </c>
      <c r="O8095" s="6" t="s">
        <v>233</v>
      </c>
      <c r="P8095" s="58" t="s">
        <v>247</v>
      </c>
      <c r="Q8095" s="6" t="s">
        <v>240</v>
      </c>
      <c r="R8095" s="251">
        <v>6.0149999999999997</v>
      </c>
      <c r="S8095" s="59">
        <v>162792</v>
      </c>
      <c r="T8095" s="4">
        <v>0</v>
      </c>
      <c r="U8095" s="4">
        <f t="shared" si="491"/>
        <v>0</v>
      </c>
      <c r="V8095" s="3" t="s">
        <v>362</v>
      </c>
      <c r="W8095" s="3">
        <v>2014</v>
      </c>
      <c r="X8095" s="3">
        <v>7.11</v>
      </c>
    </row>
    <row r="8096" spans="1:24" ht="89.25">
      <c r="A8096" s="3" t="s">
        <v>18018</v>
      </c>
      <c r="B8096" s="6" t="s">
        <v>361</v>
      </c>
      <c r="C8096" s="6" t="s">
        <v>15915</v>
      </c>
      <c r="D8096" s="6" t="s">
        <v>3887</v>
      </c>
      <c r="E8096" s="6" t="s">
        <v>15916</v>
      </c>
      <c r="F8096" s="6" t="s">
        <v>15482</v>
      </c>
      <c r="G8096" s="3" t="s">
        <v>11450</v>
      </c>
      <c r="H8096" s="54">
        <v>0</v>
      </c>
      <c r="I8096" s="16">
        <v>470000000</v>
      </c>
      <c r="J8096" s="157" t="s">
        <v>229</v>
      </c>
      <c r="K8096" s="5" t="s">
        <v>8950</v>
      </c>
      <c r="L8096" s="17" t="s">
        <v>11411</v>
      </c>
      <c r="M8096" s="3" t="s">
        <v>230</v>
      </c>
      <c r="N8096" s="6" t="s">
        <v>524</v>
      </c>
      <c r="O8096" s="6" t="s">
        <v>233</v>
      </c>
      <c r="P8096" s="58" t="s">
        <v>247</v>
      </c>
      <c r="Q8096" s="6" t="s">
        <v>240</v>
      </c>
      <c r="R8096" s="251">
        <v>6.0149999999999997</v>
      </c>
      <c r="S8096" s="59">
        <v>162792</v>
      </c>
      <c r="T8096" s="4">
        <v>0</v>
      </c>
      <c r="U8096" s="4">
        <f t="shared" si="491"/>
        <v>0</v>
      </c>
      <c r="V8096" s="3" t="s">
        <v>362</v>
      </c>
      <c r="W8096" s="3">
        <v>2014</v>
      </c>
      <c r="X8096" s="3" t="s">
        <v>12076</v>
      </c>
    </row>
    <row r="8097" spans="1:24" ht="89.25">
      <c r="A8097" s="3" t="s">
        <v>16201</v>
      </c>
      <c r="B8097" s="6" t="s">
        <v>361</v>
      </c>
      <c r="C8097" s="6" t="s">
        <v>15915</v>
      </c>
      <c r="D8097" s="6" t="s">
        <v>3887</v>
      </c>
      <c r="E8097" s="6" t="s">
        <v>15916</v>
      </c>
      <c r="F8097" s="6" t="s">
        <v>15483</v>
      </c>
      <c r="G8097" s="3" t="s">
        <v>11449</v>
      </c>
      <c r="H8097" s="54">
        <v>0</v>
      </c>
      <c r="I8097" s="16">
        <v>470000000</v>
      </c>
      <c r="J8097" s="157" t="s">
        <v>229</v>
      </c>
      <c r="K8097" s="5" t="s">
        <v>14754</v>
      </c>
      <c r="L8097" s="17" t="s">
        <v>11411</v>
      </c>
      <c r="M8097" s="3" t="s">
        <v>230</v>
      </c>
      <c r="N8097" s="6" t="s">
        <v>524</v>
      </c>
      <c r="O8097" s="6" t="s">
        <v>233</v>
      </c>
      <c r="P8097" s="58" t="s">
        <v>247</v>
      </c>
      <c r="Q8097" s="6" t="s">
        <v>240</v>
      </c>
      <c r="R8097" s="251">
        <v>0.43</v>
      </c>
      <c r="S8097" s="59">
        <v>162792</v>
      </c>
      <c r="T8097" s="4">
        <v>0</v>
      </c>
      <c r="U8097" s="4">
        <f t="shared" si="491"/>
        <v>0</v>
      </c>
      <c r="V8097" s="3" t="s">
        <v>362</v>
      </c>
      <c r="W8097" s="3">
        <v>2014</v>
      </c>
      <c r="X8097" s="3" t="s">
        <v>17399</v>
      </c>
    </row>
    <row r="8098" spans="1:24" ht="89.25">
      <c r="A8098" s="3" t="s">
        <v>18019</v>
      </c>
      <c r="B8098" s="6" t="s">
        <v>361</v>
      </c>
      <c r="C8098" s="6" t="s">
        <v>15915</v>
      </c>
      <c r="D8098" s="6" t="s">
        <v>3887</v>
      </c>
      <c r="E8098" s="6" t="s">
        <v>15916</v>
      </c>
      <c r="F8098" s="6" t="s">
        <v>15483</v>
      </c>
      <c r="G8098" s="3" t="s">
        <v>11450</v>
      </c>
      <c r="H8098" s="54">
        <v>0</v>
      </c>
      <c r="I8098" s="16">
        <v>470000000</v>
      </c>
      <c r="J8098" s="157" t="s">
        <v>229</v>
      </c>
      <c r="K8098" s="5" t="s">
        <v>8950</v>
      </c>
      <c r="L8098" s="17" t="s">
        <v>11411</v>
      </c>
      <c r="M8098" s="3" t="s">
        <v>230</v>
      </c>
      <c r="N8098" s="6" t="s">
        <v>528</v>
      </c>
      <c r="O8098" s="6" t="s">
        <v>233</v>
      </c>
      <c r="P8098" s="58" t="s">
        <v>247</v>
      </c>
      <c r="Q8098" s="6" t="s">
        <v>240</v>
      </c>
      <c r="R8098" s="251">
        <v>0.43</v>
      </c>
      <c r="S8098" s="59">
        <v>162792</v>
      </c>
      <c r="T8098" s="4">
        <v>0</v>
      </c>
      <c r="U8098" s="4">
        <f t="shared" si="491"/>
        <v>0</v>
      </c>
      <c r="V8098" s="3" t="s">
        <v>362</v>
      </c>
      <c r="W8098" s="3">
        <v>2014</v>
      </c>
      <c r="X8098" s="3" t="s">
        <v>12076</v>
      </c>
    </row>
    <row r="8099" spans="1:24" ht="89.25">
      <c r="A8099" s="3" t="s">
        <v>16202</v>
      </c>
      <c r="B8099" s="6" t="s">
        <v>361</v>
      </c>
      <c r="C8099" s="6" t="s">
        <v>15915</v>
      </c>
      <c r="D8099" s="6" t="s">
        <v>3887</v>
      </c>
      <c r="E8099" s="6" t="s">
        <v>15916</v>
      </c>
      <c r="F8099" s="6" t="s">
        <v>15484</v>
      </c>
      <c r="G8099" s="3" t="s">
        <v>11449</v>
      </c>
      <c r="H8099" s="54">
        <v>0</v>
      </c>
      <c r="I8099" s="16">
        <v>470000000</v>
      </c>
      <c r="J8099" s="157" t="s">
        <v>229</v>
      </c>
      <c r="K8099" s="5" t="s">
        <v>14754</v>
      </c>
      <c r="L8099" s="17" t="s">
        <v>11411</v>
      </c>
      <c r="M8099" s="3" t="s">
        <v>230</v>
      </c>
      <c r="N8099" s="6" t="s">
        <v>524</v>
      </c>
      <c r="O8099" s="6" t="s">
        <v>233</v>
      </c>
      <c r="P8099" s="58" t="s">
        <v>247</v>
      </c>
      <c r="Q8099" s="6" t="s">
        <v>240</v>
      </c>
      <c r="R8099" s="251">
        <v>1.1679999999999999</v>
      </c>
      <c r="S8099" s="59">
        <v>162792</v>
      </c>
      <c r="T8099" s="4">
        <v>0</v>
      </c>
      <c r="U8099" s="4">
        <f t="shared" si="491"/>
        <v>0</v>
      </c>
      <c r="V8099" s="3" t="s">
        <v>362</v>
      </c>
      <c r="W8099" s="3">
        <v>2014</v>
      </c>
      <c r="X8099" s="3" t="s">
        <v>17399</v>
      </c>
    </row>
    <row r="8100" spans="1:24" ht="89.25">
      <c r="A8100" s="3" t="s">
        <v>18020</v>
      </c>
      <c r="B8100" s="6" t="s">
        <v>361</v>
      </c>
      <c r="C8100" s="6" t="s">
        <v>15915</v>
      </c>
      <c r="D8100" s="6" t="s">
        <v>3887</v>
      </c>
      <c r="E8100" s="6" t="s">
        <v>15916</v>
      </c>
      <c r="F8100" s="6" t="s">
        <v>15484</v>
      </c>
      <c r="G8100" s="3" t="s">
        <v>11450</v>
      </c>
      <c r="H8100" s="54">
        <v>0</v>
      </c>
      <c r="I8100" s="16">
        <v>470000000</v>
      </c>
      <c r="J8100" s="157" t="s">
        <v>229</v>
      </c>
      <c r="K8100" s="5" t="s">
        <v>8950</v>
      </c>
      <c r="L8100" s="17" t="s">
        <v>11411</v>
      </c>
      <c r="M8100" s="3" t="s">
        <v>230</v>
      </c>
      <c r="N8100" s="6" t="s">
        <v>528</v>
      </c>
      <c r="O8100" s="6" t="s">
        <v>233</v>
      </c>
      <c r="P8100" s="58" t="s">
        <v>247</v>
      </c>
      <c r="Q8100" s="6" t="s">
        <v>240</v>
      </c>
      <c r="R8100" s="251">
        <v>1.1679999999999999</v>
      </c>
      <c r="S8100" s="59">
        <v>162792</v>
      </c>
      <c r="T8100" s="4">
        <v>0</v>
      </c>
      <c r="U8100" s="4">
        <f t="shared" si="491"/>
        <v>0</v>
      </c>
      <c r="V8100" s="3" t="s">
        <v>362</v>
      </c>
      <c r="W8100" s="3">
        <v>2014</v>
      </c>
      <c r="X8100" s="3" t="s">
        <v>12076</v>
      </c>
    </row>
    <row r="8101" spans="1:24" ht="89.25">
      <c r="A8101" s="3" t="s">
        <v>16203</v>
      </c>
      <c r="B8101" s="6" t="s">
        <v>361</v>
      </c>
      <c r="C8101" s="6" t="s">
        <v>15915</v>
      </c>
      <c r="D8101" s="6" t="s">
        <v>3887</v>
      </c>
      <c r="E8101" s="6" t="s">
        <v>15916</v>
      </c>
      <c r="F8101" s="6" t="s">
        <v>15485</v>
      </c>
      <c r="G8101" s="3" t="s">
        <v>11449</v>
      </c>
      <c r="H8101" s="54">
        <v>0</v>
      </c>
      <c r="I8101" s="16">
        <v>470000000</v>
      </c>
      <c r="J8101" s="157" t="s">
        <v>229</v>
      </c>
      <c r="K8101" s="5" t="s">
        <v>14754</v>
      </c>
      <c r="L8101" s="17" t="s">
        <v>11411</v>
      </c>
      <c r="M8101" s="3" t="s">
        <v>230</v>
      </c>
      <c r="N8101" s="6" t="s">
        <v>524</v>
      </c>
      <c r="O8101" s="6" t="s">
        <v>233</v>
      </c>
      <c r="P8101" s="58" t="s">
        <v>247</v>
      </c>
      <c r="Q8101" s="6" t="s">
        <v>240</v>
      </c>
      <c r="R8101" s="251">
        <v>4.8</v>
      </c>
      <c r="S8101" s="59">
        <v>162792</v>
      </c>
      <c r="T8101" s="4">
        <v>0</v>
      </c>
      <c r="U8101" s="4">
        <f t="shared" si="491"/>
        <v>0</v>
      </c>
      <c r="V8101" s="3" t="s">
        <v>362</v>
      </c>
      <c r="W8101" s="3">
        <v>2014</v>
      </c>
      <c r="X8101" s="3" t="s">
        <v>17399</v>
      </c>
    </row>
    <row r="8102" spans="1:24" ht="89.25">
      <c r="A8102" s="3" t="s">
        <v>18021</v>
      </c>
      <c r="B8102" s="6" t="s">
        <v>361</v>
      </c>
      <c r="C8102" s="6" t="s">
        <v>15915</v>
      </c>
      <c r="D8102" s="6" t="s">
        <v>3887</v>
      </c>
      <c r="E8102" s="6" t="s">
        <v>15916</v>
      </c>
      <c r="F8102" s="6" t="s">
        <v>15485</v>
      </c>
      <c r="G8102" s="3" t="s">
        <v>11450</v>
      </c>
      <c r="H8102" s="54">
        <v>0</v>
      </c>
      <c r="I8102" s="16">
        <v>470000000</v>
      </c>
      <c r="J8102" s="157" t="s">
        <v>229</v>
      </c>
      <c r="K8102" s="5" t="s">
        <v>8950</v>
      </c>
      <c r="L8102" s="17" t="s">
        <v>11411</v>
      </c>
      <c r="M8102" s="3" t="s">
        <v>230</v>
      </c>
      <c r="N8102" s="6" t="s">
        <v>528</v>
      </c>
      <c r="O8102" s="6" t="s">
        <v>233</v>
      </c>
      <c r="P8102" s="58" t="s">
        <v>247</v>
      </c>
      <c r="Q8102" s="6" t="s">
        <v>240</v>
      </c>
      <c r="R8102" s="251">
        <v>4.8</v>
      </c>
      <c r="S8102" s="59">
        <v>162792</v>
      </c>
      <c r="T8102" s="4">
        <v>0</v>
      </c>
      <c r="U8102" s="4">
        <f t="shared" si="491"/>
        <v>0</v>
      </c>
      <c r="V8102" s="3" t="s">
        <v>362</v>
      </c>
      <c r="W8102" s="3">
        <v>2014</v>
      </c>
      <c r="X8102" s="3" t="s">
        <v>12076</v>
      </c>
    </row>
    <row r="8103" spans="1:24" ht="89.25">
      <c r="A8103" s="3" t="s">
        <v>16204</v>
      </c>
      <c r="B8103" s="6" t="s">
        <v>361</v>
      </c>
      <c r="C8103" s="6" t="s">
        <v>15486</v>
      </c>
      <c r="D8103" s="6" t="s">
        <v>3891</v>
      </c>
      <c r="E8103" s="6" t="s">
        <v>15487</v>
      </c>
      <c r="F8103" s="6" t="s">
        <v>15488</v>
      </c>
      <c r="G8103" s="3" t="s">
        <v>11449</v>
      </c>
      <c r="H8103" s="54">
        <v>0</v>
      </c>
      <c r="I8103" s="16">
        <v>470000000</v>
      </c>
      <c r="J8103" s="157" t="s">
        <v>229</v>
      </c>
      <c r="K8103" s="5" t="s">
        <v>14764</v>
      </c>
      <c r="L8103" s="17" t="s">
        <v>11411</v>
      </c>
      <c r="M8103" s="3" t="s">
        <v>230</v>
      </c>
      <c r="N8103" s="6" t="s">
        <v>524</v>
      </c>
      <c r="O8103" s="6" t="s">
        <v>233</v>
      </c>
      <c r="P8103" s="58" t="s">
        <v>247</v>
      </c>
      <c r="Q8103" s="6" t="s">
        <v>240</v>
      </c>
      <c r="R8103" s="136">
        <v>0.72</v>
      </c>
      <c r="S8103" s="2">
        <v>157062</v>
      </c>
      <c r="T8103" s="4">
        <v>0</v>
      </c>
      <c r="U8103" s="4">
        <f t="shared" si="491"/>
        <v>0</v>
      </c>
      <c r="V8103" s="3" t="s">
        <v>362</v>
      </c>
      <c r="W8103" s="3">
        <v>2014</v>
      </c>
      <c r="X8103" s="3" t="s">
        <v>17399</v>
      </c>
    </row>
    <row r="8104" spans="1:24" ht="89.25">
      <c r="A8104" s="3" t="s">
        <v>18022</v>
      </c>
      <c r="B8104" s="6" t="s">
        <v>361</v>
      </c>
      <c r="C8104" s="6" t="s">
        <v>15486</v>
      </c>
      <c r="D8104" s="6" t="s">
        <v>3891</v>
      </c>
      <c r="E8104" s="6" t="s">
        <v>15487</v>
      </c>
      <c r="F8104" s="6" t="s">
        <v>15488</v>
      </c>
      <c r="G8104" s="3" t="s">
        <v>11450</v>
      </c>
      <c r="H8104" s="54">
        <v>0</v>
      </c>
      <c r="I8104" s="16">
        <v>470000000</v>
      </c>
      <c r="J8104" s="157" t="s">
        <v>229</v>
      </c>
      <c r="K8104" s="5" t="s">
        <v>8950</v>
      </c>
      <c r="L8104" s="17" t="s">
        <v>11411</v>
      </c>
      <c r="M8104" s="3" t="s">
        <v>230</v>
      </c>
      <c r="N8104" s="6" t="s">
        <v>528</v>
      </c>
      <c r="O8104" s="6" t="s">
        <v>233</v>
      </c>
      <c r="P8104" s="58" t="s">
        <v>247</v>
      </c>
      <c r="Q8104" s="6" t="s">
        <v>240</v>
      </c>
      <c r="R8104" s="136">
        <v>0.72</v>
      </c>
      <c r="S8104" s="2">
        <v>157062</v>
      </c>
      <c r="T8104" s="4">
        <v>0</v>
      </c>
      <c r="U8104" s="4">
        <f t="shared" si="491"/>
        <v>0</v>
      </c>
      <c r="V8104" s="3" t="s">
        <v>362</v>
      </c>
      <c r="W8104" s="3">
        <v>2014</v>
      </c>
      <c r="X8104" s="3" t="s">
        <v>12076</v>
      </c>
    </row>
    <row r="8105" spans="1:24" ht="89.25">
      <c r="A8105" s="3" t="s">
        <v>16205</v>
      </c>
      <c r="B8105" s="6" t="s">
        <v>361</v>
      </c>
      <c r="C8105" s="6" t="s">
        <v>15489</v>
      </c>
      <c r="D8105" s="6" t="s">
        <v>3891</v>
      </c>
      <c r="E8105" s="6" t="s">
        <v>15490</v>
      </c>
      <c r="F8105" s="6" t="s">
        <v>15491</v>
      </c>
      <c r="G8105" s="3" t="s">
        <v>11449</v>
      </c>
      <c r="H8105" s="54">
        <v>0</v>
      </c>
      <c r="I8105" s="16">
        <v>470000000</v>
      </c>
      <c r="J8105" s="157" t="s">
        <v>229</v>
      </c>
      <c r="K8105" s="5" t="s">
        <v>14764</v>
      </c>
      <c r="L8105" s="17" t="s">
        <v>11411</v>
      </c>
      <c r="M8105" s="3" t="s">
        <v>230</v>
      </c>
      <c r="N8105" s="6" t="s">
        <v>524</v>
      </c>
      <c r="O8105" s="6" t="s">
        <v>233</v>
      </c>
      <c r="P8105" s="58" t="s">
        <v>247</v>
      </c>
      <c r="Q8105" s="6" t="s">
        <v>240</v>
      </c>
      <c r="R8105" s="251">
        <v>0.184</v>
      </c>
      <c r="S8105" s="59">
        <v>157062</v>
      </c>
      <c r="T8105" s="4">
        <v>0</v>
      </c>
      <c r="U8105" s="4">
        <f t="shared" si="491"/>
        <v>0</v>
      </c>
      <c r="V8105" s="3" t="s">
        <v>362</v>
      </c>
      <c r="W8105" s="3">
        <v>2014</v>
      </c>
      <c r="X8105" s="3" t="s">
        <v>17399</v>
      </c>
    </row>
    <row r="8106" spans="1:24" ht="89.25">
      <c r="A8106" s="3" t="s">
        <v>18023</v>
      </c>
      <c r="B8106" s="6" t="s">
        <v>361</v>
      </c>
      <c r="C8106" s="6" t="s">
        <v>15489</v>
      </c>
      <c r="D8106" s="6" t="s">
        <v>3891</v>
      </c>
      <c r="E8106" s="6" t="s">
        <v>15490</v>
      </c>
      <c r="F8106" s="6" t="s">
        <v>15491</v>
      </c>
      <c r="G8106" s="3" t="s">
        <v>11450</v>
      </c>
      <c r="H8106" s="54">
        <v>0</v>
      </c>
      <c r="I8106" s="16">
        <v>470000000</v>
      </c>
      <c r="J8106" s="157" t="s">
        <v>229</v>
      </c>
      <c r="K8106" s="5" t="s">
        <v>8950</v>
      </c>
      <c r="L8106" s="17" t="s">
        <v>11411</v>
      </c>
      <c r="M8106" s="3" t="s">
        <v>230</v>
      </c>
      <c r="N8106" s="6" t="s">
        <v>528</v>
      </c>
      <c r="O8106" s="6" t="s">
        <v>233</v>
      </c>
      <c r="P8106" s="58" t="s">
        <v>247</v>
      </c>
      <c r="Q8106" s="6" t="s">
        <v>240</v>
      </c>
      <c r="R8106" s="251">
        <v>0.184</v>
      </c>
      <c r="S8106" s="59">
        <v>157062</v>
      </c>
      <c r="T8106" s="4">
        <v>0</v>
      </c>
      <c r="U8106" s="4">
        <f t="shared" si="491"/>
        <v>0</v>
      </c>
      <c r="V8106" s="3" t="s">
        <v>362</v>
      </c>
      <c r="W8106" s="3">
        <v>2014</v>
      </c>
      <c r="X8106" s="3" t="s">
        <v>12076</v>
      </c>
    </row>
    <row r="8107" spans="1:24" ht="89.25">
      <c r="A8107" s="3" t="s">
        <v>16206</v>
      </c>
      <c r="B8107" s="6" t="s">
        <v>361</v>
      </c>
      <c r="C8107" s="6" t="s">
        <v>3903</v>
      </c>
      <c r="D8107" s="6" t="s">
        <v>3891</v>
      </c>
      <c r="E8107" s="6" t="s">
        <v>3904</v>
      </c>
      <c r="F8107" s="6" t="s">
        <v>15492</v>
      </c>
      <c r="G8107" s="3" t="s">
        <v>11449</v>
      </c>
      <c r="H8107" s="54">
        <v>0</v>
      </c>
      <c r="I8107" s="16">
        <v>470000000</v>
      </c>
      <c r="J8107" s="157" t="s">
        <v>229</v>
      </c>
      <c r="K8107" s="5" t="s">
        <v>14764</v>
      </c>
      <c r="L8107" s="17" t="s">
        <v>11411</v>
      </c>
      <c r="M8107" s="3" t="s">
        <v>230</v>
      </c>
      <c r="N8107" s="6" t="s">
        <v>524</v>
      </c>
      <c r="O8107" s="6" t="s">
        <v>233</v>
      </c>
      <c r="P8107" s="58" t="s">
        <v>247</v>
      </c>
      <c r="Q8107" s="6" t="s">
        <v>240</v>
      </c>
      <c r="R8107" s="251">
        <v>0.85</v>
      </c>
      <c r="S8107" s="59">
        <v>144450</v>
      </c>
      <c r="T8107" s="4">
        <v>0</v>
      </c>
      <c r="U8107" s="4">
        <f t="shared" si="491"/>
        <v>0</v>
      </c>
      <c r="V8107" s="3" t="s">
        <v>362</v>
      </c>
      <c r="W8107" s="3">
        <v>2014</v>
      </c>
      <c r="X8107" s="3" t="s">
        <v>17399</v>
      </c>
    </row>
    <row r="8108" spans="1:24" ht="89.25">
      <c r="A8108" s="3" t="s">
        <v>18024</v>
      </c>
      <c r="B8108" s="6" t="s">
        <v>361</v>
      </c>
      <c r="C8108" s="6" t="s">
        <v>3903</v>
      </c>
      <c r="D8108" s="6" t="s">
        <v>3891</v>
      </c>
      <c r="E8108" s="6" t="s">
        <v>3904</v>
      </c>
      <c r="F8108" s="6" t="s">
        <v>15492</v>
      </c>
      <c r="G8108" s="3" t="s">
        <v>11450</v>
      </c>
      <c r="H8108" s="54">
        <v>0</v>
      </c>
      <c r="I8108" s="16">
        <v>470000000</v>
      </c>
      <c r="J8108" s="157" t="s">
        <v>229</v>
      </c>
      <c r="K8108" s="5" t="s">
        <v>8950</v>
      </c>
      <c r="L8108" s="17" t="s">
        <v>11411</v>
      </c>
      <c r="M8108" s="3" t="s">
        <v>230</v>
      </c>
      <c r="N8108" s="6" t="s">
        <v>528</v>
      </c>
      <c r="O8108" s="6" t="s">
        <v>233</v>
      </c>
      <c r="P8108" s="58" t="s">
        <v>247</v>
      </c>
      <c r="Q8108" s="6" t="s">
        <v>240</v>
      </c>
      <c r="R8108" s="251">
        <v>0.85</v>
      </c>
      <c r="S8108" s="59">
        <v>144450</v>
      </c>
      <c r="T8108" s="4">
        <v>0</v>
      </c>
      <c r="U8108" s="4">
        <f t="shared" si="491"/>
        <v>0</v>
      </c>
      <c r="V8108" s="3" t="s">
        <v>362</v>
      </c>
      <c r="W8108" s="3">
        <v>2014</v>
      </c>
      <c r="X8108" s="3" t="s">
        <v>12076</v>
      </c>
    </row>
    <row r="8109" spans="1:24" ht="89.25">
      <c r="A8109" s="3" t="s">
        <v>16207</v>
      </c>
      <c r="B8109" s="6" t="s">
        <v>361</v>
      </c>
      <c r="C8109" s="6" t="s">
        <v>3911</v>
      </c>
      <c r="D8109" s="6" t="s">
        <v>3912</v>
      </c>
      <c r="E8109" s="6" t="s">
        <v>3913</v>
      </c>
      <c r="F8109" s="6" t="s">
        <v>15493</v>
      </c>
      <c r="G8109" s="3" t="s">
        <v>11449</v>
      </c>
      <c r="H8109" s="54">
        <v>0</v>
      </c>
      <c r="I8109" s="16">
        <v>470000000</v>
      </c>
      <c r="J8109" s="157" t="s">
        <v>229</v>
      </c>
      <c r="K8109" s="5" t="s">
        <v>14750</v>
      </c>
      <c r="L8109" s="17" t="s">
        <v>11411</v>
      </c>
      <c r="M8109" s="3" t="s">
        <v>230</v>
      </c>
      <c r="N8109" s="6" t="s">
        <v>524</v>
      </c>
      <c r="O8109" s="6" t="s">
        <v>233</v>
      </c>
      <c r="P8109" s="58" t="s">
        <v>247</v>
      </c>
      <c r="Q8109" s="6" t="s">
        <v>240</v>
      </c>
      <c r="R8109" s="136">
        <v>3.7200240000000004</v>
      </c>
      <c r="S8109" s="2">
        <v>154770</v>
      </c>
      <c r="T8109" s="4">
        <v>0</v>
      </c>
      <c r="U8109" s="4">
        <f t="shared" si="491"/>
        <v>0</v>
      </c>
      <c r="V8109" s="3" t="s">
        <v>362</v>
      </c>
      <c r="W8109" s="3">
        <v>2014</v>
      </c>
      <c r="X8109" s="3" t="s">
        <v>17399</v>
      </c>
    </row>
    <row r="8110" spans="1:24" ht="89.25">
      <c r="A8110" s="3" t="s">
        <v>18025</v>
      </c>
      <c r="B8110" s="6" t="s">
        <v>361</v>
      </c>
      <c r="C8110" s="6" t="s">
        <v>3911</v>
      </c>
      <c r="D8110" s="6" t="s">
        <v>3912</v>
      </c>
      <c r="E8110" s="6" t="s">
        <v>3913</v>
      </c>
      <c r="F8110" s="6" t="s">
        <v>15493</v>
      </c>
      <c r="G8110" s="3" t="s">
        <v>11450</v>
      </c>
      <c r="H8110" s="54">
        <v>0</v>
      </c>
      <c r="I8110" s="16">
        <v>470000000</v>
      </c>
      <c r="J8110" s="157" t="s">
        <v>229</v>
      </c>
      <c r="K8110" s="5" t="s">
        <v>8950</v>
      </c>
      <c r="L8110" s="17" t="s">
        <v>11411</v>
      </c>
      <c r="M8110" s="3" t="s">
        <v>230</v>
      </c>
      <c r="N8110" s="6" t="s">
        <v>528</v>
      </c>
      <c r="O8110" s="6" t="s">
        <v>233</v>
      </c>
      <c r="P8110" s="58" t="s">
        <v>247</v>
      </c>
      <c r="Q8110" s="6" t="s">
        <v>240</v>
      </c>
      <c r="R8110" s="136">
        <v>3.7200240000000004</v>
      </c>
      <c r="S8110" s="2">
        <v>154770</v>
      </c>
      <c r="T8110" s="4">
        <v>0</v>
      </c>
      <c r="U8110" s="4">
        <f t="shared" si="491"/>
        <v>0</v>
      </c>
      <c r="V8110" s="3" t="s">
        <v>362</v>
      </c>
      <c r="W8110" s="3">
        <v>2014</v>
      </c>
      <c r="X8110" s="3" t="s">
        <v>12076</v>
      </c>
    </row>
    <row r="8111" spans="1:24" ht="89.25">
      <c r="A8111" s="3" t="s">
        <v>16208</v>
      </c>
      <c r="B8111" s="6" t="s">
        <v>361</v>
      </c>
      <c r="C8111" s="6" t="s">
        <v>3914</v>
      </c>
      <c r="D8111" s="6" t="s">
        <v>3915</v>
      </c>
      <c r="E8111" s="6" t="s">
        <v>3916</v>
      </c>
      <c r="F8111" s="6" t="s">
        <v>18027</v>
      </c>
      <c r="G8111" s="3" t="s">
        <v>11449</v>
      </c>
      <c r="H8111" s="54">
        <v>0</v>
      </c>
      <c r="I8111" s="16">
        <v>470000000</v>
      </c>
      <c r="J8111" s="157" t="s">
        <v>229</v>
      </c>
      <c r="K8111" s="5" t="s">
        <v>14777</v>
      </c>
      <c r="L8111" s="17" t="s">
        <v>11411</v>
      </c>
      <c r="M8111" s="3" t="s">
        <v>230</v>
      </c>
      <c r="N8111" s="6" t="s">
        <v>524</v>
      </c>
      <c r="O8111" s="6" t="s">
        <v>233</v>
      </c>
      <c r="P8111" s="58" t="s">
        <v>247</v>
      </c>
      <c r="Q8111" s="6" t="s">
        <v>240</v>
      </c>
      <c r="R8111" s="136">
        <v>15.563000000000002</v>
      </c>
      <c r="S8111" s="2">
        <v>175404</v>
      </c>
      <c r="T8111" s="4">
        <v>0</v>
      </c>
      <c r="U8111" s="4">
        <f t="shared" si="491"/>
        <v>0</v>
      </c>
      <c r="V8111" s="3" t="s">
        <v>362</v>
      </c>
      <c r="W8111" s="3">
        <v>2014</v>
      </c>
      <c r="X8111" s="3">
        <v>7.11</v>
      </c>
    </row>
    <row r="8112" spans="1:24" ht="89.25">
      <c r="A8112" s="3" t="s">
        <v>18026</v>
      </c>
      <c r="B8112" s="6" t="s">
        <v>361</v>
      </c>
      <c r="C8112" s="6" t="s">
        <v>3914</v>
      </c>
      <c r="D8112" s="6" t="s">
        <v>3915</v>
      </c>
      <c r="E8112" s="6" t="s">
        <v>3916</v>
      </c>
      <c r="F8112" s="6" t="s">
        <v>18027</v>
      </c>
      <c r="G8112" s="3" t="s">
        <v>11450</v>
      </c>
      <c r="H8112" s="54">
        <v>0</v>
      </c>
      <c r="I8112" s="16">
        <v>470000000</v>
      </c>
      <c r="J8112" s="157" t="s">
        <v>229</v>
      </c>
      <c r="K8112" s="5" t="s">
        <v>8950</v>
      </c>
      <c r="L8112" s="17" t="s">
        <v>11411</v>
      </c>
      <c r="M8112" s="3" t="s">
        <v>230</v>
      </c>
      <c r="N8112" s="6" t="s">
        <v>524</v>
      </c>
      <c r="O8112" s="6" t="s">
        <v>233</v>
      </c>
      <c r="P8112" s="58" t="s">
        <v>247</v>
      </c>
      <c r="Q8112" s="6" t="s">
        <v>240</v>
      </c>
      <c r="R8112" s="136">
        <v>15.563000000000002</v>
      </c>
      <c r="S8112" s="2">
        <v>175404</v>
      </c>
      <c r="T8112" s="4">
        <f t="shared" ref="T8112" si="498">R8112*S8112</f>
        <v>2729812.4520000005</v>
      </c>
      <c r="U8112" s="4">
        <f t="shared" si="491"/>
        <v>3057389.9462400009</v>
      </c>
      <c r="V8112" s="3" t="s">
        <v>362</v>
      </c>
      <c r="W8112" s="3">
        <v>2014</v>
      </c>
      <c r="X8112" s="158"/>
    </row>
    <row r="8113" spans="1:24" ht="89.25">
      <c r="A8113" s="3" t="s">
        <v>16209</v>
      </c>
      <c r="B8113" s="6" t="s">
        <v>361</v>
      </c>
      <c r="C8113" s="6" t="s">
        <v>15494</v>
      </c>
      <c r="D8113" s="6" t="s">
        <v>3912</v>
      </c>
      <c r="E8113" s="6" t="s">
        <v>15495</v>
      </c>
      <c r="F8113" s="6" t="s">
        <v>15496</v>
      </c>
      <c r="G8113" s="3" t="s">
        <v>11449</v>
      </c>
      <c r="H8113" s="54">
        <v>0</v>
      </c>
      <c r="I8113" s="16">
        <v>470000000</v>
      </c>
      <c r="J8113" s="157" t="s">
        <v>229</v>
      </c>
      <c r="K8113" s="5" t="s">
        <v>14777</v>
      </c>
      <c r="L8113" s="17" t="s">
        <v>11411</v>
      </c>
      <c r="M8113" s="3" t="s">
        <v>230</v>
      </c>
      <c r="N8113" s="6" t="s">
        <v>524</v>
      </c>
      <c r="O8113" s="6" t="s">
        <v>233</v>
      </c>
      <c r="P8113" s="58" t="s">
        <v>247</v>
      </c>
      <c r="Q8113" s="6" t="s">
        <v>240</v>
      </c>
      <c r="R8113" s="136">
        <v>0.54900000000000004</v>
      </c>
      <c r="S8113" s="2">
        <v>175404</v>
      </c>
      <c r="T8113" s="4">
        <v>0</v>
      </c>
      <c r="U8113" s="4">
        <f t="shared" si="491"/>
        <v>0</v>
      </c>
      <c r="V8113" s="3" t="s">
        <v>362</v>
      </c>
      <c r="W8113" s="3">
        <v>2014</v>
      </c>
      <c r="X8113" s="3" t="s">
        <v>17399</v>
      </c>
    </row>
    <row r="8114" spans="1:24" ht="89.25">
      <c r="A8114" s="3" t="s">
        <v>18028</v>
      </c>
      <c r="B8114" s="6" t="s">
        <v>361</v>
      </c>
      <c r="C8114" s="6" t="s">
        <v>15494</v>
      </c>
      <c r="D8114" s="6" t="s">
        <v>3912</v>
      </c>
      <c r="E8114" s="6" t="s">
        <v>15495</v>
      </c>
      <c r="F8114" s="6" t="s">
        <v>15496</v>
      </c>
      <c r="G8114" s="3" t="s">
        <v>11450</v>
      </c>
      <c r="H8114" s="54">
        <v>0</v>
      </c>
      <c r="I8114" s="16">
        <v>470000000</v>
      </c>
      <c r="J8114" s="157" t="s">
        <v>229</v>
      </c>
      <c r="K8114" s="5" t="s">
        <v>16428</v>
      </c>
      <c r="L8114" s="17" t="s">
        <v>11411</v>
      </c>
      <c r="M8114" s="3" t="s">
        <v>230</v>
      </c>
      <c r="N8114" s="6" t="s">
        <v>528</v>
      </c>
      <c r="O8114" s="6" t="s">
        <v>233</v>
      </c>
      <c r="P8114" s="58" t="s">
        <v>247</v>
      </c>
      <c r="Q8114" s="6" t="s">
        <v>240</v>
      </c>
      <c r="R8114" s="136">
        <v>0.54900000000000004</v>
      </c>
      <c r="S8114" s="2">
        <v>175404</v>
      </c>
      <c r="T8114" s="4">
        <v>0</v>
      </c>
      <c r="U8114" s="4">
        <f t="shared" si="491"/>
        <v>0</v>
      </c>
      <c r="V8114" s="3" t="s">
        <v>362</v>
      </c>
      <c r="W8114" s="3">
        <v>2014</v>
      </c>
      <c r="X8114" s="3" t="s">
        <v>12076</v>
      </c>
    </row>
    <row r="8115" spans="1:24" ht="89.25">
      <c r="A8115" s="3" t="s">
        <v>16210</v>
      </c>
      <c r="B8115" s="6" t="s">
        <v>361</v>
      </c>
      <c r="C8115" s="6" t="s">
        <v>3917</v>
      </c>
      <c r="D8115" s="6" t="s">
        <v>3891</v>
      </c>
      <c r="E8115" s="6" t="s">
        <v>3918</v>
      </c>
      <c r="F8115" s="6" t="s">
        <v>15497</v>
      </c>
      <c r="G8115" s="3" t="s">
        <v>11449</v>
      </c>
      <c r="H8115" s="54">
        <v>0</v>
      </c>
      <c r="I8115" s="16">
        <v>470000000</v>
      </c>
      <c r="J8115" s="157" t="s">
        <v>229</v>
      </c>
      <c r="K8115" s="5" t="s">
        <v>14777</v>
      </c>
      <c r="L8115" s="17" t="s">
        <v>11411</v>
      </c>
      <c r="M8115" s="3" t="s">
        <v>230</v>
      </c>
      <c r="N8115" s="6" t="s">
        <v>524</v>
      </c>
      <c r="O8115" s="6" t="s">
        <v>233</v>
      </c>
      <c r="P8115" s="58" t="s">
        <v>247</v>
      </c>
      <c r="Q8115" s="6" t="s">
        <v>240</v>
      </c>
      <c r="R8115" s="136">
        <v>50.7821</v>
      </c>
      <c r="S8115" s="2">
        <v>200628</v>
      </c>
      <c r="T8115" s="4">
        <v>0</v>
      </c>
      <c r="U8115" s="4">
        <f t="shared" si="491"/>
        <v>0</v>
      </c>
      <c r="V8115" s="3" t="s">
        <v>362</v>
      </c>
      <c r="W8115" s="3">
        <v>2014</v>
      </c>
      <c r="X8115" s="3">
        <v>7.11</v>
      </c>
    </row>
    <row r="8116" spans="1:24" ht="89.25">
      <c r="A8116" s="3" t="s">
        <v>18029</v>
      </c>
      <c r="B8116" s="6" t="s">
        <v>361</v>
      </c>
      <c r="C8116" s="6" t="s">
        <v>3917</v>
      </c>
      <c r="D8116" s="6" t="s">
        <v>3891</v>
      </c>
      <c r="E8116" s="6" t="s">
        <v>3918</v>
      </c>
      <c r="F8116" s="6" t="s">
        <v>15497</v>
      </c>
      <c r="G8116" s="3" t="s">
        <v>11449</v>
      </c>
      <c r="H8116" s="54">
        <v>0</v>
      </c>
      <c r="I8116" s="16">
        <v>470000000</v>
      </c>
      <c r="J8116" s="157" t="s">
        <v>229</v>
      </c>
      <c r="K8116" s="5" t="s">
        <v>8950</v>
      </c>
      <c r="L8116" s="17" t="s">
        <v>11411</v>
      </c>
      <c r="M8116" s="3" t="s">
        <v>230</v>
      </c>
      <c r="N8116" s="6" t="s">
        <v>524</v>
      </c>
      <c r="O8116" s="6" t="s">
        <v>233</v>
      </c>
      <c r="P8116" s="58" t="s">
        <v>247</v>
      </c>
      <c r="Q8116" s="6" t="s">
        <v>240</v>
      </c>
      <c r="R8116" s="136">
        <v>50.7821</v>
      </c>
      <c r="S8116" s="2">
        <v>200628</v>
      </c>
      <c r="T8116" s="4">
        <v>0</v>
      </c>
      <c r="U8116" s="4">
        <f t="shared" si="491"/>
        <v>0</v>
      </c>
      <c r="V8116" s="3" t="s">
        <v>362</v>
      </c>
      <c r="W8116" s="3">
        <v>2014</v>
      </c>
      <c r="X8116" s="3" t="s">
        <v>12076</v>
      </c>
    </row>
    <row r="8117" spans="1:24" ht="89.25">
      <c r="A8117" s="3" t="s">
        <v>16211</v>
      </c>
      <c r="B8117" s="6" t="s">
        <v>361</v>
      </c>
      <c r="C8117" s="6" t="s">
        <v>3917</v>
      </c>
      <c r="D8117" s="6" t="s">
        <v>3891</v>
      </c>
      <c r="E8117" s="6" t="s">
        <v>3918</v>
      </c>
      <c r="F8117" s="6" t="s">
        <v>15498</v>
      </c>
      <c r="G8117" s="3" t="s">
        <v>11449</v>
      </c>
      <c r="H8117" s="54">
        <v>0</v>
      </c>
      <c r="I8117" s="16">
        <v>470000000</v>
      </c>
      <c r="J8117" s="157" t="s">
        <v>229</v>
      </c>
      <c r="K8117" s="5" t="s">
        <v>14777</v>
      </c>
      <c r="L8117" s="17" t="s">
        <v>11411</v>
      </c>
      <c r="M8117" s="3" t="s">
        <v>230</v>
      </c>
      <c r="N8117" s="6" t="s">
        <v>524</v>
      </c>
      <c r="O8117" s="6" t="s">
        <v>233</v>
      </c>
      <c r="P8117" s="58" t="s">
        <v>247</v>
      </c>
      <c r="Q8117" s="6" t="s">
        <v>240</v>
      </c>
      <c r="R8117" s="136">
        <v>0.107</v>
      </c>
      <c r="S8117" s="2">
        <v>225370</v>
      </c>
      <c r="T8117" s="4">
        <v>0</v>
      </c>
      <c r="U8117" s="4">
        <f t="shared" si="491"/>
        <v>0</v>
      </c>
      <c r="V8117" s="3" t="s">
        <v>362</v>
      </c>
      <c r="W8117" s="3">
        <v>2014</v>
      </c>
      <c r="X8117" s="3" t="s">
        <v>17399</v>
      </c>
    </row>
    <row r="8118" spans="1:24" ht="89.25">
      <c r="A8118" s="3" t="s">
        <v>18030</v>
      </c>
      <c r="B8118" s="6" t="s">
        <v>361</v>
      </c>
      <c r="C8118" s="6" t="s">
        <v>3917</v>
      </c>
      <c r="D8118" s="6" t="s">
        <v>3891</v>
      </c>
      <c r="E8118" s="6" t="s">
        <v>3918</v>
      </c>
      <c r="F8118" s="6" t="s">
        <v>15498</v>
      </c>
      <c r="G8118" s="3" t="s">
        <v>11450</v>
      </c>
      <c r="H8118" s="54">
        <v>0</v>
      </c>
      <c r="I8118" s="16">
        <v>470000000</v>
      </c>
      <c r="J8118" s="157" t="s">
        <v>229</v>
      </c>
      <c r="K8118" s="5" t="s">
        <v>8950</v>
      </c>
      <c r="L8118" s="17" t="s">
        <v>11411</v>
      </c>
      <c r="M8118" s="3" t="s">
        <v>230</v>
      </c>
      <c r="N8118" s="6" t="s">
        <v>528</v>
      </c>
      <c r="O8118" s="6" t="s">
        <v>233</v>
      </c>
      <c r="P8118" s="58" t="s">
        <v>247</v>
      </c>
      <c r="Q8118" s="6" t="s">
        <v>240</v>
      </c>
      <c r="R8118" s="136">
        <v>0.107</v>
      </c>
      <c r="S8118" s="2">
        <v>225370</v>
      </c>
      <c r="T8118" s="4">
        <v>0</v>
      </c>
      <c r="U8118" s="4">
        <f t="shared" si="491"/>
        <v>0</v>
      </c>
      <c r="V8118" s="3" t="s">
        <v>362</v>
      </c>
      <c r="W8118" s="3">
        <v>2014</v>
      </c>
      <c r="X8118" s="3" t="s">
        <v>12076</v>
      </c>
    </row>
    <row r="8119" spans="1:24" ht="89.25">
      <c r="A8119" s="3" t="s">
        <v>16212</v>
      </c>
      <c r="B8119" s="6" t="s">
        <v>361</v>
      </c>
      <c r="C8119" s="6" t="s">
        <v>3917</v>
      </c>
      <c r="D8119" s="6" t="s">
        <v>3891</v>
      </c>
      <c r="E8119" s="6" t="s">
        <v>3918</v>
      </c>
      <c r="F8119" s="6" t="s">
        <v>15499</v>
      </c>
      <c r="G8119" s="3" t="s">
        <v>11449</v>
      </c>
      <c r="H8119" s="54">
        <v>0</v>
      </c>
      <c r="I8119" s="16">
        <v>470000000</v>
      </c>
      <c r="J8119" s="157" t="s">
        <v>229</v>
      </c>
      <c r="K8119" s="5" t="s">
        <v>14777</v>
      </c>
      <c r="L8119" s="17" t="s">
        <v>11411</v>
      </c>
      <c r="M8119" s="3" t="s">
        <v>230</v>
      </c>
      <c r="N8119" s="6" t="s">
        <v>524</v>
      </c>
      <c r="O8119" s="6" t="s">
        <v>233</v>
      </c>
      <c r="P8119" s="58" t="s">
        <v>247</v>
      </c>
      <c r="Q8119" s="6" t="s">
        <v>240</v>
      </c>
      <c r="R8119" s="136">
        <v>17</v>
      </c>
      <c r="S8119" s="2">
        <v>225370</v>
      </c>
      <c r="T8119" s="4">
        <v>0</v>
      </c>
      <c r="U8119" s="4">
        <f t="shared" si="491"/>
        <v>0</v>
      </c>
      <c r="V8119" s="3" t="s">
        <v>362</v>
      </c>
      <c r="W8119" s="3">
        <v>2014</v>
      </c>
      <c r="X8119" s="3">
        <v>7.11</v>
      </c>
    </row>
    <row r="8120" spans="1:24" ht="89.25">
      <c r="A8120" s="3" t="s">
        <v>18031</v>
      </c>
      <c r="B8120" s="6" t="s">
        <v>361</v>
      </c>
      <c r="C8120" s="6" t="s">
        <v>3917</v>
      </c>
      <c r="D8120" s="6" t="s">
        <v>3891</v>
      </c>
      <c r="E8120" s="6" t="s">
        <v>3918</v>
      </c>
      <c r="F8120" s="6" t="s">
        <v>15499</v>
      </c>
      <c r="G8120" s="3" t="s">
        <v>11450</v>
      </c>
      <c r="H8120" s="54">
        <v>0</v>
      </c>
      <c r="I8120" s="16">
        <v>470000000</v>
      </c>
      <c r="J8120" s="157" t="s">
        <v>229</v>
      </c>
      <c r="K8120" s="5" t="s">
        <v>8950</v>
      </c>
      <c r="L8120" s="17" t="s">
        <v>11411</v>
      </c>
      <c r="M8120" s="3" t="s">
        <v>230</v>
      </c>
      <c r="N8120" s="6" t="s">
        <v>524</v>
      </c>
      <c r="O8120" s="6" t="s">
        <v>233</v>
      </c>
      <c r="P8120" s="58" t="s">
        <v>247</v>
      </c>
      <c r="Q8120" s="6" t="s">
        <v>240</v>
      </c>
      <c r="R8120" s="136">
        <v>17</v>
      </c>
      <c r="S8120" s="2">
        <v>225370</v>
      </c>
      <c r="T8120" s="4">
        <v>0</v>
      </c>
      <c r="U8120" s="4">
        <f t="shared" si="491"/>
        <v>0</v>
      </c>
      <c r="V8120" s="3" t="s">
        <v>362</v>
      </c>
      <c r="W8120" s="3">
        <v>2014</v>
      </c>
      <c r="X8120" s="3" t="s">
        <v>12076</v>
      </c>
    </row>
    <row r="8121" spans="1:24" ht="89.25">
      <c r="A8121" s="3" t="s">
        <v>16213</v>
      </c>
      <c r="B8121" s="6" t="s">
        <v>361</v>
      </c>
      <c r="C8121" s="6" t="s">
        <v>15500</v>
      </c>
      <c r="D8121" s="6" t="s">
        <v>3912</v>
      </c>
      <c r="E8121" s="6" t="s">
        <v>15501</v>
      </c>
      <c r="F8121" s="6" t="s">
        <v>15502</v>
      </c>
      <c r="G8121" s="3" t="s">
        <v>11449</v>
      </c>
      <c r="H8121" s="54">
        <v>0</v>
      </c>
      <c r="I8121" s="16">
        <v>470000000</v>
      </c>
      <c r="J8121" s="157" t="s">
        <v>229</v>
      </c>
      <c r="K8121" s="5" t="s">
        <v>14777</v>
      </c>
      <c r="L8121" s="17" t="s">
        <v>11411</v>
      </c>
      <c r="M8121" s="3" t="s">
        <v>230</v>
      </c>
      <c r="N8121" s="6" t="s">
        <v>524</v>
      </c>
      <c r="O8121" s="6" t="s">
        <v>233</v>
      </c>
      <c r="P8121" s="58" t="s">
        <v>247</v>
      </c>
      <c r="Q8121" s="6" t="s">
        <v>240</v>
      </c>
      <c r="R8121" s="136">
        <v>14.8574</v>
      </c>
      <c r="S8121" s="2">
        <v>225370</v>
      </c>
      <c r="T8121" s="4">
        <v>0</v>
      </c>
      <c r="U8121" s="4">
        <f t="shared" si="491"/>
        <v>0</v>
      </c>
      <c r="V8121" s="3" t="s">
        <v>362</v>
      </c>
      <c r="W8121" s="3">
        <v>2014</v>
      </c>
      <c r="X8121" s="3">
        <v>7.11</v>
      </c>
    </row>
    <row r="8122" spans="1:24" ht="89.25">
      <c r="A8122" s="3" t="s">
        <v>18032</v>
      </c>
      <c r="B8122" s="6" t="s">
        <v>361</v>
      </c>
      <c r="C8122" s="6" t="s">
        <v>15500</v>
      </c>
      <c r="D8122" s="6" t="s">
        <v>3912</v>
      </c>
      <c r="E8122" s="6" t="s">
        <v>15501</v>
      </c>
      <c r="F8122" s="6" t="s">
        <v>15502</v>
      </c>
      <c r="G8122" s="3" t="s">
        <v>11450</v>
      </c>
      <c r="H8122" s="54">
        <v>0</v>
      </c>
      <c r="I8122" s="16">
        <v>470000000</v>
      </c>
      <c r="J8122" s="157" t="s">
        <v>229</v>
      </c>
      <c r="K8122" s="5" t="s">
        <v>8950</v>
      </c>
      <c r="L8122" s="17" t="s">
        <v>11411</v>
      </c>
      <c r="M8122" s="3" t="s">
        <v>230</v>
      </c>
      <c r="N8122" s="6" t="s">
        <v>524</v>
      </c>
      <c r="O8122" s="6" t="s">
        <v>233</v>
      </c>
      <c r="P8122" s="58" t="s">
        <v>247</v>
      </c>
      <c r="Q8122" s="6" t="s">
        <v>240</v>
      </c>
      <c r="R8122" s="136">
        <v>14.8574</v>
      </c>
      <c r="S8122" s="2">
        <v>225370</v>
      </c>
      <c r="T8122" s="4">
        <v>0</v>
      </c>
      <c r="U8122" s="4">
        <f t="shared" si="491"/>
        <v>0</v>
      </c>
      <c r="V8122" s="3" t="s">
        <v>362</v>
      </c>
      <c r="W8122" s="3">
        <v>2014</v>
      </c>
      <c r="X8122" s="3" t="s">
        <v>12076</v>
      </c>
    </row>
    <row r="8123" spans="1:24" ht="89.25">
      <c r="A8123" s="3" t="s">
        <v>16214</v>
      </c>
      <c r="B8123" s="6" t="s">
        <v>361</v>
      </c>
      <c r="C8123" s="6" t="s">
        <v>15500</v>
      </c>
      <c r="D8123" s="6" t="s">
        <v>3912</v>
      </c>
      <c r="E8123" s="6" t="s">
        <v>15501</v>
      </c>
      <c r="F8123" s="6" t="s">
        <v>15503</v>
      </c>
      <c r="G8123" s="3" t="s">
        <v>11449</v>
      </c>
      <c r="H8123" s="54">
        <v>0</v>
      </c>
      <c r="I8123" s="16">
        <v>470000000</v>
      </c>
      <c r="J8123" s="157" t="s">
        <v>229</v>
      </c>
      <c r="K8123" s="5" t="s">
        <v>14777</v>
      </c>
      <c r="L8123" s="17" t="s">
        <v>11411</v>
      </c>
      <c r="M8123" s="3" t="s">
        <v>230</v>
      </c>
      <c r="N8123" s="6" t="s">
        <v>524</v>
      </c>
      <c r="O8123" s="6" t="s">
        <v>233</v>
      </c>
      <c r="P8123" s="58" t="s">
        <v>247</v>
      </c>
      <c r="Q8123" s="6" t="s">
        <v>240</v>
      </c>
      <c r="R8123" s="51">
        <v>0.26700000000000002</v>
      </c>
      <c r="S8123" s="2">
        <v>225370</v>
      </c>
      <c r="T8123" s="4">
        <v>0</v>
      </c>
      <c r="U8123" s="4">
        <f t="shared" si="491"/>
        <v>0</v>
      </c>
      <c r="V8123" s="3" t="s">
        <v>362</v>
      </c>
      <c r="W8123" s="3">
        <v>2014</v>
      </c>
      <c r="X8123" s="3" t="s">
        <v>17399</v>
      </c>
    </row>
    <row r="8124" spans="1:24" ht="89.25">
      <c r="A8124" s="3" t="s">
        <v>18033</v>
      </c>
      <c r="B8124" s="6" t="s">
        <v>361</v>
      </c>
      <c r="C8124" s="6" t="s">
        <v>15500</v>
      </c>
      <c r="D8124" s="6" t="s">
        <v>3912</v>
      </c>
      <c r="E8124" s="6" t="s">
        <v>15501</v>
      </c>
      <c r="F8124" s="6" t="s">
        <v>15503</v>
      </c>
      <c r="G8124" s="3" t="s">
        <v>11450</v>
      </c>
      <c r="H8124" s="54">
        <v>0</v>
      </c>
      <c r="I8124" s="16">
        <v>470000000</v>
      </c>
      <c r="J8124" s="157" t="s">
        <v>229</v>
      </c>
      <c r="K8124" s="5" t="s">
        <v>8950</v>
      </c>
      <c r="L8124" s="17" t="s">
        <v>11411</v>
      </c>
      <c r="M8124" s="3" t="s">
        <v>230</v>
      </c>
      <c r="N8124" s="6" t="s">
        <v>528</v>
      </c>
      <c r="O8124" s="6" t="s">
        <v>233</v>
      </c>
      <c r="P8124" s="58" t="s">
        <v>247</v>
      </c>
      <c r="Q8124" s="6" t="s">
        <v>240</v>
      </c>
      <c r="R8124" s="51">
        <v>0.26700000000000002</v>
      </c>
      <c r="S8124" s="2">
        <v>225370</v>
      </c>
      <c r="T8124" s="4">
        <v>0</v>
      </c>
      <c r="U8124" s="4">
        <f t="shared" si="491"/>
        <v>0</v>
      </c>
      <c r="V8124" s="3" t="s">
        <v>362</v>
      </c>
      <c r="W8124" s="3">
        <v>2014</v>
      </c>
      <c r="X8124" s="3" t="s">
        <v>12076</v>
      </c>
    </row>
    <row r="8125" spans="1:24" ht="89.25">
      <c r="A8125" s="3" t="s">
        <v>16215</v>
      </c>
      <c r="B8125" s="6" t="s">
        <v>361</v>
      </c>
      <c r="C8125" s="6" t="s">
        <v>3874</v>
      </c>
      <c r="D8125" s="6" t="s">
        <v>3875</v>
      </c>
      <c r="E8125" s="6" t="s">
        <v>3876</v>
      </c>
      <c r="F8125" s="6" t="s">
        <v>15504</v>
      </c>
      <c r="G8125" s="3" t="s">
        <v>11449</v>
      </c>
      <c r="H8125" s="54">
        <v>0</v>
      </c>
      <c r="I8125" s="16">
        <v>470000000</v>
      </c>
      <c r="J8125" s="157" t="s">
        <v>229</v>
      </c>
      <c r="K8125" s="5" t="s">
        <v>14750</v>
      </c>
      <c r="L8125" s="17" t="s">
        <v>11411</v>
      </c>
      <c r="M8125" s="3" t="s">
        <v>230</v>
      </c>
      <c r="N8125" s="6" t="s">
        <v>524</v>
      </c>
      <c r="O8125" s="6" t="s">
        <v>233</v>
      </c>
      <c r="P8125" s="58" t="s">
        <v>247</v>
      </c>
      <c r="Q8125" s="6" t="s">
        <v>240</v>
      </c>
      <c r="R8125" s="51">
        <v>0.16520000000000001</v>
      </c>
      <c r="S8125" s="2">
        <v>225370</v>
      </c>
      <c r="T8125" s="4">
        <v>0</v>
      </c>
      <c r="U8125" s="4">
        <f t="shared" si="491"/>
        <v>0</v>
      </c>
      <c r="V8125" s="3" t="s">
        <v>362</v>
      </c>
      <c r="W8125" s="3">
        <v>2014</v>
      </c>
      <c r="X8125" s="3" t="s">
        <v>17399</v>
      </c>
    </row>
    <row r="8126" spans="1:24" ht="89.25">
      <c r="A8126" s="3" t="s">
        <v>18034</v>
      </c>
      <c r="B8126" s="6" t="s">
        <v>361</v>
      </c>
      <c r="C8126" s="6" t="s">
        <v>3874</v>
      </c>
      <c r="D8126" s="6" t="s">
        <v>3875</v>
      </c>
      <c r="E8126" s="6" t="s">
        <v>3876</v>
      </c>
      <c r="F8126" s="6" t="s">
        <v>15504</v>
      </c>
      <c r="G8126" s="3" t="s">
        <v>11450</v>
      </c>
      <c r="H8126" s="54">
        <v>0</v>
      </c>
      <c r="I8126" s="16">
        <v>470000000</v>
      </c>
      <c r="J8126" s="157" t="s">
        <v>229</v>
      </c>
      <c r="K8126" s="5" t="s">
        <v>8950</v>
      </c>
      <c r="L8126" s="17" t="s">
        <v>11411</v>
      </c>
      <c r="M8126" s="3" t="s">
        <v>230</v>
      </c>
      <c r="N8126" s="6" t="s">
        <v>528</v>
      </c>
      <c r="O8126" s="6" t="s">
        <v>233</v>
      </c>
      <c r="P8126" s="58" t="s">
        <v>247</v>
      </c>
      <c r="Q8126" s="6" t="s">
        <v>240</v>
      </c>
      <c r="R8126" s="51">
        <v>0.16520000000000001</v>
      </c>
      <c r="S8126" s="2">
        <v>225370</v>
      </c>
      <c r="T8126" s="4">
        <v>0</v>
      </c>
      <c r="U8126" s="4">
        <f t="shared" si="491"/>
        <v>0</v>
      </c>
      <c r="V8126" s="3" t="s">
        <v>362</v>
      </c>
      <c r="W8126" s="3">
        <v>2014</v>
      </c>
      <c r="X8126" s="3" t="s">
        <v>12076</v>
      </c>
    </row>
    <row r="8127" spans="1:24" ht="89.25">
      <c r="A8127" s="3" t="s">
        <v>16216</v>
      </c>
      <c r="B8127" s="6" t="s">
        <v>361</v>
      </c>
      <c r="C8127" s="6" t="s">
        <v>3874</v>
      </c>
      <c r="D8127" s="6" t="s">
        <v>3875</v>
      </c>
      <c r="E8127" s="6" t="s">
        <v>3876</v>
      </c>
      <c r="F8127" s="6" t="s">
        <v>15505</v>
      </c>
      <c r="G8127" s="3" t="s">
        <v>11449</v>
      </c>
      <c r="H8127" s="54">
        <v>0</v>
      </c>
      <c r="I8127" s="16">
        <v>470000000</v>
      </c>
      <c r="J8127" s="157" t="s">
        <v>229</v>
      </c>
      <c r="K8127" s="5" t="s">
        <v>14750</v>
      </c>
      <c r="L8127" s="17" t="s">
        <v>11411</v>
      </c>
      <c r="M8127" s="3" t="s">
        <v>230</v>
      </c>
      <c r="N8127" s="6" t="s">
        <v>524</v>
      </c>
      <c r="O8127" s="6" t="s">
        <v>233</v>
      </c>
      <c r="P8127" s="58" t="s">
        <v>247</v>
      </c>
      <c r="Q8127" s="6" t="s">
        <v>240</v>
      </c>
      <c r="R8127" s="251">
        <v>8.5</v>
      </c>
      <c r="S8127" s="59">
        <v>225370</v>
      </c>
      <c r="T8127" s="4">
        <v>0</v>
      </c>
      <c r="U8127" s="4">
        <f t="shared" si="491"/>
        <v>0</v>
      </c>
      <c r="V8127" s="3" t="s">
        <v>362</v>
      </c>
      <c r="W8127" s="3">
        <v>2014</v>
      </c>
      <c r="X8127" s="3">
        <v>7.11</v>
      </c>
    </row>
    <row r="8128" spans="1:24" ht="89.25">
      <c r="A8128" s="3" t="s">
        <v>18035</v>
      </c>
      <c r="B8128" s="6" t="s">
        <v>361</v>
      </c>
      <c r="C8128" s="6" t="s">
        <v>3874</v>
      </c>
      <c r="D8128" s="6" t="s">
        <v>3875</v>
      </c>
      <c r="E8128" s="6" t="s">
        <v>3876</v>
      </c>
      <c r="F8128" s="6" t="s">
        <v>15505</v>
      </c>
      <c r="G8128" s="3" t="s">
        <v>11450</v>
      </c>
      <c r="H8128" s="54">
        <v>0</v>
      </c>
      <c r="I8128" s="16">
        <v>470000000</v>
      </c>
      <c r="J8128" s="157" t="s">
        <v>229</v>
      </c>
      <c r="K8128" s="5" t="s">
        <v>8950</v>
      </c>
      <c r="L8128" s="17" t="s">
        <v>11411</v>
      </c>
      <c r="M8128" s="3" t="s">
        <v>230</v>
      </c>
      <c r="N8128" s="6" t="s">
        <v>524</v>
      </c>
      <c r="O8128" s="6" t="s">
        <v>233</v>
      </c>
      <c r="P8128" s="58" t="s">
        <v>247</v>
      </c>
      <c r="Q8128" s="6" t="s">
        <v>240</v>
      </c>
      <c r="R8128" s="251">
        <v>8.5</v>
      </c>
      <c r="S8128" s="59">
        <v>225370</v>
      </c>
      <c r="T8128" s="4">
        <v>0</v>
      </c>
      <c r="U8128" s="4">
        <f t="shared" ref="U8128:U8191" si="499">T8128*1.12</f>
        <v>0</v>
      </c>
      <c r="V8128" s="3" t="s">
        <v>362</v>
      </c>
      <c r="W8128" s="3">
        <v>2014</v>
      </c>
      <c r="X8128" s="3" t="s">
        <v>12076</v>
      </c>
    </row>
    <row r="8129" spans="1:24" ht="89.25">
      <c r="A8129" s="3" t="s">
        <v>16217</v>
      </c>
      <c r="B8129" s="6" t="s">
        <v>361</v>
      </c>
      <c r="C8129" s="6" t="s">
        <v>3874</v>
      </c>
      <c r="D8129" s="6" t="s">
        <v>3875</v>
      </c>
      <c r="E8129" s="6" t="s">
        <v>3876</v>
      </c>
      <c r="F8129" s="6" t="s">
        <v>15506</v>
      </c>
      <c r="G8129" s="3" t="s">
        <v>11449</v>
      </c>
      <c r="H8129" s="54">
        <v>0</v>
      </c>
      <c r="I8129" s="16">
        <v>470000000</v>
      </c>
      <c r="J8129" s="157" t="s">
        <v>229</v>
      </c>
      <c r="K8129" s="5" t="s">
        <v>14750</v>
      </c>
      <c r="L8129" s="17" t="s">
        <v>11411</v>
      </c>
      <c r="M8129" s="3" t="s">
        <v>230</v>
      </c>
      <c r="N8129" s="6" t="s">
        <v>524</v>
      </c>
      <c r="O8129" s="6" t="s">
        <v>233</v>
      </c>
      <c r="P8129" s="58" t="s">
        <v>247</v>
      </c>
      <c r="Q8129" s="6" t="s">
        <v>240</v>
      </c>
      <c r="R8129" s="251">
        <v>22.1</v>
      </c>
      <c r="S8129" s="59">
        <v>225370</v>
      </c>
      <c r="T8129" s="4">
        <v>0</v>
      </c>
      <c r="U8129" s="4">
        <f t="shared" si="499"/>
        <v>0</v>
      </c>
      <c r="V8129" s="3" t="s">
        <v>362</v>
      </c>
      <c r="W8129" s="3">
        <v>2014</v>
      </c>
      <c r="X8129" s="3">
        <v>7.11</v>
      </c>
    </row>
    <row r="8130" spans="1:24" ht="89.25">
      <c r="A8130" s="3" t="s">
        <v>18036</v>
      </c>
      <c r="B8130" s="6" t="s">
        <v>361</v>
      </c>
      <c r="C8130" s="6" t="s">
        <v>3874</v>
      </c>
      <c r="D8130" s="6" t="s">
        <v>3875</v>
      </c>
      <c r="E8130" s="6" t="s">
        <v>3876</v>
      </c>
      <c r="F8130" s="6" t="s">
        <v>15506</v>
      </c>
      <c r="G8130" s="3" t="s">
        <v>11450</v>
      </c>
      <c r="H8130" s="54">
        <v>0</v>
      </c>
      <c r="I8130" s="16">
        <v>470000000</v>
      </c>
      <c r="J8130" s="157" t="s">
        <v>229</v>
      </c>
      <c r="K8130" s="5" t="s">
        <v>8950</v>
      </c>
      <c r="L8130" s="17" t="s">
        <v>11411</v>
      </c>
      <c r="M8130" s="3" t="s">
        <v>230</v>
      </c>
      <c r="N8130" s="6" t="s">
        <v>524</v>
      </c>
      <c r="O8130" s="6" t="s">
        <v>233</v>
      </c>
      <c r="P8130" s="58" t="s">
        <v>247</v>
      </c>
      <c r="Q8130" s="6" t="s">
        <v>240</v>
      </c>
      <c r="R8130" s="251">
        <v>22.1</v>
      </c>
      <c r="S8130" s="59">
        <v>225370</v>
      </c>
      <c r="T8130" s="4">
        <v>0</v>
      </c>
      <c r="U8130" s="4">
        <f t="shared" si="499"/>
        <v>0</v>
      </c>
      <c r="V8130" s="3" t="s">
        <v>362</v>
      </c>
      <c r="W8130" s="3">
        <v>2014</v>
      </c>
      <c r="X8130" s="3" t="s">
        <v>12076</v>
      </c>
    </row>
    <row r="8131" spans="1:24" ht="89.25">
      <c r="A8131" s="3" t="s">
        <v>16218</v>
      </c>
      <c r="B8131" s="6" t="s">
        <v>361</v>
      </c>
      <c r="C8131" s="6" t="s">
        <v>15507</v>
      </c>
      <c r="D8131" s="6" t="s">
        <v>15508</v>
      </c>
      <c r="E8131" s="6" t="s">
        <v>15509</v>
      </c>
      <c r="F8131" s="6" t="s">
        <v>15510</v>
      </c>
      <c r="G8131" s="3" t="s">
        <v>11449</v>
      </c>
      <c r="H8131" s="54">
        <v>0</v>
      </c>
      <c r="I8131" s="16">
        <v>470000000</v>
      </c>
      <c r="J8131" s="157" t="s">
        <v>229</v>
      </c>
      <c r="K8131" s="5" t="s">
        <v>14750</v>
      </c>
      <c r="L8131" s="17" t="s">
        <v>11411</v>
      </c>
      <c r="M8131" s="3" t="s">
        <v>230</v>
      </c>
      <c r="N8131" s="6" t="s">
        <v>524</v>
      </c>
      <c r="O8131" s="6" t="s">
        <v>233</v>
      </c>
      <c r="P8131" s="58" t="s">
        <v>247</v>
      </c>
      <c r="Q8131" s="6" t="s">
        <v>240</v>
      </c>
      <c r="R8131" s="251">
        <v>15.311815999999999</v>
      </c>
      <c r="S8131" s="59">
        <v>216847.19999999998</v>
      </c>
      <c r="T8131" s="4">
        <v>0</v>
      </c>
      <c r="U8131" s="4">
        <f t="shared" si="499"/>
        <v>0</v>
      </c>
      <c r="V8131" s="3" t="s">
        <v>362</v>
      </c>
      <c r="W8131" s="3">
        <v>2014</v>
      </c>
      <c r="X8131" s="3">
        <v>7.11</v>
      </c>
    </row>
    <row r="8132" spans="1:24" ht="89.25">
      <c r="A8132" s="3" t="s">
        <v>18037</v>
      </c>
      <c r="B8132" s="6" t="s">
        <v>361</v>
      </c>
      <c r="C8132" s="6" t="s">
        <v>15507</v>
      </c>
      <c r="D8132" s="6" t="s">
        <v>15508</v>
      </c>
      <c r="E8132" s="6" t="s">
        <v>15509</v>
      </c>
      <c r="F8132" s="6" t="s">
        <v>15510</v>
      </c>
      <c r="G8132" s="3" t="s">
        <v>11450</v>
      </c>
      <c r="H8132" s="54">
        <v>0</v>
      </c>
      <c r="I8132" s="16">
        <v>470000000</v>
      </c>
      <c r="J8132" s="157" t="s">
        <v>229</v>
      </c>
      <c r="K8132" s="5" t="s">
        <v>8950</v>
      </c>
      <c r="L8132" s="17" t="s">
        <v>11411</v>
      </c>
      <c r="M8132" s="3" t="s">
        <v>230</v>
      </c>
      <c r="N8132" s="6" t="s">
        <v>524</v>
      </c>
      <c r="O8132" s="6" t="s">
        <v>233</v>
      </c>
      <c r="P8132" s="58" t="s">
        <v>247</v>
      </c>
      <c r="Q8132" s="6" t="s">
        <v>240</v>
      </c>
      <c r="R8132" s="251">
        <v>15.311815999999999</v>
      </c>
      <c r="S8132" s="59">
        <v>216847.19999999998</v>
      </c>
      <c r="T8132" s="4">
        <f t="shared" ref="T8132" si="500">R8132*S8132</f>
        <v>3320324.4265151992</v>
      </c>
      <c r="U8132" s="4">
        <f t="shared" si="499"/>
        <v>3718763.3576970235</v>
      </c>
      <c r="V8132" s="3" t="s">
        <v>362</v>
      </c>
      <c r="W8132" s="3">
        <v>2014</v>
      </c>
      <c r="X8132" s="158"/>
    </row>
    <row r="8133" spans="1:24" ht="89.25">
      <c r="A8133" s="3" t="s">
        <v>16219</v>
      </c>
      <c r="B8133" s="6" t="s">
        <v>361</v>
      </c>
      <c r="C8133" s="6" t="s">
        <v>15511</v>
      </c>
      <c r="D8133" s="6" t="s">
        <v>15508</v>
      </c>
      <c r="E8133" s="6" t="s">
        <v>15512</v>
      </c>
      <c r="F8133" s="6" t="s">
        <v>15513</v>
      </c>
      <c r="G8133" s="3" t="s">
        <v>11449</v>
      </c>
      <c r="H8133" s="54">
        <v>0</v>
      </c>
      <c r="I8133" s="16">
        <v>470000000</v>
      </c>
      <c r="J8133" s="157" t="s">
        <v>229</v>
      </c>
      <c r="K8133" s="5" t="s">
        <v>14750</v>
      </c>
      <c r="L8133" s="17" t="s">
        <v>11411</v>
      </c>
      <c r="M8133" s="3" t="s">
        <v>230</v>
      </c>
      <c r="N8133" s="6" t="s">
        <v>524</v>
      </c>
      <c r="O8133" s="6" t="s">
        <v>233</v>
      </c>
      <c r="P8133" s="58" t="s">
        <v>247</v>
      </c>
      <c r="Q8133" s="6" t="s">
        <v>240</v>
      </c>
      <c r="R8133" s="251">
        <v>0.27539999999999998</v>
      </c>
      <c r="S8133" s="59">
        <v>216847.19999999998</v>
      </c>
      <c r="T8133" s="4">
        <v>0</v>
      </c>
      <c r="U8133" s="4">
        <f t="shared" si="499"/>
        <v>0</v>
      </c>
      <c r="V8133" s="3" t="s">
        <v>362</v>
      </c>
      <c r="W8133" s="3">
        <v>2014</v>
      </c>
      <c r="X8133" s="3" t="s">
        <v>17399</v>
      </c>
    </row>
    <row r="8134" spans="1:24" ht="89.25">
      <c r="A8134" s="3" t="s">
        <v>18038</v>
      </c>
      <c r="B8134" s="6" t="s">
        <v>361</v>
      </c>
      <c r="C8134" s="6" t="s">
        <v>15511</v>
      </c>
      <c r="D8134" s="6" t="s">
        <v>15508</v>
      </c>
      <c r="E8134" s="6" t="s">
        <v>15512</v>
      </c>
      <c r="F8134" s="6" t="s">
        <v>15513</v>
      </c>
      <c r="G8134" s="3" t="s">
        <v>11450</v>
      </c>
      <c r="H8134" s="54">
        <v>0</v>
      </c>
      <c r="I8134" s="16">
        <v>470000000</v>
      </c>
      <c r="J8134" s="157" t="s">
        <v>229</v>
      </c>
      <c r="K8134" s="5" t="s">
        <v>8950</v>
      </c>
      <c r="L8134" s="17" t="s">
        <v>11411</v>
      </c>
      <c r="M8134" s="3" t="s">
        <v>230</v>
      </c>
      <c r="N8134" s="6" t="s">
        <v>528</v>
      </c>
      <c r="O8134" s="6" t="s">
        <v>233</v>
      </c>
      <c r="P8134" s="58" t="s">
        <v>247</v>
      </c>
      <c r="Q8134" s="6" t="s">
        <v>240</v>
      </c>
      <c r="R8134" s="251">
        <v>0.27539999999999998</v>
      </c>
      <c r="S8134" s="59">
        <v>216847.19999999998</v>
      </c>
      <c r="T8134" s="4">
        <v>0</v>
      </c>
      <c r="U8134" s="4">
        <f t="shared" si="499"/>
        <v>0</v>
      </c>
      <c r="V8134" s="3" t="s">
        <v>362</v>
      </c>
      <c r="W8134" s="3">
        <v>2014</v>
      </c>
      <c r="X8134" s="3" t="s">
        <v>12076</v>
      </c>
    </row>
    <row r="8135" spans="1:24" ht="89.25">
      <c r="A8135" s="3" t="s">
        <v>16220</v>
      </c>
      <c r="B8135" s="6" t="s">
        <v>361</v>
      </c>
      <c r="C8135" s="6" t="s">
        <v>15507</v>
      </c>
      <c r="D8135" s="6" t="s">
        <v>15508</v>
      </c>
      <c r="E8135" s="6" t="s">
        <v>15509</v>
      </c>
      <c r="F8135" s="6" t="s">
        <v>15514</v>
      </c>
      <c r="G8135" s="3" t="s">
        <v>11449</v>
      </c>
      <c r="H8135" s="54">
        <v>0</v>
      </c>
      <c r="I8135" s="16">
        <v>470000000</v>
      </c>
      <c r="J8135" s="157" t="s">
        <v>229</v>
      </c>
      <c r="K8135" s="5" t="s">
        <v>14750</v>
      </c>
      <c r="L8135" s="17" t="s">
        <v>11411</v>
      </c>
      <c r="M8135" s="3" t="s">
        <v>230</v>
      </c>
      <c r="N8135" s="6" t="s">
        <v>524</v>
      </c>
      <c r="O8135" s="6" t="s">
        <v>233</v>
      </c>
      <c r="P8135" s="58" t="s">
        <v>247</v>
      </c>
      <c r="Q8135" s="6" t="s">
        <v>240</v>
      </c>
      <c r="R8135" s="251">
        <v>1.6372</v>
      </c>
      <c r="S8135" s="59">
        <v>216847.19999999998</v>
      </c>
      <c r="T8135" s="4">
        <v>0</v>
      </c>
      <c r="U8135" s="4">
        <f t="shared" si="499"/>
        <v>0</v>
      </c>
      <c r="V8135" s="3" t="s">
        <v>362</v>
      </c>
      <c r="W8135" s="3">
        <v>2014</v>
      </c>
      <c r="X8135" s="3" t="s">
        <v>17399</v>
      </c>
    </row>
    <row r="8136" spans="1:24" ht="89.25">
      <c r="A8136" s="3" t="s">
        <v>18039</v>
      </c>
      <c r="B8136" s="6" t="s">
        <v>361</v>
      </c>
      <c r="C8136" s="6" t="s">
        <v>15507</v>
      </c>
      <c r="D8136" s="6" t="s">
        <v>15508</v>
      </c>
      <c r="E8136" s="6" t="s">
        <v>15509</v>
      </c>
      <c r="F8136" s="6" t="s">
        <v>15514</v>
      </c>
      <c r="G8136" s="3" t="s">
        <v>11450</v>
      </c>
      <c r="H8136" s="54">
        <v>0</v>
      </c>
      <c r="I8136" s="16">
        <v>470000000</v>
      </c>
      <c r="J8136" s="157" t="s">
        <v>229</v>
      </c>
      <c r="K8136" s="5" t="s">
        <v>8950</v>
      </c>
      <c r="L8136" s="17" t="s">
        <v>11411</v>
      </c>
      <c r="M8136" s="3" t="s">
        <v>230</v>
      </c>
      <c r="N8136" s="6" t="s">
        <v>528</v>
      </c>
      <c r="O8136" s="6" t="s">
        <v>233</v>
      </c>
      <c r="P8136" s="58" t="s">
        <v>247</v>
      </c>
      <c r="Q8136" s="6" t="s">
        <v>240</v>
      </c>
      <c r="R8136" s="251">
        <v>1.6372</v>
      </c>
      <c r="S8136" s="59">
        <v>216847.19999999998</v>
      </c>
      <c r="T8136" s="4">
        <v>0</v>
      </c>
      <c r="U8136" s="4">
        <f t="shared" si="499"/>
        <v>0</v>
      </c>
      <c r="V8136" s="3" t="s">
        <v>362</v>
      </c>
      <c r="W8136" s="3">
        <v>2014</v>
      </c>
      <c r="X8136" s="3" t="s">
        <v>12076</v>
      </c>
    </row>
    <row r="8137" spans="1:24" ht="89.25">
      <c r="A8137" s="3" t="s">
        <v>16221</v>
      </c>
      <c r="B8137" s="6" t="s">
        <v>361</v>
      </c>
      <c r="C8137" s="6" t="s">
        <v>15507</v>
      </c>
      <c r="D8137" s="6" t="s">
        <v>15508</v>
      </c>
      <c r="E8137" s="6" t="s">
        <v>15509</v>
      </c>
      <c r="F8137" s="6" t="s">
        <v>15515</v>
      </c>
      <c r="G8137" s="3" t="s">
        <v>11449</v>
      </c>
      <c r="H8137" s="54">
        <v>0</v>
      </c>
      <c r="I8137" s="16">
        <v>470000000</v>
      </c>
      <c r="J8137" s="157" t="s">
        <v>229</v>
      </c>
      <c r="K8137" s="5" t="s">
        <v>14750</v>
      </c>
      <c r="L8137" s="17" t="s">
        <v>11411</v>
      </c>
      <c r="M8137" s="3" t="s">
        <v>230</v>
      </c>
      <c r="N8137" s="6" t="s">
        <v>524</v>
      </c>
      <c r="O8137" s="6" t="s">
        <v>233</v>
      </c>
      <c r="P8137" s="58" t="s">
        <v>247</v>
      </c>
      <c r="Q8137" s="6" t="s">
        <v>240</v>
      </c>
      <c r="R8137" s="251">
        <v>6.0179999999999998</v>
      </c>
      <c r="S8137" s="59">
        <v>216847.19999999998</v>
      </c>
      <c r="T8137" s="4">
        <v>0</v>
      </c>
      <c r="U8137" s="4">
        <f t="shared" si="499"/>
        <v>0</v>
      </c>
      <c r="V8137" s="3" t="s">
        <v>362</v>
      </c>
      <c r="W8137" s="3">
        <v>2014</v>
      </c>
      <c r="X8137" s="3">
        <v>7.11</v>
      </c>
    </row>
    <row r="8138" spans="1:24" ht="89.25">
      <c r="A8138" s="3" t="s">
        <v>18040</v>
      </c>
      <c r="B8138" s="6" t="s">
        <v>361</v>
      </c>
      <c r="C8138" s="6" t="s">
        <v>15507</v>
      </c>
      <c r="D8138" s="6" t="s">
        <v>15508</v>
      </c>
      <c r="E8138" s="6" t="s">
        <v>15509</v>
      </c>
      <c r="F8138" s="6" t="s">
        <v>15515</v>
      </c>
      <c r="G8138" s="3" t="s">
        <v>11450</v>
      </c>
      <c r="H8138" s="54">
        <v>0</v>
      </c>
      <c r="I8138" s="16">
        <v>470000000</v>
      </c>
      <c r="J8138" s="157" t="s">
        <v>229</v>
      </c>
      <c r="K8138" s="5" t="s">
        <v>8950</v>
      </c>
      <c r="L8138" s="17" t="s">
        <v>11411</v>
      </c>
      <c r="M8138" s="3" t="s">
        <v>230</v>
      </c>
      <c r="N8138" s="6" t="s">
        <v>524</v>
      </c>
      <c r="O8138" s="6" t="s">
        <v>233</v>
      </c>
      <c r="P8138" s="58" t="s">
        <v>247</v>
      </c>
      <c r="Q8138" s="6" t="s">
        <v>240</v>
      </c>
      <c r="R8138" s="251">
        <v>6.2430000000000003</v>
      </c>
      <c r="S8138" s="59">
        <v>216847.19999999998</v>
      </c>
      <c r="T8138" s="4">
        <v>0</v>
      </c>
      <c r="U8138" s="4">
        <f t="shared" si="499"/>
        <v>0</v>
      </c>
      <c r="V8138" s="3" t="s">
        <v>362</v>
      </c>
      <c r="W8138" s="3">
        <v>2014</v>
      </c>
      <c r="X8138" s="3" t="s">
        <v>12076</v>
      </c>
    </row>
    <row r="8139" spans="1:24" ht="89.25">
      <c r="A8139" s="3" t="s">
        <v>16222</v>
      </c>
      <c r="B8139" s="6" t="s">
        <v>361</v>
      </c>
      <c r="C8139" s="6" t="s">
        <v>15516</v>
      </c>
      <c r="D8139" s="6" t="s">
        <v>15508</v>
      </c>
      <c r="E8139" s="6" t="s">
        <v>15517</v>
      </c>
      <c r="F8139" s="6" t="s">
        <v>15518</v>
      </c>
      <c r="G8139" s="3" t="s">
        <v>11449</v>
      </c>
      <c r="H8139" s="54">
        <v>0</v>
      </c>
      <c r="I8139" s="16">
        <v>470000000</v>
      </c>
      <c r="J8139" s="157" t="s">
        <v>229</v>
      </c>
      <c r="K8139" s="5" t="s">
        <v>14750</v>
      </c>
      <c r="L8139" s="17" t="s">
        <v>11411</v>
      </c>
      <c r="M8139" s="3" t="s">
        <v>230</v>
      </c>
      <c r="N8139" s="6" t="s">
        <v>524</v>
      </c>
      <c r="O8139" s="6" t="s">
        <v>233</v>
      </c>
      <c r="P8139" s="58" t="s">
        <v>247</v>
      </c>
      <c r="Q8139" s="6" t="s">
        <v>240</v>
      </c>
      <c r="R8139" s="251">
        <v>0.53</v>
      </c>
      <c r="S8139" s="59">
        <v>216847.19999999998</v>
      </c>
      <c r="T8139" s="4">
        <v>0</v>
      </c>
      <c r="U8139" s="4">
        <f t="shared" si="499"/>
        <v>0</v>
      </c>
      <c r="V8139" s="3" t="s">
        <v>362</v>
      </c>
      <c r="W8139" s="3">
        <v>2014</v>
      </c>
      <c r="X8139" s="3" t="s">
        <v>17399</v>
      </c>
    </row>
    <row r="8140" spans="1:24" ht="89.25">
      <c r="A8140" s="3" t="s">
        <v>18041</v>
      </c>
      <c r="B8140" s="6" t="s">
        <v>361</v>
      </c>
      <c r="C8140" s="6" t="s">
        <v>15516</v>
      </c>
      <c r="D8140" s="6" t="s">
        <v>15508</v>
      </c>
      <c r="E8140" s="6" t="s">
        <v>15517</v>
      </c>
      <c r="F8140" s="6" t="s">
        <v>15518</v>
      </c>
      <c r="G8140" s="3" t="s">
        <v>11450</v>
      </c>
      <c r="H8140" s="54">
        <v>0</v>
      </c>
      <c r="I8140" s="16">
        <v>470000000</v>
      </c>
      <c r="J8140" s="157" t="s">
        <v>229</v>
      </c>
      <c r="K8140" s="5" t="s">
        <v>8950</v>
      </c>
      <c r="L8140" s="17" t="s">
        <v>11411</v>
      </c>
      <c r="M8140" s="3" t="s">
        <v>230</v>
      </c>
      <c r="N8140" s="6" t="s">
        <v>528</v>
      </c>
      <c r="O8140" s="6" t="s">
        <v>233</v>
      </c>
      <c r="P8140" s="58" t="s">
        <v>247</v>
      </c>
      <c r="Q8140" s="6" t="s">
        <v>240</v>
      </c>
      <c r="R8140" s="251">
        <v>0.53</v>
      </c>
      <c r="S8140" s="59">
        <v>216847.19999999998</v>
      </c>
      <c r="T8140" s="4">
        <v>0</v>
      </c>
      <c r="U8140" s="4">
        <f t="shared" si="499"/>
        <v>0</v>
      </c>
      <c r="V8140" s="3" t="s">
        <v>362</v>
      </c>
      <c r="W8140" s="3">
        <v>2014</v>
      </c>
      <c r="X8140" s="3" t="s">
        <v>12076</v>
      </c>
    </row>
    <row r="8141" spans="1:24" ht="89.25">
      <c r="A8141" s="3" t="s">
        <v>16223</v>
      </c>
      <c r="B8141" s="6" t="s">
        <v>361</v>
      </c>
      <c r="C8141" s="6" t="s">
        <v>15516</v>
      </c>
      <c r="D8141" s="6" t="s">
        <v>15508</v>
      </c>
      <c r="E8141" s="6" t="s">
        <v>15517</v>
      </c>
      <c r="F8141" s="6" t="s">
        <v>15519</v>
      </c>
      <c r="G8141" s="3" t="s">
        <v>11449</v>
      </c>
      <c r="H8141" s="54">
        <v>0</v>
      </c>
      <c r="I8141" s="16">
        <v>470000000</v>
      </c>
      <c r="J8141" s="157" t="s">
        <v>229</v>
      </c>
      <c r="K8141" s="5" t="s">
        <v>14750</v>
      </c>
      <c r="L8141" s="17" t="s">
        <v>11411</v>
      </c>
      <c r="M8141" s="3" t="s">
        <v>230</v>
      </c>
      <c r="N8141" s="6" t="s">
        <v>524</v>
      </c>
      <c r="O8141" s="6" t="s">
        <v>233</v>
      </c>
      <c r="P8141" s="58" t="s">
        <v>247</v>
      </c>
      <c r="Q8141" s="6" t="s">
        <v>240</v>
      </c>
      <c r="R8141" s="251">
        <v>3.7999999999999999E-2</v>
      </c>
      <c r="S8141" s="59">
        <v>216847.19999999998</v>
      </c>
      <c r="T8141" s="4">
        <v>0</v>
      </c>
      <c r="U8141" s="4">
        <f t="shared" si="499"/>
        <v>0</v>
      </c>
      <c r="V8141" s="3" t="s">
        <v>362</v>
      </c>
      <c r="W8141" s="3">
        <v>2014</v>
      </c>
      <c r="X8141" s="3" t="s">
        <v>17399</v>
      </c>
    </row>
    <row r="8142" spans="1:24" ht="89.25">
      <c r="A8142" s="3" t="s">
        <v>18042</v>
      </c>
      <c r="B8142" s="6" t="s">
        <v>361</v>
      </c>
      <c r="C8142" s="6" t="s">
        <v>15516</v>
      </c>
      <c r="D8142" s="6" t="s">
        <v>15508</v>
      </c>
      <c r="E8142" s="6" t="s">
        <v>15517</v>
      </c>
      <c r="F8142" s="6" t="s">
        <v>15519</v>
      </c>
      <c r="G8142" s="3" t="s">
        <v>11450</v>
      </c>
      <c r="H8142" s="54">
        <v>0</v>
      </c>
      <c r="I8142" s="16">
        <v>470000000</v>
      </c>
      <c r="J8142" s="157" t="s">
        <v>229</v>
      </c>
      <c r="K8142" s="5" t="s">
        <v>8950</v>
      </c>
      <c r="L8142" s="17" t="s">
        <v>11411</v>
      </c>
      <c r="M8142" s="3" t="s">
        <v>230</v>
      </c>
      <c r="N8142" s="6" t="s">
        <v>528</v>
      </c>
      <c r="O8142" s="6" t="s">
        <v>233</v>
      </c>
      <c r="P8142" s="58" t="s">
        <v>247</v>
      </c>
      <c r="Q8142" s="6" t="s">
        <v>240</v>
      </c>
      <c r="R8142" s="251">
        <v>3.7999999999999999E-2</v>
      </c>
      <c r="S8142" s="59">
        <v>216847.19999999998</v>
      </c>
      <c r="T8142" s="4">
        <v>0</v>
      </c>
      <c r="U8142" s="4">
        <f t="shared" si="499"/>
        <v>0</v>
      </c>
      <c r="V8142" s="3" t="s">
        <v>362</v>
      </c>
      <c r="W8142" s="3">
        <v>2014</v>
      </c>
      <c r="X8142" s="3" t="s">
        <v>12076</v>
      </c>
    </row>
    <row r="8143" spans="1:24" ht="89.25">
      <c r="A8143" s="3" t="s">
        <v>16224</v>
      </c>
      <c r="B8143" s="6" t="s">
        <v>361</v>
      </c>
      <c r="C8143" s="6" t="s">
        <v>3924</v>
      </c>
      <c r="D8143" s="6" t="s">
        <v>3925</v>
      </c>
      <c r="E8143" s="6" t="s">
        <v>3926</v>
      </c>
      <c r="F8143" s="6" t="s">
        <v>15520</v>
      </c>
      <c r="G8143" s="3" t="s">
        <v>11449</v>
      </c>
      <c r="H8143" s="54">
        <v>0</v>
      </c>
      <c r="I8143" s="16">
        <v>470000000</v>
      </c>
      <c r="J8143" s="157" t="s">
        <v>229</v>
      </c>
      <c r="K8143" s="5" t="s">
        <v>14750</v>
      </c>
      <c r="L8143" s="17" t="s">
        <v>11411</v>
      </c>
      <c r="M8143" s="3" t="s">
        <v>230</v>
      </c>
      <c r="N8143" s="6" t="s">
        <v>524</v>
      </c>
      <c r="O8143" s="6" t="s">
        <v>233</v>
      </c>
      <c r="P8143" s="58" t="s">
        <v>247</v>
      </c>
      <c r="Q8143" s="6" t="s">
        <v>240</v>
      </c>
      <c r="R8143" s="1">
        <v>4.2888999999999999</v>
      </c>
      <c r="S8143" s="2">
        <v>150000</v>
      </c>
      <c r="T8143" s="4">
        <v>0</v>
      </c>
      <c r="U8143" s="4">
        <f t="shared" si="499"/>
        <v>0</v>
      </c>
      <c r="V8143" s="3" t="s">
        <v>362</v>
      </c>
      <c r="W8143" s="3">
        <v>2014</v>
      </c>
      <c r="X8143" s="3" t="s">
        <v>17399</v>
      </c>
    </row>
    <row r="8144" spans="1:24" ht="89.25">
      <c r="A8144" s="3" t="s">
        <v>18043</v>
      </c>
      <c r="B8144" s="6" t="s">
        <v>361</v>
      </c>
      <c r="C8144" s="6" t="s">
        <v>3924</v>
      </c>
      <c r="D8144" s="6" t="s">
        <v>3925</v>
      </c>
      <c r="E8144" s="6" t="s">
        <v>3926</v>
      </c>
      <c r="F8144" s="6" t="s">
        <v>15520</v>
      </c>
      <c r="G8144" s="3" t="s">
        <v>11450</v>
      </c>
      <c r="H8144" s="54">
        <v>0</v>
      </c>
      <c r="I8144" s="16">
        <v>470000000</v>
      </c>
      <c r="J8144" s="157" t="s">
        <v>229</v>
      </c>
      <c r="K8144" s="5" t="s">
        <v>8950</v>
      </c>
      <c r="L8144" s="17" t="s">
        <v>11411</v>
      </c>
      <c r="M8144" s="3" t="s">
        <v>230</v>
      </c>
      <c r="N8144" s="6" t="s">
        <v>528</v>
      </c>
      <c r="O8144" s="6" t="s">
        <v>233</v>
      </c>
      <c r="P8144" s="58" t="s">
        <v>247</v>
      </c>
      <c r="Q8144" s="6" t="s">
        <v>240</v>
      </c>
      <c r="R8144" s="1">
        <v>4.2888999999999999</v>
      </c>
      <c r="S8144" s="2">
        <v>150000</v>
      </c>
      <c r="T8144" s="4">
        <f t="shared" ref="T8144" si="501">R8144*S8144</f>
        <v>643335</v>
      </c>
      <c r="U8144" s="4">
        <f t="shared" si="499"/>
        <v>720535.20000000007</v>
      </c>
      <c r="V8144" s="3" t="s">
        <v>362</v>
      </c>
      <c r="W8144" s="3">
        <v>2014</v>
      </c>
      <c r="X8144" s="158"/>
    </row>
    <row r="8145" spans="1:24" ht="89.25">
      <c r="A8145" s="3" t="s">
        <v>16225</v>
      </c>
      <c r="B8145" s="6" t="s">
        <v>361</v>
      </c>
      <c r="C8145" s="6" t="s">
        <v>3924</v>
      </c>
      <c r="D8145" s="6" t="s">
        <v>3925</v>
      </c>
      <c r="E8145" s="6" t="s">
        <v>3926</v>
      </c>
      <c r="F8145" s="6" t="s">
        <v>15521</v>
      </c>
      <c r="G8145" s="3" t="s">
        <v>11449</v>
      </c>
      <c r="H8145" s="54">
        <v>0</v>
      </c>
      <c r="I8145" s="16">
        <v>470000000</v>
      </c>
      <c r="J8145" s="157" t="s">
        <v>229</v>
      </c>
      <c r="K8145" s="5" t="s">
        <v>14750</v>
      </c>
      <c r="L8145" s="17" t="s">
        <v>11411</v>
      </c>
      <c r="M8145" s="3" t="s">
        <v>230</v>
      </c>
      <c r="N8145" s="6" t="s">
        <v>524</v>
      </c>
      <c r="O8145" s="6" t="s">
        <v>233</v>
      </c>
      <c r="P8145" s="58" t="s">
        <v>247</v>
      </c>
      <c r="Q8145" s="6" t="s">
        <v>240</v>
      </c>
      <c r="R8145" s="251">
        <v>1.1803599999999999</v>
      </c>
      <c r="S8145" s="59">
        <v>150000</v>
      </c>
      <c r="T8145" s="4">
        <v>0</v>
      </c>
      <c r="U8145" s="4">
        <f t="shared" si="499"/>
        <v>0</v>
      </c>
      <c r="V8145" s="3" t="s">
        <v>362</v>
      </c>
      <c r="W8145" s="3">
        <v>2014</v>
      </c>
      <c r="X8145" s="3" t="s">
        <v>17399</v>
      </c>
    </row>
    <row r="8146" spans="1:24" ht="89.25">
      <c r="A8146" s="3" t="s">
        <v>18044</v>
      </c>
      <c r="B8146" s="6" t="s">
        <v>361</v>
      </c>
      <c r="C8146" s="6" t="s">
        <v>3924</v>
      </c>
      <c r="D8146" s="6" t="s">
        <v>3925</v>
      </c>
      <c r="E8146" s="6" t="s">
        <v>3926</v>
      </c>
      <c r="F8146" s="6" t="s">
        <v>15521</v>
      </c>
      <c r="G8146" s="3" t="s">
        <v>11450</v>
      </c>
      <c r="H8146" s="54">
        <v>0</v>
      </c>
      <c r="I8146" s="16">
        <v>470000000</v>
      </c>
      <c r="J8146" s="157" t="s">
        <v>229</v>
      </c>
      <c r="K8146" s="5" t="s">
        <v>8950</v>
      </c>
      <c r="L8146" s="17" t="s">
        <v>11411</v>
      </c>
      <c r="M8146" s="3" t="s">
        <v>230</v>
      </c>
      <c r="N8146" s="6" t="s">
        <v>528</v>
      </c>
      <c r="O8146" s="6" t="s">
        <v>233</v>
      </c>
      <c r="P8146" s="58" t="s">
        <v>247</v>
      </c>
      <c r="Q8146" s="6" t="s">
        <v>240</v>
      </c>
      <c r="R8146" s="251">
        <v>1.1803599999999999</v>
      </c>
      <c r="S8146" s="59">
        <v>150000</v>
      </c>
      <c r="T8146" s="4">
        <v>0</v>
      </c>
      <c r="U8146" s="4">
        <f t="shared" si="499"/>
        <v>0</v>
      </c>
      <c r="V8146" s="3" t="s">
        <v>362</v>
      </c>
      <c r="W8146" s="3">
        <v>2014</v>
      </c>
      <c r="X8146" s="3" t="s">
        <v>12076</v>
      </c>
    </row>
    <row r="8147" spans="1:24" ht="89.25">
      <c r="A8147" s="3" t="s">
        <v>16226</v>
      </c>
      <c r="B8147" s="6" t="s">
        <v>361</v>
      </c>
      <c r="C8147" s="6" t="s">
        <v>3924</v>
      </c>
      <c r="D8147" s="6" t="s">
        <v>3925</v>
      </c>
      <c r="E8147" s="6" t="s">
        <v>3926</v>
      </c>
      <c r="F8147" s="6" t="s">
        <v>15522</v>
      </c>
      <c r="G8147" s="3" t="s">
        <v>11449</v>
      </c>
      <c r="H8147" s="54">
        <v>0</v>
      </c>
      <c r="I8147" s="16">
        <v>470000000</v>
      </c>
      <c r="J8147" s="157" t="s">
        <v>229</v>
      </c>
      <c r="K8147" s="5" t="s">
        <v>14750</v>
      </c>
      <c r="L8147" s="17" t="s">
        <v>11411</v>
      </c>
      <c r="M8147" s="3" t="s">
        <v>230</v>
      </c>
      <c r="N8147" s="6" t="s">
        <v>524</v>
      </c>
      <c r="O8147" s="6" t="s">
        <v>233</v>
      </c>
      <c r="P8147" s="58" t="s">
        <v>247</v>
      </c>
      <c r="Q8147" s="6" t="s">
        <v>240</v>
      </c>
      <c r="R8147" s="251">
        <v>72</v>
      </c>
      <c r="S8147" s="59">
        <v>150000</v>
      </c>
      <c r="T8147" s="4">
        <v>0</v>
      </c>
      <c r="U8147" s="4">
        <f t="shared" si="499"/>
        <v>0</v>
      </c>
      <c r="V8147" s="3" t="s">
        <v>362</v>
      </c>
      <c r="W8147" s="3">
        <v>2014</v>
      </c>
      <c r="X8147" s="3">
        <v>11</v>
      </c>
    </row>
    <row r="8148" spans="1:24" ht="89.25">
      <c r="A8148" s="3" t="s">
        <v>18045</v>
      </c>
      <c r="B8148" s="6" t="s">
        <v>361</v>
      </c>
      <c r="C8148" s="6" t="s">
        <v>3924</v>
      </c>
      <c r="D8148" s="6" t="s">
        <v>3925</v>
      </c>
      <c r="E8148" s="6" t="s">
        <v>3926</v>
      </c>
      <c r="F8148" s="6" t="s">
        <v>15522</v>
      </c>
      <c r="G8148" s="3" t="s">
        <v>11449</v>
      </c>
      <c r="H8148" s="54">
        <v>0</v>
      </c>
      <c r="I8148" s="16">
        <v>470000000</v>
      </c>
      <c r="J8148" s="157" t="s">
        <v>229</v>
      </c>
      <c r="K8148" s="5" t="s">
        <v>8950</v>
      </c>
      <c r="L8148" s="17" t="s">
        <v>11411</v>
      </c>
      <c r="M8148" s="3" t="s">
        <v>230</v>
      </c>
      <c r="N8148" s="6" t="s">
        <v>524</v>
      </c>
      <c r="O8148" s="6" t="s">
        <v>233</v>
      </c>
      <c r="P8148" s="58" t="s">
        <v>247</v>
      </c>
      <c r="Q8148" s="6" t="s">
        <v>240</v>
      </c>
      <c r="R8148" s="251">
        <v>72</v>
      </c>
      <c r="S8148" s="59">
        <v>150000</v>
      </c>
      <c r="T8148" s="4">
        <f t="shared" ref="T8148" si="502">R8148*S8148</f>
        <v>10800000</v>
      </c>
      <c r="U8148" s="4">
        <f t="shared" si="499"/>
        <v>12096000.000000002</v>
      </c>
      <c r="V8148" s="3" t="s">
        <v>362</v>
      </c>
      <c r="W8148" s="3">
        <v>2014</v>
      </c>
      <c r="X8148" s="158"/>
    </row>
    <row r="8149" spans="1:24" ht="89.25">
      <c r="A8149" s="3" t="s">
        <v>16227</v>
      </c>
      <c r="B8149" s="6" t="s">
        <v>361</v>
      </c>
      <c r="C8149" s="6" t="s">
        <v>3924</v>
      </c>
      <c r="D8149" s="6" t="s">
        <v>3925</v>
      </c>
      <c r="E8149" s="6" t="s">
        <v>3926</v>
      </c>
      <c r="F8149" s="6" t="s">
        <v>15523</v>
      </c>
      <c r="G8149" s="3" t="s">
        <v>11449</v>
      </c>
      <c r="H8149" s="54">
        <v>0</v>
      </c>
      <c r="I8149" s="16">
        <v>470000000</v>
      </c>
      <c r="J8149" s="157" t="s">
        <v>229</v>
      </c>
      <c r="K8149" s="5" t="s">
        <v>14750</v>
      </c>
      <c r="L8149" s="17" t="s">
        <v>11411</v>
      </c>
      <c r="M8149" s="3" t="s">
        <v>230</v>
      </c>
      <c r="N8149" s="6" t="s">
        <v>524</v>
      </c>
      <c r="O8149" s="6" t="s">
        <v>233</v>
      </c>
      <c r="P8149" s="58" t="s">
        <v>247</v>
      </c>
      <c r="Q8149" s="6" t="s">
        <v>240</v>
      </c>
      <c r="R8149" s="251">
        <v>5</v>
      </c>
      <c r="S8149" s="59">
        <v>150000</v>
      </c>
      <c r="T8149" s="4">
        <v>0</v>
      </c>
      <c r="U8149" s="4">
        <f t="shared" si="499"/>
        <v>0</v>
      </c>
      <c r="V8149" s="3" t="s">
        <v>362</v>
      </c>
      <c r="W8149" s="3">
        <v>2014</v>
      </c>
      <c r="X8149" s="3" t="s">
        <v>17399</v>
      </c>
    </row>
    <row r="8150" spans="1:24" ht="89.25">
      <c r="A8150" s="3" t="s">
        <v>18046</v>
      </c>
      <c r="B8150" s="6" t="s">
        <v>361</v>
      </c>
      <c r="C8150" s="6" t="s">
        <v>3924</v>
      </c>
      <c r="D8150" s="6" t="s">
        <v>3925</v>
      </c>
      <c r="E8150" s="6" t="s">
        <v>3926</v>
      </c>
      <c r="F8150" s="6" t="s">
        <v>15523</v>
      </c>
      <c r="G8150" s="3" t="s">
        <v>11450</v>
      </c>
      <c r="H8150" s="54">
        <v>0</v>
      </c>
      <c r="I8150" s="16">
        <v>470000000</v>
      </c>
      <c r="J8150" s="157" t="s">
        <v>229</v>
      </c>
      <c r="K8150" s="5" t="s">
        <v>8950</v>
      </c>
      <c r="L8150" s="17" t="s">
        <v>11411</v>
      </c>
      <c r="M8150" s="3" t="s">
        <v>230</v>
      </c>
      <c r="N8150" s="6" t="s">
        <v>528</v>
      </c>
      <c r="O8150" s="6" t="s">
        <v>233</v>
      </c>
      <c r="P8150" s="58" t="s">
        <v>247</v>
      </c>
      <c r="Q8150" s="6" t="s">
        <v>240</v>
      </c>
      <c r="R8150" s="251">
        <v>5</v>
      </c>
      <c r="S8150" s="59">
        <v>150000</v>
      </c>
      <c r="T8150" s="4">
        <f t="shared" ref="T8150" si="503">R8150*S8150</f>
        <v>750000</v>
      </c>
      <c r="U8150" s="4">
        <f t="shared" si="499"/>
        <v>840000.00000000012</v>
      </c>
      <c r="V8150" s="3" t="s">
        <v>362</v>
      </c>
      <c r="W8150" s="3">
        <v>2014</v>
      </c>
      <c r="X8150" s="158"/>
    </row>
    <row r="8151" spans="1:24" ht="89.25">
      <c r="A8151" s="3" t="s">
        <v>16228</v>
      </c>
      <c r="B8151" s="6" t="s">
        <v>361</v>
      </c>
      <c r="C8151" s="6" t="s">
        <v>3924</v>
      </c>
      <c r="D8151" s="6" t="s">
        <v>3925</v>
      </c>
      <c r="E8151" s="6" t="s">
        <v>3926</v>
      </c>
      <c r="F8151" s="6" t="s">
        <v>15524</v>
      </c>
      <c r="G8151" s="3" t="s">
        <v>11449</v>
      </c>
      <c r="H8151" s="54">
        <v>0</v>
      </c>
      <c r="I8151" s="16">
        <v>470000000</v>
      </c>
      <c r="J8151" s="157" t="s">
        <v>229</v>
      </c>
      <c r="K8151" s="5" t="s">
        <v>14750</v>
      </c>
      <c r="L8151" s="17" t="s">
        <v>11411</v>
      </c>
      <c r="M8151" s="3" t="s">
        <v>230</v>
      </c>
      <c r="N8151" s="6" t="s">
        <v>524</v>
      </c>
      <c r="O8151" s="6" t="s">
        <v>233</v>
      </c>
      <c r="P8151" s="58" t="s">
        <v>247</v>
      </c>
      <c r="Q8151" s="6" t="s">
        <v>240</v>
      </c>
      <c r="R8151" s="251">
        <v>0.11</v>
      </c>
      <c r="S8151" s="59">
        <v>150000</v>
      </c>
      <c r="T8151" s="4">
        <v>0</v>
      </c>
      <c r="U8151" s="4">
        <f t="shared" si="499"/>
        <v>0</v>
      </c>
      <c r="V8151" s="3" t="s">
        <v>362</v>
      </c>
      <c r="W8151" s="3">
        <v>2014</v>
      </c>
      <c r="X8151" s="3" t="s">
        <v>17399</v>
      </c>
    </row>
    <row r="8152" spans="1:24" ht="89.25">
      <c r="A8152" s="3" t="s">
        <v>18047</v>
      </c>
      <c r="B8152" s="6" t="s">
        <v>361</v>
      </c>
      <c r="C8152" s="6" t="s">
        <v>3924</v>
      </c>
      <c r="D8152" s="6" t="s">
        <v>3925</v>
      </c>
      <c r="E8152" s="6" t="s">
        <v>3926</v>
      </c>
      <c r="F8152" s="6" t="s">
        <v>15524</v>
      </c>
      <c r="G8152" s="3" t="s">
        <v>11450</v>
      </c>
      <c r="H8152" s="54">
        <v>0</v>
      </c>
      <c r="I8152" s="16">
        <v>470000000</v>
      </c>
      <c r="J8152" s="157" t="s">
        <v>229</v>
      </c>
      <c r="K8152" s="5" t="s">
        <v>8950</v>
      </c>
      <c r="L8152" s="17" t="s">
        <v>11411</v>
      </c>
      <c r="M8152" s="3" t="s">
        <v>230</v>
      </c>
      <c r="N8152" s="6" t="s">
        <v>528</v>
      </c>
      <c r="O8152" s="6" t="s">
        <v>233</v>
      </c>
      <c r="P8152" s="58" t="s">
        <v>247</v>
      </c>
      <c r="Q8152" s="6" t="s">
        <v>240</v>
      </c>
      <c r="R8152" s="251">
        <v>0.11</v>
      </c>
      <c r="S8152" s="59">
        <v>150000</v>
      </c>
      <c r="T8152" s="4">
        <v>0</v>
      </c>
      <c r="U8152" s="4">
        <f t="shared" si="499"/>
        <v>0</v>
      </c>
      <c r="V8152" s="3" t="s">
        <v>362</v>
      </c>
      <c r="W8152" s="3">
        <v>2014</v>
      </c>
      <c r="X8152" s="3" t="s">
        <v>12076</v>
      </c>
    </row>
    <row r="8153" spans="1:24" ht="89.25">
      <c r="A8153" s="3" t="s">
        <v>16229</v>
      </c>
      <c r="B8153" s="6" t="s">
        <v>361</v>
      </c>
      <c r="C8153" s="6" t="s">
        <v>3927</v>
      </c>
      <c r="D8153" s="6" t="s">
        <v>3925</v>
      </c>
      <c r="E8153" s="6" t="s">
        <v>3928</v>
      </c>
      <c r="F8153" s="6" t="s">
        <v>15525</v>
      </c>
      <c r="G8153" s="3" t="s">
        <v>11449</v>
      </c>
      <c r="H8153" s="54">
        <v>0</v>
      </c>
      <c r="I8153" s="16">
        <v>470000000</v>
      </c>
      <c r="J8153" s="157" t="s">
        <v>229</v>
      </c>
      <c r="K8153" s="5" t="s">
        <v>12120</v>
      </c>
      <c r="L8153" s="17" t="s">
        <v>11411</v>
      </c>
      <c r="M8153" s="3" t="s">
        <v>230</v>
      </c>
      <c r="N8153" s="6" t="s">
        <v>524</v>
      </c>
      <c r="O8153" s="6" t="s">
        <v>233</v>
      </c>
      <c r="P8153" s="58" t="s">
        <v>247</v>
      </c>
      <c r="Q8153" s="6" t="s">
        <v>240</v>
      </c>
      <c r="R8153" s="51">
        <v>0.27700000000000002</v>
      </c>
      <c r="S8153" s="2">
        <v>136425.60000000001</v>
      </c>
      <c r="T8153" s="4">
        <v>0</v>
      </c>
      <c r="U8153" s="4">
        <f t="shared" si="499"/>
        <v>0</v>
      </c>
      <c r="V8153" s="3" t="s">
        <v>362</v>
      </c>
      <c r="W8153" s="3">
        <v>2014</v>
      </c>
      <c r="X8153" s="3" t="s">
        <v>17399</v>
      </c>
    </row>
    <row r="8154" spans="1:24" ht="89.25">
      <c r="A8154" s="3" t="s">
        <v>18048</v>
      </c>
      <c r="B8154" s="6" t="s">
        <v>361</v>
      </c>
      <c r="C8154" s="6" t="s">
        <v>3927</v>
      </c>
      <c r="D8154" s="6" t="s">
        <v>3925</v>
      </c>
      <c r="E8154" s="6" t="s">
        <v>3928</v>
      </c>
      <c r="F8154" s="6" t="s">
        <v>15525</v>
      </c>
      <c r="G8154" s="3" t="s">
        <v>11450</v>
      </c>
      <c r="H8154" s="54">
        <v>0</v>
      </c>
      <c r="I8154" s="16">
        <v>470000000</v>
      </c>
      <c r="J8154" s="157" t="s">
        <v>229</v>
      </c>
      <c r="K8154" s="5" t="s">
        <v>8950</v>
      </c>
      <c r="L8154" s="17" t="s">
        <v>11411</v>
      </c>
      <c r="M8154" s="3" t="s">
        <v>230</v>
      </c>
      <c r="N8154" s="6" t="s">
        <v>528</v>
      </c>
      <c r="O8154" s="6" t="s">
        <v>233</v>
      </c>
      <c r="P8154" s="58" t="s">
        <v>247</v>
      </c>
      <c r="Q8154" s="6" t="s">
        <v>240</v>
      </c>
      <c r="R8154" s="51">
        <v>0.27700000000000002</v>
      </c>
      <c r="S8154" s="2">
        <v>136425.60000000001</v>
      </c>
      <c r="T8154" s="4">
        <v>0</v>
      </c>
      <c r="U8154" s="4">
        <f t="shared" si="499"/>
        <v>0</v>
      </c>
      <c r="V8154" s="3" t="s">
        <v>362</v>
      </c>
      <c r="W8154" s="3">
        <v>2014</v>
      </c>
      <c r="X8154" s="3" t="s">
        <v>12076</v>
      </c>
    </row>
    <row r="8155" spans="1:24" ht="89.25">
      <c r="A8155" s="3" t="s">
        <v>16230</v>
      </c>
      <c r="B8155" s="6" t="s">
        <v>361</v>
      </c>
      <c r="C8155" s="6" t="s">
        <v>3927</v>
      </c>
      <c r="D8155" s="6" t="s">
        <v>3925</v>
      </c>
      <c r="E8155" s="6" t="s">
        <v>3928</v>
      </c>
      <c r="F8155" s="6" t="s">
        <v>15526</v>
      </c>
      <c r="G8155" s="3" t="s">
        <v>11449</v>
      </c>
      <c r="H8155" s="54">
        <v>0</v>
      </c>
      <c r="I8155" s="16">
        <v>470000000</v>
      </c>
      <c r="J8155" s="157" t="s">
        <v>229</v>
      </c>
      <c r="K8155" s="5" t="s">
        <v>14764</v>
      </c>
      <c r="L8155" s="17" t="s">
        <v>11411</v>
      </c>
      <c r="M8155" s="3" t="s">
        <v>230</v>
      </c>
      <c r="N8155" s="6" t="s">
        <v>524</v>
      </c>
      <c r="O8155" s="6" t="s">
        <v>233</v>
      </c>
      <c r="P8155" s="58" t="s">
        <v>247</v>
      </c>
      <c r="Q8155" s="6" t="s">
        <v>240</v>
      </c>
      <c r="R8155" s="51">
        <v>1.768</v>
      </c>
      <c r="S8155" s="2">
        <v>136425.60000000001</v>
      </c>
      <c r="T8155" s="4">
        <v>0</v>
      </c>
      <c r="U8155" s="4">
        <f t="shared" si="499"/>
        <v>0</v>
      </c>
      <c r="V8155" s="3" t="s">
        <v>362</v>
      </c>
      <c r="W8155" s="3">
        <v>2014</v>
      </c>
      <c r="X8155" s="3" t="s">
        <v>17399</v>
      </c>
    </row>
    <row r="8156" spans="1:24" ht="89.25">
      <c r="A8156" s="3" t="s">
        <v>18049</v>
      </c>
      <c r="B8156" s="6" t="s">
        <v>361</v>
      </c>
      <c r="C8156" s="6" t="s">
        <v>3927</v>
      </c>
      <c r="D8156" s="6" t="s">
        <v>3925</v>
      </c>
      <c r="E8156" s="6" t="s">
        <v>3928</v>
      </c>
      <c r="F8156" s="6" t="s">
        <v>15526</v>
      </c>
      <c r="G8156" s="3" t="s">
        <v>11450</v>
      </c>
      <c r="H8156" s="54">
        <v>0</v>
      </c>
      <c r="I8156" s="16">
        <v>470000000</v>
      </c>
      <c r="J8156" s="157" t="s">
        <v>229</v>
      </c>
      <c r="K8156" s="5" t="s">
        <v>8950</v>
      </c>
      <c r="L8156" s="17" t="s">
        <v>11411</v>
      </c>
      <c r="M8156" s="3" t="s">
        <v>230</v>
      </c>
      <c r="N8156" s="6" t="s">
        <v>528</v>
      </c>
      <c r="O8156" s="6" t="s">
        <v>233</v>
      </c>
      <c r="P8156" s="58" t="s">
        <v>247</v>
      </c>
      <c r="Q8156" s="6" t="s">
        <v>240</v>
      </c>
      <c r="R8156" s="51">
        <v>1.768</v>
      </c>
      <c r="S8156" s="2">
        <v>136425.60000000001</v>
      </c>
      <c r="T8156" s="4">
        <v>0</v>
      </c>
      <c r="U8156" s="4">
        <f t="shared" si="499"/>
        <v>0</v>
      </c>
      <c r="V8156" s="3" t="s">
        <v>362</v>
      </c>
      <c r="W8156" s="3">
        <v>2014</v>
      </c>
      <c r="X8156" s="3" t="s">
        <v>12076</v>
      </c>
    </row>
    <row r="8157" spans="1:24" ht="89.25">
      <c r="A8157" s="3" t="s">
        <v>16231</v>
      </c>
      <c r="B8157" s="6" t="s">
        <v>361</v>
      </c>
      <c r="C8157" s="6" t="s">
        <v>3927</v>
      </c>
      <c r="D8157" s="6" t="s">
        <v>3925</v>
      </c>
      <c r="E8157" s="6" t="s">
        <v>3928</v>
      </c>
      <c r="F8157" s="6" t="s">
        <v>15527</v>
      </c>
      <c r="G8157" s="3" t="s">
        <v>11449</v>
      </c>
      <c r="H8157" s="54">
        <v>0</v>
      </c>
      <c r="I8157" s="16">
        <v>470000000</v>
      </c>
      <c r="J8157" s="157" t="s">
        <v>229</v>
      </c>
      <c r="K8157" s="5" t="s">
        <v>14764</v>
      </c>
      <c r="L8157" s="17" t="s">
        <v>11411</v>
      </c>
      <c r="M8157" s="3" t="s">
        <v>230</v>
      </c>
      <c r="N8157" s="6" t="s">
        <v>524</v>
      </c>
      <c r="O8157" s="6" t="s">
        <v>233</v>
      </c>
      <c r="P8157" s="58" t="s">
        <v>247</v>
      </c>
      <c r="Q8157" s="6" t="s">
        <v>240</v>
      </c>
      <c r="R8157" s="51">
        <v>2.7754500000000002</v>
      </c>
      <c r="S8157" s="2">
        <v>136425.60000000001</v>
      </c>
      <c r="T8157" s="4">
        <v>0</v>
      </c>
      <c r="U8157" s="4">
        <f t="shared" si="499"/>
        <v>0</v>
      </c>
      <c r="V8157" s="3" t="s">
        <v>362</v>
      </c>
      <c r="W8157" s="3">
        <v>2014</v>
      </c>
      <c r="X8157" s="3" t="s">
        <v>17399</v>
      </c>
    </row>
    <row r="8158" spans="1:24" ht="89.25">
      <c r="A8158" s="3" t="s">
        <v>18050</v>
      </c>
      <c r="B8158" s="6" t="s">
        <v>361</v>
      </c>
      <c r="C8158" s="6" t="s">
        <v>3927</v>
      </c>
      <c r="D8158" s="6" t="s">
        <v>3925</v>
      </c>
      <c r="E8158" s="6" t="s">
        <v>3928</v>
      </c>
      <c r="F8158" s="6" t="s">
        <v>15527</v>
      </c>
      <c r="G8158" s="3" t="s">
        <v>11450</v>
      </c>
      <c r="H8158" s="54">
        <v>0</v>
      </c>
      <c r="I8158" s="16">
        <v>470000000</v>
      </c>
      <c r="J8158" s="157" t="s">
        <v>229</v>
      </c>
      <c r="K8158" s="5" t="s">
        <v>8950</v>
      </c>
      <c r="L8158" s="17" t="s">
        <v>11411</v>
      </c>
      <c r="M8158" s="3" t="s">
        <v>230</v>
      </c>
      <c r="N8158" s="6" t="s">
        <v>528</v>
      </c>
      <c r="O8158" s="6" t="s">
        <v>233</v>
      </c>
      <c r="P8158" s="58" t="s">
        <v>247</v>
      </c>
      <c r="Q8158" s="6" t="s">
        <v>240</v>
      </c>
      <c r="R8158" s="51">
        <v>2.7754500000000002</v>
      </c>
      <c r="S8158" s="2">
        <v>136425.60000000001</v>
      </c>
      <c r="T8158" s="4">
        <v>0</v>
      </c>
      <c r="U8158" s="4">
        <f t="shared" si="499"/>
        <v>0</v>
      </c>
      <c r="V8158" s="3" t="s">
        <v>362</v>
      </c>
      <c r="W8158" s="3">
        <v>2014</v>
      </c>
      <c r="X8158" s="3" t="s">
        <v>12076</v>
      </c>
    </row>
    <row r="8159" spans="1:24" ht="89.25">
      <c r="A8159" s="3" t="s">
        <v>16232</v>
      </c>
      <c r="B8159" s="6" t="s">
        <v>361</v>
      </c>
      <c r="C8159" s="6" t="s">
        <v>3927</v>
      </c>
      <c r="D8159" s="6" t="s">
        <v>3925</v>
      </c>
      <c r="E8159" s="6" t="s">
        <v>3928</v>
      </c>
      <c r="F8159" s="6" t="s">
        <v>15528</v>
      </c>
      <c r="G8159" s="3" t="s">
        <v>11449</v>
      </c>
      <c r="H8159" s="54">
        <v>0</v>
      </c>
      <c r="I8159" s="16">
        <v>470000000</v>
      </c>
      <c r="J8159" s="157" t="s">
        <v>229</v>
      </c>
      <c r="K8159" s="5" t="s">
        <v>14764</v>
      </c>
      <c r="L8159" s="17" t="s">
        <v>11411</v>
      </c>
      <c r="M8159" s="3" t="s">
        <v>230</v>
      </c>
      <c r="N8159" s="6" t="s">
        <v>524</v>
      </c>
      <c r="O8159" s="6" t="s">
        <v>233</v>
      </c>
      <c r="P8159" s="58" t="s">
        <v>247</v>
      </c>
      <c r="Q8159" s="6" t="s">
        <v>240</v>
      </c>
      <c r="R8159" s="51">
        <v>1.2</v>
      </c>
      <c r="S8159" s="2">
        <v>136425.60000000001</v>
      </c>
      <c r="T8159" s="4">
        <v>0</v>
      </c>
      <c r="U8159" s="4">
        <f t="shared" si="499"/>
        <v>0</v>
      </c>
      <c r="V8159" s="3" t="s">
        <v>362</v>
      </c>
      <c r="W8159" s="3">
        <v>2014</v>
      </c>
      <c r="X8159" s="3" t="s">
        <v>17399</v>
      </c>
    </row>
    <row r="8160" spans="1:24" ht="89.25">
      <c r="A8160" s="3" t="s">
        <v>18051</v>
      </c>
      <c r="B8160" s="6" t="s">
        <v>361</v>
      </c>
      <c r="C8160" s="6" t="s">
        <v>3927</v>
      </c>
      <c r="D8160" s="6" t="s">
        <v>3925</v>
      </c>
      <c r="E8160" s="6" t="s">
        <v>3928</v>
      </c>
      <c r="F8160" s="6" t="s">
        <v>15528</v>
      </c>
      <c r="G8160" s="3" t="s">
        <v>11450</v>
      </c>
      <c r="H8160" s="54">
        <v>0</v>
      </c>
      <c r="I8160" s="16">
        <v>470000000</v>
      </c>
      <c r="J8160" s="157" t="s">
        <v>229</v>
      </c>
      <c r="K8160" s="5" t="s">
        <v>8950</v>
      </c>
      <c r="L8160" s="17" t="s">
        <v>11411</v>
      </c>
      <c r="M8160" s="3" t="s">
        <v>230</v>
      </c>
      <c r="N8160" s="6" t="s">
        <v>528</v>
      </c>
      <c r="O8160" s="6" t="s">
        <v>233</v>
      </c>
      <c r="P8160" s="58" t="s">
        <v>247</v>
      </c>
      <c r="Q8160" s="6" t="s">
        <v>240</v>
      </c>
      <c r="R8160" s="51">
        <v>1.2</v>
      </c>
      <c r="S8160" s="2">
        <v>136425.60000000001</v>
      </c>
      <c r="T8160" s="4">
        <v>0</v>
      </c>
      <c r="U8160" s="4">
        <f t="shared" si="499"/>
        <v>0</v>
      </c>
      <c r="V8160" s="3" t="s">
        <v>362</v>
      </c>
      <c r="W8160" s="3">
        <v>2014</v>
      </c>
      <c r="X8160" s="3" t="s">
        <v>12076</v>
      </c>
    </row>
    <row r="8161" spans="1:24" ht="89.25">
      <c r="A8161" s="3" t="s">
        <v>16233</v>
      </c>
      <c r="B8161" s="6" t="s">
        <v>361</v>
      </c>
      <c r="C8161" s="6" t="s">
        <v>15917</v>
      </c>
      <c r="D8161" s="6" t="s">
        <v>3700</v>
      </c>
      <c r="E8161" s="6" t="s">
        <v>15918</v>
      </c>
      <c r="F8161" s="6" t="s">
        <v>15529</v>
      </c>
      <c r="G8161" s="3" t="s">
        <v>11449</v>
      </c>
      <c r="H8161" s="54">
        <v>0</v>
      </c>
      <c r="I8161" s="16">
        <v>470000000</v>
      </c>
      <c r="J8161" s="157" t="s">
        <v>229</v>
      </c>
      <c r="K8161" s="5" t="s">
        <v>14764</v>
      </c>
      <c r="L8161" s="17" t="s">
        <v>11411</v>
      </c>
      <c r="M8161" s="3" t="s">
        <v>230</v>
      </c>
      <c r="N8161" s="6" t="s">
        <v>524</v>
      </c>
      <c r="O8161" s="6" t="s">
        <v>233</v>
      </c>
      <c r="P8161" s="58" t="s">
        <v>247</v>
      </c>
      <c r="Q8161" s="6" t="s">
        <v>240</v>
      </c>
      <c r="R8161" s="251">
        <v>1.35</v>
      </c>
      <c r="S8161" s="59">
        <v>191910</v>
      </c>
      <c r="T8161" s="4">
        <v>0</v>
      </c>
      <c r="U8161" s="4">
        <f t="shared" si="499"/>
        <v>0</v>
      </c>
      <c r="V8161" s="3" t="s">
        <v>362</v>
      </c>
      <c r="W8161" s="3">
        <v>2014</v>
      </c>
      <c r="X8161" s="3" t="s">
        <v>17399</v>
      </c>
    </row>
    <row r="8162" spans="1:24" ht="89.25">
      <c r="A8162" s="3" t="s">
        <v>18052</v>
      </c>
      <c r="B8162" s="6" t="s">
        <v>361</v>
      </c>
      <c r="C8162" s="6" t="s">
        <v>15917</v>
      </c>
      <c r="D8162" s="6" t="s">
        <v>3700</v>
      </c>
      <c r="E8162" s="6" t="s">
        <v>15918</v>
      </c>
      <c r="F8162" s="6" t="s">
        <v>15529</v>
      </c>
      <c r="G8162" s="3" t="s">
        <v>11450</v>
      </c>
      <c r="H8162" s="54">
        <v>0</v>
      </c>
      <c r="I8162" s="16">
        <v>470000000</v>
      </c>
      <c r="J8162" s="157" t="s">
        <v>229</v>
      </c>
      <c r="K8162" s="5" t="s">
        <v>8950</v>
      </c>
      <c r="L8162" s="17" t="s">
        <v>11411</v>
      </c>
      <c r="M8162" s="3" t="s">
        <v>230</v>
      </c>
      <c r="N8162" s="6" t="s">
        <v>528</v>
      </c>
      <c r="O8162" s="6" t="s">
        <v>233</v>
      </c>
      <c r="P8162" s="58" t="s">
        <v>247</v>
      </c>
      <c r="Q8162" s="6" t="s">
        <v>240</v>
      </c>
      <c r="R8162" s="251">
        <v>1.35</v>
      </c>
      <c r="S8162" s="59">
        <v>191910</v>
      </c>
      <c r="T8162" s="4">
        <v>0</v>
      </c>
      <c r="U8162" s="4">
        <f t="shared" si="499"/>
        <v>0</v>
      </c>
      <c r="V8162" s="3" t="s">
        <v>362</v>
      </c>
      <c r="W8162" s="3">
        <v>2014</v>
      </c>
      <c r="X8162" s="3" t="s">
        <v>12076</v>
      </c>
    </row>
    <row r="8163" spans="1:24" ht="89.25">
      <c r="A8163" s="3" t="s">
        <v>16234</v>
      </c>
      <c r="B8163" s="6" t="s">
        <v>361</v>
      </c>
      <c r="C8163" s="6" t="s">
        <v>15530</v>
      </c>
      <c r="D8163" s="6" t="s">
        <v>15531</v>
      </c>
      <c r="E8163" s="6" t="s">
        <v>15532</v>
      </c>
      <c r="F8163" s="6" t="s">
        <v>15533</v>
      </c>
      <c r="G8163" s="3" t="s">
        <v>11449</v>
      </c>
      <c r="H8163" s="54">
        <v>0</v>
      </c>
      <c r="I8163" s="16">
        <v>470000000</v>
      </c>
      <c r="J8163" s="157" t="s">
        <v>229</v>
      </c>
      <c r="K8163" s="5" t="s">
        <v>14764</v>
      </c>
      <c r="L8163" s="17" t="s">
        <v>11411</v>
      </c>
      <c r="M8163" s="3" t="s">
        <v>230</v>
      </c>
      <c r="N8163" s="6" t="s">
        <v>524</v>
      </c>
      <c r="O8163" s="6" t="s">
        <v>233</v>
      </c>
      <c r="P8163" s="58" t="s">
        <v>247</v>
      </c>
      <c r="Q8163" s="6" t="s">
        <v>240</v>
      </c>
      <c r="R8163" s="251">
        <v>13.83</v>
      </c>
      <c r="S8163" s="59">
        <v>191910</v>
      </c>
      <c r="T8163" s="4">
        <v>0</v>
      </c>
      <c r="U8163" s="4">
        <f t="shared" si="499"/>
        <v>0</v>
      </c>
      <c r="V8163" s="3" t="s">
        <v>362</v>
      </c>
      <c r="W8163" s="3">
        <v>2014</v>
      </c>
      <c r="X8163" s="3">
        <v>7.11</v>
      </c>
    </row>
    <row r="8164" spans="1:24" ht="89.25">
      <c r="A8164" s="3" t="s">
        <v>18053</v>
      </c>
      <c r="B8164" s="6" t="s">
        <v>361</v>
      </c>
      <c r="C8164" s="6" t="s">
        <v>15530</v>
      </c>
      <c r="D8164" s="6" t="s">
        <v>15531</v>
      </c>
      <c r="E8164" s="6" t="s">
        <v>15532</v>
      </c>
      <c r="F8164" s="6" t="s">
        <v>15533</v>
      </c>
      <c r="G8164" s="3" t="s">
        <v>11450</v>
      </c>
      <c r="H8164" s="54">
        <v>0</v>
      </c>
      <c r="I8164" s="16">
        <v>470000000</v>
      </c>
      <c r="J8164" s="157" t="s">
        <v>229</v>
      </c>
      <c r="K8164" s="5" t="s">
        <v>8950</v>
      </c>
      <c r="L8164" s="17" t="s">
        <v>11411</v>
      </c>
      <c r="M8164" s="3" t="s">
        <v>230</v>
      </c>
      <c r="N8164" s="6" t="s">
        <v>524</v>
      </c>
      <c r="O8164" s="6" t="s">
        <v>233</v>
      </c>
      <c r="P8164" s="58" t="s">
        <v>247</v>
      </c>
      <c r="Q8164" s="6" t="s">
        <v>240</v>
      </c>
      <c r="R8164" s="251">
        <v>13.83</v>
      </c>
      <c r="S8164" s="59">
        <v>191910</v>
      </c>
      <c r="T8164" s="4">
        <v>0</v>
      </c>
      <c r="U8164" s="4">
        <f t="shared" si="499"/>
        <v>0</v>
      </c>
      <c r="V8164" s="3" t="s">
        <v>362</v>
      </c>
      <c r="W8164" s="3">
        <v>2014</v>
      </c>
      <c r="X8164" s="3" t="s">
        <v>12076</v>
      </c>
    </row>
    <row r="8165" spans="1:24" ht="89.25">
      <c r="A8165" s="3" t="s">
        <v>16235</v>
      </c>
      <c r="B8165" s="6" t="s">
        <v>361</v>
      </c>
      <c r="C8165" s="6" t="s">
        <v>15530</v>
      </c>
      <c r="D8165" s="6" t="s">
        <v>15531</v>
      </c>
      <c r="E8165" s="6" t="s">
        <v>15532</v>
      </c>
      <c r="F8165" s="6" t="s">
        <v>15534</v>
      </c>
      <c r="G8165" s="3" t="s">
        <v>11449</v>
      </c>
      <c r="H8165" s="54">
        <v>0</v>
      </c>
      <c r="I8165" s="16">
        <v>470000000</v>
      </c>
      <c r="J8165" s="157" t="s">
        <v>229</v>
      </c>
      <c r="K8165" s="5" t="s">
        <v>14764</v>
      </c>
      <c r="L8165" s="17" t="s">
        <v>11411</v>
      </c>
      <c r="M8165" s="3" t="s">
        <v>230</v>
      </c>
      <c r="N8165" s="6" t="s">
        <v>524</v>
      </c>
      <c r="O8165" s="6" t="s">
        <v>233</v>
      </c>
      <c r="P8165" s="58" t="s">
        <v>247</v>
      </c>
      <c r="Q8165" s="6" t="s">
        <v>240</v>
      </c>
      <c r="R8165" s="251">
        <v>0.26</v>
      </c>
      <c r="S8165" s="59">
        <v>191910</v>
      </c>
      <c r="T8165" s="4">
        <v>0</v>
      </c>
      <c r="U8165" s="4">
        <f t="shared" si="499"/>
        <v>0</v>
      </c>
      <c r="V8165" s="3" t="s">
        <v>362</v>
      </c>
      <c r="W8165" s="3">
        <v>2014</v>
      </c>
      <c r="X8165" s="3" t="s">
        <v>17399</v>
      </c>
    </row>
    <row r="8166" spans="1:24" ht="89.25">
      <c r="A8166" s="3" t="s">
        <v>18054</v>
      </c>
      <c r="B8166" s="6" t="s">
        <v>361</v>
      </c>
      <c r="C8166" s="6" t="s">
        <v>15530</v>
      </c>
      <c r="D8166" s="6" t="s">
        <v>15531</v>
      </c>
      <c r="E8166" s="6" t="s">
        <v>15532</v>
      </c>
      <c r="F8166" s="6" t="s">
        <v>15534</v>
      </c>
      <c r="G8166" s="3" t="s">
        <v>11450</v>
      </c>
      <c r="H8166" s="54">
        <v>0</v>
      </c>
      <c r="I8166" s="16">
        <v>470000000</v>
      </c>
      <c r="J8166" s="157" t="s">
        <v>229</v>
      </c>
      <c r="K8166" s="5" t="s">
        <v>8950</v>
      </c>
      <c r="L8166" s="17" t="s">
        <v>11411</v>
      </c>
      <c r="M8166" s="3" t="s">
        <v>230</v>
      </c>
      <c r="N8166" s="6" t="s">
        <v>528</v>
      </c>
      <c r="O8166" s="6" t="s">
        <v>233</v>
      </c>
      <c r="P8166" s="58" t="s">
        <v>247</v>
      </c>
      <c r="Q8166" s="6" t="s">
        <v>240</v>
      </c>
      <c r="R8166" s="251">
        <v>0.26</v>
      </c>
      <c r="S8166" s="59">
        <v>191910</v>
      </c>
      <c r="T8166" s="4">
        <v>0</v>
      </c>
      <c r="U8166" s="4">
        <f t="shared" si="499"/>
        <v>0</v>
      </c>
      <c r="V8166" s="3" t="s">
        <v>362</v>
      </c>
      <c r="W8166" s="3">
        <v>2014</v>
      </c>
      <c r="X8166" s="3" t="s">
        <v>12076</v>
      </c>
    </row>
    <row r="8167" spans="1:24" ht="63.75">
      <c r="A8167" s="3" t="s">
        <v>16236</v>
      </c>
      <c r="B8167" s="56" t="s">
        <v>361</v>
      </c>
      <c r="C8167" s="6" t="s">
        <v>6694</v>
      </c>
      <c r="D8167" s="6" t="s">
        <v>5892</v>
      </c>
      <c r="E8167" s="6" t="s">
        <v>6695</v>
      </c>
      <c r="F8167" s="129" t="s">
        <v>15757</v>
      </c>
      <c r="G8167" s="6" t="s">
        <v>11450</v>
      </c>
      <c r="H8167" s="54">
        <v>0</v>
      </c>
      <c r="I8167" s="16">
        <v>470000000</v>
      </c>
      <c r="J8167" s="16" t="s">
        <v>229</v>
      </c>
      <c r="K8167" s="6" t="s">
        <v>15758</v>
      </c>
      <c r="L8167" s="12" t="s">
        <v>404</v>
      </c>
      <c r="M8167" s="3" t="s">
        <v>230</v>
      </c>
      <c r="N8167" s="6" t="s">
        <v>15759</v>
      </c>
      <c r="O8167" s="78" t="s">
        <v>9716</v>
      </c>
      <c r="P8167" s="58" t="s">
        <v>241</v>
      </c>
      <c r="Q8167" s="3" t="s">
        <v>234</v>
      </c>
      <c r="R8167" s="1">
        <v>12</v>
      </c>
      <c r="S8167" s="1">
        <v>3600</v>
      </c>
      <c r="T8167" s="1">
        <f>R8167*S8167</f>
        <v>43200</v>
      </c>
      <c r="U8167" s="1">
        <f t="shared" si="499"/>
        <v>48384.000000000007</v>
      </c>
      <c r="V8167" s="3"/>
      <c r="W8167" s="3">
        <v>2014</v>
      </c>
      <c r="X8167" s="3"/>
    </row>
    <row r="8168" spans="1:24" ht="63.75">
      <c r="A8168" s="3" t="s">
        <v>16237</v>
      </c>
      <c r="B8168" s="56" t="s">
        <v>361</v>
      </c>
      <c r="C8168" s="6" t="s">
        <v>6284</v>
      </c>
      <c r="D8168" s="6" t="s">
        <v>460</v>
      </c>
      <c r="E8168" s="6" t="s">
        <v>6285</v>
      </c>
      <c r="F8168" s="129" t="s">
        <v>15760</v>
      </c>
      <c r="G8168" s="6" t="s">
        <v>11450</v>
      </c>
      <c r="H8168" s="54">
        <v>0</v>
      </c>
      <c r="I8168" s="16">
        <v>470000000</v>
      </c>
      <c r="J8168" s="16" t="s">
        <v>229</v>
      </c>
      <c r="K8168" s="6" t="s">
        <v>15758</v>
      </c>
      <c r="L8168" s="12" t="s">
        <v>404</v>
      </c>
      <c r="M8168" s="3" t="s">
        <v>230</v>
      </c>
      <c r="N8168" s="6" t="s">
        <v>15759</v>
      </c>
      <c r="O8168" s="78" t="s">
        <v>9716</v>
      </c>
      <c r="P8168" s="58" t="s">
        <v>241</v>
      </c>
      <c r="Q8168" s="3" t="s">
        <v>234</v>
      </c>
      <c r="R8168" s="1">
        <v>12</v>
      </c>
      <c r="S8168" s="1">
        <v>2500</v>
      </c>
      <c r="T8168" s="4">
        <v>0</v>
      </c>
      <c r="U8168" s="4">
        <f t="shared" si="499"/>
        <v>0</v>
      </c>
      <c r="V8168" s="3"/>
      <c r="W8168" s="3">
        <v>2014</v>
      </c>
      <c r="X8168" s="3">
        <v>11</v>
      </c>
    </row>
    <row r="8169" spans="1:24" ht="63.75">
      <c r="A8169" s="3" t="s">
        <v>18569</v>
      </c>
      <c r="B8169" s="56" t="s">
        <v>361</v>
      </c>
      <c r="C8169" s="6" t="s">
        <v>6284</v>
      </c>
      <c r="D8169" s="6" t="s">
        <v>460</v>
      </c>
      <c r="E8169" s="6" t="s">
        <v>6285</v>
      </c>
      <c r="F8169" s="129" t="s">
        <v>15760</v>
      </c>
      <c r="G8169" s="6" t="s">
        <v>11450</v>
      </c>
      <c r="H8169" s="54">
        <v>0</v>
      </c>
      <c r="I8169" s="16">
        <v>470000000</v>
      </c>
      <c r="J8169" s="16" t="s">
        <v>229</v>
      </c>
      <c r="K8169" s="6" t="s">
        <v>9369</v>
      </c>
      <c r="L8169" s="12" t="s">
        <v>404</v>
      </c>
      <c r="M8169" s="3" t="s">
        <v>230</v>
      </c>
      <c r="N8169" s="6" t="s">
        <v>15759</v>
      </c>
      <c r="O8169" s="78" t="s">
        <v>9716</v>
      </c>
      <c r="P8169" s="58" t="s">
        <v>241</v>
      </c>
      <c r="Q8169" s="3" t="s">
        <v>234</v>
      </c>
      <c r="R8169" s="1">
        <v>12</v>
      </c>
      <c r="S8169" s="1">
        <v>2500</v>
      </c>
      <c r="T8169" s="1">
        <f t="shared" ref="T8169" si="504">R8169*S8169</f>
        <v>30000</v>
      </c>
      <c r="U8169" s="1">
        <f t="shared" si="499"/>
        <v>33600</v>
      </c>
      <c r="V8169" s="3"/>
      <c r="W8169" s="3">
        <v>2014</v>
      </c>
      <c r="X8169" s="3"/>
    </row>
    <row r="8170" spans="1:24" ht="63.75">
      <c r="A8170" s="3" t="s">
        <v>16238</v>
      </c>
      <c r="B8170" s="56" t="s">
        <v>361</v>
      </c>
      <c r="C8170" s="6" t="s">
        <v>6284</v>
      </c>
      <c r="D8170" s="6" t="s">
        <v>460</v>
      </c>
      <c r="E8170" s="6" t="s">
        <v>6285</v>
      </c>
      <c r="F8170" s="129" t="s">
        <v>15761</v>
      </c>
      <c r="G8170" s="6" t="s">
        <v>11450</v>
      </c>
      <c r="H8170" s="54">
        <v>0</v>
      </c>
      <c r="I8170" s="16">
        <v>470000000</v>
      </c>
      <c r="J8170" s="16" t="s">
        <v>229</v>
      </c>
      <c r="K8170" s="6" t="s">
        <v>15758</v>
      </c>
      <c r="L8170" s="12" t="s">
        <v>404</v>
      </c>
      <c r="M8170" s="3" t="s">
        <v>230</v>
      </c>
      <c r="N8170" s="6" t="s">
        <v>15759</v>
      </c>
      <c r="O8170" s="78" t="s">
        <v>9716</v>
      </c>
      <c r="P8170" s="58" t="s">
        <v>241</v>
      </c>
      <c r="Q8170" s="3" t="s">
        <v>234</v>
      </c>
      <c r="R8170" s="1">
        <v>12</v>
      </c>
      <c r="S8170" s="1">
        <v>2500</v>
      </c>
      <c r="T8170" s="4">
        <v>0</v>
      </c>
      <c r="U8170" s="4">
        <f t="shared" si="499"/>
        <v>0</v>
      </c>
      <c r="V8170" s="3"/>
      <c r="W8170" s="3">
        <v>2014</v>
      </c>
      <c r="X8170" s="3">
        <v>11</v>
      </c>
    </row>
    <row r="8171" spans="1:24" ht="63.75">
      <c r="A8171" s="3" t="s">
        <v>18570</v>
      </c>
      <c r="B8171" s="56" t="s">
        <v>361</v>
      </c>
      <c r="C8171" s="6" t="s">
        <v>6284</v>
      </c>
      <c r="D8171" s="6" t="s">
        <v>460</v>
      </c>
      <c r="E8171" s="6" t="s">
        <v>6285</v>
      </c>
      <c r="F8171" s="129" t="s">
        <v>15761</v>
      </c>
      <c r="G8171" s="6" t="s">
        <v>11450</v>
      </c>
      <c r="H8171" s="54">
        <v>0</v>
      </c>
      <c r="I8171" s="16">
        <v>470000000</v>
      </c>
      <c r="J8171" s="16" t="s">
        <v>229</v>
      </c>
      <c r="K8171" s="6" t="s">
        <v>9369</v>
      </c>
      <c r="L8171" s="12" t="s">
        <v>404</v>
      </c>
      <c r="M8171" s="3" t="s">
        <v>230</v>
      </c>
      <c r="N8171" s="6" t="s">
        <v>15759</v>
      </c>
      <c r="O8171" s="78" t="s">
        <v>9716</v>
      </c>
      <c r="P8171" s="58" t="s">
        <v>241</v>
      </c>
      <c r="Q8171" s="3" t="s">
        <v>234</v>
      </c>
      <c r="R8171" s="1">
        <v>12</v>
      </c>
      <c r="S8171" s="1">
        <v>2500</v>
      </c>
      <c r="T8171" s="1">
        <f t="shared" ref="T8171:T8208" si="505">R8171*S8171</f>
        <v>30000</v>
      </c>
      <c r="U8171" s="1">
        <f t="shared" si="499"/>
        <v>33600</v>
      </c>
      <c r="V8171" s="3"/>
      <c r="W8171" s="3">
        <v>2014</v>
      </c>
      <c r="X8171" s="3"/>
    </row>
    <row r="8172" spans="1:24" ht="63.75">
      <c r="A8172" s="3" t="s">
        <v>16239</v>
      </c>
      <c r="B8172" s="56" t="s">
        <v>361</v>
      </c>
      <c r="C8172" s="6" t="s">
        <v>15762</v>
      </c>
      <c r="D8172" s="6" t="s">
        <v>460</v>
      </c>
      <c r="E8172" s="6" t="s">
        <v>15763</v>
      </c>
      <c r="F8172" s="6" t="s">
        <v>15764</v>
      </c>
      <c r="G8172" s="6" t="s">
        <v>11450</v>
      </c>
      <c r="H8172" s="54">
        <v>0</v>
      </c>
      <c r="I8172" s="16">
        <v>470000000</v>
      </c>
      <c r="J8172" s="16" t="s">
        <v>229</v>
      </c>
      <c r="K8172" s="6" t="s">
        <v>15758</v>
      </c>
      <c r="L8172" s="12" t="s">
        <v>404</v>
      </c>
      <c r="M8172" s="3" t="s">
        <v>230</v>
      </c>
      <c r="N8172" s="6" t="s">
        <v>15759</v>
      </c>
      <c r="O8172" s="78" t="s">
        <v>9716</v>
      </c>
      <c r="P8172" s="58" t="s">
        <v>241</v>
      </c>
      <c r="Q8172" s="3" t="s">
        <v>234</v>
      </c>
      <c r="R8172" s="1">
        <v>12</v>
      </c>
      <c r="S8172" s="1">
        <v>10000</v>
      </c>
      <c r="T8172" s="1">
        <f t="shared" si="505"/>
        <v>120000</v>
      </c>
      <c r="U8172" s="1">
        <f t="shared" si="499"/>
        <v>134400</v>
      </c>
      <c r="V8172" s="3"/>
      <c r="W8172" s="3">
        <v>2014</v>
      </c>
      <c r="X8172" s="3"/>
    </row>
    <row r="8173" spans="1:24" ht="63.75">
      <c r="A8173" s="3" t="s">
        <v>16240</v>
      </c>
      <c r="B8173" s="56" t="s">
        <v>361</v>
      </c>
      <c r="C8173" s="6" t="s">
        <v>6284</v>
      </c>
      <c r="D8173" s="6" t="s">
        <v>460</v>
      </c>
      <c r="E8173" s="6" t="s">
        <v>6285</v>
      </c>
      <c r="F8173" s="6" t="s">
        <v>15765</v>
      </c>
      <c r="G8173" s="6" t="s">
        <v>11450</v>
      </c>
      <c r="H8173" s="54">
        <v>0</v>
      </c>
      <c r="I8173" s="16">
        <v>470000000</v>
      </c>
      <c r="J8173" s="16" t="s">
        <v>229</v>
      </c>
      <c r="K8173" s="6" t="s">
        <v>15758</v>
      </c>
      <c r="L8173" s="12" t="s">
        <v>404</v>
      </c>
      <c r="M8173" s="3" t="s">
        <v>230</v>
      </c>
      <c r="N8173" s="6" t="s">
        <v>15759</v>
      </c>
      <c r="O8173" s="78" t="s">
        <v>9716</v>
      </c>
      <c r="P8173" s="58" t="s">
        <v>241</v>
      </c>
      <c r="Q8173" s="3" t="s">
        <v>234</v>
      </c>
      <c r="R8173" s="1">
        <v>8</v>
      </c>
      <c r="S8173" s="1">
        <v>12800</v>
      </c>
      <c r="T8173" s="1">
        <f t="shared" si="505"/>
        <v>102400</v>
      </c>
      <c r="U8173" s="1">
        <f t="shared" si="499"/>
        <v>114688.00000000001</v>
      </c>
      <c r="V8173" s="3"/>
      <c r="W8173" s="3">
        <v>2014</v>
      </c>
      <c r="X8173" s="3"/>
    </row>
    <row r="8174" spans="1:24" ht="63.75">
      <c r="A8174" s="3" t="s">
        <v>16241</v>
      </c>
      <c r="B8174" s="56" t="s">
        <v>361</v>
      </c>
      <c r="C8174" s="6" t="s">
        <v>15766</v>
      </c>
      <c r="D8174" s="6" t="s">
        <v>460</v>
      </c>
      <c r="E8174" s="6" t="s">
        <v>15767</v>
      </c>
      <c r="F8174" s="6" t="s">
        <v>15768</v>
      </c>
      <c r="G8174" s="6" t="s">
        <v>11450</v>
      </c>
      <c r="H8174" s="54">
        <v>0</v>
      </c>
      <c r="I8174" s="16">
        <v>470000000</v>
      </c>
      <c r="J8174" s="16" t="s">
        <v>229</v>
      </c>
      <c r="K8174" s="6" t="s">
        <v>15758</v>
      </c>
      <c r="L8174" s="12" t="s">
        <v>404</v>
      </c>
      <c r="M8174" s="3" t="s">
        <v>230</v>
      </c>
      <c r="N8174" s="6" t="s">
        <v>15759</v>
      </c>
      <c r="O8174" s="78" t="s">
        <v>9716</v>
      </c>
      <c r="P8174" s="58" t="s">
        <v>241</v>
      </c>
      <c r="Q8174" s="3" t="s">
        <v>234</v>
      </c>
      <c r="R8174" s="1">
        <v>8</v>
      </c>
      <c r="S8174" s="1">
        <v>11400</v>
      </c>
      <c r="T8174" s="1">
        <f t="shared" si="505"/>
        <v>91200</v>
      </c>
      <c r="U8174" s="1">
        <f t="shared" si="499"/>
        <v>102144.00000000001</v>
      </c>
      <c r="V8174" s="3"/>
      <c r="W8174" s="3">
        <v>2014</v>
      </c>
      <c r="X8174" s="3"/>
    </row>
    <row r="8175" spans="1:24" ht="63.75">
      <c r="A8175" s="3" t="s">
        <v>16242</v>
      </c>
      <c r="B8175" s="56" t="s">
        <v>361</v>
      </c>
      <c r="C8175" s="6" t="s">
        <v>6284</v>
      </c>
      <c r="D8175" s="6" t="s">
        <v>460</v>
      </c>
      <c r="E8175" s="6" t="s">
        <v>6285</v>
      </c>
      <c r="F8175" s="6" t="s">
        <v>15769</v>
      </c>
      <c r="G8175" s="6" t="s">
        <v>11450</v>
      </c>
      <c r="H8175" s="54">
        <v>0</v>
      </c>
      <c r="I8175" s="16">
        <v>470000000</v>
      </c>
      <c r="J8175" s="16" t="s">
        <v>229</v>
      </c>
      <c r="K8175" s="6" t="s">
        <v>15758</v>
      </c>
      <c r="L8175" s="12" t="s">
        <v>404</v>
      </c>
      <c r="M8175" s="3" t="s">
        <v>230</v>
      </c>
      <c r="N8175" s="6" t="s">
        <v>15759</v>
      </c>
      <c r="O8175" s="78" t="s">
        <v>9716</v>
      </c>
      <c r="P8175" s="58" t="s">
        <v>241</v>
      </c>
      <c r="Q8175" s="3" t="s">
        <v>234</v>
      </c>
      <c r="R8175" s="1">
        <v>8</v>
      </c>
      <c r="S8175" s="1">
        <v>11400</v>
      </c>
      <c r="T8175" s="1">
        <f t="shared" si="505"/>
        <v>91200</v>
      </c>
      <c r="U8175" s="1">
        <f t="shared" si="499"/>
        <v>102144.00000000001</v>
      </c>
      <c r="V8175" s="3"/>
      <c r="W8175" s="3">
        <v>2014</v>
      </c>
      <c r="X8175" s="3"/>
    </row>
    <row r="8176" spans="1:24" ht="63.75">
      <c r="A8176" s="3" t="s">
        <v>16243</v>
      </c>
      <c r="B8176" s="56" t="s">
        <v>361</v>
      </c>
      <c r="C8176" s="6" t="s">
        <v>7558</v>
      </c>
      <c r="D8176" s="6" t="s">
        <v>441</v>
      </c>
      <c r="E8176" s="6" t="s">
        <v>7559</v>
      </c>
      <c r="F8176" s="6" t="s">
        <v>15770</v>
      </c>
      <c r="G8176" s="6" t="s">
        <v>11450</v>
      </c>
      <c r="H8176" s="54">
        <v>0</v>
      </c>
      <c r="I8176" s="16">
        <v>470000000</v>
      </c>
      <c r="J8176" s="16" t="s">
        <v>229</v>
      </c>
      <c r="K8176" s="6" t="s">
        <v>15758</v>
      </c>
      <c r="L8176" s="12" t="s">
        <v>404</v>
      </c>
      <c r="M8176" s="3" t="s">
        <v>230</v>
      </c>
      <c r="N8176" s="6" t="s">
        <v>15759</v>
      </c>
      <c r="O8176" s="78" t="s">
        <v>9716</v>
      </c>
      <c r="P8176" s="58" t="s">
        <v>241</v>
      </c>
      <c r="Q8176" s="3" t="s">
        <v>234</v>
      </c>
      <c r="R8176" s="1">
        <v>1</v>
      </c>
      <c r="S8176" s="1">
        <v>91500</v>
      </c>
      <c r="T8176" s="1">
        <f t="shared" si="505"/>
        <v>91500</v>
      </c>
      <c r="U8176" s="1">
        <f t="shared" si="499"/>
        <v>102480.00000000001</v>
      </c>
      <c r="V8176" s="3"/>
      <c r="W8176" s="3">
        <v>2014</v>
      </c>
      <c r="X8176" s="3"/>
    </row>
    <row r="8177" spans="1:24" ht="63.75">
      <c r="A8177" s="3" t="s">
        <v>16244</v>
      </c>
      <c r="B8177" s="56" t="s">
        <v>361</v>
      </c>
      <c r="C8177" s="6" t="s">
        <v>15771</v>
      </c>
      <c r="D8177" s="6" t="s">
        <v>388</v>
      </c>
      <c r="E8177" s="6" t="s">
        <v>15772</v>
      </c>
      <c r="F8177" s="6" t="s">
        <v>15773</v>
      </c>
      <c r="G8177" s="6" t="s">
        <v>11450</v>
      </c>
      <c r="H8177" s="54">
        <v>0</v>
      </c>
      <c r="I8177" s="16">
        <v>470000000</v>
      </c>
      <c r="J8177" s="16" t="s">
        <v>229</v>
      </c>
      <c r="K8177" s="6" t="s">
        <v>15758</v>
      </c>
      <c r="L8177" s="12" t="s">
        <v>404</v>
      </c>
      <c r="M8177" s="3" t="s">
        <v>230</v>
      </c>
      <c r="N8177" s="6" t="s">
        <v>15759</v>
      </c>
      <c r="O8177" s="78" t="s">
        <v>9716</v>
      </c>
      <c r="P8177" s="58" t="s">
        <v>241</v>
      </c>
      <c r="Q8177" s="3" t="s">
        <v>234</v>
      </c>
      <c r="R8177" s="1">
        <v>1</v>
      </c>
      <c r="S8177" s="1">
        <v>32200</v>
      </c>
      <c r="T8177" s="1">
        <f t="shared" si="505"/>
        <v>32200</v>
      </c>
      <c r="U8177" s="1">
        <f t="shared" si="499"/>
        <v>36064</v>
      </c>
      <c r="V8177" s="3"/>
      <c r="W8177" s="3">
        <v>2014</v>
      </c>
      <c r="X8177" s="3"/>
    </row>
    <row r="8178" spans="1:24" ht="63.75">
      <c r="A8178" s="3" t="s">
        <v>16245</v>
      </c>
      <c r="B8178" s="56" t="s">
        <v>361</v>
      </c>
      <c r="C8178" s="6" t="s">
        <v>15774</v>
      </c>
      <c r="D8178" s="6" t="s">
        <v>368</v>
      </c>
      <c r="E8178" s="6" t="s">
        <v>15775</v>
      </c>
      <c r="F8178" s="6" t="s">
        <v>15776</v>
      </c>
      <c r="G8178" s="6" t="s">
        <v>11450</v>
      </c>
      <c r="H8178" s="54">
        <v>0</v>
      </c>
      <c r="I8178" s="16">
        <v>470000000</v>
      </c>
      <c r="J8178" s="16" t="s">
        <v>229</v>
      </c>
      <c r="K8178" s="6" t="s">
        <v>15758</v>
      </c>
      <c r="L8178" s="12" t="s">
        <v>404</v>
      </c>
      <c r="M8178" s="3" t="s">
        <v>230</v>
      </c>
      <c r="N8178" s="6" t="s">
        <v>15759</v>
      </c>
      <c r="O8178" s="78" t="s">
        <v>9716</v>
      </c>
      <c r="P8178" s="58" t="s">
        <v>241</v>
      </c>
      <c r="Q8178" s="3" t="s">
        <v>234</v>
      </c>
      <c r="R8178" s="1">
        <v>4</v>
      </c>
      <c r="S8178" s="1">
        <v>9300</v>
      </c>
      <c r="T8178" s="1">
        <f t="shared" si="505"/>
        <v>37200</v>
      </c>
      <c r="U8178" s="1">
        <f t="shared" si="499"/>
        <v>41664.000000000007</v>
      </c>
      <c r="V8178" s="3"/>
      <c r="W8178" s="3">
        <v>2014</v>
      </c>
      <c r="X8178" s="3"/>
    </row>
    <row r="8179" spans="1:24" ht="63.75">
      <c r="A8179" s="3" t="s">
        <v>16246</v>
      </c>
      <c r="B8179" s="56" t="s">
        <v>361</v>
      </c>
      <c r="C8179" s="6" t="s">
        <v>15774</v>
      </c>
      <c r="D8179" s="6" t="s">
        <v>368</v>
      </c>
      <c r="E8179" s="6" t="s">
        <v>15775</v>
      </c>
      <c r="F8179" s="6" t="s">
        <v>15777</v>
      </c>
      <c r="G8179" s="6" t="s">
        <v>11450</v>
      </c>
      <c r="H8179" s="54">
        <v>0</v>
      </c>
      <c r="I8179" s="16">
        <v>470000000</v>
      </c>
      <c r="J8179" s="16" t="s">
        <v>229</v>
      </c>
      <c r="K8179" s="6" t="s">
        <v>15758</v>
      </c>
      <c r="L8179" s="12" t="s">
        <v>404</v>
      </c>
      <c r="M8179" s="3" t="s">
        <v>230</v>
      </c>
      <c r="N8179" s="6" t="s">
        <v>15759</v>
      </c>
      <c r="O8179" s="78" t="s">
        <v>9716</v>
      </c>
      <c r="P8179" s="58" t="s">
        <v>241</v>
      </c>
      <c r="Q8179" s="3" t="s">
        <v>234</v>
      </c>
      <c r="R8179" s="1">
        <v>4</v>
      </c>
      <c r="S8179" s="1">
        <v>9300</v>
      </c>
      <c r="T8179" s="1">
        <f t="shared" si="505"/>
        <v>37200</v>
      </c>
      <c r="U8179" s="1">
        <f t="shared" si="499"/>
        <v>41664.000000000007</v>
      </c>
      <c r="V8179" s="3"/>
      <c r="W8179" s="3">
        <v>2014</v>
      </c>
      <c r="X8179" s="3"/>
    </row>
    <row r="8180" spans="1:24" ht="63.75">
      <c r="A8180" s="3" t="s">
        <v>16247</v>
      </c>
      <c r="B8180" s="56" t="s">
        <v>361</v>
      </c>
      <c r="C8180" s="6" t="s">
        <v>15774</v>
      </c>
      <c r="D8180" s="6" t="s">
        <v>368</v>
      </c>
      <c r="E8180" s="6" t="s">
        <v>15775</v>
      </c>
      <c r="F8180" s="6" t="s">
        <v>15778</v>
      </c>
      <c r="G8180" s="6" t="s">
        <v>11450</v>
      </c>
      <c r="H8180" s="54">
        <v>0</v>
      </c>
      <c r="I8180" s="16">
        <v>470000000</v>
      </c>
      <c r="J8180" s="16" t="s">
        <v>229</v>
      </c>
      <c r="K8180" s="6" t="s">
        <v>15758</v>
      </c>
      <c r="L8180" s="12" t="s">
        <v>404</v>
      </c>
      <c r="M8180" s="3" t="s">
        <v>230</v>
      </c>
      <c r="N8180" s="6" t="s">
        <v>15759</v>
      </c>
      <c r="O8180" s="78" t="s">
        <v>9716</v>
      </c>
      <c r="P8180" s="58" t="s">
        <v>241</v>
      </c>
      <c r="Q8180" s="3" t="s">
        <v>234</v>
      </c>
      <c r="R8180" s="1">
        <v>4</v>
      </c>
      <c r="S8180" s="1">
        <v>6000</v>
      </c>
      <c r="T8180" s="1">
        <f t="shared" si="505"/>
        <v>24000</v>
      </c>
      <c r="U8180" s="1">
        <f t="shared" si="499"/>
        <v>26880.000000000004</v>
      </c>
      <c r="V8180" s="3"/>
      <c r="W8180" s="3">
        <v>2014</v>
      </c>
      <c r="X8180" s="3"/>
    </row>
    <row r="8181" spans="1:24" ht="63.75">
      <c r="A8181" s="3" t="s">
        <v>16248</v>
      </c>
      <c r="B8181" s="56" t="s">
        <v>361</v>
      </c>
      <c r="C8181" s="6" t="s">
        <v>15779</v>
      </c>
      <c r="D8181" s="6" t="s">
        <v>15780</v>
      </c>
      <c r="E8181" s="6" t="s">
        <v>15781</v>
      </c>
      <c r="F8181" s="6" t="s">
        <v>15782</v>
      </c>
      <c r="G8181" s="6" t="s">
        <v>11450</v>
      </c>
      <c r="H8181" s="54">
        <v>0</v>
      </c>
      <c r="I8181" s="16">
        <v>470000000</v>
      </c>
      <c r="J8181" s="16" t="s">
        <v>229</v>
      </c>
      <c r="K8181" s="6" t="s">
        <v>15758</v>
      </c>
      <c r="L8181" s="12" t="s">
        <v>404</v>
      </c>
      <c r="M8181" s="3" t="s">
        <v>230</v>
      </c>
      <c r="N8181" s="6" t="s">
        <v>15759</v>
      </c>
      <c r="O8181" s="78" t="s">
        <v>9716</v>
      </c>
      <c r="P8181" s="58" t="s">
        <v>241</v>
      </c>
      <c r="Q8181" s="3" t="s">
        <v>234</v>
      </c>
      <c r="R8181" s="1">
        <v>4</v>
      </c>
      <c r="S8181" s="1">
        <v>3000</v>
      </c>
      <c r="T8181" s="1">
        <f t="shared" si="505"/>
        <v>12000</v>
      </c>
      <c r="U8181" s="1">
        <f t="shared" si="499"/>
        <v>13440.000000000002</v>
      </c>
      <c r="V8181" s="3"/>
      <c r="W8181" s="3">
        <v>2014</v>
      </c>
      <c r="X8181" s="3"/>
    </row>
    <row r="8182" spans="1:24" ht="63.75">
      <c r="A8182" s="3" t="s">
        <v>16249</v>
      </c>
      <c r="B8182" s="56" t="s">
        <v>361</v>
      </c>
      <c r="C8182" s="6" t="s">
        <v>15783</v>
      </c>
      <c r="D8182" s="6" t="s">
        <v>15784</v>
      </c>
      <c r="E8182" s="6" t="s">
        <v>15785</v>
      </c>
      <c r="F8182" s="6" t="s">
        <v>15786</v>
      </c>
      <c r="G8182" s="6" t="s">
        <v>11450</v>
      </c>
      <c r="H8182" s="54">
        <v>0</v>
      </c>
      <c r="I8182" s="16">
        <v>470000000</v>
      </c>
      <c r="J8182" s="16" t="s">
        <v>229</v>
      </c>
      <c r="K8182" s="6" t="s">
        <v>15758</v>
      </c>
      <c r="L8182" s="12" t="s">
        <v>404</v>
      </c>
      <c r="M8182" s="3" t="s">
        <v>230</v>
      </c>
      <c r="N8182" s="6" t="s">
        <v>15759</v>
      </c>
      <c r="O8182" s="78" t="s">
        <v>9716</v>
      </c>
      <c r="P8182" s="58" t="s">
        <v>241</v>
      </c>
      <c r="Q8182" s="3" t="s">
        <v>234</v>
      </c>
      <c r="R8182" s="1">
        <v>1</v>
      </c>
      <c r="S8182" s="1">
        <v>96000</v>
      </c>
      <c r="T8182" s="1">
        <f t="shared" si="505"/>
        <v>96000</v>
      </c>
      <c r="U8182" s="1">
        <f t="shared" si="499"/>
        <v>107520.00000000001</v>
      </c>
      <c r="V8182" s="3"/>
      <c r="W8182" s="3">
        <v>2014</v>
      </c>
      <c r="X8182" s="3"/>
    </row>
    <row r="8183" spans="1:24" ht="63.75">
      <c r="A8183" s="3" t="s">
        <v>16250</v>
      </c>
      <c r="B8183" s="56" t="s">
        <v>361</v>
      </c>
      <c r="C8183" s="6" t="s">
        <v>15787</v>
      </c>
      <c r="D8183" s="6" t="s">
        <v>15788</v>
      </c>
      <c r="E8183" s="6" t="s">
        <v>15789</v>
      </c>
      <c r="F8183" s="6" t="s">
        <v>15790</v>
      </c>
      <c r="G8183" s="6" t="s">
        <v>11450</v>
      </c>
      <c r="H8183" s="54">
        <v>0</v>
      </c>
      <c r="I8183" s="16">
        <v>470000000</v>
      </c>
      <c r="J8183" s="16" t="s">
        <v>229</v>
      </c>
      <c r="K8183" s="6" t="s">
        <v>15758</v>
      </c>
      <c r="L8183" s="12" t="s">
        <v>404</v>
      </c>
      <c r="M8183" s="3" t="s">
        <v>230</v>
      </c>
      <c r="N8183" s="6" t="s">
        <v>15759</v>
      </c>
      <c r="O8183" s="78" t="s">
        <v>9716</v>
      </c>
      <c r="P8183" s="58" t="s">
        <v>241</v>
      </c>
      <c r="Q8183" s="3" t="s">
        <v>234</v>
      </c>
      <c r="R8183" s="1">
        <v>1</v>
      </c>
      <c r="S8183" s="1">
        <v>284016</v>
      </c>
      <c r="T8183" s="1">
        <f t="shared" si="505"/>
        <v>284016</v>
      </c>
      <c r="U8183" s="1">
        <f t="shared" si="499"/>
        <v>318097.92000000004</v>
      </c>
      <c r="V8183" s="3"/>
      <c r="W8183" s="3">
        <v>2014</v>
      </c>
      <c r="X8183" s="3"/>
    </row>
    <row r="8184" spans="1:24" ht="63.75">
      <c r="A8184" s="3" t="s">
        <v>16251</v>
      </c>
      <c r="B8184" s="56" t="s">
        <v>361</v>
      </c>
      <c r="C8184" s="6" t="s">
        <v>6694</v>
      </c>
      <c r="D8184" s="6" t="s">
        <v>5892</v>
      </c>
      <c r="E8184" s="6" t="s">
        <v>6695</v>
      </c>
      <c r="F8184" s="129" t="s">
        <v>15791</v>
      </c>
      <c r="G8184" s="6" t="s">
        <v>11450</v>
      </c>
      <c r="H8184" s="54">
        <v>0</v>
      </c>
      <c r="I8184" s="16">
        <v>470000000</v>
      </c>
      <c r="J8184" s="16" t="s">
        <v>229</v>
      </c>
      <c r="K8184" s="6" t="s">
        <v>15758</v>
      </c>
      <c r="L8184" s="12" t="s">
        <v>404</v>
      </c>
      <c r="M8184" s="3" t="s">
        <v>230</v>
      </c>
      <c r="N8184" s="6" t="s">
        <v>15759</v>
      </c>
      <c r="O8184" s="78" t="s">
        <v>9716</v>
      </c>
      <c r="P8184" s="58" t="s">
        <v>241</v>
      </c>
      <c r="Q8184" s="3" t="s">
        <v>234</v>
      </c>
      <c r="R8184" s="1">
        <v>6</v>
      </c>
      <c r="S8184" s="1">
        <v>3000</v>
      </c>
      <c r="T8184" s="1">
        <f t="shared" si="505"/>
        <v>18000</v>
      </c>
      <c r="U8184" s="1">
        <f t="shared" si="499"/>
        <v>20160.000000000004</v>
      </c>
      <c r="V8184" s="3"/>
      <c r="W8184" s="3">
        <v>2014</v>
      </c>
      <c r="X8184" s="3"/>
    </row>
    <row r="8185" spans="1:24" ht="63.75">
      <c r="A8185" s="3" t="s">
        <v>16252</v>
      </c>
      <c r="B8185" s="56" t="s">
        <v>361</v>
      </c>
      <c r="C8185" s="6" t="s">
        <v>15766</v>
      </c>
      <c r="D8185" s="6" t="s">
        <v>460</v>
      </c>
      <c r="E8185" s="6" t="s">
        <v>15767</v>
      </c>
      <c r="F8185" s="129" t="s">
        <v>15792</v>
      </c>
      <c r="G8185" s="6" t="s">
        <v>11450</v>
      </c>
      <c r="H8185" s="54">
        <v>0</v>
      </c>
      <c r="I8185" s="16">
        <v>470000000</v>
      </c>
      <c r="J8185" s="16" t="s">
        <v>229</v>
      </c>
      <c r="K8185" s="6" t="s">
        <v>15758</v>
      </c>
      <c r="L8185" s="12" t="s">
        <v>404</v>
      </c>
      <c r="M8185" s="3" t="s">
        <v>230</v>
      </c>
      <c r="N8185" s="6" t="s">
        <v>15759</v>
      </c>
      <c r="O8185" s="78" t="s">
        <v>9716</v>
      </c>
      <c r="P8185" s="58" t="s">
        <v>241</v>
      </c>
      <c r="Q8185" s="3" t="s">
        <v>234</v>
      </c>
      <c r="R8185" s="1">
        <v>6</v>
      </c>
      <c r="S8185" s="1">
        <v>2000</v>
      </c>
      <c r="T8185" s="1">
        <f t="shared" si="505"/>
        <v>12000</v>
      </c>
      <c r="U8185" s="1">
        <f t="shared" si="499"/>
        <v>13440.000000000002</v>
      </c>
      <c r="V8185" s="3"/>
      <c r="W8185" s="3">
        <v>2014</v>
      </c>
      <c r="X8185" s="3"/>
    </row>
    <row r="8186" spans="1:24" ht="63.75">
      <c r="A8186" s="3" t="s">
        <v>16253</v>
      </c>
      <c r="B8186" s="56" t="s">
        <v>361</v>
      </c>
      <c r="C8186" s="6" t="s">
        <v>6284</v>
      </c>
      <c r="D8186" s="6" t="s">
        <v>460</v>
      </c>
      <c r="E8186" s="6" t="s">
        <v>6285</v>
      </c>
      <c r="F8186" s="129" t="s">
        <v>15793</v>
      </c>
      <c r="G8186" s="6" t="s">
        <v>11450</v>
      </c>
      <c r="H8186" s="54">
        <v>0</v>
      </c>
      <c r="I8186" s="16">
        <v>470000000</v>
      </c>
      <c r="J8186" s="16" t="s">
        <v>229</v>
      </c>
      <c r="K8186" s="6" t="s">
        <v>15758</v>
      </c>
      <c r="L8186" s="12" t="s">
        <v>404</v>
      </c>
      <c r="M8186" s="3" t="s">
        <v>230</v>
      </c>
      <c r="N8186" s="6" t="s">
        <v>15759</v>
      </c>
      <c r="O8186" s="78" t="s">
        <v>9716</v>
      </c>
      <c r="P8186" s="58" t="s">
        <v>241</v>
      </c>
      <c r="Q8186" s="3" t="s">
        <v>234</v>
      </c>
      <c r="R8186" s="1">
        <v>6</v>
      </c>
      <c r="S8186" s="1">
        <v>2000</v>
      </c>
      <c r="T8186" s="1">
        <f t="shared" si="505"/>
        <v>12000</v>
      </c>
      <c r="U8186" s="1">
        <f t="shared" si="499"/>
        <v>13440.000000000002</v>
      </c>
      <c r="V8186" s="3"/>
      <c r="W8186" s="3">
        <v>2014</v>
      </c>
      <c r="X8186" s="3"/>
    </row>
    <row r="8187" spans="1:24" ht="63.75">
      <c r="A8187" s="3" t="s">
        <v>16254</v>
      </c>
      <c r="B8187" s="56" t="s">
        <v>361</v>
      </c>
      <c r="C8187" s="6" t="s">
        <v>6284</v>
      </c>
      <c r="D8187" s="6" t="s">
        <v>460</v>
      </c>
      <c r="E8187" s="6" t="s">
        <v>6285</v>
      </c>
      <c r="F8187" s="129" t="s">
        <v>15794</v>
      </c>
      <c r="G8187" s="6" t="s">
        <v>11450</v>
      </c>
      <c r="H8187" s="54">
        <v>0</v>
      </c>
      <c r="I8187" s="16">
        <v>470000000</v>
      </c>
      <c r="J8187" s="16" t="s">
        <v>229</v>
      </c>
      <c r="K8187" s="6" t="s">
        <v>15758</v>
      </c>
      <c r="L8187" s="12" t="s">
        <v>404</v>
      </c>
      <c r="M8187" s="3" t="s">
        <v>230</v>
      </c>
      <c r="N8187" s="6" t="s">
        <v>15759</v>
      </c>
      <c r="O8187" s="78" t="s">
        <v>9716</v>
      </c>
      <c r="P8187" s="58" t="s">
        <v>241</v>
      </c>
      <c r="Q8187" s="3" t="s">
        <v>234</v>
      </c>
      <c r="R8187" s="1">
        <v>6</v>
      </c>
      <c r="S8187" s="1">
        <v>3200</v>
      </c>
      <c r="T8187" s="1">
        <f t="shared" si="505"/>
        <v>19200</v>
      </c>
      <c r="U8187" s="1">
        <f t="shared" si="499"/>
        <v>21504.000000000004</v>
      </c>
      <c r="V8187" s="3"/>
      <c r="W8187" s="3">
        <v>2014</v>
      </c>
      <c r="X8187" s="3"/>
    </row>
    <row r="8188" spans="1:24" ht="63.75">
      <c r="A8188" s="3" t="s">
        <v>16255</v>
      </c>
      <c r="B8188" s="56" t="s">
        <v>361</v>
      </c>
      <c r="C8188" s="6" t="s">
        <v>15762</v>
      </c>
      <c r="D8188" s="6" t="s">
        <v>460</v>
      </c>
      <c r="E8188" s="6" t="s">
        <v>15763</v>
      </c>
      <c r="F8188" s="129" t="s">
        <v>15795</v>
      </c>
      <c r="G8188" s="6" t="s">
        <v>11450</v>
      </c>
      <c r="H8188" s="54">
        <v>0</v>
      </c>
      <c r="I8188" s="16">
        <v>470000000</v>
      </c>
      <c r="J8188" s="16" t="s">
        <v>229</v>
      </c>
      <c r="K8188" s="6" t="s">
        <v>15758</v>
      </c>
      <c r="L8188" s="12" t="s">
        <v>404</v>
      </c>
      <c r="M8188" s="3" t="s">
        <v>230</v>
      </c>
      <c r="N8188" s="6" t="s">
        <v>15759</v>
      </c>
      <c r="O8188" s="78" t="s">
        <v>9716</v>
      </c>
      <c r="P8188" s="58" t="s">
        <v>241</v>
      </c>
      <c r="Q8188" s="3" t="s">
        <v>234</v>
      </c>
      <c r="R8188" s="1">
        <v>4</v>
      </c>
      <c r="S8188" s="1">
        <v>9000</v>
      </c>
      <c r="T8188" s="1">
        <f t="shared" si="505"/>
        <v>36000</v>
      </c>
      <c r="U8188" s="1">
        <f t="shared" si="499"/>
        <v>40320.000000000007</v>
      </c>
      <c r="V8188" s="3"/>
      <c r="W8188" s="3">
        <v>2014</v>
      </c>
      <c r="X8188" s="3"/>
    </row>
    <row r="8189" spans="1:24" ht="63.75">
      <c r="A8189" s="3" t="s">
        <v>16256</v>
      </c>
      <c r="B8189" s="56" t="s">
        <v>361</v>
      </c>
      <c r="C8189" s="6" t="s">
        <v>15774</v>
      </c>
      <c r="D8189" s="6" t="s">
        <v>368</v>
      </c>
      <c r="E8189" s="6" t="s">
        <v>15775</v>
      </c>
      <c r="F8189" s="6" t="s">
        <v>15796</v>
      </c>
      <c r="G8189" s="6" t="s">
        <v>11450</v>
      </c>
      <c r="H8189" s="54">
        <v>0</v>
      </c>
      <c r="I8189" s="16">
        <v>470000000</v>
      </c>
      <c r="J8189" s="16" t="s">
        <v>229</v>
      </c>
      <c r="K8189" s="6" t="s">
        <v>15758</v>
      </c>
      <c r="L8189" s="12" t="s">
        <v>404</v>
      </c>
      <c r="M8189" s="3" t="s">
        <v>230</v>
      </c>
      <c r="N8189" s="6" t="s">
        <v>15759</v>
      </c>
      <c r="O8189" s="78" t="s">
        <v>9716</v>
      </c>
      <c r="P8189" s="58" t="s">
        <v>241</v>
      </c>
      <c r="Q8189" s="3" t="s">
        <v>234</v>
      </c>
      <c r="R8189" s="1">
        <v>3</v>
      </c>
      <c r="S8189" s="1">
        <v>3600</v>
      </c>
      <c r="T8189" s="1">
        <f t="shared" si="505"/>
        <v>10800</v>
      </c>
      <c r="U8189" s="1">
        <f t="shared" si="499"/>
        <v>12096.000000000002</v>
      </c>
      <c r="V8189" s="3"/>
      <c r="W8189" s="3">
        <v>2014</v>
      </c>
      <c r="X8189" s="3"/>
    </row>
    <row r="8190" spans="1:24" ht="63.75">
      <c r="A8190" s="3" t="s">
        <v>16257</v>
      </c>
      <c r="B8190" s="56" t="s">
        <v>361</v>
      </c>
      <c r="C8190" s="6" t="s">
        <v>7558</v>
      </c>
      <c r="D8190" s="6" t="s">
        <v>441</v>
      </c>
      <c r="E8190" s="6" t="s">
        <v>7559</v>
      </c>
      <c r="F8190" s="129" t="s">
        <v>15797</v>
      </c>
      <c r="G8190" s="6" t="s">
        <v>11450</v>
      </c>
      <c r="H8190" s="54">
        <v>0</v>
      </c>
      <c r="I8190" s="16">
        <v>470000000</v>
      </c>
      <c r="J8190" s="16" t="s">
        <v>229</v>
      </c>
      <c r="K8190" s="6" t="s">
        <v>15758</v>
      </c>
      <c r="L8190" s="12" t="s">
        <v>404</v>
      </c>
      <c r="M8190" s="3" t="s">
        <v>230</v>
      </c>
      <c r="N8190" s="6" t="s">
        <v>15759</v>
      </c>
      <c r="O8190" s="78" t="s">
        <v>9716</v>
      </c>
      <c r="P8190" s="58" t="s">
        <v>241</v>
      </c>
      <c r="Q8190" s="3" t="s">
        <v>234</v>
      </c>
      <c r="R8190" s="1">
        <v>1</v>
      </c>
      <c r="S8190" s="1">
        <v>84200</v>
      </c>
      <c r="T8190" s="1">
        <f t="shared" si="505"/>
        <v>84200</v>
      </c>
      <c r="U8190" s="1">
        <f t="shared" si="499"/>
        <v>94304.000000000015</v>
      </c>
      <c r="V8190" s="3"/>
      <c r="W8190" s="3">
        <v>2014</v>
      </c>
      <c r="X8190" s="3"/>
    </row>
    <row r="8191" spans="1:24" ht="63.75">
      <c r="A8191" s="3" t="s">
        <v>16258</v>
      </c>
      <c r="B8191" s="56" t="s">
        <v>361</v>
      </c>
      <c r="C8191" s="6" t="s">
        <v>15783</v>
      </c>
      <c r="D8191" s="6" t="s">
        <v>15784</v>
      </c>
      <c r="E8191" s="6" t="s">
        <v>15785</v>
      </c>
      <c r="F8191" s="6" t="s">
        <v>15798</v>
      </c>
      <c r="G8191" s="6" t="s">
        <v>11450</v>
      </c>
      <c r="H8191" s="54">
        <v>0</v>
      </c>
      <c r="I8191" s="16">
        <v>470000000</v>
      </c>
      <c r="J8191" s="16" t="s">
        <v>229</v>
      </c>
      <c r="K8191" s="6" t="s">
        <v>15758</v>
      </c>
      <c r="L8191" s="12" t="s">
        <v>404</v>
      </c>
      <c r="M8191" s="3" t="s">
        <v>230</v>
      </c>
      <c r="N8191" s="6" t="s">
        <v>15759</v>
      </c>
      <c r="O8191" s="78" t="s">
        <v>9716</v>
      </c>
      <c r="P8191" s="58" t="s">
        <v>241</v>
      </c>
      <c r="Q8191" s="3" t="s">
        <v>234</v>
      </c>
      <c r="R8191" s="1">
        <v>1</v>
      </c>
      <c r="S8191" s="1">
        <v>49800</v>
      </c>
      <c r="T8191" s="1">
        <f t="shared" si="505"/>
        <v>49800</v>
      </c>
      <c r="U8191" s="1">
        <f t="shared" si="499"/>
        <v>55776.000000000007</v>
      </c>
      <c r="V8191" s="3"/>
      <c r="W8191" s="3">
        <v>2014</v>
      </c>
      <c r="X8191" s="3"/>
    </row>
    <row r="8192" spans="1:24" ht="63.75">
      <c r="A8192" s="3" t="s">
        <v>16259</v>
      </c>
      <c r="B8192" s="56" t="s">
        <v>361</v>
      </c>
      <c r="C8192" s="6" t="s">
        <v>6694</v>
      </c>
      <c r="D8192" s="6" t="s">
        <v>5892</v>
      </c>
      <c r="E8192" s="6" t="s">
        <v>6695</v>
      </c>
      <c r="F8192" s="129" t="s">
        <v>15799</v>
      </c>
      <c r="G8192" s="6" t="s">
        <v>11450</v>
      </c>
      <c r="H8192" s="54">
        <v>0</v>
      </c>
      <c r="I8192" s="16">
        <v>470000000</v>
      </c>
      <c r="J8192" s="16" t="s">
        <v>229</v>
      </c>
      <c r="K8192" s="6" t="s">
        <v>15758</v>
      </c>
      <c r="L8192" s="12" t="s">
        <v>404</v>
      </c>
      <c r="M8192" s="3" t="s">
        <v>230</v>
      </c>
      <c r="N8192" s="6" t="s">
        <v>15759</v>
      </c>
      <c r="O8192" s="78" t="s">
        <v>9716</v>
      </c>
      <c r="P8192" s="58" t="s">
        <v>241</v>
      </c>
      <c r="Q8192" s="3" t="s">
        <v>234</v>
      </c>
      <c r="R8192" s="1">
        <v>6</v>
      </c>
      <c r="S8192" s="1">
        <v>2500</v>
      </c>
      <c r="T8192" s="1">
        <f t="shared" si="505"/>
        <v>15000</v>
      </c>
      <c r="U8192" s="1">
        <f t="shared" ref="U8192:U8212" si="506">T8192*1.12</f>
        <v>16800</v>
      </c>
      <c r="V8192" s="3"/>
      <c r="W8192" s="3">
        <v>2014</v>
      </c>
      <c r="X8192" s="3"/>
    </row>
    <row r="8193" spans="1:24" ht="63.75">
      <c r="A8193" s="3" t="s">
        <v>16260</v>
      </c>
      <c r="B8193" s="56" t="s">
        <v>361</v>
      </c>
      <c r="C8193" s="6" t="s">
        <v>15766</v>
      </c>
      <c r="D8193" s="6" t="s">
        <v>460</v>
      </c>
      <c r="E8193" s="6" t="s">
        <v>15767</v>
      </c>
      <c r="F8193" s="129" t="s">
        <v>15800</v>
      </c>
      <c r="G8193" s="6" t="s">
        <v>11450</v>
      </c>
      <c r="H8193" s="54">
        <v>0</v>
      </c>
      <c r="I8193" s="16">
        <v>470000000</v>
      </c>
      <c r="J8193" s="16" t="s">
        <v>229</v>
      </c>
      <c r="K8193" s="6" t="s">
        <v>15758</v>
      </c>
      <c r="L8193" s="12" t="s">
        <v>404</v>
      </c>
      <c r="M8193" s="3" t="s">
        <v>230</v>
      </c>
      <c r="N8193" s="6" t="s">
        <v>15759</v>
      </c>
      <c r="O8193" s="78" t="s">
        <v>9716</v>
      </c>
      <c r="P8193" s="58" t="s">
        <v>241</v>
      </c>
      <c r="Q8193" s="3" t="s">
        <v>234</v>
      </c>
      <c r="R8193" s="1">
        <v>6</v>
      </c>
      <c r="S8193" s="1">
        <v>2700</v>
      </c>
      <c r="T8193" s="1">
        <f t="shared" si="505"/>
        <v>16200</v>
      </c>
      <c r="U8193" s="1">
        <f t="shared" si="506"/>
        <v>18144</v>
      </c>
      <c r="V8193" s="3"/>
      <c r="W8193" s="3">
        <v>2014</v>
      </c>
      <c r="X8193" s="3"/>
    </row>
    <row r="8194" spans="1:24" ht="63.75">
      <c r="A8194" s="3" t="s">
        <v>16261</v>
      </c>
      <c r="B8194" s="56" t="s">
        <v>361</v>
      </c>
      <c r="C8194" s="6" t="s">
        <v>6284</v>
      </c>
      <c r="D8194" s="6" t="s">
        <v>460</v>
      </c>
      <c r="E8194" s="6" t="s">
        <v>6285</v>
      </c>
      <c r="F8194" s="129" t="s">
        <v>15801</v>
      </c>
      <c r="G8194" s="6" t="s">
        <v>11450</v>
      </c>
      <c r="H8194" s="54">
        <v>0</v>
      </c>
      <c r="I8194" s="16">
        <v>470000000</v>
      </c>
      <c r="J8194" s="16" t="s">
        <v>229</v>
      </c>
      <c r="K8194" s="6" t="s">
        <v>15758</v>
      </c>
      <c r="L8194" s="12" t="s">
        <v>404</v>
      </c>
      <c r="M8194" s="3" t="s">
        <v>230</v>
      </c>
      <c r="N8194" s="6" t="s">
        <v>15759</v>
      </c>
      <c r="O8194" s="78" t="s">
        <v>9716</v>
      </c>
      <c r="P8194" s="58" t="s">
        <v>241</v>
      </c>
      <c r="Q8194" s="3" t="s">
        <v>234</v>
      </c>
      <c r="R8194" s="1">
        <v>6</v>
      </c>
      <c r="S8194" s="1">
        <v>1250</v>
      </c>
      <c r="T8194" s="1">
        <f t="shared" si="505"/>
        <v>7500</v>
      </c>
      <c r="U8194" s="1">
        <f t="shared" si="506"/>
        <v>8400</v>
      </c>
      <c r="V8194" s="3"/>
      <c r="W8194" s="3">
        <v>2014</v>
      </c>
      <c r="X8194" s="3"/>
    </row>
    <row r="8195" spans="1:24" ht="63.75">
      <c r="A8195" s="3" t="s">
        <v>16262</v>
      </c>
      <c r="B8195" s="56" t="s">
        <v>361</v>
      </c>
      <c r="C8195" s="6" t="s">
        <v>6284</v>
      </c>
      <c r="D8195" s="6" t="s">
        <v>460</v>
      </c>
      <c r="E8195" s="6" t="s">
        <v>6285</v>
      </c>
      <c r="F8195" s="129" t="s">
        <v>15802</v>
      </c>
      <c r="G8195" s="6" t="s">
        <v>11450</v>
      </c>
      <c r="H8195" s="54">
        <v>0</v>
      </c>
      <c r="I8195" s="16">
        <v>470000000</v>
      </c>
      <c r="J8195" s="16" t="s">
        <v>229</v>
      </c>
      <c r="K8195" s="6" t="s">
        <v>15758</v>
      </c>
      <c r="L8195" s="12" t="s">
        <v>404</v>
      </c>
      <c r="M8195" s="3" t="s">
        <v>230</v>
      </c>
      <c r="N8195" s="6" t="s">
        <v>15759</v>
      </c>
      <c r="O8195" s="78" t="s">
        <v>9716</v>
      </c>
      <c r="P8195" s="58" t="s">
        <v>241</v>
      </c>
      <c r="Q8195" s="3" t="s">
        <v>234</v>
      </c>
      <c r="R8195" s="1">
        <v>6</v>
      </c>
      <c r="S8195" s="1">
        <v>5600</v>
      </c>
      <c r="T8195" s="1">
        <f t="shared" si="505"/>
        <v>33600</v>
      </c>
      <c r="U8195" s="1">
        <f t="shared" si="506"/>
        <v>37632</v>
      </c>
      <c r="V8195" s="3"/>
      <c r="W8195" s="3">
        <v>2014</v>
      </c>
      <c r="X8195" s="3"/>
    </row>
    <row r="8196" spans="1:24" ht="63.75">
      <c r="A8196" s="3" t="s">
        <v>16263</v>
      </c>
      <c r="B8196" s="56" t="s">
        <v>361</v>
      </c>
      <c r="C8196" s="6" t="s">
        <v>15774</v>
      </c>
      <c r="D8196" s="6" t="s">
        <v>368</v>
      </c>
      <c r="E8196" s="6" t="s">
        <v>15775</v>
      </c>
      <c r="F8196" s="6" t="s">
        <v>15803</v>
      </c>
      <c r="G8196" s="6" t="s">
        <v>11450</v>
      </c>
      <c r="H8196" s="54">
        <v>0</v>
      </c>
      <c r="I8196" s="16">
        <v>470000000</v>
      </c>
      <c r="J8196" s="16" t="s">
        <v>229</v>
      </c>
      <c r="K8196" s="6" t="s">
        <v>15758</v>
      </c>
      <c r="L8196" s="12" t="s">
        <v>404</v>
      </c>
      <c r="M8196" s="3" t="s">
        <v>230</v>
      </c>
      <c r="N8196" s="6" t="s">
        <v>15759</v>
      </c>
      <c r="O8196" s="78" t="s">
        <v>9716</v>
      </c>
      <c r="P8196" s="58" t="s">
        <v>241</v>
      </c>
      <c r="Q8196" s="3" t="s">
        <v>234</v>
      </c>
      <c r="R8196" s="1">
        <v>3</v>
      </c>
      <c r="S8196" s="1">
        <v>9000</v>
      </c>
      <c r="T8196" s="1">
        <f t="shared" si="505"/>
        <v>27000</v>
      </c>
      <c r="U8196" s="1">
        <f t="shared" si="506"/>
        <v>30240.000000000004</v>
      </c>
      <c r="V8196" s="3"/>
      <c r="W8196" s="3">
        <v>2014</v>
      </c>
      <c r="X8196" s="3"/>
    </row>
    <row r="8197" spans="1:24" ht="63.75">
      <c r="A8197" s="3" t="s">
        <v>16264</v>
      </c>
      <c r="B8197" s="56" t="s">
        <v>361</v>
      </c>
      <c r="C8197" s="6" t="s">
        <v>15804</v>
      </c>
      <c r="D8197" s="6" t="s">
        <v>7482</v>
      </c>
      <c r="E8197" s="6" t="s">
        <v>6365</v>
      </c>
      <c r="F8197" s="129" t="s">
        <v>15805</v>
      </c>
      <c r="G8197" s="6" t="s">
        <v>11450</v>
      </c>
      <c r="H8197" s="54">
        <v>0</v>
      </c>
      <c r="I8197" s="16">
        <v>470000000</v>
      </c>
      <c r="J8197" s="16" t="s">
        <v>229</v>
      </c>
      <c r="K8197" s="6" t="s">
        <v>15758</v>
      </c>
      <c r="L8197" s="12" t="s">
        <v>404</v>
      </c>
      <c r="M8197" s="3" t="s">
        <v>230</v>
      </c>
      <c r="N8197" s="6" t="s">
        <v>15759</v>
      </c>
      <c r="O8197" s="78" t="s">
        <v>9716</v>
      </c>
      <c r="P8197" s="58" t="s">
        <v>241</v>
      </c>
      <c r="Q8197" s="3" t="s">
        <v>234</v>
      </c>
      <c r="R8197" s="1">
        <v>1</v>
      </c>
      <c r="S8197" s="1">
        <v>240000</v>
      </c>
      <c r="T8197" s="1">
        <f t="shared" si="505"/>
        <v>240000</v>
      </c>
      <c r="U8197" s="1">
        <f t="shared" si="506"/>
        <v>268800</v>
      </c>
      <c r="V8197" s="3"/>
      <c r="W8197" s="3">
        <v>2014</v>
      </c>
      <c r="X8197" s="3"/>
    </row>
    <row r="8198" spans="1:24" ht="63.75">
      <c r="A8198" s="3" t="s">
        <v>16265</v>
      </c>
      <c r="B8198" s="56" t="s">
        <v>361</v>
      </c>
      <c r="C8198" s="6" t="s">
        <v>15783</v>
      </c>
      <c r="D8198" s="6" t="s">
        <v>15784</v>
      </c>
      <c r="E8198" s="6" t="s">
        <v>15785</v>
      </c>
      <c r="F8198" s="3" t="s">
        <v>15806</v>
      </c>
      <c r="G8198" s="6" t="s">
        <v>11450</v>
      </c>
      <c r="H8198" s="54">
        <v>0</v>
      </c>
      <c r="I8198" s="16">
        <v>470000000</v>
      </c>
      <c r="J8198" s="16" t="s">
        <v>229</v>
      </c>
      <c r="K8198" s="6" t="s">
        <v>15758</v>
      </c>
      <c r="L8198" s="12" t="s">
        <v>404</v>
      </c>
      <c r="M8198" s="3" t="s">
        <v>230</v>
      </c>
      <c r="N8198" s="6" t="s">
        <v>15759</v>
      </c>
      <c r="O8198" s="78" t="s">
        <v>9716</v>
      </c>
      <c r="P8198" s="58" t="s">
        <v>241</v>
      </c>
      <c r="Q8198" s="3" t="s">
        <v>234</v>
      </c>
      <c r="R8198" s="1">
        <v>1</v>
      </c>
      <c r="S8198" s="1">
        <v>21000.82</v>
      </c>
      <c r="T8198" s="1">
        <f t="shared" si="505"/>
        <v>21000.82</v>
      </c>
      <c r="U8198" s="1">
        <f t="shared" si="506"/>
        <v>23520.918400000002</v>
      </c>
      <c r="V8198" s="3"/>
      <c r="W8198" s="3">
        <v>2014</v>
      </c>
      <c r="X8198" s="3"/>
    </row>
    <row r="8199" spans="1:24" ht="63.75">
      <c r="A8199" s="3" t="s">
        <v>16266</v>
      </c>
      <c r="B8199" s="56" t="s">
        <v>361</v>
      </c>
      <c r="C8199" s="6" t="s">
        <v>7558</v>
      </c>
      <c r="D8199" s="6" t="s">
        <v>441</v>
      </c>
      <c r="E8199" s="6" t="s">
        <v>7559</v>
      </c>
      <c r="F8199" s="3" t="s">
        <v>15807</v>
      </c>
      <c r="G8199" s="6" t="s">
        <v>11450</v>
      </c>
      <c r="H8199" s="54">
        <v>0</v>
      </c>
      <c r="I8199" s="16">
        <v>470000000</v>
      </c>
      <c r="J8199" s="16" t="s">
        <v>229</v>
      </c>
      <c r="K8199" s="6" t="s">
        <v>15758</v>
      </c>
      <c r="L8199" s="12" t="s">
        <v>404</v>
      </c>
      <c r="M8199" s="3" t="s">
        <v>230</v>
      </c>
      <c r="N8199" s="6" t="s">
        <v>15759</v>
      </c>
      <c r="O8199" s="78" t="s">
        <v>9716</v>
      </c>
      <c r="P8199" s="58" t="s">
        <v>241</v>
      </c>
      <c r="Q8199" s="3" t="s">
        <v>234</v>
      </c>
      <c r="R8199" s="1">
        <v>1</v>
      </c>
      <c r="S8199" s="1">
        <v>72000</v>
      </c>
      <c r="T8199" s="1">
        <f t="shared" si="505"/>
        <v>72000</v>
      </c>
      <c r="U8199" s="1">
        <f t="shared" si="506"/>
        <v>80640.000000000015</v>
      </c>
      <c r="V8199" s="3"/>
      <c r="W8199" s="3">
        <v>2014</v>
      </c>
      <c r="X8199" s="3"/>
    </row>
    <row r="8200" spans="1:24" ht="63.75">
      <c r="A8200" s="3" t="s">
        <v>16267</v>
      </c>
      <c r="B8200" s="56" t="s">
        <v>361</v>
      </c>
      <c r="C8200" s="6" t="s">
        <v>6694</v>
      </c>
      <c r="D8200" s="6" t="s">
        <v>5892</v>
      </c>
      <c r="E8200" s="6" t="s">
        <v>6695</v>
      </c>
      <c r="F8200" s="129" t="s">
        <v>15808</v>
      </c>
      <c r="G8200" s="6" t="s">
        <v>11450</v>
      </c>
      <c r="H8200" s="54">
        <v>0</v>
      </c>
      <c r="I8200" s="16">
        <v>470000000</v>
      </c>
      <c r="J8200" s="16" t="s">
        <v>229</v>
      </c>
      <c r="K8200" s="6" t="s">
        <v>15758</v>
      </c>
      <c r="L8200" s="12" t="s">
        <v>404</v>
      </c>
      <c r="M8200" s="3" t="s">
        <v>230</v>
      </c>
      <c r="N8200" s="6" t="s">
        <v>15759</v>
      </c>
      <c r="O8200" s="78" t="s">
        <v>9716</v>
      </c>
      <c r="P8200" s="58" t="s">
        <v>241</v>
      </c>
      <c r="Q8200" s="3" t="s">
        <v>234</v>
      </c>
      <c r="R8200" s="1">
        <v>6</v>
      </c>
      <c r="S8200" s="1">
        <v>2500</v>
      </c>
      <c r="T8200" s="1">
        <f t="shared" si="505"/>
        <v>15000</v>
      </c>
      <c r="U8200" s="1">
        <f t="shared" si="506"/>
        <v>16800</v>
      </c>
      <c r="V8200" s="3"/>
      <c r="W8200" s="3">
        <v>2014</v>
      </c>
      <c r="X8200" s="3"/>
    </row>
    <row r="8201" spans="1:24" ht="63.75">
      <c r="A8201" s="3" t="s">
        <v>16268</v>
      </c>
      <c r="B8201" s="56" t="s">
        <v>361</v>
      </c>
      <c r="C8201" s="6" t="s">
        <v>6284</v>
      </c>
      <c r="D8201" s="6" t="s">
        <v>460</v>
      </c>
      <c r="E8201" s="6" t="s">
        <v>6285</v>
      </c>
      <c r="F8201" s="129" t="s">
        <v>15809</v>
      </c>
      <c r="G8201" s="6" t="s">
        <v>11450</v>
      </c>
      <c r="H8201" s="54">
        <v>0</v>
      </c>
      <c r="I8201" s="16">
        <v>470000000</v>
      </c>
      <c r="J8201" s="16" t="s">
        <v>229</v>
      </c>
      <c r="K8201" s="6" t="s">
        <v>15758</v>
      </c>
      <c r="L8201" s="12" t="s">
        <v>404</v>
      </c>
      <c r="M8201" s="3" t="s">
        <v>230</v>
      </c>
      <c r="N8201" s="6" t="s">
        <v>15759</v>
      </c>
      <c r="O8201" s="78" t="s">
        <v>9716</v>
      </c>
      <c r="P8201" s="58" t="s">
        <v>241</v>
      </c>
      <c r="Q8201" s="3" t="s">
        <v>234</v>
      </c>
      <c r="R8201" s="1">
        <v>6</v>
      </c>
      <c r="S8201" s="1">
        <v>3000</v>
      </c>
      <c r="T8201" s="1">
        <f t="shared" si="505"/>
        <v>18000</v>
      </c>
      <c r="U8201" s="1">
        <f t="shared" si="506"/>
        <v>20160.000000000004</v>
      </c>
      <c r="V8201" s="3"/>
      <c r="W8201" s="3">
        <v>2014</v>
      </c>
      <c r="X8201" s="3"/>
    </row>
    <row r="8202" spans="1:24" ht="63.75">
      <c r="A8202" s="3" t="s">
        <v>16269</v>
      </c>
      <c r="B8202" s="56" t="s">
        <v>361</v>
      </c>
      <c r="C8202" s="6" t="s">
        <v>6284</v>
      </c>
      <c r="D8202" s="6" t="s">
        <v>460</v>
      </c>
      <c r="E8202" s="6" t="s">
        <v>6285</v>
      </c>
      <c r="F8202" s="129" t="s">
        <v>15810</v>
      </c>
      <c r="G8202" s="6" t="s">
        <v>11450</v>
      </c>
      <c r="H8202" s="54">
        <v>0</v>
      </c>
      <c r="I8202" s="16">
        <v>470000000</v>
      </c>
      <c r="J8202" s="16" t="s">
        <v>229</v>
      </c>
      <c r="K8202" s="6" t="s">
        <v>15758</v>
      </c>
      <c r="L8202" s="12" t="s">
        <v>404</v>
      </c>
      <c r="M8202" s="3" t="s">
        <v>230</v>
      </c>
      <c r="N8202" s="6" t="s">
        <v>15759</v>
      </c>
      <c r="O8202" s="78" t="s">
        <v>9716</v>
      </c>
      <c r="P8202" s="58" t="s">
        <v>241</v>
      </c>
      <c r="Q8202" s="3" t="s">
        <v>234</v>
      </c>
      <c r="R8202" s="1">
        <v>6</v>
      </c>
      <c r="S8202" s="1">
        <v>3300</v>
      </c>
      <c r="T8202" s="1">
        <f t="shared" si="505"/>
        <v>19800</v>
      </c>
      <c r="U8202" s="1">
        <f t="shared" si="506"/>
        <v>22176.000000000004</v>
      </c>
      <c r="V8202" s="3"/>
      <c r="W8202" s="3">
        <v>2014</v>
      </c>
      <c r="X8202" s="3"/>
    </row>
    <row r="8203" spans="1:24" ht="63.75">
      <c r="A8203" s="3" t="s">
        <v>16270</v>
      </c>
      <c r="B8203" s="56" t="s">
        <v>361</v>
      </c>
      <c r="C8203" s="6" t="s">
        <v>6284</v>
      </c>
      <c r="D8203" s="6" t="s">
        <v>460</v>
      </c>
      <c r="E8203" s="6" t="s">
        <v>6285</v>
      </c>
      <c r="F8203" s="129" t="s">
        <v>15811</v>
      </c>
      <c r="G8203" s="6" t="s">
        <v>11450</v>
      </c>
      <c r="H8203" s="54">
        <v>0</v>
      </c>
      <c r="I8203" s="16">
        <v>470000000</v>
      </c>
      <c r="J8203" s="16" t="s">
        <v>229</v>
      </c>
      <c r="K8203" s="6" t="s">
        <v>15758</v>
      </c>
      <c r="L8203" s="12" t="s">
        <v>404</v>
      </c>
      <c r="M8203" s="3" t="s">
        <v>230</v>
      </c>
      <c r="N8203" s="6" t="s">
        <v>15759</v>
      </c>
      <c r="O8203" s="78" t="s">
        <v>9716</v>
      </c>
      <c r="P8203" s="58" t="s">
        <v>241</v>
      </c>
      <c r="Q8203" s="3" t="s">
        <v>234</v>
      </c>
      <c r="R8203" s="1">
        <v>4</v>
      </c>
      <c r="S8203" s="1">
        <v>6000</v>
      </c>
      <c r="T8203" s="4">
        <v>0</v>
      </c>
      <c r="U8203" s="4">
        <f t="shared" si="506"/>
        <v>0</v>
      </c>
      <c r="V8203" s="3"/>
      <c r="W8203" s="3">
        <v>2014</v>
      </c>
      <c r="X8203" s="3">
        <v>11</v>
      </c>
    </row>
    <row r="8204" spans="1:24" ht="63.75">
      <c r="A8204" s="3" t="s">
        <v>18571</v>
      </c>
      <c r="B8204" s="56" t="s">
        <v>361</v>
      </c>
      <c r="C8204" s="6" t="s">
        <v>6284</v>
      </c>
      <c r="D8204" s="6" t="s">
        <v>460</v>
      </c>
      <c r="E8204" s="6" t="s">
        <v>6285</v>
      </c>
      <c r="F8204" s="129" t="s">
        <v>15811</v>
      </c>
      <c r="G8204" s="6" t="s">
        <v>11450</v>
      </c>
      <c r="H8204" s="54">
        <v>0</v>
      </c>
      <c r="I8204" s="16">
        <v>470000000</v>
      </c>
      <c r="J8204" s="16" t="s">
        <v>229</v>
      </c>
      <c r="K8204" s="6" t="s">
        <v>9369</v>
      </c>
      <c r="L8204" s="12" t="s">
        <v>404</v>
      </c>
      <c r="M8204" s="3" t="s">
        <v>230</v>
      </c>
      <c r="N8204" s="6" t="s">
        <v>15759</v>
      </c>
      <c r="O8204" s="78" t="s">
        <v>9716</v>
      </c>
      <c r="P8204" s="58" t="s">
        <v>241</v>
      </c>
      <c r="Q8204" s="3" t="s">
        <v>234</v>
      </c>
      <c r="R8204" s="1">
        <v>4</v>
      </c>
      <c r="S8204" s="1">
        <v>6000</v>
      </c>
      <c r="T8204" s="1">
        <f t="shared" ref="T8204" si="507">R8204*S8204</f>
        <v>24000</v>
      </c>
      <c r="U8204" s="1">
        <f t="shared" si="506"/>
        <v>26880.000000000004</v>
      </c>
      <c r="V8204" s="3"/>
      <c r="W8204" s="3">
        <v>2014</v>
      </c>
      <c r="X8204" s="3"/>
    </row>
    <row r="8205" spans="1:24" ht="63.75">
      <c r="A8205" s="3" t="s">
        <v>16271</v>
      </c>
      <c r="B8205" s="56" t="s">
        <v>361</v>
      </c>
      <c r="C8205" s="6" t="s">
        <v>6284</v>
      </c>
      <c r="D8205" s="6" t="s">
        <v>460</v>
      </c>
      <c r="E8205" s="6" t="s">
        <v>6285</v>
      </c>
      <c r="F8205" s="129" t="s">
        <v>15812</v>
      </c>
      <c r="G8205" s="6" t="s">
        <v>11450</v>
      </c>
      <c r="H8205" s="54">
        <v>0</v>
      </c>
      <c r="I8205" s="16">
        <v>470000000</v>
      </c>
      <c r="J8205" s="16" t="s">
        <v>229</v>
      </c>
      <c r="K8205" s="6" t="s">
        <v>15758</v>
      </c>
      <c r="L8205" s="12" t="s">
        <v>404</v>
      </c>
      <c r="M8205" s="3" t="s">
        <v>230</v>
      </c>
      <c r="N8205" s="6" t="s">
        <v>15759</v>
      </c>
      <c r="O8205" s="78" t="s">
        <v>9716</v>
      </c>
      <c r="P8205" s="58" t="s">
        <v>241</v>
      </c>
      <c r="Q8205" s="3" t="s">
        <v>234</v>
      </c>
      <c r="R8205" s="1">
        <v>4</v>
      </c>
      <c r="S8205" s="1">
        <v>12000</v>
      </c>
      <c r="T8205" s="4">
        <v>0</v>
      </c>
      <c r="U8205" s="4">
        <f t="shared" si="506"/>
        <v>0</v>
      </c>
      <c r="V8205" s="3"/>
      <c r="W8205" s="3">
        <v>2014</v>
      </c>
      <c r="X8205" s="3">
        <v>11</v>
      </c>
    </row>
    <row r="8206" spans="1:24" ht="63.75">
      <c r="A8206" s="3" t="s">
        <v>18573</v>
      </c>
      <c r="B8206" s="56" t="s">
        <v>361</v>
      </c>
      <c r="C8206" s="6" t="s">
        <v>6284</v>
      </c>
      <c r="D8206" s="6" t="s">
        <v>460</v>
      </c>
      <c r="E8206" s="6" t="s">
        <v>6285</v>
      </c>
      <c r="F8206" s="129" t="s">
        <v>15812</v>
      </c>
      <c r="G8206" s="6" t="s">
        <v>11450</v>
      </c>
      <c r="H8206" s="54">
        <v>0</v>
      </c>
      <c r="I8206" s="16">
        <v>470000000</v>
      </c>
      <c r="J8206" s="16" t="s">
        <v>229</v>
      </c>
      <c r="K8206" s="6" t="s">
        <v>9369</v>
      </c>
      <c r="L8206" s="12" t="s">
        <v>404</v>
      </c>
      <c r="M8206" s="3" t="s">
        <v>230</v>
      </c>
      <c r="N8206" s="6" t="s">
        <v>15759</v>
      </c>
      <c r="O8206" s="78" t="s">
        <v>9716</v>
      </c>
      <c r="P8206" s="58" t="s">
        <v>241</v>
      </c>
      <c r="Q8206" s="3" t="s">
        <v>234</v>
      </c>
      <c r="R8206" s="1">
        <v>4</v>
      </c>
      <c r="S8206" s="1">
        <v>12000</v>
      </c>
      <c r="T8206" s="1">
        <f t="shared" ref="T8206" si="508">R8206*S8206</f>
        <v>48000</v>
      </c>
      <c r="U8206" s="1">
        <f t="shared" si="506"/>
        <v>53760.000000000007</v>
      </c>
      <c r="V8206" s="3"/>
      <c r="W8206" s="3">
        <v>2014</v>
      </c>
      <c r="X8206" s="3"/>
    </row>
    <row r="8207" spans="1:24" ht="63.75">
      <c r="A8207" s="3" t="s">
        <v>16272</v>
      </c>
      <c r="B8207" s="56" t="s">
        <v>361</v>
      </c>
      <c r="C8207" s="6" t="s">
        <v>15762</v>
      </c>
      <c r="D8207" s="6" t="s">
        <v>460</v>
      </c>
      <c r="E8207" s="6" t="s">
        <v>15763</v>
      </c>
      <c r="F8207" s="129" t="s">
        <v>15813</v>
      </c>
      <c r="G8207" s="6" t="s">
        <v>11450</v>
      </c>
      <c r="H8207" s="54">
        <v>0</v>
      </c>
      <c r="I8207" s="16">
        <v>470000000</v>
      </c>
      <c r="J8207" s="16" t="s">
        <v>229</v>
      </c>
      <c r="K8207" s="6" t="s">
        <v>15758</v>
      </c>
      <c r="L8207" s="12" t="s">
        <v>404</v>
      </c>
      <c r="M8207" s="3" t="s">
        <v>230</v>
      </c>
      <c r="N8207" s="6" t="s">
        <v>15759</v>
      </c>
      <c r="O8207" s="78" t="s">
        <v>9716</v>
      </c>
      <c r="P8207" s="58" t="s">
        <v>241</v>
      </c>
      <c r="Q8207" s="3" t="s">
        <v>234</v>
      </c>
      <c r="R8207" s="1">
        <v>4</v>
      </c>
      <c r="S8207" s="1">
        <v>9000</v>
      </c>
      <c r="T8207" s="1">
        <f t="shared" si="505"/>
        <v>36000</v>
      </c>
      <c r="U8207" s="1">
        <f t="shared" si="506"/>
        <v>40320.000000000007</v>
      </c>
      <c r="V8207" s="3"/>
      <c r="W8207" s="3">
        <v>2014</v>
      </c>
      <c r="X8207" s="3"/>
    </row>
    <row r="8208" spans="1:24" ht="63.75">
      <c r="A8208" s="3" t="s">
        <v>16273</v>
      </c>
      <c r="B8208" s="56" t="s">
        <v>361</v>
      </c>
      <c r="C8208" s="6" t="s">
        <v>15783</v>
      </c>
      <c r="D8208" s="6" t="s">
        <v>15784</v>
      </c>
      <c r="E8208" s="6" t="s">
        <v>15785</v>
      </c>
      <c r="F8208" s="6" t="s">
        <v>15814</v>
      </c>
      <c r="G8208" s="6" t="s">
        <v>11450</v>
      </c>
      <c r="H8208" s="54">
        <v>0</v>
      </c>
      <c r="I8208" s="16">
        <v>470000000</v>
      </c>
      <c r="J8208" s="16" t="s">
        <v>229</v>
      </c>
      <c r="K8208" s="6" t="s">
        <v>15758</v>
      </c>
      <c r="L8208" s="12" t="s">
        <v>404</v>
      </c>
      <c r="M8208" s="3" t="s">
        <v>230</v>
      </c>
      <c r="N8208" s="6" t="s">
        <v>15759</v>
      </c>
      <c r="O8208" s="78" t="s">
        <v>9716</v>
      </c>
      <c r="P8208" s="58" t="s">
        <v>241</v>
      </c>
      <c r="Q8208" s="3" t="s">
        <v>234</v>
      </c>
      <c r="R8208" s="1">
        <v>1</v>
      </c>
      <c r="S8208" s="1">
        <v>45000</v>
      </c>
      <c r="T8208" s="1">
        <f t="shared" si="505"/>
        <v>45000</v>
      </c>
      <c r="U8208" s="1">
        <f t="shared" si="506"/>
        <v>50400.000000000007</v>
      </c>
      <c r="V8208" s="3"/>
      <c r="W8208" s="3">
        <v>2014</v>
      </c>
      <c r="X8208" s="3"/>
    </row>
    <row r="8209" spans="1:24" ht="63.75">
      <c r="A8209" s="3" t="s">
        <v>16274</v>
      </c>
      <c r="B8209" s="56" t="s">
        <v>361</v>
      </c>
      <c r="C8209" s="6" t="s">
        <v>7558</v>
      </c>
      <c r="D8209" s="6" t="s">
        <v>441</v>
      </c>
      <c r="E8209" s="6" t="s">
        <v>7559</v>
      </c>
      <c r="F8209" s="6" t="s">
        <v>15815</v>
      </c>
      <c r="G8209" s="6" t="s">
        <v>11450</v>
      </c>
      <c r="H8209" s="54">
        <v>0</v>
      </c>
      <c r="I8209" s="16">
        <v>470000000</v>
      </c>
      <c r="J8209" s="16" t="s">
        <v>229</v>
      </c>
      <c r="K8209" s="6" t="s">
        <v>15758</v>
      </c>
      <c r="L8209" s="12" t="s">
        <v>404</v>
      </c>
      <c r="M8209" s="3" t="s">
        <v>230</v>
      </c>
      <c r="N8209" s="6" t="s">
        <v>15759</v>
      </c>
      <c r="O8209" s="78" t="s">
        <v>9716</v>
      </c>
      <c r="P8209" s="58" t="s">
        <v>241</v>
      </c>
      <c r="Q8209" s="3" t="s">
        <v>234</v>
      </c>
      <c r="R8209" s="1">
        <v>1</v>
      </c>
      <c r="S8209" s="1">
        <v>18470</v>
      </c>
      <c r="T8209" s="4">
        <v>0</v>
      </c>
      <c r="U8209" s="4">
        <f t="shared" si="506"/>
        <v>0</v>
      </c>
      <c r="V8209" s="3"/>
      <c r="W8209" s="3">
        <v>2014</v>
      </c>
      <c r="X8209" s="3">
        <v>11</v>
      </c>
    </row>
    <row r="8210" spans="1:24" ht="63.75">
      <c r="A8210" s="3" t="s">
        <v>18574</v>
      </c>
      <c r="B8210" s="56" t="s">
        <v>361</v>
      </c>
      <c r="C8210" s="6" t="s">
        <v>7558</v>
      </c>
      <c r="D8210" s="6" t="s">
        <v>441</v>
      </c>
      <c r="E8210" s="6" t="s">
        <v>7559</v>
      </c>
      <c r="F8210" s="6" t="s">
        <v>15815</v>
      </c>
      <c r="G8210" s="6" t="s">
        <v>11450</v>
      </c>
      <c r="H8210" s="54">
        <v>0</v>
      </c>
      <c r="I8210" s="16">
        <v>470000000</v>
      </c>
      <c r="J8210" s="16" t="s">
        <v>229</v>
      </c>
      <c r="K8210" s="6" t="s">
        <v>9369</v>
      </c>
      <c r="L8210" s="12" t="s">
        <v>404</v>
      </c>
      <c r="M8210" s="3" t="s">
        <v>230</v>
      </c>
      <c r="N8210" s="6" t="s">
        <v>15759</v>
      </c>
      <c r="O8210" s="78" t="s">
        <v>9716</v>
      </c>
      <c r="P8210" s="58" t="s">
        <v>241</v>
      </c>
      <c r="Q8210" s="3" t="s">
        <v>234</v>
      </c>
      <c r="R8210" s="1">
        <v>1</v>
      </c>
      <c r="S8210" s="1">
        <v>18470</v>
      </c>
      <c r="T8210" s="1">
        <f t="shared" ref="T8210" si="509">R8210*S8210</f>
        <v>18470</v>
      </c>
      <c r="U8210" s="1">
        <f t="shared" si="506"/>
        <v>20686.400000000001</v>
      </c>
      <c r="V8210" s="3"/>
      <c r="W8210" s="3">
        <v>2014</v>
      </c>
      <c r="X8210" s="3"/>
    </row>
    <row r="8211" spans="1:24" ht="63.75">
      <c r="A8211" s="3" t="s">
        <v>16275</v>
      </c>
      <c r="B8211" s="56" t="s">
        <v>361</v>
      </c>
      <c r="C8211" s="6" t="s">
        <v>15774</v>
      </c>
      <c r="D8211" s="6" t="s">
        <v>368</v>
      </c>
      <c r="E8211" s="6" t="s">
        <v>15775</v>
      </c>
      <c r="F8211" s="6" t="s">
        <v>15816</v>
      </c>
      <c r="G8211" s="6" t="s">
        <v>11450</v>
      </c>
      <c r="H8211" s="54">
        <v>0</v>
      </c>
      <c r="I8211" s="16">
        <v>470000000</v>
      </c>
      <c r="J8211" s="16" t="s">
        <v>229</v>
      </c>
      <c r="K8211" s="6" t="s">
        <v>15758</v>
      </c>
      <c r="L8211" s="12" t="s">
        <v>404</v>
      </c>
      <c r="M8211" s="3" t="s">
        <v>230</v>
      </c>
      <c r="N8211" s="6" t="s">
        <v>15759</v>
      </c>
      <c r="O8211" s="78" t="s">
        <v>9716</v>
      </c>
      <c r="P8211" s="58" t="s">
        <v>241</v>
      </c>
      <c r="Q8211" s="3" t="s">
        <v>234</v>
      </c>
      <c r="R8211" s="1">
        <v>3</v>
      </c>
      <c r="S8211" s="1">
        <v>54996</v>
      </c>
      <c r="T8211" s="4">
        <v>0</v>
      </c>
      <c r="U8211" s="4">
        <f t="shared" si="506"/>
        <v>0</v>
      </c>
      <c r="V8211" s="3"/>
      <c r="W8211" s="3">
        <v>2014</v>
      </c>
      <c r="X8211" s="3">
        <v>11</v>
      </c>
    </row>
    <row r="8212" spans="1:24" ht="63.75">
      <c r="A8212" s="3" t="s">
        <v>18575</v>
      </c>
      <c r="B8212" s="56" t="s">
        <v>361</v>
      </c>
      <c r="C8212" s="6" t="s">
        <v>15774</v>
      </c>
      <c r="D8212" s="6" t="s">
        <v>368</v>
      </c>
      <c r="E8212" s="6" t="s">
        <v>15775</v>
      </c>
      <c r="F8212" s="6" t="s">
        <v>15816</v>
      </c>
      <c r="G8212" s="6" t="s">
        <v>11450</v>
      </c>
      <c r="H8212" s="54">
        <v>0</v>
      </c>
      <c r="I8212" s="16">
        <v>470000000</v>
      </c>
      <c r="J8212" s="16" t="s">
        <v>229</v>
      </c>
      <c r="K8212" s="6" t="s">
        <v>9369</v>
      </c>
      <c r="L8212" s="12" t="s">
        <v>404</v>
      </c>
      <c r="M8212" s="3" t="s">
        <v>230</v>
      </c>
      <c r="N8212" s="6" t="s">
        <v>15759</v>
      </c>
      <c r="O8212" s="78" t="s">
        <v>9716</v>
      </c>
      <c r="P8212" s="58" t="s">
        <v>241</v>
      </c>
      <c r="Q8212" s="3" t="s">
        <v>234</v>
      </c>
      <c r="R8212" s="1">
        <v>3</v>
      </c>
      <c r="S8212" s="1">
        <v>54996</v>
      </c>
      <c r="T8212" s="1">
        <f t="shared" ref="T8212" si="510">R8212*S8212</f>
        <v>164988</v>
      </c>
      <c r="U8212" s="1">
        <f t="shared" si="506"/>
        <v>184786.56000000003</v>
      </c>
      <c r="V8212" s="3"/>
      <c r="W8212" s="3">
        <v>2014</v>
      </c>
      <c r="X8212" s="3"/>
    </row>
    <row r="8213" spans="1:24" ht="63.75">
      <c r="A8213" s="3" t="s">
        <v>16276</v>
      </c>
      <c r="B8213" s="56" t="s">
        <v>361</v>
      </c>
      <c r="C8213" s="6" t="s">
        <v>6694</v>
      </c>
      <c r="D8213" s="6" t="s">
        <v>5892</v>
      </c>
      <c r="E8213" s="6" t="s">
        <v>6695</v>
      </c>
      <c r="F8213" s="129" t="s">
        <v>15817</v>
      </c>
      <c r="G8213" s="6" t="s">
        <v>11450</v>
      </c>
      <c r="H8213" s="54">
        <v>0</v>
      </c>
      <c r="I8213" s="16">
        <v>470000000</v>
      </c>
      <c r="J8213" s="16" t="s">
        <v>229</v>
      </c>
      <c r="K8213" s="6" t="s">
        <v>15758</v>
      </c>
      <c r="L8213" s="12" t="s">
        <v>404</v>
      </c>
      <c r="M8213" s="3" t="s">
        <v>230</v>
      </c>
      <c r="N8213" s="6" t="s">
        <v>15759</v>
      </c>
      <c r="O8213" s="78" t="s">
        <v>9716</v>
      </c>
      <c r="P8213" s="58" t="s">
        <v>241</v>
      </c>
      <c r="Q8213" s="3" t="s">
        <v>234</v>
      </c>
      <c r="R8213" s="1">
        <v>64</v>
      </c>
      <c r="S8213" s="1">
        <v>11734</v>
      </c>
      <c r="T8213" s="1">
        <f>R8213*S8213</f>
        <v>750976</v>
      </c>
      <c r="U8213" s="1">
        <f>T8213*1.12</f>
        <v>841093.12000000011</v>
      </c>
      <c r="V8213" s="3"/>
      <c r="W8213" s="3">
        <v>2014</v>
      </c>
      <c r="X8213" s="3"/>
    </row>
    <row r="8214" spans="1:24" ht="63.75">
      <c r="A8214" s="3" t="s">
        <v>16277</v>
      </c>
      <c r="B8214" s="56" t="s">
        <v>361</v>
      </c>
      <c r="C8214" s="6" t="s">
        <v>6284</v>
      </c>
      <c r="D8214" s="6" t="s">
        <v>460</v>
      </c>
      <c r="E8214" s="6" t="s">
        <v>6285</v>
      </c>
      <c r="F8214" s="129" t="s">
        <v>15818</v>
      </c>
      <c r="G8214" s="6" t="s">
        <v>11450</v>
      </c>
      <c r="H8214" s="54">
        <v>0</v>
      </c>
      <c r="I8214" s="16">
        <v>470000000</v>
      </c>
      <c r="J8214" s="16" t="s">
        <v>229</v>
      </c>
      <c r="K8214" s="6" t="s">
        <v>15758</v>
      </c>
      <c r="L8214" s="12" t="s">
        <v>404</v>
      </c>
      <c r="M8214" s="3" t="s">
        <v>230</v>
      </c>
      <c r="N8214" s="6" t="s">
        <v>15759</v>
      </c>
      <c r="O8214" s="78" t="s">
        <v>9716</v>
      </c>
      <c r="P8214" s="58" t="s">
        <v>241</v>
      </c>
      <c r="Q8214" s="3" t="s">
        <v>234</v>
      </c>
      <c r="R8214" s="1">
        <v>32</v>
      </c>
      <c r="S8214" s="1">
        <v>3797</v>
      </c>
      <c r="T8214" s="1">
        <f t="shared" ref="T8214:T8255" si="511">R8214*S8214</f>
        <v>121504</v>
      </c>
      <c r="U8214" s="1">
        <f t="shared" ref="U8214:U8276" si="512">T8214*1.12</f>
        <v>136084.48000000001</v>
      </c>
      <c r="V8214" s="3"/>
      <c r="W8214" s="3">
        <v>2014</v>
      </c>
      <c r="X8214" s="3"/>
    </row>
    <row r="8215" spans="1:24" ht="63.75">
      <c r="A8215" s="3" t="s">
        <v>16278</v>
      </c>
      <c r="B8215" s="56" t="s">
        <v>361</v>
      </c>
      <c r="C8215" s="6" t="s">
        <v>6284</v>
      </c>
      <c r="D8215" s="6" t="s">
        <v>460</v>
      </c>
      <c r="E8215" s="6" t="s">
        <v>6285</v>
      </c>
      <c r="F8215" s="129" t="s">
        <v>15819</v>
      </c>
      <c r="G8215" s="6" t="s">
        <v>11450</v>
      </c>
      <c r="H8215" s="54">
        <v>0</v>
      </c>
      <c r="I8215" s="16">
        <v>470000000</v>
      </c>
      <c r="J8215" s="16" t="s">
        <v>229</v>
      </c>
      <c r="K8215" s="6" t="s">
        <v>15758</v>
      </c>
      <c r="L8215" s="12" t="s">
        <v>404</v>
      </c>
      <c r="M8215" s="3" t="s">
        <v>230</v>
      </c>
      <c r="N8215" s="6" t="s">
        <v>15759</v>
      </c>
      <c r="O8215" s="78" t="s">
        <v>9716</v>
      </c>
      <c r="P8215" s="58" t="s">
        <v>241</v>
      </c>
      <c r="Q8215" s="3" t="s">
        <v>234</v>
      </c>
      <c r="R8215" s="1">
        <v>24</v>
      </c>
      <c r="S8215" s="1">
        <v>16871</v>
      </c>
      <c r="T8215" s="1">
        <f t="shared" si="511"/>
        <v>404904</v>
      </c>
      <c r="U8215" s="1">
        <f t="shared" si="512"/>
        <v>453492.48000000004</v>
      </c>
      <c r="V8215" s="3"/>
      <c r="W8215" s="3">
        <v>2014</v>
      </c>
      <c r="X8215" s="3"/>
    </row>
    <row r="8216" spans="1:24" ht="63.75">
      <c r="A8216" s="3" t="s">
        <v>16279</v>
      </c>
      <c r="B8216" s="56" t="s">
        <v>361</v>
      </c>
      <c r="C8216" s="6" t="s">
        <v>6284</v>
      </c>
      <c r="D8216" s="6" t="s">
        <v>460</v>
      </c>
      <c r="E8216" s="6" t="s">
        <v>6285</v>
      </c>
      <c r="F8216" s="129" t="s">
        <v>15820</v>
      </c>
      <c r="G8216" s="6" t="s">
        <v>11450</v>
      </c>
      <c r="H8216" s="54">
        <v>0</v>
      </c>
      <c r="I8216" s="16">
        <v>470000000</v>
      </c>
      <c r="J8216" s="16" t="s">
        <v>229</v>
      </c>
      <c r="K8216" s="6" t="s">
        <v>15758</v>
      </c>
      <c r="L8216" s="12" t="s">
        <v>404</v>
      </c>
      <c r="M8216" s="3" t="s">
        <v>230</v>
      </c>
      <c r="N8216" s="6" t="s">
        <v>15759</v>
      </c>
      <c r="O8216" s="78" t="s">
        <v>9716</v>
      </c>
      <c r="P8216" s="58" t="s">
        <v>241</v>
      </c>
      <c r="Q8216" s="3" t="s">
        <v>234</v>
      </c>
      <c r="R8216" s="1">
        <v>32</v>
      </c>
      <c r="S8216" s="1">
        <v>4609</v>
      </c>
      <c r="T8216" s="1">
        <f t="shared" si="511"/>
        <v>147488</v>
      </c>
      <c r="U8216" s="1">
        <f t="shared" si="512"/>
        <v>165186.56000000003</v>
      </c>
      <c r="V8216" s="3"/>
      <c r="W8216" s="3">
        <v>2014</v>
      </c>
      <c r="X8216" s="3"/>
    </row>
    <row r="8217" spans="1:24" ht="63.75">
      <c r="A8217" s="3" t="s">
        <v>16280</v>
      </c>
      <c r="B8217" s="56" t="s">
        <v>361</v>
      </c>
      <c r="C8217" s="6" t="s">
        <v>6284</v>
      </c>
      <c r="D8217" s="6" t="s">
        <v>460</v>
      </c>
      <c r="E8217" s="6" t="s">
        <v>6285</v>
      </c>
      <c r="F8217" s="129" t="s">
        <v>15821</v>
      </c>
      <c r="G8217" s="6" t="s">
        <v>11450</v>
      </c>
      <c r="H8217" s="54">
        <v>0</v>
      </c>
      <c r="I8217" s="16">
        <v>470000000</v>
      </c>
      <c r="J8217" s="16" t="s">
        <v>229</v>
      </c>
      <c r="K8217" s="6" t="s">
        <v>15758</v>
      </c>
      <c r="L8217" s="12" t="s">
        <v>404</v>
      </c>
      <c r="M8217" s="3" t="s">
        <v>230</v>
      </c>
      <c r="N8217" s="6" t="s">
        <v>15759</v>
      </c>
      <c r="O8217" s="78" t="s">
        <v>9716</v>
      </c>
      <c r="P8217" s="58" t="s">
        <v>241</v>
      </c>
      <c r="Q8217" s="3" t="s">
        <v>234</v>
      </c>
      <c r="R8217" s="1">
        <v>24</v>
      </c>
      <c r="S8217" s="1">
        <v>29817</v>
      </c>
      <c r="T8217" s="1">
        <f t="shared" si="511"/>
        <v>715608</v>
      </c>
      <c r="U8217" s="1">
        <f t="shared" si="512"/>
        <v>801480.96000000008</v>
      </c>
      <c r="V8217" s="3"/>
      <c r="W8217" s="3">
        <v>2014</v>
      </c>
      <c r="X8217" s="3"/>
    </row>
    <row r="8218" spans="1:24" ht="63.75">
      <c r="A8218" s="3" t="s">
        <v>16281</v>
      </c>
      <c r="B8218" s="56" t="s">
        <v>361</v>
      </c>
      <c r="C8218" s="6" t="s">
        <v>6284</v>
      </c>
      <c r="D8218" s="6" t="s">
        <v>460</v>
      </c>
      <c r="E8218" s="6" t="s">
        <v>6285</v>
      </c>
      <c r="F8218" s="129" t="s">
        <v>15822</v>
      </c>
      <c r="G8218" s="6" t="s">
        <v>11450</v>
      </c>
      <c r="H8218" s="54">
        <v>0</v>
      </c>
      <c r="I8218" s="16">
        <v>470000000</v>
      </c>
      <c r="J8218" s="16" t="s">
        <v>229</v>
      </c>
      <c r="K8218" s="6" t="s">
        <v>15758</v>
      </c>
      <c r="L8218" s="12" t="s">
        <v>404</v>
      </c>
      <c r="M8218" s="3" t="s">
        <v>230</v>
      </c>
      <c r="N8218" s="6" t="s">
        <v>15759</v>
      </c>
      <c r="O8218" s="78" t="s">
        <v>9716</v>
      </c>
      <c r="P8218" s="58" t="s">
        <v>241</v>
      </c>
      <c r="Q8218" s="3" t="s">
        <v>234</v>
      </c>
      <c r="R8218" s="1">
        <v>10</v>
      </c>
      <c r="S8218" s="1">
        <v>22321</v>
      </c>
      <c r="T8218" s="1">
        <f t="shared" si="511"/>
        <v>223210</v>
      </c>
      <c r="U8218" s="1">
        <f t="shared" si="512"/>
        <v>249995.2</v>
      </c>
      <c r="V8218" s="3"/>
      <c r="W8218" s="3">
        <v>2014</v>
      </c>
      <c r="X8218" s="3"/>
    </row>
    <row r="8219" spans="1:24" ht="63.75">
      <c r="A8219" s="3" t="s">
        <v>16282</v>
      </c>
      <c r="B8219" s="56" t="s">
        <v>361</v>
      </c>
      <c r="C8219" s="6" t="s">
        <v>6284</v>
      </c>
      <c r="D8219" s="6" t="s">
        <v>460</v>
      </c>
      <c r="E8219" s="6" t="s">
        <v>6285</v>
      </c>
      <c r="F8219" s="129" t="s">
        <v>15823</v>
      </c>
      <c r="G8219" s="6" t="s">
        <v>11450</v>
      </c>
      <c r="H8219" s="54">
        <v>0</v>
      </c>
      <c r="I8219" s="16">
        <v>470000000</v>
      </c>
      <c r="J8219" s="16" t="s">
        <v>229</v>
      </c>
      <c r="K8219" s="6" t="s">
        <v>15758</v>
      </c>
      <c r="L8219" s="12" t="s">
        <v>404</v>
      </c>
      <c r="M8219" s="3" t="s">
        <v>230</v>
      </c>
      <c r="N8219" s="6" t="s">
        <v>15759</v>
      </c>
      <c r="O8219" s="78" t="s">
        <v>9716</v>
      </c>
      <c r="P8219" s="58" t="s">
        <v>241</v>
      </c>
      <c r="Q8219" s="3" t="s">
        <v>234</v>
      </c>
      <c r="R8219" s="1">
        <v>6</v>
      </c>
      <c r="S8219" s="1">
        <v>17590</v>
      </c>
      <c r="T8219" s="1">
        <f t="shared" si="511"/>
        <v>105540</v>
      </c>
      <c r="U8219" s="1">
        <f t="shared" si="512"/>
        <v>118204.80000000002</v>
      </c>
      <c r="V8219" s="3"/>
      <c r="W8219" s="3">
        <v>2014</v>
      </c>
      <c r="X8219" s="3"/>
    </row>
    <row r="8220" spans="1:24" ht="63.75">
      <c r="A8220" s="3" t="s">
        <v>16283</v>
      </c>
      <c r="B8220" s="56" t="s">
        <v>361</v>
      </c>
      <c r="C8220" s="6" t="s">
        <v>6284</v>
      </c>
      <c r="D8220" s="6" t="s">
        <v>460</v>
      </c>
      <c r="E8220" s="6" t="s">
        <v>6285</v>
      </c>
      <c r="F8220" s="129" t="s">
        <v>15824</v>
      </c>
      <c r="G8220" s="6" t="s">
        <v>11450</v>
      </c>
      <c r="H8220" s="54">
        <v>0</v>
      </c>
      <c r="I8220" s="16">
        <v>470000000</v>
      </c>
      <c r="J8220" s="16" t="s">
        <v>229</v>
      </c>
      <c r="K8220" s="6" t="s">
        <v>15758</v>
      </c>
      <c r="L8220" s="12" t="s">
        <v>404</v>
      </c>
      <c r="M8220" s="3" t="s">
        <v>230</v>
      </c>
      <c r="N8220" s="6" t="s">
        <v>15759</v>
      </c>
      <c r="O8220" s="78" t="s">
        <v>9716</v>
      </c>
      <c r="P8220" s="58" t="s">
        <v>241</v>
      </c>
      <c r="Q8220" s="3" t="s">
        <v>234</v>
      </c>
      <c r="R8220" s="1">
        <v>10</v>
      </c>
      <c r="S8220" s="1">
        <v>23555</v>
      </c>
      <c r="T8220" s="1">
        <f t="shared" si="511"/>
        <v>235550</v>
      </c>
      <c r="U8220" s="1">
        <f t="shared" si="512"/>
        <v>263816</v>
      </c>
      <c r="V8220" s="3"/>
      <c r="W8220" s="3">
        <v>2014</v>
      </c>
      <c r="X8220" s="3"/>
    </row>
    <row r="8221" spans="1:24" ht="63.75">
      <c r="A8221" s="3" t="s">
        <v>16284</v>
      </c>
      <c r="B8221" s="56" t="s">
        <v>361</v>
      </c>
      <c r="C8221" s="6" t="s">
        <v>6284</v>
      </c>
      <c r="D8221" s="6" t="s">
        <v>460</v>
      </c>
      <c r="E8221" s="6" t="s">
        <v>6285</v>
      </c>
      <c r="F8221" s="129" t="s">
        <v>15825</v>
      </c>
      <c r="G8221" s="6" t="s">
        <v>11450</v>
      </c>
      <c r="H8221" s="54">
        <v>0</v>
      </c>
      <c r="I8221" s="16">
        <v>470000000</v>
      </c>
      <c r="J8221" s="16" t="s">
        <v>229</v>
      </c>
      <c r="K8221" s="6" t="s">
        <v>15758</v>
      </c>
      <c r="L8221" s="12" t="s">
        <v>404</v>
      </c>
      <c r="M8221" s="3" t="s">
        <v>230</v>
      </c>
      <c r="N8221" s="6" t="s">
        <v>15759</v>
      </c>
      <c r="O8221" s="78" t="s">
        <v>9716</v>
      </c>
      <c r="P8221" s="58" t="s">
        <v>241</v>
      </c>
      <c r="Q8221" s="3" t="s">
        <v>234</v>
      </c>
      <c r="R8221" s="1">
        <v>6</v>
      </c>
      <c r="S8221" s="1">
        <v>41568</v>
      </c>
      <c r="T8221" s="1">
        <f t="shared" si="511"/>
        <v>249408</v>
      </c>
      <c r="U8221" s="1">
        <f t="shared" si="512"/>
        <v>279336.96000000002</v>
      </c>
      <c r="V8221" s="3"/>
      <c r="W8221" s="3">
        <v>2014</v>
      </c>
      <c r="X8221" s="3"/>
    </row>
    <row r="8222" spans="1:24" ht="63.75">
      <c r="A8222" s="3" t="s">
        <v>16285</v>
      </c>
      <c r="B8222" s="56" t="s">
        <v>361</v>
      </c>
      <c r="C8222" s="6" t="s">
        <v>6284</v>
      </c>
      <c r="D8222" s="6" t="s">
        <v>460</v>
      </c>
      <c r="E8222" s="6" t="s">
        <v>6285</v>
      </c>
      <c r="F8222" s="129" t="s">
        <v>15826</v>
      </c>
      <c r="G8222" s="6" t="s">
        <v>11450</v>
      </c>
      <c r="H8222" s="54">
        <v>0</v>
      </c>
      <c r="I8222" s="16">
        <v>470000000</v>
      </c>
      <c r="J8222" s="16" t="s">
        <v>229</v>
      </c>
      <c r="K8222" s="6" t="s">
        <v>15758</v>
      </c>
      <c r="L8222" s="12" t="s">
        <v>404</v>
      </c>
      <c r="M8222" s="3" t="s">
        <v>230</v>
      </c>
      <c r="N8222" s="6" t="s">
        <v>15759</v>
      </c>
      <c r="O8222" s="78" t="s">
        <v>9716</v>
      </c>
      <c r="P8222" s="58" t="s">
        <v>241</v>
      </c>
      <c r="Q8222" s="3" t="s">
        <v>234</v>
      </c>
      <c r="R8222" s="1">
        <v>20</v>
      </c>
      <c r="S8222" s="1">
        <v>7288</v>
      </c>
      <c r="T8222" s="1">
        <f t="shared" si="511"/>
        <v>145760</v>
      </c>
      <c r="U8222" s="1">
        <f t="shared" si="512"/>
        <v>163251.20000000001</v>
      </c>
      <c r="V8222" s="3"/>
      <c r="W8222" s="3">
        <v>2014</v>
      </c>
      <c r="X8222" s="3"/>
    </row>
    <row r="8223" spans="1:24" ht="63.75">
      <c r="A8223" s="3" t="s">
        <v>16286</v>
      </c>
      <c r="B8223" s="56" t="s">
        <v>361</v>
      </c>
      <c r="C8223" s="6" t="s">
        <v>6284</v>
      </c>
      <c r="D8223" s="6" t="s">
        <v>460</v>
      </c>
      <c r="E8223" s="6" t="s">
        <v>6285</v>
      </c>
      <c r="F8223" s="129" t="s">
        <v>15827</v>
      </c>
      <c r="G8223" s="6" t="s">
        <v>11450</v>
      </c>
      <c r="H8223" s="54">
        <v>0</v>
      </c>
      <c r="I8223" s="16">
        <v>470000000</v>
      </c>
      <c r="J8223" s="16" t="s">
        <v>229</v>
      </c>
      <c r="K8223" s="6" t="s">
        <v>15758</v>
      </c>
      <c r="L8223" s="12" t="s">
        <v>404</v>
      </c>
      <c r="M8223" s="3" t="s">
        <v>230</v>
      </c>
      <c r="N8223" s="6" t="s">
        <v>15759</v>
      </c>
      <c r="O8223" s="78" t="s">
        <v>9716</v>
      </c>
      <c r="P8223" s="58" t="s">
        <v>241</v>
      </c>
      <c r="Q8223" s="3" t="s">
        <v>234</v>
      </c>
      <c r="R8223" s="1">
        <v>16</v>
      </c>
      <c r="S8223" s="1">
        <v>20674</v>
      </c>
      <c r="T8223" s="1">
        <f t="shared" si="511"/>
        <v>330784</v>
      </c>
      <c r="U8223" s="1">
        <f t="shared" si="512"/>
        <v>370478.08000000002</v>
      </c>
      <c r="V8223" s="3"/>
      <c r="W8223" s="3">
        <v>2014</v>
      </c>
      <c r="X8223" s="3"/>
    </row>
    <row r="8224" spans="1:24" ht="63.75">
      <c r="A8224" s="3" t="s">
        <v>16287</v>
      </c>
      <c r="B8224" s="56" t="s">
        <v>361</v>
      </c>
      <c r="C8224" s="6" t="s">
        <v>6284</v>
      </c>
      <c r="D8224" s="6" t="s">
        <v>460</v>
      </c>
      <c r="E8224" s="6" t="s">
        <v>6285</v>
      </c>
      <c r="F8224" s="129" t="s">
        <v>15828</v>
      </c>
      <c r="G8224" s="6" t="s">
        <v>11450</v>
      </c>
      <c r="H8224" s="54">
        <v>0</v>
      </c>
      <c r="I8224" s="16">
        <v>470000000</v>
      </c>
      <c r="J8224" s="16" t="s">
        <v>229</v>
      </c>
      <c r="K8224" s="6" t="s">
        <v>15758</v>
      </c>
      <c r="L8224" s="12" t="s">
        <v>404</v>
      </c>
      <c r="M8224" s="3" t="s">
        <v>230</v>
      </c>
      <c r="N8224" s="6" t="s">
        <v>15759</v>
      </c>
      <c r="O8224" s="78" t="s">
        <v>9716</v>
      </c>
      <c r="P8224" s="58" t="s">
        <v>241</v>
      </c>
      <c r="Q8224" s="3" t="s">
        <v>234</v>
      </c>
      <c r="R8224" s="1">
        <v>6</v>
      </c>
      <c r="S8224" s="1">
        <v>10853</v>
      </c>
      <c r="T8224" s="1">
        <f t="shared" si="511"/>
        <v>65118</v>
      </c>
      <c r="U8224" s="1">
        <f t="shared" si="512"/>
        <v>72932.160000000003</v>
      </c>
      <c r="V8224" s="3"/>
      <c r="W8224" s="3">
        <v>2014</v>
      </c>
      <c r="X8224" s="3"/>
    </row>
    <row r="8225" spans="1:24" ht="63.75">
      <c r="A8225" s="3" t="s">
        <v>16288</v>
      </c>
      <c r="B8225" s="56" t="s">
        <v>361</v>
      </c>
      <c r="C8225" s="6" t="s">
        <v>6694</v>
      </c>
      <c r="D8225" s="6" t="s">
        <v>5892</v>
      </c>
      <c r="E8225" s="6" t="s">
        <v>6695</v>
      </c>
      <c r="F8225" s="6" t="s">
        <v>15829</v>
      </c>
      <c r="G8225" s="6" t="s">
        <v>11450</v>
      </c>
      <c r="H8225" s="54">
        <v>0</v>
      </c>
      <c r="I8225" s="16">
        <v>470000000</v>
      </c>
      <c r="J8225" s="16" t="s">
        <v>229</v>
      </c>
      <c r="K8225" s="6" t="s">
        <v>15758</v>
      </c>
      <c r="L8225" s="12" t="s">
        <v>404</v>
      </c>
      <c r="M8225" s="3" t="s">
        <v>230</v>
      </c>
      <c r="N8225" s="6" t="s">
        <v>15759</v>
      </c>
      <c r="O8225" s="78" t="s">
        <v>9716</v>
      </c>
      <c r="P8225" s="58" t="s">
        <v>241</v>
      </c>
      <c r="Q8225" s="3" t="s">
        <v>234</v>
      </c>
      <c r="R8225" s="1">
        <v>20</v>
      </c>
      <c r="S8225" s="1">
        <v>2200</v>
      </c>
      <c r="T8225" s="4">
        <v>0</v>
      </c>
      <c r="U8225" s="4">
        <f t="shared" si="512"/>
        <v>0</v>
      </c>
      <c r="V8225" s="3"/>
      <c r="W8225" s="3">
        <v>2014</v>
      </c>
      <c r="X8225" s="3">
        <v>11</v>
      </c>
    </row>
    <row r="8226" spans="1:24" ht="63.75">
      <c r="A8226" s="3" t="s">
        <v>18576</v>
      </c>
      <c r="B8226" s="56" t="s">
        <v>361</v>
      </c>
      <c r="C8226" s="6" t="s">
        <v>6694</v>
      </c>
      <c r="D8226" s="6" t="s">
        <v>5892</v>
      </c>
      <c r="E8226" s="6" t="s">
        <v>6695</v>
      </c>
      <c r="F8226" s="6" t="s">
        <v>15829</v>
      </c>
      <c r="G8226" s="6" t="s">
        <v>11450</v>
      </c>
      <c r="H8226" s="54">
        <v>0</v>
      </c>
      <c r="I8226" s="16">
        <v>470000000</v>
      </c>
      <c r="J8226" s="16" t="s">
        <v>229</v>
      </c>
      <c r="K8226" s="6" t="s">
        <v>9369</v>
      </c>
      <c r="L8226" s="12" t="s">
        <v>404</v>
      </c>
      <c r="M8226" s="3" t="s">
        <v>230</v>
      </c>
      <c r="N8226" s="6" t="s">
        <v>15759</v>
      </c>
      <c r="O8226" s="78" t="s">
        <v>9716</v>
      </c>
      <c r="P8226" s="58" t="s">
        <v>241</v>
      </c>
      <c r="Q8226" s="3" t="s">
        <v>234</v>
      </c>
      <c r="R8226" s="1">
        <v>20</v>
      </c>
      <c r="S8226" s="1">
        <v>2200</v>
      </c>
      <c r="T8226" s="1">
        <f t="shared" ref="T8226" si="513">R8226*S8226</f>
        <v>44000</v>
      </c>
      <c r="U8226" s="1">
        <f t="shared" si="512"/>
        <v>49280.000000000007</v>
      </c>
      <c r="V8226" s="3"/>
      <c r="W8226" s="3">
        <v>2014</v>
      </c>
      <c r="X8226" s="3"/>
    </row>
    <row r="8227" spans="1:24" ht="63.75">
      <c r="A8227" s="3" t="s">
        <v>16289</v>
      </c>
      <c r="B8227" s="56" t="s">
        <v>361</v>
      </c>
      <c r="C8227" s="6" t="s">
        <v>6284</v>
      </c>
      <c r="D8227" s="6" t="s">
        <v>460</v>
      </c>
      <c r="E8227" s="6" t="s">
        <v>6285</v>
      </c>
      <c r="F8227" s="129" t="s">
        <v>15830</v>
      </c>
      <c r="G8227" s="6" t="s">
        <v>11450</v>
      </c>
      <c r="H8227" s="54">
        <v>0</v>
      </c>
      <c r="I8227" s="16">
        <v>470000000</v>
      </c>
      <c r="J8227" s="16" t="s">
        <v>229</v>
      </c>
      <c r="K8227" s="6" t="s">
        <v>15758</v>
      </c>
      <c r="L8227" s="12" t="s">
        <v>404</v>
      </c>
      <c r="M8227" s="3" t="s">
        <v>230</v>
      </c>
      <c r="N8227" s="6" t="s">
        <v>15759</v>
      </c>
      <c r="O8227" s="78" t="s">
        <v>9716</v>
      </c>
      <c r="P8227" s="58" t="s">
        <v>241</v>
      </c>
      <c r="Q8227" s="3" t="s">
        <v>234</v>
      </c>
      <c r="R8227" s="1">
        <v>20</v>
      </c>
      <c r="S8227" s="1">
        <v>21000</v>
      </c>
      <c r="T8227" s="1">
        <f t="shared" si="511"/>
        <v>420000</v>
      </c>
      <c r="U8227" s="1">
        <f t="shared" si="512"/>
        <v>470400.00000000006</v>
      </c>
      <c r="V8227" s="3"/>
      <c r="W8227" s="3">
        <v>2014</v>
      </c>
      <c r="X8227" s="3"/>
    </row>
    <row r="8228" spans="1:24" ht="63.75">
      <c r="A8228" s="3" t="s">
        <v>16290</v>
      </c>
      <c r="B8228" s="56" t="s">
        <v>361</v>
      </c>
      <c r="C8228" s="6" t="s">
        <v>6284</v>
      </c>
      <c r="D8228" s="6" t="s">
        <v>460</v>
      </c>
      <c r="E8228" s="6" t="s">
        <v>6285</v>
      </c>
      <c r="F8228" s="129" t="s">
        <v>15831</v>
      </c>
      <c r="G8228" s="6" t="s">
        <v>11450</v>
      </c>
      <c r="H8228" s="54">
        <v>0</v>
      </c>
      <c r="I8228" s="16">
        <v>470000000</v>
      </c>
      <c r="J8228" s="16" t="s">
        <v>229</v>
      </c>
      <c r="K8228" s="6" t="s">
        <v>15758</v>
      </c>
      <c r="L8228" s="12" t="s">
        <v>404</v>
      </c>
      <c r="M8228" s="3" t="s">
        <v>230</v>
      </c>
      <c r="N8228" s="6" t="s">
        <v>15759</v>
      </c>
      <c r="O8228" s="78" t="s">
        <v>9716</v>
      </c>
      <c r="P8228" s="58" t="s">
        <v>241</v>
      </c>
      <c r="Q8228" s="3" t="s">
        <v>234</v>
      </c>
      <c r="R8228" s="1">
        <v>20</v>
      </c>
      <c r="S8228" s="1">
        <v>10800</v>
      </c>
      <c r="T8228" s="1">
        <f t="shared" si="511"/>
        <v>216000</v>
      </c>
      <c r="U8228" s="1">
        <f t="shared" si="512"/>
        <v>241920.00000000003</v>
      </c>
      <c r="V8228" s="3"/>
      <c r="W8228" s="3">
        <v>2014</v>
      </c>
      <c r="X8228" s="3"/>
    </row>
    <row r="8229" spans="1:24" ht="63.75">
      <c r="A8229" s="3" t="s">
        <v>16291</v>
      </c>
      <c r="B8229" s="56" t="s">
        <v>361</v>
      </c>
      <c r="C8229" s="6" t="s">
        <v>15762</v>
      </c>
      <c r="D8229" s="6" t="s">
        <v>460</v>
      </c>
      <c r="E8229" s="6" t="s">
        <v>15763</v>
      </c>
      <c r="F8229" s="129" t="s">
        <v>15832</v>
      </c>
      <c r="G8229" s="6" t="s">
        <v>11450</v>
      </c>
      <c r="H8229" s="54">
        <v>0</v>
      </c>
      <c r="I8229" s="16">
        <v>470000000</v>
      </c>
      <c r="J8229" s="16" t="s">
        <v>229</v>
      </c>
      <c r="K8229" s="6" t="s">
        <v>15758</v>
      </c>
      <c r="L8229" s="12" t="s">
        <v>404</v>
      </c>
      <c r="M8229" s="3" t="s">
        <v>230</v>
      </c>
      <c r="N8229" s="6" t="s">
        <v>15759</v>
      </c>
      <c r="O8229" s="78" t="s">
        <v>9716</v>
      </c>
      <c r="P8229" s="58" t="s">
        <v>241</v>
      </c>
      <c r="Q8229" s="3" t="s">
        <v>234</v>
      </c>
      <c r="R8229" s="1">
        <v>20</v>
      </c>
      <c r="S8229" s="1">
        <v>2100</v>
      </c>
      <c r="T8229" s="4">
        <v>0</v>
      </c>
      <c r="U8229" s="4">
        <f t="shared" si="512"/>
        <v>0</v>
      </c>
      <c r="V8229" s="3"/>
      <c r="W8229" s="3">
        <v>2014</v>
      </c>
      <c r="X8229" s="3">
        <v>11</v>
      </c>
    </row>
    <row r="8230" spans="1:24" ht="63.75">
      <c r="A8230" s="3" t="s">
        <v>18577</v>
      </c>
      <c r="B8230" s="56" t="s">
        <v>361</v>
      </c>
      <c r="C8230" s="6" t="s">
        <v>15762</v>
      </c>
      <c r="D8230" s="6" t="s">
        <v>460</v>
      </c>
      <c r="E8230" s="6" t="s">
        <v>15763</v>
      </c>
      <c r="F8230" s="129" t="s">
        <v>15832</v>
      </c>
      <c r="G8230" s="6" t="s">
        <v>11450</v>
      </c>
      <c r="H8230" s="54">
        <v>0</v>
      </c>
      <c r="I8230" s="16">
        <v>470000000</v>
      </c>
      <c r="J8230" s="16" t="s">
        <v>229</v>
      </c>
      <c r="K8230" s="6" t="s">
        <v>9369</v>
      </c>
      <c r="L8230" s="12" t="s">
        <v>404</v>
      </c>
      <c r="M8230" s="3" t="s">
        <v>230</v>
      </c>
      <c r="N8230" s="6" t="s">
        <v>15759</v>
      </c>
      <c r="O8230" s="78" t="s">
        <v>9716</v>
      </c>
      <c r="P8230" s="58" t="s">
        <v>241</v>
      </c>
      <c r="Q8230" s="3" t="s">
        <v>234</v>
      </c>
      <c r="R8230" s="1">
        <v>20</v>
      </c>
      <c r="S8230" s="1">
        <v>2100</v>
      </c>
      <c r="T8230" s="4">
        <v>0</v>
      </c>
      <c r="U8230" s="4">
        <f t="shared" si="512"/>
        <v>0</v>
      </c>
      <c r="V8230" s="3"/>
      <c r="W8230" s="3">
        <v>2014</v>
      </c>
      <c r="X8230" s="3" t="s">
        <v>14265</v>
      </c>
    </row>
    <row r="8231" spans="1:24" ht="76.5">
      <c r="A8231" s="3" t="s">
        <v>19524</v>
      </c>
      <c r="B8231" s="56" t="s">
        <v>361</v>
      </c>
      <c r="C8231" s="6" t="s">
        <v>15762</v>
      </c>
      <c r="D8231" s="6" t="s">
        <v>460</v>
      </c>
      <c r="E8231" s="6" t="s">
        <v>15763</v>
      </c>
      <c r="F8231" s="129" t="s">
        <v>15832</v>
      </c>
      <c r="G8231" s="6" t="s">
        <v>11450</v>
      </c>
      <c r="H8231" s="54">
        <v>0</v>
      </c>
      <c r="I8231" s="16">
        <v>470000000</v>
      </c>
      <c r="J8231" s="16" t="s">
        <v>229</v>
      </c>
      <c r="K8231" s="6" t="s">
        <v>19379</v>
      </c>
      <c r="L8231" s="12" t="s">
        <v>404</v>
      </c>
      <c r="M8231" s="3" t="s">
        <v>230</v>
      </c>
      <c r="N8231" s="6" t="s">
        <v>19477</v>
      </c>
      <c r="O8231" s="78" t="s">
        <v>19407</v>
      </c>
      <c r="P8231" s="58" t="s">
        <v>241</v>
      </c>
      <c r="Q8231" s="3" t="s">
        <v>234</v>
      </c>
      <c r="R8231" s="1">
        <v>20</v>
      </c>
      <c r="S8231" s="1">
        <v>2100</v>
      </c>
      <c r="T8231" s="1">
        <f t="shared" ref="T8231" si="514">R8231*S8231</f>
        <v>42000</v>
      </c>
      <c r="U8231" s="1">
        <f t="shared" ref="U8231" si="515">T8231*1.12</f>
        <v>47040.000000000007</v>
      </c>
      <c r="V8231" s="3"/>
      <c r="W8231" s="3">
        <v>2014</v>
      </c>
      <c r="X8231" s="3"/>
    </row>
    <row r="8232" spans="1:24" ht="63.75">
      <c r="A8232" s="3" t="s">
        <v>16292</v>
      </c>
      <c r="B8232" s="56" t="s">
        <v>361</v>
      </c>
      <c r="C8232" s="6" t="s">
        <v>15771</v>
      </c>
      <c r="D8232" s="6" t="s">
        <v>388</v>
      </c>
      <c r="E8232" s="6" t="s">
        <v>15772</v>
      </c>
      <c r="F8232" s="129" t="s">
        <v>15833</v>
      </c>
      <c r="G8232" s="6" t="s">
        <v>11450</v>
      </c>
      <c r="H8232" s="54">
        <v>0</v>
      </c>
      <c r="I8232" s="16">
        <v>470000000</v>
      </c>
      <c r="J8232" s="16" t="s">
        <v>229</v>
      </c>
      <c r="K8232" s="6" t="s">
        <v>15758</v>
      </c>
      <c r="L8232" s="12" t="s">
        <v>404</v>
      </c>
      <c r="M8232" s="3" t="s">
        <v>230</v>
      </c>
      <c r="N8232" s="6" t="s">
        <v>15759</v>
      </c>
      <c r="O8232" s="78" t="s">
        <v>9716</v>
      </c>
      <c r="P8232" s="58" t="s">
        <v>241</v>
      </c>
      <c r="Q8232" s="3" t="s">
        <v>234</v>
      </c>
      <c r="R8232" s="1">
        <v>2</v>
      </c>
      <c r="S8232" s="1">
        <v>30000</v>
      </c>
      <c r="T8232" s="4">
        <v>0</v>
      </c>
      <c r="U8232" s="4">
        <f t="shared" si="512"/>
        <v>0</v>
      </c>
      <c r="V8232" s="3"/>
      <c r="W8232" s="3">
        <v>2014</v>
      </c>
      <c r="X8232" s="3">
        <v>11</v>
      </c>
    </row>
    <row r="8233" spans="1:24" ht="63.75">
      <c r="A8233" s="3" t="s">
        <v>18578</v>
      </c>
      <c r="B8233" s="56" t="s">
        <v>361</v>
      </c>
      <c r="C8233" s="6" t="s">
        <v>15771</v>
      </c>
      <c r="D8233" s="6" t="s">
        <v>388</v>
      </c>
      <c r="E8233" s="6" t="s">
        <v>15772</v>
      </c>
      <c r="F8233" s="129" t="s">
        <v>15833</v>
      </c>
      <c r="G8233" s="6" t="s">
        <v>11450</v>
      </c>
      <c r="H8233" s="54">
        <v>0</v>
      </c>
      <c r="I8233" s="16">
        <v>470000000</v>
      </c>
      <c r="J8233" s="16" t="s">
        <v>229</v>
      </c>
      <c r="K8233" s="6" t="s">
        <v>9369</v>
      </c>
      <c r="L8233" s="12" t="s">
        <v>404</v>
      </c>
      <c r="M8233" s="3" t="s">
        <v>230</v>
      </c>
      <c r="N8233" s="6" t="s">
        <v>15759</v>
      </c>
      <c r="O8233" s="78" t="s">
        <v>9716</v>
      </c>
      <c r="P8233" s="58" t="s">
        <v>241</v>
      </c>
      <c r="Q8233" s="3" t="s">
        <v>234</v>
      </c>
      <c r="R8233" s="1">
        <v>2</v>
      </c>
      <c r="S8233" s="1">
        <v>30000</v>
      </c>
      <c r="T8233" s="1">
        <f t="shared" ref="T8233" si="516">R8233*S8233</f>
        <v>60000</v>
      </c>
      <c r="U8233" s="1">
        <f t="shared" si="512"/>
        <v>67200</v>
      </c>
      <c r="V8233" s="3"/>
      <c r="W8233" s="3">
        <v>2014</v>
      </c>
      <c r="X8233" s="3"/>
    </row>
    <row r="8234" spans="1:24" ht="63.75">
      <c r="A8234" s="3" t="s">
        <v>16293</v>
      </c>
      <c r="B8234" s="56" t="s">
        <v>361</v>
      </c>
      <c r="C8234" s="6" t="s">
        <v>6263</v>
      </c>
      <c r="D8234" s="6" t="s">
        <v>441</v>
      </c>
      <c r="E8234" s="6" t="s">
        <v>6264</v>
      </c>
      <c r="F8234" s="129" t="s">
        <v>15834</v>
      </c>
      <c r="G8234" s="6" t="s">
        <v>11450</v>
      </c>
      <c r="H8234" s="54">
        <v>0</v>
      </c>
      <c r="I8234" s="16">
        <v>470000000</v>
      </c>
      <c r="J8234" s="16" t="s">
        <v>229</v>
      </c>
      <c r="K8234" s="6" t="s">
        <v>15758</v>
      </c>
      <c r="L8234" s="12" t="s">
        <v>404</v>
      </c>
      <c r="M8234" s="3" t="s">
        <v>230</v>
      </c>
      <c r="N8234" s="6" t="s">
        <v>15759</v>
      </c>
      <c r="O8234" s="78" t="s">
        <v>9716</v>
      </c>
      <c r="P8234" s="58" t="s">
        <v>241</v>
      </c>
      <c r="Q8234" s="3" t="s">
        <v>234</v>
      </c>
      <c r="R8234" s="1">
        <v>2</v>
      </c>
      <c r="S8234" s="1">
        <v>30000</v>
      </c>
      <c r="T8234" s="4">
        <v>0</v>
      </c>
      <c r="U8234" s="4">
        <f t="shared" si="512"/>
        <v>0</v>
      </c>
      <c r="V8234" s="3"/>
      <c r="W8234" s="3">
        <v>2014</v>
      </c>
      <c r="X8234" s="3">
        <v>11</v>
      </c>
    </row>
    <row r="8235" spans="1:24" ht="63.75">
      <c r="A8235" s="3" t="s">
        <v>18579</v>
      </c>
      <c r="B8235" s="56" t="s">
        <v>361</v>
      </c>
      <c r="C8235" s="6" t="s">
        <v>6263</v>
      </c>
      <c r="D8235" s="6" t="s">
        <v>441</v>
      </c>
      <c r="E8235" s="6" t="s">
        <v>6264</v>
      </c>
      <c r="F8235" s="129" t="s">
        <v>15834</v>
      </c>
      <c r="G8235" s="6" t="s">
        <v>11450</v>
      </c>
      <c r="H8235" s="54">
        <v>0</v>
      </c>
      <c r="I8235" s="16">
        <v>470000000</v>
      </c>
      <c r="J8235" s="16" t="s">
        <v>229</v>
      </c>
      <c r="K8235" s="6" t="s">
        <v>9369</v>
      </c>
      <c r="L8235" s="12" t="s">
        <v>404</v>
      </c>
      <c r="M8235" s="3" t="s">
        <v>230</v>
      </c>
      <c r="N8235" s="6" t="s">
        <v>15759</v>
      </c>
      <c r="O8235" s="78" t="s">
        <v>9716</v>
      </c>
      <c r="P8235" s="58" t="s">
        <v>241</v>
      </c>
      <c r="Q8235" s="3" t="s">
        <v>234</v>
      </c>
      <c r="R8235" s="1">
        <v>2</v>
      </c>
      <c r="S8235" s="1">
        <v>30000</v>
      </c>
      <c r="T8235" s="4">
        <v>0</v>
      </c>
      <c r="U8235" s="4">
        <f t="shared" si="512"/>
        <v>0</v>
      </c>
      <c r="V8235" s="3"/>
      <c r="W8235" s="3">
        <v>2014</v>
      </c>
      <c r="X8235" s="3" t="s">
        <v>14265</v>
      </c>
    </row>
    <row r="8236" spans="1:24" ht="76.5">
      <c r="A8236" s="3" t="s">
        <v>19478</v>
      </c>
      <c r="B8236" s="56" t="s">
        <v>361</v>
      </c>
      <c r="C8236" s="6" t="s">
        <v>6263</v>
      </c>
      <c r="D8236" s="6" t="s">
        <v>441</v>
      </c>
      <c r="E8236" s="6" t="s">
        <v>6264</v>
      </c>
      <c r="F8236" s="129" t="s">
        <v>15834</v>
      </c>
      <c r="G8236" s="6" t="s">
        <v>11450</v>
      </c>
      <c r="H8236" s="54">
        <v>0</v>
      </c>
      <c r="I8236" s="16">
        <v>470000000</v>
      </c>
      <c r="J8236" s="16" t="s">
        <v>229</v>
      </c>
      <c r="K8236" s="6" t="s">
        <v>19379</v>
      </c>
      <c r="L8236" s="12" t="s">
        <v>404</v>
      </c>
      <c r="M8236" s="3" t="s">
        <v>230</v>
      </c>
      <c r="N8236" s="6" t="s">
        <v>19477</v>
      </c>
      <c r="O8236" s="78" t="s">
        <v>19407</v>
      </c>
      <c r="P8236" s="58" t="s">
        <v>241</v>
      </c>
      <c r="Q8236" s="3" t="s">
        <v>234</v>
      </c>
      <c r="R8236" s="1">
        <v>2</v>
      </c>
      <c r="S8236" s="1">
        <v>30000</v>
      </c>
      <c r="T8236" s="1">
        <f t="shared" ref="T8236" si="517">R8236*S8236</f>
        <v>60000</v>
      </c>
      <c r="U8236" s="1">
        <f t="shared" ref="U8236" si="518">T8236*1.12</f>
        <v>67200</v>
      </c>
      <c r="V8236" s="3"/>
      <c r="W8236" s="3">
        <v>2014</v>
      </c>
      <c r="X8236" s="3"/>
    </row>
    <row r="8237" spans="1:24" ht="63.75">
      <c r="A8237" s="3" t="s">
        <v>16294</v>
      </c>
      <c r="B8237" s="56" t="s">
        <v>361</v>
      </c>
      <c r="C8237" s="6" t="s">
        <v>5608</v>
      </c>
      <c r="D8237" s="6" t="s">
        <v>5754</v>
      </c>
      <c r="E8237" s="6" t="s">
        <v>3115</v>
      </c>
      <c r="F8237" s="129" t="s">
        <v>15835</v>
      </c>
      <c r="G8237" s="6" t="s">
        <v>11450</v>
      </c>
      <c r="H8237" s="54">
        <v>0</v>
      </c>
      <c r="I8237" s="16">
        <v>470000000</v>
      </c>
      <c r="J8237" s="16" t="s">
        <v>229</v>
      </c>
      <c r="K8237" s="6" t="s">
        <v>15758</v>
      </c>
      <c r="L8237" s="12" t="s">
        <v>404</v>
      </c>
      <c r="M8237" s="3" t="s">
        <v>230</v>
      </c>
      <c r="N8237" s="6" t="s">
        <v>15759</v>
      </c>
      <c r="O8237" s="78" t="s">
        <v>9716</v>
      </c>
      <c r="P8237" s="58" t="s">
        <v>241</v>
      </c>
      <c r="Q8237" s="3" t="s">
        <v>234</v>
      </c>
      <c r="R8237" s="1">
        <v>1</v>
      </c>
      <c r="S8237" s="1">
        <v>215000</v>
      </c>
      <c r="T8237" s="4">
        <v>0</v>
      </c>
      <c r="U8237" s="4">
        <f t="shared" si="512"/>
        <v>0</v>
      </c>
      <c r="V8237" s="3"/>
      <c r="W8237" s="3">
        <v>2014</v>
      </c>
      <c r="X8237" s="3">
        <v>11</v>
      </c>
    </row>
    <row r="8238" spans="1:24" ht="63.75">
      <c r="A8238" s="3" t="s">
        <v>18580</v>
      </c>
      <c r="B8238" s="56" t="s">
        <v>361</v>
      </c>
      <c r="C8238" s="6" t="s">
        <v>5608</v>
      </c>
      <c r="D8238" s="6" t="s">
        <v>5754</v>
      </c>
      <c r="E8238" s="6" t="s">
        <v>3115</v>
      </c>
      <c r="F8238" s="129" t="s">
        <v>15835</v>
      </c>
      <c r="G8238" s="6" t="s">
        <v>11450</v>
      </c>
      <c r="H8238" s="54">
        <v>0</v>
      </c>
      <c r="I8238" s="16">
        <v>470000000</v>
      </c>
      <c r="J8238" s="16" t="s">
        <v>229</v>
      </c>
      <c r="K8238" s="6" t="s">
        <v>9369</v>
      </c>
      <c r="L8238" s="12" t="s">
        <v>404</v>
      </c>
      <c r="M8238" s="3" t="s">
        <v>230</v>
      </c>
      <c r="N8238" s="6" t="s">
        <v>15759</v>
      </c>
      <c r="O8238" s="78" t="s">
        <v>9716</v>
      </c>
      <c r="P8238" s="58" t="s">
        <v>241</v>
      </c>
      <c r="Q8238" s="3" t="s">
        <v>234</v>
      </c>
      <c r="R8238" s="1">
        <v>1</v>
      </c>
      <c r="S8238" s="1">
        <v>215000</v>
      </c>
      <c r="T8238" s="4">
        <v>0</v>
      </c>
      <c r="U8238" s="4">
        <f t="shared" si="512"/>
        <v>0</v>
      </c>
      <c r="V8238" s="3"/>
      <c r="W8238" s="3">
        <v>2014</v>
      </c>
      <c r="X8238" s="3" t="s">
        <v>14265</v>
      </c>
    </row>
    <row r="8239" spans="1:24" ht="76.5">
      <c r="A8239" s="3" t="s">
        <v>19479</v>
      </c>
      <c r="B8239" s="56" t="s">
        <v>361</v>
      </c>
      <c r="C8239" s="6" t="s">
        <v>5608</v>
      </c>
      <c r="D8239" s="6" t="s">
        <v>5754</v>
      </c>
      <c r="E8239" s="6" t="s">
        <v>3115</v>
      </c>
      <c r="F8239" s="129" t="s">
        <v>15835</v>
      </c>
      <c r="G8239" s="6" t="s">
        <v>11450</v>
      </c>
      <c r="H8239" s="54">
        <v>0</v>
      </c>
      <c r="I8239" s="16">
        <v>470000000</v>
      </c>
      <c r="J8239" s="16" t="s">
        <v>229</v>
      </c>
      <c r="K8239" s="6" t="s">
        <v>19379</v>
      </c>
      <c r="L8239" s="12" t="s">
        <v>404</v>
      </c>
      <c r="M8239" s="3" t="s">
        <v>230</v>
      </c>
      <c r="N8239" s="6" t="s">
        <v>19477</v>
      </c>
      <c r="O8239" s="78" t="s">
        <v>19407</v>
      </c>
      <c r="P8239" s="58" t="s">
        <v>241</v>
      </c>
      <c r="Q8239" s="3" t="s">
        <v>234</v>
      </c>
      <c r="R8239" s="1">
        <v>1</v>
      </c>
      <c r="S8239" s="1">
        <v>215000</v>
      </c>
      <c r="T8239" s="1">
        <f t="shared" ref="T8239" si="519">R8239*S8239</f>
        <v>215000</v>
      </c>
      <c r="U8239" s="1">
        <f t="shared" ref="U8239" si="520">T8239*1.12</f>
        <v>240800.00000000003</v>
      </c>
      <c r="V8239" s="3"/>
      <c r="W8239" s="3">
        <v>2014</v>
      </c>
      <c r="X8239" s="3"/>
    </row>
    <row r="8240" spans="1:24" ht="63.75">
      <c r="A8240" s="3" t="s">
        <v>16295</v>
      </c>
      <c r="B8240" s="56" t="s">
        <v>361</v>
      </c>
      <c r="C8240" s="6" t="s">
        <v>15836</v>
      </c>
      <c r="D8240" s="6" t="s">
        <v>15837</v>
      </c>
      <c r="E8240" s="6" t="s">
        <v>15838</v>
      </c>
      <c r="F8240" s="6" t="s">
        <v>15839</v>
      </c>
      <c r="G8240" s="6" t="s">
        <v>11450</v>
      </c>
      <c r="H8240" s="54">
        <v>0</v>
      </c>
      <c r="I8240" s="16">
        <v>470000000</v>
      </c>
      <c r="J8240" s="16" t="s">
        <v>229</v>
      </c>
      <c r="K8240" s="6" t="s">
        <v>15758</v>
      </c>
      <c r="L8240" s="12" t="s">
        <v>404</v>
      </c>
      <c r="M8240" s="3" t="s">
        <v>230</v>
      </c>
      <c r="N8240" s="6" t="s">
        <v>15759</v>
      </c>
      <c r="O8240" s="78" t="s">
        <v>9716</v>
      </c>
      <c r="P8240" s="58" t="s">
        <v>241</v>
      </c>
      <c r="Q8240" s="3" t="s">
        <v>234</v>
      </c>
      <c r="R8240" s="1">
        <v>4</v>
      </c>
      <c r="S8240" s="1">
        <v>101280</v>
      </c>
      <c r="T8240" s="1">
        <f t="shared" si="511"/>
        <v>405120</v>
      </c>
      <c r="U8240" s="1">
        <f t="shared" si="512"/>
        <v>453734.40000000002</v>
      </c>
      <c r="V8240" s="3"/>
      <c r="W8240" s="3">
        <v>2014</v>
      </c>
      <c r="X8240" s="3"/>
    </row>
    <row r="8241" spans="1:24" ht="63.75">
      <c r="A8241" s="3" t="s">
        <v>16296</v>
      </c>
      <c r="B8241" s="56" t="s">
        <v>361</v>
      </c>
      <c r="C8241" s="6" t="s">
        <v>6414</v>
      </c>
      <c r="D8241" s="6" t="s">
        <v>407</v>
      </c>
      <c r="E8241" s="6" t="s">
        <v>3115</v>
      </c>
      <c r="F8241" s="129" t="s">
        <v>15840</v>
      </c>
      <c r="G8241" s="6" t="s">
        <v>11450</v>
      </c>
      <c r="H8241" s="54">
        <v>0</v>
      </c>
      <c r="I8241" s="16">
        <v>470000000</v>
      </c>
      <c r="J8241" s="16" t="s">
        <v>229</v>
      </c>
      <c r="K8241" s="6" t="s">
        <v>15758</v>
      </c>
      <c r="L8241" s="12" t="s">
        <v>404</v>
      </c>
      <c r="M8241" s="3" t="s">
        <v>230</v>
      </c>
      <c r="N8241" s="6" t="s">
        <v>15759</v>
      </c>
      <c r="O8241" s="78" t="s">
        <v>9716</v>
      </c>
      <c r="P8241" s="58" t="s">
        <v>241</v>
      </c>
      <c r="Q8241" s="3" t="s">
        <v>234</v>
      </c>
      <c r="R8241" s="1">
        <v>1</v>
      </c>
      <c r="S8241" s="1">
        <v>78000</v>
      </c>
      <c r="T8241" s="1">
        <f t="shared" si="511"/>
        <v>78000</v>
      </c>
      <c r="U8241" s="1">
        <f t="shared" si="512"/>
        <v>87360.000000000015</v>
      </c>
      <c r="V8241" s="3"/>
      <c r="W8241" s="3">
        <v>2014</v>
      </c>
      <c r="X8241" s="3"/>
    </row>
    <row r="8242" spans="1:24" ht="63.75">
      <c r="A8242" s="3" t="s">
        <v>16297</v>
      </c>
      <c r="B8242" s="56" t="s">
        <v>361</v>
      </c>
      <c r="C8242" s="6" t="s">
        <v>5386</v>
      </c>
      <c r="D8242" s="6" t="s">
        <v>408</v>
      </c>
      <c r="E8242" s="6" t="s">
        <v>5183</v>
      </c>
      <c r="F8242" s="6" t="s">
        <v>15841</v>
      </c>
      <c r="G8242" s="6" t="s">
        <v>11450</v>
      </c>
      <c r="H8242" s="54">
        <v>0</v>
      </c>
      <c r="I8242" s="16">
        <v>470000000</v>
      </c>
      <c r="J8242" s="16" t="s">
        <v>229</v>
      </c>
      <c r="K8242" s="6" t="s">
        <v>15758</v>
      </c>
      <c r="L8242" s="12" t="s">
        <v>404</v>
      </c>
      <c r="M8242" s="3" t="s">
        <v>230</v>
      </c>
      <c r="N8242" s="6" t="s">
        <v>15759</v>
      </c>
      <c r="O8242" s="78" t="s">
        <v>9716</v>
      </c>
      <c r="P8242" s="58" t="s">
        <v>241</v>
      </c>
      <c r="Q8242" s="3" t="s">
        <v>234</v>
      </c>
      <c r="R8242" s="1">
        <v>1</v>
      </c>
      <c r="S8242" s="1">
        <v>31222</v>
      </c>
      <c r="T8242" s="4">
        <v>0</v>
      </c>
      <c r="U8242" s="4">
        <f t="shared" si="512"/>
        <v>0</v>
      </c>
      <c r="V8242" s="3"/>
      <c r="W8242" s="3">
        <v>2014</v>
      </c>
      <c r="X8242" s="3">
        <v>11</v>
      </c>
    </row>
    <row r="8243" spans="1:24" ht="63.75">
      <c r="A8243" s="3" t="s">
        <v>18581</v>
      </c>
      <c r="B8243" s="56" t="s">
        <v>361</v>
      </c>
      <c r="C8243" s="6" t="s">
        <v>5386</v>
      </c>
      <c r="D8243" s="6" t="s">
        <v>408</v>
      </c>
      <c r="E8243" s="6" t="s">
        <v>5183</v>
      </c>
      <c r="F8243" s="6" t="s">
        <v>15841</v>
      </c>
      <c r="G8243" s="6" t="s">
        <v>11450</v>
      </c>
      <c r="H8243" s="54">
        <v>0</v>
      </c>
      <c r="I8243" s="16">
        <v>470000000</v>
      </c>
      <c r="J8243" s="16" t="s">
        <v>229</v>
      </c>
      <c r="K8243" s="6" t="s">
        <v>9369</v>
      </c>
      <c r="L8243" s="12" t="s">
        <v>404</v>
      </c>
      <c r="M8243" s="3" t="s">
        <v>230</v>
      </c>
      <c r="N8243" s="6" t="s">
        <v>15759</v>
      </c>
      <c r="O8243" s="78" t="s">
        <v>9716</v>
      </c>
      <c r="P8243" s="58" t="s">
        <v>241</v>
      </c>
      <c r="Q8243" s="3" t="s">
        <v>234</v>
      </c>
      <c r="R8243" s="1">
        <v>1</v>
      </c>
      <c r="S8243" s="1">
        <v>31222</v>
      </c>
      <c r="T8243" s="4">
        <v>0</v>
      </c>
      <c r="U8243" s="4">
        <f t="shared" si="512"/>
        <v>0</v>
      </c>
      <c r="V8243" s="3"/>
      <c r="W8243" s="3">
        <v>2014</v>
      </c>
      <c r="X8243" s="3" t="s">
        <v>14265</v>
      </c>
    </row>
    <row r="8244" spans="1:24" ht="76.5">
      <c r="A8244" s="3" t="s">
        <v>19480</v>
      </c>
      <c r="B8244" s="56" t="s">
        <v>361</v>
      </c>
      <c r="C8244" s="6" t="s">
        <v>5386</v>
      </c>
      <c r="D8244" s="6" t="s">
        <v>408</v>
      </c>
      <c r="E8244" s="6" t="s">
        <v>5183</v>
      </c>
      <c r="F8244" s="6" t="s">
        <v>15841</v>
      </c>
      <c r="G8244" s="6" t="s">
        <v>11450</v>
      </c>
      <c r="H8244" s="54">
        <v>0</v>
      </c>
      <c r="I8244" s="16">
        <v>470000000</v>
      </c>
      <c r="J8244" s="16" t="s">
        <v>229</v>
      </c>
      <c r="K8244" s="6" t="s">
        <v>19379</v>
      </c>
      <c r="L8244" s="12" t="s">
        <v>404</v>
      </c>
      <c r="M8244" s="3" t="s">
        <v>230</v>
      </c>
      <c r="N8244" s="6" t="s">
        <v>19477</v>
      </c>
      <c r="O8244" s="78" t="s">
        <v>19407</v>
      </c>
      <c r="P8244" s="58" t="s">
        <v>241</v>
      </c>
      <c r="Q8244" s="3" t="s">
        <v>234</v>
      </c>
      <c r="R8244" s="1">
        <v>1</v>
      </c>
      <c r="S8244" s="1">
        <v>31222</v>
      </c>
      <c r="T8244" s="1">
        <f t="shared" ref="T8244" si="521">R8244*S8244</f>
        <v>31222</v>
      </c>
      <c r="U8244" s="1">
        <f t="shared" ref="U8244" si="522">T8244*1.12</f>
        <v>34968.640000000007</v>
      </c>
      <c r="V8244" s="3"/>
      <c r="W8244" s="3">
        <v>2014</v>
      </c>
      <c r="X8244" s="3"/>
    </row>
    <row r="8245" spans="1:24" ht="63.75">
      <c r="A8245" s="3" t="s">
        <v>16298</v>
      </c>
      <c r="B8245" s="56" t="s">
        <v>361</v>
      </c>
      <c r="C8245" s="6" t="s">
        <v>5386</v>
      </c>
      <c r="D8245" s="6" t="s">
        <v>408</v>
      </c>
      <c r="E8245" s="6" t="s">
        <v>5183</v>
      </c>
      <c r="F8245" s="6" t="s">
        <v>15842</v>
      </c>
      <c r="G8245" s="6" t="s">
        <v>11450</v>
      </c>
      <c r="H8245" s="54">
        <v>0</v>
      </c>
      <c r="I8245" s="16">
        <v>470000000</v>
      </c>
      <c r="J8245" s="16" t="s">
        <v>229</v>
      </c>
      <c r="K8245" s="6" t="s">
        <v>15758</v>
      </c>
      <c r="L8245" s="12" t="s">
        <v>404</v>
      </c>
      <c r="M8245" s="3" t="s">
        <v>230</v>
      </c>
      <c r="N8245" s="6" t="s">
        <v>15759</v>
      </c>
      <c r="O8245" s="78" t="s">
        <v>9716</v>
      </c>
      <c r="P8245" s="58" t="s">
        <v>241</v>
      </c>
      <c r="Q8245" s="3" t="s">
        <v>234</v>
      </c>
      <c r="R8245" s="1">
        <v>2</v>
      </c>
      <c r="S8245" s="1">
        <v>7800</v>
      </c>
      <c r="T8245" s="4">
        <v>0</v>
      </c>
      <c r="U8245" s="4">
        <f t="shared" si="512"/>
        <v>0</v>
      </c>
      <c r="V8245" s="3"/>
      <c r="W8245" s="3">
        <v>2014</v>
      </c>
      <c r="X8245" s="3">
        <v>11</v>
      </c>
    </row>
    <row r="8246" spans="1:24" ht="63.75">
      <c r="A8246" s="3" t="s">
        <v>18582</v>
      </c>
      <c r="B8246" s="56" t="s">
        <v>361</v>
      </c>
      <c r="C8246" s="6" t="s">
        <v>5386</v>
      </c>
      <c r="D8246" s="6" t="s">
        <v>408</v>
      </c>
      <c r="E8246" s="6" t="s">
        <v>5183</v>
      </c>
      <c r="F8246" s="6" t="s">
        <v>15842</v>
      </c>
      <c r="G8246" s="6" t="s">
        <v>11450</v>
      </c>
      <c r="H8246" s="54">
        <v>0</v>
      </c>
      <c r="I8246" s="16">
        <v>470000000</v>
      </c>
      <c r="J8246" s="16" t="s">
        <v>229</v>
      </c>
      <c r="K8246" s="6" t="s">
        <v>9369</v>
      </c>
      <c r="L8246" s="12" t="s">
        <v>404</v>
      </c>
      <c r="M8246" s="3" t="s">
        <v>230</v>
      </c>
      <c r="N8246" s="6" t="s">
        <v>15759</v>
      </c>
      <c r="O8246" s="78" t="s">
        <v>9716</v>
      </c>
      <c r="P8246" s="58" t="s">
        <v>241</v>
      </c>
      <c r="Q8246" s="3" t="s">
        <v>234</v>
      </c>
      <c r="R8246" s="1">
        <v>2</v>
      </c>
      <c r="S8246" s="1">
        <v>7800</v>
      </c>
      <c r="T8246" s="4">
        <v>0</v>
      </c>
      <c r="U8246" s="4">
        <f t="shared" si="512"/>
        <v>0</v>
      </c>
      <c r="V8246" s="3"/>
      <c r="W8246" s="3">
        <v>2014</v>
      </c>
      <c r="X8246" s="3" t="s">
        <v>14265</v>
      </c>
    </row>
    <row r="8247" spans="1:24" ht="76.5">
      <c r="A8247" s="3" t="s">
        <v>19481</v>
      </c>
      <c r="B8247" s="56" t="s">
        <v>361</v>
      </c>
      <c r="C8247" s="6" t="s">
        <v>5386</v>
      </c>
      <c r="D8247" s="6" t="s">
        <v>408</v>
      </c>
      <c r="E8247" s="6" t="s">
        <v>5183</v>
      </c>
      <c r="F8247" s="6" t="s">
        <v>15842</v>
      </c>
      <c r="G8247" s="6" t="s">
        <v>11450</v>
      </c>
      <c r="H8247" s="54">
        <v>0</v>
      </c>
      <c r="I8247" s="16">
        <v>470000000</v>
      </c>
      <c r="J8247" s="16" t="s">
        <v>229</v>
      </c>
      <c r="K8247" s="6" t="s">
        <v>19379</v>
      </c>
      <c r="L8247" s="12" t="s">
        <v>404</v>
      </c>
      <c r="M8247" s="3" t="s">
        <v>230</v>
      </c>
      <c r="N8247" s="6" t="s">
        <v>19477</v>
      </c>
      <c r="O8247" s="78" t="s">
        <v>19407</v>
      </c>
      <c r="P8247" s="58" t="s">
        <v>241</v>
      </c>
      <c r="Q8247" s="3" t="s">
        <v>234</v>
      </c>
      <c r="R8247" s="1">
        <v>2</v>
      </c>
      <c r="S8247" s="1">
        <v>7800</v>
      </c>
      <c r="T8247" s="1">
        <f t="shared" ref="T8247" si="523">R8247*S8247</f>
        <v>15600</v>
      </c>
      <c r="U8247" s="1">
        <f t="shared" ref="U8247" si="524">T8247*1.12</f>
        <v>17472</v>
      </c>
      <c r="V8247" s="3"/>
      <c r="W8247" s="3">
        <v>2014</v>
      </c>
      <c r="X8247" s="3"/>
    </row>
    <row r="8248" spans="1:24" ht="63.75">
      <c r="A8248" s="3" t="s">
        <v>16299</v>
      </c>
      <c r="B8248" s="56" t="s">
        <v>361</v>
      </c>
      <c r="C8248" s="6" t="s">
        <v>5616</v>
      </c>
      <c r="D8248" s="6" t="s">
        <v>5376</v>
      </c>
      <c r="E8248" s="6" t="s">
        <v>3115</v>
      </c>
      <c r="F8248" s="6" t="s">
        <v>15843</v>
      </c>
      <c r="G8248" s="6" t="s">
        <v>11450</v>
      </c>
      <c r="H8248" s="54">
        <v>0</v>
      </c>
      <c r="I8248" s="16">
        <v>470000000</v>
      </c>
      <c r="J8248" s="16" t="s">
        <v>229</v>
      </c>
      <c r="K8248" s="6" t="s">
        <v>15758</v>
      </c>
      <c r="L8248" s="12" t="s">
        <v>404</v>
      </c>
      <c r="M8248" s="3" t="s">
        <v>230</v>
      </c>
      <c r="N8248" s="6" t="s">
        <v>15759</v>
      </c>
      <c r="O8248" s="78" t="s">
        <v>9716</v>
      </c>
      <c r="P8248" s="58" t="s">
        <v>241</v>
      </c>
      <c r="Q8248" s="3" t="s">
        <v>234</v>
      </c>
      <c r="R8248" s="1">
        <v>2</v>
      </c>
      <c r="S8248" s="1">
        <v>15000</v>
      </c>
      <c r="T8248" s="4">
        <v>0</v>
      </c>
      <c r="U8248" s="4">
        <f t="shared" si="512"/>
        <v>0</v>
      </c>
      <c r="V8248" s="3"/>
      <c r="W8248" s="3">
        <v>2014</v>
      </c>
      <c r="X8248" s="3">
        <v>11</v>
      </c>
    </row>
    <row r="8249" spans="1:24" ht="63.75">
      <c r="A8249" s="3" t="s">
        <v>18583</v>
      </c>
      <c r="B8249" s="56" t="s">
        <v>361</v>
      </c>
      <c r="C8249" s="6" t="s">
        <v>5616</v>
      </c>
      <c r="D8249" s="6" t="s">
        <v>5376</v>
      </c>
      <c r="E8249" s="6" t="s">
        <v>3115</v>
      </c>
      <c r="F8249" s="6" t="s">
        <v>15843</v>
      </c>
      <c r="G8249" s="6" t="s">
        <v>11450</v>
      </c>
      <c r="H8249" s="54">
        <v>0</v>
      </c>
      <c r="I8249" s="16">
        <v>470000000</v>
      </c>
      <c r="J8249" s="16" t="s">
        <v>229</v>
      </c>
      <c r="K8249" s="6" t="s">
        <v>9369</v>
      </c>
      <c r="L8249" s="12" t="s">
        <v>404</v>
      </c>
      <c r="M8249" s="3" t="s">
        <v>230</v>
      </c>
      <c r="N8249" s="6" t="s">
        <v>15759</v>
      </c>
      <c r="O8249" s="78" t="s">
        <v>9716</v>
      </c>
      <c r="P8249" s="58" t="s">
        <v>241</v>
      </c>
      <c r="Q8249" s="3" t="s">
        <v>234</v>
      </c>
      <c r="R8249" s="1">
        <v>2</v>
      </c>
      <c r="S8249" s="1">
        <v>15000</v>
      </c>
      <c r="T8249" s="4">
        <v>0</v>
      </c>
      <c r="U8249" s="4">
        <f t="shared" si="512"/>
        <v>0</v>
      </c>
      <c r="V8249" s="3"/>
      <c r="W8249" s="3">
        <v>2014</v>
      </c>
      <c r="X8249" s="3" t="s">
        <v>14265</v>
      </c>
    </row>
    <row r="8250" spans="1:24" ht="76.5">
      <c r="A8250" s="3" t="s">
        <v>19482</v>
      </c>
      <c r="B8250" s="56" t="s">
        <v>361</v>
      </c>
      <c r="C8250" s="6" t="s">
        <v>5616</v>
      </c>
      <c r="D8250" s="6" t="s">
        <v>5376</v>
      </c>
      <c r="E8250" s="6" t="s">
        <v>3115</v>
      </c>
      <c r="F8250" s="6" t="s">
        <v>15843</v>
      </c>
      <c r="G8250" s="6" t="s">
        <v>11450</v>
      </c>
      <c r="H8250" s="54">
        <v>0</v>
      </c>
      <c r="I8250" s="16">
        <v>470000000</v>
      </c>
      <c r="J8250" s="16" t="s">
        <v>229</v>
      </c>
      <c r="K8250" s="6" t="s">
        <v>19379</v>
      </c>
      <c r="L8250" s="12" t="s">
        <v>404</v>
      </c>
      <c r="M8250" s="3" t="s">
        <v>230</v>
      </c>
      <c r="N8250" s="6" t="s">
        <v>19477</v>
      </c>
      <c r="O8250" s="78" t="s">
        <v>19407</v>
      </c>
      <c r="P8250" s="58" t="s">
        <v>241</v>
      </c>
      <c r="Q8250" s="3" t="s">
        <v>234</v>
      </c>
      <c r="R8250" s="1">
        <v>2</v>
      </c>
      <c r="S8250" s="1">
        <v>15000</v>
      </c>
      <c r="T8250" s="1">
        <f t="shared" ref="T8250" si="525">R8250*S8250</f>
        <v>30000</v>
      </c>
      <c r="U8250" s="1">
        <f t="shared" ref="U8250" si="526">T8250*1.12</f>
        <v>33600</v>
      </c>
      <c r="V8250" s="3"/>
      <c r="W8250" s="3">
        <v>2014</v>
      </c>
      <c r="X8250" s="3"/>
    </row>
    <row r="8251" spans="1:24" ht="63.75">
      <c r="A8251" s="3" t="s">
        <v>16300</v>
      </c>
      <c r="B8251" s="56" t="s">
        <v>361</v>
      </c>
      <c r="C8251" s="6" t="s">
        <v>6282</v>
      </c>
      <c r="D8251" s="6" t="s">
        <v>5357</v>
      </c>
      <c r="E8251" s="6" t="s">
        <v>6283</v>
      </c>
      <c r="F8251" s="6" t="s">
        <v>15844</v>
      </c>
      <c r="G8251" s="6" t="s">
        <v>11450</v>
      </c>
      <c r="H8251" s="54">
        <v>0</v>
      </c>
      <c r="I8251" s="16">
        <v>470000000</v>
      </c>
      <c r="J8251" s="16" t="s">
        <v>229</v>
      </c>
      <c r="K8251" s="6" t="s">
        <v>15758</v>
      </c>
      <c r="L8251" s="12" t="s">
        <v>404</v>
      </c>
      <c r="M8251" s="3" t="s">
        <v>230</v>
      </c>
      <c r="N8251" s="6" t="s">
        <v>15759</v>
      </c>
      <c r="O8251" s="78" t="s">
        <v>9716</v>
      </c>
      <c r="P8251" s="58" t="s">
        <v>241</v>
      </c>
      <c r="Q8251" s="3" t="s">
        <v>234</v>
      </c>
      <c r="R8251" s="1">
        <v>3</v>
      </c>
      <c r="S8251" s="1">
        <v>6000</v>
      </c>
      <c r="T8251" s="1">
        <f t="shared" si="511"/>
        <v>18000</v>
      </c>
      <c r="U8251" s="1">
        <f t="shared" si="512"/>
        <v>20160.000000000004</v>
      </c>
      <c r="V8251" s="3"/>
      <c r="W8251" s="3">
        <v>2014</v>
      </c>
      <c r="X8251" s="3"/>
    </row>
    <row r="8252" spans="1:24" ht="63.75">
      <c r="A8252" s="3" t="s">
        <v>16301</v>
      </c>
      <c r="B8252" s="56" t="s">
        <v>361</v>
      </c>
      <c r="C8252" s="6" t="s">
        <v>6694</v>
      </c>
      <c r="D8252" s="6" t="s">
        <v>5892</v>
      </c>
      <c r="E8252" s="6" t="s">
        <v>6695</v>
      </c>
      <c r="F8252" s="129" t="s">
        <v>15845</v>
      </c>
      <c r="G8252" s="6" t="s">
        <v>11450</v>
      </c>
      <c r="H8252" s="54">
        <v>0</v>
      </c>
      <c r="I8252" s="16">
        <v>470000000</v>
      </c>
      <c r="J8252" s="16" t="s">
        <v>229</v>
      </c>
      <c r="K8252" s="6" t="s">
        <v>15758</v>
      </c>
      <c r="L8252" s="12" t="s">
        <v>404</v>
      </c>
      <c r="M8252" s="3" t="s">
        <v>230</v>
      </c>
      <c r="N8252" s="6" t="s">
        <v>15759</v>
      </c>
      <c r="O8252" s="78" t="s">
        <v>9716</v>
      </c>
      <c r="P8252" s="58" t="s">
        <v>241</v>
      </c>
      <c r="Q8252" s="3" t="s">
        <v>234</v>
      </c>
      <c r="R8252" s="1">
        <v>20</v>
      </c>
      <c r="S8252" s="1">
        <v>4600</v>
      </c>
      <c r="T8252" s="1">
        <f t="shared" si="511"/>
        <v>92000</v>
      </c>
      <c r="U8252" s="1">
        <f t="shared" si="512"/>
        <v>103040.00000000001</v>
      </c>
      <c r="V8252" s="3"/>
      <c r="W8252" s="3">
        <v>2014</v>
      </c>
      <c r="X8252" s="3"/>
    </row>
    <row r="8253" spans="1:24" ht="63.75">
      <c r="A8253" s="3" t="s">
        <v>16302</v>
      </c>
      <c r="B8253" s="56" t="s">
        <v>361</v>
      </c>
      <c r="C8253" s="6" t="s">
        <v>6284</v>
      </c>
      <c r="D8253" s="6" t="s">
        <v>460</v>
      </c>
      <c r="E8253" s="6" t="s">
        <v>6285</v>
      </c>
      <c r="F8253" s="129" t="s">
        <v>15846</v>
      </c>
      <c r="G8253" s="6" t="s">
        <v>11450</v>
      </c>
      <c r="H8253" s="54">
        <v>0</v>
      </c>
      <c r="I8253" s="16">
        <v>470000000</v>
      </c>
      <c r="J8253" s="16" t="s">
        <v>229</v>
      </c>
      <c r="K8253" s="6" t="s">
        <v>15758</v>
      </c>
      <c r="L8253" s="12" t="s">
        <v>404</v>
      </c>
      <c r="M8253" s="3" t="s">
        <v>230</v>
      </c>
      <c r="N8253" s="6" t="s">
        <v>15759</v>
      </c>
      <c r="O8253" s="78" t="s">
        <v>9716</v>
      </c>
      <c r="P8253" s="58" t="s">
        <v>241</v>
      </c>
      <c r="Q8253" s="3" t="s">
        <v>234</v>
      </c>
      <c r="R8253" s="1">
        <v>20</v>
      </c>
      <c r="S8253" s="1">
        <v>3300</v>
      </c>
      <c r="T8253" s="1">
        <f t="shared" si="511"/>
        <v>66000</v>
      </c>
      <c r="U8253" s="1">
        <f t="shared" si="512"/>
        <v>73920</v>
      </c>
      <c r="V8253" s="3"/>
      <c r="W8253" s="3">
        <v>2014</v>
      </c>
      <c r="X8253" s="3"/>
    </row>
    <row r="8254" spans="1:24" ht="63.75">
      <c r="A8254" s="3" t="s">
        <v>16303</v>
      </c>
      <c r="B8254" s="56" t="s">
        <v>361</v>
      </c>
      <c r="C8254" s="6" t="s">
        <v>6284</v>
      </c>
      <c r="D8254" s="6" t="s">
        <v>460</v>
      </c>
      <c r="E8254" s="6" t="s">
        <v>6285</v>
      </c>
      <c r="F8254" s="129" t="s">
        <v>15847</v>
      </c>
      <c r="G8254" s="6" t="s">
        <v>11450</v>
      </c>
      <c r="H8254" s="54">
        <v>0</v>
      </c>
      <c r="I8254" s="16">
        <v>470000000</v>
      </c>
      <c r="J8254" s="16" t="s">
        <v>229</v>
      </c>
      <c r="K8254" s="6" t="s">
        <v>15758</v>
      </c>
      <c r="L8254" s="12" t="s">
        <v>404</v>
      </c>
      <c r="M8254" s="3" t="s">
        <v>230</v>
      </c>
      <c r="N8254" s="6" t="s">
        <v>15759</v>
      </c>
      <c r="O8254" s="78" t="s">
        <v>9716</v>
      </c>
      <c r="P8254" s="58" t="s">
        <v>241</v>
      </c>
      <c r="Q8254" s="3" t="s">
        <v>234</v>
      </c>
      <c r="R8254" s="1">
        <v>20</v>
      </c>
      <c r="S8254" s="1">
        <v>6000</v>
      </c>
      <c r="T8254" s="1">
        <f t="shared" si="511"/>
        <v>120000</v>
      </c>
      <c r="U8254" s="1">
        <f t="shared" si="512"/>
        <v>134400</v>
      </c>
      <c r="V8254" s="3"/>
      <c r="W8254" s="3">
        <v>2014</v>
      </c>
      <c r="X8254" s="3"/>
    </row>
    <row r="8255" spans="1:24" ht="63.75">
      <c r="A8255" s="3" t="s">
        <v>16304</v>
      </c>
      <c r="B8255" s="56" t="s">
        <v>361</v>
      </c>
      <c r="C8255" s="6" t="s">
        <v>5958</v>
      </c>
      <c r="D8255" s="6" t="s">
        <v>460</v>
      </c>
      <c r="E8255" s="6" t="s">
        <v>5959</v>
      </c>
      <c r="F8255" s="129" t="s">
        <v>15848</v>
      </c>
      <c r="G8255" s="6" t="s">
        <v>11450</v>
      </c>
      <c r="H8255" s="54">
        <v>0</v>
      </c>
      <c r="I8255" s="16">
        <v>470000000</v>
      </c>
      <c r="J8255" s="16" t="s">
        <v>229</v>
      </c>
      <c r="K8255" s="6" t="s">
        <v>15758</v>
      </c>
      <c r="L8255" s="12" t="s">
        <v>404</v>
      </c>
      <c r="M8255" s="3" t="s">
        <v>230</v>
      </c>
      <c r="N8255" s="6" t="s">
        <v>15759</v>
      </c>
      <c r="O8255" s="78" t="s">
        <v>9716</v>
      </c>
      <c r="P8255" s="58" t="s">
        <v>241</v>
      </c>
      <c r="Q8255" s="3" t="s">
        <v>234</v>
      </c>
      <c r="R8255" s="1">
        <v>20</v>
      </c>
      <c r="S8255" s="1">
        <v>17600</v>
      </c>
      <c r="T8255" s="1">
        <f t="shared" si="511"/>
        <v>352000</v>
      </c>
      <c r="U8255" s="1">
        <f t="shared" si="512"/>
        <v>394240.00000000006</v>
      </c>
      <c r="V8255" s="3"/>
      <c r="W8255" s="3">
        <v>2014</v>
      </c>
      <c r="X8255" s="3"/>
    </row>
    <row r="8256" spans="1:24" ht="63.75">
      <c r="A8256" s="3" t="s">
        <v>16305</v>
      </c>
      <c r="B8256" s="56" t="s">
        <v>361</v>
      </c>
      <c r="C8256" s="6" t="s">
        <v>15779</v>
      </c>
      <c r="D8256" s="6" t="s">
        <v>15780</v>
      </c>
      <c r="E8256" s="6" t="s">
        <v>15781</v>
      </c>
      <c r="F8256" s="6" t="s">
        <v>15849</v>
      </c>
      <c r="G8256" s="6" t="s">
        <v>11450</v>
      </c>
      <c r="H8256" s="54">
        <v>0</v>
      </c>
      <c r="I8256" s="16">
        <v>470000000</v>
      </c>
      <c r="J8256" s="16" t="s">
        <v>229</v>
      </c>
      <c r="K8256" s="6" t="s">
        <v>15758</v>
      </c>
      <c r="L8256" s="12" t="s">
        <v>404</v>
      </c>
      <c r="M8256" s="3" t="s">
        <v>230</v>
      </c>
      <c r="N8256" s="6" t="s">
        <v>15759</v>
      </c>
      <c r="O8256" s="78" t="s">
        <v>9716</v>
      </c>
      <c r="P8256" s="58" t="s">
        <v>241</v>
      </c>
      <c r="Q8256" s="3" t="s">
        <v>234</v>
      </c>
      <c r="R8256" s="1">
        <v>8</v>
      </c>
      <c r="S8256" s="1">
        <v>4200</v>
      </c>
      <c r="T8256" s="4">
        <v>0</v>
      </c>
      <c r="U8256" s="4">
        <f t="shared" si="512"/>
        <v>0</v>
      </c>
      <c r="V8256" s="3"/>
      <c r="W8256" s="3">
        <v>2014</v>
      </c>
      <c r="X8256" s="3">
        <v>11</v>
      </c>
    </row>
    <row r="8257" spans="1:24" ht="63.75">
      <c r="A8257" s="3" t="s">
        <v>18584</v>
      </c>
      <c r="B8257" s="56" t="s">
        <v>361</v>
      </c>
      <c r="C8257" s="6" t="s">
        <v>15779</v>
      </c>
      <c r="D8257" s="6" t="s">
        <v>15780</v>
      </c>
      <c r="E8257" s="6" t="s">
        <v>15781</v>
      </c>
      <c r="F8257" s="6" t="s">
        <v>15849</v>
      </c>
      <c r="G8257" s="6" t="s">
        <v>11450</v>
      </c>
      <c r="H8257" s="54">
        <v>0</v>
      </c>
      <c r="I8257" s="16">
        <v>470000000</v>
      </c>
      <c r="J8257" s="16" t="s">
        <v>229</v>
      </c>
      <c r="K8257" s="6" t="s">
        <v>9369</v>
      </c>
      <c r="L8257" s="12" t="s">
        <v>404</v>
      </c>
      <c r="M8257" s="3" t="s">
        <v>230</v>
      </c>
      <c r="N8257" s="6" t="s">
        <v>15759</v>
      </c>
      <c r="O8257" s="78" t="s">
        <v>9716</v>
      </c>
      <c r="P8257" s="58" t="s">
        <v>241</v>
      </c>
      <c r="Q8257" s="3" t="s">
        <v>234</v>
      </c>
      <c r="R8257" s="1">
        <v>8</v>
      </c>
      <c r="S8257" s="1">
        <v>4200</v>
      </c>
      <c r="T8257" s="4">
        <v>0</v>
      </c>
      <c r="U8257" s="4">
        <f t="shared" si="512"/>
        <v>0</v>
      </c>
      <c r="V8257" s="3"/>
      <c r="W8257" s="3">
        <v>2014</v>
      </c>
      <c r="X8257" s="3" t="s">
        <v>14265</v>
      </c>
    </row>
    <row r="8258" spans="1:24" ht="76.5">
      <c r="A8258" s="3" t="s">
        <v>19483</v>
      </c>
      <c r="B8258" s="56" t="s">
        <v>361</v>
      </c>
      <c r="C8258" s="6" t="s">
        <v>15779</v>
      </c>
      <c r="D8258" s="6" t="s">
        <v>15780</v>
      </c>
      <c r="E8258" s="6" t="s">
        <v>15781</v>
      </c>
      <c r="F8258" s="6" t="s">
        <v>15849</v>
      </c>
      <c r="G8258" s="6" t="s">
        <v>11450</v>
      </c>
      <c r="H8258" s="54">
        <v>0</v>
      </c>
      <c r="I8258" s="16">
        <v>470000000</v>
      </c>
      <c r="J8258" s="16" t="s">
        <v>229</v>
      </c>
      <c r="K8258" s="6" t="s">
        <v>19379</v>
      </c>
      <c r="L8258" s="12" t="s">
        <v>404</v>
      </c>
      <c r="M8258" s="3" t="s">
        <v>230</v>
      </c>
      <c r="N8258" s="6" t="s">
        <v>19477</v>
      </c>
      <c r="O8258" s="78" t="s">
        <v>19407</v>
      </c>
      <c r="P8258" s="58" t="s">
        <v>241</v>
      </c>
      <c r="Q8258" s="3" t="s">
        <v>234</v>
      </c>
      <c r="R8258" s="1">
        <v>8</v>
      </c>
      <c r="S8258" s="1">
        <v>4200</v>
      </c>
      <c r="T8258" s="1">
        <f t="shared" ref="T8258" si="527">R8258*S8258</f>
        <v>33600</v>
      </c>
      <c r="U8258" s="1">
        <f t="shared" ref="U8258" si="528">T8258*1.12</f>
        <v>37632</v>
      </c>
      <c r="V8258" s="3"/>
      <c r="W8258" s="3">
        <v>2014</v>
      </c>
      <c r="X8258" s="3"/>
    </row>
    <row r="8259" spans="1:24" ht="63.75">
      <c r="A8259" s="3" t="s">
        <v>16306</v>
      </c>
      <c r="B8259" s="56" t="s">
        <v>361</v>
      </c>
      <c r="C8259" s="6" t="s">
        <v>15850</v>
      </c>
      <c r="D8259" s="6" t="s">
        <v>15851</v>
      </c>
      <c r="E8259" s="6" t="s">
        <v>5183</v>
      </c>
      <c r="F8259" s="6" t="s">
        <v>15852</v>
      </c>
      <c r="G8259" s="6" t="s">
        <v>11450</v>
      </c>
      <c r="H8259" s="54">
        <v>0</v>
      </c>
      <c r="I8259" s="16">
        <v>470000000</v>
      </c>
      <c r="J8259" s="16" t="s">
        <v>229</v>
      </c>
      <c r="K8259" s="6" t="s">
        <v>15758</v>
      </c>
      <c r="L8259" s="12" t="s">
        <v>404</v>
      </c>
      <c r="M8259" s="3" t="s">
        <v>230</v>
      </c>
      <c r="N8259" s="6" t="s">
        <v>15759</v>
      </c>
      <c r="O8259" s="78" t="s">
        <v>9716</v>
      </c>
      <c r="P8259" s="58" t="s">
        <v>241</v>
      </c>
      <c r="Q8259" s="3" t="s">
        <v>234</v>
      </c>
      <c r="R8259" s="1">
        <v>8</v>
      </c>
      <c r="S8259" s="1">
        <v>2600</v>
      </c>
      <c r="T8259" s="4">
        <v>0</v>
      </c>
      <c r="U8259" s="4">
        <f t="shared" si="512"/>
        <v>0</v>
      </c>
      <c r="V8259" s="3"/>
      <c r="W8259" s="3">
        <v>2014</v>
      </c>
      <c r="X8259" s="3">
        <v>11</v>
      </c>
    </row>
    <row r="8260" spans="1:24" ht="63.75">
      <c r="A8260" s="3" t="s">
        <v>18585</v>
      </c>
      <c r="B8260" s="56" t="s">
        <v>361</v>
      </c>
      <c r="C8260" s="6" t="s">
        <v>15850</v>
      </c>
      <c r="D8260" s="6" t="s">
        <v>15851</v>
      </c>
      <c r="E8260" s="6" t="s">
        <v>5183</v>
      </c>
      <c r="F8260" s="6" t="s">
        <v>15852</v>
      </c>
      <c r="G8260" s="6" t="s">
        <v>11450</v>
      </c>
      <c r="H8260" s="54">
        <v>0</v>
      </c>
      <c r="I8260" s="16">
        <v>470000000</v>
      </c>
      <c r="J8260" s="16" t="s">
        <v>229</v>
      </c>
      <c r="K8260" s="6" t="s">
        <v>9369</v>
      </c>
      <c r="L8260" s="12" t="s">
        <v>404</v>
      </c>
      <c r="M8260" s="3" t="s">
        <v>230</v>
      </c>
      <c r="N8260" s="6" t="s">
        <v>15759</v>
      </c>
      <c r="O8260" s="78" t="s">
        <v>9716</v>
      </c>
      <c r="P8260" s="58" t="s">
        <v>241</v>
      </c>
      <c r="Q8260" s="3" t="s">
        <v>234</v>
      </c>
      <c r="R8260" s="1">
        <v>8</v>
      </c>
      <c r="S8260" s="1">
        <v>2600</v>
      </c>
      <c r="T8260" s="4">
        <v>0</v>
      </c>
      <c r="U8260" s="4">
        <f t="shared" si="512"/>
        <v>0</v>
      </c>
      <c r="V8260" s="3"/>
      <c r="W8260" s="3">
        <v>2014</v>
      </c>
      <c r="X8260" s="3" t="s">
        <v>14265</v>
      </c>
    </row>
    <row r="8261" spans="1:24" ht="76.5">
      <c r="A8261" s="3" t="s">
        <v>19484</v>
      </c>
      <c r="B8261" s="56" t="s">
        <v>361</v>
      </c>
      <c r="C8261" s="6" t="s">
        <v>15850</v>
      </c>
      <c r="D8261" s="6" t="s">
        <v>15851</v>
      </c>
      <c r="E8261" s="6" t="s">
        <v>5183</v>
      </c>
      <c r="F8261" s="6" t="s">
        <v>15852</v>
      </c>
      <c r="G8261" s="6" t="s">
        <v>11450</v>
      </c>
      <c r="H8261" s="54">
        <v>0</v>
      </c>
      <c r="I8261" s="16">
        <v>470000000</v>
      </c>
      <c r="J8261" s="16" t="s">
        <v>229</v>
      </c>
      <c r="K8261" s="6" t="s">
        <v>19379</v>
      </c>
      <c r="L8261" s="12" t="s">
        <v>404</v>
      </c>
      <c r="M8261" s="3" t="s">
        <v>230</v>
      </c>
      <c r="N8261" s="6" t="s">
        <v>19477</v>
      </c>
      <c r="O8261" s="78" t="s">
        <v>19407</v>
      </c>
      <c r="P8261" s="58" t="s">
        <v>241</v>
      </c>
      <c r="Q8261" s="3" t="s">
        <v>234</v>
      </c>
      <c r="R8261" s="1">
        <v>8</v>
      </c>
      <c r="S8261" s="1">
        <v>2600</v>
      </c>
      <c r="T8261" s="1">
        <f t="shared" ref="T8261" si="529">R8261*S8261</f>
        <v>20800</v>
      </c>
      <c r="U8261" s="1">
        <f t="shared" ref="U8261" si="530">T8261*1.12</f>
        <v>23296.000000000004</v>
      </c>
      <c r="V8261" s="3"/>
      <c r="W8261" s="3">
        <v>2014</v>
      </c>
      <c r="X8261" s="3"/>
    </row>
    <row r="8262" spans="1:24" ht="63.75">
      <c r="A8262" s="3" t="s">
        <v>16307</v>
      </c>
      <c r="B8262" s="56" t="s">
        <v>361</v>
      </c>
      <c r="C8262" s="6" t="s">
        <v>6263</v>
      </c>
      <c r="D8262" s="6" t="s">
        <v>441</v>
      </c>
      <c r="E8262" s="6" t="s">
        <v>6264</v>
      </c>
      <c r="F8262" s="6" t="s">
        <v>15853</v>
      </c>
      <c r="G8262" s="6" t="s">
        <v>11450</v>
      </c>
      <c r="H8262" s="54">
        <v>0</v>
      </c>
      <c r="I8262" s="16">
        <v>470000000</v>
      </c>
      <c r="J8262" s="16" t="s">
        <v>229</v>
      </c>
      <c r="K8262" s="6" t="s">
        <v>15758</v>
      </c>
      <c r="L8262" s="12" t="s">
        <v>404</v>
      </c>
      <c r="M8262" s="3" t="s">
        <v>230</v>
      </c>
      <c r="N8262" s="6" t="s">
        <v>15759</v>
      </c>
      <c r="O8262" s="78" t="s">
        <v>9716</v>
      </c>
      <c r="P8262" s="58" t="s">
        <v>241</v>
      </c>
      <c r="Q8262" s="3" t="s">
        <v>234</v>
      </c>
      <c r="R8262" s="1">
        <v>2</v>
      </c>
      <c r="S8262" s="1">
        <v>78000</v>
      </c>
      <c r="T8262" s="1">
        <f t="shared" ref="T8262" si="531">R8262*S8262</f>
        <v>156000</v>
      </c>
      <c r="U8262" s="4">
        <f t="shared" si="512"/>
        <v>174720.00000000003</v>
      </c>
      <c r="V8262" s="3"/>
      <c r="W8262" s="3">
        <v>2014</v>
      </c>
      <c r="X8262" s="3"/>
    </row>
    <row r="8263" spans="1:24" ht="63.75">
      <c r="A8263" s="3" t="s">
        <v>16308</v>
      </c>
      <c r="B8263" s="56" t="s">
        <v>361</v>
      </c>
      <c r="C8263" s="6" t="s">
        <v>5616</v>
      </c>
      <c r="D8263" s="6" t="s">
        <v>5376</v>
      </c>
      <c r="E8263" s="6" t="s">
        <v>3115</v>
      </c>
      <c r="F8263" s="6" t="s">
        <v>15854</v>
      </c>
      <c r="G8263" s="6" t="s">
        <v>11450</v>
      </c>
      <c r="H8263" s="54">
        <v>0</v>
      </c>
      <c r="I8263" s="16">
        <v>470000000</v>
      </c>
      <c r="J8263" s="16" t="s">
        <v>229</v>
      </c>
      <c r="K8263" s="6" t="s">
        <v>15758</v>
      </c>
      <c r="L8263" s="12" t="s">
        <v>404</v>
      </c>
      <c r="M8263" s="3" t="s">
        <v>230</v>
      </c>
      <c r="N8263" s="6" t="s">
        <v>15759</v>
      </c>
      <c r="O8263" s="78" t="s">
        <v>9716</v>
      </c>
      <c r="P8263" s="58" t="s">
        <v>241</v>
      </c>
      <c r="Q8263" s="3" t="s">
        <v>234</v>
      </c>
      <c r="R8263" s="1">
        <v>2</v>
      </c>
      <c r="S8263" s="1">
        <v>15000</v>
      </c>
      <c r="T8263" s="4">
        <v>0</v>
      </c>
      <c r="U8263" s="4">
        <f t="shared" si="512"/>
        <v>0</v>
      </c>
      <c r="V8263" s="3"/>
      <c r="W8263" s="3">
        <v>2014</v>
      </c>
      <c r="X8263" s="3">
        <v>11</v>
      </c>
    </row>
    <row r="8264" spans="1:24" ht="63.75">
      <c r="A8264" s="3" t="s">
        <v>18586</v>
      </c>
      <c r="B8264" s="56" t="s">
        <v>361</v>
      </c>
      <c r="C8264" s="6" t="s">
        <v>5616</v>
      </c>
      <c r="D8264" s="6" t="s">
        <v>5376</v>
      </c>
      <c r="E8264" s="6" t="s">
        <v>3115</v>
      </c>
      <c r="F8264" s="6" t="s">
        <v>15854</v>
      </c>
      <c r="G8264" s="6" t="s">
        <v>11450</v>
      </c>
      <c r="H8264" s="54">
        <v>0</v>
      </c>
      <c r="I8264" s="16">
        <v>470000000</v>
      </c>
      <c r="J8264" s="16" t="s">
        <v>229</v>
      </c>
      <c r="K8264" s="6" t="s">
        <v>9369</v>
      </c>
      <c r="L8264" s="12" t="s">
        <v>404</v>
      </c>
      <c r="M8264" s="3" t="s">
        <v>230</v>
      </c>
      <c r="N8264" s="6" t="s">
        <v>15759</v>
      </c>
      <c r="O8264" s="78" t="s">
        <v>9716</v>
      </c>
      <c r="P8264" s="58" t="s">
        <v>241</v>
      </c>
      <c r="Q8264" s="3" t="s">
        <v>234</v>
      </c>
      <c r="R8264" s="1">
        <v>2</v>
      </c>
      <c r="S8264" s="1">
        <v>15000</v>
      </c>
      <c r="T8264" s="4">
        <v>0</v>
      </c>
      <c r="U8264" s="4">
        <f t="shared" si="512"/>
        <v>0</v>
      </c>
      <c r="V8264" s="3"/>
      <c r="W8264" s="3">
        <v>2014</v>
      </c>
      <c r="X8264" s="3" t="s">
        <v>14265</v>
      </c>
    </row>
    <row r="8265" spans="1:24" ht="76.5">
      <c r="A8265" s="3" t="s">
        <v>19485</v>
      </c>
      <c r="B8265" s="56" t="s">
        <v>361</v>
      </c>
      <c r="C8265" s="6" t="s">
        <v>5616</v>
      </c>
      <c r="D8265" s="6" t="s">
        <v>5376</v>
      </c>
      <c r="E8265" s="6" t="s">
        <v>3115</v>
      </c>
      <c r="F8265" s="6" t="s">
        <v>15854</v>
      </c>
      <c r="G8265" s="6" t="s">
        <v>11450</v>
      </c>
      <c r="H8265" s="54">
        <v>0</v>
      </c>
      <c r="I8265" s="16">
        <v>470000000</v>
      </c>
      <c r="J8265" s="16" t="s">
        <v>229</v>
      </c>
      <c r="K8265" s="6" t="s">
        <v>19379</v>
      </c>
      <c r="L8265" s="12" t="s">
        <v>404</v>
      </c>
      <c r="M8265" s="3" t="s">
        <v>230</v>
      </c>
      <c r="N8265" s="6" t="s">
        <v>19477</v>
      </c>
      <c r="O8265" s="78" t="s">
        <v>19407</v>
      </c>
      <c r="P8265" s="58" t="s">
        <v>241</v>
      </c>
      <c r="Q8265" s="3" t="s">
        <v>234</v>
      </c>
      <c r="R8265" s="1">
        <v>2</v>
      </c>
      <c r="S8265" s="1">
        <v>15000</v>
      </c>
      <c r="T8265" s="1">
        <f t="shared" ref="T8265" si="532">R8265*S8265</f>
        <v>30000</v>
      </c>
      <c r="U8265" s="1">
        <f t="shared" ref="U8265" si="533">T8265*1.12</f>
        <v>33600</v>
      </c>
      <c r="V8265" s="3"/>
      <c r="W8265" s="3">
        <v>2014</v>
      </c>
      <c r="X8265" s="3"/>
    </row>
    <row r="8266" spans="1:24" ht="63.75">
      <c r="A8266" s="3" t="s">
        <v>16309</v>
      </c>
      <c r="B8266" s="56" t="s">
        <v>361</v>
      </c>
      <c r="C8266" s="6" t="s">
        <v>6414</v>
      </c>
      <c r="D8266" s="6" t="s">
        <v>407</v>
      </c>
      <c r="E8266" s="6" t="s">
        <v>3115</v>
      </c>
      <c r="F8266" s="6" t="s">
        <v>15855</v>
      </c>
      <c r="G8266" s="6" t="s">
        <v>11450</v>
      </c>
      <c r="H8266" s="54">
        <v>0</v>
      </c>
      <c r="I8266" s="16">
        <v>470000000</v>
      </c>
      <c r="J8266" s="16" t="s">
        <v>229</v>
      </c>
      <c r="K8266" s="6" t="s">
        <v>15758</v>
      </c>
      <c r="L8266" s="12" t="s">
        <v>404</v>
      </c>
      <c r="M8266" s="3" t="s">
        <v>230</v>
      </c>
      <c r="N8266" s="6" t="s">
        <v>15759</v>
      </c>
      <c r="O8266" s="78" t="s">
        <v>9716</v>
      </c>
      <c r="P8266" s="58" t="s">
        <v>241</v>
      </c>
      <c r="Q8266" s="3" t="s">
        <v>234</v>
      </c>
      <c r="R8266" s="1">
        <v>1</v>
      </c>
      <c r="S8266" s="1">
        <v>76800</v>
      </c>
      <c r="T8266" s="4">
        <v>0</v>
      </c>
      <c r="U8266" s="4">
        <f t="shared" si="512"/>
        <v>0</v>
      </c>
      <c r="V8266" s="3"/>
      <c r="W8266" s="3">
        <v>2014</v>
      </c>
      <c r="X8266" s="3">
        <v>11</v>
      </c>
    </row>
    <row r="8267" spans="1:24" ht="63.75">
      <c r="A8267" s="3" t="s">
        <v>18587</v>
      </c>
      <c r="B8267" s="56" t="s">
        <v>361</v>
      </c>
      <c r="C8267" s="6" t="s">
        <v>6414</v>
      </c>
      <c r="D8267" s="6" t="s">
        <v>407</v>
      </c>
      <c r="E8267" s="6" t="s">
        <v>3115</v>
      </c>
      <c r="F8267" s="6" t="s">
        <v>15855</v>
      </c>
      <c r="G8267" s="6" t="s">
        <v>11450</v>
      </c>
      <c r="H8267" s="54">
        <v>0</v>
      </c>
      <c r="I8267" s="16">
        <v>470000000</v>
      </c>
      <c r="J8267" s="16" t="s">
        <v>229</v>
      </c>
      <c r="K8267" s="6" t="s">
        <v>9369</v>
      </c>
      <c r="L8267" s="12" t="s">
        <v>404</v>
      </c>
      <c r="M8267" s="3" t="s">
        <v>230</v>
      </c>
      <c r="N8267" s="6" t="s">
        <v>15759</v>
      </c>
      <c r="O8267" s="78" t="s">
        <v>9716</v>
      </c>
      <c r="P8267" s="58" t="s">
        <v>241</v>
      </c>
      <c r="Q8267" s="3" t="s">
        <v>234</v>
      </c>
      <c r="R8267" s="1">
        <v>1</v>
      </c>
      <c r="S8267" s="1">
        <v>76800</v>
      </c>
      <c r="T8267" s="4">
        <v>0</v>
      </c>
      <c r="U8267" s="4">
        <f t="shared" si="512"/>
        <v>0</v>
      </c>
      <c r="V8267" s="3"/>
      <c r="W8267" s="3">
        <v>2014</v>
      </c>
      <c r="X8267" s="3" t="s">
        <v>14265</v>
      </c>
    </row>
    <row r="8268" spans="1:24" ht="76.5">
      <c r="A8268" s="3" t="s">
        <v>19486</v>
      </c>
      <c r="B8268" s="56" t="s">
        <v>361</v>
      </c>
      <c r="C8268" s="6" t="s">
        <v>6414</v>
      </c>
      <c r="D8268" s="6" t="s">
        <v>407</v>
      </c>
      <c r="E8268" s="6" t="s">
        <v>3115</v>
      </c>
      <c r="F8268" s="6" t="s">
        <v>15855</v>
      </c>
      <c r="G8268" s="6" t="s">
        <v>11450</v>
      </c>
      <c r="H8268" s="54">
        <v>0</v>
      </c>
      <c r="I8268" s="16">
        <v>470000000</v>
      </c>
      <c r="J8268" s="16" t="s">
        <v>229</v>
      </c>
      <c r="K8268" s="6" t="s">
        <v>19379</v>
      </c>
      <c r="L8268" s="12" t="s">
        <v>404</v>
      </c>
      <c r="M8268" s="3" t="s">
        <v>230</v>
      </c>
      <c r="N8268" s="6" t="s">
        <v>19477</v>
      </c>
      <c r="O8268" s="78" t="s">
        <v>19407</v>
      </c>
      <c r="P8268" s="58" t="s">
        <v>241</v>
      </c>
      <c r="Q8268" s="3" t="s">
        <v>234</v>
      </c>
      <c r="R8268" s="1">
        <v>1</v>
      </c>
      <c r="S8268" s="1">
        <v>76800</v>
      </c>
      <c r="T8268" s="1">
        <f t="shared" ref="T8268" si="534">R8268*S8268</f>
        <v>76800</v>
      </c>
      <c r="U8268" s="1">
        <f t="shared" ref="U8268" si="535">T8268*1.12</f>
        <v>86016.000000000015</v>
      </c>
      <c r="V8268" s="3"/>
      <c r="W8268" s="3">
        <v>2014</v>
      </c>
      <c r="X8268" s="3"/>
    </row>
    <row r="8269" spans="1:24" ht="63.75">
      <c r="A8269" s="3" t="s">
        <v>16310</v>
      </c>
      <c r="B8269" s="56" t="s">
        <v>361</v>
      </c>
      <c r="C8269" s="6" t="s">
        <v>7544</v>
      </c>
      <c r="D8269" s="6" t="s">
        <v>387</v>
      </c>
      <c r="E8269" s="6" t="s">
        <v>7545</v>
      </c>
      <c r="F8269" s="6" t="s">
        <v>15856</v>
      </c>
      <c r="G8269" s="6" t="s">
        <v>11450</v>
      </c>
      <c r="H8269" s="54">
        <v>0</v>
      </c>
      <c r="I8269" s="16">
        <v>470000000</v>
      </c>
      <c r="J8269" s="16" t="s">
        <v>229</v>
      </c>
      <c r="K8269" s="6" t="s">
        <v>15758</v>
      </c>
      <c r="L8269" s="12" t="s">
        <v>404</v>
      </c>
      <c r="M8269" s="3" t="s">
        <v>230</v>
      </c>
      <c r="N8269" s="6" t="s">
        <v>15759</v>
      </c>
      <c r="O8269" s="78" t="s">
        <v>9716</v>
      </c>
      <c r="P8269" s="58" t="s">
        <v>241</v>
      </c>
      <c r="Q8269" s="3" t="s">
        <v>234</v>
      </c>
      <c r="R8269" s="1">
        <v>2</v>
      </c>
      <c r="S8269" s="1">
        <v>2500</v>
      </c>
      <c r="T8269" s="4">
        <v>0</v>
      </c>
      <c r="U8269" s="4">
        <f t="shared" si="512"/>
        <v>0</v>
      </c>
      <c r="V8269" s="3"/>
      <c r="W8269" s="3">
        <v>2014</v>
      </c>
      <c r="X8269" s="3">
        <v>11</v>
      </c>
    </row>
    <row r="8270" spans="1:24" ht="63.75">
      <c r="A8270" s="3" t="s">
        <v>18588</v>
      </c>
      <c r="B8270" s="56" t="s">
        <v>361</v>
      </c>
      <c r="C8270" s="6" t="s">
        <v>7544</v>
      </c>
      <c r="D8270" s="6" t="s">
        <v>387</v>
      </c>
      <c r="E8270" s="6" t="s">
        <v>7545</v>
      </c>
      <c r="F8270" s="6" t="s">
        <v>15856</v>
      </c>
      <c r="G8270" s="6" t="s">
        <v>11450</v>
      </c>
      <c r="H8270" s="54">
        <v>0</v>
      </c>
      <c r="I8270" s="16">
        <v>470000000</v>
      </c>
      <c r="J8270" s="16" t="s">
        <v>229</v>
      </c>
      <c r="K8270" s="6" t="s">
        <v>9369</v>
      </c>
      <c r="L8270" s="12" t="s">
        <v>404</v>
      </c>
      <c r="M8270" s="3" t="s">
        <v>230</v>
      </c>
      <c r="N8270" s="6" t="s">
        <v>15759</v>
      </c>
      <c r="O8270" s="78" t="s">
        <v>9716</v>
      </c>
      <c r="P8270" s="58" t="s">
        <v>241</v>
      </c>
      <c r="Q8270" s="3" t="s">
        <v>234</v>
      </c>
      <c r="R8270" s="1">
        <v>2</v>
      </c>
      <c r="S8270" s="1">
        <v>2500</v>
      </c>
      <c r="T8270" s="4">
        <v>0</v>
      </c>
      <c r="U8270" s="4">
        <f t="shared" si="512"/>
        <v>0</v>
      </c>
      <c r="V8270" s="3"/>
      <c r="W8270" s="3">
        <v>2014</v>
      </c>
      <c r="X8270" s="3" t="s">
        <v>14265</v>
      </c>
    </row>
    <row r="8271" spans="1:24" ht="76.5">
      <c r="A8271" s="3" t="s">
        <v>19487</v>
      </c>
      <c r="B8271" s="56" t="s">
        <v>361</v>
      </c>
      <c r="C8271" s="6" t="s">
        <v>7544</v>
      </c>
      <c r="D8271" s="6" t="s">
        <v>387</v>
      </c>
      <c r="E8271" s="6" t="s">
        <v>7545</v>
      </c>
      <c r="F8271" s="6" t="s">
        <v>15856</v>
      </c>
      <c r="G8271" s="6" t="s">
        <v>11450</v>
      </c>
      <c r="H8271" s="54">
        <v>0</v>
      </c>
      <c r="I8271" s="16">
        <v>470000000</v>
      </c>
      <c r="J8271" s="16" t="s">
        <v>229</v>
      </c>
      <c r="K8271" s="6" t="s">
        <v>19379</v>
      </c>
      <c r="L8271" s="12" t="s">
        <v>404</v>
      </c>
      <c r="M8271" s="3" t="s">
        <v>230</v>
      </c>
      <c r="N8271" s="6" t="s">
        <v>19477</v>
      </c>
      <c r="O8271" s="78" t="s">
        <v>19407</v>
      </c>
      <c r="P8271" s="58" t="s">
        <v>241</v>
      </c>
      <c r="Q8271" s="3" t="s">
        <v>234</v>
      </c>
      <c r="R8271" s="1">
        <v>2</v>
      </c>
      <c r="S8271" s="1">
        <v>2500</v>
      </c>
      <c r="T8271" s="1">
        <f t="shared" ref="T8271" si="536">R8271*S8271</f>
        <v>5000</v>
      </c>
      <c r="U8271" s="1">
        <f t="shared" ref="U8271" si="537">T8271*1.12</f>
        <v>5600.0000000000009</v>
      </c>
      <c r="V8271" s="3"/>
      <c r="W8271" s="3">
        <v>2014</v>
      </c>
      <c r="X8271" s="3"/>
    </row>
    <row r="8272" spans="1:24" ht="63.75">
      <c r="A8272" s="3" t="s">
        <v>16311</v>
      </c>
      <c r="B8272" s="56" t="s">
        <v>361</v>
      </c>
      <c r="C8272" s="6" t="s">
        <v>5641</v>
      </c>
      <c r="D8272" s="6" t="s">
        <v>430</v>
      </c>
      <c r="E8272" s="6" t="s">
        <v>5642</v>
      </c>
      <c r="F8272" s="6" t="s">
        <v>15857</v>
      </c>
      <c r="G8272" s="6" t="s">
        <v>11450</v>
      </c>
      <c r="H8272" s="54">
        <v>0</v>
      </c>
      <c r="I8272" s="16">
        <v>470000000</v>
      </c>
      <c r="J8272" s="16" t="s">
        <v>229</v>
      </c>
      <c r="K8272" s="6" t="s">
        <v>15758</v>
      </c>
      <c r="L8272" s="12" t="s">
        <v>404</v>
      </c>
      <c r="M8272" s="3" t="s">
        <v>230</v>
      </c>
      <c r="N8272" s="6" t="s">
        <v>15759</v>
      </c>
      <c r="O8272" s="78" t="s">
        <v>9716</v>
      </c>
      <c r="P8272" s="58" t="s">
        <v>241</v>
      </c>
      <c r="Q8272" s="3" t="s">
        <v>234</v>
      </c>
      <c r="R8272" s="1">
        <v>1</v>
      </c>
      <c r="S8272" s="1">
        <v>150000</v>
      </c>
      <c r="T8272" s="4">
        <v>0</v>
      </c>
      <c r="U8272" s="4">
        <f t="shared" si="512"/>
        <v>0</v>
      </c>
      <c r="V8272" s="3"/>
      <c r="W8272" s="3">
        <v>2014</v>
      </c>
      <c r="X8272" s="3">
        <v>11</v>
      </c>
    </row>
    <row r="8273" spans="1:24" ht="63.75">
      <c r="A8273" s="3" t="s">
        <v>18770</v>
      </c>
      <c r="B8273" s="56" t="s">
        <v>361</v>
      </c>
      <c r="C8273" s="6" t="s">
        <v>5641</v>
      </c>
      <c r="D8273" s="6" t="s">
        <v>430</v>
      </c>
      <c r="E8273" s="6" t="s">
        <v>5642</v>
      </c>
      <c r="F8273" s="6" t="s">
        <v>15857</v>
      </c>
      <c r="G8273" s="6" t="s">
        <v>11450</v>
      </c>
      <c r="H8273" s="54">
        <v>0</v>
      </c>
      <c r="I8273" s="16">
        <v>470000000</v>
      </c>
      <c r="J8273" s="16" t="s">
        <v>229</v>
      </c>
      <c r="K8273" s="6" t="s">
        <v>9369</v>
      </c>
      <c r="L8273" s="12" t="s">
        <v>404</v>
      </c>
      <c r="M8273" s="3" t="s">
        <v>230</v>
      </c>
      <c r="N8273" s="6" t="s">
        <v>15759</v>
      </c>
      <c r="O8273" s="78" t="s">
        <v>9716</v>
      </c>
      <c r="P8273" s="58" t="s">
        <v>241</v>
      </c>
      <c r="Q8273" s="3" t="s">
        <v>234</v>
      </c>
      <c r="R8273" s="1">
        <v>1</v>
      </c>
      <c r="S8273" s="1">
        <v>150000</v>
      </c>
      <c r="T8273" s="4">
        <v>0</v>
      </c>
      <c r="U8273" s="4">
        <f t="shared" si="512"/>
        <v>0</v>
      </c>
      <c r="V8273" s="3"/>
      <c r="W8273" s="3">
        <v>2014</v>
      </c>
      <c r="X8273" s="3" t="s">
        <v>14265</v>
      </c>
    </row>
    <row r="8274" spans="1:24" ht="76.5">
      <c r="A8274" s="3" t="s">
        <v>19488</v>
      </c>
      <c r="B8274" s="56" t="s">
        <v>361</v>
      </c>
      <c r="C8274" s="6" t="s">
        <v>5641</v>
      </c>
      <c r="D8274" s="6" t="s">
        <v>430</v>
      </c>
      <c r="E8274" s="6" t="s">
        <v>5642</v>
      </c>
      <c r="F8274" s="6" t="s">
        <v>15857</v>
      </c>
      <c r="G8274" s="6" t="s">
        <v>11450</v>
      </c>
      <c r="H8274" s="54">
        <v>0</v>
      </c>
      <c r="I8274" s="16">
        <v>470000000</v>
      </c>
      <c r="J8274" s="16" t="s">
        <v>229</v>
      </c>
      <c r="K8274" s="6" t="s">
        <v>19379</v>
      </c>
      <c r="L8274" s="12" t="s">
        <v>404</v>
      </c>
      <c r="M8274" s="3" t="s">
        <v>230</v>
      </c>
      <c r="N8274" s="6" t="s">
        <v>19477</v>
      </c>
      <c r="O8274" s="78" t="s">
        <v>19407</v>
      </c>
      <c r="P8274" s="58" t="s">
        <v>241</v>
      </c>
      <c r="Q8274" s="3" t="s">
        <v>234</v>
      </c>
      <c r="R8274" s="1">
        <v>1</v>
      </c>
      <c r="S8274" s="1">
        <v>150000</v>
      </c>
      <c r="T8274" s="1">
        <f t="shared" ref="T8274" si="538">R8274*S8274</f>
        <v>150000</v>
      </c>
      <c r="U8274" s="1">
        <f t="shared" ref="U8274" si="539">T8274*1.12</f>
        <v>168000.00000000003</v>
      </c>
      <c r="V8274" s="3"/>
      <c r="W8274" s="3">
        <v>2014</v>
      </c>
      <c r="X8274" s="3"/>
    </row>
    <row r="8275" spans="1:24" ht="63.75">
      <c r="A8275" s="3" t="s">
        <v>16312</v>
      </c>
      <c r="B8275" s="56" t="s">
        <v>361</v>
      </c>
      <c r="C8275" s="6" t="s">
        <v>5608</v>
      </c>
      <c r="D8275" s="6" t="s">
        <v>5609</v>
      </c>
      <c r="E8275" s="6" t="s">
        <v>3115</v>
      </c>
      <c r="F8275" s="6" t="s">
        <v>15858</v>
      </c>
      <c r="G8275" s="6" t="s">
        <v>11450</v>
      </c>
      <c r="H8275" s="54">
        <v>0</v>
      </c>
      <c r="I8275" s="16">
        <v>470000000</v>
      </c>
      <c r="J8275" s="16" t="s">
        <v>229</v>
      </c>
      <c r="K8275" s="6" t="s">
        <v>15758</v>
      </c>
      <c r="L8275" s="12" t="s">
        <v>404</v>
      </c>
      <c r="M8275" s="3" t="s">
        <v>230</v>
      </c>
      <c r="N8275" s="6" t="s">
        <v>15759</v>
      </c>
      <c r="O8275" s="78" t="s">
        <v>9716</v>
      </c>
      <c r="P8275" s="58" t="s">
        <v>241</v>
      </c>
      <c r="Q8275" s="3" t="s">
        <v>234</v>
      </c>
      <c r="R8275" s="1">
        <v>1</v>
      </c>
      <c r="S8275" s="1">
        <v>215000</v>
      </c>
      <c r="T8275" s="4">
        <v>0</v>
      </c>
      <c r="U8275" s="4">
        <f t="shared" si="512"/>
        <v>0</v>
      </c>
      <c r="V8275" s="3"/>
      <c r="W8275" s="3">
        <v>2014</v>
      </c>
      <c r="X8275" s="3">
        <v>11</v>
      </c>
    </row>
    <row r="8276" spans="1:24" ht="63.75">
      <c r="A8276" s="3" t="s">
        <v>18589</v>
      </c>
      <c r="B8276" s="56" t="s">
        <v>361</v>
      </c>
      <c r="C8276" s="6" t="s">
        <v>5608</v>
      </c>
      <c r="D8276" s="6" t="s">
        <v>5609</v>
      </c>
      <c r="E8276" s="6" t="s">
        <v>3115</v>
      </c>
      <c r="F8276" s="6" t="s">
        <v>15858</v>
      </c>
      <c r="G8276" s="6" t="s">
        <v>11450</v>
      </c>
      <c r="H8276" s="54">
        <v>0</v>
      </c>
      <c r="I8276" s="16">
        <v>470000000</v>
      </c>
      <c r="J8276" s="16" t="s">
        <v>229</v>
      </c>
      <c r="K8276" s="6" t="s">
        <v>9369</v>
      </c>
      <c r="L8276" s="12" t="s">
        <v>404</v>
      </c>
      <c r="M8276" s="3" t="s">
        <v>230</v>
      </c>
      <c r="N8276" s="6" t="s">
        <v>15759</v>
      </c>
      <c r="O8276" s="78" t="s">
        <v>9716</v>
      </c>
      <c r="P8276" s="58" t="s">
        <v>241</v>
      </c>
      <c r="Q8276" s="3" t="s">
        <v>234</v>
      </c>
      <c r="R8276" s="1">
        <v>1</v>
      </c>
      <c r="S8276" s="1">
        <v>215000</v>
      </c>
      <c r="T8276" s="4">
        <v>0</v>
      </c>
      <c r="U8276" s="4">
        <f t="shared" si="512"/>
        <v>0</v>
      </c>
      <c r="V8276" s="3"/>
      <c r="W8276" s="3">
        <v>2014</v>
      </c>
      <c r="X8276" s="3" t="s">
        <v>14265</v>
      </c>
    </row>
    <row r="8277" spans="1:24" ht="76.5">
      <c r="A8277" s="3" t="s">
        <v>19489</v>
      </c>
      <c r="B8277" s="56" t="s">
        <v>361</v>
      </c>
      <c r="C8277" s="6" t="s">
        <v>5608</v>
      </c>
      <c r="D8277" s="6" t="s">
        <v>5609</v>
      </c>
      <c r="E8277" s="6" t="s">
        <v>3115</v>
      </c>
      <c r="F8277" s="6" t="s">
        <v>15858</v>
      </c>
      <c r="G8277" s="6" t="s">
        <v>11450</v>
      </c>
      <c r="H8277" s="54">
        <v>0</v>
      </c>
      <c r="I8277" s="16">
        <v>470000000</v>
      </c>
      <c r="J8277" s="16" t="s">
        <v>229</v>
      </c>
      <c r="K8277" s="6" t="s">
        <v>19379</v>
      </c>
      <c r="L8277" s="12" t="s">
        <v>404</v>
      </c>
      <c r="M8277" s="3" t="s">
        <v>230</v>
      </c>
      <c r="N8277" s="6" t="s">
        <v>19477</v>
      </c>
      <c r="O8277" s="78" t="s">
        <v>19407</v>
      </c>
      <c r="P8277" s="58" t="s">
        <v>241</v>
      </c>
      <c r="Q8277" s="3" t="s">
        <v>234</v>
      </c>
      <c r="R8277" s="1">
        <v>1</v>
      </c>
      <c r="S8277" s="1">
        <v>215000</v>
      </c>
      <c r="T8277" s="1">
        <f t="shared" ref="T8277" si="540">R8277*S8277</f>
        <v>215000</v>
      </c>
      <c r="U8277" s="1">
        <f t="shared" ref="U8277" si="541">T8277*1.12</f>
        <v>240800.00000000003</v>
      </c>
      <c r="V8277" s="3"/>
      <c r="W8277" s="3">
        <v>2014</v>
      </c>
      <c r="X8277" s="3"/>
    </row>
    <row r="8278" spans="1:24" ht="114.75">
      <c r="A8278" s="3" t="s">
        <v>16381</v>
      </c>
      <c r="B8278" s="56" t="s">
        <v>361</v>
      </c>
      <c r="C8278" s="6" t="s">
        <v>16390</v>
      </c>
      <c r="D8278" s="6" t="s">
        <v>16391</v>
      </c>
      <c r="E8278" s="6" t="s">
        <v>16392</v>
      </c>
      <c r="F8278" s="6" t="s">
        <v>16416</v>
      </c>
      <c r="G8278" s="3" t="s">
        <v>11450</v>
      </c>
      <c r="H8278" s="54">
        <v>0</v>
      </c>
      <c r="I8278" s="16">
        <v>470000000</v>
      </c>
      <c r="J8278" s="16" t="s">
        <v>229</v>
      </c>
      <c r="K8278" s="6" t="s">
        <v>16382</v>
      </c>
      <c r="L8278" s="12" t="s">
        <v>16383</v>
      </c>
      <c r="M8278" s="3" t="s">
        <v>230</v>
      </c>
      <c r="N8278" s="6" t="s">
        <v>16384</v>
      </c>
      <c r="O8278" s="6" t="s">
        <v>365</v>
      </c>
      <c r="P8278" s="58">
        <v>112</v>
      </c>
      <c r="Q8278" s="6" t="s">
        <v>15225</v>
      </c>
      <c r="R8278" s="1">
        <v>1680.023034420966</v>
      </c>
      <c r="S8278" s="1">
        <v>267.86</v>
      </c>
      <c r="T8278" s="1">
        <f>R8278*S8278</f>
        <v>450010.97</v>
      </c>
      <c r="U8278" s="1">
        <f>T8278*1.12</f>
        <v>504012.28640000004</v>
      </c>
      <c r="V8278" s="3"/>
      <c r="W8278" s="3">
        <v>2014</v>
      </c>
      <c r="X8278" s="3"/>
    </row>
    <row r="8279" spans="1:24" ht="102">
      <c r="A8279" s="3" t="s">
        <v>16596</v>
      </c>
      <c r="B8279" s="6" t="s">
        <v>361</v>
      </c>
      <c r="C8279" s="265" t="s">
        <v>10195</v>
      </c>
      <c r="D8279" s="265" t="s">
        <v>8511</v>
      </c>
      <c r="E8279" s="16" t="s">
        <v>10196</v>
      </c>
      <c r="F8279" s="6" t="s">
        <v>18434</v>
      </c>
      <c r="G8279" s="3" t="s">
        <v>605</v>
      </c>
      <c r="H8279" s="98">
        <v>0</v>
      </c>
      <c r="I8279" s="16">
        <v>470000000</v>
      </c>
      <c r="J8279" s="16" t="s">
        <v>229</v>
      </c>
      <c r="K8279" s="6" t="s">
        <v>16428</v>
      </c>
      <c r="L8279" s="16" t="s">
        <v>10000</v>
      </c>
      <c r="M8279" s="162" t="s">
        <v>230</v>
      </c>
      <c r="N8279" s="65" t="s">
        <v>9424</v>
      </c>
      <c r="O8279" s="6" t="s">
        <v>8906</v>
      </c>
      <c r="P8279" s="58" t="s">
        <v>241</v>
      </c>
      <c r="Q8279" s="6" t="s">
        <v>234</v>
      </c>
      <c r="R8279" s="6">
        <v>36</v>
      </c>
      <c r="S8279" s="1">
        <v>21363.88</v>
      </c>
      <c r="T8279" s="4">
        <v>0</v>
      </c>
      <c r="U8279" s="4">
        <f t="shared" ref="U8279:U8358" si="542">T8279*1.12</f>
        <v>0</v>
      </c>
      <c r="V8279" s="3"/>
      <c r="W8279" s="266">
        <v>2014</v>
      </c>
      <c r="X8279" s="3">
        <v>11</v>
      </c>
    </row>
    <row r="8280" spans="1:24" ht="102">
      <c r="A8280" s="3" t="s">
        <v>18653</v>
      </c>
      <c r="B8280" s="6" t="s">
        <v>361</v>
      </c>
      <c r="C8280" s="265" t="s">
        <v>10195</v>
      </c>
      <c r="D8280" s="265" t="s">
        <v>8511</v>
      </c>
      <c r="E8280" s="16" t="s">
        <v>10196</v>
      </c>
      <c r="F8280" s="6" t="s">
        <v>18434</v>
      </c>
      <c r="G8280" s="3" t="s">
        <v>605</v>
      </c>
      <c r="H8280" s="98">
        <v>0</v>
      </c>
      <c r="I8280" s="16">
        <v>470000000</v>
      </c>
      <c r="J8280" s="16" t="s">
        <v>229</v>
      </c>
      <c r="K8280" s="6" t="s">
        <v>18748</v>
      </c>
      <c r="L8280" s="16" t="s">
        <v>10000</v>
      </c>
      <c r="M8280" s="162" t="s">
        <v>230</v>
      </c>
      <c r="N8280" s="65" t="s">
        <v>9424</v>
      </c>
      <c r="O8280" s="6" t="s">
        <v>8906</v>
      </c>
      <c r="P8280" s="58" t="s">
        <v>241</v>
      </c>
      <c r="Q8280" s="6" t="s">
        <v>234</v>
      </c>
      <c r="R8280" s="6">
        <v>36</v>
      </c>
      <c r="S8280" s="1">
        <v>21363.88</v>
      </c>
      <c r="T8280" s="4">
        <v>0</v>
      </c>
      <c r="U8280" s="4">
        <f t="shared" si="542"/>
        <v>0</v>
      </c>
      <c r="V8280" s="3"/>
      <c r="W8280" s="266">
        <v>2014</v>
      </c>
      <c r="X8280" s="6" t="s">
        <v>19406</v>
      </c>
    </row>
    <row r="8281" spans="1:24" ht="89.25">
      <c r="A8281" s="3" t="s">
        <v>19544</v>
      </c>
      <c r="B8281" s="6" t="s">
        <v>361</v>
      </c>
      <c r="C8281" s="265" t="s">
        <v>10195</v>
      </c>
      <c r="D8281" s="265" t="s">
        <v>8511</v>
      </c>
      <c r="E8281" s="16" t="s">
        <v>10196</v>
      </c>
      <c r="F8281" s="6" t="s">
        <v>18434</v>
      </c>
      <c r="G8281" s="3" t="s">
        <v>11450</v>
      </c>
      <c r="H8281" s="98">
        <v>0.2</v>
      </c>
      <c r="I8281" s="16">
        <v>470000000</v>
      </c>
      <c r="J8281" s="16" t="s">
        <v>229</v>
      </c>
      <c r="K8281" s="6" t="s">
        <v>9956</v>
      </c>
      <c r="L8281" s="16" t="s">
        <v>10000</v>
      </c>
      <c r="M8281" s="162" t="s">
        <v>230</v>
      </c>
      <c r="N8281" s="65" t="s">
        <v>18699</v>
      </c>
      <c r="O8281" s="6" t="s">
        <v>19545</v>
      </c>
      <c r="P8281" s="58" t="s">
        <v>241</v>
      </c>
      <c r="Q8281" s="6" t="s">
        <v>234</v>
      </c>
      <c r="R8281" s="6">
        <v>36</v>
      </c>
      <c r="S8281" s="1">
        <v>21363.88</v>
      </c>
      <c r="T8281" s="4">
        <f t="shared" ref="T8281" si="543">R8281*S8281</f>
        <v>769099.68</v>
      </c>
      <c r="U8281" s="97">
        <f t="shared" si="542"/>
        <v>861391.64160000009</v>
      </c>
      <c r="V8281" s="3" t="s">
        <v>362</v>
      </c>
      <c r="W8281" s="266">
        <v>2014</v>
      </c>
      <c r="X8281" s="6"/>
    </row>
    <row r="8282" spans="1:24" ht="102">
      <c r="A8282" s="3" t="s">
        <v>16597</v>
      </c>
      <c r="B8282" s="6" t="s">
        <v>361</v>
      </c>
      <c r="C8282" s="16" t="s">
        <v>9218</v>
      </c>
      <c r="D8282" s="265" t="s">
        <v>9219</v>
      </c>
      <c r="E8282" s="16" t="s">
        <v>9220</v>
      </c>
      <c r="F8282" s="16" t="s">
        <v>9221</v>
      </c>
      <c r="G8282" s="3" t="s">
        <v>605</v>
      </c>
      <c r="H8282" s="98">
        <v>0</v>
      </c>
      <c r="I8282" s="16">
        <v>470000000</v>
      </c>
      <c r="J8282" s="16" t="s">
        <v>229</v>
      </c>
      <c r="K8282" s="6" t="s">
        <v>16428</v>
      </c>
      <c r="L8282" s="16" t="s">
        <v>10000</v>
      </c>
      <c r="M8282" s="162" t="s">
        <v>230</v>
      </c>
      <c r="N8282" s="65" t="s">
        <v>9424</v>
      </c>
      <c r="O8282" s="6" t="s">
        <v>8906</v>
      </c>
      <c r="P8282" s="58" t="s">
        <v>241</v>
      </c>
      <c r="Q8282" s="6" t="s">
        <v>234</v>
      </c>
      <c r="R8282" s="6">
        <v>56</v>
      </c>
      <c r="S8282" s="97">
        <v>4400</v>
      </c>
      <c r="T8282" s="4">
        <v>0</v>
      </c>
      <c r="U8282" s="4">
        <f t="shared" si="542"/>
        <v>0</v>
      </c>
      <c r="V8282" s="3"/>
      <c r="W8282" s="266">
        <v>2014</v>
      </c>
      <c r="X8282" s="3">
        <v>11</v>
      </c>
    </row>
    <row r="8283" spans="1:24" ht="102">
      <c r="A8283" s="3" t="s">
        <v>18654</v>
      </c>
      <c r="B8283" s="6" t="s">
        <v>361</v>
      </c>
      <c r="C8283" s="16" t="s">
        <v>9218</v>
      </c>
      <c r="D8283" s="265" t="s">
        <v>9219</v>
      </c>
      <c r="E8283" s="16" t="s">
        <v>9220</v>
      </c>
      <c r="F8283" s="16" t="s">
        <v>9221</v>
      </c>
      <c r="G8283" s="3" t="s">
        <v>605</v>
      </c>
      <c r="H8283" s="98">
        <v>0</v>
      </c>
      <c r="I8283" s="16">
        <v>470000000</v>
      </c>
      <c r="J8283" s="16" t="s">
        <v>229</v>
      </c>
      <c r="K8283" s="6" t="s">
        <v>18748</v>
      </c>
      <c r="L8283" s="16" t="s">
        <v>10000</v>
      </c>
      <c r="M8283" s="162" t="s">
        <v>230</v>
      </c>
      <c r="N8283" s="65" t="s">
        <v>9424</v>
      </c>
      <c r="O8283" s="6" t="s">
        <v>8906</v>
      </c>
      <c r="P8283" s="58" t="s">
        <v>241</v>
      </c>
      <c r="Q8283" s="6" t="s">
        <v>234</v>
      </c>
      <c r="R8283" s="6">
        <v>56</v>
      </c>
      <c r="S8283" s="97">
        <v>4400</v>
      </c>
      <c r="T8283" s="4">
        <v>0</v>
      </c>
      <c r="U8283" s="4">
        <f t="shared" si="542"/>
        <v>0</v>
      </c>
      <c r="V8283" s="3"/>
      <c r="W8283" s="266">
        <v>2014</v>
      </c>
      <c r="X8283" s="6" t="s">
        <v>14265</v>
      </c>
    </row>
    <row r="8284" spans="1:24" ht="76.5">
      <c r="A8284" s="3" t="s">
        <v>19546</v>
      </c>
      <c r="B8284" s="6" t="s">
        <v>361</v>
      </c>
      <c r="C8284" s="16" t="s">
        <v>9218</v>
      </c>
      <c r="D8284" s="265" t="s">
        <v>9219</v>
      </c>
      <c r="E8284" s="16" t="s">
        <v>9220</v>
      </c>
      <c r="F8284" s="16" t="s">
        <v>9221</v>
      </c>
      <c r="G8284" s="3" t="s">
        <v>605</v>
      </c>
      <c r="H8284" s="98">
        <v>0</v>
      </c>
      <c r="I8284" s="16">
        <v>470000000</v>
      </c>
      <c r="J8284" s="16" t="s">
        <v>229</v>
      </c>
      <c r="K8284" s="6" t="s">
        <v>9956</v>
      </c>
      <c r="L8284" s="16" t="s">
        <v>10000</v>
      </c>
      <c r="M8284" s="162" t="s">
        <v>230</v>
      </c>
      <c r="N8284" s="65" t="s">
        <v>19547</v>
      </c>
      <c r="O8284" s="6" t="s">
        <v>19407</v>
      </c>
      <c r="P8284" s="58" t="s">
        <v>241</v>
      </c>
      <c r="Q8284" s="6" t="s">
        <v>234</v>
      </c>
      <c r="R8284" s="6">
        <v>56</v>
      </c>
      <c r="S8284" s="97">
        <v>4400</v>
      </c>
      <c r="T8284" s="4">
        <f t="shared" ref="T8284" si="544">R8284*S8284</f>
        <v>246400</v>
      </c>
      <c r="U8284" s="97">
        <f t="shared" si="542"/>
        <v>275968</v>
      </c>
      <c r="V8284" s="3"/>
      <c r="W8284" s="266">
        <v>2014</v>
      </c>
      <c r="X8284" s="6"/>
    </row>
    <row r="8285" spans="1:24" ht="114.75">
      <c r="A8285" s="3" t="s">
        <v>17137</v>
      </c>
      <c r="B8285" s="6" t="s">
        <v>361</v>
      </c>
      <c r="C8285" s="16" t="s">
        <v>5760</v>
      </c>
      <c r="D8285" s="265" t="s">
        <v>5761</v>
      </c>
      <c r="E8285" s="16" t="s">
        <v>5762</v>
      </c>
      <c r="F8285" s="16" t="s">
        <v>17150</v>
      </c>
      <c r="G8285" s="3" t="s">
        <v>11450</v>
      </c>
      <c r="H8285" s="98">
        <v>0</v>
      </c>
      <c r="I8285" s="16">
        <v>470000000</v>
      </c>
      <c r="J8285" s="16" t="s">
        <v>229</v>
      </c>
      <c r="K8285" s="57" t="s">
        <v>8950</v>
      </c>
      <c r="L8285" s="12" t="s">
        <v>404</v>
      </c>
      <c r="M8285" s="3" t="s">
        <v>230</v>
      </c>
      <c r="N8285" s="8" t="s">
        <v>9479</v>
      </c>
      <c r="O8285" s="6" t="s">
        <v>365</v>
      </c>
      <c r="P8285" s="58" t="s">
        <v>241</v>
      </c>
      <c r="Q8285" s="6" t="s">
        <v>234</v>
      </c>
      <c r="R8285" s="6">
        <v>4</v>
      </c>
      <c r="S8285" s="97">
        <v>105000.11</v>
      </c>
      <c r="T8285" s="4">
        <f t="shared" ref="T8285:T8290" si="545">R8285*S8285</f>
        <v>420000.44</v>
      </c>
      <c r="U8285" s="97">
        <f t="shared" si="542"/>
        <v>470400.49280000007</v>
      </c>
      <c r="V8285" s="3"/>
      <c r="W8285" s="266">
        <v>2014</v>
      </c>
      <c r="X8285" s="3"/>
    </row>
    <row r="8286" spans="1:24" ht="114.75">
      <c r="A8286" s="3" t="s">
        <v>17141</v>
      </c>
      <c r="B8286" s="6" t="s">
        <v>361</v>
      </c>
      <c r="C8286" s="16" t="s">
        <v>7585</v>
      </c>
      <c r="D8286" s="265" t="s">
        <v>5353</v>
      </c>
      <c r="E8286" s="16" t="s">
        <v>7331</v>
      </c>
      <c r="F8286" s="129" t="s">
        <v>17145</v>
      </c>
      <c r="G8286" s="3" t="s">
        <v>11449</v>
      </c>
      <c r="H8286" s="98">
        <v>0</v>
      </c>
      <c r="I8286" s="16">
        <v>470000000</v>
      </c>
      <c r="J8286" s="16" t="s">
        <v>229</v>
      </c>
      <c r="K8286" s="57" t="s">
        <v>8950</v>
      </c>
      <c r="L8286" s="12" t="s">
        <v>404</v>
      </c>
      <c r="M8286" s="3" t="s">
        <v>230</v>
      </c>
      <c r="N8286" s="8" t="s">
        <v>9479</v>
      </c>
      <c r="O8286" s="6" t="s">
        <v>365</v>
      </c>
      <c r="P8286" s="58" t="s">
        <v>241</v>
      </c>
      <c r="Q8286" s="6" t="s">
        <v>234</v>
      </c>
      <c r="R8286" s="6">
        <v>2</v>
      </c>
      <c r="S8286" s="97">
        <v>2067900</v>
      </c>
      <c r="T8286" s="4">
        <f t="shared" si="545"/>
        <v>4135800</v>
      </c>
      <c r="U8286" s="97">
        <f t="shared" si="542"/>
        <v>4632096</v>
      </c>
      <c r="V8286" s="3"/>
      <c r="W8286" s="266">
        <v>2014</v>
      </c>
      <c r="X8286" s="3"/>
    </row>
    <row r="8287" spans="1:24" ht="114.75">
      <c r="A8287" s="3" t="s">
        <v>17142</v>
      </c>
      <c r="B8287" s="6" t="s">
        <v>361</v>
      </c>
      <c r="C8287" s="16" t="s">
        <v>5360</v>
      </c>
      <c r="D8287" s="265" t="s">
        <v>463</v>
      </c>
      <c r="E8287" s="16" t="s">
        <v>3115</v>
      </c>
      <c r="F8287" s="129" t="s">
        <v>17146</v>
      </c>
      <c r="G8287" s="3" t="s">
        <v>11449</v>
      </c>
      <c r="H8287" s="98">
        <v>0</v>
      </c>
      <c r="I8287" s="16">
        <v>470000000</v>
      </c>
      <c r="J8287" s="16" t="s">
        <v>229</v>
      </c>
      <c r="K8287" s="57" t="s">
        <v>8950</v>
      </c>
      <c r="L8287" s="12" t="s">
        <v>404</v>
      </c>
      <c r="M8287" s="3" t="s">
        <v>230</v>
      </c>
      <c r="N8287" s="8" t="s">
        <v>9479</v>
      </c>
      <c r="O8287" s="6" t="s">
        <v>365</v>
      </c>
      <c r="P8287" s="58" t="s">
        <v>241</v>
      </c>
      <c r="Q8287" s="6" t="s">
        <v>234</v>
      </c>
      <c r="R8287" s="6">
        <v>12</v>
      </c>
      <c r="S8287" s="97">
        <v>140910</v>
      </c>
      <c r="T8287" s="4">
        <f t="shared" si="545"/>
        <v>1690920</v>
      </c>
      <c r="U8287" s="97">
        <f t="shared" si="542"/>
        <v>1893830.4000000001</v>
      </c>
      <c r="V8287" s="3"/>
      <c r="W8287" s="266">
        <v>2014</v>
      </c>
      <c r="X8287" s="3"/>
    </row>
    <row r="8288" spans="1:24" ht="114.75">
      <c r="A8288" s="3" t="s">
        <v>17143</v>
      </c>
      <c r="B8288" s="6" t="s">
        <v>361</v>
      </c>
      <c r="C8288" s="16" t="s">
        <v>5721</v>
      </c>
      <c r="D8288" s="265" t="s">
        <v>472</v>
      </c>
      <c r="E8288" s="16" t="s">
        <v>3115</v>
      </c>
      <c r="F8288" s="129" t="s">
        <v>17147</v>
      </c>
      <c r="G8288" s="3" t="s">
        <v>11449</v>
      </c>
      <c r="H8288" s="98">
        <v>0</v>
      </c>
      <c r="I8288" s="16">
        <v>470000000</v>
      </c>
      <c r="J8288" s="16" t="s">
        <v>229</v>
      </c>
      <c r="K8288" s="57" t="s">
        <v>8950</v>
      </c>
      <c r="L8288" s="12" t="s">
        <v>404</v>
      </c>
      <c r="M8288" s="3" t="s">
        <v>230</v>
      </c>
      <c r="N8288" s="8" t="s">
        <v>9479</v>
      </c>
      <c r="O8288" s="6" t="s">
        <v>365</v>
      </c>
      <c r="P8288" s="58" t="s">
        <v>241</v>
      </c>
      <c r="Q8288" s="6" t="s">
        <v>234</v>
      </c>
      <c r="R8288" s="6">
        <v>2</v>
      </c>
      <c r="S8288" s="97">
        <v>40550</v>
      </c>
      <c r="T8288" s="4">
        <v>0</v>
      </c>
      <c r="U8288" s="97">
        <f t="shared" si="542"/>
        <v>0</v>
      </c>
      <c r="V8288" s="3"/>
      <c r="W8288" s="266">
        <v>2014</v>
      </c>
      <c r="X8288" s="3" t="s">
        <v>14265</v>
      </c>
    </row>
    <row r="8289" spans="1:24" ht="76.5">
      <c r="A8289" s="3" t="s">
        <v>19174</v>
      </c>
      <c r="B8289" s="6" t="s">
        <v>361</v>
      </c>
      <c r="C8289" s="16" t="s">
        <v>5721</v>
      </c>
      <c r="D8289" s="265" t="s">
        <v>472</v>
      </c>
      <c r="E8289" s="16" t="s">
        <v>3115</v>
      </c>
      <c r="F8289" s="129" t="s">
        <v>17147</v>
      </c>
      <c r="G8289" s="3" t="s">
        <v>11449</v>
      </c>
      <c r="H8289" s="98">
        <v>0</v>
      </c>
      <c r="I8289" s="16">
        <v>470000000</v>
      </c>
      <c r="J8289" s="16" t="s">
        <v>229</v>
      </c>
      <c r="K8289" s="57" t="s">
        <v>18437</v>
      </c>
      <c r="L8289" s="12" t="s">
        <v>404</v>
      </c>
      <c r="M8289" s="3" t="s">
        <v>230</v>
      </c>
      <c r="N8289" s="8" t="s">
        <v>8898</v>
      </c>
      <c r="O8289" s="6" t="s">
        <v>19407</v>
      </c>
      <c r="P8289" s="58" t="s">
        <v>241</v>
      </c>
      <c r="Q8289" s="6" t="s">
        <v>234</v>
      </c>
      <c r="R8289" s="6">
        <v>2</v>
      </c>
      <c r="S8289" s="97">
        <v>40550</v>
      </c>
      <c r="T8289" s="4">
        <f t="shared" ref="T8289" si="546">R8289*S8289</f>
        <v>81100</v>
      </c>
      <c r="U8289" s="97">
        <f t="shared" si="542"/>
        <v>90832.000000000015</v>
      </c>
      <c r="V8289" s="3"/>
      <c r="W8289" s="266">
        <v>2014</v>
      </c>
      <c r="X8289" s="3"/>
    </row>
    <row r="8290" spans="1:24" ht="114.75">
      <c r="A8290" s="3" t="s">
        <v>17144</v>
      </c>
      <c r="B8290" s="6" t="s">
        <v>361</v>
      </c>
      <c r="C8290" s="16" t="s">
        <v>6414</v>
      </c>
      <c r="D8290" s="265" t="s">
        <v>407</v>
      </c>
      <c r="E8290" s="16" t="s">
        <v>3115</v>
      </c>
      <c r="F8290" s="129" t="s">
        <v>17148</v>
      </c>
      <c r="G8290" s="3" t="s">
        <v>11449</v>
      </c>
      <c r="H8290" s="98">
        <v>0</v>
      </c>
      <c r="I8290" s="16">
        <v>470000000</v>
      </c>
      <c r="J8290" s="16" t="s">
        <v>229</v>
      </c>
      <c r="K8290" s="57" t="s">
        <v>8950</v>
      </c>
      <c r="L8290" s="12" t="s">
        <v>404</v>
      </c>
      <c r="M8290" s="3" t="s">
        <v>230</v>
      </c>
      <c r="N8290" s="8" t="s">
        <v>9479</v>
      </c>
      <c r="O8290" s="6" t="s">
        <v>365</v>
      </c>
      <c r="P8290" s="58" t="s">
        <v>241</v>
      </c>
      <c r="Q8290" s="6" t="s">
        <v>234</v>
      </c>
      <c r="R8290" s="6">
        <v>2</v>
      </c>
      <c r="S8290" s="97">
        <v>506625</v>
      </c>
      <c r="T8290" s="4">
        <f t="shared" si="545"/>
        <v>1013250</v>
      </c>
      <c r="U8290" s="97">
        <f t="shared" si="542"/>
        <v>1134840</v>
      </c>
      <c r="V8290" s="3"/>
      <c r="W8290" s="266">
        <v>2014</v>
      </c>
      <c r="X8290" s="3"/>
    </row>
    <row r="8291" spans="1:24" ht="114.75">
      <c r="A8291" s="3" t="s">
        <v>17149</v>
      </c>
      <c r="B8291" s="6" t="s">
        <v>361</v>
      </c>
      <c r="C8291" s="16" t="s">
        <v>5760</v>
      </c>
      <c r="D8291" s="265" t="s">
        <v>5761</v>
      </c>
      <c r="E8291" s="16" t="s">
        <v>5762</v>
      </c>
      <c r="F8291" s="16" t="s">
        <v>17138</v>
      </c>
      <c r="G8291" s="3" t="s">
        <v>11450</v>
      </c>
      <c r="H8291" s="98">
        <v>0</v>
      </c>
      <c r="I8291" s="16">
        <v>470000000</v>
      </c>
      <c r="J8291" s="16" t="s">
        <v>229</v>
      </c>
      <c r="K8291" s="57" t="s">
        <v>8950</v>
      </c>
      <c r="L8291" s="12" t="s">
        <v>404</v>
      </c>
      <c r="M8291" s="3" t="s">
        <v>230</v>
      </c>
      <c r="N8291" s="8" t="s">
        <v>9479</v>
      </c>
      <c r="O8291" s="6" t="s">
        <v>365</v>
      </c>
      <c r="P8291" s="58" t="s">
        <v>241</v>
      </c>
      <c r="Q8291" s="6" t="s">
        <v>234</v>
      </c>
      <c r="R8291" s="6">
        <v>3</v>
      </c>
      <c r="S8291" s="97">
        <v>114121</v>
      </c>
      <c r="T8291" s="4">
        <v>0</v>
      </c>
      <c r="U8291" s="4">
        <f t="shared" si="542"/>
        <v>0</v>
      </c>
      <c r="V8291" s="3"/>
      <c r="W8291" s="266">
        <v>2014</v>
      </c>
      <c r="X8291" s="3">
        <v>11</v>
      </c>
    </row>
    <row r="8292" spans="1:24" ht="114.75">
      <c r="A8292" s="3" t="s">
        <v>18959</v>
      </c>
      <c r="B8292" s="6" t="s">
        <v>361</v>
      </c>
      <c r="C8292" s="16" t="s">
        <v>5760</v>
      </c>
      <c r="D8292" s="265" t="s">
        <v>5761</v>
      </c>
      <c r="E8292" s="16" t="s">
        <v>5762</v>
      </c>
      <c r="F8292" s="16" t="s">
        <v>17138</v>
      </c>
      <c r="G8292" s="3" t="s">
        <v>11450</v>
      </c>
      <c r="H8292" s="98">
        <v>0</v>
      </c>
      <c r="I8292" s="16">
        <v>470000000</v>
      </c>
      <c r="J8292" s="16" t="s">
        <v>229</v>
      </c>
      <c r="K8292" s="57" t="s">
        <v>18437</v>
      </c>
      <c r="L8292" s="12" t="s">
        <v>404</v>
      </c>
      <c r="M8292" s="3" t="s">
        <v>230</v>
      </c>
      <c r="N8292" s="8" t="s">
        <v>9479</v>
      </c>
      <c r="O8292" s="6" t="s">
        <v>365</v>
      </c>
      <c r="P8292" s="58" t="s">
        <v>241</v>
      </c>
      <c r="Q8292" s="6" t="s">
        <v>234</v>
      </c>
      <c r="R8292" s="6">
        <v>3</v>
      </c>
      <c r="S8292" s="97">
        <v>114121</v>
      </c>
      <c r="T8292" s="4">
        <v>0</v>
      </c>
      <c r="U8292" s="4">
        <f t="shared" si="542"/>
        <v>0</v>
      </c>
      <c r="V8292" s="3"/>
      <c r="W8292" s="266">
        <v>2014</v>
      </c>
      <c r="X8292" s="3" t="s">
        <v>12076</v>
      </c>
    </row>
    <row r="8293" spans="1:24" ht="114.75">
      <c r="A8293" s="3" t="s">
        <v>17151</v>
      </c>
      <c r="B8293" s="6" t="s">
        <v>361</v>
      </c>
      <c r="C8293" s="16" t="s">
        <v>7585</v>
      </c>
      <c r="D8293" s="265" t="s">
        <v>5353</v>
      </c>
      <c r="E8293" s="16" t="s">
        <v>7331</v>
      </c>
      <c r="F8293" s="16" t="s">
        <v>17156</v>
      </c>
      <c r="G8293" s="3" t="s">
        <v>11450</v>
      </c>
      <c r="H8293" s="98">
        <v>0</v>
      </c>
      <c r="I8293" s="16">
        <v>470000000</v>
      </c>
      <c r="J8293" s="16" t="s">
        <v>229</v>
      </c>
      <c r="K8293" s="57" t="s">
        <v>8950</v>
      </c>
      <c r="L8293" s="12" t="s">
        <v>404</v>
      </c>
      <c r="M8293" s="3" t="s">
        <v>230</v>
      </c>
      <c r="N8293" s="8" t="s">
        <v>9479</v>
      </c>
      <c r="O8293" s="6" t="s">
        <v>365</v>
      </c>
      <c r="P8293" s="58" t="s">
        <v>241</v>
      </c>
      <c r="Q8293" s="6" t="s">
        <v>234</v>
      </c>
      <c r="R8293" s="6">
        <v>1</v>
      </c>
      <c r="S8293" s="97">
        <v>220000</v>
      </c>
      <c r="T8293" s="4">
        <f t="shared" ref="T8293:T8303" si="547">R8293*S8293</f>
        <v>220000</v>
      </c>
      <c r="U8293" s="97">
        <f t="shared" si="542"/>
        <v>246400.00000000003</v>
      </c>
      <c r="V8293" s="3"/>
      <c r="W8293" s="266">
        <v>2014</v>
      </c>
      <c r="X8293" s="3"/>
    </row>
    <row r="8294" spans="1:24" ht="114.75">
      <c r="A8294" s="3" t="s">
        <v>17152</v>
      </c>
      <c r="B8294" s="6" t="s">
        <v>361</v>
      </c>
      <c r="C8294" s="16" t="s">
        <v>5360</v>
      </c>
      <c r="D8294" s="265" t="s">
        <v>463</v>
      </c>
      <c r="E8294" s="16" t="s">
        <v>3115</v>
      </c>
      <c r="F8294" s="16" t="s">
        <v>17157</v>
      </c>
      <c r="G8294" s="3" t="s">
        <v>11450</v>
      </c>
      <c r="H8294" s="98">
        <v>0</v>
      </c>
      <c r="I8294" s="16">
        <v>470000000</v>
      </c>
      <c r="J8294" s="16" t="s">
        <v>229</v>
      </c>
      <c r="K8294" s="57" t="s">
        <v>8950</v>
      </c>
      <c r="L8294" s="12" t="s">
        <v>404</v>
      </c>
      <c r="M8294" s="3" t="s">
        <v>230</v>
      </c>
      <c r="N8294" s="8" t="s">
        <v>9479</v>
      </c>
      <c r="O8294" s="6" t="s">
        <v>365</v>
      </c>
      <c r="P8294" s="58" t="s">
        <v>241</v>
      </c>
      <c r="Q8294" s="6" t="s">
        <v>234</v>
      </c>
      <c r="R8294" s="6">
        <v>6</v>
      </c>
      <c r="S8294" s="97">
        <v>6280</v>
      </c>
      <c r="T8294" s="4">
        <f t="shared" si="547"/>
        <v>37680</v>
      </c>
      <c r="U8294" s="97">
        <f t="shared" si="542"/>
        <v>42201.600000000006</v>
      </c>
      <c r="V8294" s="3"/>
      <c r="W8294" s="266">
        <v>2014</v>
      </c>
      <c r="X8294" s="3"/>
    </row>
    <row r="8295" spans="1:24" ht="114.75">
      <c r="A8295" s="3" t="s">
        <v>17153</v>
      </c>
      <c r="B8295" s="6" t="s">
        <v>361</v>
      </c>
      <c r="C8295" s="16" t="s">
        <v>6053</v>
      </c>
      <c r="D8295" s="265" t="s">
        <v>411</v>
      </c>
      <c r="E8295" s="16" t="s">
        <v>6054</v>
      </c>
      <c r="F8295" s="16" t="s">
        <v>17158</v>
      </c>
      <c r="G8295" s="3" t="s">
        <v>11450</v>
      </c>
      <c r="H8295" s="98">
        <v>0</v>
      </c>
      <c r="I8295" s="16">
        <v>470000000</v>
      </c>
      <c r="J8295" s="16" t="s">
        <v>229</v>
      </c>
      <c r="K8295" s="57" t="s">
        <v>8950</v>
      </c>
      <c r="L8295" s="12" t="s">
        <v>404</v>
      </c>
      <c r="M8295" s="3" t="s">
        <v>230</v>
      </c>
      <c r="N8295" s="8" t="s">
        <v>9479</v>
      </c>
      <c r="O8295" s="6" t="s">
        <v>365</v>
      </c>
      <c r="P8295" s="58" t="s">
        <v>241</v>
      </c>
      <c r="Q8295" s="6" t="s">
        <v>234</v>
      </c>
      <c r="R8295" s="6">
        <v>2</v>
      </c>
      <c r="S8295" s="97">
        <v>12900</v>
      </c>
      <c r="T8295" s="4">
        <f t="shared" si="547"/>
        <v>25800</v>
      </c>
      <c r="U8295" s="97">
        <f t="shared" si="542"/>
        <v>28896.000000000004</v>
      </c>
      <c r="V8295" s="3"/>
      <c r="W8295" s="266">
        <v>2014</v>
      </c>
      <c r="X8295" s="3"/>
    </row>
    <row r="8296" spans="1:24" ht="114.75">
      <c r="A8296" s="3" t="s">
        <v>17154</v>
      </c>
      <c r="B8296" s="6" t="s">
        <v>361</v>
      </c>
      <c r="C8296" s="16" t="s">
        <v>6053</v>
      </c>
      <c r="D8296" s="265" t="s">
        <v>411</v>
      </c>
      <c r="E8296" s="16" t="s">
        <v>6054</v>
      </c>
      <c r="F8296" s="16" t="s">
        <v>17159</v>
      </c>
      <c r="G8296" s="3" t="s">
        <v>11450</v>
      </c>
      <c r="H8296" s="98">
        <v>0</v>
      </c>
      <c r="I8296" s="16">
        <v>470000000</v>
      </c>
      <c r="J8296" s="16" t="s">
        <v>229</v>
      </c>
      <c r="K8296" s="57" t="s">
        <v>8950</v>
      </c>
      <c r="L8296" s="12" t="s">
        <v>404</v>
      </c>
      <c r="M8296" s="3" t="s">
        <v>230</v>
      </c>
      <c r="N8296" s="8" t="s">
        <v>9479</v>
      </c>
      <c r="O8296" s="6" t="s">
        <v>365</v>
      </c>
      <c r="P8296" s="58" t="s">
        <v>241</v>
      </c>
      <c r="Q8296" s="6" t="s">
        <v>234</v>
      </c>
      <c r="R8296" s="6">
        <v>2</v>
      </c>
      <c r="S8296" s="97">
        <v>12900</v>
      </c>
      <c r="T8296" s="4">
        <f t="shared" si="547"/>
        <v>25800</v>
      </c>
      <c r="U8296" s="97">
        <f t="shared" si="542"/>
        <v>28896.000000000004</v>
      </c>
      <c r="V8296" s="3"/>
      <c r="W8296" s="266">
        <v>2014</v>
      </c>
      <c r="X8296" s="3"/>
    </row>
    <row r="8297" spans="1:24" ht="114.75">
      <c r="A8297" s="3" t="s">
        <v>17155</v>
      </c>
      <c r="B8297" s="6" t="s">
        <v>361</v>
      </c>
      <c r="C8297" s="6" t="s">
        <v>7381</v>
      </c>
      <c r="D8297" s="265" t="s">
        <v>7382</v>
      </c>
      <c r="E8297" s="16" t="s">
        <v>11580</v>
      </c>
      <c r="F8297" s="16" t="s">
        <v>17160</v>
      </c>
      <c r="G8297" s="3" t="s">
        <v>11450</v>
      </c>
      <c r="H8297" s="98">
        <v>0</v>
      </c>
      <c r="I8297" s="16">
        <v>470000000</v>
      </c>
      <c r="J8297" s="16" t="s">
        <v>229</v>
      </c>
      <c r="K8297" s="57" t="s">
        <v>8950</v>
      </c>
      <c r="L8297" s="12" t="s">
        <v>404</v>
      </c>
      <c r="M8297" s="3" t="s">
        <v>230</v>
      </c>
      <c r="N8297" s="8" t="s">
        <v>9479</v>
      </c>
      <c r="O8297" s="6" t="s">
        <v>365</v>
      </c>
      <c r="P8297" s="58" t="s">
        <v>241</v>
      </c>
      <c r="Q8297" s="6" t="s">
        <v>234</v>
      </c>
      <c r="R8297" s="6">
        <v>1</v>
      </c>
      <c r="S8297" s="97">
        <v>27400</v>
      </c>
      <c r="T8297" s="4">
        <f t="shared" si="547"/>
        <v>27400</v>
      </c>
      <c r="U8297" s="97">
        <f t="shared" si="542"/>
        <v>30688.000000000004</v>
      </c>
      <c r="V8297" s="3"/>
      <c r="W8297" s="266">
        <v>2014</v>
      </c>
      <c r="X8297" s="3"/>
    </row>
    <row r="8298" spans="1:24" ht="114.75">
      <c r="A8298" s="3" t="s">
        <v>17161</v>
      </c>
      <c r="B8298" s="6" t="s">
        <v>361</v>
      </c>
      <c r="C8298" s="16" t="s">
        <v>7326</v>
      </c>
      <c r="D8298" s="265" t="s">
        <v>3122</v>
      </c>
      <c r="E8298" s="16" t="s">
        <v>3115</v>
      </c>
      <c r="F8298" s="9" t="s">
        <v>17167</v>
      </c>
      <c r="G8298" s="3" t="s">
        <v>11450</v>
      </c>
      <c r="H8298" s="98">
        <v>0</v>
      </c>
      <c r="I8298" s="16">
        <v>470000000</v>
      </c>
      <c r="J8298" s="16" t="s">
        <v>229</v>
      </c>
      <c r="K8298" s="57" t="s">
        <v>8950</v>
      </c>
      <c r="L8298" s="12" t="s">
        <v>404</v>
      </c>
      <c r="M8298" s="3" t="s">
        <v>230</v>
      </c>
      <c r="N8298" s="8" t="s">
        <v>9479</v>
      </c>
      <c r="O8298" s="6" t="s">
        <v>365</v>
      </c>
      <c r="P8298" s="58" t="s">
        <v>241</v>
      </c>
      <c r="Q8298" s="6" t="s">
        <v>234</v>
      </c>
      <c r="R8298" s="6">
        <v>7</v>
      </c>
      <c r="S8298" s="97">
        <v>11400</v>
      </c>
      <c r="T8298" s="4">
        <f t="shared" si="547"/>
        <v>79800</v>
      </c>
      <c r="U8298" s="97">
        <f t="shared" si="542"/>
        <v>89376.000000000015</v>
      </c>
      <c r="V8298" s="3"/>
      <c r="W8298" s="266">
        <v>2014</v>
      </c>
      <c r="X8298" s="3"/>
    </row>
    <row r="8299" spans="1:24" ht="114.75">
      <c r="A8299" s="3" t="s">
        <v>17162</v>
      </c>
      <c r="B8299" s="6" t="s">
        <v>361</v>
      </c>
      <c r="C8299" s="16" t="s">
        <v>17173</v>
      </c>
      <c r="D8299" s="265" t="s">
        <v>3125</v>
      </c>
      <c r="E8299" s="16" t="s">
        <v>3115</v>
      </c>
      <c r="F8299" s="9" t="s">
        <v>17168</v>
      </c>
      <c r="G8299" s="3" t="s">
        <v>11450</v>
      </c>
      <c r="H8299" s="98">
        <v>0</v>
      </c>
      <c r="I8299" s="16">
        <v>470000000</v>
      </c>
      <c r="J8299" s="16" t="s">
        <v>229</v>
      </c>
      <c r="K8299" s="57" t="s">
        <v>8950</v>
      </c>
      <c r="L8299" s="12" t="s">
        <v>404</v>
      </c>
      <c r="M8299" s="3" t="s">
        <v>230</v>
      </c>
      <c r="N8299" s="8" t="s">
        <v>9479</v>
      </c>
      <c r="O8299" s="6" t="s">
        <v>365</v>
      </c>
      <c r="P8299" s="58" t="s">
        <v>241</v>
      </c>
      <c r="Q8299" s="6" t="s">
        <v>234</v>
      </c>
      <c r="R8299" s="6">
        <v>6</v>
      </c>
      <c r="S8299" s="97">
        <v>11000</v>
      </c>
      <c r="T8299" s="4">
        <f t="shared" si="547"/>
        <v>66000</v>
      </c>
      <c r="U8299" s="97">
        <f t="shared" si="542"/>
        <v>73920</v>
      </c>
      <c r="V8299" s="3"/>
      <c r="W8299" s="266">
        <v>2014</v>
      </c>
      <c r="X8299" s="3"/>
    </row>
    <row r="8300" spans="1:24" ht="114.75">
      <c r="A8300" s="3" t="s">
        <v>17163</v>
      </c>
      <c r="B8300" s="6" t="s">
        <v>361</v>
      </c>
      <c r="C8300" s="16" t="s">
        <v>5602</v>
      </c>
      <c r="D8300" s="265" t="s">
        <v>5603</v>
      </c>
      <c r="E8300" s="16" t="s">
        <v>3115</v>
      </c>
      <c r="F8300" s="9" t="s">
        <v>17169</v>
      </c>
      <c r="G8300" s="3" t="s">
        <v>11450</v>
      </c>
      <c r="H8300" s="98">
        <v>0</v>
      </c>
      <c r="I8300" s="16">
        <v>470000000</v>
      </c>
      <c r="J8300" s="16" t="s">
        <v>229</v>
      </c>
      <c r="K8300" s="57" t="s">
        <v>8950</v>
      </c>
      <c r="L8300" s="12" t="s">
        <v>404</v>
      </c>
      <c r="M8300" s="3" t="s">
        <v>230</v>
      </c>
      <c r="N8300" s="8" t="s">
        <v>9479</v>
      </c>
      <c r="O8300" s="6" t="s">
        <v>365</v>
      </c>
      <c r="P8300" s="58" t="s">
        <v>241</v>
      </c>
      <c r="Q8300" s="6" t="s">
        <v>234</v>
      </c>
      <c r="R8300" s="6">
        <v>6</v>
      </c>
      <c r="S8300" s="97">
        <v>103700</v>
      </c>
      <c r="T8300" s="4">
        <f t="shared" si="547"/>
        <v>622200</v>
      </c>
      <c r="U8300" s="97">
        <f t="shared" si="542"/>
        <v>696864.00000000012</v>
      </c>
      <c r="V8300" s="3"/>
      <c r="W8300" s="266">
        <v>2014</v>
      </c>
      <c r="X8300" s="3"/>
    </row>
    <row r="8301" spans="1:24" ht="114.75">
      <c r="A8301" s="3" t="s">
        <v>17164</v>
      </c>
      <c r="B8301" s="6" t="s">
        <v>361</v>
      </c>
      <c r="C8301" s="16" t="s">
        <v>17174</v>
      </c>
      <c r="D8301" s="265" t="s">
        <v>17175</v>
      </c>
      <c r="E8301" s="16" t="s">
        <v>17176</v>
      </c>
      <c r="F8301" s="9" t="s">
        <v>17170</v>
      </c>
      <c r="G8301" s="3" t="s">
        <v>11450</v>
      </c>
      <c r="H8301" s="98">
        <v>0</v>
      </c>
      <c r="I8301" s="16">
        <v>470000000</v>
      </c>
      <c r="J8301" s="16" t="s">
        <v>229</v>
      </c>
      <c r="K8301" s="57" t="s">
        <v>8950</v>
      </c>
      <c r="L8301" s="12" t="s">
        <v>404</v>
      </c>
      <c r="M8301" s="3" t="s">
        <v>230</v>
      </c>
      <c r="N8301" s="8" t="s">
        <v>9479</v>
      </c>
      <c r="O8301" s="6" t="s">
        <v>365</v>
      </c>
      <c r="P8301" s="58" t="s">
        <v>242</v>
      </c>
      <c r="Q8301" s="6" t="s">
        <v>239</v>
      </c>
      <c r="R8301" s="6">
        <v>1</v>
      </c>
      <c r="S8301" s="97">
        <v>190000</v>
      </c>
      <c r="T8301" s="4">
        <f t="shared" si="547"/>
        <v>190000</v>
      </c>
      <c r="U8301" s="97">
        <f t="shared" si="542"/>
        <v>212800.00000000003</v>
      </c>
      <c r="V8301" s="3"/>
      <c r="W8301" s="266">
        <v>2014</v>
      </c>
      <c r="X8301" s="3"/>
    </row>
    <row r="8302" spans="1:24" ht="114.75">
      <c r="A8302" s="3" t="s">
        <v>17165</v>
      </c>
      <c r="B8302" s="6" t="s">
        <v>361</v>
      </c>
      <c r="C8302" s="16" t="s">
        <v>7544</v>
      </c>
      <c r="D8302" s="265" t="s">
        <v>387</v>
      </c>
      <c r="E8302" s="16" t="s">
        <v>7545</v>
      </c>
      <c r="F8302" s="9" t="s">
        <v>17171</v>
      </c>
      <c r="G8302" s="3" t="s">
        <v>11450</v>
      </c>
      <c r="H8302" s="98">
        <v>0</v>
      </c>
      <c r="I8302" s="16">
        <v>470000000</v>
      </c>
      <c r="J8302" s="16" t="s">
        <v>229</v>
      </c>
      <c r="K8302" s="57" t="s">
        <v>8950</v>
      </c>
      <c r="L8302" s="12" t="s">
        <v>404</v>
      </c>
      <c r="M8302" s="3" t="s">
        <v>230</v>
      </c>
      <c r="N8302" s="8" t="s">
        <v>9479</v>
      </c>
      <c r="O8302" s="6" t="s">
        <v>365</v>
      </c>
      <c r="P8302" s="58" t="s">
        <v>241</v>
      </c>
      <c r="Q8302" s="6" t="s">
        <v>234</v>
      </c>
      <c r="R8302" s="6">
        <v>1</v>
      </c>
      <c r="S8302" s="97">
        <v>21000</v>
      </c>
      <c r="T8302" s="4">
        <f t="shared" si="547"/>
        <v>21000</v>
      </c>
      <c r="U8302" s="97">
        <f t="shared" si="542"/>
        <v>23520.000000000004</v>
      </c>
      <c r="V8302" s="3"/>
      <c r="W8302" s="266">
        <v>2014</v>
      </c>
      <c r="X8302" s="3"/>
    </row>
    <row r="8303" spans="1:24" ht="114.75">
      <c r="A8303" s="3" t="s">
        <v>17166</v>
      </c>
      <c r="B8303" s="6" t="s">
        <v>361</v>
      </c>
      <c r="C8303" s="16" t="s">
        <v>5721</v>
      </c>
      <c r="D8303" s="265" t="s">
        <v>472</v>
      </c>
      <c r="E8303" s="16" t="s">
        <v>3115</v>
      </c>
      <c r="F8303" s="9" t="s">
        <v>17172</v>
      </c>
      <c r="G8303" s="3" t="s">
        <v>11450</v>
      </c>
      <c r="H8303" s="98">
        <v>0</v>
      </c>
      <c r="I8303" s="16">
        <v>470000000</v>
      </c>
      <c r="J8303" s="16" t="s">
        <v>229</v>
      </c>
      <c r="K8303" s="57" t="s">
        <v>8950</v>
      </c>
      <c r="L8303" s="12" t="s">
        <v>404</v>
      </c>
      <c r="M8303" s="3" t="s">
        <v>230</v>
      </c>
      <c r="N8303" s="8" t="s">
        <v>9479</v>
      </c>
      <c r="O8303" s="6" t="s">
        <v>365</v>
      </c>
      <c r="P8303" s="58" t="s">
        <v>241</v>
      </c>
      <c r="Q8303" s="6" t="s">
        <v>234</v>
      </c>
      <c r="R8303" s="6">
        <v>1</v>
      </c>
      <c r="S8303" s="97">
        <v>63900</v>
      </c>
      <c r="T8303" s="4">
        <f t="shared" si="547"/>
        <v>63900</v>
      </c>
      <c r="U8303" s="97">
        <f t="shared" si="542"/>
        <v>71568</v>
      </c>
      <c r="V8303" s="3"/>
      <c r="W8303" s="266">
        <v>2014</v>
      </c>
      <c r="X8303" s="3"/>
    </row>
    <row r="8304" spans="1:24" ht="153">
      <c r="A8304" s="3" t="s">
        <v>17190</v>
      </c>
      <c r="B8304" s="6" t="s">
        <v>361</v>
      </c>
      <c r="C8304" s="16" t="s">
        <v>17198</v>
      </c>
      <c r="D8304" s="265" t="s">
        <v>10241</v>
      </c>
      <c r="E8304" s="16" t="s">
        <v>17199</v>
      </c>
      <c r="F8304" s="16" t="s">
        <v>17194</v>
      </c>
      <c r="G8304" s="3" t="s">
        <v>11450</v>
      </c>
      <c r="H8304" s="98">
        <v>0</v>
      </c>
      <c r="I8304" s="16">
        <v>470000000</v>
      </c>
      <c r="J8304" s="16" t="s">
        <v>229</v>
      </c>
      <c r="K8304" s="57" t="s">
        <v>8950</v>
      </c>
      <c r="L8304" s="16" t="s">
        <v>10000</v>
      </c>
      <c r="M8304" s="3" t="s">
        <v>230</v>
      </c>
      <c r="N8304" s="65" t="s">
        <v>9424</v>
      </c>
      <c r="O8304" s="6" t="s">
        <v>17205</v>
      </c>
      <c r="P8304" s="58" t="s">
        <v>241</v>
      </c>
      <c r="Q8304" s="6" t="s">
        <v>234</v>
      </c>
      <c r="R8304" s="6">
        <v>12</v>
      </c>
      <c r="S8304" s="97">
        <v>35000</v>
      </c>
      <c r="T8304" s="4">
        <v>0</v>
      </c>
      <c r="U8304" s="4">
        <f t="shared" si="542"/>
        <v>0</v>
      </c>
      <c r="V8304" s="3"/>
      <c r="W8304" s="266">
        <v>2014</v>
      </c>
      <c r="X8304" s="3">
        <v>11</v>
      </c>
    </row>
    <row r="8305" spans="1:24" ht="153">
      <c r="A8305" s="3" t="s">
        <v>18516</v>
      </c>
      <c r="B8305" s="6" t="s">
        <v>361</v>
      </c>
      <c r="C8305" s="16" t="s">
        <v>17198</v>
      </c>
      <c r="D8305" s="265" t="s">
        <v>10241</v>
      </c>
      <c r="E8305" s="16" t="s">
        <v>17199</v>
      </c>
      <c r="F8305" s="16" t="s">
        <v>17194</v>
      </c>
      <c r="G8305" s="3" t="s">
        <v>11450</v>
      </c>
      <c r="H8305" s="98">
        <v>0</v>
      </c>
      <c r="I8305" s="16">
        <v>470000000</v>
      </c>
      <c r="J8305" s="16" t="s">
        <v>229</v>
      </c>
      <c r="K8305" s="6" t="s">
        <v>18748</v>
      </c>
      <c r="L8305" s="16" t="s">
        <v>10000</v>
      </c>
      <c r="M8305" s="3" t="s">
        <v>230</v>
      </c>
      <c r="N8305" s="65" t="s">
        <v>9424</v>
      </c>
      <c r="O8305" s="6" t="s">
        <v>17205</v>
      </c>
      <c r="P8305" s="58" t="s">
        <v>241</v>
      </c>
      <c r="Q8305" s="6" t="s">
        <v>234</v>
      </c>
      <c r="R8305" s="6">
        <v>12</v>
      </c>
      <c r="S8305" s="97">
        <v>35000</v>
      </c>
      <c r="T8305" s="4">
        <v>0</v>
      </c>
      <c r="U8305" s="4">
        <f t="shared" si="542"/>
        <v>0</v>
      </c>
      <c r="V8305" s="3"/>
      <c r="W8305" s="266">
        <v>2014</v>
      </c>
      <c r="X8305" s="3" t="s">
        <v>12076</v>
      </c>
    </row>
    <row r="8306" spans="1:24" ht="153">
      <c r="A8306" s="3" t="s">
        <v>17191</v>
      </c>
      <c r="B8306" s="6" t="s">
        <v>361</v>
      </c>
      <c r="C8306" s="16" t="s">
        <v>17198</v>
      </c>
      <c r="D8306" s="265" t="s">
        <v>10241</v>
      </c>
      <c r="E8306" s="16" t="s">
        <v>17199</v>
      </c>
      <c r="F8306" s="16" t="s">
        <v>17195</v>
      </c>
      <c r="G8306" s="3" t="s">
        <v>11450</v>
      </c>
      <c r="H8306" s="98">
        <v>0</v>
      </c>
      <c r="I8306" s="16">
        <v>470000000</v>
      </c>
      <c r="J8306" s="16" t="s">
        <v>229</v>
      </c>
      <c r="K8306" s="57" t="s">
        <v>8950</v>
      </c>
      <c r="L8306" s="16" t="s">
        <v>10000</v>
      </c>
      <c r="M8306" s="3" t="s">
        <v>230</v>
      </c>
      <c r="N8306" s="65" t="s">
        <v>9424</v>
      </c>
      <c r="O8306" s="6" t="s">
        <v>17205</v>
      </c>
      <c r="P8306" s="58" t="s">
        <v>241</v>
      </c>
      <c r="Q8306" s="6" t="s">
        <v>234</v>
      </c>
      <c r="R8306" s="6">
        <v>3</v>
      </c>
      <c r="S8306" s="97">
        <v>150000</v>
      </c>
      <c r="T8306" s="4">
        <v>0</v>
      </c>
      <c r="U8306" s="4">
        <f t="shared" si="542"/>
        <v>0</v>
      </c>
      <c r="V8306" s="3"/>
      <c r="W8306" s="266">
        <v>2014</v>
      </c>
      <c r="X8306" s="3">
        <v>11</v>
      </c>
    </row>
    <row r="8307" spans="1:24" ht="153">
      <c r="A8307" s="3" t="s">
        <v>18513</v>
      </c>
      <c r="B8307" s="6" t="s">
        <v>361</v>
      </c>
      <c r="C8307" s="16" t="s">
        <v>17198</v>
      </c>
      <c r="D8307" s="265" t="s">
        <v>10241</v>
      </c>
      <c r="E8307" s="16" t="s">
        <v>17199</v>
      </c>
      <c r="F8307" s="16" t="s">
        <v>17195</v>
      </c>
      <c r="G8307" s="3" t="s">
        <v>11450</v>
      </c>
      <c r="H8307" s="98">
        <v>0</v>
      </c>
      <c r="I8307" s="16">
        <v>470000000</v>
      </c>
      <c r="J8307" s="16" t="s">
        <v>229</v>
      </c>
      <c r="K8307" s="6" t="s">
        <v>18748</v>
      </c>
      <c r="L8307" s="16" t="s">
        <v>10000</v>
      </c>
      <c r="M8307" s="3" t="s">
        <v>230</v>
      </c>
      <c r="N8307" s="65" t="s">
        <v>9424</v>
      </c>
      <c r="O8307" s="6" t="s">
        <v>17205</v>
      </c>
      <c r="P8307" s="58" t="s">
        <v>241</v>
      </c>
      <c r="Q8307" s="6" t="s">
        <v>234</v>
      </c>
      <c r="R8307" s="6">
        <v>3</v>
      </c>
      <c r="S8307" s="97">
        <v>150000</v>
      </c>
      <c r="T8307" s="4">
        <v>0</v>
      </c>
      <c r="U8307" s="4">
        <f t="shared" si="542"/>
        <v>0</v>
      </c>
      <c r="V8307" s="3"/>
      <c r="W8307" s="266">
        <v>2014</v>
      </c>
      <c r="X8307" s="3" t="s">
        <v>12076</v>
      </c>
    </row>
    <row r="8308" spans="1:24" ht="127.5">
      <c r="A8308" s="3" t="s">
        <v>17192</v>
      </c>
      <c r="B8308" s="6" t="s">
        <v>361</v>
      </c>
      <c r="C8308" s="16" t="s">
        <v>17200</v>
      </c>
      <c r="D8308" s="265" t="s">
        <v>10237</v>
      </c>
      <c r="E8308" s="16" t="s">
        <v>17201</v>
      </c>
      <c r="F8308" s="16" t="s">
        <v>17196</v>
      </c>
      <c r="G8308" s="3" t="s">
        <v>11450</v>
      </c>
      <c r="H8308" s="98">
        <v>0</v>
      </c>
      <c r="I8308" s="16">
        <v>470000000</v>
      </c>
      <c r="J8308" s="16" t="s">
        <v>229</v>
      </c>
      <c r="K8308" s="57" t="s">
        <v>8950</v>
      </c>
      <c r="L8308" s="16" t="s">
        <v>10000</v>
      </c>
      <c r="M8308" s="3" t="s">
        <v>230</v>
      </c>
      <c r="N8308" s="65" t="s">
        <v>9424</v>
      </c>
      <c r="O8308" s="6" t="s">
        <v>17205</v>
      </c>
      <c r="P8308" s="58" t="s">
        <v>241</v>
      </c>
      <c r="Q8308" s="6" t="s">
        <v>234</v>
      </c>
      <c r="R8308" s="6">
        <v>15</v>
      </c>
      <c r="S8308" s="97">
        <v>135000</v>
      </c>
      <c r="T8308" s="4">
        <v>0</v>
      </c>
      <c r="U8308" s="4">
        <f t="shared" si="542"/>
        <v>0</v>
      </c>
      <c r="V8308" s="3"/>
      <c r="W8308" s="266">
        <v>2014</v>
      </c>
      <c r="X8308" s="3">
        <v>11</v>
      </c>
    </row>
    <row r="8309" spans="1:24" ht="127.5">
      <c r="A8309" s="3" t="s">
        <v>18517</v>
      </c>
      <c r="B8309" s="6" t="s">
        <v>361</v>
      </c>
      <c r="C8309" s="16" t="s">
        <v>17200</v>
      </c>
      <c r="D8309" s="265" t="s">
        <v>10237</v>
      </c>
      <c r="E8309" s="16" t="s">
        <v>17201</v>
      </c>
      <c r="F8309" s="16" t="s">
        <v>17196</v>
      </c>
      <c r="G8309" s="3" t="s">
        <v>11450</v>
      </c>
      <c r="H8309" s="98">
        <v>0</v>
      </c>
      <c r="I8309" s="16">
        <v>470000000</v>
      </c>
      <c r="J8309" s="16" t="s">
        <v>229</v>
      </c>
      <c r="K8309" s="6" t="s">
        <v>18748</v>
      </c>
      <c r="L8309" s="16" t="s">
        <v>10000</v>
      </c>
      <c r="M8309" s="3" t="s">
        <v>230</v>
      </c>
      <c r="N8309" s="65" t="s">
        <v>9424</v>
      </c>
      <c r="O8309" s="6" t="s">
        <v>17205</v>
      </c>
      <c r="P8309" s="58" t="s">
        <v>241</v>
      </c>
      <c r="Q8309" s="6" t="s">
        <v>234</v>
      </c>
      <c r="R8309" s="6">
        <v>15</v>
      </c>
      <c r="S8309" s="97">
        <v>135000</v>
      </c>
      <c r="T8309" s="4">
        <v>0</v>
      </c>
      <c r="U8309" s="4">
        <f t="shared" si="542"/>
        <v>0</v>
      </c>
      <c r="V8309" s="3"/>
      <c r="W8309" s="266">
        <v>2014</v>
      </c>
      <c r="X8309" s="3" t="s">
        <v>12076</v>
      </c>
    </row>
    <row r="8310" spans="1:24" ht="76.5">
      <c r="A8310" s="3" t="s">
        <v>17193</v>
      </c>
      <c r="B8310" s="6" t="s">
        <v>361</v>
      </c>
      <c r="C8310" s="16" t="s">
        <v>17202</v>
      </c>
      <c r="D8310" s="265" t="s">
        <v>17203</v>
      </c>
      <c r="E8310" s="16" t="s">
        <v>17204</v>
      </c>
      <c r="F8310" s="16" t="s">
        <v>17197</v>
      </c>
      <c r="G8310" s="3" t="s">
        <v>11450</v>
      </c>
      <c r="H8310" s="98">
        <v>0</v>
      </c>
      <c r="I8310" s="16">
        <v>470000000</v>
      </c>
      <c r="J8310" s="16" t="s">
        <v>229</v>
      </c>
      <c r="K8310" s="57" t="s">
        <v>8950</v>
      </c>
      <c r="L8310" s="16" t="s">
        <v>10000</v>
      </c>
      <c r="M8310" s="3" t="s">
        <v>230</v>
      </c>
      <c r="N8310" s="65" t="s">
        <v>9424</v>
      </c>
      <c r="O8310" s="6" t="s">
        <v>17205</v>
      </c>
      <c r="P8310" s="58" t="s">
        <v>241</v>
      </c>
      <c r="Q8310" s="6" t="s">
        <v>234</v>
      </c>
      <c r="R8310" s="6">
        <v>1</v>
      </c>
      <c r="S8310" s="97">
        <v>2500000</v>
      </c>
      <c r="T8310" s="4">
        <v>0</v>
      </c>
      <c r="U8310" s="4">
        <f t="shared" si="542"/>
        <v>0</v>
      </c>
      <c r="V8310" s="3"/>
      <c r="W8310" s="266">
        <v>2014</v>
      </c>
      <c r="X8310" s="3">
        <v>11</v>
      </c>
    </row>
    <row r="8311" spans="1:24" ht="76.5">
      <c r="A8311" s="3" t="s">
        <v>18518</v>
      </c>
      <c r="B8311" s="6" t="s">
        <v>361</v>
      </c>
      <c r="C8311" s="16" t="s">
        <v>17202</v>
      </c>
      <c r="D8311" s="265" t="s">
        <v>17203</v>
      </c>
      <c r="E8311" s="16" t="s">
        <v>17204</v>
      </c>
      <c r="F8311" s="16" t="s">
        <v>17197</v>
      </c>
      <c r="G8311" s="3" t="s">
        <v>11450</v>
      </c>
      <c r="H8311" s="98">
        <v>0</v>
      </c>
      <c r="I8311" s="16">
        <v>470000000</v>
      </c>
      <c r="J8311" s="16" t="s">
        <v>229</v>
      </c>
      <c r="K8311" s="6" t="s">
        <v>18748</v>
      </c>
      <c r="L8311" s="16" t="s">
        <v>10000</v>
      </c>
      <c r="M8311" s="3" t="s">
        <v>230</v>
      </c>
      <c r="N8311" s="65" t="s">
        <v>9424</v>
      </c>
      <c r="O8311" s="6" t="s">
        <v>17205</v>
      </c>
      <c r="P8311" s="58" t="s">
        <v>241</v>
      </c>
      <c r="Q8311" s="6" t="s">
        <v>234</v>
      </c>
      <c r="R8311" s="6">
        <v>1</v>
      </c>
      <c r="S8311" s="97">
        <v>2500000</v>
      </c>
      <c r="T8311" s="4">
        <v>0</v>
      </c>
      <c r="U8311" s="4">
        <f t="shared" si="542"/>
        <v>0</v>
      </c>
      <c r="V8311" s="3"/>
      <c r="W8311" s="266">
        <v>2014</v>
      </c>
      <c r="X8311" s="3" t="s">
        <v>12076</v>
      </c>
    </row>
    <row r="8312" spans="1:24" ht="127.5">
      <c r="A8312" s="3" t="s">
        <v>17213</v>
      </c>
      <c r="B8312" s="6" t="s">
        <v>361</v>
      </c>
      <c r="C8312" s="16" t="s">
        <v>17308</v>
      </c>
      <c r="D8312" s="265" t="s">
        <v>17309</v>
      </c>
      <c r="E8312" s="16" t="s">
        <v>17310</v>
      </c>
      <c r="F8312" s="6" t="s">
        <v>17212</v>
      </c>
      <c r="G8312" s="3" t="s">
        <v>11449</v>
      </c>
      <c r="H8312" s="98">
        <v>0</v>
      </c>
      <c r="I8312" s="16">
        <v>470000000</v>
      </c>
      <c r="J8312" s="16" t="s">
        <v>229</v>
      </c>
      <c r="K8312" s="57" t="s">
        <v>8950</v>
      </c>
      <c r="L8312" s="17" t="s">
        <v>11411</v>
      </c>
      <c r="M8312" s="3" t="s">
        <v>230</v>
      </c>
      <c r="N8312" s="65" t="s">
        <v>17304</v>
      </c>
      <c r="O8312" s="6" t="s">
        <v>17303</v>
      </c>
      <c r="P8312" s="58" t="s">
        <v>241</v>
      </c>
      <c r="Q8312" s="6" t="s">
        <v>234</v>
      </c>
      <c r="R8312" s="6">
        <v>2</v>
      </c>
      <c r="S8312" s="97">
        <v>4890000</v>
      </c>
      <c r="T8312" s="4">
        <v>0</v>
      </c>
      <c r="U8312" s="4">
        <f t="shared" si="542"/>
        <v>0</v>
      </c>
      <c r="V8312" s="3"/>
      <c r="W8312" s="266">
        <v>2014</v>
      </c>
      <c r="X8312" s="3">
        <v>11</v>
      </c>
    </row>
    <row r="8313" spans="1:24" ht="127.5">
      <c r="A8313" s="3" t="s">
        <v>18459</v>
      </c>
      <c r="B8313" s="6" t="s">
        <v>361</v>
      </c>
      <c r="C8313" s="16" t="s">
        <v>17308</v>
      </c>
      <c r="D8313" s="265" t="s">
        <v>17309</v>
      </c>
      <c r="E8313" s="16" t="s">
        <v>17310</v>
      </c>
      <c r="F8313" s="6" t="s">
        <v>17212</v>
      </c>
      <c r="G8313" s="3" t="s">
        <v>11449</v>
      </c>
      <c r="H8313" s="98">
        <v>0</v>
      </c>
      <c r="I8313" s="16">
        <v>470000000</v>
      </c>
      <c r="J8313" s="16" t="s">
        <v>229</v>
      </c>
      <c r="K8313" s="6" t="s">
        <v>18748</v>
      </c>
      <c r="L8313" s="17" t="s">
        <v>11411</v>
      </c>
      <c r="M8313" s="3" t="s">
        <v>230</v>
      </c>
      <c r="N8313" s="65" t="s">
        <v>17304</v>
      </c>
      <c r="O8313" s="6" t="s">
        <v>17303</v>
      </c>
      <c r="P8313" s="58" t="s">
        <v>241</v>
      </c>
      <c r="Q8313" s="6" t="s">
        <v>234</v>
      </c>
      <c r="R8313" s="6">
        <v>2</v>
      </c>
      <c r="S8313" s="97">
        <v>4890000</v>
      </c>
      <c r="T8313" s="4">
        <v>0</v>
      </c>
      <c r="U8313" s="4">
        <f t="shared" si="542"/>
        <v>0</v>
      </c>
      <c r="V8313" s="3"/>
      <c r="W8313" s="266">
        <v>2014</v>
      </c>
      <c r="X8313" s="6" t="s">
        <v>14265</v>
      </c>
    </row>
    <row r="8314" spans="1:24" ht="127.5">
      <c r="A8314" s="3" t="s">
        <v>19548</v>
      </c>
      <c r="B8314" s="6" t="s">
        <v>361</v>
      </c>
      <c r="C8314" s="16" t="s">
        <v>17308</v>
      </c>
      <c r="D8314" s="265" t="s">
        <v>17309</v>
      </c>
      <c r="E8314" s="16" t="s">
        <v>17310</v>
      </c>
      <c r="F8314" s="6" t="s">
        <v>17212</v>
      </c>
      <c r="G8314" s="3" t="s">
        <v>11449</v>
      </c>
      <c r="H8314" s="98">
        <v>0</v>
      </c>
      <c r="I8314" s="16">
        <v>470000000</v>
      </c>
      <c r="J8314" s="16" t="s">
        <v>229</v>
      </c>
      <c r="K8314" s="6" t="s">
        <v>9956</v>
      </c>
      <c r="L8314" s="17" t="s">
        <v>11411</v>
      </c>
      <c r="M8314" s="3" t="s">
        <v>230</v>
      </c>
      <c r="N8314" s="65" t="s">
        <v>17311</v>
      </c>
      <c r="O8314" s="6" t="s">
        <v>19407</v>
      </c>
      <c r="P8314" s="58" t="s">
        <v>241</v>
      </c>
      <c r="Q8314" s="6" t="s">
        <v>234</v>
      </c>
      <c r="R8314" s="6">
        <v>2</v>
      </c>
      <c r="S8314" s="97">
        <v>4890000</v>
      </c>
      <c r="T8314" s="4">
        <f t="shared" ref="T8314" si="548">R8314*S8314</f>
        <v>9780000</v>
      </c>
      <c r="U8314" s="97">
        <f t="shared" si="542"/>
        <v>10953600.000000002</v>
      </c>
      <c r="V8314" s="3"/>
      <c r="W8314" s="266">
        <v>2014</v>
      </c>
      <c r="X8314" s="6"/>
    </row>
    <row r="8315" spans="1:24" ht="76.5">
      <c r="A8315" s="3" t="s">
        <v>17215</v>
      </c>
      <c r="B8315" s="6" t="s">
        <v>361</v>
      </c>
      <c r="C8315" s="16" t="s">
        <v>17299</v>
      </c>
      <c r="D8315" s="265" t="s">
        <v>17300</v>
      </c>
      <c r="E8315" s="16" t="s">
        <v>17301</v>
      </c>
      <c r="F8315" s="6" t="s">
        <v>17214</v>
      </c>
      <c r="G8315" s="3" t="s">
        <v>11450</v>
      </c>
      <c r="H8315" s="98">
        <v>0</v>
      </c>
      <c r="I8315" s="16">
        <v>470000000</v>
      </c>
      <c r="J8315" s="16" t="s">
        <v>229</v>
      </c>
      <c r="K8315" s="57" t="s">
        <v>8950</v>
      </c>
      <c r="L8315" s="17" t="s">
        <v>11411</v>
      </c>
      <c r="M8315" s="3" t="s">
        <v>230</v>
      </c>
      <c r="N8315" s="65" t="s">
        <v>17311</v>
      </c>
      <c r="O8315" s="6" t="s">
        <v>17303</v>
      </c>
      <c r="P8315" s="58" t="s">
        <v>241</v>
      </c>
      <c r="Q8315" s="6" t="s">
        <v>234</v>
      </c>
      <c r="R8315" s="6">
        <v>2</v>
      </c>
      <c r="S8315" s="97">
        <v>1452000</v>
      </c>
      <c r="T8315" s="4">
        <v>0</v>
      </c>
      <c r="U8315" s="4">
        <f t="shared" si="542"/>
        <v>0</v>
      </c>
      <c r="V8315" s="3"/>
      <c r="W8315" s="266">
        <v>2014</v>
      </c>
      <c r="X8315" s="3">
        <v>11</v>
      </c>
    </row>
    <row r="8316" spans="1:24" ht="76.5">
      <c r="A8316" s="3" t="s">
        <v>18460</v>
      </c>
      <c r="B8316" s="6" t="s">
        <v>361</v>
      </c>
      <c r="C8316" s="16" t="s">
        <v>17299</v>
      </c>
      <c r="D8316" s="265" t="s">
        <v>17300</v>
      </c>
      <c r="E8316" s="16" t="s">
        <v>17301</v>
      </c>
      <c r="F8316" s="6" t="s">
        <v>17214</v>
      </c>
      <c r="G8316" s="3" t="s">
        <v>11450</v>
      </c>
      <c r="H8316" s="98">
        <v>0</v>
      </c>
      <c r="I8316" s="16">
        <v>470000000</v>
      </c>
      <c r="J8316" s="16" t="s">
        <v>229</v>
      </c>
      <c r="K8316" s="6" t="s">
        <v>18748</v>
      </c>
      <c r="L8316" s="17" t="s">
        <v>11411</v>
      </c>
      <c r="M8316" s="3" t="s">
        <v>230</v>
      </c>
      <c r="N8316" s="65" t="s">
        <v>17311</v>
      </c>
      <c r="O8316" s="6" t="s">
        <v>17303</v>
      </c>
      <c r="P8316" s="58" t="s">
        <v>241</v>
      </c>
      <c r="Q8316" s="6" t="s">
        <v>234</v>
      </c>
      <c r="R8316" s="6">
        <v>2</v>
      </c>
      <c r="S8316" s="97">
        <v>1452000</v>
      </c>
      <c r="T8316" s="4">
        <v>0</v>
      </c>
      <c r="U8316" s="4">
        <f t="shared" si="542"/>
        <v>0</v>
      </c>
      <c r="V8316" s="3"/>
      <c r="W8316" s="266">
        <v>2014</v>
      </c>
      <c r="X8316" s="6" t="s">
        <v>19608</v>
      </c>
    </row>
    <row r="8317" spans="1:24" ht="191.25">
      <c r="A8317" s="3" t="s">
        <v>19549</v>
      </c>
      <c r="B8317" s="6" t="s">
        <v>361</v>
      </c>
      <c r="C8317" s="16" t="s">
        <v>19550</v>
      </c>
      <c r="D8317" s="265" t="s">
        <v>19551</v>
      </c>
      <c r="E8317" s="16" t="s">
        <v>19552</v>
      </c>
      <c r="F8317" s="6" t="s">
        <v>19609</v>
      </c>
      <c r="G8317" s="3" t="s">
        <v>11450</v>
      </c>
      <c r="H8317" s="98">
        <v>0.2</v>
      </c>
      <c r="I8317" s="16">
        <v>470000000</v>
      </c>
      <c r="J8317" s="16" t="s">
        <v>229</v>
      </c>
      <c r="K8317" s="6" t="s">
        <v>9956</v>
      </c>
      <c r="L8317" s="17" t="s">
        <v>11411</v>
      </c>
      <c r="M8317" s="3" t="s">
        <v>230</v>
      </c>
      <c r="N8317" s="65" t="s">
        <v>17311</v>
      </c>
      <c r="O8317" s="6" t="s">
        <v>19578</v>
      </c>
      <c r="P8317" s="58" t="s">
        <v>241</v>
      </c>
      <c r="Q8317" s="6" t="s">
        <v>234</v>
      </c>
      <c r="R8317" s="6">
        <v>2</v>
      </c>
      <c r="S8317" s="97">
        <v>1452000</v>
      </c>
      <c r="T8317" s="4">
        <f t="shared" ref="T8317" si="549">R8317*S8317</f>
        <v>2904000</v>
      </c>
      <c r="U8317" s="97">
        <f t="shared" si="542"/>
        <v>3252480.0000000005</v>
      </c>
      <c r="V8317" s="3" t="s">
        <v>362</v>
      </c>
      <c r="W8317" s="266">
        <v>2014</v>
      </c>
      <c r="X8317" s="6"/>
    </row>
    <row r="8318" spans="1:24" ht="76.5">
      <c r="A8318" s="3" t="s">
        <v>17221</v>
      </c>
      <c r="B8318" s="6" t="s">
        <v>361</v>
      </c>
      <c r="C8318" s="16" t="s">
        <v>17269</v>
      </c>
      <c r="D8318" s="265" t="s">
        <v>17270</v>
      </c>
      <c r="E8318" s="16" t="s">
        <v>17271</v>
      </c>
      <c r="F8318" s="6" t="s">
        <v>17216</v>
      </c>
      <c r="G8318" s="3" t="s">
        <v>11450</v>
      </c>
      <c r="H8318" s="98">
        <v>0</v>
      </c>
      <c r="I8318" s="16">
        <v>470000000</v>
      </c>
      <c r="J8318" s="16" t="s">
        <v>229</v>
      </c>
      <c r="K8318" s="57" t="s">
        <v>8950</v>
      </c>
      <c r="L8318" s="16" t="s">
        <v>17302</v>
      </c>
      <c r="M8318" s="3" t="s">
        <v>230</v>
      </c>
      <c r="N8318" s="65" t="s">
        <v>17304</v>
      </c>
      <c r="O8318" s="6" t="s">
        <v>17303</v>
      </c>
      <c r="P8318" s="58" t="s">
        <v>241</v>
      </c>
      <c r="Q8318" s="6" t="s">
        <v>234</v>
      </c>
      <c r="R8318" s="6">
        <v>2</v>
      </c>
      <c r="S8318" s="97">
        <v>1677600</v>
      </c>
      <c r="T8318" s="4">
        <v>0</v>
      </c>
      <c r="U8318" s="4">
        <f t="shared" si="542"/>
        <v>0</v>
      </c>
      <c r="V8318" s="3"/>
      <c r="W8318" s="266">
        <v>2014</v>
      </c>
      <c r="X8318" s="3">
        <v>11</v>
      </c>
    </row>
    <row r="8319" spans="1:24" ht="76.5">
      <c r="A8319" s="3" t="s">
        <v>18475</v>
      </c>
      <c r="B8319" s="6" t="s">
        <v>361</v>
      </c>
      <c r="C8319" s="16" t="s">
        <v>17269</v>
      </c>
      <c r="D8319" s="265" t="s">
        <v>17270</v>
      </c>
      <c r="E8319" s="16" t="s">
        <v>17271</v>
      </c>
      <c r="F8319" s="6" t="s">
        <v>17216</v>
      </c>
      <c r="G8319" s="3" t="s">
        <v>11450</v>
      </c>
      <c r="H8319" s="98">
        <v>0</v>
      </c>
      <c r="I8319" s="16">
        <v>470000000</v>
      </c>
      <c r="J8319" s="16" t="s">
        <v>229</v>
      </c>
      <c r="K8319" s="6" t="s">
        <v>18748</v>
      </c>
      <c r="L8319" s="16" t="s">
        <v>17302</v>
      </c>
      <c r="M8319" s="3" t="s">
        <v>230</v>
      </c>
      <c r="N8319" s="65" t="s">
        <v>17304</v>
      </c>
      <c r="O8319" s="6" t="s">
        <v>17303</v>
      </c>
      <c r="P8319" s="58" t="s">
        <v>241</v>
      </c>
      <c r="Q8319" s="6" t="s">
        <v>234</v>
      </c>
      <c r="R8319" s="6">
        <v>2</v>
      </c>
      <c r="S8319" s="97">
        <v>1677600</v>
      </c>
      <c r="T8319" s="4">
        <v>0</v>
      </c>
      <c r="U8319" s="4">
        <f t="shared" si="542"/>
        <v>0</v>
      </c>
      <c r="V8319" s="3"/>
      <c r="W8319" s="266">
        <v>2014</v>
      </c>
      <c r="X8319" s="6" t="s">
        <v>19553</v>
      </c>
    </row>
    <row r="8320" spans="1:24" ht="76.5">
      <c r="A8320" s="3" t="s">
        <v>19554</v>
      </c>
      <c r="B8320" s="6" t="s">
        <v>361</v>
      </c>
      <c r="C8320" s="16" t="s">
        <v>17269</v>
      </c>
      <c r="D8320" s="265" t="s">
        <v>17270</v>
      </c>
      <c r="E8320" s="16" t="s">
        <v>17271</v>
      </c>
      <c r="F8320" s="16" t="s">
        <v>19555</v>
      </c>
      <c r="G8320" s="3" t="s">
        <v>11450</v>
      </c>
      <c r="H8320" s="98">
        <v>0</v>
      </c>
      <c r="I8320" s="16">
        <v>470000000</v>
      </c>
      <c r="J8320" s="16" t="s">
        <v>229</v>
      </c>
      <c r="K8320" s="6" t="s">
        <v>9956</v>
      </c>
      <c r="L8320" s="16" t="s">
        <v>17302</v>
      </c>
      <c r="M8320" s="3" t="s">
        <v>230</v>
      </c>
      <c r="N8320" s="65" t="s">
        <v>19398</v>
      </c>
      <c r="O8320" s="6" t="s">
        <v>19407</v>
      </c>
      <c r="P8320" s="58" t="s">
        <v>241</v>
      </c>
      <c r="Q8320" s="6" t="s">
        <v>234</v>
      </c>
      <c r="R8320" s="6">
        <v>2</v>
      </c>
      <c r="S8320" s="97">
        <v>1677600</v>
      </c>
      <c r="T8320" s="4">
        <f t="shared" ref="T8320" si="550">R8320*S8320</f>
        <v>3355200</v>
      </c>
      <c r="U8320" s="97">
        <f t="shared" si="542"/>
        <v>3757824.0000000005</v>
      </c>
      <c r="V8320" s="3"/>
      <c r="W8320" s="266">
        <v>2014</v>
      </c>
      <c r="X8320" s="6"/>
    </row>
    <row r="8321" spans="1:24" ht="76.5">
      <c r="A8321" s="3" t="s">
        <v>17222</v>
      </c>
      <c r="B8321" s="6" t="s">
        <v>361</v>
      </c>
      <c r="C8321" s="16" t="s">
        <v>17272</v>
      </c>
      <c r="D8321" s="265" t="s">
        <v>17273</v>
      </c>
      <c r="E8321" s="16" t="s">
        <v>17274</v>
      </c>
      <c r="F8321" s="6" t="s">
        <v>17217</v>
      </c>
      <c r="G8321" s="3" t="s">
        <v>11450</v>
      </c>
      <c r="H8321" s="98">
        <v>0</v>
      </c>
      <c r="I8321" s="16">
        <v>470000000</v>
      </c>
      <c r="J8321" s="16" t="s">
        <v>229</v>
      </c>
      <c r="K8321" s="57" t="s">
        <v>8950</v>
      </c>
      <c r="L8321" s="16" t="s">
        <v>17302</v>
      </c>
      <c r="M8321" s="3" t="s">
        <v>230</v>
      </c>
      <c r="N8321" s="65" t="s">
        <v>17304</v>
      </c>
      <c r="O8321" s="6" t="s">
        <v>17303</v>
      </c>
      <c r="P8321" s="58" t="s">
        <v>242</v>
      </c>
      <c r="Q8321" s="6" t="s">
        <v>239</v>
      </c>
      <c r="R8321" s="6">
        <v>3</v>
      </c>
      <c r="S8321" s="97">
        <v>176400</v>
      </c>
      <c r="T8321" s="4">
        <v>0</v>
      </c>
      <c r="U8321" s="4">
        <f t="shared" si="542"/>
        <v>0</v>
      </c>
      <c r="V8321" s="3"/>
      <c r="W8321" s="266">
        <v>2014</v>
      </c>
      <c r="X8321" s="3">
        <v>11</v>
      </c>
    </row>
    <row r="8322" spans="1:24" ht="76.5">
      <c r="A8322" s="3" t="s">
        <v>18476</v>
      </c>
      <c r="B8322" s="6" t="s">
        <v>361</v>
      </c>
      <c r="C8322" s="16" t="s">
        <v>17272</v>
      </c>
      <c r="D8322" s="265" t="s">
        <v>17273</v>
      </c>
      <c r="E8322" s="16" t="s">
        <v>17274</v>
      </c>
      <c r="F8322" s="6" t="s">
        <v>17217</v>
      </c>
      <c r="G8322" s="3" t="s">
        <v>11450</v>
      </c>
      <c r="H8322" s="98">
        <v>0</v>
      </c>
      <c r="I8322" s="16">
        <v>470000000</v>
      </c>
      <c r="J8322" s="16" t="s">
        <v>229</v>
      </c>
      <c r="K8322" s="6" t="s">
        <v>18748</v>
      </c>
      <c r="L8322" s="16" t="s">
        <v>17302</v>
      </c>
      <c r="M8322" s="3" t="s">
        <v>230</v>
      </c>
      <c r="N8322" s="65" t="s">
        <v>17304</v>
      </c>
      <c r="O8322" s="6" t="s">
        <v>17303</v>
      </c>
      <c r="P8322" s="58" t="s">
        <v>242</v>
      </c>
      <c r="Q8322" s="6" t="s">
        <v>239</v>
      </c>
      <c r="R8322" s="6">
        <v>3</v>
      </c>
      <c r="S8322" s="97">
        <v>176400</v>
      </c>
      <c r="T8322" s="4">
        <v>0</v>
      </c>
      <c r="U8322" s="4">
        <f t="shared" si="542"/>
        <v>0</v>
      </c>
      <c r="V8322" s="3"/>
      <c r="W8322" s="266">
        <v>2014</v>
      </c>
      <c r="X8322" s="6" t="s">
        <v>19553</v>
      </c>
    </row>
    <row r="8323" spans="1:24" ht="76.5">
      <c r="A8323" s="3" t="s">
        <v>19556</v>
      </c>
      <c r="B8323" s="6" t="s">
        <v>361</v>
      </c>
      <c r="C8323" s="16" t="s">
        <v>17272</v>
      </c>
      <c r="D8323" s="265" t="s">
        <v>17273</v>
      </c>
      <c r="E8323" s="16" t="s">
        <v>17274</v>
      </c>
      <c r="F8323" s="6" t="s">
        <v>19557</v>
      </c>
      <c r="G8323" s="3" t="s">
        <v>11450</v>
      </c>
      <c r="H8323" s="98">
        <v>0</v>
      </c>
      <c r="I8323" s="16">
        <v>470000000</v>
      </c>
      <c r="J8323" s="16" t="s">
        <v>229</v>
      </c>
      <c r="K8323" s="6" t="s">
        <v>9956</v>
      </c>
      <c r="L8323" s="16" t="s">
        <v>17302</v>
      </c>
      <c r="M8323" s="3" t="s">
        <v>230</v>
      </c>
      <c r="N8323" s="65" t="s">
        <v>19398</v>
      </c>
      <c r="O8323" s="6" t="s">
        <v>19407</v>
      </c>
      <c r="P8323" s="58" t="s">
        <v>242</v>
      </c>
      <c r="Q8323" s="6" t="s">
        <v>239</v>
      </c>
      <c r="R8323" s="6">
        <v>3</v>
      </c>
      <c r="S8323" s="97">
        <v>176400</v>
      </c>
      <c r="T8323" s="4">
        <f t="shared" ref="T8323" si="551">R8323*S8323</f>
        <v>529200</v>
      </c>
      <c r="U8323" s="97">
        <f t="shared" si="542"/>
        <v>592704</v>
      </c>
      <c r="V8323" s="3"/>
      <c r="W8323" s="266">
        <v>2014</v>
      </c>
      <c r="X8323" s="6"/>
    </row>
    <row r="8324" spans="1:24" ht="76.5">
      <c r="A8324" s="3" t="s">
        <v>17223</v>
      </c>
      <c r="B8324" s="6" t="s">
        <v>361</v>
      </c>
      <c r="C8324" s="16" t="s">
        <v>17272</v>
      </c>
      <c r="D8324" s="265" t="s">
        <v>17273</v>
      </c>
      <c r="E8324" s="16" t="s">
        <v>17274</v>
      </c>
      <c r="F8324" s="6" t="s">
        <v>17218</v>
      </c>
      <c r="G8324" s="3" t="s">
        <v>11450</v>
      </c>
      <c r="H8324" s="98">
        <v>0</v>
      </c>
      <c r="I8324" s="16">
        <v>470000000</v>
      </c>
      <c r="J8324" s="16" t="s">
        <v>229</v>
      </c>
      <c r="K8324" s="57" t="s">
        <v>8950</v>
      </c>
      <c r="L8324" s="16" t="s">
        <v>17302</v>
      </c>
      <c r="M8324" s="3" t="s">
        <v>230</v>
      </c>
      <c r="N8324" s="65" t="s">
        <v>17304</v>
      </c>
      <c r="O8324" s="6" t="s">
        <v>17303</v>
      </c>
      <c r="P8324" s="58" t="s">
        <v>242</v>
      </c>
      <c r="Q8324" s="6" t="s">
        <v>239</v>
      </c>
      <c r="R8324" s="6">
        <v>3</v>
      </c>
      <c r="S8324" s="97">
        <v>181440</v>
      </c>
      <c r="T8324" s="4">
        <v>0</v>
      </c>
      <c r="U8324" s="4">
        <f t="shared" si="542"/>
        <v>0</v>
      </c>
      <c r="V8324" s="3"/>
      <c r="W8324" s="266">
        <v>2014</v>
      </c>
      <c r="X8324" s="3">
        <v>11</v>
      </c>
    </row>
    <row r="8325" spans="1:24" ht="76.5">
      <c r="A8325" s="3" t="s">
        <v>18477</v>
      </c>
      <c r="B8325" s="6" t="s">
        <v>361</v>
      </c>
      <c r="C8325" s="16" t="s">
        <v>17272</v>
      </c>
      <c r="D8325" s="265" t="s">
        <v>17273</v>
      </c>
      <c r="E8325" s="16" t="s">
        <v>17274</v>
      </c>
      <c r="F8325" s="6" t="s">
        <v>17218</v>
      </c>
      <c r="G8325" s="3" t="s">
        <v>11450</v>
      </c>
      <c r="H8325" s="98">
        <v>0</v>
      </c>
      <c r="I8325" s="16">
        <v>470000000</v>
      </c>
      <c r="J8325" s="16" t="s">
        <v>229</v>
      </c>
      <c r="K8325" s="6" t="s">
        <v>18748</v>
      </c>
      <c r="L8325" s="16" t="s">
        <v>17302</v>
      </c>
      <c r="M8325" s="3" t="s">
        <v>230</v>
      </c>
      <c r="N8325" s="65" t="s">
        <v>17304</v>
      </c>
      <c r="O8325" s="6" t="s">
        <v>17303</v>
      </c>
      <c r="P8325" s="58" t="s">
        <v>242</v>
      </c>
      <c r="Q8325" s="6" t="s">
        <v>239</v>
      </c>
      <c r="R8325" s="6">
        <v>3</v>
      </c>
      <c r="S8325" s="97">
        <v>181440</v>
      </c>
      <c r="T8325" s="4">
        <v>0</v>
      </c>
      <c r="U8325" s="4">
        <f t="shared" si="542"/>
        <v>0</v>
      </c>
      <c r="V8325" s="3"/>
      <c r="W8325" s="266">
        <v>2014</v>
      </c>
      <c r="X8325" s="6" t="s">
        <v>19553</v>
      </c>
    </row>
    <row r="8326" spans="1:24" ht="76.5">
      <c r="A8326" s="3" t="s">
        <v>19558</v>
      </c>
      <c r="B8326" s="6" t="s">
        <v>361</v>
      </c>
      <c r="C8326" s="16" t="s">
        <v>17272</v>
      </c>
      <c r="D8326" s="265" t="s">
        <v>17273</v>
      </c>
      <c r="E8326" s="16" t="s">
        <v>17274</v>
      </c>
      <c r="F8326" s="6" t="s">
        <v>19559</v>
      </c>
      <c r="G8326" s="3" t="s">
        <v>11450</v>
      </c>
      <c r="H8326" s="98">
        <v>0</v>
      </c>
      <c r="I8326" s="16">
        <v>470000000</v>
      </c>
      <c r="J8326" s="16" t="s">
        <v>229</v>
      </c>
      <c r="K8326" s="6" t="s">
        <v>9956</v>
      </c>
      <c r="L8326" s="16" t="s">
        <v>17302</v>
      </c>
      <c r="M8326" s="3" t="s">
        <v>230</v>
      </c>
      <c r="N8326" s="65" t="s">
        <v>19398</v>
      </c>
      <c r="O8326" s="6" t="s">
        <v>19407</v>
      </c>
      <c r="P8326" s="58" t="s">
        <v>242</v>
      </c>
      <c r="Q8326" s="6" t="s">
        <v>239</v>
      </c>
      <c r="R8326" s="6">
        <v>3</v>
      </c>
      <c r="S8326" s="97">
        <v>181440</v>
      </c>
      <c r="T8326" s="4">
        <f t="shared" ref="T8326" si="552">R8326*S8326</f>
        <v>544320</v>
      </c>
      <c r="U8326" s="97">
        <f t="shared" si="542"/>
        <v>609638.40000000002</v>
      </c>
      <c r="V8326" s="3"/>
      <c r="W8326" s="266">
        <v>2014</v>
      </c>
      <c r="X8326" s="6"/>
    </row>
    <row r="8327" spans="1:24" ht="76.5">
      <c r="A8327" s="3" t="s">
        <v>17224</v>
      </c>
      <c r="B8327" s="6" t="s">
        <v>361</v>
      </c>
      <c r="C8327" s="16" t="s">
        <v>17272</v>
      </c>
      <c r="D8327" s="265" t="s">
        <v>17273</v>
      </c>
      <c r="E8327" s="16" t="s">
        <v>17274</v>
      </c>
      <c r="F8327" s="6" t="s">
        <v>17219</v>
      </c>
      <c r="G8327" s="3" t="s">
        <v>11450</v>
      </c>
      <c r="H8327" s="98">
        <v>0</v>
      </c>
      <c r="I8327" s="16">
        <v>470000000</v>
      </c>
      <c r="J8327" s="16" t="s">
        <v>229</v>
      </c>
      <c r="K8327" s="57" t="s">
        <v>8950</v>
      </c>
      <c r="L8327" s="16" t="s">
        <v>17302</v>
      </c>
      <c r="M8327" s="3" t="s">
        <v>230</v>
      </c>
      <c r="N8327" s="65" t="s">
        <v>17304</v>
      </c>
      <c r="O8327" s="6" t="s">
        <v>17303</v>
      </c>
      <c r="P8327" s="58" t="s">
        <v>242</v>
      </c>
      <c r="Q8327" s="6" t="s">
        <v>239</v>
      </c>
      <c r="R8327" s="6">
        <v>3</v>
      </c>
      <c r="S8327" s="97">
        <v>176400</v>
      </c>
      <c r="T8327" s="4">
        <v>0</v>
      </c>
      <c r="U8327" s="4">
        <f t="shared" si="542"/>
        <v>0</v>
      </c>
      <c r="V8327" s="3"/>
      <c r="W8327" s="266">
        <v>2014</v>
      </c>
      <c r="X8327" s="3">
        <v>11</v>
      </c>
    </row>
    <row r="8328" spans="1:24" ht="76.5">
      <c r="A8328" s="3" t="s">
        <v>18478</v>
      </c>
      <c r="B8328" s="6" t="s">
        <v>361</v>
      </c>
      <c r="C8328" s="16" t="s">
        <v>17272</v>
      </c>
      <c r="D8328" s="265" t="s">
        <v>17273</v>
      </c>
      <c r="E8328" s="16" t="s">
        <v>17274</v>
      </c>
      <c r="F8328" s="6" t="s">
        <v>17219</v>
      </c>
      <c r="G8328" s="3" t="s">
        <v>11450</v>
      </c>
      <c r="H8328" s="98">
        <v>0</v>
      </c>
      <c r="I8328" s="16">
        <v>470000000</v>
      </c>
      <c r="J8328" s="16" t="s">
        <v>229</v>
      </c>
      <c r="K8328" s="6" t="s">
        <v>18748</v>
      </c>
      <c r="L8328" s="16" t="s">
        <v>17302</v>
      </c>
      <c r="M8328" s="3" t="s">
        <v>230</v>
      </c>
      <c r="N8328" s="65" t="s">
        <v>17304</v>
      </c>
      <c r="O8328" s="6" t="s">
        <v>17303</v>
      </c>
      <c r="P8328" s="58" t="s">
        <v>242</v>
      </c>
      <c r="Q8328" s="6" t="s">
        <v>239</v>
      </c>
      <c r="R8328" s="6">
        <v>3</v>
      </c>
      <c r="S8328" s="97">
        <v>176400</v>
      </c>
      <c r="T8328" s="4">
        <v>0</v>
      </c>
      <c r="U8328" s="4">
        <f t="shared" si="542"/>
        <v>0</v>
      </c>
      <c r="V8328" s="3"/>
      <c r="W8328" s="266">
        <v>2014</v>
      </c>
      <c r="X8328" s="6" t="s">
        <v>19553</v>
      </c>
    </row>
    <row r="8329" spans="1:24" ht="76.5">
      <c r="A8329" s="3" t="s">
        <v>19560</v>
      </c>
      <c r="B8329" s="6" t="s">
        <v>361</v>
      </c>
      <c r="C8329" s="16" t="s">
        <v>17272</v>
      </c>
      <c r="D8329" s="265" t="s">
        <v>17273</v>
      </c>
      <c r="E8329" s="16" t="s">
        <v>17274</v>
      </c>
      <c r="F8329" s="6" t="s">
        <v>19561</v>
      </c>
      <c r="G8329" s="3" t="s">
        <v>11450</v>
      </c>
      <c r="H8329" s="98">
        <v>0</v>
      </c>
      <c r="I8329" s="16">
        <v>470000000</v>
      </c>
      <c r="J8329" s="16" t="s">
        <v>229</v>
      </c>
      <c r="K8329" s="6" t="s">
        <v>9956</v>
      </c>
      <c r="L8329" s="16" t="s">
        <v>17302</v>
      </c>
      <c r="M8329" s="3" t="s">
        <v>230</v>
      </c>
      <c r="N8329" s="65" t="s">
        <v>19398</v>
      </c>
      <c r="O8329" s="6" t="s">
        <v>19407</v>
      </c>
      <c r="P8329" s="58" t="s">
        <v>242</v>
      </c>
      <c r="Q8329" s="6" t="s">
        <v>239</v>
      </c>
      <c r="R8329" s="6">
        <v>3</v>
      </c>
      <c r="S8329" s="97">
        <v>176400</v>
      </c>
      <c r="T8329" s="4">
        <f t="shared" ref="T8329" si="553">R8329*S8329</f>
        <v>529200</v>
      </c>
      <c r="U8329" s="97">
        <f t="shared" si="542"/>
        <v>592704</v>
      </c>
      <c r="V8329" s="3"/>
      <c r="W8329" s="266">
        <v>2014</v>
      </c>
      <c r="X8329" s="6"/>
    </row>
    <row r="8330" spans="1:24" ht="76.5">
      <c r="A8330" s="3" t="s">
        <v>17225</v>
      </c>
      <c r="B8330" s="6" t="s">
        <v>361</v>
      </c>
      <c r="C8330" s="16" t="s">
        <v>17275</v>
      </c>
      <c r="D8330" s="265" t="s">
        <v>17276</v>
      </c>
      <c r="E8330" s="16" t="s">
        <v>17277</v>
      </c>
      <c r="F8330" s="6" t="s">
        <v>17220</v>
      </c>
      <c r="G8330" s="3" t="s">
        <v>11450</v>
      </c>
      <c r="H8330" s="98">
        <v>0</v>
      </c>
      <c r="I8330" s="16">
        <v>470000000</v>
      </c>
      <c r="J8330" s="16" t="s">
        <v>229</v>
      </c>
      <c r="K8330" s="57" t="s">
        <v>8950</v>
      </c>
      <c r="L8330" s="16" t="s">
        <v>17302</v>
      </c>
      <c r="M8330" s="3" t="s">
        <v>230</v>
      </c>
      <c r="N8330" s="65" t="s">
        <v>17304</v>
      </c>
      <c r="O8330" s="6" t="s">
        <v>17303</v>
      </c>
      <c r="P8330" s="58" t="s">
        <v>241</v>
      </c>
      <c r="Q8330" s="6" t="s">
        <v>234</v>
      </c>
      <c r="R8330" s="6">
        <v>3</v>
      </c>
      <c r="S8330" s="97">
        <v>3300000</v>
      </c>
      <c r="T8330" s="4">
        <v>0</v>
      </c>
      <c r="U8330" s="97">
        <f t="shared" si="542"/>
        <v>0</v>
      </c>
      <c r="V8330" s="3"/>
      <c r="W8330" s="266">
        <v>2014</v>
      </c>
      <c r="X8330" s="3">
        <v>7</v>
      </c>
    </row>
    <row r="8331" spans="1:24" ht="76.5">
      <c r="A8331" s="3" t="s">
        <v>18413</v>
      </c>
      <c r="B8331" s="6" t="s">
        <v>361</v>
      </c>
      <c r="C8331" s="16" t="s">
        <v>17275</v>
      </c>
      <c r="D8331" s="265" t="s">
        <v>17276</v>
      </c>
      <c r="E8331" s="16" t="s">
        <v>17277</v>
      </c>
      <c r="F8331" s="6" t="s">
        <v>17220</v>
      </c>
      <c r="G8331" s="3" t="s">
        <v>11449</v>
      </c>
      <c r="H8331" s="98">
        <v>0</v>
      </c>
      <c r="I8331" s="16">
        <v>470000000</v>
      </c>
      <c r="J8331" s="16" t="s">
        <v>229</v>
      </c>
      <c r="K8331" s="57" t="s">
        <v>8950</v>
      </c>
      <c r="L8331" s="16" t="s">
        <v>17302</v>
      </c>
      <c r="M8331" s="3" t="s">
        <v>230</v>
      </c>
      <c r="N8331" s="65" t="s">
        <v>17304</v>
      </c>
      <c r="O8331" s="6" t="s">
        <v>17303</v>
      </c>
      <c r="P8331" s="58" t="s">
        <v>241</v>
      </c>
      <c r="Q8331" s="6" t="s">
        <v>234</v>
      </c>
      <c r="R8331" s="6">
        <v>3</v>
      </c>
      <c r="S8331" s="97">
        <v>3300000</v>
      </c>
      <c r="T8331" s="4">
        <v>0</v>
      </c>
      <c r="U8331" s="4">
        <f t="shared" si="542"/>
        <v>0</v>
      </c>
      <c r="V8331" s="3"/>
      <c r="W8331" s="266">
        <v>2014</v>
      </c>
      <c r="X8331" s="3">
        <v>11</v>
      </c>
    </row>
    <row r="8332" spans="1:24" ht="76.5">
      <c r="A8332" s="3" t="s">
        <v>18479</v>
      </c>
      <c r="B8332" s="6" t="s">
        <v>361</v>
      </c>
      <c r="C8332" s="16" t="s">
        <v>17275</v>
      </c>
      <c r="D8332" s="265" t="s">
        <v>17276</v>
      </c>
      <c r="E8332" s="16" t="s">
        <v>17277</v>
      </c>
      <c r="F8332" s="6" t="s">
        <v>17220</v>
      </c>
      <c r="G8332" s="3" t="s">
        <v>11449</v>
      </c>
      <c r="H8332" s="98">
        <v>0</v>
      </c>
      <c r="I8332" s="16">
        <v>470000000</v>
      </c>
      <c r="J8332" s="16" t="s">
        <v>229</v>
      </c>
      <c r="K8332" s="6" t="s">
        <v>18748</v>
      </c>
      <c r="L8332" s="16" t="s">
        <v>17302</v>
      </c>
      <c r="M8332" s="3" t="s">
        <v>230</v>
      </c>
      <c r="N8332" s="65" t="s">
        <v>17304</v>
      </c>
      <c r="O8332" s="6" t="s">
        <v>17303</v>
      </c>
      <c r="P8332" s="58" t="s">
        <v>241</v>
      </c>
      <c r="Q8332" s="6" t="s">
        <v>234</v>
      </c>
      <c r="R8332" s="6">
        <v>3</v>
      </c>
      <c r="S8332" s="97">
        <v>3300000</v>
      </c>
      <c r="T8332" s="4">
        <v>0</v>
      </c>
      <c r="U8332" s="4">
        <f t="shared" si="542"/>
        <v>0</v>
      </c>
      <c r="V8332" s="3"/>
      <c r="W8332" s="266">
        <v>2014</v>
      </c>
      <c r="X8332" s="6" t="s">
        <v>18655</v>
      </c>
    </row>
    <row r="8333" spans="1:24" ht="76.5">
      <c r="A8333" s="3" t="s">
        <v>19562</v>
      </c>
      <c r="B8333" s="6" t="s">
        <v>361</v>
      </c>
      <c r="C8333" s="16" t="s">
        <v>17275</v>
      </c>
      <c r="D8333" s="265" t="s">
        <v>17276</v>
      </c>
      <c r="E8333" s="16" t="s">
        <v>17277</v>
      </c>
      <c r="F8333" s="6" t="s">
        <v>19563</v>
      </c>
      <c r="G8333" s="3" t="s">
        <v>11449</v>
      </c>
      <c r="H8333" s="98">
        <v>0</v>
      </c>
      <c r="I8333" s="16">
        <v>470000000</v>
      </c>
      <c r="J8333" s="16" t="s">
        <v>229</v>
      </c>
      <c r="K8333" s="6" t="s">
        <v>9956</v>
      </c>
      <c r="L8333" s="16" t="s">
        <v>17302</v>
      </c>
      <c r="M8333" s="3" t="s">
        <v>230</v>
      </c>
      <c r="N8333" s="65" t="s">
        <v>19398</v>
      </c>
      <c r="O8333" s="6" t="s">
        <v>17303</v>
      </c>
      <c r="P8333" s="58" t="s">
        <v>241</v>
      </c>
      <c r="Q8333" s="6" t="s">
        <v>234</v>
      </c>
      <c r="R8333" s="6">
        <v>3</v>
      </c>
      <c r="S8333" s="97">
        <v>3300000</v>
      </c>
      <c r="T8333" s="4">
        <f t="shared" ref="T8333" si="554">R8333*S8333</f>
        <v>9900000</v>
      </c>
      <c r="U8333" s="97">
        <f t="shared" si="542"/>
        <v>11088000.000000002</v>
      </c>
      <c r="V8333" s="3"/>
      <c r="W8333" s="266">
        <v>2014</v>
      </c>
      <c r="X8333" s="6"/>
    </row>
    <row r="8334" spans="1:24" ht="76.5">
      <c r="A8334" s="3" t="s">
        <v>17226</v>
      </c>
      <c r="B8334" s="6" t="s">
        <v>361</v>
      </c>
      <c r="C8334" s="16" t="s">
        <v>11786</v>
      </c>
      <c r="D8334" s="265" t="s">
        <v>11787</v>
      </c>
      <c r="E8334" s="16" t="s">
        <v>11788</v>
      </c>
      <c r="F8334" s="16" t="s">
        <v>17238</v>
      </c>
      <c r="G8334" s="3" t="s">
        <v>11450</v>
      </c>
      <c r="H8334" s="98">
        <v>0</v>
      </c>
      <c r="I8334" s="16">
        <v>470000000</v>
      </c>
      <c r="J8334" s="16" t="s">
        <v>229</v>
      </c>
      <c r="K8334" s="57" t="s">
        <v>8950</v>
      </c>
      <c r="L8334" s="16" t="s">
        <v>17302</v>
      </c>
      <c r="M8334" s="3" t="s">
        <v>230</v>
      </c>
      <c r="N8334" s="65" t="s">
        <v>17304</v>
      </c>
      <c r="O8334" s="6" t="s">
        <v>17303</v>
      </c>
      <c r="P8334" s="58" t="s">
        <v>241</v>
      </c>
      <c r="Q8334" s="6" t="s">
        <v>234</v>
      </c>
      <c r="R8334" s="6">
        <v>6</v>
      </c>
      <c r="S8334" s="97">
        <v>38400</v>
      </c>
      <c r="T8334" s="4">
        <v>0</v>
      </c>
      <c r="U8334" s="4">
        <f t="shared" si="542"/>
        <v>0</v>
      </c>
      <c r="V8334" s="3"/>
      <c r="W8334" s="266">
        <v>2014</v>
      </c>
      <c r="X8334" s="3">
        <v>11</v>
      </c>
    </row>
    <row r="8335" spans="1:24" ht="76.5">
      <c r="A8335" s="3" t="s">
        <v>18481</v>
      </c>
      <c r="B8335" s="6" t="s">
        <v>361</v>
      </c>
      <c r="C8335" s="16" t="s">
        <v>11786</v>
      </c>
      <c r="D8335" s="265" t="s">
        <v>11787</v>
      </c>
      <c r="E8335" s="16" t="s">
        <v>11788</v>
      </c>
      <c r="F8335" s="16" t="s">
        <v>17238</v>
      </c>
      <c r="G8335" s="3" t="s">
        <v>11450</v>
      </c>
      <c r="H8335" s="98">
        <v>0</v>
      </c>
      <c r="I8335" s="16">
        <v>470000000</v>
      </c>
      <c r="J8335" s="16" t="s">
        <v>229</v>
      </c>
      <c r="K8335" s="6" t="s">
        <v>18748</v>
      </c>
      <c r="L8335" s="16" t="s">
        <v>17302</v>
      </c>
      <c r="M8335" s="3" t="s">
        <v>230</v>
      </c>
      <c r="N8335" s="65" t="s">
        <v>17304</v>
      </c>
      <c r="O8335" s="6" t="s">
        <v>17303</v>
      </c>
      <c r="P8335" s="58" t="s">
        <v>241</v>
      </c>
      <c r="Q8335" s="6" t="s">
        <v>234</v>
      </c>
      <c r="R8335" s="6">
        <v>6</v>
      </c>
      <c r="S8335" s="97">
        <v>38400</v>
      </c>
      <c r="T8335" s="4">
        <v>0</v>
      </c>
      <c r="U8335" s="4">
        <f t="shared" si="542"/>
        <v>0</v>
      </c>
      <c r="V8335" s="3"/>
      <c r="W8335" s="266">
        <v>2014</v>
      </c>
      <c r="X8335" s="6" t="s">
        <v>14265</v>
      </c>
    </row>
    <row r="8336" spans="1:24" ht="76.5">
      <c r="A8336" s="3" t="s">
        <v>19564</v>
      </c>
      <c r="B8336" s="6" t="s">
        <v>361</v>
      </c>
      <c r="C8336" s="16" t="s">
        <v>11786</v>
      </c>
      <c r="D8336" s="265" t="s">
        <v>11787</v>
      </c>
      <c r="E8336" s="16" t="s">
        <v>11788</v>
      </c>
      <c r="F8336" s="16" t="s">
        <v>17238</v>
      </c>
      <c r="G8336" s="3" t="s">
        <v>11450</v>
      </c>
      <c r="H8336" s="98">
        <v>0</v>
      </c>
      <c r="I8336" s="16">
        <v>470000000</v>
      </c>
      <c r="J8336" s="16" t="s">
        <v>229</v>
      </c>
      <c r="K8336" s="6" t="s">
        <v>9956</v>
      </c>
      <c r="L8336" s="16" t="s">
        <v>17302</v>
      </c>
      <c r="M8336" s="3" t="s">
        <v>230</v>
      </c>
      <c r="N8336" s="65" t="s">
        <v>19398</v>
      </c>
      <c r="O8336" s="6" t="s">
        <v>19407</v>
      </c>
      <c r="P8336" s="58" t="s">
        <v>241</v>
      </c>
      <c r="Q8336" s="6" t="s">
        <v>234</v>
      </c>
      <c r="R8336" s="6">
        <v>6</v>
      </c>
      <c r="S8336" s="97">
        <v>38400</v>
      </c>
      <c r="T8336" s="4">
        <f t="shared" ref="T8336" si="555">R8336*S8336</f>
        <v>230400</v>
      </c>
      <c r="U8336" s="97">
        <f t="shared" si="542"/>
        <v>258048.00000000003</v>
      </c>
      <c r="V8336" s="3"/>
      <c r="W8336" s="266">
        <v>2014</v>
      </c>
      <c r="X8336" s="6"/>
    </row>
    <row r="8337" spans="1:24" ht="76.5">
      <c r="A8337" s="3" t="s">
        <v>17227</v>
      </c>
      <c r="B8337" s="6" t="s">
        <v>361</v>
      </c>
      <c r="C8337" s="16" t="s">
        <v>17296</v>
      </c>
      <c r="D8337" s="265" t="s">
        <v>17297</v>
      </c>
      <c r="E8337" s="16" t="s">
        <v>17298</v>
      </c>
      <c r="F8337" s="16" t="s">
        <v>17239</v>
      </c>
      <c r="G8337" s="3" t="s">
        <v>11450</v>
      </c>
      <c r="H8337" s="98">
        <v>0</v>
      </c>
      <c r="I8337" s="16">
        <v>470000000</v>
      </c>
      <c r="J8337" s="16" t="s">
        <v>229</v>
      </c>
      <c r="K8337" s="57" t="s">
        <v>8950</v>
      </c>
      <c r="L8337" s="16" t="s">
        <v>17302</v>
      </c>
      <c r="M8337" s="3" t="s">
        <v>230</v>
      </c>
      <c r="N8337" s="65" t="s">
        <v>17304</v>
      </c>
      <c r="O8337" s="6" t="s">
        <v>17303</v>
      </c>
      <c r="P8337" s="58" t="s">
        <v>241</v>
      </c>
      <c r="Q8337" s="6" t="s">
        <v>234</v>
      </c>
      <c r="R8337" s="6">
        <v>2</v>
      </c>
      <c r="S8337" s="97">
        <v>140000</v>
      </c>
      <c r="T8337" s="4">
        <v>0</v>
      </c>
      <c r="U8337" s="4">
        <f t="shared" si="542"/>
        <v>0</v>
      </c>
      <c r="V8337" s="3"/>
      <c r="W8337" s="266">
        <v>2014</v>
      </c>
      <c r="X8337" s="3">
        <v>11</v>
      </c>
    </row>
    <row r="8338" spans="1:24" ht="76.5">
      <c r="A8338" s="3" t="s">
        <v>18482</v>
      </c>
      <c r="B8338" s="6" t="s">
        <v>361</v>
      </c>
      <c r="C8338" s="16" t="s">
        <v>17296</v>
      </c>
      <c r="D8338" s="265" t="s">
        <v>17297</v>
      </c>
      <c r="E8338" s="16" t="s">
        <v>17298</v>
      </c>
      <c r="F8338" s="16" t="s">
        <v>17239</v>
      </c>
      <c r="G8338" s="3" t="s">
        <v>11450</v>
      </c>
      <c r="H8338" s="98">
        <v>0</v>
      </c>
      <c r="I8338" s="16">
        <v>470000000</v>
      </c>
      <c r="J8338" s="16" t="s">
        <v>229</v>
      </c>
      <c r="K8338" s="6" t="s">
        <v>18748</v>
      </c>
      <c r="L8338" s="16" t="s">
        <v>17302</v>
      </c>
      <c r="M8338" s="3" t="s">
        <v>230</v>
      </c>
      <c r="N8338" s="65" t="s">
        <v>17304</v>
      </c>
      <c r="O8338" s="6" t="s">
        <v>17303</v>
      </c>
      <c r="P8338" s="58" t="s">
        <v>241</v>
      </c>
      <c r="Q8338" s="6" t="s">
        <v>234</v>
      </c>
      <c r="R8338" s="6">
        <v>2</v>
      </c>
      <c r="S8338" s="97">
        <v>140000</v>
      </c>
      <c r="T8338" s="4">
        <v>0</v>
      </c>
      <c r="U8338" s="4">
        <f t="shared" si="542"/>
        <v>0</v>
      </c>
      <c r="V8338" s="3"/>
      <c r="W8338" s="266">
        <v>2014</v>
      </c>
      <c r="X8338" s="6" t="s">
        <v>14265</v>
      </c>
    </row>
    <row r="8339" spans="1:24" ht="76.5">
      <c r="A8339" s="3" t="s">
        <v>19565</v>
      </c>
      <c r="B8339" s="6" t="s">
        <v>361</v>
      </c>
      <c r="C8339" s="16" t="s">
        <v>17296</v>
      </c>
      <c r="D8339" s="265" t="s">
        <v>17297</v>
      </c>
      <c r="E8339" s="16" t="s">
        <v>17298</v>
      </c>
      <c r="F8339" s="16" t="s">
        <v>17239</v>
      </c>
      <c r="G8339" s="3" t="s">
        <v>11450</v>
      </c>
      <c r="H8339" s="98">
        <v>0</v>
      </c>
      <c r="I8339" s="16">
        <v>470000000</v>
      </c>
      <c r="J8339" s="16" t="s">
        <v>229</v>
      </c>
      <c r="K8339" s="6" t="s">
        <v>9956</v>
      </c>
      <c r="L8339" s="16" t="s">
        <v>17302</v>
      </c>
      <c r="M8339" s="3" t="s">
        <v>230</v>
      </c>
      <c r="N8339" s="65" t="s">
        <v>19398</v>
      </c>
      <c r="O8339" s="6" t="s">
        <v>19407</v>
      </c>
      <c r="P8339" s="58" t="s">
        <v>241</v>
      </c>
      <c r="Q8339" s="6" t="s">
        <v>234</v>
      </c>
      <c r="R8339" s="6">
        <v>2</v>
      </c>
      <c r="S8339" s="97">
        <v>140000</v>
      </c>
      <c r="T8339" s="4">
        <f t="shared" ref="T8339" si="556">R8339*S8339</f>
        <v>280000</v>
      </c>
      <c r="U8339" s="97">
        <f t="shared" si="542"/>
        <v>313600.00000000006</v>
      </c>
      <c r="V8339" s="3"/>
      <c r="W8339" s="266">
        <v>2014</v>
      </c>
      <c r="X8339" s="6"/>
    </row>
    <row r="8340" spans="1:24" ht="76.5">
      <c r="A8340" s="3" t="s">
        <v>17228</v>
      </c>
      <c r="B8340" s="6" t="s">
        <v>361</v>
      </c>
      <c r="C8340" s="16" t="s">
        <v>17278</v>
      </c>
      <c r="D8340" s="265" t="s">
        <v>17279</v>
      </c>
      <c r="E8340" s="16" t="s">
        <v>17280</v>
      </c>
      <c r="F8340" s="16" t="s">
        <v>17240</v>
      </c>
      <c r="G8340" s="3" t="s">
        <v>11449</v>
      </c>
      <c r="H8340" s="98">
        <v>0</v>
      </c>
      <c r="I8340" s="16">
        <v>470000000</v>
      </c>
      <c r="J8340" s="16" t="s">
        <v>229</v>
      </c>
      <c r="K8340" s="57" t="s">
        <v>8950</v>
      </c>
      <c r="L8340" s="16" t="s">
        <v>17302</v>
      </c>
      <c r="M8340" s="3" t="s">
        <v>230</v>
      </c>
      <c r="N8340" s="65" t="s">
        <v>17304</v>
      </c>
      <c r="O8340" s="6" t="s">
        <v>17303</v>
      </c>
      <c r="P8340" s="58" t="s">
        <v>241</v>
      </c>
      <c r="Q8340" s="6" t="s">
        <v>234</v>
      </c>
      <c r="R8340" s="6">
        <v>1</v>
      </c>
      <c r="S8340" s="97">
        <v>17000000</v>
      </c>
      <c r="T8340" s="4">
        <v>0</v>
      </c>
      <c r="U8340" s="4">
        <f t="shared" si="542"/>
        <v>0</v>
      </c>
      <c r="V8340" s="3"/>
      <c r="W8340" s="266">
        <v>2014</v>
      </c>
      <c r="X8340" s="3">
        <v>11</v>
      </c>
    </row>
    <row r="8341" spans="1:24" ht="76.5">
      <c r="A8341" s="3" t="s">
        <v>18488</v>
      </c>
      <c r="B8341" s="6" t="s">
        <v>361</v>
      </c>
      <c r="C8341" s="16" t="s">
        <v>17278</v>
      </c>
      <c r="D8341" s="265" t="s">
        <v>17279</v>
      </c>
      <c r="E8341" s="16" t="s">
        <v>17280</v>
      </c>
      <c r="F8341" s="16" t="s">
        <v>17240</v>
      </c>
      <c r="G8341" s="3" t="s">
        <v>11449</v>
      </c>
      <c r="H8341" s="98">
        <v>0</v>
      </c>
      <c r="I8341" s="16">
        <v>470000000</v>
      </c>
      <c r="J8341" s="16" t="s">
        <v>229</v>
      </c>
      <c r="K8341" s="6" t="s">
        <v>18748</v>
      </c>
      <c r="L8341" s="16" t="s">
        <v>17302</v>
      </c>
      <c r="M8341" s="3" t="s">
        <v>230</v>
      </c>
      <c r="N8341" s="65" t="s">
        <v>17304</v>
      </c>
      <c r="O8341" s="6" t="s">
        <v>17303</v>
      </c>
      <c r="P8341" s="58" t="s">
        <v>241</v>
      </c>
      <c r="Q8341" s="6" t="s">
        <v>234</v>
      </c>
      <c r="R8341" s="6">
        <v>1</v>
      </c>
      <c r="S8341" s="97">
        <v>17000000</v>
      </c>
      <c r="T8341" s="4">
        <v>0</v>
      </c>
      <c r="U8341" s="4">
        <f t="shared" si="542"/>
        <v>0</v>
      </c>
      <c r="V8341" s="3"/>
      <c r="W8341" s="266">
        <v>2014</v>
      </c>
      <c r="X8341" s="6">
        <v>11.14</v>
      </c>
    </row>
    <row r="8342" spans="1:24" ht="76.5">
      <c r="A8342" s="3" t="s">
        <v>19566</v>
      </c>
      <c r="B8342" s="6" t="s">
        <v>361</v>
      </c>
      <c r="C8342" s="16" t="s">
        <v>17278</v>
      </c>
      <c r="D8342" s="265" t="s">
        <v>17279</v>
      </c>
      <c r="E8342" s="16" t="s">
        <v>17280</v>
      </c>
      <c r="F8342" s="16" t="s">
        <v>17240</v>
      </c>
      <c r="G8342" s="3" t="s">
        <v>11449</v>
      </c>
      <c r="H8342" s="98">
        <v>0</v>
      </c>
      <c r="I8342" s="16">
        <v>470000000</v>
      </c>
      <c r="J8342" s="16" t="s">
        <v>229</v>
      </c>
      <c r="K8342" s="6" t="s">
        <v>9956</v>
      </c>
      <c r="L8342" s="16" t="s">
        <v>17302</v>
      </c>
      <c r="M8342" s="3" t="s">
        <v>230</v>
      </c>
      <c r="N8342" s="65" t="s">
        <v>19398</v>
      </c>
      <c r="O8342" s="6" t="s">
        <v>17303</v>
      </c>
      <c r="P8342" s="58" t="s">
        <v>241</v>
      </c>
      <c r="Q8342" s="6" t="s">
        <v>234</v>
      </c>
      <c r="R8342" s="6">
        <v>1</v>
      </c>
      <c r="S8342" s="97">
        <v>17000000</v>
      </c>
      <c r="T8342" s="4">
        <f t="shared" ref="T8342" si="557">R8342*S8342</f>
        <v>17000000</v>
      </c>
      <c r="U8342" s="97">
        <f t="shared" si="542"/>
        <v>19040000</v>
      </c>
      <c r="V8342" s="3"/>
      <c r="W8342" s="266">
        <v>2014</v>
      </c>
      <c r="X8342" s="6"/>
    </row>
    <row r="8343" spans="1:24" ht="204">
      <c r="A8343" s="3" t="s">
        <v>17229</v>
      </c>
      <c r="B8343" s="6" t="s">
        <v>361</v>
      </c>
      <c r="C8343" s="16" t="s">
        <v>17305</v>
      </c>
      <c r="D8343" s="265" t="s">
        <v>17306</v>
      </c>
      <c r="E8343" s="16" t="s">
        <v>17307</v>
      </c>
      <c r="F8343" s="16" t="s">
        <v>17241</v>
      </c>
      <c r="G8343" s="3" t="s">
        <v>11449</v>
      </c>
      <c r="H8343" s="98">
        <v>0</v>
      </c>
      <c r="I8343" s="16">
        <v>470000000</v>
      </c>
      <c r="J8343" s="16" t="s">
        <v>229</v>
      </c>
      <c r="K8343" s="57" t="s">
        <v>8950</v>
      </c>
      <c r="L8343" s="16" t="s">
        <v>17302</v>
      </c>
      <c r="M8343" s="3" t="s">
        <v>230</v>
      </c>
      <c r="N8343" s="65" t="s">
        <v>17304</v>
      </c>
      <c r="O8343" s="6" t="s">
        <v>17303</v>
      </c>
      <c r="P8343" s="58" t="s">
        <v>241</v>
      </c>
      <c r="Q8343" s="6" t="s">
        <v>234</v>
      </c>
      <c r="R8343" s="6">
        <v>1</v>
      </c>
      <c r="S8343" s="97">
        <v>18010929</v>
      </c>
      <c r="T8343" s="4">
        <v>0</v>
      </c>
      <c r="U8343" s="4">
        <f t="shared" si="542"/>
        <v>0</v>
      </c>
      <c r="V8343" s="3"/>
      <c r="W8343" s="266">
        <v>2014</v>
      </c>
      <c r="X8343" s="3">
        <v>11</v>
      </c>
    </row>
    <row r="8344" spans="1:24" ht="204">
      <c r="A8344" s="3" t="s">
        <v>18491</v>
      </c>
      <c r="B8344" s="6" t="s">
        <v>361</v>
      </c>
      <c r="C8344" s="16" t="s">
        <v>17305</v>
      </c>
      <c r="D8344" s="265" t="s">
        <v>17306</v>
      </c>
      <c r="E8344" s="16" t="s">
        <v>17307</v>
      </c>
      <c r="F8344" s="16" t="s">
        <v>17241</v>
      </c>
      <c r="G8344" s="3" t="s">
        <v>11449</v>
      </c>
      <c r="H8344" s="98">
        <v>0</v>
      </c>
      <c r="I8344" s="16">
        <v>470000000</v>
      </c>
      <c r="J8344" s="16" t="s">
        <v>229</v>
      </c>
      <c r="K8344" s="6" t="s">
        <v>18748</v>
      </c>
      <c r="L8344" s="16" t="s">
        <v>17302</v>
      </c>
      <c r="M8344" s="3" t="s">
        <v>230</v>
      </c>
      <c r="N8344" s="65" t="s">
        <v>17304</v>
      </c>
      <c r="O8344" s="6" t="s">
        <v>17303</v>
      </c>
      <c r="P8344" s="58" t="s">
        <v>241</v>
      </c>
      <c r="Q8344" s="6" t="s">
        <v>234</v>
      </c>
      <c r="R8344" s="6">
        <v>1</v>
      </c>
      <c r="S8344" s="97">
        <v>18010929</v>
      </c>
      <c r="T8344" s="4">
        <v>0</v>
      </c>
      <c r="U8344" s="4">
        <f t="shared" si="542"/>
        <v>0</v>
      </c>
      <c r="V8344" s="3"/>
      <c r="W8344" s="266">
        <v>2014</v>
      </c>
      <c r="X8344" s="3" t="s">
        <v>12076</v>
      </c>
    </row>
    <row r="8345" spans="1:24" ht="76.5">
      <c r="A8345" s="3" t="s">
        <v>17230</v>
      </c>
      <c r="B8345" s="6" t="s">
        <v>361</v>
      </c>
      <c r="C8345" s="16" t="s">
        <v>17281</v>
      </c>
      <c r="D8345" s="265" t="s">
        <v>17282</v>
      </c>
      <c r="E8345" s="16" t="s">
        <v>17283</v>
      </c>
      <c r="F8345" s="16" t="s">
        <v>17242</v>
      </c>
      <c r="G8345" s="3" t="s">
        <v>11449</v>
      </c>
      <c r="H8345" s="98">
        <v>0</v>
      </c>
      <c r="I8345" s="16">
        <v>470000000</v>
      </c>
      <c r="J8345" s="16" t="s">
        <v>229</v>
      </c>
      <c r="K8345" s="57" t="s">
        <v>8950</v>
      </c>
      <c r="L8345" s="16" t="s">
        <v>17302</v>
      </c>
      <c r="M8345" s="3" t="s">
        <v>230</v>
      </c>
      <c r="N8345" s="65" t="s">
        <v>17304</v>
      </c>
      <c r="O8345" s="6" t="s">
        <v>17303</v>
      </c>
      <c r="P8345" s="58" t="s">
        <v>241</v>
      </c>
      <c r="Q8345" s="6" t="s">
        <v>234</v>
      </c>
      <c r="R8345" s="6">
        <v>1</v>
      </c>
      <c r="S8345" s="97">
        <v>14000000</v>
      </c>
      <c r="T8345" s="4">
        <v>0</v>
      </c>
      <c r="U8345" s="4">
        <f t="shared" si="542"/>
        <v>0</v>
      </c>
      <c r="V8345" s="3"/>
      <c r="W8345" s="266">
        <v>2014</v>
      </c>
      <c r="X8345" s="3">
        <v>11</v>
      </c>
    </row>
    <row r="8346" spans="1:24" ht="76.5">
      <c r="A8346" s="3" t="s">
        <v>18492</v>
      </c>
      <c r="B8346" s="6" t="s">
        <v>361</v>
      </c>
      <c r="C8346" s="16" t="s">
        <v>17281</v>
      </c>
      <c r="D8346" s="265" t="s">
        <v>17282</v>
      </c>
      <c r="E8346" s="16" t="s">
        <v>17283</v>
      </c>
      <c r="F8346" s="16" t="s">
        <v>17242</v>
      </c>
      <c r="G8346" s="3" t="s">
        <v>11449</v>
      </c>
      <c r="H8346" s="98">
        <v>0</v>
      </c>
      <c r="I8346" s="16">
        <v>470000000</v>
      </c>
      <c r="J8346" s="16" t="s">
        <v>229</v>
      </c>
      <c r="K8346" s="6" t="s">
        <v>18748</v>
      </c>
      <c r="L8346" s="16" t="s">
        <v>17302</v>
      </c>
      <c r="M8346" s="3" t="s">
        <v>230</v>
      </c>
      <c r="N8346" s="65" t="s">
        <v>17304</v>
      </c>
      <c r="O8346" s="6" t="s">
        <v>17303</v>
      </c>
      <c r="P8346" s="58" t="s">
        <v>241</v>
      </c>
      <c r="Q8346" s="6" t="s">
        <v>234</v>
      </c>
      <c r="R8346" s="6">
        <v>1</v>
      </c>
      <c r="S8346" s="97">
        <v>14000000</v>
      </c>
      <c r="T8346" s="4">
        <v>0</v>
      </c>
      <c r="U8346" s="4">
        <f t="shared" si="542"/>
        <v>0</v>
      </c>
      <c r="V8346" s="3"/>
      <c r="W8346" s="266">
        <v>2014</v>
      </c>
      <c r="X8346" s="6" t="s">
        <v>18655</v>
      </c>
    </row>
    <row r="8347" spans="1:24" ht="76.5">
      <c r="A8347" s="3" t="s">
        <v>19567</v>
      </c>
      <c r="B8347" s="6" t="s">
        <v>361</v>
      </c>
      <c r="C8347" s="16" t="s">
        <v>17281</v>
      </c>
      <c r="D8347" s="265" t="s">
        <v>17282</v>
      </c>
      <c r="E8347" s="16" t="s">
        <v>17283</v>
      </c>
      <c r="F8347" s="16" t="s">
        <v>19568</v>
      </c>
      <c r="G8347" s="3" t="s">
        <v>11449</v>
      </c>
      <c r="H8347" s="98">
        <v>0</v>
      </c>
      <c r="I8347" s="16">
        <v>470000000</v>
      </c>
      <c r="J8347" s="16" t="s">
        <v>229</v>
      </c>
      <c r="K8347" s="6" t="s">
        <v>9956</v>
      </c>
      <c r="L8347" s="16" t="s">
        <v>17302</v>
      </c>
      <c r="M8347" s="3" t="s">
        <v>230</v>
      </c>
      <c r="N8347" s="65" t="s">
        <v>19398</v>
      </c>
      <c r="O8347" s="6" t="s">
        <v>17303</v>
      </c>
      <c r="P8347" s="58" t="s">
        <v>241</v>
      </c>
      <c r="Q8347" s="6" t="s">
        <v>234</v>
      </c>
      <c r="R8347" s="6">
        <v>1</v>
      </c>
      <c r="S8347" s="97">
        <v>14000000</v>
      </c>
      <c r="T8347" s="4">
        <f t="shared" ref="T8347" si="558">R8347*S8347</f>
        <v>14000000</v>
      </c>
      <c r="U8347" s="97">
        <f t="shared" si="542"/>
        <v>15680000.000000002</v>
      </c>
      <c r="V8347" s="3"/>
      <c r="W8347" s="266">
        <v>2014</v>
      </c>
      <c r="X8347" s="6"/>
    </row>
    <row r="8348" spans="1:24" ht="89.25">
      <c r="A8348" s="3" t="s">
        <v>17231</v>
      </c>
      <c r="B8348" s="6" t="s">
        <v>361</v>
      </c>
      <c r="C8348" s="16" t="s">
        <v>17284</v>
      </c>
      <c r="D8348" s="265" t="s">
        <v>17285</v>
      </c>
      <c r="E8348" s="16" t="s">
        <v>17286</v>
      </c>
      <c r="F8348" s="6" t="s">
        <v>17243</v>
      </c>
      <c r="G8348" s="3" t="s">
        <v>11449</v>
      </c>
      <c r="H8348" s="98">
        <v>0</v>
      </c>
      <c r="I8348" s="16">
        <v>470000000</v>
      </c>
      <c r="J8348" s="16" t="s">
        <v>229</v>
      </c>
      <c r="K8348" s="57" t="s">
        <v>8950</v>
      </c>
      <c r="L8348" s="16" t="s">
        <v>17302</v>
      </c>
      <c r="M8348" s="3" t="s">
        <v>230</v>
      </c>
      <c r="N8348" s="65" t="s">
        <v>17304</v>
      </c>
      <c r="O8348" s="6" t="s">
        <v>17303</v>
      </c>
      <c r="P8348" s="58" t="s">
        <v>241</v>
      </c>
      <c r="Q8348" s="6" t="s">
        <v>234</v>
      </c>
      <c r="R8348" s="6">
        <v>2</v>
      </c>
      <c r="S8348" s="97">
        <v>18948191.629999999</v>
      </c>
      <c r="T8348" s="4">
        <v>0</v>
      </c>
      <c r="U8348" s="4">
        <f t="shared" si="542"/>
        <v>0</v>
      </c>
      <c r="V8348" s="3"/>
      <c r="W8348" s="266">
        <v>2014</v>
      </c>
      <c r="X8348" s="3">
        <v>11</v>
      </c>
    </row>
    <row r="8349" spans="1:24" ht="89.25">
      <c r="A8349" s="3" t="s">
        <v>18499</v>
      </c>
      <c r="B8349" s="6" t="s">
        <v>361</v>
      </c>
      <c r="C8349" s="16" t="s">
        <v>17284</v>
      </c>
      <c r="D8349" s="265" t="s">
        <v>17285</v>
      </c>
      <c r="E8349" s="16" t="s">
        <v>17286</v>
      </c>
      <c r="F8349" s="6" t="s">
        <v>17243</v>
      </c>
      <c r="G8349" s="3" t="s">
        <v>11449</v>
      </c>
      <c r="H8349" s="98">
        <v>0</v>
      </c>
      <c r="I8349" s="16">
        <v>470000000</v>
      </c>
      <c r="J8349" s="16" t="s">
        <v>229</v>
      </c>
      <c r="K8349" s="6" t="s">
        <v>18748</v>
      </c>
      <c r="L8349" s="16" t="s">
        <v>17302</v>
      </c>
      <c r="M8349" s="3" t="s">
        <v>230</v>
      </c>
      <c r="N8349" s="65" t="s">
        <v>17304</v>
      </c>
      <c r="O8349" s="6" t="s">
        <v>17303</v>
      </c>
      <c r="P8349" s="58" t="s">
        <v>241</v>
      </c>
      <c r="Q8349" s="6" t="s">
        <v>234</v>
      </c>
      <c r="R8349" s="6">
        <v>2</v>
      </c>
      <c r="S8349" s="97">
        <v>18948191.629999999</v>
      </c>
      <c r="T8349" s="4">
        <v>0</v>
      </c>
      <c r="U8349" s="4">
        <f t="shared" si="542"/>
        <v>0</v>
      </c>
      <c r="V8349" s="3"/>
      <c r="W8349" s="266">
        <v>2014</v>
      </c>
      <c r="X8349" s="6" t="s">
        <v>18655</v>
      </c>
    </row>
    <row r="8350" spans="1:24" ht="89.25">
      <c r="A8350" s="3" t="s">
        <v>19569</v>
      </c>
      <c r="B8350" s="6" t="s">
        <v>361</v>
      </c>
      <c r="C8350" s="16" t="s">
        <v>17284</v>
      </c>
      <c r="D8350" s="265" t="s">
        <v>17285</v>
      </c>
      <c r="E8350" s="16" t="s">
        <v>17286</v>
      </c>
      <c r="F8350" s="6" t="s">
        <v>19570</v>
      </c>
      <c r="G8350" s="3" t="s">
        <v>11449</v>
      </c>
      <c r="H8350" s="98">
        <v>0</v>
      </c>
      <c r="I8350" s="16">
        <v>470000000</v>
      </c>
      <c r="J8350" s="16" t="s">
        <v>229</v>
      </c>
      <c r="K8350" s="6" t="s">
        <v>9956</v>
      </c>
      <c r="L8350" s="16" t="s">
        <v>17302</v>
      </c>
      <c r="M8350" s="3" t="s">
        <v>230</v>
      </c>
      <c r="N8350" s="65" t="s">
        <v>19398</v>
      </c>
      <c r="O8350" s="6" t="s">
        <v>17303</v>
      </c>
      <c r="P8350" s="58" t="s">
        <v>241</v>
      </c>
      <c r="Q8350" s="6" t="s">
        <v>234</v>
      </c>
      <c r="R8350" s="6">
        <v>2</v>
      </c>
      <c r="S8350" s="97">
        <v>18948191.629999999</v>
      </c>
      <c r="T8350" s="4">
        <f t="shared" ref="T8350" si="559">R8350*S8350</f>
        <v>37896383.259999998</v>
      </c>
      <c r="U8350" s="97">
        <f t="shared" si="542"/>
        <v>42443949.251200005</v>
      </c>
      <c r="V8350" s="3"/>
      <c r="W8350" s="266">
        <v>2014</v>
      </c>
      <c r="X8350" s="6"/>
    </row>
    <row r="8351" spans="1:24" ht="153">
      <c r="A8351" s="3" t="s">
        <v>17232</v>
      </c>
      <c r="B8351" s="6" t="s">
        <v>361</v>
      </c>
      <c r="C8351" s="16" t="s">
        <v>17287</v>
      </c>
      <c r="D8351" s="265" t="s">
        <v>17288</v>
      </c>
      <c r="E8351" s="16" t="s">
        <v>17289</v>
      </c>
      <c r="F8351" s="267" t="s">
        <v>17244</v>
      </c>
      <c r="G8351" s="3" t="s">
        <v>11449</v>
      </c>
      <c r="H8351" s="98">
        <v>0</v>
      </c>
      <c r="I8351" s="16">
        <v>470000000</v>
      </c>
      <c r="J8351" s="16" t="s">
        <v>229</v>
      </c>
      <c r="K8351" s="57" t="s">
        <v>8950</v>
      </c>
      <c r="L8351" s="16" t="s">
        <v>17302</v>
      </c>
      <c r="M8351" s="3" t="s">
        <v>230</v>
      </c>
      <c r="N8351" s="65" t="s">
        <v>17304</v>
      </c>
      <c r="O8351" s="6" t="s">
        <v>17303</v>
      </c>
      <c r="P8351" s="58" t="s">
        <v>241</v>
      </c>
      <c r="Q8351" s="6" t="s">
        <v>234</v>
      </c>
      <c r="R8351" s="6">
        <v>1</v>
      </c>
      <c r="S8351" s="97">
        <v>34440000</v>
      </c>
      <c r="T8351" s="4">
        <v>0</v>
      </c>
      <c r="U8351" s="4">
        <f t="shared" si="542"/>
        <v>0</v>
      </c>
      <c r="V8351" s="3"/>
      <c r="W8351" s="266">
        <v>2014</v>
      </c>
      <c r="X8351" s="3">
        <v>11</v>
      </c>
    </row>
    <row r="8352" spans="1:24" ht="153">
      <c r="A8352" s="3" t="s">
        <v>18500</v>
      </c>
      <c r="B8352" s="6" t="s">
        <v>361</v>
      </c>
      <c r="C8352" s="16" t="s">
        <v>17287</v>
      </c>
      <c r="D8352" s="265" t="s">
        <v>17288</v>
      </c>
      <c r="E8352" s="16" t="s">
        <v>17289</v>
      </c>
      <c r="F8352" s="267" t="s">
        <v>17244</v>
      </c>
      <c r="G8352" s="3" t="s">
        <v>11449</v>
      </c>
      <c r="H8352" s="98">
        <v>0</v>
      </c>
      <c r="I8352" s="16">
        <v>470000000</v>
      </c>
      <c r="J8352" s="16" t="s">
        <v>229</v>
      </c>
      <c r="K8352" s="6" t="s">
        <v>18748</v>
      </c>
      <c r="L8352" s="16" t="s">
        <v>17302</v>
      </c>
      <c r="M8352" s="3" t="s">
        <v>230</v>
      </c>
      <c r="N8352" s="65" t="s">
        <v>17304</v>
      </c>
      <c r="O8352" s="6" t="s">
        <v>17303</v>
      </c>
      <c r="P8352" s="58" t="s">
        <v>241</v>
      </c>
      <c r="Q8352" s="6" t="s">
        <v>234</v>
      </c>
      <c r="R8352" s="6">
        <v>1</v>
      </c>
      <c r="S8352" s="97">
        <v>34440000</v>
      </c>
      <c r="T8352" s="4">
        <v>0</v>
      </c>
      <c r="U8352" s="4">
        <f t="shared" si="542"/>
        <v>0</v>
      </c>
      <c r="V8352" s="3"/>
      <c r="W8352" s="266">
        <v>2014</v>
      </c>
      <c r="X8352" s="6">
        <v>11.14</v>
      </c>
    </row>
    <row r="8353" spans="1:24" ht="153">
      <c r="A8353" s="3" t="s">
        <v>19571</v>
      </c>
      <c r="B8353" s="6" t="s">
        <v>361</v>
      </c>
      <c r="C8353" s="16" t="s">
        <v>17287</v>
      </c>
      <c r="D8353" s="265" t="s">
        <v>17288</v>
      </c>
      <c r="E8353" s="16" t="s">
        <v>17289</v>
      </c>
      <c r="F8353" s="267" t="s">
        <v>17244</v>
      </c>
      <c r="G8353" s="3" t="s">
        <v>11449</v>
      </c>
      <c r="H8353" s="98">
        <v>0</v>
      </c>
      <c r="I8353" s="16">
        <v>470000000</v>
      </c>
      <c r="J8353" s="16" t="s">
        <v>229</v>
      </c>
      <c r="K8353" s="6" t="s">
        <v>9956</v>
      </c>
      <c r="L8353" s="16" t="s">
        <v>17302</v>
      </c>
      <c r="M8353" s="3" t="s">
        <v>230</v>
      </c>
      <c r="N8353" s="65" t="s">
        <v>19572</v>
      </c>
      <c r="O8353" s="6" t="s">
        <v>17303</v>
      </c>
      <c r="P8353" s="58" t="s">
        <v>241</v>
      </c>
      <c r="Q8353" s="6" t="s">
        <v>234</v>
      </c>
      <c r="R8353" s="6">
        <v>1</v>
      </c>
      <c r="S8353" s="97">
        <v>34440000</v>
      </c>
      <c r="T8353" s="4">
        <f t="shared" ref="T8353" si="560">R8353*S8353</f>
        <v>34440000</v>
      </c>
      <c r="U8353" s="97">
        <f t="shared" si="542"/>
        <v>38572800</v>
      </c>
      <c r="V8353" s="3"/>
      <c r="W8353" s="266">
        <v>2014</v>
      </c>
      <c r="X8353" s="6"/>
    </row>
    <row r="8354" spans="1:24" ht="76.5">
      <c r="A8354" s="3" t="s">
        <v>17233</v>
      </c>
      <c r="B8354" s="6" t="s">
        <v>361</v>
      </c>
      <c r="C8354" s="16" t="s">
        <v>17290</v>
      </c>
      <c r="D8354" s="265" t="s">
        <v>17291</v>
      </c>
      <c r="E8354" s="16" t="s">
        <v>17292</v>
      </c>
      <c r="F8354" s="267" t="s">
        <v>17245</v>
      </c>
      <c r="G8354" s="3" t="s">
        <v>11449</v>
      </c>
      <c r="H8354" s="98">
        <v>0</v>
      </c>
      <c r="I8354" s="16">
        <v>470000000</v>
      </c>
      <c r="J8354" s="16" t="s">
        <v>229</v>
      </c>
      <c r="K8354" s="57" t="s">
        <v>8950</v>
      </c>
      <c r="L8354" s="16" t="s">
        <v>17302</v>
      </c>
      <c r="M8354" s="3" t="s">
        <v>230</v>
      </c>
      <c r="N8354" s="65" t="s">
        <v>17304</v>
      </c>
      <c r="O8354" s="6" t="s">
        <v>17303</v>
      </c>
      <c r="P8354" s="58" t="s">
        <v>241</v>
      </c>
      <c r="Q8354" s="6" t="s">
        <v>234</v>
      </c>
      <c r="R8354" s="6">
        <v>1</v>
      </c>
      <c r="S8354" s="97">
        <v>34440000</v>
      </c>
      <c r="T8354" s="4">
        <v>0</v>
      </c>
      <c r="U8354" s="4">
        <f t="shared" si="542"/>
        <v>0</v>
      </c>
      <c r="V8354" s="3"/>
      <c r="W8354" s="266">
        <v>2014</v>
      </c>
      <c r="X8354" s="3">
        <v>11</v>
      </c>
    </row>
    <row r="8355" spans="1:24" ht="76.5">
      <c r="A8355" s="3" t="s">
        <v>18501</v>
      </c>
      <c r="B8355" s="6" t="s">
        <v>361</v>
      </c>
      <c r="C8355" s="16" t="s">
        <v>17290</v>
      </c>
      <c r="D8355" s="265" t="s">
        <v>17291</v>
      </c>
      <c r="E8355" s="16" t="s">
        <v>17292</v>
      </c>
      <c r="F8355" s="267" t="s">
        <v>17245</v>
      </c>
      <c r="G8355" s="3" t="s">
        <v>11449</v>
      </c>
      <c r="H8355" s="98">
        <v>0</v>
      </c>
      <c r="I8355" s="16">
        <v>470000000</v>
      </c>
      <c r="J8355" s="16" t="s">
        <v>229</v>
      </c>
      <c r="K8355" s="6" t="s">
        <v>18748</v>
      </c>
      <c r="L8355" s="16" t="s">
        <v>17302</v>
      </c>
      <c r="M8355" s="3" t="s">
        <v>230</v>
      </c>
      <c r="N8355" s="65" t="s">
        <v>17304</v>
      </c>
      <c r="O8355" s="6" t="s">
        <v>17303</v>
      </c>
      <c r="P8355" s="58" t="s">
        <v>241</v>
      </c>
      <c r="Q8355" s="6" t="s">
        <v>234</v>
      </c>
      <c r="R8355" s="6">
        <v>1</v>
      </c>
      <c r="S8355" s="97">
        <v>34440000</v>
      </c>
      <c r="T8355" s="4">
        <v>0</v>
      </c>
      <c r="U8355" s="4">
        <f t="shared" si="542"/>
        <v>0</v>
      </c>
      <c r="V8355" s="3"/>
      <c r="W8355" s="266">
        <v>2014</v>
      </c>
      <c r="X8355" s="6" t="s">
        <v>19573</v>
      </c>
    </row>
    <row r="8356" spans="1:24" ht="76.5">
      <c r="A8356" s="3" t="s">
        <v>19574</v>
      </c>
      <c r="B8356" s="6" t="s">
        <v>361</v>
      </c>
      <c r="C8356" s="16" t="s">
        <v>19575</v>
      </c>
      <c r="D8356" s="265" t="s">
        <v>17291</v>
      </c>
      <c r="E8356" s="16" t="s">
        <v>19576</v>
      </c>
      <c r="F8356" s="267" t="s">
        <v>17245</v>
      </c>
      <c r="G8356" s="3" t="s">
        <v>11449</v>
      </c>
      <c r="H8356" s="98">
        <v>0</v>
      </c>
      <c r="I8356" s="16">
        <v>470000000</v>
      </c>
      <c r="J8356" s="16" t="s">
        <v>229</v>
      </c>
      <c r="K8356" s="6" t="s">
        <v>9956</v>
      </c>
      <c r="L8356" s="16" t="s">
        <v>17302</v>
      </c>
      <c r="M8356" s="3" t="s">
        <v>230</v>
      </c>
      <c r="N8356" s="65" t="s">
        <v>19572</v>
      </c>
      <c r="O8356" s="6" t="s">
        <v>17303</v>
      </c>
      <c r="P8356" s="58" t="s">
        <v>241</v>
      </c>
      <c r="Q8356" s="6" t="s">
        <v>234</v>
      </c>
      <c r="R8356" s="6">
        <v>2</v>
      </c>
      <c r="S8356" s="97">
        <v>34440000</v>
      </c>
      <c r="T8356" s="4">
        <f t="shared" ref="T8356" si="561">R8356*S8356</f>
        <v>68880000</v>
      </c>
      <c r="U8356" s="97">
        <f t="shared" si="542"/>
        <v>77145600</v>
      </c>
      <c r="V8356" s="3"/>
      <c r="W8356" s="266">
        <v>2014</v>
      </c>
      <c r="X8356" s="6"/>
    </row>
    <row r="8357" spans="1:24" ht="76.5">
      <c r="A8357" s="3" t="s">
        <v>17234</v>
      </c>
      <c r="B8357" s="6" t="s">
        <v>361</v>
      </c>
      <c r="C8357" s="16" t="s">
        <v>17299</v>
      </c>
      <c r="D8357" s="265" t="s">
        <v>17300</v>
      </c>
      <c r="E8357" s="16" t="s">
        <v>17301</v>
      </c>
      <c r="F8357" s="6" t="s">
        <v>17246</v>
      </c>
      <c r="G8357" s="3" t="s">
        <v>11449</v>
      </c>
      <c r="H8357" s="98">
        <v>0</v>
      </c>
      <c r="I8357" s="16">
        <v>470000000</v>
      </c>
      <c r="J8357" s="16" t="s">
        <v>229</v>
      </c>
      <c r="K8357" s="57" t="s">
        <v>16428</v>
      </c>
      <c r="L8357" s="16" t="s">
        <v>17302</v>
      </c>
      <c r="M8357" s="3" t="s">
        <v>230</v>
      </c>
      <c r="N8357" s="65" t="s">
        <v>17304</v>
      </c>
      <c r="O8357" s="6" t="s">
        <v>17303</v>
      </c>
      <c r="P8357" s="58" t="s">
        <v>241</v>
      </c>
      <c r="Q8357" s="6" t="s">
        <v>234</v>
      </c>
      <c r="R8357" s="6">
        <v>27</v>
      </c>
      <c r="S8357" s="97">
        <v>2831111.1</v>
      </c>
      <c r="T8357" s="4">
        <v>0</v>
      </c>
      <c r="U8357" s="4">
        <f t="shared" si="542"/>
        <v>0</v>
      </c>
      <c r="V8357" s="3"/>
      <c r="W8357" s="266">
        <v>2014</v>
      </c>
      <c r="X8357" s="3">
        <v>11</v>
      </c>
    </row>
    <row r="8358" spans="1:24" ht="76.5">
      <c r="A8358" s="3" t="s">
        <v>18502</v>
      </c>
      <c r="B8358" s="6" t="s">
        <v>361</v>
      </c>
      <c r="C8358" s="16" t="s">
        <v>17299</v>
      </c>
      <c r="D8358" s="265" t="s">
        <v>17300</v>
      </c>
      <c r="E8358" s="16" t="s">
        <v>17301</v>
      </c>
      <c r="F8358" s="6" t="s">
        <v>17246</v>
      </c>
      <c r="G8358" s="3" t="s">
        <v>11449</v>
      </c>
      <c r="H8358" s="98">
        <v>0</v>
      </c>
      <c r="I8358" s="16">
        <v>470000000</v>
      </c>
      <c r="J8358" s="16" t="s">
        <v>229</v>
      </c>
      <c r="K8358" s="6" t="s">
        <v>18748</v>
      </c>
      <c r="L8358" s="16" t="s">
        <v>17302</v>
      </c>
      <c r="M8358" s="3" t="s">
        <v>230</v>
      </c>
      <c r="N8358" s="65" t="s">
        <v>17304</v>
      </c>
      <c r="O8358" s="6" t="s">
        <v>17303</v>
      </c>
      <c r="P8358" s="58" t="s">
        <v>241</v>
      </c>
      <c r="Q8358" s="6" t="s">
        <v>234</v>
      </c>
      <c r="R8358" s="6">
        <v>27</v>
      </c>
      <c r="S8358" s="97">
        <v>2831111.1</v>
      </c>
      <c r="T8358" s="4">
        <v>0</v>
      </c>
      <c r="U8358" s="4">
        <f t="shared" si="542"/>
        <v>0</v>
      </c>
      <c r="V8358" s="3"/>
      <c r="W8358" s="266">
        <v>2014</v>
      </c>
      <c r="X8358" s="3" t="s">
        <v>19491</v>
      </c>
    </row>
    <row r="8359" spans="1:24" ht="76.5">
      <c r="A8359" s="3" t="s">
        <v>19367</v>
      </c>
      <c r="B8359" s="6" t="s">
        <v>361</v>
      </c>
      <c r="C8359" s="16" t="s">
        <v>17299</v>
      </c>
      <c r="D8359" s="265" t="s">
        <v>17300</v>
      </c>
      <c r="E8359" s="16" t="s">
        <v>17301</v>
      </c>
      <c r="F8359" s="6" t="s">
        <v>17246</v>
      </c>
      <c r="G8359" s="3" t="s">
        <v>11449</v>
      </c>
      <c r="H8359" s="98">
        <v>0</v>
      </c>
      <c r="I8359" s="16">
        <v>470000000</v>
      </c>
      <c r="J8359" s="16" t="s">
        <v>229</v>
      </c>
      <c r="K8359" s="6" t="s">
        <v>9956</v>
      </c>
      <c r="L8359" s="17" t="s">
        <v>11411</v>
      </c>
      <c r="M8359" s="3" t="s">
        <v>230</v>
      </c>
      <c r="N8359" s="65" t="s">
        <v>19368</v>
      </c>
      <c r="O8359" s="6" t="s">
        <v>19407</v>
      </c>
      <c r="P8359" s="58" t="s">
        <v>241</v>
      </c>
      <c r="Q8359" s="6" t="s">
        <v>234</v>
      </c>
      <c r="R8359" s="6">
        <v>27</v>
      </c>
      <c r="S8359" s="97">
        <v>2337500</v>
      </c>
      <c r="T8359" s="4">
        <v>0</v>
      </c>
      <c r="U8359" s="4">
        <f t="shared" ref="U8359:U8360" si="562">T8359*1.12</f>
        <v>0</v>
      </c>
      <c r="V8359" s="3"/>
      <c r="W8359" s="266">
        <v>2014</v>
      </c>
      <c r="X8359" s="3" t="s">
        <v>19640</v>
      </c>
    </row>
    <row r="8360" spans="1:24" ht="76.5">
      <c r="A8360" s="3" t="s">
        <v>19577</v>
      </c>
      <c r="B8360" s="6" t="s">
        <v>361</v>
      </c>
      <c r="C8360" s="16" t="s">
        <v>17299</v>
      </c>
      <c r="D8360" s="265" t="s">
        <v>17300</v>
      </c>
      <c r="E8360" s="16" t="s">
        <v>17301</v>
      </c>
      <c r="F8360" s="6" t="s">
        <v>17246</v>
      </c>
      <c r="G8360" s="3" t="s">
        <v>605</v>
      </c>
      <c r="H8360" s="98">
        <v>0.25</v>
      </c>
      <c r="I8360" s="16">
        <v>470000000</v>
      </c>
      <c r="J8360" s="16" t="s">
        <v>229</v>
      </c>
      <c r="K8360" s="6" t="s">
        <v>9956</v>
      </c>
      <c r="L8360" s="17" t="s">
        <v>11411</v>
      </c>
      <c r="M8360" s="3" t="s">
        <v>230</v>
      </c>
      <c r="N8360" s="65" t="s">
        <v>19368</v>
      </c>
      <c r="O8360" s="6" t="s">
        <v>19578</v>
      </c>
      <c r="P8360" s="58" t="s">
        <v>241</v>
      </c>
      <c r="Q8360" s="6" t="s">
        <v>234</v>
      </c>
      <c r="R8360" s="6">
        <v>27</v>
      </c>
      <c r="S8360" s="97">
        <v>2800000</v>
      </c>
      <c r="T8360" s="4">
        <f t="shared" ref="T8360" si="563">R8360*S8360</f>
        <v>75600000</v>
      </c>
      <c r="U8360" s="97">
        <f t="shared" si="562"/>
        <v>84672000.000000015</v>
      </c>
      <c r="V8360" s="3" t="s">
        <v>362</v>
      </c>
      <c r="W8360" s="266">
        <v>2014</v>
      </c>
      <c r="X8360" s="3"/>
    </row>
    <row r="8361" spans="1:24" ht="76.5">
      <c r="A8361" s="3" t="s">
        <v>17235</v>
      </c>
      <c r="B8361" s="6" t="s">
        <v>361</v>
      </c>
      <c r="C8361" s="16" t="s">
        <v>17293</v>
      </c>
      <c r="D8361" s="265" t="s">
        <v>17294</v>
      </c>
      <c r="E8361" s="16" t="s">
        <v>17295</v>
      </c>
      <c r="F8361" s="6" t="s">
        <v>17247</v>
      </c>
      <c r="G8361" s="3" t="s">
        <v>11449</v>
      </c>
      <c r="H8361" s="98">
        <v>0</v>
      </c>
      <c r="I8361" s="16">
        <v>470000000</v>
      </c>
      <c r="J8361" s="16" t="s">
        <v>229</v>
      </c>
      <c r="K8361" s="57" t="s">
        <v>8950</v>
      </c>
      <c r="L8361" s="16" t="s">
        <v>17302</v>
      </c>
      <c r="M8361" s="3" t="s">
        <v>230</v>
      </c>
      <c r="N8361" s="65" t="s">
        <v>17304</v>
      </c>
      <c r="O8361" s="6" t="s">
        <v>17303</v>
      </c>
      <c r="P8361" s="58" t="s">
        <v>241</v>
      </c>
      <c r="Q8361" s="6" t="s">
        <v>234</v>
      </c>
      <c r="R8361" s="6">
        <v>5</v>
      </c>
      <c r="S8361" s="97">
        <v>4200000</v>
      </c>
      <c r="T8361" s="4">
        <v>0</v>
      </c>
      <c r="U8361" s="4">
        <f t="shared" ref="U8361:U8369" si="564">T8361*1.12</f>
        <v>0</v>
      </c>
      <c r="V8361" s="3"/>
      <c r="W8361" s="266">
        <v>2014</v>
      </c>
      <c r="X8361" s="3">
        <v>11</v>
      </c>
    </row>
    <row r="8362" spans="1:24" ht="76.5">
      <c r="A8362" s="3" t="s">
        <v>18503</v>
      </c>
      <c r="B8362" s="6" t="s">
        <v>361</v>
      </c>
      <c r="C8362" s="16" t="s">
        <v>17293</v>
      </c>
      <c r="D8362" s="265" t="s">
        <v>17294</v>
      </c>
      <c r="E8362" s="16" t="s">
        <v>17295</v>
      </c>
      <c r="F8362" s="6" t="s">
        <v>17247</v>
      </c>
      <c r="G8362" s="3" t="s">
        <v>11449</v>
      </c>
      <c r="H8362" s="98">
        <v>0</v>
      </c>
      <c r="I8362" s="16">
        <v>470000000</v>
      </c>
      <c r="J8362" s="16" t="s">
        <v>229</v>
      </c>
      <c r="K8362" s="6" t="s">
        <v>18748</v>
      </c>
      <c r="L8362" s="16" t="s">
        <v>17302</v>
      </c>
      <c r="M8362" s="3" t="s">
        <v>230</v>
      </c>
      <c r="N8362" s="65" t="s">
        <v>17304</v>
      </c>
      <c r="O8362" s="6" t="s">
        <v>17303</v>
      </c>
      <c r="P8362" s="58" t="s">
        <v>241</v>
      </c>
      <c r="Q8362" s="6" t="s">
        <v>234</v>
      </c>
      <c r="R8362" s="6">
        <v>5</v>
      </c>
      <c r="S8362" s="97">
        <v>4200000</v>
      </c>
      <c r="T8362" s="4">
        <v>0</v>
      </c>
      <c r="U8362" s="4">
        <f t="shared" si="564"/>
        <v>0</v>
      </c>
      <c r="V8362" s="3"/>
      <c r="W8362" s="266">
        <v>2014</v>
      </c>
      <c r="X8362" s="6">
        <v>11.14</v>
      </c>
    </row>
    <row r="8363" spans="1:24" ht="76.5">
      <c r="A8363" s="3" t="s">
        <v>19670</v>
      </c>
      <c r="B8363" s="6" t="s">
        <v>361</v>
      </c>
      <c r="C8363" s="16" t="s">
        <v>17293</v>
      </c>
      <c r="D8363" s="265" t="s">
        <v>17294</v>
      </c>
      <c r="E8363" s="16" t="s">
        <v>17295</v>
      </c>
      <c r="F8363" s="6" t="s">
        <v>19579</v>
      </c>
      <c r="G8363" s="3" t="s">
        <v>11449</v>
      </c>
      <c r="H8363" s="98">
        <v>0</v>
      </c>
      <c r="I8363" s="16">
        <v>470000000</v>
      </c>
      <c r="J8363" s="16" t="s">
        <v>229</v>
      </c>
      <c r="K8363" s="6" t="s">
        <v>9956</v>
      </c>
      <c r="L8363" s="16" t="s">
        <v>17302</v>
      </c>
      <c r="M8363" s="3" t="s">
        <v>230</v>
      </c>
      <c r="N8363" s="65" t="s">
        <v>19572</v>
      </c>
      <c r="O8363" s="6" t="s">
        <v>17303</v>
      </c>
      <c r="P8363" s="58" t="s">
        <v>241</v>
      </c>
      <c r="Q8363" s="6" t="s">
        <v>234</v>
      </c>
      <c r="R8363" s="6">
        <v>5</v>
      </c>
      <c r="S8363" s="97">
        <v>4200000</v>
      </c>
      <c r="T8363" s="4">
        <f t="shared" ref="T8363" si="565">R8363*S8363</f>
        <v>21000000</v>
      </c>
      <c r="U8363" s="97">
        <f t="shared" si="564"/>
        <v>23520000.000000004</v>
      </c>
      <c r="V8363" s="3"/>
      <c r="W8363" s="266">
        <v>2014</v>
      </c>
      <c r="X8363" s="6"/>
    </row>
    <row r="8364" spans="1:24" ht="76.5">
      <c r="A8364" s="3" t="s">
        <v>17236</v>
      </c>
      <c r="B8364" s="6" t="s">
        <v>361</v>
      </c>
      <c r="C8364" s="16" t="s">
        <v>8864</v>
      </c>
      <c r="D8364" s="265" t="s">
        <v>8865</v>
      </c>
      <c r="E8364" s="16" t="s">
        <v>8866</v>
      </c>
      <c r="F8364" s="6" t="s">
        <v>8866</v>
      </c>
      <c r="G8364" s="3" t="s">
        <v>11450</v>
      </c>
      <c r="H8364" s="98">
        <v>0.4</v>
      </c>
      <c r="I8364" s="16">
        <v>470000000</v>
      </c>
      <c r="J8364" s="16" t="s">
        <v>229</v>
      </c>
      <c r="K8364" s="57" t="s">
        <v>16428</v>
      </c>
      <c r="L8364" s="16" t="s">
        <v>9171</v>
      </c>
      <c r="M8364" s="3" t="s">
        <v>230</v>
      </c>
      <c r="N8364" s="65" t="s">
        <v>528</v>
      </c>
      <c r="O8364" s="6" t="s">
        <v>17261</v>
      </c>
      <c r="P8364" s="58">
        <v>796</v>
      </c>
      <c r="Q8364" s="6" t="s">
        <v>234</v>
      </c>
      <c r="R8364" s="6">
        <v>650</v>
      </c>
      <c r="S8364" s="97">
        <v>2410.71</v>
      </c>
      <c r="T8364" s="4">
        <f t="shared" ref="T8364:T8380" si="566">R8364*S8364</f>
        <v>1566961.5</v>
      </c>
      <c r="U8364" s="97">
        <f t="shared" si="564"/>
        <v>1754996.8800000001</v>
      </c>
      <c r="V8364" s="3" t="s">
        <v>362</v>
      </c>
      <c r="W8364" s="266">
        <v>2014</v>
      </c>
      <c r="X8364" s="3"/>
    </row>
    <row r="8365" spans="1:24" ht="102">
      <c r="A8365" s="3" t="s">
        <v>17237</v>
      </c>
      <c r="B8365" s="6" t="s">
        <v>361</v>
      </c>
      <c r="C8365" s="284" t="s">
        <v>17253</v>
      </c>
      <c r="D8365" s="265" t="s">
        <v>8869</v>
      </c>
      <c r="E8365" s="16" t="s">
        <v>17254</v>
      </c>
      <c r="F8365" s="16" t="s">
        <v>17255</v>
      </c>
      <c r="G8365" s="3" t="s">
        <v>11450</v>
      </c>
      <c r="H8365" s="98">
        <v>0.4</v>
      </c>
      <c r="I8365" s="16">
        <v>470000000</v>
      </c>
      <c r="J8365" s="16" t="s">
        <v>229</v>
      </c>
      <c r="K8365" s="57" t="s">
        <v>16428</v>
      </c>
      <c r="L8365" s="16" t="s">
        <v>9171</v>
      </c>
      <c r="M8365" s="3" t="s">
        <v>230</v>
      </c>
      <c r="N8365" s="65" t="s">
        <v>528</v>
      </c>
      <c r="O8365" s="6" t="s">
        <v>17261</v>
      </c>
      <c r="P8365" s="58">
        <v>797</v>
      </c>
      <c r="Q8365" s="6" t="s">
        <v>234</v>
      </c>
      <c r="R8365" s="6">
        <v>600</v>
      </c>
      <c r="S8365" s="97">
        <v>5446.42</v>
      </c>
      <c r="T8365" s="4">
        <f t="shared" si="566"/>
        <v>3267852</v>
      </c>
      <c r="U8365" s="97">
        <f t="shared" si="564"/>
        <v>3659994.24</v>
      </c>
      <c r="V8365" s="3" t="s">
        <v>362</v>
      </c>
      <c r="W8365" s="266">
        <v>2014</v>
      </c>
      <c r="X8365" s="3"/>
    </row>
    <row r="8366" spans="1:24" ht="76.5">
      <c r="A8366" s="3" t="s">
        <v>17250</v>
      </c>
      <c r="B8366" s="6" t="s">
        <v>361</v>
      </c>
      <c r="C8366" s="16" t="s">
        <v>17256</v>
      </c>
      <c r="D8366" s="265" t="s">
        <v>18227</v>
      </c>
      <c r="E8366" s="16" t="s">
        <v>17257</v>
      </c>
      <c r="F8366" s="16" t="s">
        <v>17249</v>
      </c>
      <c r="G8366" s="3" t="s">
        <v>605</v>
      </c>
      <c r="H8366" s="98">
        <v>0</v>
      </c>
      <c r="I8366" s="16">
        <v>470000000</v>
      </c>
      <c r="J8366" s="16" t="s">
        <v>229</v>
      </c>
      <c r="K8366" s="57" t="s">
        <v>16428</v>
      </c>
      <c r="L8366" s="16" t="s">
        <v>9171</v>
      </c>
      <c r="M8366" s="3" t="s">
        <v>230</v>
      </c>
      <c r="N8366" s="65" t="s">
        <v>528</v>
      </c>
      <c r="O8366" s="6" t="s">
        <v>17205</v>
      </c>
      <c r="P8366" s="58">
        <v>796</v>
      </c>
      <c r="Q8366" s="6" t="s">
        <v>234</v>
      </c>
      <c r="R8366" s="6">
        <v>5</v>
      </c>
      <c r="S8366" s="97">
        <v>20089.28</v>
      </c>
      <c r="T8366" s="4">
        <f t="shared" si="566"/>
        <v>100446.39999999999</v>
      </c>
      <c r="U8366" s="97">
        <f t="shared" si="564"/>
        <v>112499.96800000001</v>
      </c>
      <c r="V8366" s="3"/>
      <c r="W8366" s="266">
        <v>2014</v>
      </c>
      <c r="X8366" s="3"/>
    </row>
    <row r="8367" spans="1:24" ht="76.5">
      <c r="A8367" s="3" t="s">
        <v>17251</v>
      </c>
      <c r="B8367" s="6" t="s">
        <v>361</v>
      </c>
      <c r="C8367" s="16" t="s">
        <v>17258</v>
      </c>
      <c r="D8367" s="265" t="s">
        <v>18228</v>
      </c>
      <c r="E8367" s="16" t="s">
        <v>17259</v>
      </c>
      <c r="F8367" s="16" t="s">
        <v>17260</v>
      </c>
      <c r="G8367" s="3" t="s">
        <v>605</v>
      </c>
      <c r="H8367" s="98">
        <v>0</v>
      </c>
      <c r="I8367" s="16">
        <v>470000000</v>
      </c>
      <c r="J8367" s="16" t="s">
        <v>229</v>
      </c>
      <c r="K8367" s="57" t="s">
        <v>16428</v>
      </c>
      <c r="L8367" s="16" t="s">
        <v>9171</v>
      </c>
      <c r="M8367" s="3" t="s">
        <v>230</v>
      </c>
      <c r="N8367" s="65" t="s">
        <v>528</v>
      </c>
      <c r="O8367" s="6" t="s">
        <v>17205</v>
      </c>
      <c r="P8367" s="58">
        <v>796</v>
      </c>
      <c r="Q8367" s="6" t="s">
        <v>234</v>
      </c>
      <c r="R8367" s="6">
        <v>50</v>
      </c>
      <c r="S8367" s="97">
        <v>5580.3519999999999</v>
      </c>
      <c r="T8367" s="4">
        <f t="shared" si="566"/>
        <v>279017.59999999998</v>
      </c>
      <c r="U8367" s="97">
        <f t="shared" si="564"/>
        <v>312499.712</v>
      </c>
      <c r="V8367" s="3"/>
      <c r="W8367" s="266">
        <v>2014</v>
      </c>
      <c r="X8367" s="3"/>
    </row>
    <row r="8368" spans="1:24" ht="76.5">
      <c r="A8368" s="3" t="s">
        <v>17252</v>
      </c>
      <c r="B8368" s="6" t="s">
        <v>361</v>
      </c>
      <c r="C8368" s="16" t="s">
        <v>9212</v>
      </c>
      <c r="D8368" s="265" t="s">
        <v>9213</v>
      </c>
      <c r="E8368" s="16" t="s">
        <v>9214</v>
      </c>
      <c r="F8368" s="16" t="s">
        <v>9214</v>
      </c>
      <c r="G8368" s="3" t="s">
        <v>605</v>
      </c>
      <c r="H8368" s="98">
        <v>0</v>
      </c>
      <c r="I8368" s="16">
        <v>470000000</v>
      </c>
      <c r="J8368" s="16" t="s">
        <v>229</v>
      </c>
      <c r="K8368" s="57" t="s">
        <v>16428</v>
      </c>
      <c r="L8368" s="16" t="s">
        <v>9171</v>
      </c>
      <c r="M8368" s="3" t="s">
        <v>230</v>
      </c>
      <c r="N8368" s="65" t="s">
        <v>528</v>
      </c>
      <c r="O8368" s="6" t="s">
        <v>17205</v>
      </c>
      <c r="P8368" s="58" t="s">
        <v>248</v>
      </c>
      <c r="Q8368" s="6" t="s">
        <v>14564</v>
      </c>
      <c r="R8368" s="6">
        <v>50</v>
      </c>
      <c r="S8368" s="97">
        <v>2942.45</v>
      </c>
      <c r="T8368" s="4">
        <f t="shared" si="566"/>
        <v>147122.5</v>
      </c>
      <c r="U8368" s="97">
        <f t="shared" si="564"/>
        <v>164777.20000000001</v>
      </c>
      <c r="V8368" s="3"/>
      <c r="W8368" s="266">
        <v>2014</v>
      </c>
      <c r="X8368" s="3"/>
    </row>
    <row r="8369" spans="1:24" ht="102">
      <c r="A8369" s="3" t="s">
        <v>17322</v>
      </c>
      <c r="B8369" s="6" t="s">
        <v>361</v>
      </c>
      <c r="C8369" s="16" t="s">
        <v>17324</v>
      </c>
      <c r="D8369" s="265" t="s">
        <v>17325</v>
      </c>
      <c r="E8369" s="16" t="s">
        <v>17326</v>
      </c>
      <c r="F8369" s="16" t="s">
        <v>17323</v>
      </c>
      <c r="G8369" s="3" t="s">
        <v>11450</v>
      </c>
      <c r="H8369" s="98">
        <v>0</v>
      </c>
      <c r="I8369" s="16">
        <v>470000000</v>
      </c>
      <c r="J8369" s="16" t="s">
        <v>229</v>
      </c>
      <c r="K8369" s="57" t="s">
        <v>8950</v>
      </c>
      <c r="L8369" s="17" t="s">
        <v>11411</v>
      </c>
      <c r="M8369" s="3" t="s">
        <v>230</v>
      </c>
      <c r="N8369" s="65" t="s">
        <v>528</v>
      </c>
      <c r="O8369" s="6" t="s">
        <v>17205</v>
      </c>
      <c r="P8369" s="58" t="s">
        <v>243</v>
      </c>
      <c r="Q8369" s="6" t="s">
        <v>244</v>
      </c>
      <c r="R8369" s="6">
        <v>3500</v>
      </c>
      <c r="S8369" s="97">
        <v>237</v>
      </c>
      <c r="T8369" s="4">
        <f t="shared" si="566"/>
        <v>829500</v>
      </c>
      <c r="U8369" s="97">
        <f t="shared" si="564"/>
        <v>929040.00000000012</v>
      </c>
      <c r="V8369" s="3"/>
      <c r="W8369" s="266">
        <v>2014</v>
      </c>
      <c r="X8369" s="3"/>
    </row>
    <row r="8370" spans="1:24" ht="89.25">
      <c r="A8370" s="3" t="s">
        <v>17327</v>
      </c>
      <c r="B8370" s="6" t="s">
        <v>361</v>
      </c>
      <c r="C8370" s="161" t="s">
        <v>571</v>
      </c>
      <c r="D8370" s="161" t="s">
        <v>572</v>
      </c>
      <c r="E8370" s="161" t="s">
        <v>573</v>
      </c>
      <c r="F8370" s="6" t="s">
        <v>17329</v>
      </c>
      <c r="G8370" s="3" t="s">
        <v>11450</v>
      </c>
      <c r="H8370" s="54">
        <v>0</v>
      </c>
      <c r="I8370" s="16">
        <v>470000000</v>
      </c>
      <c r="J8370" s="157" t="s">
        <v>229</v>
      </c>
      <c r="K8370" s="5" t="s">
        <v>16428</v>
      </c>
      <c r="L8370" s="17" t="s">
        <v>11411</v>
      </c>
      <c r="M8370" s="3" t="s">
        <v>230</v>
      </c>
      <c r="N8370" s="65" t="s">
        <v>528</v>
      </c>
      <c r="O8370" s="6" t="s">
        <v>17205</v>
      </c>
      <c r="P8370" s="58">
        <v>796</v>
      </c>
      <c r="Q8370" s="6" t="s">
        <v>234</v>
      </c>
      <c r="R8370" s="18">
        <v>4</v>
      </c>
      <c r="S8370" s="13">
        <v>44400</v>
      </c>
      <c r="T8370" s="4">
        <f t="shared" si="566"/>
        <v>177600</v>
      </c>
      <c r="U8370" s="4">
        <f>T8370*1.12</f>
        <v>198912.00000000003</v>
      </c>
      <c r="V8370" s="3"/>
      <c r="W8370" s="3">
        <v>2014</v>
      </c>
      <c r="X8370" s="3"/>
    </row>
    <row r="8371" spans="1:24" ht="76.5">
      <c r="A8371" s="3" t="s">
        <v>17328</v>
      </c>
      <c r="B8371" s="6" t="s">
        <v>361</v>
      </c>
      <c r="C8371" s="161" t="s">
        <v>11619</v>
      </c>
      <c r="D8371" s="161" t="s">
        <v>11620</v>
      </c>
      <c r="E8371" s="161" t="s">
        <v>11621</v>
      </c>
      <c r="F8371" s="3" t="s">
        <v>17330</v>
      </c>
      <c r="G8371" s="3" t="s">
        <v>11450</v>
      </c>
      <c r="H8371" s="54">
        <v>0</v>
      </c>
      <c r="I8371" s="16">
        <v>470000000</v>
      </c>
      <c r="J8371" s="157" t="s">
        <v>229</v>
      </c>
      <c r="K8371" s="5" t="s">
        <v>16428</v>
      </c>
      <c r="L8371" s="17" t="s">
        <v>11411</v>
      </c>
      <c r="M8371" s="3" t="s">
        <v>230</v>
      </c>
      <c r="N8371" s="65" t="s">
        <v>528</v>
      </c>
      <c r="O8371" s="6" t="s">
        <v>17205</v>
      </c>
      <c r="P8371" s="58">
        <v>796</v>
      </c>
      <c r="Q8371" s="6" t="s">
        <v>234</v>
      </c>
      <c r="R8371" s="18">
        <v>3</v>
      </c>
      <c r="S8371" s="13">
        <v>48720</v>
      </c>
      <c r="T8371" s="4">
        <f t="shared" si="566"/>
        <v>146160</v>
      </c>
      <c r="U8371" s="4">
        <f t="shared" ref="U8371:U8436" si="567">T8371*1.12</f>
        <v>163699.20000000001</v>
      </c>
      <c r="V8371" s="3"/>
      <c r="W8371" s="3">
        <v>2014</v>
      </c>
      <c r="X8371" s="3"/>
    </row>
    <row r="8372" spans="1:24" ht="76.5">
      <c r="A8372" s="3" t="s">
        <v>17331</v>
      </c>
      <c r="B8372" s="6" t="s">
        <v>361</v>
      </c>
      <c r="C8372" s="161" t="s">
        <v>574</v>
      </c>
      <c r="D8372" s="161" t="s">
        <v>575</v>
      </c>
      <c r="E8372" s="161" t="s">
        <v>576</v>
      </c>
      <c r="F8372" s="6" t="s">
        <v>40</v>
      </c>
      <c r="G8372" s="3" t="s">
        <v>11450</v>
      </c>
      <c r="H8372" s="54">
        <v>0</v>
      </c>
      <c r="I8372" s="16">
        <v>470000000</v>
      </c>
      <c r="J8372" s="157" t="s">
        <v>229</v>
      </c>
      <c r="K8372" s="5" t="s">
        <v>16428</v>
      </c>
      <c r="L8372" s="17" t="s">
        <v>11411</v>
      </c>
      <c r="M8372" s="3" t="s">
        <v>230</v>
      </c>
      <c r="N8372" s="65" t="s">
        <v>528</v>
      </c>
      <c r="O8372" s="6" t="s">
        <v>17205</v>
      </c>
      <c r="P8372" s="58">
        <v>796</v>
      </c>
      <c r="Q8372" s="6" t="s">
        <v>234</v>
      </c>
      <c r="R8372" s="18">
        <v>80</v>
      </c>
      <c r="S8372" s="13">
        <v>1320</v>
      </c>
      <c r="T8372" s="4">
        <f t="shared" si="566"/>
        <v>105600</v>
      </c>
      <c r="U8372" s="4">
        <f t="shared" si="567"/>
        <v>118272.00000000001</v>
      </c>
      <c r="V8372" s="3"/>
      <c r="W8372" s="3">
        <v>2014</v>
      </c>
      <c r="X8372" s="3"/>
    </row>
    <row r="8373" spans="1:24" ht="76.5">
      <c r="A8373" s="3" t="s">
        <v>17332</v>
      </c>
      <c r="B8373" s="6" t="s">
        <v>361</v>
      </c>
      <c r="C8373" s="161" t="s">
        <v>11622</v>
      </c>
      <c r="D8373" s="6" t="s">
        <v>585</v>
      </c>
      <c r="E8373" s="6" t="s">
        <v>10151</v>
      </c>
      <c r="F8373" s="7" t="s">
        <v>17333</v>
      </c>
      <c r="G8373" s="3" t="s">
        <v>11450</v>
      </c>
      <c r="H8373" s="54">
        <v>0</v>
      </c>
      <c r="I8373" s="16">
        <v>470000000</v>
      </c>
      <c r="J8373" s="157" t="s">
        <v>229</v>
      </c>
      <c r="K8373" s="5" t="s">
        <v>16428</v>
      </c>
      <c r="L8373" s="17" t="s">
        <v>11411</v>
      </c>
      <c r="M8373" s="3" t="s">
        <v>230</v>
      </c>
      <c r="N8373" s="65" t="s">
        <v>528</v>
      </c>
      <c r="O8373" s="6" t="s">
        <v>17205</v>
      </c>
      <c r="P8373" s="58">
        <v>796</v>
      </c>
      <c r="Q8373" s="6" t="s">
        <v>234</v>
      </c>
      <c r="R8373" s="18">
        <v>25</v>
      </c>
      <c r="S8373" s="13">
        <v>25800</v>
      </c>
      <c r="T8373" s="4">
        <f t="shared" si="566"/>
        <v>645000</v>
      </c>
      <c r="U8373" s="4">
        <f t="shared" si="567"/>
        <v>722400.00000000012</v>
      </c>
      <c r="V8373" s="3"/>
      <c r="W8373" s="3">
        <v>2014</v>
      </c>
      <c r="X8373" s="3"/>
    </row>
    <row r="8374" spans="1:24" ht="76.5">
      <c r="A8374" s="3" t="s">
        <v>17334</v>
      </c>
      <c r="B8374" s="6" t="s">
        <v>361</v>
      </c>
      <c r="C8374" s="6" t="s">
        <v>593</v>
      </c>
      <c r="D8374" s="6" t="s">
        <v>45</v>
      </c>
      <c r="E8374" s="6" t="s">
        <v>594</v>
      </c>
      <c r="F8374" s="8" t="s">
        <v>17335</v>
      </c>
      <c r="G8374" s="3" t="s">
        <v>11450</v>
      </c>
      <c r="H8374" s="54">
        <v>0</v>
      </c>
      <c r="I8374" s="16">
        <v>470000000</v>
      </c>
      <c r="J8374" s="157" t="s">
        <v>229</v>
      </c>
      <c r="K8374" s="5" t="s">
        <v>16428</v>
      </c>
      <c r="L8374" s="17" t="s">
        <v>11411</v>
      </c>
      <c r="M8374" s="3" t="s">
        <v>230</v>
      </c>
      <c r="N8374" s="65" t="s">
        <v>528</v>
      </c>
      <c r="O8374" s="6" t="s">
        <v>17205</v>
      </c>
      <c r="P8374" s="58">
        <v>796</v>
      </c>
      <c r="Q8374" s="6" t="s">
        <v>234</v>
      </c>
      <c r="R8374" s="18">
        <v>10</v>
      </c>
      <c r="S8374" s="13">
        <v>2040</v>
      </c>
      <c r="T8374" s="4">
        <f t="shared" si="566"/>
        <v>20400</v>
      </c>
      <c r="U8374" s="4">
        <f t="shared" si="567"/>
        <v>22848.000000000004</v>
      </c>
      <c r="V8374" s="3"/>
      <c r="W8374" s="3">
        <v>2014</v>
      </c>
      <c r="X8374" s="3"/>
    </row>
    <row r="8375" spans="1:24" ht="76.5">
      <c r="A8375" s="3" t="s">
        <v>17336</v>
      </c>
      <c r="B8375" s="6" t="s">
        <v>361</v>
      </c>
      <c r="C8375" s="6" t="s">
        <v>593</v>
      </c>
      <c r="D8375" s="6" t="s">
        <v>45</v>
      </c>
      <c r="E8375" s="6" t="s">
        <v>594</v>
      </c>
      <c r="F8375" s="6" t="s">
        <v>17339</v>
      </c>
      <c r="G8375" s="3" t="s">
        <v>11450</v>
      </c>
      <c r="H8375" s="54">
        <v>0</v>
      </c>
      <c r="I8375" s="16">
        <v>470000000</v>
      </c>
      <c r="J8375" s="157" t="s">
        <v>229</v>
      </c>
      <c r="K8375" s="5" t="s">
        <v>16428</v>
      </c>
      <c r="L8375" s="17" t="s">
        <v>11411</v>
      </c>
      <c r="M8375" s="3" t="s">
        <v>230</v>
      </c>
      <c r="N8375" s="65" t="s">
        <v>528</v>
      </c>
      <c r="O8375" s="6" t="s">
        <v>17205</v>
      </c>
      <c r="P8375" s="58">
        <v>796</v>
      </c>
      <c r="Q8375" s="6" t="s">
        <v>234</v>
      </c>
      <c r="R8375" s="18">
        <v>5</v>
      </c>
      <c r="S8375" s="13">
        <v>1440</v>
      </c>
      <c r="T8375" s="4">
        <f t="shared" si="566"/>
        <v>7200</v>
      </c>
      <c r="U8375" s="4">
        <f t="shared" si="567"/>
        <v>8064.0000000000009</v>
      </c>
      <c r="V8375" s="3"/>
      <c r="W8375" s="3">
        <v>2014</v>
      </c>
      <c r="X8375" s="3"/>
    </row>
    <row r="8376" spans="1:24" ht="76.5">
      <c r="A8376" s="3" t="s">
        <v>17337</v>
      </c>
      <c r="B8376" s="6" t="s">
        <v>361</v>
      </c>
      <c r="C8376" s="6" t="s">
        <v>599</v>
      </c>
      <c r="D8376" s="6" t="s">
        <v>11623</v>
      </c>
      <c r="E8376" s="6" t="s">
        <v>11624</v>
      </c>
      <c r="F8376" s="6" t="s">
        <v>17340</v>
      </c>
      <c r="G8376" s="3" t="s">
        <v>11450</v>
      </c>
      <c r="H8376" s="54">
        <v>0</v>
      </c>
      <c r="I8376" s="16">
        <v>470000000</v>
      </c>
      <c r="J8376" s="157" t="s">
        <v>229</v>
      </c>
      <c r="K8376" s="5" t="s">
        <v>16428</v>
      </c>
      <c r="L8376" s="17" t="s">
        <v>11411</v>
      </c>
      <c r="M8376" s="3" t="s">
        <v>230</v>
      </c>
      <c r="N8376" s="65" t="s">
        <v>528</v>
      </c>
      <c r="O8376" s="6" t="s">
        <v>17205</v>
      </c>
      <c r="P8376" s="58">
        <v>796</v>
      </c>
      <c r="Q8376" s="6" t="s">
        <v>234</v>
      </c>
      <c r="R8376" s="18">
        <v>15</v>
      </c>
      <c r="S8376" s="4">
        <v>71280</v>
      </c>
      <c r="T8376" s="4">
        <f t="shared" si="566"/>
        <v>1069200</v>
      </c>
      <c r="U8376" s="4">
        <f t="shared" si="567"/>
        <v>1197504</v>
      </c>
      <c r="V8376" s="3"/>
      <c r="W8376" s="3">
        <v>2014</v>
      </c>
      <c r="X8376" s="3"/>
    </row>
    <row r="8377" spans="1:24" ht="76.5">
      <c r="A8377" s="3" t="s">
        <v>17338</v>
      </c>
      <c r="B8377" s="6" t="s">
        <v>361</v>
      </c>
      <c r="C8377" s="24" t="s">
        <v>2979</v>
      </c>
      <c r="D8377" s="6" t="s">
        <v>600</v>
      </c>
      <c r="E8377" s="6" t="s">
        <v>2980</v>
      </c>
      <c r="F8377" s="6" t="s">
        <v>17341</v>
      </c>
      <c r="G8377" s="3" t="s">
        <v>11450</v>
      </c>
      <c r="H8377" s="54">
        <v>0</v>
      </c>
      <c r="I8377" s="16">
        <v>470000000</v>
      </c>
      <c r="J8377" s="157" t="s">
        <v>229</v>
      </c>
      <c r="K8377" s="5" t="s">
        <v>16428</v>
      </c>
      <c r="L8377" s="17" t="s">
        <v>11411</v>
      </c>
      <c r="M8377" s="3" t="s">
        <v>230</v>
      </c>
      <c r="N8377" s="65" t="s">
        <v>528</v>
      </c>
      <c r="O8377" s="6" t="s">
        <v>17205</v>
      </c>
      <c r="P8377" s="58">
        <v>796</v>
      </c>
      <c r="Q8377" s="6" t="s">
        <v>234</v>
      </c>
      <c r="R8377" s="18">
        <v>15</v>
      </c>
      <c r="S8377" s="4">
        <v>54240</v>
      </c>
      <c r="T8377" s="4">
        <f t="shared" si="566"/>
        <v>813600</v>
      </c>
      <c r="U8377" s="4">
        <f t="shared" si="567"/>
        <v>911232.00000000012</v>
      </c>
      <c r="V8377" s="3"/>
      <c r="W8377" s="3">
        <v>2014</v>
      </c>
      <c r="X8377" s="3"/>
    </row>
    <row r="8378" spans="1:24" ht="76.5">
      <c r="A8378" s="3" t="s">
        <v>17342</v>
      </c>
      <c r="B8378" s="6" t="s">
        <v>361</v>
      </c>
      <c r="C8378" s="6" t="s">
        <v>2993</v>
      </c>
      <c r="D8378" s="6" t="s">
        <v>2994</v>
      </c>
      <c r="E8378" s="6" t="s">
        <v>2995</v>
      </c>
      <c r="F8378" s="6" t="s">
        <v>2989</v>
      </c>
      <c r="G8378" s="3" t="s">
        <v>11450</v>
      </c>
      <c r="H8378" s="54">
        <v>0</v>
      </c>
      <c r="I8378" s="16">
        <v>470000000</v>
      </c>
      <c r="J8378" s="157" t="s">
        <v>229</v>
      </c>
      <c r="K8378" s="5" t="s">
        <v>16428</v>
      </c>
      <c r="L8378" s="17" t="s">
        <v>11411</v>
      </c>
      <c r="M8378" s="3" t="s">
        <v>230</v>
      </c>
      <c r="N8378" s="65" t="s">
        <v>528</v>
      </c>
      <c r="O8378" s="6" t="s">
        <v>17205</v>
      </c>
      <c r="P8378" s="58">
        <v>796</v>
      </c>
      <c r="Q8378" s="6" t="s">
        <v>234</v>
      </c>
      <c r="R8378" s="18">
        <v>10</v>
      </c>
      <c r="S8378" s="4">
        <v>2640</v>
      </c>
      <c r="T8378" s="4">
        <f t="shared" si="566"/>
        <v>26400</v>
      </c>
      <c r="U8378" s="4">
        <f t="shared" si="567"/>
        <v>29568.000000000004</v>
      </c>
      <c r="V8378" s="3"/>
      <c r="W8378" s="3">
        <v>2014</v>
      </c>
      <c r="X8378" s="3"/>
    </row>
    <row r="8379" spans="1:24" ht="76.5">
      <c r="A8379" s="3" t="s">
        <v>17343</v>
      </c>
      <c r="B8379" s="6" t="s">
        <v>361</v>
      </c>
      <c r="C8379" s="6" t="s">
        <v>2993</v>
      </c>
      <c r="D8379" s="6" t="s">
        <v>2994</v>
      </c>
      <c r="E8379" s="6" t="s">
        <v>2995</v>
      </c>
      <c r="F8379" s="6" t="s">
        <v>2988</v>
      </c>
      <c r="G8379" s="3" t="s">
        <v>11450</v>
      </c>
      <c r="H8379" s="54">
        <v>0</v>
      </c>
      <c r="I8379" s="16">
        <v>470000000</v>
      </c>
      <c r="J8379" s="157" t="s">
        <v>229</v>
      </c>
      <c r="K8379" s="5" t="s">
        <v>16428</v>
      </c>
      <c r="L8379" s="17" t="s">
        <v>11411</v>
      </c>
      <c r="M8379" s="3" t="s">
        <v>230</v>
      </c>
      <c r="N8379" s="65" t="s">
        <v>528</v>
      </c>
      <c r="O8379" s="6" t="s">
        <v>17205</v>
      </c>
      <c r="P8379" s="58">
        <v>796</v>
      </c>
      <c r="Q8379" s="6" t="s">
        <v>234</v>
      </c>
      <c r="R8379" s="18">
        <v>10</v>
      </c>
      <c r="S8379" s="4">
        <v>2640</v>
      </c>
      <c r="T8379" s="4">
        <f t="shared" si="566"/>
        <v>26400</v>
      </c>
      <c r="U8379" s="4">
        <f t="shared" si="567"/>
        <v>29568.000000000004</v>
      </c>
      <c r="V8379" s="3"/>
      <c r="W8379" s="3">
        <v>2014</v>
      </c>
      <c r="X8379" s="3"/>
    </row>
    <row r="8380" spans="1:24" ht="76.5">
      <c r="A8380" s="3" t="s">
        <v>17344</v>
      </c>
      <c r="B8380" s="6" t="s">
        <v>361</v>
      </c>
      <c r="C8380" s="6" t="s">
        <v>2993</v>
      </c>
      <c r="D8380" s="6" t="s">
        <v>2994</v>
      </c>
      <c r="E8380" s="6" t="s">
        <v>2995</v>
      </c>
      <c r="F8380" s="6" t="s">
        <v>2996</v>
      </c>
      <c r="G8380" s="3" t="s">
        <v>11450</v>
      </c>
      <c r="H8380" s="54">
        <v>0</v>
      </c>
      <c r="I8380" s="16">
        <v>470000000</v>
      </c>
      <c r="J8380" s="157" t="s">
        <v>229</v>
      </c>
      <c r="K8380" s="5" t="s">
        <v>16428</v>
      </c>
      <c r="L8380" s="17" t="s">
        <v>11411</v>
      </c>
      <c r="M8380" s="3" t="s">
        <v>230</v>
      </c>
      <c r="N8380" s="65" t="s">
        <v>528</v>
      </c>
      <c r="O8380" s="6" t="s">
        <v>17205</v>
      </c>
      <c r="P8380" s="58">
        <v>796</v>
      </c>
      <c r="Q8380" s="6" t="s">
        <v>234</v>
      </c>
      <c r="R8380" s="18">
        <v>10</v>
      </c>
      <c r="S8380" s="4">
        <v>2640</v>
      </c>
      <c r="T8380" s="4">
        <f t="shared" si="566"/>
        <v>26400</v>
      </c>
      <c r="U8380" s="4">
        <f t="shared" si="567"/>
        <v>29568.000000000004</v>
      </c>
      <c r="V8380" s="3"/>
      <c r="W8380" s="3">
        <v>2014</v>
      </c>
      <c r="X8380" s="3"/>
    </row>
    <row r="8381" spans="1:24" ht="89.25">
      <c r="A8381" s="3" t="s">
        <v>17360</v>
      </c>
      <c r="B8381" s="6" t="s">
        <v>361</v>
      </c>
      <c r="C8381" s="6" t="s">
        <v>17362</v>
      </c>
      <c r="D8381" s="6" t="s">
        <v>3014</v>
      </c>
      <c r="E8381" s="6" t="s">
        <v>17363</v>
      </c>
      <c r="F8381" s="6" t="s">
        <v>17361</v>
      </c>
      <c r="G8381" s="3" t="s">
        <v>11449</v>
      </c>
      <c r="H8381" s="54">
        <v>0.64</v>
      </c>
      <c r="I8381" s="16">
        <v>470000000</v>
      </c>
      <c r="J8381" s="157" t="s">
        <v>229</v>
      </c>
      <c r="K8381" s="5" t="s">
        <v>212</v>
      </c>
      <c r="L8381" s="6" t="s">
        <v>12251</v>
      </c>
      <c r="M8381" s="3" t="s">
        <v>12250</v>
      </c>
      <c r="N8381" s="6" t="s">
        <v>7685</v>
      </c>
      <c r="O8381" s="6" t="s">
        <v>233</v>
      </c>
      <c r="P8381" s="58">
        <v>796</v>
      </c>
      <c r="Q8381" s="6" t="s">
        <v>234</v>
      </c>
      <c r="R8381" s="19">
        <v>2</v>
      </c>
      <c r="S8381" s="2">
        <v>185960.88</v>
      </c>
      <c r="T8381" s="4">
        <v>0</v>
      </c>
      <c r="U8381" s="4">
        <f t="shared" si="567"/>
        <v>0</v>
      </c>
      <c r="V8381" s="3" t="s">
        <v>362</v>
      </c>
      <c r="W8381" s="3">
        <v>2014</v>
      </c>
      <c r="X8381" s="3" t="s">
        <v>12076</v>
      </c>
    </row>
    <row r="8382" spans="1:24" ht="89.25">
      <c r="A8382" s="3" t="s">
        <v>17365</v>
      </c>
      <c r="B8382" s="6" t="s">
        <v>361</v>
      </c>
      <c r="C8382" s="6" t="s">
        <v>17367</v>
      </c>
      <c r="D8382" s="6" t="s">
        <v>3014</v>
      </c>
      <c r="E8382" s="6" t="s">
        <v>17368</v>
      </c>
      <c r="F8382" s="6" t="s">
        <v>17366</v>
      </c>
      <c r="G8382" s="3" t="s">
        <v>11449</v>
      </c>
      <c r="H8382" s="54">
        <v>0.64</v>
      </c>
      <c r="I8382" s="16">
        <v>470000000</v>
      </c>
      <c r="J8382" s="157" t="s">
        <v>229</v>
      </c>
      <c r="K8382" s="5" t="s">
        <v>212</v>
      </c>
      <c r="L8382" s="6" t="s">
        <v>12251</v>
      </c>
      <c r="M8382" s="3" t="s">
        <v>12250</v>
      </c>
      <c r="N8382" s="6" t="s">
        <v>7685</v>
      </c>
      <c r="O8382" s="6" t="s">
        <v>233</v>
      </c>
      <c r="P8382" s="58">
        <v>796</v>
      </c>
      <c r="Q8382" s="6" t="s">
        <v>234</v>
      </c>
      <c r="R8382" s="19">
        <v>3</v>
      </c>
      <c r="S8382" s="2">
        <v>165888</v>
      </c>
      <c r="T8382" s="4">
        <v>0</v>
      </c>
      <c r="U8382" s="4">
        <f t="shared" si="567"/>
        <v>0</v>
      </c>
      <c r="V8382" s="3" t="s">
        <v>362</v>
      </c>
      <c r="W8382" s="3">
        <v>2014</v>
      </c>
      <c r="X8382" s="3" t="s">
        <v>12062</v>
      </c>
    </row>
    <row r="8383" spans="1:24" ht="89.25">
      <c r="A8383" s="3" t="s">
        <v>18742</v>
      </c>
      <c r="B8383" s="6" t="s">
        <v>361</v>
      </c>
      <c r="C8383" s="6" t="s">
        <v>17367</v>
      </c>
      <c r="D8383" s="6" t="s">
        <v>3014</v>
      </c>
      <c r="E8383" s="6" t="s">
        <v>17368</v>
      </c>
      <c r="F8383" s="6" t="s">
        <v>17366</v>
      </c>
      <c r="G8383" s="3" t="s">
        <v>11449</v>
      </c>
      <c r="H8383" s="54">
        <v>0.64</v>
      </c>
      <c r="I8383" s="16">
        <v>470000000</v>
      </c>
      <c r="J8383" s="157" t="s">
        <v>229</v>
      </c>
      <c r="K8383" s="5" t="s">
        <v>212</v>
      </c>
      <c r="L8383" s="6" t="s">
        <v>12251</v>
      </c>
      <c r="M8383" s="3" t="s">
        <v>12250</v>
      </c>
      <c r="N8383" s="6" t="s">
        <v>7685</v>
      </c>
      <c r="O8383" s="6" t="s">
        <v>233</v>
      </c>
      <c r="P8383" s="58">
        <v>796</v>
      </c>
      <c r="Q8383" s="6" t="s">
        <v>234</v>
      </c>
      <c r="R8383" s="19">
        <v>1</v>
      </c>
      <c r="S8383" s="2">
        <v>165888</v>
      </c>
      <c r="T8383" s="4">
        <f t="shared" ref="T8383:T8386" si="568">R8383*S8383</f>
        <v>165888</v>
      </c>
      <c r="U8383" s="4">
        <f t="shared" si="567"/>
        <v>185794.56000000003</v>
      </c>
      <c r="V8383" s="3" t="s">
        <v>362</v>
      </c>
      <c r="W8383" s="3">
        <v>2014</v>
      </c>
      <c r="X8383" s="3"/>
    </row>
    <row r="8384" spans="1:24" ht="89.25">
      <c r="A8384" s="3" t="s">
        <v>17404</v>
      </c>
      <c r="B8384" s="6" t="s">
        <v>361</v>
      </c>
      <c r="C8384" s="6" t="s">
        <v>14145</v>
      </c>
      <c r="D8384" s="6" t="s">
        <v>255</v>
      </c>
      <c r="E8384" s="6" t="s">
        <v>14146</v>
      </c>
      <c r="F8384" s="6" t="s">
        <v>3059</v>
      </c>
      <c r="G8384" s="3" t="s">
        <v>11450</v>
      </c>
      <c r="H8384" s="54">
        <v>0</v>
      </c>
      <c r="I8384" s="16">
        <v>470000000</v>
      </c>
      <c r="J8384" s="157" t="s">
        <v>229</v>
      </c>
      <c r="K8384" s="5" t="s">
        <v>8950</v>
      </c>
      <c r="L8384" s="17" t="s">
        <v>11411</v>
      </c>
      <c r="M8384" s="3" t="s">
        <v>230</v>
      </c>
      <c r="N8384" s="65" t="s">
        <v>528</v>
      </c>
      <c r="O8384" s="6" t="s">
        <v>233</v>
      </c>
      <c r="P8384" s="58">
        <v>168</v>
      </c>
      <c r="Q8384" s="6" t="s">
        <v>240</v>
      </c>
      <c r="R8384" s="118">
        <v>2.4</v>
      </c>
      <c r="S8384" s="2">
        <v>173320</v>
      </c>
      <c r="T8384" s="4">
        <f t="shared" si="568"/>
        <v>415968</v>
      </c>
      <c r="U8384" s="4">
        <f t="shared" si="567"/>
        <v>465884.16000000003</v>
      </c>
      <c r="V8384" s="3" t="s">
        <v>362</v>
      </c>
      <c r="W8384" s="3">
        <v>2014</v>
      </c>
      <c r="X8384" s="3"/>
    </row>
    <row r="8385" spans="1:24" ht="89.25">
      <c r="A8385" s="3" t="s">
        <v>17479</v>
      </c>
      <c r="B8385" s="6" t="s">
        <v>361</v>
      </c>
      <c r="C8385" s="6" t="s">
        <v>7650</v>
      </c>
      <c r="D8385" s="6" t="s">
        <v>255</v>
      </c>
      <c r="E8385" s="6" t="s">
        <v>7651</v>
      </c>
      <c r="F8385" s="6" t="s">
        <v>17480</v>
      </c>
      <c r="G8385" s="3" t="s">
        <v>11450</v>
      </c>
      <c r="H8385" s="54">
        <v>0</v>
      </c>
      <c r="I8385" s="16">
        <v>470000000</v>
      </c>
      <c r="J8385" s="157" t="s">
        <v>229</v>
      </c>
      <c r="K8385" s="5" t="s">
        <v>8950</v>
      </c>
      <c r="L8385" s="17" t="s">
        <v>11411</v>
      </c>
      <c r="M8385" s="3" t="s">
        <v>230</v>
      </c>
      <c r="N8385" s="65" t="s">
        <v>528</v>
      </c>
      <c r="O8385" s="6" t="s">
        <v>233</v>
      </c>
      <c r="P8385" s="58">
        <v>168</v>
      </c>
      <c r="Q8385" s="6" t="s">
        <v>240</v>
      </c>
      <c r="R8385" s="118">
        <v>6.52</v>
      </c>
      <c r="S8385" s="2">
        <v>169488</v>
      </c>
      <c r="T8385" s="4">
        <f t="shared" si="568"/>
        <v>1105061.76</v>
      </c>
      <c r="U8385" s="4">
        <f t="shared" si="567"/>
        <v>1237669.1712000002</v>
      </c>
      <c r="V8385" s="3"/>
      <c r="W8385" s="3">
        <v>2014</v>
      </c>
      <c r="X8385" s="3"/>
    </row>
    <row r="8386" spans="1:24" ht="89.25">
      <c r="A8386" s="3" t="s">
        <v>17481</v>
      </c>
      <c r="B8386" s="6" t="s">
        <v>361</v>
      </c>
      <c r="C8386" s="6" t="s">
        <v>3108</v>
      </c>
      <c r="D8386" s="6" t="s">
        <v>255</v>
      </c>
      <c r="E8386" s="6" t="s">
        <v>3109</v>
      </c>
      <c r="F8386" s="6" t="s">
        <v>7649</v>
      </c>
      <c r="G8386" s="3" t="s">
        <v>11449</v>
      </c>
      <c r="H8386" s="54">
        <v>0</v>
      </c>
      <c r="I8386" s="16">
        <v>470000000</v>
      </c>
      <c r="J8386" s="157" t="s">
        <v>229</v>
      </c>
      <c r="K8386" s="5" t="s">
        <v>8950</v>
      </c>
      <c r="L8386" s="17" t="s">
        <v>11411</v>
      </c>
      <c r="M8386" s="3" t="s">
        <v>230</v>
      </c>
      <c r="N8386" s="65" t="s">
        <v>524</v>
      </c>
      <c r="O8386" s="6" t="s">
        <v>233</v>
      </c>
      <c r="P8386" s="58">
        <v>168</v>
      </c>
      <c r="Q8386" s="6" t="s">
        <v>240</v>
      </c>
      <c r="R8386" s="118">
        <v>150</v>
      </c>
      <c r="S8386" s="2">
        <v>169488</v>
      </c>
      <c r="T8386" s="4">
        <f t="shared" si="568"/>
        <v>25423200</v>
      </c>
      <c r="U8386" s="4">
        <f t="shared" si="567"/>
        <v>28473984.000000004</v>
      </c>
      <c r="V8386" s="3"/>
      <c r="W8386" s="3">
        <v>2014</v>
      </c>
      <c r="X8386" s="3"/>
    </row>
    <row r="8387" spans="1:24" ht="89.25">
      <c r="A8387" s="3" t="s">
        <v>17484</v>
      </c>
      <c r="B8387" s="6" t="s">
        <v>361</v>
      </c>
      <c r="C8387" s="6" t="s">
        <v>17866</v>
      </c>
      <c r="D8387" s="6" t="s">
        <v>255</v>
      </c>
      <c r="E8387" s="6" t="s">
        <v>17867</v>
      </c>
      <c r="F8387" s="6" t="s">
        <v>17483</v>
      </c>
      <c r="G8387" s="3" t="s">
        <v>11449</v>
      </c>
      <c r="H8387" s="54">
        <v>0</v>
      </c>
      <c r="I8387" s="16">
        <v>470000000</v>
      </c>
      <c r="J8387" s="157" t="s">
        <v>229</v>
      </c>
      <c r="K8387" s="5" t="s">
        <v>8950</v>
      </c>
      <c r="L8387" s="17" t="s">
        <v>11411</v>
      </c>
      <c r="M8387" s="3" t="s">
        <v>230</v>
      </c>
      <c r="N8387" s="65" t="s">
        <v>524</v>
      </c>
      <c r="O8387" s="6" t="s">
        <v>233</v>
      </c>
      <c r="P8387" s="58" t="s">
        <v>237</v>
      </c>
      <c r="Q8387" s="6" t="s">
        <v>238</v>
      </c>
      <c r="R8387" s="18">
        <v>1624</v>
      </c>
      <c r="S8387" s="13">
        <v>25485.8</v>
      </c>
      <c r="T8387" s="4">
        <v>0</v>
      </c>
      <c r="U8387" s="4">
        <f t="shared" si="567"/>
        <v>0</v>
      </c>
      <c r="V8387" s="3"/>
      <c r="W8387" s="3">
        <v>2014</v>
      </c>
      <c r="X8387" s="3" t="s">
        <v>12076</v>
      </c>
    </row>
    <row r="8388" spans="1:24" ht="89.25">
      <c r="A8388" s="3" t="s">
        <v>17485</v>
      </c>
      <c r="B8388" s="6" t="s">
        <v>361</v>
      </c>
      <c r="C8388" s="6" t="s">
        <v>17868</v>
      </c>
      <c r="D8388" s="6" t="s">
        <v>255</v>
      </c>
      <c r="E8388" s="6" t="s">
        <v>17869</v>
      </c>
      <c r="F8388" s="6" t="s">
        <v>17482</v>
      </c>
      <c r="G8388" s="3" t="s">
        <v>11449</v>
      </c>
      <c r="H8388" s="54">
        <v>0</v>
      </c>
      <c r="I8388" s="16">
        <v>470000000</v>
      </c>
      <c r="J8388" s="157" t="s">
        <v>229</v>
      </c>
      <c r="K8388" s="5" t="s">
        <v>8950</v>
      </c>
      <c r="L8388" s="17" t="s">
        <v>11411</v>
      </c>
      <c r="M8388" s="3" t="s">
        <v>230</v>
      </c>
      <c r="N8388" s="65" t="s">
        <v>524</v>
      </c>
      <c r="O8388" s="6" t="s">
        <v>233</v>
      </c>
      <c r="P8388" s="58" t="s">
        <v>237</v>
      </c>
      <c r="Q8388" s="6" t="s">
        <v>238</v>
      </c>
      <c r="R8388" s="18">
        <v>1650</v>
      </c>
      <c r="S8388" s="13">
        <v>59835.14</v>
      </c>
      <c r="T8388" s="4">
        <v>0</v>
      </c>
      <c r="U8388" s="4">
        <f t="shared" si="567"/>
        <v>0</v>
      </c>
      <c r="V8388" s="3"/>
      <c r="W8388" s="3">
        <v>2014</v>
      </c>
      <c r="X8388" s="3" t="s">
        <v>12076</v>
      </c>
    </row>
    <row r="8389" spans="1:24" ht="89.25">
      <c r="A8389" s="3" t="s">
        <v>17731</v>
      </c>
      <c r="B8389" s="6" t="s">
        <v>361</v>
      </c>
      <c r="C8389" s="6" t="s">
        <v>17714</v>
      </c>
      <c r="D8389" s="6" t="s">
        <v>17715</v>
      </c>
      <c r="E8389" s="6" t="s">
        <v>17716</v>
      </c>
      <c r="F8389" s="6" t="s">
        <v>17717</v>
      </c>
      <c r="G8389" s="3" t="s">
        <v>11450</v>
      </c>
      <c r="H8389" s="54">
        <v>0</v>
      </c>
      <c r="I8389" s="16">
        <v>470000000</v>
      </c>
      <c r="J8389" s="157" t="s">
        <v>229</v>
      </c>
      <c r="K8389" s="5" t="s">
        <v>8950</v>
      </c>
      <c r="L8389" s="17" t="s">
        <v>12251</v>
      </c>
      <c r="M8389" s="3" t="s">
        <v>12250</v>
      </c>
      <c r="N8389" s="65" t="s">
        <v>17560</v>
      </c>
      <c r="O8389" s="6" t="s">
        <v>4568</v>
      </c>
      <c r="P8389" s="58">
        <v>796</v>
      </c>
      <c r="Q8389" s="6" t="s">
        <v>234</v>
      </c>
      <c r="R8389" s="118">
        <v>4</v>
      </c>
      <c r="S8389" s="2">
        <v>475000</v>
      </c>
      <c r="T8389" s="4">
        <f t="shared" ref="T8389:T8435" si="569">R8389*S8389</f>
        <v>1900000</v>
      </c>
      <c r="U8389" s="4">
        <f t="shared" si="567"/>
        <v>2128000</v>
      </c>
      <c r="V8389" s="318" t="s">
        <v>362</v>
      </c>
      <c r="W8389" s="3">
        <v>2014</v>
      </c>
      <c r="X8389" s="3"/>
    </row>
    <row r="8390" spans="1:24" ht="89.25">
      <c r="A8390" s="3" t="s">
        <v>17732</v>
      </c>
      <c r="B8390" s="6" t="s">
        <v>361</v>
      </c>
      <c r="C8390" s="6" t="s">
        <v>17718</v>
      </c>
      <c r="D8390" s="6" t="s">
        <v>17715</v>
      </c>
      <c r="E8390" s="6" t="s">
        <v>17719</v>
      </c>
      <c r="F8390" s="6" t="s">
        <v>17720</v>
      </c>
      <c r="G8390" s="3" t="s">
        <v>11450</v>
      </c>
      <c r="H8390" s="54">
        <v>0</v>
      </c>
      <c r="I8390" s="16">
        <v>470000000</v>
      </c>
      <c r="J8390" s="157" t="s">
        <v>229</v>
      </c>
      <c r="K8390" s="5" t="s">
        <v>8950</v>
      </c>
      <c r="L8390" s="17" t="s">
        <v>12251</v>
      </c>
      <c r="M8390" s="3" t="s">
        <v>12250</v>
      </c>
      <c r="N8390" s="65" t="s">
        <v>17560</v>
      </c>
      <c r="O8390" s="6" t="s">
        <v>4568</v>
      </c>
      <c r="P8390" s="58">
        <v>796</v>
      </c>
      <c r="Q8390" s="6" t="s">
        <v>234</v>
      </c>
      <c r="R8390" s="118">
        <v>2</v>
      </c>
      <c r="S8390" s="2">
        <v>675000</v>
      </c>
      <c r="T8390" s="4">
        <f t="shared" si="569"/>
        <v>1350000</v>
      </c>
      <c r="U8390" s="4">
        <f t="shared" si="567"/>
        <v>1512000.0000000002</v>
      </c>
      <c r="V8390" s="318" t="s">
        <v>362</v>
      </c>
      <c r="W8390" s="3">
        <v>2014</v>
      </c>
      <c r="X8390" s="3"/>
    </row>
    <row r="8391" spans="1:24" ht="89.25">
      <c r="A8391" s="3" t="s">
        <v>17733</v>
      </c>
      <c r="B8391" s="6" t="s">
        <v>361</v>
      </c>
      <c r="C8391" s="6" t="s">
        <v>17721</v>
      </c>
      <c r="D8391" s="6" t="s">
        <v>17715</v>
      </c>
      <c r="E8391" s="6" t="s">
        <v>17722</v>
      </c>
      <c r="F8391" s="6" t="s">
        <v>17723</v>
      </c>
      <c r="G8391" s="3" t="s">
        <v>11450</v>
      </c>
      <c r="H8391" s="54">
        <v>0</v>
      </c>
      <c r="I8391" s="16">
        <v>470000000</v>
      </c>
      <c r="J8391" s="157" t="s">
        <v>229</v>
      </c>
      <c r="K8391" s="5" t="s">
        <v>8950</v>
      </c>
      <c r="L8391" s="17" t="s">
        <v>12251</v>
      </c>
      <c r="M8391" s="3" t="s">
        <v>12250</v>
      </c>
      <c r="N8391" s="65" t="s">
        <v>17560</v>
      </c>
      <c r="O8391" s="6" t="s">
        <v>4568</v>
      </c>
      <c r="P8391" s="58">
        <v>796</v>
      </c>
      <c r="Q8391" s="6" t="s">
        <v>234</v>
      </c>
      <c r="R8391" s="118">
        <v>5</v>
      </c>
      <c r="S8391" s="2">
        <v>235000</v>
      </c>
      <c r="T8391" s="4">
        <f t="shared" si="569"/>
        <v>1175000</v>
      </c>
      <c r="U8391" s="4">
        <f t="shared" si="567"/>
        <v>1316000.0000000002</v>
      </c>
      <c r="V8391" s="318" t="s">
        <v>362</v>
      </c>
      <c r="W8391" s="3">
        <v>2014</v>
      </c>
      <c r="X8391" s="3"/>
    </row>
    <row r="8392" spans="1:24" ht="89.25">
      <c r="A8392" s="3" t="s">
        <v>17734</v>
      </c>
      <c r="B8392" s="6" t="s">
        <v>361</v>
      </c>
      <c r="C8392" s="6" t="s">
        <v>17724</v>
      </c>
      <c r="D8392" s="6" t="s">
        <v>640</v>
      </c>
      <c r="E8392" s="6" t="s">
        <v>17725</v>
      </c>
      <c r="F8392" s="6" t="s">
        <v>17726</v>
      </c>
      <c r="G8392" s="3" t="s">
        <v>11450</v>
      </c>
      <c r="H8392" s="54">
        <v>0</v>
      </c>
      <c r="I8392" s="16">
        <v>470000000</v>
      </c>
      <c r="J8392" s="157" t="s">
        <v>229</v>
      </c>
      <c r="K8392" s="5" t="s">
        <v>8950</v>
      </c>
      <c r="L8392" s="17" t="s">
        <v>11411</v>
      </c>
      <c r="M8392" s="3" t="s">
        <v>230</v>
      </c>
      <c r="N8392" s="65" t="s">
        <v>17560</v>
      </c>
      <c r="O8392" s="6" t="s">
        <v>4568</v>
      </c>
      <c r="P8392" s="58">
        <v>796</v>
      </c>
      <c r="Q8392" s="6" t="s">
        <v>234</v>
      </c>
      <c r="R8392" s="118">
        <v>600</v>
      </c>
      <c r="S8392" s="2">
        <v>568</v>
      </c>
      <c r="T8392" s="4">
        <f t="shared" si="569"/>
        <v>340800</v>
      </c>
      <c r="U8392" s="4">
        <f t="shared" si="567"/>
        <v>381696.00000000006</v>
      </c>
      <c r="V8392" s="3"/>
      <c r="W8392" s="3">
        <v>2014</v>
      </c>
      <c r="X8392" s="3"/>
    </row>
    <row r="8393" spans="1:24" ht="153">
      <c r="A8393" s="3" t="s">
        <v>17735</v>
      </c>
      <c r="B8393" s="6" t="s">
        <v>361</v>
      </c>
      <c r="C8393" s="6" t="s">
        <v>17727</v>
      </c>
      <c r="D8393" s="6" t="s">
        <v>4296</v>
      </c>
      <c r="E8393" s="6" t="s">
        <v>17728</v>
      </c>
      <c r="F8393" s="6" t="s">
        <v>17729</v>
      </c>
      <c r="G8393" s="3" t="s">
        <v>11450</v>
      </c>
      <c r="H8393" s="54">
        <v>0</v>
      </c>
      <c r="I8393" s="16">
        <v>470000000</v>
      </c>
      <c r="J8393" s="157" t="s">
        <v>229</v>
      </c>
      <c r="K8393" s="5" t="s">
        <v>8950</v>
      </c>
      <c r="L8393" s="17" t="s">
        <v>11411</v>
      </c>
      <c r="M8393" s="3" t="s">
        <v>230</v>
      </c>
      <c r="N8393" s="65" t="s">
        <v>528</v>
      </c>
      <c r="O8393" s="6" t="s">
        <v>4568</v>
      </c>
      <c r="P8393" s="58">
        <v>796</v>
      </c>
      <c r="Q8393" s="6" t="s">
        <v>234</v>
      </c>
      <c r="R8393" s="118">
        <v>5</v>
      </c>
      <c r="S8393" s="2">
        <v>7345</v>
      </c>
      <c r="T8393" s="4">
        <f t="shared" si="569"/>
        <v>36725</v>
      </c>
      <c r="U8393" s="4">
        <f t="shared" si="567"/>
        <v>41132.000000000007</v>
      </c>
      <c r="V8393" s="3"/>
      <c r="W8393" s="3">
        <v>2014</v>
      </c>
      <c r="X8393" s="3"/>
    </row>
    <row r="8394" spans="1:24" ht="89.25">
      <c r="A8394" s="3" t="s">
        <v>17736</v>
      </c>
      <c r="B8394" s="6" t="s">
        <v>361</v>
      </c>
      <c r="C8394" s="6" t="s">
        <v>4538</v>
      </c>
      <c r="D8394" s="6" t="s">
        <v>4344</v>
      </c>
      <c r="E8394" s="6" t="s">
        <v>4345</v>
      </c>
      <c r="F8394" s="6" t="s">
        <v>17730</v>
      </c>
      <c r="G8394" s="3" t="s">
        <v>11450</v>
      </c>
      <c r="H8394" s="54">
        <v>0</v>
      </c>
      <c r="I8394" s="16">
        <v>470000000</v>
      </c>
      <c r="J8394" s="157" t="s">
        <v>229</v>
      </c>
      <c r="K8394" s="5" t="s">
        <v>8950</v>
      </c>
      <c r="L8394" s="17" t="s">
        <v>11411</v>
      </c>
      <c r="M8394" s="3" t="s">
        <v>230</v>
      </c>
      <c r="N8394" s="65" t="s">
        <v>8914</v>
      </c>
      <c r="O8394" s="6" t="s">
        <v>4568</v>
      </c>
      <c r="P8394" s="58" t="s">
        <v>242</v>
      </c>
      <c r="Q8394" s="6" t="s">
        <v>239</v>
      </c>
      <c r="R8394" s="118">
        <v>10</v>
      </c>
      <c r="S8394" s="2">
        <f>72779.4+764.225</f>
        <v>73543.625</v>
      </c>
      <c r="T8394" s="4">
        <f t="shared" si="569"/>
        <v>735436.25</v>
      </c>
      <c r="U8394" s="4">
        <f t="shared" si="567"/>
        <v>823688.60000000009</v>
      </c>
      <c r="V8394" s="3"/>
      <c r="W8394" s="3">
        <v>2014</v>
      </c>
      <c r="X8394" s="3"/>
    </row>
    <row r="8395" spans="1:24" ht="89.25">
      <c r="A8395" s="3" t="s">
        <v>17737</v>
      </c>
      <c r="B8395" s="6" t="s">
        <v>361</v>
      </c>
      <c r="C8395" s="6" t="s">
        <v>17760</v>
      </c>
      <c r="D8395" s="6" t="s">
        <v>343</v>
      </c>
      <c r="E8395" s="6" t="s">
        <v>17761</v>
      </c>
      <c r="F8395" s="6" t="s">
        <v>17762</v>
      </c>
      <c r="G8395" s="3" t="s">
        <v>11449</v>
      </c>
      <c r="H8395" s="54">
        <v>0</v>
      </c>
      <c r="I8395" s="16">
        <v>470000000</v>
      </c>
      <c r="J8395" s="157" t="s">
        <v>229</v>
      </c>
      <c r="K8395" s="5" t="s">
        <v>8950</v>
      </c>
      <c r="L8395" s="17" t="s">
        <v>11411</v>
      </c>
      <c r="M8395" s="3" t="s">
        <v>230</v>
      </c>
      <c r="N8395" s="65" t="s">
        <v>521</v>
      </c>
      <c r="O8395" s="6" t="s">
        <v>4568</v>
      </c>
      <c r="P8395" s="58" t="s">
        <v>235</v>
      </c>
      <c r="Q8395" s="6" t="s">
        <v>15299</v>
      </c>
      <c r="R8395" s="118">
        <v>1</v>
      </c>
      <c r="S8395" s="2">
        <v>347880</v>
      </c>
      <c r="T8395" s="4">
        <f t="shared" si="569"/>
        <v>347880</v>
      </c>
      <c r="U8395" s="4">
        <f t="shared" si="567"/>
        <v>389625.60000000003</v>
      </c>
      <c r="V8395" s="3"/>
      <c r="W8395" s="3">
        <v>2014</v>
      </c>
      <c r="X8395" s="3"/>
    </row>
    <row r="8396" spans="1:24" ht="89.25">
      <c r="A8396" s="3" t="s">
        <v>17738</v>
      </c>
      <c r="B8396" s="6" t="s">
        <v>361</v>
      </c>
      <c r="C8396" s="6" t="s">
        <v>17760</v>
      </c>
      <c r="D8396" s="6" t="s">
        <v>343</v>
      </c>
      <c r="E8396" s="6" t="s">
        <v>17761</v>
      </c>
      <c r="F8396" s="6" t="s">
        <v>17763</v>
      </c>
      <c r="G8396" s="3" t="s">
        <v>11449</v>
      </c>
      <c r="H8396" s="54">
        <v>0</v>
      </c>
      <c r="I8396" s="16">
        <v>470000000</v>
      </c>
      <c r="J8396" s="157" t="s">
        <v>229</v>
      </c>
      <c r="K8396" s="5" t="s">
        <v>8950</v>
      </c>
      <c r="L8396" s="17" t="s">
        <v>11411</v>
      </c>
      <c r="M8396" s="3" t="s">
        <v>230</v>
      </c>
      <c r="N8396" s="65" t="s">
        <v>8914</v>
      </c>
      <c r="O8396" s="6" t="s">
        <v>4568</v>
      </c>
      <c r="P8396" s="58" t="s">
        <v>235</v>
      </c>
      <c r="Q8396" s="6" t="s">
        <v>15299</v>
      </c>
      <c r="R8396" s="118">
        <v>1</v>
      </c>
      <c r="S8396" s="2">
        <v>415657</v>
      </c>
      <c r="T8396" s="4">
        <f t="shared" si="569"/>
        <v>415657</v>
      </c>
      <c r="U8396" s="4">
        <f t="shared" si="567"/>
        <v>465535.84</v>
      </c>
      <c r="V8396" s="3"/>
      <c r="W8396" s="3">
        <v>2014</v>
      </c>
      <c r="X8396" s="3"/>
    </row>
    <row r="8397" spans="1:24" ht="89.25">
      <c r="A8397" s="3" t="s">
        <v>17739</v>
      </c>
      <c r="B8397" s="6" t="s">
        <v>361</v>
      </c>
      <c r="C8397" s="6" t="s">
        <v>17764</v>
      </c>
      <c r="D8397" s="6" t="s">
        <v>343</v>
      </c>
      <c r="E8397" s="6" t="s">
        <v>17765</v>
      </c>
      <c r="F8397" s="6" t="s">
        <v>17766</v>
      </c>
      <c r="G8397" s="3" t="s">
        <v>11449</v>
      </c>
      <c r="H8397" s="54">
        <v>0</v>
      </c>
      <c r="I8397" s="16">
        <v>470000000</v>
      </c>
      <c r="J8397" s="157" t="s">
        <v>229</v>
      </c>
      <c r="K8397" s="5" t="s">
        <v>8950</v>
      </c>
      <c r="L8397" s="17" t="s">
        <v>11411</v>
      </c>
      <c r="M8397" s="3" t="s">
        <v>230</v>
      </c>
      <c r="N8397" s="65" t="s">
        <v>8914</v>
      </c>
      <c r="O8397" s="6" t="s">
        <v>4568</v>
      </c>
      <c r="P8397" s="58" t="s">
        <v>235</v>
      </c>
      <c r="Q8397" s="6" t="s">
        <v>15299</v>
      </c>
      <c r="R8397" s="118">
        <v>1.85</v>
      </c>
      <c r="S8397" s="2">
        <v>490000</v>
      </c>
      <c r="T8397" s="4">
        <f t="shared" si="569"/>
        <v>906500</v>
      </c>
      <c r="U8397" s="4">
        <f t="shared" si="567"/>
        <v>1015280.0000000001</v>
      </c>
      <c r="V8397" s="3"/>
      <c r="W8397" s="3">
        <v>2014</v>
      </c>
      <c r="X8397" s="3"/>
    </row>
    <row r="8398" spans="1:24" ht="89.25">
      <c r="A8398" s="3" t="s">
        <v>17740</v>
      </c>
      <c r="B8398" s="6" t="s">
        <v>361</v>
      </c>
      <c r="C8398" s="6" t="s">
        <v>17767</v>
      </c>
      <c r="D8398" s="6" t="s">
        <v>343</v>
      </c>
      <c r="E8398" s="6" t="s">
        <v>18229</v>
      </c>
      <c r="F8398" s="6" t="s">
        <v>17768</v>
      </c>
      <c r="G8398" s="3" t="s">
        <v>11449</v>
      </c>
      <c r="H8398" s="54">
        <v>0</v>
      </c>
      <c r="I8398" s="16">
        <v>470000000</v>
      </c>
      <c r="J8398" s="157" t="s">
        <v>229</v>
      </c>
      <c r="K8398" s="5" t="s">
        <v>8950</v>
      </c>
      <c r="L8398" s="17" t="s">
        <v>11411</v>
      </c>
      <c r="M8398" s="3" t="s">
        <v>230</v>
      </c>
      <c r="N8398" s="65" t="s">
        <v>8914</v>
      </c>
      <c r="O8398" s="6" t="s">
        <v>4568</v>
      </c>
      <c r="P8398" s="58" t="s">
        <v>235</v>
      </c>
      <c r="Q8398" s="6" t="s">
        <v>15299</v>
      </c>
      <c r="R8398" s="118">
        <v>0.73</v>
      </c>
      <c r="S8398" s="2">
        <v>1162000</v>
      </c>
      <c r="T8398" s="4">
        <f t="shared" si="569"/>
        <v>848260</v>
      </c>
      <c r="U8398" s="4">
        <f t="shared" si="567"/>
        <v>950051.20000000007</v>
      </c>
      <c r="V8398" s="3"/>
      <c r="W8398" s="3">
        <v>2014</v>
      </c>
      <c r="X8398" s="3"/>
    </row>
    <row r="8399" spans="1:24" ht="89.25">
      <c r="A8399" s="3" t="s">
        <v>17741</v>
      </c>
      <c r="B8399" s="6" t="s">
        <v>361</v>
      </c>
      <c r="C8399" s="6" t="s">
        <v>17769</v>
      </c>
      <c r="D8399" s="6" t="s">
        <v>343</v>
      </c>
      <c r="E8399" s="6" t="s">
        <v>18230</v>
      </c>
      <c r="F8399" s="6" t="s">
        <v>17770</v>
      </c>
      <c r="G8399" s="3" t="s">
        <v>11449</v>
      </c>
      <c r="H8399" s="54">
        <v>0</v>
      </c>
      <c r="I8399" s="16">
        <v>470000000</v>
      </c>
      <c r="J8399" s="157" t="s">
        <v>229</v>
      </c>
      <c r="K8399" s="5" t="s">
        <v>8950</v>
      </c>
      <c r="L8399" s="17" t="s">
        <v>11411</v>
      </c>
      <c r="M8399" s="3" t="s">
        <v>230</v>
      </c>
      <c r="N8399" s="65" t="s">
        <v>8914</v>
      </c>
      <c r="O8399" s="6" t="s">
        <v>4568</v>
      </c>
      <c r="P8399" s="58" t="s">
        <v>235</v>
      </c>
      <c r="Q8399" s="6" t="s">
        <v>15299</v>
      </c>
      <c r="R8399" s="118">
        <v>0.9</v>
      </c>
      <c r="S8399" s="2">
        <v>1538000</v>
      </c>
      <c r="T8399" s="4">
        <f t="shared" si="569"/>
        <v>1384200</v>
      </c>
      <c r="U8399" s="4">
        <f t="shared" si="567"/>
        <v>1550304.0000000002</v>
      </c>
      <c r="V8399" s="3"/>
      <c r="W8399" s="3">
        <v>2014</v>
      </c>
      <c r="X8399" s="3"/>
    </row>
    <row r="8400" spans="1:24" ht="89.25">
      <c r="A8400" s="3" t="s">
        <v>17742</v>
      </c>
      <c r="B8400" s="6" t="s">
        <v>361</v>
      </c>
      <c r="C8400" s="6" t="s">
        <v>17870</v>
      </c>
      <c r="D8400" s="6" t="s">
        <v>343</v>
      </c>
      <c r="E8400" s="6" t="s">
        <v>18231</v>
      </c>
      <c r="F8400" s="6" t="s">
        <v>17771</v>
      </c>
      <c r="G8400" s="3" t="s">
        <v>11449</v>
      </c>
      <c r="H8400" s="54">
        <v>0</v>
      </c>
      <c r="I8400" s="16">
        <v>470000000</v>
      </c>
      <c r="J8400" s="157" t="s">
        <v>229</v>
      </c>
      <c r="K8400" s="5" t="s">
        <v>8950</v>
      </c>
      <c r="L8400" s="17" t="s">
        <v>11411</v>
      </c>
      <c r="M8400" s="3" t="s">
        <v>230</v>
      </c>
      <c r="N8400" s="65" t="s">
        <v>8914</v>
      </c>
      <c r="O8400" s="6" t="s">
        <v>4568</v>
      </c>
      <c r="P8400" s="58" t="s">
        <v>235</v>
      </c>
      <c r="Q8400" s="6" t="s">
        <v>15299</v>
      </c>
      <c r="R8400" s="118">
        <v>1.1000000000000001</v>
      </c>
      <c r="S8400" s="2">
        <v>2246000</v>
      </c>
      <c r="T8400" s="4">
        <f t="shared" si="569"/>
        <v>2470600</v>
      </c>
      <c r="U8400" s="4">
        <f t="shared" si="567"/>
        <v>2767072.0000000005</v>
      </c>
      <c r="V8400" s="3"/>
      <c r="W8400" s="3">
        <v>2014</v>
      </c>
      <c r="X8400" s="3"/>
    </row>
    <row r="8401" spans="1:24" ht="89.25">
      <c r="A8401" s="3" t="s">
        <v>17743</v>
      </c>
      <c r="B8401" s="6" t="s">
        <v>361</v>
      </c>
      <c r="C8401" s="6" t="s">
        <v>4241</v>
      </c>
      <c r="D8401" s="6" t="s">
        <v>343</v>
      </c>
      <c r="E8401" s="6" t="s">
        <v>4242</v>
      </c>
      <c r="F8401" s="6" t="s">
        <v>17772</v>
      </c>
      <c r="G8401" s="3" t="s">
        <v>11449</v>
      </c>
      <c r="H8401" s="54">
        <v>0</v>
      </c>
      <c r="I8401" s="16">
        <v>470000000</v>
      </c>
      <c r="J8401" s="157" t="s">
        <v>229</v>
      </c>
      <c r="K8401" s="5" t="s">
        <v>8950</v>
      </c>
      <c r="L8401" s="17" t="s">
        <v>11411</v>
      </c>
      <c r="M8401" s="3" t="s">
        <v>230</v>
      </c>
      <c r="N8401" s="65" t="s">
        <v>8914</v>
      </c>
      <c r="O8401" s="6" t="s">
        <v>4568</v>
      </c>
      <c r="P8401" s="58" t="s">
        <v>235</v>
      </c>
      <c r="Q8401" s="6" t="s">
        <v>15299</v>
      </c>
      <c r="R8401" s="118">
        <v>0.3</v>
      </c>
      <c r="S8401" s="2">
        <v>680000</v>
      </c>
      <c r="T8401" s="4">
        <f t="shared" si="569"/>
        <v>204000</v>
      </c>
      <c r="U8401" s="4">
        <f t="shared" si="567"/>
        <v>228480.00000000003</v>
      </c>
      <c r="V8401" s="3"/>
      <c r="W8401" s="3">
        <v>2014</v>
      </c>
      <c r="X8401" s="3"/>
    </row>
    <row r="8402" spans="1:24" ht="89.25">
      <c r="A8402" s="3" t="s">
        <v>17744</v>
      </c>
      <c r="B8402" s="6" t="s">
        <v>361</v>
      </c>
      <c r="C8402" s="6" t="s">
        <v>17773</v>
      </c>
      <c r="D8402" s="6" t="s">
        <v>4202</v>
      </c>
      <c r="E8402" s="6" t="s">
        <v>17774</v>
      </c>
      <c r="F8402" s="6" t="s">
        <v>17775</v>
      </c>
      <c r="G8402" s="3" t="s">
        <v>11450</v>
      </c>
      <c r="H8402" s="54">
        <v>0</v>
      </c>
      <c r="I8402" s="16">
        <v>470000000</v>
      </c>
      <c r="J8402" s="157" t="s">
        <v>229</v>
      </c>
      <c r="K8402" s="5" t="s">
        <v>8950</v>
      </c>
      <c r="L8402" s="17" t="s">
        <v>11411</v>
      </c>
      <c r="M8402" s="3" t="s">
        <v>230</v>
      </c>
      <c r="N8402" s="65" t="s">
        <v>17560</v>
      </c>
      <c r="O8402" s="6" t="s">
        <v>4568</v>
      </c>
      <c r="P8402" s="58" t="s">
        <v>241</v>
      </c>
      <c r="Q8402" s="6" t="s">
        <v>234</v>
      </c>
      <c r="R8402" s="251">
        <v>4</v>
      </c>
      <c r="S8402" s="2">
        <v>47659</v>
      </c>
      <c r="T8402" s="4">
        <v>0</v>
      </c>
      <c r="U8402" s="4">
        <f t="shared" si="567"/>
        <v>0</v>
      </c>
      <c r="V8402" s="3"/>
      <c r="W8402" s="3">
        <v>2014</v>
      </c>
      <c r="X8402" s="3" t="s">
        <v>19350</v>
      </c>
    </row>
    <row r="8403" spans="1:24" ht="76.5">
      <c r="A8403" s="3" t="s">
        <v>19184</v>
      </c>
      <c r="B8403" s="6" t="s">
        <v>361</v>
      </c>
      <c r="C8403" s="6" t="s">
        <v>17773</v>
      </c>
      <c r="D8403" s="6" t="s">
        <v>4202</v>
      </c>
      <c r="E8403" s="6" t="s">
        <v>17774</v>
      </c>
      <c r="F8403" s="6" t="s">
        <v>17775</v>
      </c>
      <c r="G8403" s="3" t="s">
        <v>11450</v>
      </c>
      <c r="H8403" s="54">
        <v>0</v>
      </c>
      <c r="I8403" s="16">
        <v>470000000</v>
      </c>
      <c r="J8403" s="157" t="s">
        <v>229</v>
      </c>
      <c r="K8403" s="5" t="s">
        <v>18437</v>
      </c>
      <c r="L8403" s="17" t="s">
        <v>11411</v>
      </c>
      <c r="M8403" s="3" t="s">
        <v>230</v>
      </c>
      <c r="N8403" s="65" t="s">
        <v>17491</v>
      </c>
      <c r="O8403" s="6" t="s">
        <v>19407</v>
      </c>
      <c r="P8403" s="58" t="s">
        <v>241</v>
      </c>
      <c r="Q8403" s="6" t="s">
        <v>234</v>
      </c>
      <c r="R8403" s="251">
        <v>4</v>
      </c>
      <c r="S8403" s="2">
        <v>143000</v>
      </c>
      <c r="T8403" s="4">
        <f t="shared" ref="T8403" si="570">R8403*S8403</f>
        <v>572000</v>
      </c>
      <c r="U8403" s="4">
        <f t="shared" si="567"/>
        <v>640640.00000000012</v>
      </c>
      <c r="V8403" s="3"/>
      <c r="W8403" s="3">
        <v>2014</v>
      </c>
      <c r="X8403" s="3"/>
    </row>
    <row r="8404" spans="1:24" ht="89.25">
      <c r="A8404" s="3" t="s">
        <v>17745</v>
      </c>
      <c r="B8404" s="6" t="s">
        <v>361</v>
      </c>
      <c r="C8404" s="6" t="s">
        <v>17776</v>
      </c>
      <c r="D8404" s="6" t="s">
        <v>17777</v>
      </c>
      <c r="E8404" s="6" t="s">
        <v>17778</v>
      </c>
      <c r="F8404" s="6" t="s">
        <v>17779</v>
      </c>
      <c r="G8404" s="3" t="s">
        <v>11450</v>
      </c>
      <c r="H8404" s="54">
        <v>0</v>
      </c>
      <c r="I8404" s="16">
        <v>470000000</v>
      </c>
      <c r="J8404" s="157" t="s">
        <v>229</v>
      </c>
      <c r="K8404" s="5" t="s">
        <v>8950</v>
      </c>
      <c r="L8404" s="17" t="s">
        <v>11411</v>
      </c>
      <c r="M8404" s="3" t="s">
        <v>230</v>
      </c>
      <c r="N8404" s="65" t="s">
        <v>17560</v>
      </c>
      <c r="O8404" s="6" t="s">
        <v>4568</v>
      </c>
      <c r="P8404" s="58" t="s">
        <v>241</v>
      </c>
      <c r="Q8404" s="6" t="s">
        <v>234</v>
      </c>
      <c r="R8404" s="118">
        <v>4</v>
      </c>
      <c r="S8404" s="2">
        <v>35468</v>
      </c>
      <c r="T8404" s="4">
        <f t="shared" si="569"/>
        <v>141872</v>
      </c>
      <c r="U8404" s="4">
        <f t="shared" si="567"/>
        <v>158896.64000000001</v>
      </c>
      <c r="V8404" s="3"/>
      <c r="W8404" s="3">
        <v>2014</v>
      </c>
      <c r="X8404" s="3"/>
    </row>
    <row r="8405" spans="1:24" ht="89.25">
      <c r="A8405" s="3" t="s">
        <v>17746</v>
      </c>
      <c r="B8405" s="6" t="s">
        <v>361</v>
      </c>
      <c r="C8405" s="6" t="s">
        <v>17780</v>
      </c>
      <c r="D8405" s="6" t="s">
        <v>494</v>
      </c>
      <c r="E8405" s="6" t="s">
        <v>15104</v>
      </c>
      <c r="F8405" s="6" t="s">
        <v>17781</v>
      </c>
      <c r="G8405" s="3" t="s">
        <v>11450</v>
      </c>
      <c r="H8405" s="54">
        <v>0</v>
      </c>
      <c r="I8405" s="16">
        <v>470000000</v>
      </c>
      <c r="J8405" s="157" t="s">
        <v>229</v>
      </c>
      <c r="K8405" s="5" t="s">
        <v>8950</v>
      </c>
      <c r="L8405" s="17" t="s">
        <v>11411</v>
      </c>
      <c r="M8405" s="3" t="s">
        <v>230</v>
      </c>
      <c r="N8405" s="65" t="s">
        <v>17560</v>
      </c>
      <c r="O8405" s="6" t="s">
        <v>4568</v>
      </c>
      <c r="P8405" s="58" t="s">
        <v>242</v>
      </c>
      <c r="Q8405" s="224" t="s">
        <v>239</v>
      </c>
      <c r="R8405" s="118">
        <v>3</v>
      </c>
      <c r="S8405" s="2">
        <v>59000</v>
      </c>
      <c r="T8405" s="4">
        <f t="shared" si="569"/>
        <v>177000</v>
      </c>
      <c r="U8405" s="4">
        <f t="shared" si="567"/>
        <v>198240.00000000003</v>
      </c>
      <c r="V8405" s="3"/>
      <c r="W8405" s="3">
        <v>2014</v>
      </c>
      <c r="X8405" s="3"/>
    </row>
    <row r="8406" spans="1:24" ht="89.25">
      <c r="A8406" s="3" t="s">
        <v>17747</v>
      </c>
      <c r="B8406" s="6" t="s">
        <v>361</v>
      </c>
      <c r="C8406" s="6" t="s">
        <v>17782</v>
      </c>
      <c r="D8406" s="6" t="s">
        <v>4341</v>
      </c>
      <c r="E8406" s="6" t="s">
        <v>17783</v>
      </c>
      <c r="F8406" s="6" t="s">
        <v>17784</v>
      </c>
      <c r="G8406" s="3" t="s">
        <v>11450</v>
      </c>
      <c r="H8406" s="54">
        <v>0</v>
      </c>
      <c r="I8406" s="16">
        <v>470000000</v>
      </c>
      <c r="J8406" s="157" t="s">
        <v>229</v>
      </c>
      <c r="K8406" s="5" t="s">
        <v>8950</v>
      </c>
      <c r="L8406" s="17" t="s">
        <v>11411</v>
      </c>
      <c r="M8406" s="3" t="s">
        <v>230</v>
      </c>
      <c r="N8406" s="65" t="s">
        <v>17491</v>
      </c>
      <c r="O8406" s="6" t="s">
        <v>4568</v>
      </c>
      <c r="P8406" s="58" t="s">
        <v>241</v>
      </c>
      <c r="Q8406" s="6" t="s">
        <v>234</v>
      </c>
      <c r="R8406" s="118">
        <v>3</v>
      </c>
      <c r="S8406" s="2">
        <v>23565</v>
      </c>
      <c r="T8406" s="4">
        <f t="shared" si="569"/>
        <v>70695</v>
      </c>
      <c r="U8406" s="4">
        <f t="shared" si="567"/>
        <v>79178.400000000009</v>
      </c>
      <c r="V8406" s="3"/>
      <c r="W8406" s="3">
        <v>2014</v>
      </c>
      <c r="X8406" s="3"/>
    </row>
    <row r="8407" spans="1:24" ht="89.25">
      <c r="A8407" s="3" t="s">
        <v>17748</v>
      </c>
      <c r="B8407" s="6" t="s">
        <v>361</v>
      </c>
      <c r="C8407" s="6" t="s">
        <v>17782</v>
      </c>
      <c r="D8407" s="6" t="s">
        <v>4341</v>
      </c>
      <c r="E8407" s="6" t="s">
        <v>17783</v>
      </c>
      <c r="F8407" s="6" t="s">
        <v>17785</v>
      </c>
      <c r="G8407" s="3" t="s">
        <v>11450</v>
      </c>
      <c r="H8407" s="54">
        <v>0</v>
      </c>
      <c r="I8407" s="16">
        <v>470000000</v>
      </c>
      <c r="J8407" s="157" t="s">
        <v>229</v>
      </c>
      <c r="K8407" s="5" t="s">
        <v>8950</v>
      </c>
      <c r="L8407" s="17" t="s">
        <v>11411</v>
      </c>
      <c r="M8407" s="3" t="s">
        <v>230</v>
      </c>
      <c r="N8407" s="65" t="s">
        <v>17491</v>
      </c>
      <c r="O8407" s="6" t="s">
        <v>4568</v>
      </c>
      <c r="P8407" s="58" t="s">
        <v>241</v>
      </c>
      <c r="Q8407" s="6" t="s">
        <v>234</v>
      </c>
      <c r="R8407" s="118">
        <v>3</v>
      </c>
      <c r="S8407" s="2">
        <v>24486</v>
      </c>
      <c r="T8407" s="4">
        <f t="shared" si="569"/>
        <v>73458</v>
      </c>
      <c r="U8407" s="4">
        <f t="shared" si="567"/>
        <v>82272.960000000006</v>
      </c>
      <c r="V8407" s="3"/>
      <c r="W8407" s="3">
        <v>2014</v>
      </c>
      <c r="X8407" s="3"/>
    </row>
    <row r="8408" spans="1:24" ht="89.25">
      <c r="A8408" s="3" t="s">
        <v>17749</v>
      </c>
      <c r="B8408" s="6" t="s">
        <v>361</v>
      </c>
      <c r="C8408" s="6" t="s">
        <v>7663</v>
      </c>
      <c r="D8408" s="6" t="s">
        <v>7664</v>
      </c>
      <c r="E8408" s="6" t="s">
        <v>7665</v>
      </c>
      <c r="F8408" s="6" t="s">
        <v>17876</v>
      </c>
      <c r="G8408" s="3" t="s">
        <v>11449</v>
      </c>
      <c r="H8408" s="54">
        <v>0</v>
      </c>
      <c r="I8408" s="16">
        <v>470000000</v>
      </c>
      <c r="J8408" s="157" t="s">
        <v>229</v>
      </c>
      <c r="K8408" s="5" t="s">
        <v>8950</v>
      </c>
      <c r="L8408" s="17" t="s">
        <v>11411</v>
      </c>
      <c r="M8408" s="3" t="s">
        <v>230</v>
      </c>
      <c r="N8408" s="65" t="s">
        <v>521</v>
      </c>
      <c r="O8408" s="6" t="s">
        <v>4568</v>
      </c>
      <c r="P8408" s="58" t="s">
        <v>242</v>
      </c>
      <c r="Q8408" s="6" t="s">
        <v>239</v>
      </c>
      <c r="R8408" s="118">
        <v>8</v>
      </c>
      <c r="S8408" s="2">
        <f>1494380+9818.75</f>
        <v>1504198.75</v>
      </c>
      <c r="T8408" s="4">
        <v>0</v>
      </c>
      <c r="U8408" s="4">
        <f t="shared" si="567"/>
        <v>0</v>
      </c>
      <c r="V8408" s="3"/>
      <c r="W8408" s="3">
        <v>2014</v>
      </c>
      <c r="X8408" s="3">
        <v>11</v>
      </c>
    </row>
    <row r="8409" spans="1:24" ht="89.25">
      <c r="A8409" s="3" t="s">
        <v>18534</v>
      </c>
      <c r="B8409" s="6" t="s">
        <v>361</v>
      </c>
      <c r="C8409" s="6" t="s">
        <v>7663</v>
      </c>
      <c r="D8409" s="6" t="s">
        <v>7664</v>
      </c>
      <c r="E8409" s="6" t="s">
        <v>7665</v>
      </c>
      <c r="F8409" s="6" t="s">
        <v>17876</v>
      </c>
      <c r="G8409" s="3" t="s">
        <v>11449</v>
      </c>
      <c r="H8409" s="54">
        <v>0</v>
      </c>
      <c r="I8409" s="16">
        <v>470000000</v>
      </c>
      <c r="J8409" s="157" t="s">
        <v>229</v>
      </c>
      <c r="K8409" s="5" t="s">
        <v>18535</v>
      </c>
      <c r="L8409" s="17" t="s">
        <v>11411</v>
      </c>
      <c r="M8409" s="3" t="s">
        <v>230</v>
      </c>
      <c r="N8409" s="65" t="s">
        <v>521</v>
      </c>
      <c r="O8409" s="6" t="s">
        <v>4568</v>
      </c>
      <c r="P8409" s="58" t="s">
        <v>242</v>
      </c>
      <c r="Q8409" s="6" t="s">
        <v>239</v>
      </c>
      <c r="R8409" s="251">
        <v>8</v>
      </c>
      <c r="S8409" s="2">
        <f>1494380+9818.75</f>
        <v>1504198.75</v>
      </c>
      <c r="T8409" s="4">
        <v>0</v>
      </c>
      <c r="U8409" s="4">
        <f t="shared" si="567"/>
        <v>0</v>
      </c>
      <c r="V8409" s="3"/>
      <c r="W8409" s="3">
        <v>2014</v>
      </c>
      <c r="X8409" s="3" t="s">
        <v>19397</v>
      </c>
    </row>
    <row r="8410" spans="1:24" ht="102">
      <c r="A8410" s="3" t="s">
        <v>19185</v>
      </c>
      <c r="B8410" s="6" t="s">
        <v>361</v>
      </c>
      <c r="C8410" s="6" t="s">
        <v>7663</v>
      </c>
      <c r="D8410" s="6" t="s">
        <v>7664</v>
      </c>
      <c r="E8410" s="6" t="s">
        <v>7665</v>
      </c>
      <c r="F8410" s="6" t="s">
        <v>17876</v>
      </c>
      <c r="G8410" s="3" t="s">
        <v>11449</v>
      </c>
      <c r="H8410" s="54">
        <v>0</v>
      </c>
      <c r="I8410" s="16">
        <v>470000000</v>
      </c>
      <c r="J8410" s="157" t="s">
        <v>229</v>
      </c>
      <c r="K8410" s="5" t="s">
        <v>9369</v>
      </c>
      <c r="L8410" s="17" t="s">
        <v>11411</v>
      </c>
      <c r="M8410" s="3" t="s">
        <v>230</v>
      </c>
      <c r="N8410" s="65" t="s">
        <v>521</v>
      </c>
      <c r="O8410" s="6" t="s">
        <v>19186</v>
      </c>
      <c r="P8410" s="58" t="s">
        <v>242</v>
      </c>
      <c r="Q8410" s="6" t="s">
        <v>239</v>
      </c>
      <c r="R8410" s="251">
        <v>4</v>
      </c>
      <c r="S8410" s="2">
        <f>1494380+9818.75</f>
        <v>1504198.75</v>
      </c>
      <c r="T8410" s="4">
        <f t="shared" ref="T8410" si="571">R8410*S8410</f>
        <v>6016795</v>
      </c>
      <c r="U8410" s="4">
        <f t="shared" si="567"/>
        <v>6738810.4000000004</v>
      </c>
      <c r="V8410" s="3"/>
      <c r="W8410" s="3">
        <v>2014</v>
      </c>
      <c r="X8410" s="3"/>
    </row>
    <row r="8411" spans="1:24" ht="89.25">
      <c r="A8411" s="3" t="s">
        <v>17750</v>
      </c>
      <c r="B8411" s="6" t="s">
        <v>361</v>
      </c>
      <c r="C8411" s="6" t="s">
        <v>17786</v>
      </c>
      <c r="D8411" s="6" t="s">
        <v>18232</v>
      </c>
      <c r="E8411" s="6" t="s">
        <v>18233</v>
      </c>
      <c r="F8411" s="6" t="s">
        <v>17787</v>
      </c>
      <c r="G8411" s="3" t="s">
        <v>11450</v>
      </c>
      <c r="H8411" s="54">
        <v>0</v>
      </c>
      <c r="I8411" s="16">
        <v>470000000</v>
      </c>
      <c r="J8411" s="157" t="s">
        <v>229</v>
      </c>
      <c r="K8411" s="5" t="s">
        <v>8950</v>
      </c>
      <c r="L8411" s="17" t="s">
        <v>11411</v>
      </c>
      <c r="M8411" s="3" t="s">
        <v>230</v>
      </c>
      <c r="N8411" s="65" t="s">
        <v>521</v>
      </c>
      <c r="O8411" s="6" t="s">
        <v>4568</v>
      </c>
      <c r="P8411" s="58" t="s">
        <v>241</v>
      </c>
      <c r="Q8411" s="6" t="s">
        <v>234</v>
      </c>
      <c r="R8411" s="118">
        <v>1</v>
      </c>
      <c r="S8411" s="2">
        <v>38760</v>
      </c>
      <c r="T8411" s="4">
        <v>0</v>
      </c>
      <c r="U8411" s="4">
        <f t="shared" si="567"/>
        <v>0</v>
      </c>
      <c r="V8411" s="3"/>
      <c r="W8411" s="3">
        <v>2014</v>
      </c>
      <c r="X8411" s="3">
        <v>11</v>
      </c>
    </row>
    <row r="8412" spans="1:24" ht="89.25">
      <c r="A8412" s="3" t="s">
        <v>18543</v>
      </c>
      <c r="B8412" s="6" t="s">
        <v>361</v>
      </c>
      <c r="C8412" s="6" t="s">
        <v>17786</v>
      </c>
      <c r="D8412" s="6" t="s">
        <v>18232</v>
      </c>
      <c r="E8412" s="6" t="s">
        <v>18233</v>
      </c>
      <c r="F8412" s="6" t="s">
        <v>17787</v>
      </c>
      <c r="G8412" s="3" t="s">
        <v>11450</v>
      </c>
      <c r="H8412" s="54">
        <v>0</v>
      </c>
      <c r="I8412" s="16">
        <v>470000000</v>
      </c>
      <c r="J8412" s="157" t="s">
        <v>229</v>
      </c>
      <c r="K8412" s="5" t="s">
        <v>9369</v>
      </c>
      <c r="L8412" s="17" t="s">
        <v>11411</v>
      </c>
      <c r="M8412" s="3" t="s">
        <v>230</v>
      </c>
      <c r="N8412" s="65" t="s">
        <v>521</v>
      </c>
      <c r="O8412" s="6" t="s">
        <v>4568</v>
      </c>
      <c r="P8412" s="58" t="s">
        <v>241</v>
      </c>
      <c r="Q8412" s="6" t="s">
        <v>234</v>
      </c>
      <c r="R8412" s="118">
        <v>1</v>
      </c>
      <c r="S8412" s="2">
        <v>38760</v>
      </c>
      <c r="T8412" s="4">
        <f t="shared" ref="T8412" si="572">R8412*S8412</f>
        <v>38760</v>
      </c>
      <c r="U8412" s="4">
        <f t="shared" si="567"/>
        <v>43411.200000000004</v>
      </c>
      <c r="V8412" s="3"/>
      <c r="W8412" s="3">
        <v>2014</v>
      </c>
      <c r="X8412" s="3"/>
    </row>
    <row r="8413" spans="1:24" ht="89.25">
      <c r="A8413" s="3" t="s">
        <v>17751</v>
      </c>
      <c r="B8413" s="6" t="s">
        <v>361</v>
      </c>
      <c r="C8413" s="6" t="s">
        <v>17786</v>
      </c>
      <c r="D8413" s="6" t="s">
        <v>18232</v>
      </c>
      <c r="E8413" s="6" t="s">
        <v>18233</v>
      </c>
      <c r="F8413" s="6" t="s">
        <v>17788</v>
      </c>
      <c r="G8413" s="3" t="s">
        <v>11450</v>
      </c>
      <c r="H8413" s="54">
        <v>0</v>
      </c>
      <c r="I8413" s="16">
        <v>470000000</v>
      </c>
      <c r="J8413" s="157" t="s">
        <v>229</v>
      </c>
      <c r="K8413" s="5" t="s">
        <v>8950</v>
      </c>
      <c r="L8413" s="17" t="s">
        <v>11411</v>
      </c>
      <c r="M8413" s="3" t="s">
        <v>230</v>
      </c>
      <c r="N8413" s="65" t="s">
        <v>521</v>
      </c>
      <c r="O8413" s="6" t="s">
        <v>4568</v>
      </c>
      <c r="P8413" s="58" t="s">
        <v>241</v>
      </c>
      <c r="Q8413" s="6" t="s">
        <v>234</v>
      </c>
      <c r="R8413" s="118">
        <v>10</v>
      </c>
      <c r="S8413" s="2">
        <v>37546</v>
      </c>
      <c r="T8413" s="4">
        <v>0</v>
      </c>
      <c r="U8413" s="4">
        <f t="shared" si="567"/>
        <v>0</v>
      </c>
      <c r="V8413" s="3"/>
      <c r="W8413" s="3">
        <v>2014</v>
      </c>
      <c r="X8413" s="3">
        <v>11</v>
      </c>
    </row>
    <row r="8414" spans="1:24" ht="89.25">
      <c r="A8414" s="3" t="s">
        <v>18544</v>
      </c>
      <c r="B8414" s="6" t="s">
        <v>361</v>
      </c>
      <c r="C8414" s="6" t="s">
        <v>17786</v>
      </c>
      <c r="D8414" s="6" t="s">
        <v>18232</v>
      </c>
      <c r="E8414" s="6" t="s">
        <v>18233</v>
      </c>
      <c r="F8414" s="6" t="s">
        <v>17788</v>
      </c>
      <c r="G8414" s="3" t="s">
        <v>11450</v>
      </c>
      <c r="H8414" s="54">
        <v>0</v>
      </c>
      <c r="I8414" s="16">
        <v>470000000</v>
      </c>
      <c r="J8414" s="157" t="s">
        <v>229</v>
      </c>
      <c r="K8414" s="5" t="s">
        <v>9369</v>
      </c>
      <c r="L8414" s="17" t="s">
        <v>11411</v>
      </c>
      <c r="M8414" s="3" t="s">
        <v>230</v>
      </c>
      <c r="N8414" s="65" t="s">
        <v>521</v>
      </c>
      <c r="O8414" s="6" t="s">
        <v>4568</v>
      </c>
      <c r="P8414" s="58" t="s">
        <v>241</v>
      </c>
      <c r="Q8414" s="6" t="s">
        <v>234</v>
      </c>
      <c r="R8414" s="118">
        <v>10</v>
      </c>
      <c r="S8414" s="2">
        <v>37546</v>
      </c>
      <c r="T8414" s="4">
        <f t="shared" ref="T8414" si="573">R8414*S8414</f>
        <v>375460</v>
      </c>
      <c r="U8414" s="4">
        <f t="shared" si="567"/>
        <v>420515.2</v>
      </c>
      <c r="V8414" s="3"/>
      <c r="W8414" s="3">
        <v>2014</v>
      </c>
      <c r="X8414" s="3"/>
    </row>
    <row r="8415" spans="1:24" ht="89.25">
      <c r="A8415" s="3" t="s">
        <v>17752</v>
      </c>
      <c r="B8415" s="6" t="s">
        <v>361</v>
      </c>
      <c r="C8415" s="6" t="s">
        <v>17786</v>
      </c>
      <c r="D8415" s="6" t="s">
        <v>18232</v>
      </c>
      <c r="E8415" s="6" t="s">
        <v>18233</v>
      </c>
      <c r="F8415" s="6" t="s">
        <v>17789</v>
      </c>
      <c r="G8415" s="3" t="s">
        <v>11450</v>
      </c>
      <c r="H8415" s="54">
        <v>0</v>
      </c>
      <c r="I8415" s="16">
        <v>470000000</v>
      </c>
      <c r="J8415" s="157" t="s">
        <v>229</v>
      </c>
      <c r="K8415" s="5" t="s">
        <v>8950</v>
      </c>
      <c r="L8415" s="17" t="s">
        <v>11411</v>
      </c>
      <c r="M8415" s="3" t="s">
        <v>230</v>
      </c>
      <c r="N8415" s="65" t="s">
        <v>521</v>
      </c>
      <c r="O8415" s="6" t="s">
        <v>4568</v>
      </c>
      <c r="P8415" s="58" t="s">
        <v>241</v>
      </c>
      <c r="Q8415" s="6" t="s">
        <v>234</v>
      </c>
      <c r="R8415" s="118">
        <v>40</v>
      </c>
      <c r="S8415" s="2">
        <v>39423</v>
      </c>
      <c r="T8415" s="4">
        <v>0</v>
      </c>
      <c r="U8415" s="4">
        <f t="shared" si="567"/>
        <v>0</v>
      </c>
      <c r="V8415" s="3"/>
      <c r="W8415" s="3">
        <v>2014</v>
      </c>
      <c r="X8415" s="3">
        <v>11</v>
      </c>
    </row>
    <row r="8416" spans="1:24" ht="89.25">
      <c r="A8416" s="3" t="s">
        <v>18545</v>
      </c>
      <c r="B8416" s="6" t="s">
        <v>361</v>
      </c>
      <c r="C8416" s="6" t="s">
        <v>17786</v>
      </c>
      <c r="D8416" s="6" t="s">
        <v>18232</v>
      </c>
      <c r="E8416" s="6" t="s">
        <v>18233</v>
      </c>
      <c r="F8416" s="6" t="s">
        <v>17789</v>
      </c>
      <c r="G8416" s="3" t="s">
        <v>11450</v>
      </c>
      <c r="H8416" s="54">
        <v>0</v>
      </c>
      <c r="I8416" s="16">
        <v>470000000</v>
      </c>
      <c r="J8416" s="157" t="s">
        <v>229</v>
      </c>
      <c r="K8416" s="5" t="s">
        <v>9369</v>
      </c>
      <c r="L8416" s="17" t="s">
        <v>11411</v>
      </c>
      <c r="M8416" s="3" t="s">
        <v>230</v>
      </c>
      <c r="N8416" s="65" t="s">
        <v>521</v>
      </c>
      <c r="O8416" s="6" t="s">
        <v>4568</v>
      </c>
      <c r="P8416" s="58" t="s">
        <v>241</v>
      </c>
      <c r="Q8416" s="6" t="s">
        <v>234</v>
      </c>
      <c r="R8416" s="118">
        <v>40</v>
      </c>
      <c r="S8416" s="2">
        <v>39423</v>
      </c>
      <c r="T8416" s="4">
        <f t="shared" ref="T8416" si="574">R8416*S8416</f>
        <v>1576920</v>
      </c>
      <c r="U8416" s="4">
        <f t="shared" si="567"/>
        <v>1766150.4000000001</v>
      </c>
      <c r="V8416" s="3"/>
      <c r="W8416" s="3">
        <v>2014</v>
      </c>
      <c r="X8416" s="3"/>
    </row>
    <row r="8417" spans="1:24" ht="89.25">
      <c r="A8417" s="3" t="s">
        <v>17753</v>
      </c>
      <c r="B8417" s="6" t="s">
        <v>361</v>
      </c>
      <c r="C8417" s="6" t="s">
        <v>17786</v>
      </c>
      <c r="D8417" s="6" t="s">
        <v>18232</v>
      </c>
      <c r="E8417" s="6" t="s">
        <v>18233</v>
      </c>
      <c r="F8417" s="6" t="s">
        <v>17790</v>
      </c>
      <c r="G8417" s="3" t="s">
        <v>11450</v>
      </c>
      <c r="H8417" s="54">
        <v>0</v>
      </c>
      <c r="I8417" s="16">
        <v>470000000</v>
      </c>
      <c r="J8417" s="157" t="s">
        <v>229</v>
      </c>
      <c r="K8417" s="5" t="s">
        <v>8950</v>
      </c>
      <c r="L8417" s="17" t="s">
        <v>11411</v>
      </c>
      <c r="M8417" s="3" t="s">
        <v>230</v>
      </c>
      <c r="N8417" s="65" t="s">
        <v>521</v>
      </c>
      <c r="O8417" s="6" t="s">
        <v>4568</v>
      </c>
      <c r="P8417" s="58" t="s">
        <v>241</v>
      </c>
      <c r="Q8417" s="6" t="s">
        <v>234</v>
      </c>
      <c r="R8417" s="118">
        <v>20</v>
      </c>
      <c r="S8417" s="2">
        <v>39884</v>
      </c>
      <c r="T8417" s="4">
        <v>0</v>
      </c>
      <c r="U8417" s="4">
        <f t="shared" si="567"/>
        <v>0</v>
      </c>
      <c r="V8417" s="3"/>
      <c r="W8417" s="3">
        <v>2014</v>
      </c>
      <c r="X8417" s="3">
        <v>11</v>
      </c>
    </row>
    <row r="8418" spans="1:24" ht="89.25">
      <c r="A8418" s="3" t="s">
        <v>18546</v>
      </c>
      <c r="B8418" s="6" t="s">
        <v>361</v>
      </c>
      <c r="C8418" s="6" t="s">
        <v>17786</v>
      </c>
      <c r="D8418" s="6" t="s">
        <v>18232</v>
      </c>
      <c r="E8418" s="6" t="s">
        <v>18233</v>
      </c>
      <c r="F8418" s="6" t="s">
        <v>17790</v>
      </c>
      <c r="G8418" s="3" t="s">
        <v>11450</v>
      </c>
      <c r="H8418" s="54">
        <v>0</v>
      </c>
      <c r="I8418" s="16">
        <v>470000000</v>
      </c>
      <c r="J8418" s="157" t="s">
        <v>229</v>
      </c>
      <c r="K8418" s="5" t="s">
        <v>9369</v>
      </c>
      <c r="L8418" s="17" t="s">
        <v>11411</v>
      </c>
      <c r="M8418" s="3" t="s">
        <v>230</v>
      </c>
      <c r="N8418" s="65" t="s">
        <v>521</v>
      </c>
      <c r="O8418" s="6" t="s">
        <v>4568</v>
      </c>
      <c r="P8418" s="58" t="s">
        <v>241</v>
      </c>
      <c r="Q8418" s="6" t="s">
        <v>234</v>
      </c>
      <c r="R8418" s="118">
        <v>20</v>
      </c>
      <c r="S8418" s="2">
        <v>39884</v>
      </c>
      <c r="T8418" s="4">
        <f t="shared" ref="T8418" si="575">R8418*S8418</f>
        <v>797680</v>
      </c>
      <c r="U8418" s="4">
        <f t="shared" si="567"/>
        <v>893401.60000000009</v>
      </c>
      <c r="V8418" s="3"/>
      <c r="W8418" s="3">
        <v>2014</v>
      </c>
      <c r="X8418" s="3"/>
    </row>
    <row r="8419" spans="1:24" ht="89.25">
      <c r="A8419" s="3" t="s">
        <v>17754</v>
      </c>
      <c r="B8419" s="6" t="s">
        <v>361</v>
      </c>
      <c r="C8419" s="6" t="s">
        <v>17791</v>
      </c>
      <c r="D8419" s="6" t="s">
        <v>18234</v>
      </c>
      <c r="E8419" s="6" t="s">
        <v>17792</v>
      </c>
      <c r="F8419" s="6" t="s">
        <v>17793</v>
      </c>
      <c r="G8419" s="3" t="s">
        <v>11449</v>
      </c>
      <c r="H8419" s="54">
        <v>0</v>
      </c>
      <c r="I8419" s="16">
        <v>470000000</v>
      </c>
      <c r="J8419" s="157" t="s">
        <v>229</v>
      </c>
      <c r="K8419" s="5" t="s">
        <v>8950</v>
      </c>
      <c r="L8419" s="17" t="s">
        <v>11411</v>
      </c>
      <c r="M8419" s="3" t="s">
        <v>230</v>
      </c>
      <c r="N8419" s="65" t="s">
        <v>521</v>
      </c>
      <c r="O8419" s="6" t="s">
        <v>4568</v>
      </c>
      <c r="P8419" s="58" t="s">
        <v>241</v>
      </c>
      <c r="Q8419" s="6" t="s">
        <v>17794</v>
      </c>
      <c r="R8419" s="118">
        <v>100</v>
      </c>
      <c r="S8419" s="2">
        <v>71705</v>
      </c>
      <c r="T8419" s="4">
        <v>0</v>
      </c>
      <c r="U8419" s="4">
        <f t="shared" si="567"/>
        <v>0</v>
      </c>
      <c r="V8419" s="3"/>
      <c r="W8419" s="3">
        <v>2014</v>
      </c>
      <c r="X8419" s="3">
        <v>11</v>
      </c>
    </row>
    <row r="8420" spans="1:24" ht="89.25">
      <c r="A8420" s="3" t="s">
        <v>18536</v>
      </c>
      <c r="B8420" s="6" t="s">
        <v>361</v>
      </c>
      <c r="C8420" s="6" t="s">
        <v>17791</v>
      </c>
      <c r="D8420" s="6" t="s">
        <v>18234</v>
      </c>
      <c r="E8420" s="6" t="s">
        <v>17792</v>
      </c>
      <c r="F8420" s="6" t="s">
        <v>17793</v>
      </c>
      <c r="G8420" s="3" t="s">
        <v>11449</v>
      </c>
      <c r="H8420" s="54">
        <v>0</v>
      </c>
      <c r="I8420" s="16">
        <v>470000000</v>
      </c>
      <c r="J8420" s="157" t="s">
        <v>229</v>
      </c>
      <c r="K8420" s="5" t="s">
        <v>9369</v>
      </c>
      <c r="L8420" s="17" t="s">
        <v>11411</v>
      </c>
      <c r="M8420" s="3" t="s">
        <v>230</v>
      </c>
      <c r="N8420" s="65" t="s">
        <v>521</v>
      </c>
      <c r="O8420" s="6" t="s">
        <v>4568</v>
      </c>
      <c r="P8420" s="58" t="s">
        <v>241</v>
      </c>
      <c r="Q8420" s="6" t="s">
        <v>17794</v>
      </c>
      <c r="R8420" s="118">
        <v>100</v>
      </c>
      <c r="S8420" s="2">
        <v>71705</v>
      </c>
      <c r="T8420" s="4">
        <f t="shared" ref="T8420" si="576">R8420*S8420</f>
        <v>7170500</v>
      </c>
      <c r="U8420" s="4">
        <f t="shared" si="567"/>
        <v>8030960.0000000009</v>
      </c>
      <c r="V8420" s="3"/>
      <c r="W8420" s="3">
        <v>2014</v>
      </c>
      <c r="X8420" s="3"/>
    </row>
    <row r="8421" spans="1:24" ht="89.25">
      <c r="A8421" s="3" t="s">
        <v>17755</v>
      </c>
      <c r="B8421" s="6" t="s">
        <v>361</v>
      </c>
      <c r="C8421" s="6" t="s">
        <v>17795</v>
      </c>
      <c r="D8421" s="4" t="s">
        <v>4529</v>
      </c>
      <c r="E8421" s="6" t="s">
        <v>18235</v>
      </c>
      <c r="F8421" s="6" t="s">
        <v>17796</v>
      </c>
      <c r="G8421" s="3" t="s">
        <v>11450</v>
      </c>
      <c r="H8421" s="54">
        <v>0</v>
      </c>
      <c r="I8421" s="16">
        <v>470000000</v>
      </c>
      <c r="J8421" s="157" t="s">
        <v>229</v>
      </c>
      <c r="K8421" s="5" t="s">
        <v>8950</v>
      </c>
      <c r="L8421" s="17" t="s">
        <v>11411</v>
      </c>
      <c r="M8421" s="3" t="s">
        <v>230</v>
      </c>
      <c r="N8421" s="65" t="s">
        <v>521</v>
      </c>
      <c r="O8421" s="6" t="s">
        <v>4568</v>
      </c>
      <c r="P8421" s="58" t="s">
        <v>241</v>
      </c>
      <c r="Q8421" s="6" t="s">
        <v>234</v>
      </c>
      <c r="R8421" s="118">
        <v>100</v>
      </c>
      <c r="S8421" s="2">
        <v>8274</v>
      </c>
      <c r="T8421" s="4">
        <v>0</v>
      </c>
      <c r="U8421" s="4">
        <f t="shared" si="567"/>
        <v>0</v>
      </c>
      <c r="V8421" s="3"/>
      <c r="W8421" s="3">
        <v>2014</v>
      </c>
      <c r="X8421" s="3">
        <v>11</v>
      </c>
    </row>
    <row r="8422" spans="1:24" ht="89.25">
      <c r="A8422" s="3" t="s">
        <v>18547</v>
      </c>
      <c r="B8422" s="6" t="s">
        <v>361</v>
      </c>
      <c r="C8422" s="6" t="s">
        <v>17795</v>
      </c>
      <c r="D8422" s="4" t="s">
        <v>4529</v>
      </c>
      <c r="E8422" s="6" t="s">
        <v>18235</v>
      </c>
      <c r="F8422" s="6" t="s">
        <v>17796</v>
      </c>
      <c r="G8422" s="3" t="s">
        <v>11450</v>
      </c>
      <c r="H8422" s="54">
        <v>0</v>
      </c>
      <c r="I8422" s="16">
        <v>470000000</v>
      </c>
      <c r="J8422" s="157" t="s">
        <v>229</v>
      </c>
      <c r="K8422" s="5" t="s">
        <v>9369</v>
      </c>
      <c r="L8422" s="17" t="s">
        <v>11411</v>
      </c>
      <c r="M8422" s="3" t="s">
        <v>230</v>
      </c>
      <c r="N8422" s="65" t="s">
        <v>521</v>
      </c>
      <c r="O8422" s="6" t="s">
        <v>4568</v>
      </c>
      <c r="P8422" s="58" t="s">
        <v>241</v>
      </c>
      <c r="Q8422" s="6" t="s">
        <v>234</v>
      </c>
      <c r="R8422" s="118">
        <v>100</v>
      </c>
      <c r="S8422" s="2">
        <v>8274</v>
      </c>
      <c r="T8422" s="4">
        <f t="shared" ref="T8422" si="577">R8422*S8422</f>
        <v>827400</v>
      </c>
      <c r="U8422" s="4">
        <f t="shared" si="567"/>
        <v>926688.00000000012</v>
      </c>
      <c r="V8422" s="3"/>
      <c r="W8422" s="3">
        <v>2014</v>
      </c>
      <c r="X8422" s="3"/>
    </row>
    <row r="8423" spans="1:24" ht="89.25">
      <c r="A8423" s="3" t="s">
        <v>17756</v>
      </c>
      <c r="B8423" s="6" t="s">
        <v>361</v>
      </c>
      <c r="C8423" s="6" t="s">
        <v>17797</v>
      </c>
      <c r="D8423" s="6" t="s">
        <v>17798</v>
      </c>
      <c r="E8423" s="6" t="s">
        <v>17799</v>
      </c>
      <c r="F8423" s="6" t="s">
        <v>17800</v>
      </c>
      <c r="G8423" s="3" t="s">
        <v>11450</v>
      </c>
      <c r="H8423" s="54">
        <v>0</v>
      </c>
      <c r="I8423" s="16">
        <v>470000000</v>
      </c>
      <c r="J8423" s="157" t="s">
        <v>229</v>
      </c>
      <c r="K8423" s="5" t="s">
        <v>8950</v>
      </c>
      <c r="L8423" s="17" t="s">
        <v>11411</v>
      </c>
      <c r="M8423" s="3" t="s">
        <v>230</v>
      </c>
      <c r="N8423" s="65" t="s">
        <v>521</v>
      </c>
      <c r="O8423" s="6" t="s">
        <v>4568</v>
      </c>
      <c r="P8423" s="58" t="s">
        <v>237</v>
      </c>
      <c r="Q8423" s="6" t="s">
        <v>238</v>
      </c>
      <c r="R8423" s="118">
        <v>1000</v>
      </c>
      <c r="S8423" s="2">
        <v>156</v>
      </c>
      <c r="T8423" s="4">
        <v>0</v>
      </c>
      <c r="U8423" s="4">
        <f t="shared" si="567"/>
        <v>0</v>
      </c>
      <c r="V8423" s="3"/>
      <c r="W8423" s="3">
        <v>2014</v>
      </c>
      <c r="X8423" s="3">
        <v>11</v>
      </c>
    </row>
    <row r="8424" spans="1:24" ht="89.25">
      <c r="A8424" s="3" t="s">
        <v>18552</v>
      </c>
      <c r="B8424" s="6" t="s">
        <v>361</v>
      </c>
      <c r="C8424" s="6" t="s">
        <v>17797</v>
      </c>
      <c r="D8424" s="6" t="s">
        <v>17798</v>
      </c>
      <c r="E8424" s="6" t="s">
        <v>17799</v>
      </c>
      <c r="F8424" s="6" t="s">
        <v>17800</v>
      </c>
      <c r="G8424" s="3" t="s">
        <v>11450</v>
      </c>
      <c r="H8424" s="54">
        <v>0</v>
      </c>
      <c r="I8424" s="16">
        <v>470000000</v>
      </c>
      <c r="J8424" s="157" t="s">
        <v>229</v>
      </c>
      <c r="K8424" s="5" t="s">
        <v>9369</v>
      </c>
      <c r="L8424" s="17" t="s">
        <v>11411</v>
      </c>
      <c r="M8424" s="3" t="s">
        <v>230</v>
      </c>
      <c r="N8424" s="65" t="s">
        <v>521</v>
      </c>
      <c r="O8424" s="6" t="s">
        <v>4568</v>
      </c>
      <c r="P8424" s="58" t="s">
        <v>237</v>
      </c>
      <c r="Q8424" s="6" t="s">
        <v>238</v>
      </c>
      <c r="R8424" s="118">
        <v>1000</v>
      </c>
      <c r="S8424" s="2">
        <v>156</v>
      </c>
      <c r="T8424" s="4">
        <f t="shared" ref="T8424" si="578">R8424*S8424</f>
        <v>156000</v>
      </c>
      <c r="U8424" s="4">
        <f t="shared" si="567"/>
        <v>174720.00000000003</v>
      </c>
      <c r="V8424" s="3"/>
      <c r="W8424" s="3">
        <v>2014</v>
      </c>
      <c r="X8424" s="3"/>
    </row>
    <row r="8425" spans="1:24" ht="89.25">
      <c r="A8425" s="3" t="s">
        <v>17757</v>
      </c>
      <c r="B8425" s="6" t="s">
        <v>361</v>
      </c>
      <c r="C8425" s="6" t="s">
        <v>17801</v>
      </c>
      <c r="D8425" s="6" t="s">
        <v>17802</v>
      </c>
      <c r="E8425" s="6" t="s">
        <v>17803</v>
      </c>
      <c r="F8425" s="6" t="s">
        <v>17804</v>
      </c>
      <c r="G8425" s="3" t="s">
        <v>11450</v>
      </c>
      <c r="H8425" s="54">
        <v>0</v>
      </c>
      <c r="I8425" s="16">
        <v>470000000</v>
      </c>
      <c r="J8425" s="157" t="s">
        <v>229</v>
      </c>
      <c r="K8425" s="5" t="s">
        <v>8950</v>
      </c>
      <c r="L8425" s="17" t="s">
        <v>11411</v>
      </c>
      <c r="M8425" s="3" t="s">
        <v>230</v>
      </c>
      <c r="N8425" s="65" t="s">
        <v>521</v>
      </c>
      <c r="O8425" s="6" t="s">
        <v>4568</v>
      </c>
      <c r="P8425" s="58" t="s">
        <v>243</v>
      </c>
      <c r="Q8425" s="37" t="s">
        <v>244</v>
      </c>
      <c r="R8425" s="118">
        <v>20.5</v>
      </c>
      <c r="S8425" s="2">
        <v>5876</v>
      </c>
      <c r="T8425" s="4">
        <v>0</v>
      </c>
      <c r="U8425" s="4">
        <f t="shared" si="567"/>
        <v>0</v>
      </c>
      <c r="V8425" s="3"/>
      <c r="W8425" s="3">
        <v>2014</v>
      </c>
      <c r="X8425" s="3">
        <v>11</v>
      </c>
    </row>
    <row r="8426" spans="1:24" ht="89.25">
      <c r="A8426" s="3" t="s">
        <v>18548</v>
      </c>
      <c r="B8426" s="6" t="s">
        <v>361</v>
      </c>
      <c r="C8426" s="6" t="s">
        <v>17801</v>
      </c>
      <c r="D8426" s="6" t="s">
        <v>17802</v>
      </c>
      <c r="E8426" s="6" t="s">
        <v>17803</v>
      </c>
      <c r="F8426" s="6" t="s">
        <v>17804</v>
      </c>
      <c r="G8426" s="3" t="s">
        <v>11450</v>
      </c>
      <c r="H8426" s="54">
        <v>0</v>
      </c>
      <c r="I8426" s="16">
        <v>470000000</v>
      </c>
      <c r="J8426" s="157" t="s">
        <v>229</v>
      </c>
      <c r="K8426" s="5" t="s">
        <v>9369</v>
      </c>
      <c r="L8426" s="17" t="s">
        <v>11411</v>
      </c>
      <c r="M8426" s="3" t="s">
        <v>230</v>
      </c>
      <c r="N8426" s="65" t="s">
        <v>521</v>
      </c>
      <c r="O8426" s="6" t="s">
        <v>4568</v>
      </c>
      <c r="P8426" s="58" t="s">
        <v>243</v>
      </c>
      <c r="Q8426" s="37" t="s">
        <v>244</v>
      </c>
      <c r="R8426" s="118">
        <v>20.5</v>
      </c>
      <c r="S8426" s="2">
        <v>5876</v>
      </c>
      <c r="T8426" s="4">
        <f t="shared" ref="T8426" si="579">R8426*S8426</f>
        <v>120458</v>
      </c>
      <c r="U8426" s="4">
        <f t="shared" si="567"/>
        <v>134912.96000000002</v>
      </c>
      <c r="V8426" s="3"/>
      <c r="W8426" s="3">
        <v>2014</v>
      </c>
      <c r="X8426" s="3"/>
    </row>
    <row r="8427" spans="1:24" ht="89.25">
      <c r="A8427" s="3" t="s">
        <v>17758</v>
      </c>
      <c r="B8427" s="6" t="s">
        <v>361</v>
      </c>
      <c r="C8427" s="6" t="s">
        <v>17871</v>
      </c>
      <c r="D8427" s="6" t="s">
        <v>14563</v>
      </c>
      <c r="E8427" s="6" t="s">
        <v>17872</v>
      </c>
      <c r="F8427" s="6" t="s">
        <v>17805</v>
      </c>
      <c r="G8427" s="3" t="s">
        <v>11450</v>
      </c>
      <c r="H8427" s="54">
        <v>0</v>
      </c>
      <c r="I8427" s="16">
        <v>470000000</v>
      </c>
      <c r="J8427" s="157" t="s">
        <v>229</v>
      </c>
      <c r="K8427" s="5" t="s">
        <v>8950</v>
      </c>
      <c r="L8427" s="17" t="s">
        <v>11411</v>
      </c>
      <c r="M8427" s="3" t="s">
        <v>230</v>
      </c>
      <c r="N8427" s="65" t="s">
        <v>521</v>
      </c>
      <c r="O8427" s="6" t="s">
        <v>4568</v>
      </c>
      <c r="P8427" s="58" t="s">
        <v>252</v>
      </c>
      <c r="Q8427" s="6" t="s">
        <v>253</v>
      </c>
      <c r="R8427" s="118">
        <v>400</v>
      </c>
      <c r="S8427" s="2">
        <v>7525</v>
      </c>
      <c r="T8427" s="4">
        <v>0</v>
      </c>
      <c r="U8427" s="4">
        <f t="shared" si="567"/>
        <v>0</v>
      </c>
      <c r="V8427" s="3"/>
      <c r="W8427" s="3">
        <v>2014</v>
      </c>
      <c r="X8427" s="3">
        <v>11</v>
      </c>
    </row>
    <row r="8428" spans="1:24" ht="89.25">
      <c r="A8428" s="3" t="s">
        <v>18549</v>
      </c>
      <c r="B8428" s="6" t="s">
        <v>361</v>
      </c>
      <c r="C8428" s="6" t="s">
        <v>17871</v>
      </c>
      <c r="D8428" s="6" t="s">
        <v>14563</v>
      </c>
      <c r="E8428" s="6" t="s">
        <v>17872</v>
      </c>
      <c r="F8428" s="6" t="s">
        <v>17805</v>
      </c>
      <c r="G8428" s="3" t="s">
        <v>11450</v>
      </c>
      <c r="H8428" s="54">
        <v>0</v>
      </c>
      <c r="I8428" s="16">
        <v>470000000</v>
      </c>
      <c r="J8428" s="157" t="s">
        <v>229</v>
      </c>
      <c r="K8428" s="5" t="s">
        <v>9369</v>
      </c>
      <c r="L8428" s="17" t="s">
        <v>11411</v>
      </c>
      <c r="M8428" s="3" t="s">
        <v>230</v>
      </c>
      <c r="N8428" s="65" t="s">
        <v>521</v>
      </c>
      <c r="O8428" s="6" t="s">
        <v>4568</v>
      </c>
      <c r="P8428" s="58" t="s">
        <v>252</v>
      </c>
      <c r="Q8428" s="6" t="s">
        <v>253</v>
      </c>
      <c r="R8428" s="118">
        <v>400</v>
      </c>
      <c r="S8428" s="2">
        <v>7525</v>
      </c>
      <c r="T8428" s="4">
        <f t="shared" ref="T8428" si="580">R8428*S8428</f>
        <v>3010000</v>
      </c>
      <c r="U8428" s="4">
        <f t="shared" si="567"/>
        <v>3371200.0000000005</v>
      </c>
      <c r="V8428" s="3"/>
      <c r="W8428" s="3">
        <v>2014</v>
      </c>
      <c r="X8428" s="3"/>
    </row>
    <row r="8429" spans="1:24" ht="89.25">
      <c r="A8429" s="3" t="s">
        <v>17759</v>
      </c>
      <c r="B8429" s="6" t="s">
        <v>361</v>
      </c>
      <c r="C8429" s="6" t="s">
        <v>17873</v>
      </c>
      <c r="D8429" s="6" t="s">
        <v>17874</v>
      </c>
      <c r="E8429" s="6" t="s">
        <v>17875</v>
      </c>
      <c r="F8429" s="6" t="s">
        <v>17806</v>
      </c>
      <c r="G8429" s="3" t="s">
        <v>11450</v>
      </c>
      <c r="H8429" s="54">
        <v>0</v>
      </c>
      <c r="I8429" s="16">
        <v>470000000</v>
      </c>
      <c r="J8429" s="157" t="s">
        <v>229</v>
      </c>
      <c r="K8429" s="5" t="s">
        <v>8950</v>
      </c>
      <c r="L8429" s="17" t="s">
        <v>11411</v>
      </c>
      <c r="M8429" s="3" t="s">
        <v>230</v>
      </c>
      <c r="N8429" s="65" t="s">
        <v>521</v>
      </c>
      <c r="O8429" s="6" t="s">
        <v>4568</v>
      </c>
      <c r="P8429" s="58" t="s">
        <v>241</v>
      </c>
      <c r="Q8429" s="6" t="s">
        <v>234</v>
      </c>
      <c r="R8429" s="118">
        <v>600</v>
      </c>
      <c r="S8429" s="2">
        <v>3778</v>
      </c>
      <c r="T8429" s="4">
        <v>0</v>
      </c>
      <c r="U8429" s="4">
        <f t="shared" si="567"/>
        <v>0</v>
      </c>
      <c r="V8429" s="3"/>
      <c r="W8429" s="3">
        <v>2014</v>
      </c>
      <c r="X8429" s="3">
        <v>11</v>
      </c>
    </row>
    <row r="8430" spans="1:24" ht="89.25">
      <c r="A8430" s="3" t="s">
        <v>18550</v>
      </c>
      <c r="B8430" s="6" t="s">
        <v>361</v>
      </c>
      <c r="C8430" s="6" t="s">
        <v>17873</v>
      </c>
      <c r="D8430" s="6" t="s">
        <v>17874</v>
      </c>
      <c r="E8430" s="6" t="s">
        <v>17875</v>
      </c>
      <c r="F8430" s="6" t="s">
        <v>17806</v>
      </c>
      <c r="G8430" s="3" t="s">
        <v>11450</v>
      </c>
      <c r="H8430" s="54">
        <v>0</v>
      </c>
      <c r="I8430" s="16">
        <v>470000000</v>
      </c>
      <c r="J8430" s="157" t="s">
        <v>229</v>
      </c>
      <c r="K8430" s="5" t="s">
        <v>9369</v>
      </c>
      <c r="L8430" s="17" t="s">
        <v>11411</v>
      </c>
      <c r="M8430" s="3" t="s">
        <v>230</v>
      </c>
      <c r="N8430" s="65" t="s">
        <v>521</v>
      </c>
      <c r="O8430" s="6" t="s">
        <v>4568</v>
      </c>
      <c r="P8430" s="58" t="s">
        <v>241</v>
      </c>
      <c r="Q8430" s="6" t="s">
        <v>234</v>
      </c>
      <c r="R8430" s="118">
        <v>600</v>
      </c>
      <c r="S8430" s="2">
        <v>3778</v>
      </c>
      <c r="T8430" s="4">
        <f t="shared" ref="T8430" si="581">R8430*S8430</f>
        <v>2266800</v>
      </c>
      <c r="U8430" s="4">
        <f t="shared" si="567"/>
        <v>2538816.0000000005</v>
      </c>
      <c r="V8430" s="3"/>
      <c r="W8430" s="3">
        <v>2014</v>
      </c>
      <c r="X8430" s="3"/>
    </row>
    <row r="8431" spans="1:24" ht="114.75">
      <c r="A8431" s="3" t="s">
        <v>17815</v>
      </c>
      <c r="B8431" s="6" t="s">
        <v>361</v>
      </c>
      <c r="C8431" s="6" t="s">
        <v>17807</v>
      </c>
      <c r="D8431" s="6" t="s">
        <v>17808</v>
      </c>
      <c r="E8431" s="6" t="s">
        <v>17809</v>
      </c>
      <c r="F8431" s="6" t="s">
        <v>17810</v>
      </c>
      <c r="G8431" s="3" t="s">
        <v>11449</v>
      </c>
      <c r="H8431" s="54">
        <v>0</v>
      </c>
      <c r="I8431" s="16">
        <v>470000000</v>
      </c>
      <c r="J8431" s="157" t="s">
        <v>229</v>
      </c>
      <c r="K8431" s="5" t="s">
        <v>8950</v>
      </c>
      <c r="L8431" s="17" t="s">
        <v>11411</v>
      </c>
      <c r="M8431" s="3" t="s">
        <v>230</v>
      </c>
      <c r="N8431" s="65" t="s">
        <v>521</v>
      </c>
      <c r="O8431" s="6" t="s">
        <v>4568</v>
      </c>
      <c r="P8431" s="58" t="s">
        <v>243</v>
      </c>
      <c r="Q8431" s="37" t="s">
        <v>244</v>
      </c>
      <c r="R8431" s="118">
        <v>350</v>
      </c>
      <c r="S8431" s="2">
        <v>59871</v>
      </c>
      <c r="T8431" s="4">
        <v>0</v>
      </c>
      <c r="U8431" s="4">
        <f t="shared" si="567"/>
        <v>0</v>
      </c>
      <c r="V8431" s="3"/>
      <c r="W8431" s="3">
        <v>2014</v>
      </c>
      <c r="X8431" s="3">
        <v>11</v>
      </c>
    </row>
    <row r="8432" spans="1:24" ht="114.75">
      <c r="A8432" s="3" t="s">
        <v>18537</v>
      </c>
      <c r="B8432" s="6" t="s">
        <v>361</v>
      </c>
      <c r="C8432" s="6" t="s">
        <v>17807</v>
      </c>
      <c r="D8432" s="6" t="s">
        <v>17808</v>
      </c>
      <c r="E8432" s="6" t="s">
        <v>17809</v>
      </c>
      <c r="F8432" s="6" t="s">
        <v>17810</v>
      </c>
      <c r="G8432" s="3" t="s">
        <v>11449</v>
      </c>
      <c r="H8432" s="54">
        <v>0</v>
      </c>
      <c r="I8432" s="16">
        <v>470000000</v>
      </c>
      <c r="J8432" s="157" t="s">
        <v>229</v>
      </c>
      <c r="K8432" s="5" t="s">
        <v>9369</v>
      </c>
      <c r="L8432" s="17" t="s">
        <v>11411</v>
      </c>
      <c r="M8432" s="3" t="s">
        <v>230</v>
      </c>
      <c r="N8432" s="65" t="s">
        <v>521</v>
      </c>
      <c r="O8432" s="6" t="s">
        <v>4568</v>
      </c>
      <c r="P8432" s="58" t="s">
        <v>243</v>
      </c>
      <c r="Q8432" s="37" t="s">
        <v>244</v>
      </c>
      <c r="R8432" s="118">
        <v>350</v>
      </c>
      <c r="S8432" s="2">
        <v>59871</v>
      </c>
      <c r="T8432" s="4">
        <f t="shared" ref="T8432" si="582">R8432*S8432</f>
        <v>20954850</v>
      </c>
      <c r="U8432" s="4">
        <f t="shared" si="567"/>
        <v>23469432.000000004</v>
      </c>
      <c r="V8432" s="3"/>
      <c r="W8432" s="3">
        <v>2014</v>
      </c>
      <c r="X8432" s="3"/>
    </row>
    <row r="8433" spans="1:24" ht="89.25">
      <c r="A8433" s="3" t="s">
        <v>17816</v>
      </c>
      <c r="B8433" s="6" t="s">
        <v>361</v>
      </c>
      <c r="C8433" s="6" t="s">
        <v>17811</v>
      </c>
      <c r="D8433" s="6" t="s">
        <v>17812</v>
      </c>
      <c r="E8433" s="6" t="s">
        <v>17813</v>
      </c>
      <c r="F8433" s="6" t="s">
        <v>17814</v>
      </c>
      <c r="G8433" s="3" t="s">
        <v>11450</v>
      </c>
      <c r="H8433" s="54">
        <v>0</v>
      </c>
      <c r="I8433" s="16">
        <v>470000000</v>
      </c>
      <c r="J8433" s="157" t="s">
        <v>229</v>
      </c>
      <c r="K8433" s="5" t="s">
        <v>8950</v>
      </c>
      <c r="L8433" s="17" t="s">
        <v>11411</v>
      </c>
      <c r="M8433" s="3" t="s">
        <v>230</v>
      </c>
      <c r="N8433" s="65" t="s">
        <v>521</v>
      </c>
      <c r="O8433" s="6" t="s">
        <v>4568</v>
      </c>
      <c r="P8433" s="58" t="s">
        <v>245</v>
      </c>
      <c r="Q8433" s="6" t="s">
        <v>246</v>
      </c>
      <c r="R8433" s="118">
        <v>1300</v>
      </c>
      <c r="S8433" s="2">
        <v>286</v>
      </c>
      <c r="T8433" s="4">
        <v>0</v>
      </c>
      <c r="U8433" s="4">
        <f t="shared" si="567"/>
        <v>0</v>
      </c>
      <c r="V8433" s="3"/>
      <c r="W8433" s="3">
        <v>2014</v>
      </c>
      <c r="X8433" s="3">
        <v>11</v>
      </c>
    </row>
    <row r="8434" spans="1:24" ht="89.25">
      <c r="A8434" s="3" t="s">
        <v>18551</v>
      </c>
      <c r="B8434" s="6" t="s">
        <v>361</v>
      </c>
      <c r="C8434" s="6" t="s">
        <v>17811</v>
      </c>
      <c r="D8434" s="6" t="s">
        <v>17812</v>
      </c>
      <c r="E8434" s="6" t="s">
        <v>17813</v>
      </c>
      <c r="F8434" s="6" t="s">
        <v>17814</v>
      </c>
      <c r="G8434" s="3" t="s">
        <v>11450</v>
      </c>
      <c r="H8434" s="54">
        <v>0</v>
      </c>
      <c r="I8434" s="16">
        <v>470000000</v>
      </c>
      <c r="J8434" s="157" t="s">
        <v>229</v>
      </c>
      <c r="K8434" s="5" t="s">
        <v>9369</v>
      </c>
      <c r="L8434" s="17" t="s">
        <v>11411</v>
      </c>
      <c r="M8434" s="3" t="s">
        <v>230</v>
      </c>
      <c r="N8434" s="65" t="s">
        <v>521</v>
      </c>
      <c r="O8434" s="6" t="s">
        <v>4568</v>
      </c>
      <c r="P8434" s="58" t="s">
        <v>245</v>
      </c>
      <c r="Q8434" s="6" t="s">
        <v>246</v>
      </c>
      <c r="R8434" s="118">
        <v>1300</v>
      </c>
      <c r="S8434" s="2">
        <v>286</v>
      </c>
      <c r="T8434" s="4">
        <f t="shared" ref="T8434" si="583">R8434*S8434</f>
        <v>371800</v>
      </c>
      <c r="U8434" s="4">
        <f t="shared" si="567"/>
        <v>416416.00000000006</v>
      </c>
      <c r="V8434" s="3"/>
      <c r="W8434" s="3">
        <v>2014</v>
      </c>
      <c r="X8434" s="3"/>
    </row>
    <row r="8435" spans="1:24" ht="89.25">
      <c r="A8435" s="3" t="s">
        <v>17828</v>
      </c>
      <c r="B8435" s="6" t="s">
        <v>361</v>
      </c>
      <c r="C8435" s="6" t="s">
        <v>3189</v>
      </c>
      <c r="D8435" s="6" t="s">
        <v>3014</v>
      </c>
      <c r="E8435" s="6" t="s">
        <v>3190</v>
      </c>
      <c r="F8435" s="6" t="s">
        <v>17827</v>
      </c>
      <c r="G8435" s="3" t="s">
        <v>11450</v>
      </c>
      <c r="H8435" s="54">
        <v>0</v>
      </c>
      <c r="I8435" s="16">
        <v>470000000</v>
      </c>
      <c r="J8435" s="157" t="s">
        <v>229</v>
      </c>
      <c r="K8435" s="5" t="s">
        <v>8950</v>
      </c>
      <c r="L8435" s="17" t="s">
        <v>11411</v>
      </c>
      <c r="M8435" s="3" t="s">
        <v>230</v>
      </c>
      <c r="N8435" s="6" t="s">
        <v>528</v>
      </c>
      <c r="O8435" s="6" t="s">
        <v>233</v>
      </c>
      <c r="P8435" s="58" t="s">
        <v>241</v>
      </c>
      <c r="Q8435" s="31" t="s">
        <v>234</v>
      </c>
      <c r="R8435" s="3">
        <v>4</v>
      </c>
      <c r="S8435" s="59">
        <v>11428.8</v>
      </c>
      <c r="T8435" s="4">
        <f t="shared" si="569"/>
        <v>45715.199999999997</v>
      </c>
      <c r="U8435" s="4">
        <f t="shared" si="567"/>
        <v>51201.024000000005</v>
      </c>
      <c r="V8435" s="3"/>
      <c r="W8435" s="3">
        <v>2014</v>
      </c>
      <c r="X8435" s="3"/>
    </row>
    <row r="8436" spans="1:24" ht="89.25">
      <c r="A8436" s="3" t="s">
        <v>17851</v>
      </c>
      <c r="B8436" s="6" t="s">
        <v>361</v>
      </c>
      <c r="C8436" s="6" t="s">
        <v>3189</v>
      </c>
      <c r="D8436" s="6" t="s">
        <v>3014</v>
      </c>
      <c r="E8436" s="6" t="s">
        <v>3190</v>
      </c>
      <c r="F8436" s="6" t="s">
        <v>17852</v>
      </c>
      <c r="G8436" s="3" t="s">
        <v>11450</v>
      </c>
      <c r="H8436" s="54">
        <v>0</v>
      </c>
      <c r="I8436" s="16">
        <v>470000000</v>
      </c>
      <c r="J8436" s="157" t="s">
        <v>229</v>
      </c>
      <c r="K8436" s="5" t="s">
        <v>16428</v>
      </c>
      <c r="L8436" s="17" t="s">
        <v>11411</v>
      </c>
      <c r="M8436" s="3" t="s">
        <v>230</v>
      </c>
      <c r="N8436" s="6" t="s">
        <v>528</v>
      </c>
      <c r="O8436" s="6" t="s">
        <v>233</v>
      </c>
      <c r="P8436" s="58" t="s">
        <v>241</v>
      </c>
      <c r="Q8436" s="31" t="s">
        <v>234</v>
      </c>
      <c r="R8436" s="3">
        <v>18</v>
      </c>
      <c r="S8436" s="59">
        <v>1605.6</v>
      </c>
      <c r="T8436" s="4">
        <v>0</v>
      </c>
      <c r="U8436" s="4">
        <f t="shared" si="567"/>
        <v>0</v>
      </c>
      <c r="V8436" s="3"/>
      <c r="W8436" s="3">
        <v>2014</v>
      </c>
      <c r="X8436" s="3" t="s">
        <v>18889</v>
      </c>
    </row>
    <row r="8437" spans="1:24" ht="89.25">
      <c r="A8437" s="3" t="s">
        <v>18888</v>
      </c>
      <c r="B8437" s="6" t="s">
        <v>361</v>
      </c>
      <c r="C8437" s="6" t="s">
        <v>3189</v>
      </c>
      <c r="D8437" s="6" t="s">
        <v>3014</v>
      </c>
      <c r="E8437" s="6" t="s">
        <v>3190</v>
      </c>
      <c r="F8437" s="6" t="s">
        <v>17852</v>
      </c>
      <c r="G8437" s="3" t="s">
        <v>11450</v>
      </c>
      <c r="H8437" s="54">
        <v>0.35</v>
      </c>
      <c r="I8437" s="16">
        <v>470000000</v>
      </c>
      <c r="J8437" s="157" t="s">
        <v>229</v>
      </c>
      <c r="K8437" s="5" t="s">
        <v>18437</v>
      </c>
      <c r="L8437" s="17" t="s">
        <v>11411</v>
      </c>
      <c r="M8437" s="3" t="s">
        <v>230</v>
      </c>
      <c r="N8437" s="6" t="s">
        <v>528</v>
      </c>
      <c r="O8437" s="6" t="s">
        <v>233</v>
      </c>
      <c r="P8437" s="58" t="s">
        <v>241</v>
      </c>
      <c r="Q8437" s="31" t="s">
        <v>234</v>
      </c>
      <c r="R8437" s="3">
        <v>75</v>
      </c>
      <c r="S8437" s="59">
        <v>1605.6</v>
      </c>
      <c r="T8437" s="4">
        <f t="shared" ref="T8437" si="584">R8437*S8437</f>
        <v>120420</v>
      </c>
      <c r="U8437" s="4">
        <f t="shared" ref="U8437:U8500" si="585">T8437*1.12</f>
        <v>134870.40000000002</v>
      </c>
      <c r="V8437" s="3" t="s">
        <v>362</v>
      </c>
      <c r="W8437" s="3">
        <v>2014</v>
      </c>
      <c r="X8437" s="3"/>
    </row>
    <row r="8438" spans="1:24" ht="89.25">
      <c r="A8438" s="3" t="s">
        <v>17862</v>
      </c>
      <c r="B8438" s="6" t="s">
        <v>361</v>
      </c>
      <c r="C8438" s="6" t="s">
        <v>4098</v>
      </c>
      <c r="D8438" s="6" t="s">
        <v>4099</v>
      </c>
      <c r="E8438" s="6" t="s">
        <v>4100</v>
      </c>
      <c r="F8438" s="6" t="s">
        <v>18063</v>
      </c>
      <c r="G8438" s="3" t="s">
        <v>605</v>
      </c>
      <c r="H8438" s="54">
        <v>0</v>
      </c>
      <c r="I8438" s="16">
        <v>470000000</v>
      </c>
      <c r="J8438" s="157" t="s">
        <v>229</v>
      </c>
      <c r="K8438" s="5" t="s">
        <v>8950</v>
      </c>
      <c r="L8438" s="17" t="s">
        <v>11411</v>
      </c>
      <c r="M8438" s="3" t="s">
        <v>230</v>
      </c>
      <c r="N8438" s="6" t="s">
        <v>8914</v>
      </c>
      <c r="O8438" s="6" t="s">
        <v>4568</v>
      </c>
      <c r="P8438" s="58" t="s">
        <v>241</v>
      </c>
      <c r="Q8438" s="31" t="s">
        <v>234</v>
      </c>
      <c r="R8438" s="18">
        <v>2</v>
      </c>
      <c r="S8438" s="13">
        <v>7200</v>
      </c>
      <c r="T8438" s="4">
        <v>0</v>
      </c>
      <c r="U8438" s="4">
        <f t="shared" si="585"/>
        <v>0</v>
      </c>
      <c r="V8438" s="3"/>
      <c r="W8438" s="3">
        <v>2014</v>
      </c>
      <c r="X8438" s="3" t="s">
        <v>18884</v>
      </c>
    </row>
    <row r="8439" spans="1:24" ht="89.25">
      <c r="A8439" s="3" t="s">
        <v>18812</v>
      </c>
      <c r="B8439" s="6" t="s">
        <v>361</v>
      </c>
      <c r="C8439" s="6" t="s">
        <v>4098</v>
      </c>
      <c r="D8439" s="6" t="s">
        <v>4099</v>
      </c>
      <c r="E8439" s="6" t="s">
        <v>4100</v>
      </c>
      <c r="F8439" s="6" t="s">
        <v>18814</v>
      </c>
      <c r="G8439" s="3" t="s">
        <v>11450</v>
      </c>
      <c r="H8439" s="54">
        <v>0</v>
      </c>
      <c r="I8439" s="16">
        <v>470000000</v>
      </c>
      <c r="J8439" s="157" t="s">
        <v>229</v>
      </c>
      <c r="K8439" s="5" t="s">
        <v>18748</v>
      </c>
      <c r="L8439" s="17" t="s">
        <v>11411</v>
      </c>
      <c r="M8439" s="3" t="s">
        <v>230</v>
      </c>
      <c r="N8439" s="6" t="s">
        <v>8914</v>
      </c>
      <c r="O8439" s="6" t="s">
        <v>4568</v>
      </c>
      <c r="P8439" s="58" t="s">
        <v>241</v>
      </c>
      <c r="Q8439" s="31" t="s">
        <v>234</v>
      </c>
      <c r="R8439" s="18">
        <v>2</v>
      </c>
      <c r="S8439" s="13">
        <v>7200</v>
      </c>
      <c r="T8439" s="4">
        <f t="shared" ref="T8439" si="586">R8439*S8439</f>
        <v>14400</v>
      </c>
      <c r="U8439" s="4">
        <f t="shared" si="585"/>
        <v>16128.000000000002</v>
      </c>
      <c r="V8439" s="3"/>
      <c r="W8439" s="3">
        <v>2014</v>
      </c>
      <c r="X8439" s="3"/>
    </row>
    <row r="8440" spans="1:24" ht="89.25">
      <c r="A8440" s="3" t="s">
        <v>17863</v>
      </c>
      <c r="B8440" s="6" t="s">
        <v>361</v>
      </c>
      <c r="C8440" s="6" t="s">
        <v>4098</v>
      </c>
      <c r="D8440" s="6" t="s">
        <v>4099</v>
      </c>
      <c r="E8440" s="6" t="s">
        <v>4100</v>
      </c>
      <c r="F8440" s="6" t="s">
        <v>17888</v>
      </c>
      <c r="G8440" s="3" t="s">
        <v>605</v>
      </c>
      <c r="H8440" s="54">
        <v>0</v>
      </c>
      <c r="I8440" s="16">
        <v>470000000</v>
      </c>
      <c r="J8440" s="157" t="s">
        <v>229</v>
      </c>
      <c r="K8440" s="5" t="s">
        <v>8950</v>
      </c>
      <c r="L8440" s="17" t="s">
        <v>11411</v>
      </c>
      <c r="M8440" s="3" t="s">
        <v>230</v>
      </c>
      <c r="N8440" s="6" t="s">
        <v>8914</v>
      </c>
      <c r="O8440" s="6" t="s">
        <v>4568</v>
      </c>
      <c r="P8440" s="58" t="s">
        <v>241</v>
      </c>
      <c r="Q8440" s="31" t="s">
        <v>234</v>
      </c>
      <c r="R8440" s="18">
        <v>3</v>
      </c>
      <c r="S8440" s="13">
        <v>17760</v>
      </c>
      <c r="T8440" s="4">
        <v>0</v>
      </c>
      <c r="U8440" s="4">
        <f t="shared" si="585"/>
        <v>0</v>
      </c>
      <c r="V8440" s="3"/>
      <c r="W8440" s="3">
        <v>2014</v>
      </c>
      <c r="X8440" s="6" t="s">
        <v>18815</v>
      </c>
    </row>
    <row r="8441" spans="1:24" ht="89.25">
      <c r="A8441" s="3" t="s">
        <v>18813</v>
      </c>
      <c r="B8441" s="6" t="s">
        <v>361</v>
      </c>
      <c r="C8441" s="6" t="s">
        <v>4098</v>
      </c>
      <c r="D8441" s="6" t="s">
        <v>4099</v>
      </c>
      <c r="E8441" s="6" t="s">
        <v>4100</v>
      </c>
      <c r="F8441" s="6" t="s">
        <v>18885</v>
      </c>
      <c r="G8441" s="3" t="s">
        <v>11450</v>
      </c>
      <c r="H8441" s="54">
        <v>0</v>
      </c>
      <c r="I8441" s="16">
        <v>470000000</v>
      </c>
      <c r="J8441" s="157" t="s">
        <v>229</v>
      </c>
      <c r="K8441" s="5" t="s">
        <v>18748</v>
      </c>
      <c r="L8441" s="17" t="s">
        <v>11411</v>
      </c>
      <c r="M8441" s="3" t="s">
        <v>230</v>
      </c>
      <c r="N8441" s="6" t="s">
        <v>8914</v>
      </c>
      <c r="O8441" s="6" t="s">
        <v>4568</v>
      </c>
      <c r="P8441" s="58" t="s">
        <v>241</v>
      </c>
      <c r="Q8441" s="31" t="s">
        <v>234</v>
      </c>
      <c r="R8441" s="18">
        <v>18</v>
      </c>
      <c r="S8441" s="13">
        <v>17760</v>
      </c>
      <c r="T8441" s="4">
        <f t="shared" ref="T8441" si="587">R8441*S8441</f>
        <v>319680</v>
      </c>
      <c r="U8441" s="4">
        <f t="shared" si="585"/>
        <v>358041.60000000003</v>
      </c>
      <c r="V8441" s="3"/>
      <c r="W8441" s="3">
        <v>2014</v>
      </c>
      <c r="X8441" s="3"/>
    </row>
    <row r="8442" spans="1:24" ht="89.25">
      <c r="A8442" s="3" t="s">
        <v>17864</v>
      </c>
      <c r="B8442" s="6" t="s">
        <v>361</v>
      </c>
      <c r="C8442" s="6" t="s">
        <v>4098</v>
      </c>
      <c r="D8442" s="6" t="s">
        <v>4099</v>
      </c>
      <c r="E8442" s="6" t="s">
        <v>4100</v>
      </c>
      <c r="F8442" s="6" t="s">
        <v>18151</v>
      </c>
      <c r="G8442" s="3" t="s">
        <v>605</v>
      </c>
      <c r="H8442" s="54">
        <v>0</v>
      </c>
      <c r="I8442" s="16">
        <v>470000000</v>
      </c>
      <c r="J8442" s="157" t="s">
        <v>229</v>
      </c>
      <c r="K8442" s="5" t="s">
        <v>8950</v>
      </c>
      <c r="L8442" s="17" t="s">
        <v>11411</v>
      </c>
      <c r="M8442" s="3" t="s">
        <v>230</v>
      </c>
      <c r="N8442" s="6" t="s">
        <v>8914</v>
      </c>
      <c r="O8442" s="6" t="s">
        <v>4568</v>
      </c>
      <c r="P8442" s="58" t="s">
        <v>241</v>
      </c>
      <c r="Q8442" s="31" t="s">
        <v>234</v>
      </c>
      <c r="R8442" s="18">
        <v>52</v>
      </c>
      <c r="S8442" s="13">
        <v>7200</v>
      </c>
      <c r="T8442" s="4">
        <v>0</v>
      </c>
      <c r="U8442" s="4">
        <f t="shared" si="585"/>
        <v>0</v>
      </c>
      <c r="V8442" s="3"/>
      <c r="W8442" s="3">
        <v>2014</v>
      </c>
      <c r="X8442" s="6" t="s">
        <v>18815</v>
      </c>
    </row>
    <row r="8443" spans="1:24" ht="89.25">
      <c r="A8443" s="3" t="s">
        <v>18816</v>
      </c>
      <c r="B8443" s="6" t="s">
        <v>361</v>
      </c>
      <c r="C8443" s="6" t="s">
        <v>4098</v>
      </c>
      <c r="D8443" s="6" t="s">
        <v>4099</v>
      </c>
      <c r="E8443" s="6" t="s">
        <v>4100</v>
      </c>
      <c r="F8443" s="6" t="s">
        <v>18886</v>
      </c>
      <c r="G8443" s="3" t="s">
        <v>11450</v>
      </c>
      <c r="H8443" s="54">
        <v>0</v>
      </c>
      <c r="I8443" s="16">
        <v>470000000</v>
      </c>
      <c r="J8443" s="157" t="s">
        <v>229</v>
      </c>
      <c r="K8443" s="5" t="s">
        <v>18748</v>
      </c>
      <c r="L8443" s="17" t="s">
        <v>11411</v>
      </c>
      <c r="M8443" s="3" t="s">
        <v>230</v>
      </c>
      <c r="N8443" s="6" t="s">
        <v>8914</v>
      </c>
      <c r="O8443" s="6" t="s">
        <v>4568</v>
      </c>
      <c r="P8443" s="58" t="s">
        <v>241</v>
      </c>
      <c r="Q8443" s="31" t="s">
        <v>234</v>
      </c>
      <c r="R8443" s="18">
        <v>3</v>
      </c>
      <c r="S8443" s="13">
        <v>7200</v>
      </c>
      <c r="T8443" s="4">
        <f t="shared" ref="T8443" si="588">R8443*S8443</f>
        <v>21600</v>
      </c>
      <c r="U8443" s="4">
        <f t="shared" si="585"/>
        <v>24192.000000000004</v>
      </c>
      <c r="V8443" s="3"/>
      <c r="W8443" s="3">
        <v>2014</v>
      </c>
      <c r="X8443" s="3"/>
    </row>
    <row r="8444" spans="1:24" ht="89.25">
      <c r="A8444" s="3" t="s">
        <v>17865</v>
      </c>
      <c r="B8444" s="6" t="s">
        <v>361</v>
      </c>
      <c r="C8444" s="6" t="s">
        <v>4098</v>
      </c>
      <c r="D8444" s="6" t="s">
        <v>4099</v>
      </c>
      <c r="E8444" s="6" t="s">
        <v>4100</v>
      </c>
      <c r="F8444" s="6" t="s">
        <v>17877</v>
      </c>
      <c r="G8444" s="3" t="s">
        <v>605</v>
      </c>
      <c r="H8444" s="54">
        <v>0</v>
      </c>
      <c r="I8444" s="16">
        <v>470000000</v>
      </c>
      <c r="J8444" s="157" t="s">
        <v>229</v>
      </c>
      <c r="K8444" s="5" t="s">
        <v>8950</v>
      </c>
      <c r="L8444" s="17" t="s">
        <v>11411</v>
      </c>
      <c r="M8444" s="3" t="s">
        <v>230</v>
      </c>
      <c r="N8444" s="6" t="s">
        <v>8914</v>
      </c>
      <c r="O8444" s="6" t="s">
        <v>4568</v>
      </c>
      <c r="P8444" s="58" t="s">
        <v>241</v>
      </c>
      <c r="Q8444" s="31" t="s">
        <v>234</v>
      </c>
      <c r="R8444" s="18">
        <v>10</v>
      </c>
      <c r="S8444" s="13">
        <v>7200</v>
      </c>
      <c r="T8444" s="4">
        <v>0</v>
      </c>
      <c r="U8444" s="4">
        <f t="shared" si="585"/>
        <v>0</v>
      </c>
      <c r="V8444" s="3"/>
      <c r="W8444" s="3">
        <v>2014</v>
      </c>
      <c r="X8444" s="3">
        <v>7.11</v>
      </c>
    </row>
    <row r="8445" spans="1:24" ht="89.25">
      <c r="A8445" s="3" t="s">
        <v>18817</v>
      </c>
      <c r="B8445" s="6" t="s">
        <v>361</v>
      </c>
      <c r="C8445" s="6" t="s">
        <v>4098</v>
      </c>
      <c r="D8445" s="6" t="s">
        <v>4099</v>
      </c>
      <c r="E8445" s="6" t="s">
        <v>4100</v>
      </c>
      <c r="F8445" s="6" t="s">
        <v>17877</v>
      </c>
      <c r="G8445" s="3" t="s">
        <v>11450</v>
      </c>
      <c r="H8445" s="54">
        <v>0</v>
      </c>
      <c r="I8445" s="16">
        <v>470000000</v>
      </c>
      <c r="J8445" s="157" t="s">
        <v>229</v>
      </c>
      <c r="K8445" s="5" t="s">
        <v>18748</v>
      </c>
      <c r="L8445" s="17" t="s">
        <v>11411</v>
      </c>
      <c r="M8445" s="3" t="s">
        <v>230</v>
      </c>
      <c r="N8445" s="6" t="s">
        <v>8914</v>
      </c>
      <c r="O8445" s="6" t="s">
        <v>4568</v>
      </c>
      <c r="P8445" s="58" t="s">
        <v>241</v>
      </c>
      <c r="Q8445" s="31" t="s">
        <v>234</v>
      </c>
      <c r="R8445" s="18">
        <v>10</v>
      </c>
      <c r="S8445" s="13">
        <v>7200</v>
      </c>
      <c r="T8445" s="4">
        <f t="shared" ref="T8445" si="589">R8445*S8445</f>
        <v>72000</v>
      </c>
      <c r="U8445" s="4">
        <f t="shared" si="585"/>
        <v>80640.000000000015</v>
      </c>
      <c r="V8445" s="3"/>
      <c r="W8445" s="3">
        <v>2014</v>
      </c>
      <c r="X8445" s="3"/>
    </row>
    <row r="8446" spans="1:24" ht="89.25">
      <c r="A8446" s="3" t="s">
        <v>17883</v>
      </c>
      <c r="B8446" s="6" t="s">
        <v>361</v>
      </c>
      <c r="C8446" s="6" t="s">
        <v>4098</v>
      </c>
      <c r="D8446" s="6" t="s">
        <v>4099</v>
      </c>
      <c r="E8446" s="6" t="s">
        <v>4100</v>
      </c>
      <c r="F8446" s="6" t="s">
        <v>17878</v>
      </c>
      <c r="G8446" s="3" t="s">
        <v>605</v>
      </c>
      <c r="H8446" s="54">
        <v>0</v>
      </c>
      <c r="I8446" s="16">
        <v>470000000</v>
      </c>
      <c r="J8446" s="157" t="s">
        <v>229</v>
      </c>
      <c r="K8446" s="5" t="s">
        <v>8950</v>
      </c>
      <c r="L8446" s="17" t="s">
        <v>11411</v>
      </c>
      <c r="M8446" s="3" t="s">
        <v>230</v>
      </c>
      <c r="N8446" s="6" t="s">
        <v>8914</v>
      </c>
      <c r="O8446" s="6" t="s">
        <v>4568</v>
      </c>
      <c r="P8446" s="58" t="s">
        <v>241</v>
      </c>
      <c r="Q8446" s="31" t="s">
        <v>234</v>
      </c>
      <c r="R8446" s="18">
        <v>10</v>
      </c>
      <c r="S8446" s="13">
        <v>7200</v>
      </c>
      <c r="T8446" s="4">
        <v>0</v>
      </c>
      <c r="U8446" s="4">
        <f t="shared" si="585"/>
        <v>0</v>
      </c>
      <c r="V8446" s="3"/>
      <c r="W8446" s="3">
        <v>2014</v>
      </c>
      <c r="X8446" s="3">
        <v>7.11</v>
      </c>
    </row>
    <row r="8447" spans="1:24" ht="89.25">
      <c r="A8447" s="3" t="s">
        <v>18818</v>
      </c>
      <c r="B8447" s="6" t="s">
        <v>361</v>
      </c>
      <c r="C8447" s="6" t="s">
        <v>4098</v>
      </c>
      <c r="D8447" s="6" t="s">
        <v>4099</v>
      </c>
      <c r="E8447" s="6" t="s">
        <v>4100</v>
      </c>
      <c r="F8447" s="6" t="s">
        <v>17878</v>
      </c>
      <c r="G8447" s="3" t="s">
        <v>11450</v>
      </c>
      <c r="H8447" s="54">
        <v>0</v>
      </c>
      <c r="I8447" s="16">
        <v>470000000</v>
      </c>
      <c r="J8447" s="157" t="s">
        <v>229</v>
      </c>
      <c r="K8447" s="5" t="s">
        <v>18748</v>
      </c>
      <c r="L8447" s="17" t="s">
        <v>11411</v>
      </c>
      <c r="M8447" s="3" t="s">
        <v>230</v>
      </c>
      <c r="N8447" s="6" t="s">
        <v>8914</v>
      </c>
      <c r="O8447" s="6" t="s">
        <v>4568</v>
      </c>
      <c r="P8447" s="58" t="s">
        <v>241</v>
      </c>
      <c r="Q8447" s="31" t="s">
        <v>234</v>
      </c>
      <c r="R8447" s="18">
        <v>10</v>
      </c>
      <c r="S8447" s="13">
        <v>7200</v>
      </c>
      <c r="T8447" s="4">
        <f t="shared" ref="T8447" si="590">R8447*S8447</f>
        <v>72000</v>
      </c>
      <c r="U8447" s="4">
        <f t="shared" si="585"/>
        <v>80640.000000000015</v>
      </c>
      <c r="V8447" s="3"/>
      <c r="W8447" s="3">
        <v>2014</v>
      </c>
      <c r="X8447" s="3"/>
    </row>
    <row r="8448" spans="1:24" ht="89.25">
      <c r="A8448" s="3" t="s">
        <v>17884</v>
      </c>
      <c r="B8448" s="6" t="s">
        <v>361</v>
      </c>
      <c r="C8448" s="6" t="s">
        <v>4098</v>
      </c>
      <c r="D8448" s="6" t="s">
        <v>4099</v>
      </c>
      <c r="E8448" s="6" t="s">
        <v>4100</v>
      </c>
      <c r="F8448" s="6" t="s">
        <v>17879</v>
      </c>
      <c r="G8448" s="3" t="s">
        <v>605</v>
      </c>
      <c r="H8448" s="54">
        <v>0</v>
      </c>
      <c r="I8448" s="16">
        <v>470000000</v>
      </c>
      <c r="J8448" s="157" t="s">
        <v>229</v>
      </c>
      <c r="K8448" s="5" t="s">
        <v>8950</v>
      </c>
      <c r="L8448" s="17" t="s">
        <v>11411</v>
      </c>
      <c r="M8448" s="3" t="s">
        <v>230</v>
      </c>
      <c r="N8448" s="6" t="s">
        <v>8914</v>
      </c>
      <c r="O8448" s="6" t="s">
        <v>4568</v>
      </c>
      <c r="P8448" s="58" t="s">
        <v>241</v>
      </c>
      <c r="Q8448" s="31" t="s">
        <v>234</v>
      </c>
      <c r="R8448" s="18">
        <v>10</v>
      </c>
      <c r="S8448" s="13">
        <v>7200</v>
      </c>
      <c r="T8448" s="4">
        <v>0</v>
      </c>
      <c r="U8448" s="4">
        <f t="shared" si="585"/>
        <v>0</v>
      </c>
      <c r="V8448" s="3"/>
      <c r="W8448" s="3">
        <v>2014</v>
      </c>
      <c r="X8448" s="3">
        <v>7.11</v>
      </c>
    </row>
    <row r="8449" spans="1:24" ht="89.25">
      <c r="A8449" s="3" t="s">
        <v>18819</v>
      </c>
      <c r="B8449" s="6" t="s">
        <v>361</v>
      </c>
      <c r="C8449" s="6" t="s">
        <v>4098</v>
      </c>
      <c r="D8449" s="6" t="s">
        <v>4099</v>
      </c>
      <c r="E8449" s="6" t="s">
        <v>4100</v>
      </c>
      <c r="F8449" s="6" t="s">
        <v>17879</v>
      </c>
      <c r="G8449" s="3" t="s">
        <v>11450</v>
      </c>
      <c r="H8449" s="54">
        <v>0</v>
      </c>
      <c r="I8449" s="16">
        <v>470000000</v>
      </c>
      <c r="J8449" s="157" t="s">
        <v>229</v>
      </c>
      <c r="K8449" s="5" t="s">
        <v>18748</v>
      </c>
      <c r="L8449" s="17" t="s">
        <v>11411</v>
      </c>
      <c r="M8449" s="3" t="s">
        <v>230</v>
      </c>
      <c r="N8449" s="6" t="s">
        <v>8914</v>
      </c>
      <c r="O8449" s="6" t="s">
        <v>4568</v>
      </c>
      <c r="P8449" s="58" t="s">
        <v>241</v>
      </c>
      <c r="Q8449" s="31" t="s">
        <v>234</v>
      </c>
      <c r="R8449" s="18">
        <v>10</v>
      </c>
      <c r="S8449" s="13">
        <v>7200</v>
      </c>
      <c r="T8449" s="4">
        <f t="shared" ref="T8449" si="591">R8449*S8449</f>
        <v>72000</v>
      </c>
      <c r="U8449" s="4">
        <f t="shared" si="585"/>
        <v>80640.000000000015</v>
      </c>
      <c r="V8449" s="3"/>
      <c r="W8449" s="3">
        <v>2014</v>
      </c>
      <c r="X8449" s="3"/>
    </row>
    <row r="8450" spans="1:24" ht="89.25">
      <c r="A8450" s="3" t="s">
        <v>17885</v>
      </c>
      <c r="B8450" s="6" t="s">
        <v>361</v>
      </c>
      <c r="C8450" s="6" t="s">
        <v>4098</v>
      </c>
      <c r="D8450" s="6" t="s">
        <v>4099</v>
      </c>
      <c r="E8450" s="6" t="s">
        <v>4100</v>
      </c>
      <c r="F8450" s="6" t="s">
        <v>17880</v>
      </c>
      <c r="G8450" s="3" t="s">
        <v>605</v>
      </c>
      <c r="H8450" s="54">
        <v>0</v>
      </c>
      <c r="I8450" s="16">
        <v>470000000</v>
      </c>
      <c r="J8450" s="157" t="s">
        <v>229</v>
      </c>
      <c r="K8450" s="5" t="s">
        <v>8950</v>
      </c>
      <c r="L8450" s="17" t="s">
        <v>11411</v>
      </c>
      <c r="M8450" s="3" t="s">
        <v>230</v>
      </c>
      <c r="N8450" s="6" t="s">
        <v>8914</v>
      </c>
      <c r="O8450" s="6" t="s">
        <v>4568</v>
      </c>
      <c r="P8450" s="58" t="s">
        <v>241</v>
      </c>
      <c r="Q8450" s="31" t="s">
        <v>234</v>
      </c>
      <c r="R8450" s="18">
        <v>6</v>
      </c>
      <c r="S8450" s="13">
        <v>7200</v>
      </c>
      <c r="T8450" s="4">
        <v>0</v>
      </c>
      <c r="U8450" s="4">
        <f t="shared" si="585"/>
        <v>0</v>
      </c>
      <c r="V8450" s="3"/>
      <c r="W8450" s="3">
        <v>2014</v>
      </c>
      <c r="X8450" s="3">
        <v>7.11</v>
      </c>
    </row>
    <row r="8451" spans="1:24" ht="89.25">
      <c r="A8451" s="3" t="s">
        <v>18820</v>
      </c>
      <c r="B8451" s="6" t="s">
        <v>361</v>
      </c>
      <c r="C8451" s="6" t="s">
        <v>4098</v>
      </c>
      <c r="D8451" s="6" t="s">
        <v>4099</v>
      </c>
      <c r="E8451" s="6" t="s">
        <v>4100</v>
      </c>
      <c r="F8451" s="6" t="s">
        <v>17880</v>
      </c>
      <c r="G8451" s="3" t="s">
        <v>11450</v>
      </c>
      <c r="H8451" s="54">
        <v>0</v>
      </c>
      <c r="I8451" s="16">
        <v>470000000</v>
      </c>
      <c r="J8451" s="157" t="s">
        <v>229</v>
      </c>
      <c r="K8451" s="5" t="s">
        <v>18748</v>
      </c>
      <c r="L8451" s="17" t="s">
        <v>11411</v>
      </c>
      <c r="M8451" s="3" t="s">
        <v>230</v>
      </c>
      <c r="N8451" s="6" t="s">
        <v>8914</v>
      </c>
      <c r="O8451" s="6" t="s">
        <v>4568</v>
      </c>
      <c r="P8451" s="58" t="s">
        <v>241</v>
      </c>
      <c r="Q8451" s="31" t="s">
        <v>234</v>
      </c>
      <c r="R8451" s="18">
        <v>6</v>
      </c>
      <c r="S8451" s="13">
        <v>7200</v>
      </c>
      <c r="T8451" s="4">
        <f t="shared" ref="T8451" si="592">R8451*S8451</f>
        <v>43200</v>
      </c>
      <c r="U8451" s="4">
        <f t="shared" si="585"/>
        <v>48384.000000000007</v>
      </c>
      <c r="V8451" s="3"/>
      <c r="W8451" s="3">
        <v>2014</v>
      </c>
      <c r="X8451" s="3"/>
    </row>
    <row r="8452" spans="1:24" ht="89.25">
      <c r="A8452" s="3" t="s">
        <v>17886</v>
      </c>
      <c r="B8452" s="6" t="s">
        <v>361</v>
      </c>
      <c r="C8452" s="6" t="s">
        <v>4098</v>
      </c>
      <c r="D8452" s="6" t="s">
        <v>4099</v>
      </c>
      <c r="E8452" s="6" t="s">
        <v>4100</v>
      </c>
      <c r="F8452" s="6" t="s">
        <v>17881</v>
      </c>
      <c r="G8452" s="3" t="s">
        <v>605</v>
      </c>
      <c r="H8452" s="54">
        <v>0</v>
      </c>
      <c r="I8452" s="16">
        <v>470000000</v>
      </c>
      <c r="J8452" s="157" t="s">
        <v>229</v>
      </c>
      <c r="K8452" s="5" t="s">
        <v>8950</v>
      </c>
      <c r="L8452" s="17" t="s">
        <v>11411</v>
      </c>
      <c r="M8452" s="3" t="s">
        <v>230</v>
      </c>
      <c r="N8452" s="6" t="s">
        <v>8914</v>
      </c>
      <c r="O8452" s="6" t="s">
        <v>4568</v>
      </c>
      <c r="P8452" s="58" t="s">
        <v>241</v>
      </c>
      <c r="Q8452" s="31" t="s">
        <v>234</v>
      </c>
      <c r="R8452" s="18">
        <v>6</v>
      </c>
      <c r="S8452" s="13">
        <v>7200</v>
      </c>
      <c r="T8452" s="4">
        <v>0</v>
      </c>
      <c r="U8452" s="4">
        <f t="shared" si="585"/>
        <v>0</v>
      </c>
      <c r="V8452" s="3"/>
      <c r="W8452" s="3">
        <v>2014</v>
      </c>
      <c r="X8452" s="3">
        <v>7.11</v>
      </c>
    </row>
    <row r="8453" spans="1:24" ht="89.25">
      <c r="A8453" s="3" t="s">
        <v>18821</v>
      </c>
      <c r="B8453" s="6" t="s">
        <v>361</v>
      </c>
      <c r="C8453" s="6" t="s">
        <v>4098</v>
      </c>
      <c r="D8453" s="6" t="s">
        <v>4099</v>
      </c>
      <c r="E8453" s="6" t="s">
        <v>4100</v>
      </c>
      <c r="F8453" s="6" t="s">
        <v>17881</v>
      </c>
      <c r="G8453" s="3" t="s">
        <v>11450</v>
      </c>
      <c r="H8453" s="54">
        <v>0</v>
      </c>
      <c r="I8453" s="16">
        <v>470000000</v>
      </c>
      <c r="J8453" s="157" t="s">
        <v>229</v>
      </c>
      <c r="K8453" s="5" t="s">
        <v>18748</v>
      </c>
      <c r="L8453" s="17" t="s">
        <v>11411</v>
      </c>
      <c r="M8453" s="3" t="s">
        <v>230</v>
      </c>
      <c r="N8453" s="6" t="s">
        <v>8914</v>
      </c>
      <c r="O8453" s="6" t="s">
        <v>4568</v>
      </c>
      <c r="P8453" s="58" t="s">
        <v>241</v>
      </c>
      <c r="Q8453" s="31" t="s">
        <v>234</v>
      </c>
      <c r="R8453" s="18">
        <v>6</v>
      </c>
      <c r="S8453" s="13">
        <v>7200</v>
      </c>
      <c r="T8453" s="4">
        <f t="shared" ref="T8453" si="593">R8453*S8453</f>
        <v>43200</v>
      </c>
      <c r="U8453" s="4">
        <f t="shared" si="585"/>
        <v>48384.000000000007</v>
      </c>
      <c r="V8453" s="3"/>
      <c r="W8453" s="3">
        <v>2014</v>
      </c>
      <c r="X8453" s="3"/>
    </row>
    <row r="8454" spans="1:24" ht="89.25">
      <c r="A8454" s="3" t="s">
        <v>17887</v>
      </c>
      <c r="B8454" s="6" t="s">
        <v>361</v>
      </c>
      <c r="C8454" s="6" t="s">
        <v>4098</v>
      </c>
      <c r="D8454" s="6" t="s">
        <v>4099</v>
      </c>
      <c r="E8454" s="6" t="s">
        <v>4100</v>
      </c>
      <c r="F8454" s="6" t="s">
        <v>17882</v>
      </c>
      <c r="G8454" s="3" t="s">
        <v>605</v>
      </c>
      <c r="H8454" s="54">
        <v>0</v>
      </c>
      <c r="I8454" s="16">
        <v>470000000</v>
      </c>
      <c r="J8454" s="157" t="s">
        <v>229</v>
      </c>
      <c r="K8454" s="5" t="s">
        <v>8950</v>
      </c>
      <c r="L8454" s="17" t="s">
        <v>11411</v>
      </c>
      <c r="M8454" s="3" t="s">
        <v>230</v>
      </c>
      <c r="N8454" s="6" t="s">
        <v>8914</v>
      </c>
      <c r="O8454" s="6" t="s">
        <v>4568</v>
      </c>
      <c r="P8454" s="58" t="s">
        <v>241</v>
      </c>
      <c r="Q8454" s="31" t="s">
        <v>234</v>
      </c>
      <c r="R8454" s="18">
        <v>6</v>
      </c>
      <c r="S8454" s="13">
        <v>7200</v>
      </c>
      <c r="T8454" s="4">
        <v>0</v>
      </c>
      <c r="U8454" s="4">
        <f t="shared" si="585"/>
        <v>0</v>
      </c>
      <c r="V8454" s="3"/>
      <c r="W8454" s="3">
        <v>2014</v>
      </c>
      <c r="X8454" s="3">
        <v>7.11</v>
      </c>
    </row>
    <row r="8455" spans="1:24" ht="89.25">
      <c r="A8455" s="3" t="s">
        <v>18822</v>
      </c>
      <c r="B8455" s="6" t="s">
        <v>361</v>
      </c>
      <c r="C8455" s="6" t="s">
        <v>4098</v>
      </c>
      <c r="D8455" s="6" t="s">
        <v>4099</v>
      </c>
      <c r="E8455" s="6" t="s">
        <v>4100</v>
      </c>
      <c r="F8455" s="6" t="s">
        <v>17882</v>
      </c>
      <c r="G8455" s="3" t="s">
        <v>11450</v>
      </c>
      <c r="H8455" s="54">
        <v>0</v>
      </c>
      <c r="I8455" s="16">
        <v>470000000</v>
      </c>
      <c r="J8455" s="157" t="s">
        <v>229</v>
      </c>
      <c r="K8455" s="5" t="s">
        <v>18748</v>
      </c>
      <c r="L8455" s="17" t="s">
        <v>11411</v>
      </c>
      <c r="M8455" s="3" t="s">
        <v>230</v>
      </c>
      <c r="N8455" s="6" t="s">
        <v>8914</v>
      </c>
      <c r="O8455" s="6" t="s">
        <v>4568</v>
      </c>
      <c r="P8455" s="58" t="s">
        <v>241</v>
      </c>
      <c r="Q8455" s="31" t="s">
        <v>234</v>
      </c>
      <c r="R8455" s="18">
        <v>6</v>
      </c>
      <c r="S8455" s="13">
        <v>7200</v>
      </c>
      <c r="T8455" s="4">
        <f t="shared" ref="T8455" si="594">R8455*S8455</f>
        <v>43200</v>
      </c>
      <c r="U8455" s="4">
        <f t="shared" si="585"/>
        <v>48384.000000000007</v>
      </c>
      <c r="V8455" s="3"/>
      <c r="W8455" s="3">
        <v>2014</v>
      </c>
      <c r="X8455" s="3"/>
    </row>
    <row r="8456" spans="1:24" ht="89.25">
      <c r="A8456" s="3" t="s">
        <v>17895</v>
      </c>
      <c r="B8456" s="6" t="s">
        <v>361</v>
      </c>
      <c r="C8456" s="6" t="s">
        <v>4073</v>
      </c>
      <c r="D8456" s="6" t="s">
        <v>4074</v>
      </c>
      <c r="E8456" s="6" t="s">
        <v>4075</v>
      </c>
      <c r="F8456" s="6" t="s">
        <v>17896</v>
      </c>
      <c r="G8456" s="3" t="s">
        <v>11449</v>
      </c>
      <c r="H8456" s="54">
        <v>0</v>
      </c>
      <c r="I8456" s="16">
        <v>470000000</v>
      </c>
      <c r="J8456" s="157" t="s">
        <v>229</v>
      </c>
      <c r="K8456" s="5" t="s">
        <v>8950</v>
      </c>
      <c r="L8456" s="6" t="s">
        <v>12251</v>
      </c>
      <c r="M8456" s="3" t="s">
        <v>12250</v>
      </c>
      <c r="N8456" s="6" t="s">
        <v>7685</v>
      </c>
      <c r="O8456" s="6" t="s">
        <v>4568</v>
      </c>
      <c r="P8456" s="58" t="s">
        <v>247</v>
      </c>
      <c r="Q8456" s="6" t="s">
        <v>240</v>
      </c>
      <c r="R8456" s="4">
        <v>2736</v>
      </c>
      <c r="S8456" s="2">
        <v>19000</v>
      </c>
      <c r="T8456" s="4">
        <f>R8456*S8456</f>
        <v>51984000</v>
      </c>
      <c r="U8456" s="4">
        <f t="shared" si="585"/>
        <v>58222080.000000007</v>
      </c>
      <c r="V8456" s="3" t="s">
        <v>362</v>
      </c>
      <c r="W8456" s="3">
        <v>2014</v>
      </c>
      <c r="X8456" s="158"/>
    </row>
    <row r="8457" spans="1:24" ht="89.25">
      <c r="A8457" s="3" t="s">
        <v>17937</v>
      </c>
      <c r="B8457" s="6" t="s">
        <v>361</v>
      </c>
      <c r="C8457" s="6" t="s">
        <v>4017</v>
      </c>
      <c r="D8457" s="6" t="s">
        <v>4018</v>
      </c>
      <c r="E8457" s="6" t="s">
        <v>4019</v>
      </c>
      <c r="F8457" s="6" t="s">
        <v>4011</v>
      </c>
      <c r="G8457" s="3" t="s">
        <v>11449</v>
      </c>
      <c r="H8457" s="54">
        <v>1</v>
      </c>
      <c r="I8457" s="16">
        <v>470000000</v>
      </c>
      <c r="J8457" s="157" t="s">
        <v>229</v>
      </c>
      <c r="K8457" s="5" t="s">
        <v>222</v>
      </c>
      <c r="L8457" s="6" t="s">
        <v>12251</v>
      </c>
      <c r="M8457" s="3" t="s">
        <v>12250</v>
      </c>
      <c r="N8457" s="6" t="s">
        <v>7685</v>
      </c>
      <c r="O8457" s="6" t="s">
        <v>233</v>
      </c>
      <c r="P8457" s="58" t="s">
        <v>241</v>
      </c>
      <c r="Q8457" s="6" t="s">
        <v>234</v>
      </c>
      <c r="R8457" s="4">
        <v>2975</v>
      </c>
      <c r="S8457" s="2">
        <v>6850</v>
      </c>
      <c r="T8457" s="4">
        <v>0</v>
      </c>
      <c r="U8457" s="4">
        <f t="shared" si="585"/>
        <v>0</v>
      </c>
      <c r="V8457" s="3" t="s">
        <v>362</v>
      </c>
      <c r="W8457" s="3">
        <v>2014</v>
      </c>
      <c r="X8457" s="3" t="s">
        <v>18403</v>
      </c>
    </row>
    <row r="8458" spans="1:24" ht="89.25">
      <c r="A8458" s="3" t="s">
        <v>18404</v>
      </c>
      <c r="B8458" s="6" t="s">
        <v>361</v>
      </c>
      <c r="C8458" s="6" t="s">
        <v>18405</v>
      </c>
      <c r="D8458" s="6" t="s">
        <v>18406</v>
      </c>
      <c r="E8458" s="6" t="s">
        <v>18407</v>
      </c>
      <c r="F8458" s="6" t="s">
        <v>18408</v>
      </c>
      <c r="G8458" s="3" t="s">
        <v>11449</v>
      </c>
      <c r="H8458" s="54">
        <v>1</v>
      </c>
      <c r="I8458" s="16">
        <v>470000000</v>
      </c>
      <c r="J8458" s="157" t="s">
        <v>229</v>
      </c>
      <c r="K8458" s="5" t="s">
        <v>222</v>
      </c>
      <c r="L8458" s="6" t="s">
        <v>12251</v>
      </c>
      <c r="M8458" s="3" t="s">
        <v>12250</v>
      </c>
      <c r="N8458" s="6" t="s">
        <v>7685</v>
      </c>
      <c r="O8458" s="6" t="s">
        <v>233</v>
      </c>
      <c r="P8458" s="58" t="s">
        <v>241</v>
      </c>
      <c r="Q8458" s="6" t="s">
        <v>234</v>
      </c>
      <c r="R8458" s="4">
        <v>2975</v>
      </c>
      <c r="S8458" s="2">
        <v>6850</v>
      </c>
      <c r="T8458" s="4">
        <v>0</v>
      </c>
      <c r="U8458" s="4">
        <f t="shared" si="585"/>
        <v>0</v>
      </c>
      <c r="V8458" s="3" t="s">
        <v>362</v>
      </c>
      <c r="W8458" s="3">
        <v>2014</v>
      </c>
      <c r="X8458" s="3" t="s">
        <v>12076</v>
      </c>
    </row>
    <row r="8459" spans="1:24" ht="89.25">
      <c r="A8459" s="3" t="s">
        <v>17950</v>
      </c>
      <c r="B8459" s="6" t="s">
        <v>361</v>
      </c>
      <c r="C8459" s="6" t="s">
        <v>17951</v>
      </c>
      <c r="D8459" s="6" t="s">
        <v>17952</v>
      </c>
      <c r="E8459" s="6" t="s">
        <v>17953</v>
      </c>
      <c r="F8459" s="6" t="s">
        <v>17954</v>
      </c>
      <c r="G8459" s="3" t="s">
        <v>11450</v>
      </c>
      <c r="H8459" s="54">
        <v>0</v>
      </c>
      <c r="I8459" s="16">
        <v>470000000</v>
      </c>
      <c r="J8459" s="157" t="s">
        <v>229</v>
      </c>
      <c r="K8459" s="5" t="s">
        <v>222</v>
      </c>
      <c r="L8459" s="17" t="s">
        <v>18418</v>
      </c>
      <c r="M8459" s="3" t="s">
        <v>230</v>
      </c>
      <c r="N8459" s="6" t="s">
        <v>7685</v>
      </c>
      <c r="O8459" s="6" t="s">
        <v>4568</v>
      </c>
      <c r="P8459" s="58" t="s">
        <v>248</v>
      </c>
      <c r="Q8459" s="6" t="s">
        <v>14564</v>
      </c>
      <c r="R8459" s="18">
        <v>150</v>
      </c>
      <c r="S8459" s="13">
        <v>13110</v>
      </c>
      <c r="T8459" s="4">
        <v>0</v>
      </c>
      <c r="U8459" s="4">
        <f t="shared" si="585"/>
        <v>0</v>
      </c>
      <c r="V8459" s="3"/>
      <c r="W8459" s="3">
        <v>2014</v>
      </c>
      <c r="X8459" s="3" t="s">
        <v>14780</v>
      </c>
    </row>
    <row r="8460" spans="1:24" ht="89.25">
      <c r="A8460" s="3" t="s">
        <v>18834</v>
      </c>
      <c r="B8460" s="6" t="s">
        <v>361</v>
      </c>
      <c r="C8460" s="6" t="s">
        <v>17951</v>
      </c>
      <c r="D8460" s="6" t="s">
        <v>17952</v>
      </c>
      <c r="E8460" s="6" t="s">
        <v>17953</v>
      </c>
      <c r="F8460" s="6" t="s">
        <v>17954</v>
      </c>
      <c r="G8460" s="3" t="s">
        <v>11450</v>
      </c>
      <c r="H8460" s="54">
        <v>0</v>
      </c>
      <c r="I8460" s="16">
        <v>470000000</v>
      </c>
      <c r="J8460" s="157" t="s">
        <v>229</v>
      </c>
      <c r="K8460" s="5" t="s">
        <v>18748</v>
      </c>
      <c r="L8460" s="17" t="s">
        <v>18418</v>
      </c>
      <c r="M8460" s="3" t="s">
        <v>230</v>
      </c>
      <c r="N8460" s="6" t="s">
        <v>7685</v>
      </c>
      <c r="O8460" s="6" t="s">
        <v>4568</v>
      </c>
      <c r="P8460" s="58" t="s">
        <v>248</v>
      </c>
      <c r="Q8460" s="6" t="s">
        <v>14564</v>
      </c>
      <c r="R8460" s="18">
        <v>200</v>
      </c>
      <c r="S8460" s="13">
        <v>13110</v>
      </c>
      <c r="T8460" s="4">
        <f>R8460*S8460</f>
        <v>2622000</v>
      </c>
      <c r="U8460" s="4">
        <f t="shared" si="585"/>
        <v>2936640.0000000005</v>
      </c>
      <c r="V8460" s="3"/>
      <c r="W8460" s="3">
        <v>2014</v>
      </c>
      <c r="X8460" s="3"/>
    </row>
    <row r="8461" spans="1:24" ht="89.25">
      <c r="A8461" s="3" t="s">
        <v>18141</v>
      </c>
      <c r="B8461" s="6" t="s">
        <v>361</v>
      </c>
      <c r="C8461" s="6" t="s">
        <v>18118</v>
      </c>
      <c r="D8461" s="6" t="s">
        <v>3021</v>
      </c>
      <c r="E8461" s="6" t="s">
        <v>18119</v>
      </c>
      <c r="F8461" s="6" t="s">
        <v>18120</v>
      </c>
      <c r="G8461" s="3" t="s">
        <v>11450</v>
      </c>
      <c r="H8461" s="54">
        <v>0</v>
      </c>
      <c r="I8461" s="16">
        <v>470000000</v>
      </c>
      <c r="J8461" s="157" t="s">
        <v>229</v>
      </c>
      <c r="K8461" s="5" t="s">
        <v>16428</v>
      </c>
      <c r="L8461" s="17" t="s">
        <v>11411</v>
      </c>
      <c r="M8461" s="3" t="s">
        <v>230</v>
      </c>
      <c r="N8461" s="6" t="s">
        <v>528</v>
      </c>
      <c r="O8461" s="6" t="s">
        <v>233</v>
      </c>
      <c r="P8461" s="58">
        <v>796</v>
      </c>
      <c r="Q8461" s="37" t="s">
        <v>234</v>
      </c>
      <c r="R8461" s="3">
        <v>58</v>
      </c>
      <c r="S8461" s="59">
        <v>9200</v>
      </c>
      <c r="T8461" s="4">
        <f t="shared" ref="T8461:T8467" si="595">R8461*S8461</f>
        <v>533600</v>
      </c>
      <c r="U8461" s="4">
        <f t="shared" si="585"/>
        <v>597632</v>
      </c>
      <c r="V8461" s="3"/>
      <c r="W8461" s="3">
        <v>2014</v>
      </c>
      <c r="X8461" s="3"/>
    </row>
    <row r="8462" spans="1:24" ht="89.25">
      <c r="A8462" s="3" t="s">
        <v>18142</v>
      </c>
      <c r="B8462" s="6" t="s">
        <v>361</v>
      </c>
      <c r="C8462" s="6" t="s">
        <v>18118</v>
      </c>
      <c r="D8462" s="6" t="s">
        <v>3021</v>
      </c>
      <c r="E8462" s="6" t="s">
        <v>18119</v>
      </c>
      <c r="F8462" s="6" t="s">
        <v>18121</v>
      </c>
      <c r="G8462" s="3" t="s">
        <v>11450</v>
      </c>
      <c r="H8462" s="54">
        <v>0</v>
      </c>
      <c r="I8462" s="16">
        <v>470000000</v>
      </c>
      <c r="J8462" s="157" t="s">
        <v>229</v>
      </c>
      <c r="K8462" s="5" t="s">
        <v>16428</v>
      </c>
      <c r="L8462" s="17" t="s">
        <v>11411</v>
      </c>
      <c r="M8462" s="3" t="s">
        <v>230</v>
      </c>
      <c r="N8462" s="6" t="s">
        <v>528</v>
      </c>
      <c r="O8462" s="6" t="s">
        <v>233</v>
      </c>
      <c r="P8462" s="58" t="s">
        <v>241</v>
      </c>
      <c r="Q8462" s="37" t="s">
        <v>234</v>
      </c>
      <c r="R8462" s="3">
        <v>7</v>
      </c>
      <c r="S8462" s="59">
        <v>6100</v>
      </c>
      <c r="T8462" s="4">
        <f t="shared" si="595"/>
        <v>42700</v>
      </c>
      <c r="U8462" s="4">
        <f t="shared" si="585"/>
        <v>47824.000000000007</v>
      </c>
      <c r="V8462" s="3"/>
      <c r="W8462" s="3">
        <v>2014</v>
      </c>
      <c r="X8462" s="3"/>
    </row>
    <row r="8463" spans="1:24" ht="89.25">
      <c r="A8463" s="3" t="s">
        <v>18143</v>
      </c>
      <c r="B8463" s="6" t="s">
        <v>361</v>
      </c>
      <c r="C8463" s="6" t="s">
        <v>18122</v>
      </c>
      <c r="D8463" s="6" t="s">
        <v>3421</v>
      </c>
      <c r="E8463" s="6" t="s">
        <v>3421</v>
      </c>
      <c r="F8463" s="6" t="s">
        <v>18123</v>
      </c>
      <c r="G8463" s="3" t="s">
        <v>11450</v>
      </c>
      <c r="H8463" s="54">
        <v>0</v>
      </c>
      <c r="I8463" s="16">
        <v>470000000</v>
      </c>
      <c r="J8463" s="157" t="s">
        <v>229</v>
      </c>
      <c r="K8463" s="5" t="s">
        <v>16442</v>
      </c>
      <c r="L8463" s="17" t="s">
        <v>11411</v>
      </c>
      <c r="M8463" s="3" t="s">
        <v>230</v>
      </c>
      <c r="N8463" s="6" t="s">
        <v>528</v>
      </c>
      <c r="O8463" s="6" t="s">
        <v>233</v>
      </c>
      <c r="P8463" s="58" t="s">
        <v>242</v>
      </c>
      <c r="Q8463" s="37" t="s">
        <v>239</v>
      </c>
      <c r="R8463" s="3">
        <v>55</v>
      </c>
      <c r="S8463" s="59">
        <v>5840.4</v>
      </c>
      <c r="T8463" s="4">
        <f t="shared" si="595"/>
        <v>321222</v>
      </c>
      <c r="U8463" s="4">
        <f t="shared" si="585"/>
        <v>359768.64</v>
      </c>
      <c r="V8463" s="3"/>
      <c r="W8463" s="3">
        <v>2014</v>
      </c>
      <c r="X8463" s="3"/>
    </row>
    <row r="8464" spans="1:24" ht="89.25">
      <c r="A8464" s="3" t="s">
        <v>18144</v>
      </c>
      <c r="B8464" s="6" t="s">
        <v>361</v>
      </c>
      <c r="C8464" s="6" t="s">
        <v>18124</v>
      </c>
      <c r="D8464" s="6" t="s">
        <v>3503</v>
      </c>
      <c r="E8464" s="6" t="s">
        <v>18125</v>
      </c>
      <c r="F8464" s="14" t="s">
        <v>18126</v>
      </c>
      <c r="G8464" s="3" t="s">
        <v>11450</v>
      </c>
      <c r="H8464" s="54">
        <v>0</v>
      </c>
      <c r="I8464" s="16">
        <v>470000000</v>
      </c>
      <c r="J8464" s="157" t="s">
        <v>229</v>
      </c>
      <c r="K8464" s="5" t="s">
        <v>16428</v>
      </c>
      <c r="L8464" s="17" t="s">
        <v>11411</v>
      </c>
      <c r="M8464" s="3" t="s">
        <v>230</v>
      </c>
      <c r="N8464" s="6" t="s">
        <v>528</v>
      </c>
      <c r="O8464" s="6" t="s">
        <v>233</v>
      </c>
      <c r="P8464" s="58" t="s">
        <v>243</v>
      </c>
      <c r="Q8464" s="6" t="s">
        <v>244</v>
      </c>
      <c r="R8464" s="18">
        <v>50</v>
      </c>
      <c r="S8464" s="2">
        <v>398.4</v>
      </c>
      <c r="T8464" s="4">
        <f t="shared" si="595"/>
        <v>19920</v>
      </c>
      <c r="U8464" s="4">
        <f t="shared" si="585"/>
        <v>22310.400000000001</v>
      </c>
      <c r="V8464" s="3"/>
      <c r="W8464" s="3">
        <v>2014</v>
      </c>
      <c r="X8464" s="3"/>
    </row>
    <row r="8465" spans="1:24" ht="89.25">
      <c r="A8465" s="3" t="s">
        <v>18145</v>
      </c>
      <c r="B8465" s="6" t="s">
        <v>361</v>
      </c>
      <c r="C8465" s="6" t="s">
        <v>18127</v>
      </c>
      <c r="D8465" s="6" t="s">
        <v>3503</v>
      </c>
      <c r="E8465" s="6" t="s">
        <v>18128</v>
      </c>
      <c r="F8465" s="14" t="s">
        <v>18129</v>
      </c>
      <c r="G8465" s="3" t="s">
        <v>11450</v>
      </c>
      <c r="H8465" s="54">
        <v>0</v>
      </c>
      <c r="I8465" s="16">
        <v>470000000</v>
      </c>
      <c r="J8465" s="157" t="s">
        <v>229</v>
      </c>
      <c r="K8465" s="5" t="s">
        <v>16428</v>
      </c>
      <c r="L8465" s="17" t="s">
        <v>11411</v>
      </c>
      <c r="M8465" s="3" t="s">
        <v>230</v>
      </c>
      <c r="N8465" s="6" t="s">
        <v>528</v>
      </c>
      <c r="O8465" s="6" t="s">
        <v>233</v>
      </c>
      <c r="P8465" s="58" t="s">
        <v>243</v>
      </c>
      <c r="Q8465" s="6" t="s">
        <v>244</v>
      </c>
      <c r="R8465" s="18">
        <v>60</v>
      </c>
      <c r="S8465" s="2">
        <v>398.4</v>
      </c>
      <c r="T8465" s="4">
        <f t="shared" si="595"/>
        <v>23904</v>
      </c>
      <c r="U8465" s="4">
        <f t="shared" si="585"/>
        <v>26772.480000000003</v>
      </c>
      <c r="V8465" s="3"/>
      <c r="W8465" s="3">
        <v>2014</v>
      </c>
      <c r="X8465" s="3"/>
    </row>
    <row r="8466" spans="1:24" ht="89.25">
      <c r="A8466" s="3" t="s">
        <v>18146</v>
      </c>
      <c r="B8466" s="6" t="s">
        <v>361</v>
      </c>
      <c r="C8466" s="6" t="s">
        <v>18130</v>
      </c>
      <c r="D8466" s="6" t="s">
        <v>3503</v>
      </c>
      <c r="E8466" s="6" t="s">
        <v>18131</v>
      </c>
      <c r="F8466" s="14" t="s">
        <v>18132</v>
      </c>
      <c r="G8466" s="3" t="s">
        <v>11450</v>
      </c>
      <c r="H8466" s="54">
        <v>0</v>
      </c>
      <c r="I8466" s="16">
        <v>470000000</v>
      </c>
      <c r="J8466" s="157" t="s">
        <v>229</v>
      </c>
      <c r="K8466" s="5" t="s">
        <v>16428</v>
      </c>
      <c r="L8466" s="17" t="s">
        <v>11411</v>
      </c>
      <c r="M8466" s="3" t="s">
        <v>230</v>
      </c>
      <c r="N8466" s="6" t="s">
        <v>528</v>
      </c>
      <c r="O8466" s="6" t="s">
        <v>233</v>
      </c>
      <c r="P8466" s="58" t="s">
        <v>243</v>
      </c>
      <c r="Q8466" s="6" t="s">
        <v>244</v>
      </c>
      <c r="R8466" s="18">
        <v>250</v>
      </c>
      <c r="S8466" s="2">
        <v>398.4</v>
      </c>
      <c r="T8466" s="4">
        <f t="shared" si="595"/>
        <v>99600</v>
      </c>
      <c r="U8466" s="4">
        <f t="shared" si="585"/>
        <v>111552.00000000001</v>
      </c>
      <c r="V8466" s="3"/>
      <c r="W8466" s="3">
        <v>2014</v>
      </c>
      <c r="X8466" s="3"/>
    </row>
    <row r="8467" spans="1:24" ht="89.25">
      <c r="A8467" s="3" t="s">
        <v>18147</v>
      </c>
      <c r="B8467" s="6" t="s">
        <v>361</v>
      </c>
      <c r="C8467" s="6" t="s">
        <v>18133</v>
      </c>
      <c r="D8467" s="6" t="s">
        <v>3503</v>
      </c>
      <c r="E8467" s="6" t="s">
        <v>18134</v>
      </c>
      <c r="F8467" s="14" t="s">
        <v>18135</v>
      </c>
      <c r="G8467" s="3" t="s">
        <v>11450</v>
      </c>
      <c r="H8467" s="54">
        <v>0</v>
      </c>
      <c r="I8467" s="16">
        <v>470000000</v>
      </c>
      <c r="J8467" s="157" t="s">
        <v>229</v>
      </c>
      <c r="K8467" s="5" t="s">
        <v>16428</v>
      </c>
      <c r="L8467" s="17" t="s">
        <v>11411</v>
      </c>
      <c r="M8467" s="3" t="s">
        <v>230</v>
      </c>
      <c r="N8467" s="6" t="s">
        <v>528</v>
      </c>
      <c r="O8467" s="6" t="s">
        <v>233</v>
      </c>
      <c r="P8467" s="58" t="s">
        <v>243</v>
      </c>
      <c r="Q8467" s="6" t="s">
        <v>244</v>
      </c>
      <c r="R8467" s="18">
        <v>100</v>
      </c>
      <c r="S8467" s="13">
        <v>398.4</v>
      </c>
      <c r="T8467" s="4">
        <f t="shared" si="595"/>
        <v>39840</v>
      </c>
      <c r="U8467" s="4">
        <f t="shared" si="585"/>
        <v>44620.800000000003</v>
      </c>
      <c r="V8467" s="3"/>
      <c r="W8467" s="3">
        <v>2014</v>
      </c>
      <c r="X8467" s="3"/>
    </row>
    <row r="8468" spans="1:24" ht="89.25">
      <c r="A8468" s="3" t="s">
        <v>18148</v>
      </c>
      <c r="B8468" s="6" t="s">
        <v>361</v>
      </c>
      <c r="C8468" s="6" t="s">
        <v>3556</v>
      </c>
      <c r="D8468" s="6" t="s">
        <v>3550</v>
      </c>
      <c r="E8468" s="6" t="s">
        <v>3557</v>
      </c>
      <c r="F8468" s="6" t="s">
        <v>3544</v>
      </c>
      <c r="G8468" s="3" t="s">
        <v>11449</v>
      </c>
      <c r="H8468" s="54">
        <v>0.6</v>
      </c>
      <c r="I8468" s="16">
        <v>470000000</v>
      </c>
      <c r="J8468" s="157" t="s">
        <v>229</v>
      </c>
      <c r="K8468" s="5" t="s">
        <v>17401</v>
      </c>
      <c r="L8468" s="17" t="s">
        <v>11411</v>
      </c>
      <c r="M8468" s="3" t="s">
        <v>230</v>
      </c>
      <c r="N8468" s="6" t="s">
        <v>528</v>
      </c>
      <c r="O8468" s="6" t="s">
        <v>233</v>
      </c>
      <c r="P8468" s="58" t="s">
        <v>243</v>
      </c>
      <c r="Q8468" s="6" t="s">
        <v>244</v>
      </c>
      <c r="R8468" s="97">
        <v>500</v>
      </c>
      <c r="S8468" s="2">
        <v>402</v>
      </c>
      <c r="T8468" s="1">
        <f>R8468*S8468</f>
        <v>201000</v>
      </c>
      <c r="U8468" s="4">
        <f t="shared" si="585"/>
        <v>225120.00000000003</v>
      </c>
      <c r="V8468" s="3" t="s">
        <v>362</v>
      </c>
      <c r="W8468" s="3">
        <v>2014</v>
      </c>
      <c r="X8468" s="3"/>
    </row>
    <row r="8469" spans="1:24" ht="89.25">
      <c r="A8469" s="3" t="s">
        <v>18149</v>
      </c>
      <c r="B8469" s="6" t="s">
        <v>361</v>
      </c>
      <c r="C8469" s="6" t="s">
        <v>3562</v>
      </c>
      <c r="D8469" s="6" t="s">
        <v>3550</v>
      </c>
      <c r="E8469" s="6" t="s">
        <v>3563</v>
      </c>
      <c r="F8469" s="6" t="s">
        <v>18136</v>
      </c>
      <c r="G8469" s="3" t="s">
        <v>11449</v>
      </c>
      <c r="H8469" s="54">
        <v>0.6</v>
      </c>
      <c r="I8469" s="16">
        <v>470000000</v>
      </c>
      <c r="J8469" s="157" t="s">
        <v>229</v>
      </c>
      <c r="K8469" s="5" t="s">
        <v>17401</v>
      </c>
      <c r="L8469" s="17" t="s">
        <v>11411</v>
      </c>
      <c r="M8469" s="3" t="s">
        <v>230</v>
      </c>
      <c r="N8469" s="6" t="s">
        <v>8914</v>
      </c>
      <c r="O8469" s="6" t="s">
        <v>233</v>
      </c>
      <c r="P8469" s="58" t="s">
        <v>243</v>
      </c>
      <c r="Q8469" s="6" t="s">
        <v>244</v>
      </c>
      <c r="R8469" s="97">
        <v>200</v>
      </c>
      <c r="S8469" s="2">
        <v>402</v>
      </c>
      <c r="T8469" s="4">
        <v>0</v>
      </c>
      <c r="U8469" s="4">
        <f t="shared" si="585"/>
        <v>0</v>
      </c>
      <c r="V8469" s="3" t="s">
        <v>362</v>
      </c>
      <c r="W8469" s="3">
        <v>2014</v>
      </c>
      <c r="X8469" s="3" t="s">
        <v>18825</v>
      </c>
    </row>
    <row r="8470" spans="1:24" ht="63.75">
      <c r="A8470" s="3" t="s">
        <v>18875</v>
      </c>
      <c r="B8470" s="6" t="s">
        <v>361</v>
      </c>
      <c r="C8470" s="6" t="s">
        <v>3562</v>
      </c>
      <c r="D8470" s="6" t="s">
        <v>3550</v>
      </c>
      <c r="E8470" s="6" t="s">
        <v>3563</v>
      </c>
      <c r="F8470" s="6" t="s">
        <v>18136</v>
      </c>
      <c r="G8470" s="3" t="s">
        <v>11449</v>
      </c>
      <c r="H8470" s="54">
        <v>0.6</v>
      </c>
      <c r="I8470" s="16">
        <v>470000000</v>
      </c>
      <c r="J8470" s="157" t="s">
        <v>229</v>
      </c>
      <c r="K8470" s="5" t="s">
        <v>18866</v>
      </c>
      <c r="L8470" s="17" t="s">
        <v>11411</v>
      </c>
      <c r="M8470" s="3" t="s">
        <v>230</v>
      </c>
      <c r="N8470" s="6" t="s">
        <v>8914</v>
      </c>
      <c r="O8470" s="6" t="s">
        <v>18767</v>
      </c>
      <c r="P8470" s="58" t="s">
        <v>243</v>
      </c>
      <c r="Q8470" s="6" t="s">
        <v>244</v>
      </c>
      <c r="R8470" s="97">
        <v>470</v>
      </c>
      <c r="S8470" s="2">
        <v>402</v>
      </c>
      <c r="T8470" s="1">
        <f>R8470*S8470</f>
        <v>188940</v>
      </c>
      <c r="U8470" s="4">
        <f t="shared" si="585"/>
        <v>211612.80000000002</v>
      </c>
      <c r="V8470" s="3" t="s">
        <v>362</v>
      </c>
      <c r="W8470" s="3">
        <v>2014</v>
      </c>
      <c r="X8470" s="3"/>
    </row>
    <row r="8471" spans="1:24" ht="153">
      <c r="A8471" s="3" t="s">
        <v>18150</v>
      </c>
      <c r="B8471" s="6" t="s">
        <v>361</v>
      </c>
      <c r="C8471" s="6" t="s">
        <v>18137</v>
      </c>
      <c r="D8471" s="6" t="s">
        <v>18138</v>
      </c>
      <c r="E8471" s="6" t="s">
        <v>18139</v>
      </c>
      <c r="F8471" s="6" t="s">
        <v>18140</v>
      </c>
      <c r="G8471" s="3" t="s">
        <v>11450</v>
      </c>
      <c r="H8471" s="54">
        <v>0</v>
      </c>
      <c r="I8471" s="16">
        <v>470000000</v>
      </c>
      <c r="J8471" s="157" t="s">
        <v>229</v>
      </c>
      <c r="K8471" s="5" t="s">
        <v>17401</v>
      </c>
      <c r="L8471" s="17" t="s">
        <v>11411</v>
      </c>
      <c r="M8471" s="3" t="s">
        <v>230</v>
      </c>
      <c r="N8471" s="6" t="s">
        <v>8914</v>
      </c>
      <c r="O8471" s="6" t="s">
        <v>233</v>
      </c>
      <c r="P8471" s="58" t="s">
        <v>248</v>
      </c>
      <c r="Q8471" s="6" t="s">
        <v>14564</v>
      </c>
      <c r="R8471" s="97">
        <v>2500</v>
      </c>
      <c r="S8471" s="2">
        <v>2240</v>
      </c>
      <c r="T8471" s="1">
        <f>R8471*S8471</f>
        <v>5600000</v>
      </c>
      <c r="U8471" s="4">
        <f t="shared" si="585"/>
        <v>6272000.0000000009</v>
      </c>
      <c r="V8471" s="3" t="s">
        <v>362</v>
      </c>
      <c r="W8471" s="3">
        <v>2014</v>
      </c>
      <c r="X8471" s="3"/>
    </row>
    <row r="8472" spans="1:24" ht="89.25">
      <c r="A8472" s="3" t="s">
        <v>18248</v>
      </c>
      <c r="B8472" s="6" t="s">
        <v>361</v>
      </c>
      <c r="C8472" s="6" t="s">
        <v>18279</v>
      </c>
      <c r="D8472" s="6" t="s">
        <v>18280</v>
      </c>
      <c r="E8472" s="6" t="s">
        <v>18281</v>
      </c>
      <c r="F8472" s="65" t="s">
        <v>18296</v>
      </c>
      <c r="G8472" s="3" t="s">
        <v>11449</v>
      </c>
      <c r="H8472" s="54">
        <v>0</v>
      </c>
      <c r="I8472" s="16">
        <v>470000000</v>
      </c>
      <c r="J8472" s="157" t="s">
        <v>229</v>
      </c>
      <c r="K8472" s="5" t="s">
        <v>17401</v>
      </c>
      <c r="L8472" s="12" t="s">
        <v>17302</v>
      </c>
      <c r="M8472" s="3" t="s">
        <v>230</v>
      </c>
      <c r="N8472" s="6" t="s">
        <v>524</v>
      </c>
      <c r="O8472" s="6" t="s">
        <v>233</v>
      </c>
      <c r="P8472" s="58" t="s">
        <v>241</v>
      </c>
      <c r="Q8472" s="37" t="s">
        <v>234</v>
      </c>
      <c r="R8472" s="3">
        <v>6</v>
      </c>
      <c r="S8472" s="2">
        <v>2220000</v>
      </c>
      <c r="T8472" s="4">
        <v>0</v>
      </c>
      <c r="U8472" s="4">
        <f t="shared" si="585"/>
        <v>0</v>
      </c>
      <c r="V8472" s="3" t="s">
        <v>362</v>
      </c>
      <c r="W8472" s="3">
        <v>2014</v>
      </c>
      <c r="X8472" s="3">
        <v>11</v>
      </c>
    </row>
    <row r="8473" spans="1:24" ht="89.25">
      <c r="A8473" s="3" t="s">
        <v>18483</v>
      </c>
      <c r="B8473" s="6" t="s">
        <v>361</v>
      </c>
      <c r="C8473" s="6" t="s">
        <v>18279</v>
      </c>
      <c r="D8473" s="6" t="s">
        <v>18280</v>
      </c>
      <c r="E8473" s="6" t="s">
        <v>18281</v>
      </c>
      <c r="F8473" s="65" t="s">
        <v>18296</v>
      </c>
      <c r="G8473" s="3" t="s">
        <v>11449</v>
      </c>
      <c r="H8473" s="54">
        <v>0</v>
      </c>
      <c r="I8473" s="16">
        <v>470000000</v>
      </c>
      <c r="J8473" s="157" t="s">
        <v>229</v>
      </c>
      <c r="K8473" s="5" t="s">
        <v>15646</v>
      </c>
      <c r="L8473" s="12" t="s">
        <v>17302</v>
      </c>
      <c r="M8473" s="3" t="s">
        <v>230</v>
      </c>
      <c r="N8473" s="6" t="s">
        <v>524</v>
      </c>
      <c r="O8473" s="6" t="s">
        <v>233</v>
      </c>
      <c r="P8473" s="58" t="s">
        <v>241</v>
      </c>
      <c r="Q8473" s="37" t="s">
        <v>234</v>
      </c>
      <c r="R8473" s="3">
        <v>6</v>
      </c>
      <c r="S8473" s="2">
        <v>2220000</v>
      </c>
      <c r="T8473" s="4">
        <v>0</v>
      </c>
      <c r="U8473" s="4">
        <f t="shared" si="585"/>
        <v>0</v>
      </c>
      <c r="V8473" s="3" t="s">
        <v>362</v>
      </c>
      <c r="W8473" s="3">
        <v>2014</v>
      </c>
      <c r="X8473" s="3" t="s">
        <v>12076</v>
      </c>
    </row>
    <row r="8474" spans="1:24" ht="89.25">
      <c r="A8474" s="3" t="s">
        <v>18249</v>
      </c>
      <c r="B8474" s="6" t="s">
        <v>361</v>
      </c>
      <c r="C8474" s="6" t="s">
        <v>18259</v>
      </c>
      <c r="D8474" s="6" t="s">
        <v>18260</v>
      </c>
      <c r="E8474" s="6" t="s">
        <v>18261</v>
      </c>
      <c r="F8474" s="65" t="s">
        <v>18244</v>
      </c>
      <c r="G8474" s="3" t="s">
        <v>11449</v>
      </c>
      <c r="H8474" s="54">
        <v>0</v>
      </c>
      <c r="I8474" s="16">
        <v>470000000</v>
      </c>
      <c r="J8474" s="157" t="s">
        <v>229</v>
      </c>
      <c r="K8474" s="5" t="s">
        <v>17401</v>
      </c>
      <c r="L8474" s="12" t="s">
        <v>17302</v>
      </c>
      <c r="M8474" s="3" t="s">
        <v>230</v>
      </c>
      <c r="N8474" s="6" t="s">
        <v>524</v>
      </c>
      <c r="O8474" s="6" t="s">
        <v>233</v>
      </c>
      <c r="P8474" s="58" t="s">
        <v>241</v>
      </c>
      <c r="Q8474" s="37" t="s">
        <v>234</v>
      </c>
      <c r="R8474" s="3">
        <v>2</v>
      </c>
      <c r="S8474" s="2">
        <v>14732000</v>
      </c>
      <c r="T8474" s="4">
        <v>0</v>
      </c>
      <c r="U8474" s="4">
        <f t="shared" si="585"/>
        <v>0</v>
      </c>
      <c r="V8474" s="3"/>
      <c r="W8474" s="3">
        <v>2014</v>
      </c>
      <c r="X8474" s="3">
        <v>11</v>
      </c>
    </row>
    <row r="8475" spans="1:24" ht="89.25">
      <c r="A8475" s="3" t="s">
        <v>18484</v>
      </c>
      <c r="B8475" s="6" t="s">
        <v>361</v>
      </c>
      <c r="C8475" s="6" t="s">
        <v>18259</v>
      </c>
      <c r="D8475" s="6" t="s">
        <v>18260</v>
      </c>
      <c r="E8475" s="6" t="s">
        <v>18261</v>
      </c>
      <c r="F8475" s="65" t="s">
        <v>18244</v>
      </c>
      <c r="G8475" s="3" t="s">
        <v>11449</v>
      </c>
      <c r="H8475" s="54">
        <v>0</v>
      </c>
      <c r="I8475" s="16">
        <v>470000000</v>
      </c>
      <c r="J8475" s="157" t="s">
        <v>229</v>
      </c>
      <c r="K8475" s="5" t="s">
        <v>15646</v>
      </c>
      <c r="L8475" s="12" t="s">
        <v>17302</v>
      </c>
      <c r="M8475" s="3" t="s">
        <v>230</v>
      </c>
      <c r="N8475" s="6" t="s">
        <v>524</v>
      </c>
      <c r="O8475" s="6" t="s">
        <v>233</v>
      </c>
      <c r="P8475" s="58" t="s">
        <v>241</v>
      </c>
      <c r="Q8475" s="37" t="s">
        <v>234</v>
      </c>
      <c r="R8475" s="3">
        <v>2</v>
      </c>
      <c r="S8475" s="2">
        <v>14732000</v>
      </c>
      <c r="T8475" s="4">
        <v>0</v>
      </c>
      <c r="U8475" s="4">
        <f t="shared" si="585"/>
        <v>0</v>
      </c>
      <c r="V8475" s="3"/>
      <c r="W8475" s="3">
        <v>2014</v>
      </c>
      <c r="X8475" s="3" t="s">
        <v>12076</v>
      </c>
    </row>
    <row r="8476" spans="1:24" ht="89.25">
      <c r="A8476" s="3" t="s">
        <v>18250</v>
      </c>
      <c r="B8476" s="6" t="s">
        <v>361</v>
      </c>
      <c r="C8476" s="6" t="s">
        <v>18282</v>
      </c>
      <c r="D8476" s="6" t="s">
        <v>18283</v>
      </c>
      <c r="E8476" s="6" t="s">
        <v>18284</v>
      </c>
      <c r="F8476" s="285" t="s">
        <v>18245</v>
      </c>
      <c r="G8476" s="3" t="s">
        <v>11449</v>
      </c>
      <c r="H8476" s="54">
        <v>0</v>
      </c>
      <c r="I8476" s="16">
        <v>470000000</v>
      </c>
      <c r="J8476" s="157" t="s">
        <v>229</v>
      </c>
      <c r="K8476" s="5" t="s">
        <v>17401</v>
      </c>
      <c r="L8476" s="12" t="s">
        <v>17302</v>
      </c>
      <c r="M8476" s="3" t="s">
        <v>230</v>
      </c>
      <c r="N8476" s="6" t="s">
        <v>524</v>
      </c>
      <c r="O8476" s="6" t="s">
        <v>233</v>
      </c>
      <c r="P8476" s="58" t="s">
        <v>241</v>
      </c>
      <c r="Q8476" s="37" t="s">
        <v>234</v>
      </c>
      <c r="R8476" s="3">
        <v>2</v>
      </c>
      <c r="S8476" s="4">
        <v>2500000</v>
      </c>
      <c r="T8476" s="4">
        <v>0</v>
      </c>
      <c r="U8476" s="4">
        <f t="shared" si="585"/>
        <v>0</v>
      </c>
      <c r="V8476" s="3" t="s">
        <v>362</v>
      </c>
      <c r="W8476" s="3">
        <v>2014</v>
      </c>
      <c r="X8476" s="3">
        <v>11</v>
      </c>
    </row>
    <row r="8477" spans="1:24" ht="89.25">
      <c r="A8477" s="3" t="s">
        <v>18485</v>
      </c>
      <c r="B8477" s="6" t="s">
        <v>361</v>
      </c>
      <c r="C8477" s="6" t="s">
        <v>18282</v>
      </c>
      <c r="D8477" s="6" t="s">
        <v>18283</v>
      </c>
      <c r="E8477" s="6" t="s">
        <v>18284</v>
      </c>
      <c r="F8477" s="285" t="s">
        <v>18245</v>
      </c>
      <c r="G8477" s="3" t="s">
        <v>11449</v>
      </c>
      <c r="H8477" s="54">
        <v>0</v>
      </c>
      <c r="I8477" s="16">
        <v>470000000</v>
      </c>
      <c r="J8477" s="157" t="s">
        <v>229</v>
      </c>
      <c r="K8477" s="5" t="s">
        <v>15646</v>
      </c>
      <c r="L8477" s="12" t="s">
        <v>17302</v>
      </c>
      <c r="M8477" s="3" t="s">
        <v>230</v>
      </c>
      <c r="N8477" s="6" t="s">
        <v>524</v>
      </c>
      <c r="O8477" s="6" t="s">
        <v>233</v>
      </c>
      <c r="P8477" s="58" t="s">
        <v>241</v>
      </c>
      <c r="Q8477" s="37" t="s">
        <v>234</v>
      </c>
      <c r="R8477" s="3">
        <v>2</v>
      </c>
      <c r="S8477" s="2">
        <v>2500000</v>
      </c>
      <c r="T8477" s="4">
        <v>0</v>
      </c>
      <c r="U8477" s="4">
        <f t="shared" si="585"/>
        <v>0</v>
      </c>
      <c r="V8477" s="3" t="s">
        <v>362</v>
      </c>
      <c r="W8477" s="3">
        <v>2014</v>
      </c>
      <c r="X8477" s="3" t="s">
        <v>12076</v>
      </c>
    </row>
    <row r="8478" spans="1:24" ht="89.25">
      <c r="A8478" s="3" t="s">
        <v>18251</v>
      </c>
      <c r="B8478" s="6" t="s">
        <v>361</v>
      </c>
      <c r="C8478" s="6" t="s">
        <v>18262</v>
      </c>
      <c r="D8478" s="6" t="s">
        <v>18263</v>
      </c>
      <c r="E8478" s="6" t="s">
        <v>18264</v>
      </c>
      <c r="F8478" s="65" t="s">
        <v>18246</v>
      </c>
      <c r="G8478" s="3" t="s">
        <v>11449</v>
      </c>
      <c r="H8478" s="54">
        <v>0</v>
      </c>
      <c r="I8478" s="16">
        <v>470000000</v>
      </c>
      <c r="J8478" s="157" t="s">
        <v>229</v>
      </c>
      <c r="K8478" s="5" t="s">
        <v>17401</v>
      </c>
      <c r="L8478" s="12" t="s">
        <v>17302</v>
      </c>
      <c r="M8478" s="3" t="s">
        <v>230</v>
      </c>
      <c r="N8478" s="6" t="s">
        <v>524</v>
      </c>
      <c r="O8478" s="6" t="s">
        <v>233</v>
      </c>
      <c r="P8478" s="58" t="s">
        <v>241</v>
      </c>
      <c r="Q8478" s="37" t="s">
        <v>234</v>
      </c>
      <c r="R8478" s="3">
        <v>2</v>
      </c>
      <c r="S8478" s="2">
        <v>8100000</v>
      </c>
      <c r="T8478" s="4">
        <v>0</v>
      </c>
      <c r="U8478" s="4">
        <f t="shared" si="585"/>
        <v>0</v>
      </c>
      <c r="V8478" s="3"/>
      <c r="W8478" s="3">
        <v>2014</v>
      </c>
      <c r="X8478" s="3">
        <v>11</v>
      </c>
    </row>
    <row r="8479" spans="1:24" ht="89.25">
      <c r="A8479" s="3" t="s">
        <v>18486</v>
      </c>
      <c r="B8479" s="6" t="s">
        <v>361</v>
      </c>
      <c r="C8479" s="6" t="s">
        <v>18262</v>
      </c>
      <c r="D8479" s="6" t="s">
        <v>18263</v>
      </c>
      <c r="E8479" s="6" t="s">
        <v>18264</v>
      </c>
      <c r="F8479" s="65" t="s">
        <v>18246</v>
      </c>
      <c r="G8479" s="3" t="s">
        <v>11449</v>
      </c>
      <c r="H8479" s="54">
        <v>0</v>
      </c>
      <c r="I8479" s="16">
        <v>470000000</v>
      </c>
      <c r="J8479" s="157" t="s">
        <v>229</v>
      </c>
      <c r="K8479" s="5" t="s">
        <v>15646</v>
      </c>
      <c r="L8479" s="12" t="s">
        <v>17302</v>
      </c>
      <c r="M8479" s="3" t="s">
        <v>230</v>
      </c>
      <c r="N8479" s="6" t="s">
        <v>524</v>
      </c>
      <c r="O8479" s="6" t="s">
        <v>233</v>
      </c>
      <c r="P8479" s="58" t="s">
        <v>241</v>
      </c>
      <c r="Q8479" s="37" t="s">
        <v>234</v>
      </c>
      <c r="R8479" s="3">
        <v>2</v>
      </c>
      <c r="S8479" s="2">
        <v>8100000</v>
      </c>
      <c r="T8479" s="4">
        <v>0</v>
      </c>
      <c r="U8479" s="4">
        <f t="shared" si="585"/>
        <v>0</v>
      </c>
      <c r="V8479" s="3"/>
      <c r="W8479" s="3">
        <v>2014</v>
      </c>
      <c r="X8479" s="3" t="s">
        <v>12076</v>
      </c>
    </row>
    <row r="8480" spans="1:24" ht="89.25">
      <c r="A8480" s="3" t="s">
        <v>18252</v>
      </c>
      <c r="B8480" s="6" t="s">
        <v>361</v>
      </c>
      <c r="C8480" s="6" t="s">
        <v>18265</v>
      </c>
      <c r="D8480" s="6" t="s">
        <v>18266</v>
      </c>
      <c r="E8480" s="6" t="s">
        <v>18267</v>
      </c>
      <c r="F8480" s="65" t="s">
        <v>18297</v>
      </c>
      <c r="G8480" s="3" t="s">
        <v>11449</v>
      </c>
      <c r="H8480" s="54">
        <v>0</v>
      </c>
      <c r="I8480" s="16">
        <v>470000000</v>
      </c>
      <c r="J8480" s="157" t="s">
        <v>229</v>
      </c>
      <c r="K8480" s="5" t="s">
        <v>17401</v>
      </c>
      <c r="L8480" s="12" t="s">
        <v>17302</v>
      </c>
      <c r="M8480" s="3" t="s">
        <v>230</v>
      </c>
      <c r="N8480" s="6" t="s">
        <v>524</v>
      </c>
      <c r="O8480" s="6" t="s">
        <v>233</v>
      </c>
      <c r="P8480" s="58" t="s">
        <v>241</v>
      </c>
      <c r="Q8480" s="37" t="s">
        <v>234</v>
      </c>
      <c r="R8480" s="3">
        <v>1</v>
      </c>
      <c r="S8480" s="2">
        <v>8000000</v>
      </c>
      <c r="T8480" s="4">
        <v>0</v>
      </c>
      <c r="U8480" s="4">
        <f t="shared" si="585"/>
        <v>0</v>
      </c>
      <c r="V8480" s="3" t="s">
        <v>362</v>
      </c>
      <c r="W8480" s="3">
        <v>2014</v>
      </c>
      <c r="X8480" s="3">
        <v>11</v>
      </c>
    </row>
    <row r="8481" spans="1:24" ht="89.25">
      <c r="A8481" s="3" t="s">
        <v>18487</v>
      </c>
      <c r="B8481" s="6" t="s">
        <v>361</v>
      </c>
      <c r="C8481" s="6" t="s">
        <v>18265</v>
      </c>
      <c r="D8481" s="6" t="s">
        <v>18266</v>
      </c>
      <c r="E8481" s="6" t="s">
        <v>18267</v>
      </c>
      <c r="F8481" s="65" t="s">
        <v>18297</v>
      </c>
      <c r="G8481" s="3" t="s">
        <v>11449</v>
      </c>
      <c r="H8481" s="54">
        <v>0</v>
      </c>
      <c r="I8481" s="16">
        <v>470000000</v>
      </c>
      <c r="J8481" s="157" t="s">
        <v>229</v>
      </c>
      <c r="K8481" s="5" t="s">
        <v>15646</v>
      </c>
      <c r="L8481" s="12" t="s">
        <v>17302</v>
      </c>
      <c r="M8481" s="3" t="s">
        <v>230</v>
      </c>
      <c r="N8481" s="6" t="s">
        <v>524</v>
      </c>
      <c r="O8481" s="6" t="s">
        <v>233</v>
      </c>
      <c r="P8481" s="58" t="s">
        <v>241</v>
      </c>
      <c r="Q8481" s="37" t="s">
        <v>234</v>
      </c>
      <c r="R8481" s="3">
        <v>1</v>
      </c>
      <c r="S8481" s="2">
        <v>8000000</v>
      </c>
      <c r="T8481" s="4">
        <v>0</v>
      </c>
      <c r="U8481" s="4">
        <f t="shared" si="585"/>
        <v>0</v>
      </c>
      <c r="V8481" s="3" t="s">
        <v>362</v>
      </c>
      <c r="W8481" s="3">
        <v>2014</v>
      </c>
      <c r="X8481" s="3" t="s">
        <v>12076</v>
      </c>
    </row>
    <row r="8482" spans="1:24" ht="89.25">
      <c r="A8482" s="3" t="s">
        <v>18253</v>
      </c>
      <c r="B8482" s="6" t="s">
        <v>361</v>
      </c>
      <c r="C8482" s="6" t="s">
        <v>18289</v>
      </c>
      <c r="D8482" s="6" t="s">
        <v>18280</v>
      </c>
      <c r="E8482" s="6" t="s">
        <v>18290</v>
      </c>
      <c r="F8482" s="14" t="s">
        <v>18291</v>
      </c>
      <c r="G8482" s="3" t="s">
        <v>11449</v>
      </c>
      <c r="H8482" s="54">
        <v>0</v>
      </c>
      <c r="I8482" s="16">
        <v>470000000</v>
      </c>
      <c r="J8482" s="157" t="s">
        <v>229</v>
      </c>
      <c r="K8482" s="5" t="s">
        <v>17401</v>
      </c>
      <c r="L8482" s="12" t="s">
        <v>17302</v>
      </c>
      <c r="M8482" s="3" t="s">
        <v>230</v>
      </c>
      <c r="N8482" s="6" t="s">
        <v>524</v>
      </c>
      <c r="O8482" s="6" t="s">
        <v>233</v>
      </c>
      <c r="P8482" s="58" t="s">
        <v>241</v>
      </c>
      <c r="Q8482" s="37" t="s">
        <v>234</v>
      </c>
      <c r="R8482" s="3">
        <v>1</v>
      </c>
      <c r="S8482" s="2">
        <v>8210100</v>
      </c>
      <c r="T8482" s="4">
        <v>0</v>
      </c>
      <c r="U8482" s="4">
        <f t="shared" si="585"/>
        <v>0</v>
      </c>
      <c r="V8482" s="3" t="s">
        <v>362</v>
      </c>
      <c r="W8482" s="3">
        <v>2014</v>
      </c>
      <c r="X8482" s="3">
        <v>11</v>
      </c>
    </row>
    <row r="8483" spans="1:24" ht="89.25">
      <c r="A8483" s="3" t="s">
        <v>18489</v>
      </c>
      <c r="B8483" s="6" t="s">
        <v>361</v>
      </c>
      <c r="C8483" s="6" t="s">
        <v>18289</v>
      </c>
      <c r="D8483" s="6" t="s">
        <v>18280</v>
      </c>
      <c r="E8483" s="6" t="s">
        <v>18290</v>
      </c>
      <c r="F8483" s="14" t="s">
        <v>18291</v>
      </c>
      <c r="G8483" s="3" t="s">
        <v>11449</v>
      </c>
      <c r="H8483" s="54">
        <v>0</v>
      </c>
      <c r="I8483" s="16">
        <v>470000000</v>
      </c>
      <c r="J8483" s="157" t="s">
        <v>229</v>
      </c>
      <c r="K8483" s="5" t="s">
        <v>15646</v>
      </c>
      <c r="L8483" s="12" t="s">
        <v>17302</v>
      </c>
      <c r="M8483" s="3" t="s">
        <v>230</v>
      </c>
      <c r="N8483" s="6" t="s">
        <v>524</v>
      </c>
      <c r="O8483" s="6" t="s">
        <v>233</v>
      </c>
      <c r="P8483" s="58" t="s">
        <v>241</v>
      </c>
      <c r="Q8483" s="37" t="s">
        <v>234</v>
      </c>
      <c r="R8483" s="3">
        <v>1</v>
      </c>
      <c r="S8483" s="2">
        <v>8210100</v>
      </c>
      <c r="T8483" s="4">
        <v>0</v>
      </c>
      <c r="U8483" s="4">
        <f t="shared" si="585"/>
        <v>0</v>
      </c>
      <c r="V8483" s="3" t="s">
        <v>362</v>
      </c>
      <c r="W8483" s="3">
        <v>2014</v>
      </c>
      <c r="X8483" s="3" t="s">
        <v>12076</v>
      </c>
    </row>
    <row r="8484" spans="1:24" ht="89.25">
      <c r="A8484" s="3" t="s">
        <v>18254</v>
      </c>
      <c r="B8484" s="6" t="s">
        <v>361</v>
      </c>
      <c r="C8484" s="6" t="s">
        <v>18292</v>
      </c>
      <c r="D8484" s="6" t="s">
        <v>18280</v>
      </c>
      <c r="E8484" s="6" t="s">
        <v>18293</v>
      </c>
      <c r="F8484" s="14" t="s">
        <v>18285</v>
      </c>
      <c r="G8484" s="3" t="s">
        <v>11449</v>
      </c>
      <c r="H8484" s="54">
        <v>0</v>
      </c>
      <c r="I8484" s="16">
        <v>470000000</v>
      </c>
      <c r="J8484" s="157" t="s">
        <v>229</v>
      </c>
      <c r="K8484" s="5" t="s">
        <v>17401</v>
      </c>
      <c r="L8484" s="12" t="s">
        <v>17302</v>
      </c>
      <c r="M8484" s="3" t="s">
        <v>230</v>
      </c>
      <c r="N8484" s="6" t="s">
        <v>524</v>
      </c>
      <c r="O8484" s="6" t="s">
        <v>233</v>
      </c>
      <c r="P8484" s="58" t="s">
        <v>241</v>
      </c>
      <c r="Q8484" s="37" t="s">
        <v>234</v>
      </c>
      <c r="R8484" s="3">
        <v>2</v>
      </c>
      <c r="S8484" s="2">
        <v>5885000</v>
      </c>
      <c r="T8484" s="4">
        <v>0</v>
      </c>
      <c r="U8484" s="4">
        <f t="shared" si="585"/>
        <v>0</v>
      </c>
      <c r="V8484" s="3" t="s">
        <v>362</v>
      </c>
      <c r="W8484" s="3">
        <v>2014</v>
      </c>
      <c r="X8484" s="3">
        <v>11</v>
      </c>
    </row>
    <row r="8485" spans="1:24" ht="89.25">
      <c r="A8485" s="3" t="s">
        <v>18490</v>
      </c>
      <c r="B8485" s="6" t="s">
        <v>361</v>
      </c>
      <c r="C8485" s="6" t="s">
        <v>18292</v>
      </c>
      <c r="D8485" s="6" t="s">
        <v>18280</v>
      </c>
      <c r="E8485" s="6" t="s">
        <v>18293</v>
      </c>
      <c r="F8485" s="14" t="s">
        <v>18285</v>
      </c>
      <c r="G8485" s="3" t="s">
        <v>11449</v>
      </c>
      <c r="H8485" s="54">
        <v>0</v>
      </c>
      <c r="I8485" s="16">
        <v>470000000</v>
      </c>
      <c r="J8485" s="157" t="s">
        <v>229</v>
      </c>
      <c r="K8485" s="5" t="s">
        <v>15646</v>
      </c>
      <c r="L8485" s="12" t="s">
        <v>17302</v>
      </c>
      <c r="M8485" s="3" t="s">
        <v>230</v>
      </c>
      <c r="N8485" s="6" t="s">
        <v>524</v>
      </c>
      <c r="O8485" s="6" t="s">
        <v>233</v>
      </c>
      <c r="P8485" s="58" t="s">
        <v>241</v>
      </c>
      <c r="Q8485" s="37" t="s">
        <v>234</v>
      </c>
      <c r="R8485" s="3">
        <v>2</v>
      </c>
      <c r="S8485" s="2">
        <v>5885000</v>
      </c>
      <c r="T8485" s="4">
        <v>0</v>
      </c>
      <c r="U8485" s="4">
        <f t="shared" si="585"/>
        <v>0</v>
      </c>
      <c r="V8485" s="3" t="s">
        <v>362</v>
      </c>
      <c r="W8485" s="3">
        <v>2014</v>
      </c>
      <c r="X8485" s="3" t="s">
        <v>12076</v>
      </c>
    </row>
    <row r="8486" spans="1:24" ht="89.25">
      <c r="A8486" s="3" t="s">
        <v>18255</v>
      </c>
      <c r="B8486" s="6" t="s">
        <v>361</v>
      </c>
      <c r="C8486" s="6" t="s">
        <v>18268</v>
      </c>
      <c r="D8486" s="6" t="s">
        <v>18269</v>
      </c>
      <c r="E8486" s="6" t="s">
        <v>18270</v>
      </c>
      <c r="F8486" s="65" t="s">
        <v>18298</v>
      </c>
      <c r="G8486" s="3" t="s">
        <v>11449</v>
      </c>
      <c r="H8486" s="54">
        <v>0</v>
      </c>
      <c r="I8486" s="16">
        <v>470000000</v>
      </c>
      <c r="J8486" s="157" t="s">
        <v>229</v>
      </c>
      <c r="K8486" s="5" t="s">
        <v>17401</v>
      </c>
      <c r="L8486" s="12" t="s">
        <v>17302</v>
      </c>
      <c r="M8486" s="3" t="s">
        <v>230</v>
      </c>
      <c r="N8486" s="6" t="s">
        <v>524</v>
      </c>
      <c r="O8486" s="6" t="s">
        <v>233</v>
      </c>
      <c r="P8486" s="58" t="s">
        <v>18271</v>
      </c>
      <c r="Q8486" s="6" t="s">
        <v>18272</v>
      </c>
      <c r="R8486" s="3">
        <v>1</v>
      </c>
      <c r="S8486" s="2">
        <v>30117032.5</v>
      </c>
      <c r="T8486" s="4">
        <v>0</v>
      </c>
      <c r="U8486" s="4">
        <f t="shared" si="585"/>
        <v>0</v>
      </c>
      <c r="V8486" s="3"/>
      <c r="W8486" s="3">
        <v>2014</v>
      </c>
      <c r="X8486" s="3">
        <v>11</v>
      </c>
    </row>
    <row r="8487" spans="1:24" ht="89.25">
      <c r="A8487" s="3" t="s">
        <v>18493</v>
      </c>
      <c r="B8487" s="6" t="s">
        <v>361</v>
      </c>
      <c r="C8487" s="6" t="s">
        <v>18268</v>
      </c>
      <c r="D8487" s="6" t="s">
        <v>18269</v>
      </c>
      <c r="E8487" s="6" t="s">
        <v>18270</v>
      </c>
      <c r="F8487" s="65" t="s">
        <v>18298</v>
      </c>
      <c r="G8487" s="3" t="s">
        <v>11449</v>
      </c>
      <c r="H8487" s="54">
        <v>0</v>
      </c>
      <c r="I8487" s="16">
        <v>470000000</v>
      </c>
      <c r="J8487" s="157" t="s">
        <v>229</v>
      </c>
      <c r="K8487" s="5" t="s">
        <v>15646</v>
      </c>
      <c r="L8487" s="12" t="s">
        <v>17302</v>
      </c>
      <c r="M8487" s="3" t="s">
        <v>230</v>
      </c>
      <c r="N8487" s="6" t="s">
        <v>524</v>
      </c>
      <c r="O8487" s="6" t="s">
        <v>233</v>
      </c>
      <c r="P8487" s="58" t="s">
        <v>18271</v>
      </c>
      <c r="Q8487" s="6" t="s">
        <v>18272</v>
      </c>
      <c r="R8487" s="3">
        <v>1</v>
      </c>
      <c r="S8487" s="2">
        <v>30117032.5</v>
      </c>
      <c r="T8487" s="4">
        <v>0</v>
      </c>
      <c r="U8487" s="4">
        <f t="shared" si="585"/>
        <v>0</v>
      </c>
      <c r="V8487" s="3"/>
      <c r="W8487" s="3">
        <v>2014</v>
      </c>
      <c r="X8487" s="3" t="s">
        <v>12076</v>
      </c>
    </row>
    <row r="8488" spans="1:24" ht="89.25">
      <c r="A8488" s="3" t="s">
        <v>18256</v>
      </c>
      <c r="B8488" s="6" t="s">
        <v>361</v>
      </c>
      <c r="C8488" s="6" t="s">
        <v>18273</v>
      </c>
      <c r="D8488" s="6" t="s">
        <v>18274</v>
      </c>
      <c r="E8488" s="6" t="s">
        <v>18275</v>
      </c>
      <c r="F8488" s="65" t="s">
        <v>18299</v>
      </c>
      <c r="G8488" s="3" t="s">
        <v>11449</v>
      </c>
      <c r="H8488" s="54">
        <v>0</v>
      </c>
      <c r="I8488" s="16">
        <v>470000000</v>
      </c>
      <c r="J8488" s="157" t="s">
        <v>229</v>
      </c>
      <c r="K8488" s="5" t="s">
        <v>17401</v>
      </c>
      <c r="L8488" s="12" t="s">
        <v>17302</v>
      </c>
      <c r="M8488" s="3" t="s">
        <v>230</v>
      </c>
      <c r="N8488" s="6" t="s">
        <v>524</v>
      </c>
      <c r="O8488" s="6" t="s">
        <v>233</v>
      </c>
      <c r="P8488" s="58" t="s">
        <v>241</v>
      </c>
      <c r="Q8488" s="37" t="s">
        <v>234</v>
      </c>
      <c r="R8488" s="3">
        <v>1</v>
      </c>
      <c r="S8488" s="2">
        <v>22000000</v>
      </c>
      <c r="T8488" s="4">
        <v>0</v>
      </c>
      <c r="U8488" s="4">
        <f t="shared" si="585"/>
        <v>0</v>
      </c>
      <c r="V8488" s="3"/>
      <c r="W8488" s="3">
        <v>2014</v>
      </c>
      <c r="X8488" s="3">
        <v>11</v>
      </c>
    </row>
    <row r="8489" spans="1:24" ht="89.25">
      <c r="A8489" s="3" t="s">
        <v>18494</v>
      </c>
      <c r="B8489" s="6" t="s">
        <v>361</v>
      </c>
      <c r="C8489" s="6" t="s">
        <v>18273</v>
      </c>
      <c r="D8489" s="6" t="s">
        <v>18274</v>
      </c>
      <c r="E8489" s="6" t="s">
        <v>18275</v>
      </c>
      <c r="F8489" s="65" t="s">
        <v>18299</v>
      </c>
      <c r="G8489" s="3" t="s">
        <v>11449</v>
      </c>
      <c r="H8489" s="54">
        <v>0</v>
      </c>
      <c r="I8489" s="16">
        <v>470000000</v>
      </c>
      <c r="J8489" s="157" t="s">
        <v>229</v>
      </c>
      <c r="K8489" s="5" t="s">
        <v>15646</v>
      </c>
      <c r="L8489" s="12" t="s">
        <v>17302</v>
      </c>
      <c r="M8489" s="3" t="s">
        <v>230</v>
      </c>
      <c r="N8489" s="6" t="s">
        <v>524</v>
      </c>
      <c r="O8489" s="6" t="s">
        <v>233</v>
      </c>
      <c r="P8489" s="58" t="s">
        <v>241</v>
      </c>
      <c r="Q8489" s="37" t="s">
        <v>234</v>
      </c>
      <c r="R8489" s="3">
        <v>1</v>
      </c>
      <c r="S8489" s="2">
        <v>22000000</v>
      </c>
      <c r="T8489" s="4">
        <v>0</v>
      </c>
      <c r="U8489" s="4">
        <f t="shared" si="585"/>
        <v>0</v>
      </c>
      <c r="V8489" s="3"/>
      <c r="W8489" s="3">
        <v>2014</v>
      </c>
      <c r="X8489" s="3" t="s">
        <v>12076</v>
      </c>
    </row>
    <row r="8490" spans="1:24" ht="102">
      <c r="A8490" s="3" t="s">
        <v>18257</v>
      </c>
      <c r="B8490" s="6" t="s">
        <v>361</v>
      </c>
      <c r="C8490" s="6" t="s">
        <v>18294</v>
      </c>
      <c r="D8490" s="6" t="s">
        <v>18280</v>
      </c>
      <c r="E8490" s="6" t="s">
        <v>18295</v>
      </c>
      <c r="F8490" s="65" t="s">
        <v>18247</v>
      </c>
      <c r="G8490" s="3" t="s">
        <v>11449</v>
      </c>
      <c r="H8490" s="54">
        <v>0</v>
      </c>
      <c r="I8490" s="16">
        <v>470000000</v>
      </c>
      <c r="J8490" s="157" t="s">
        <v>229</v>
      </c>
      <c r="K8490" s="5" t="s">
        <v>17401</v>
      </c>
      <c r="L8490" s="12" t="s">
        <v>17302</v>
      </c>
      <c r="M8490" s="3" t="s">
        <v>230</v>
      </c>
      <c r="N8490" s="6" t="s">
        <v>524</v>
      </c>
      <c r="O8490" s="6" t="s">
        <v>233</v>
      </c>
      <c r="P8490" s="58" t="s">
        <v>241</v>
      </c>
      <c r="Q8490" s="37" t="s">
        <v>234</v>
      </c>
      <c r="R8490" s="3">
        <v>4</v>
      </c>
      <c r="S8490" s="2">
        <v>2100000</v>
      </c>
      <c r="T8490" s="4">
        <v>0</v>
      </c>
      <c r="U8490" s="4">
        <f t="shared" si="585"/>
        <v>0</v>
      </c>
      <c r="V8490" s="3" t="s">
        <v>362</v>
      </c>
      <c r="W8490" s="3">
        <v>2014</v>
      </c>
      <c r="X8490" s="3">
        <v>11</v>
      </c>
    </row>
    <row r="8491" spans="1:24" ht="102">
      <c r="A8491" s="3" t="s">
        <v>18495</v>
      </c>
      <c r="B8491" s="6" t="s">
        <v>361</v>
      </c>
      <c r="C8491" s="6" t="s">
        <v>18294</v>
      </c>
      <c r="D8491" s="6" t="s">
        <v>18280</v>
      </c>
      <c r="E8491" s="6" t="s">
        <v>18295</v>
      </c>
      <c r="F8491" s="65" t="s">
        <v>18247</v>
      </c>
      <c r="G8491" s="3" t="s">
        <v>11449</v>
      </c>
      <c r="H8491" s="54">
        <v>0</v>
      </c>
      <c r="I8491" s="16">
        <v>470000000</v>
      </c>
      <c r="J8491" s="157" t="s">
        <v>229</v>
      </c>
      <c r="K8491" s="5" t="s">
        <v>15646</v>
      </c>
      <c r="L8491" s="12" t="s">
        <v>17302</v>
      </c>
      <c r="M8491" s="3" t="s">
        <v>230</v>
      </c>
      <c r="N8491" s="6" t="s">
        <v>524</v>
      </c>
      <c r="O8491" s="6" t="s">
        <v>233</v>
      </c>
      <c r="P8491" s="58" t="s">
        <v>241</v>
      </c>
      <c r="Q8491" s="37" t="s">
        <v>234</v>
      </c>
      <c r="R8491" s="3">
        <v>4</v>
      </c>
      <c r="S8491" s="2">
        <v>2100000</v>
      </c>
      <c r="T8491" s="4">
        <v>0</v>
      </c>
      <c r="U8491" s="4">
        <f t="shared" si="585"/>
        <v>0</v>
      </c>
      <c r="V8491" s="3" t="s">
        <v>362</v>
      </c>
      <c r="W8491" s="3">
        <v>2014</v>
      </c>
      <c r="X8491" s="3" t="s">
        <v>12076</v>
      </c>
    </row>
    <row r="8492" spans="1:24" ht="89.25">
      <c r="A8492" s="3" t="s">
        <v>18258</v>
      </c>
      <c r="B8492" s="6" t="s">
        <v>361</v>
      </c>
      <c r="C8492" s="6" t="s">
        <v>18276</v>
      </c>
      <c r="D8492" s="6" t="s">
        <v>18277</v>
      </c>
      <c r="E8492" s="6" t="s">
        <v>18278</v>
      </c>
      <c r="F8492" s="65" t="s">
        <v>18277</v>
      </c>
      <c r="G8492" s="3" t="s">
        <v>11449</v>
      </c>
      <c r="H8492" s="54">
        <v>0</v>
      </c>
      <c r="I8492" s="16">
        <v>470000000</v>
      </c>
      <c r="J8492" s="157" t="s">
        <v>229</v>
      </c>
      <c r="K8492" s="5" t="s">
        <v>17401</v>
      </c>
      <c r="L8492" s="12" t="s">
        <v>17302</v>
      </c>
      <c r="M8492" s="3" t="s">
        <v>230</v>
      </c>
      <c r="N8492" s="6" t="s">
        <v>524</v>
      </c>
      <c r="O8492" s="6" t="s">
        <v>233</v>
      </c>
      <c r="P8492" s="58" t="s">
        <v>241</v>
      </c>
      <c r="Q8492" s="37" t="s">
        <v>234</v>
      </c>
      <c r="R8492" s="3">
        <v>1</v>
      </c>
      <c r="S8492" s="2">
        <v>30185000</v>
      </c>
      <c r="T8492" s="4">
        <v>0</v>
      </c>
      <c r="U8492" s="4">
        <f t="shared" si="585"/>
        <v>0</v>
      </c>
      <c r="V8492" s="3"/>
      <c r="W8492" s="3">
        <v>2014</v>
      </c>
      <c r="X8492" s="3">
        <v>11</v>
      </c>
    </row>
    <row r="8493" spans="1:24" ht="89.25">
      <c r="A8493" s="3" t="s">
        <v>18496</v>
      </c>
      <c r="B8493" s="6" t="s">
        <v>361</v>
      </c>
      <c r="C8493" s="6" t="s">
        <v>18276</v>
      </c>
      <c r="D8493" s="6" t="s">
        <v>18277</v>
      </c>
      <c r="E8493" s="6" t="s">
        <v>18278</v>
      </c>
      <c r="F8493" s="65" t="s">
        <v>18277</v>
      </c>
      <c r="G8493" s="3" t="s">
        <v>11449</v>
      </c>
      <c r="H8493" s="54">
        <v>0</v>
      </c>
      <c r="I8493" s="16">
        <v>470000000</v>
      </c>
      <c r="J8493" s="157" t="s">
        <v>229</v>
      </c>
      <c r="K8493" s="5" t="s">
        <v>15646</v>
      </c>
      <c r="L8493" s="12" t="s">
        <v>17302</v>
      </c>
      <c r="M8493" s="3" t="s">
        <v>230</v>
      </c>
      <c r="N8493" s="6" t="s">
        <v>524</v>
      </c>
      <c r="O8493" s="6" t="s">
        <v>233</v>
      </c>
      <c r="P8493" s="58" t="s">
        <v>241</v>
      </c>
      <c r="Q8493" s="37" t="s">
        <v>234</v>
      </c>
      <c r="R8493" s="3">
        <v>1</v>
      </c>
      <c r="S8493" s="2">
        <v>30185000</v>
      </c>
      <c r="T8493" s="4">
        <v>0</v>
      </c>
      <c r="U8493" s="4">
        <f t="shared" si="585"/>
        <v>0</v>
      </c>
      <c r="V8493" s="3"/>
      <c r="W8493" s="3">
        <v>2014</v>
      </c>
      <c r="X8493" s="3" t="s">
        <v>12076</v>
      </c>
    </row>
    <row r="8494" spans="1:24" ht="63.75">
      <c r="A8494" s="3" t="s">
        <v>18300</v>
      </c>
      <c r="B8494" s="6" t="s">
        <v>361</v>
      </c>
      <c r="C8494" s="6" t="s">
        <v>18303</v>
      </c>
      <c r="D8494" s="6" t="s">
        <v>18304</v>
      </c>
      <c r="E8494" s="6" t="s">
        <v>18305</v>
      </c>
      <c r="F8494" s="6"/>
      <c r="G8494" s="3" t="s">
        <v>605</v>
      </c>
      <c r="H8494" s="54">
        <v>0</v>
      </c>
      <c r="I8494" s="16">
        <v>470000000</v>
      </c>
      <c r="J8494" s="157" t="s">
        <v>229</v>
      </c>
      <c r="K8494" s="5" t="s">
        <v>18314</v>
      </c>
      <c r="L8494" s="17" t="s">
        <v>11411</v>
      </c>
      <c r="M8494" s="3" t="s">
        <v>230</v>
      </c>
      <c r="N8494" s="6" t="s">
        <v>18306</v>
      </c>
      <c r="O8494" s="6" t="s">
        <v>18307</v>
      </c>
      <c r="P8494" s="58" t="s">
        <v>243</v>
      </c>
      <c r="Q8494" s="6" t="s">
        <v>244</v>
      </c>
      <c r="R8494" s="3">
        <v>30</v>
      </c>
      <c r="S8494" s="2">
        <v>1200</v>
      </c>
      <c r="T8494" s="1">
        <f>R8494*S8494</f>
        <v>36000</v>
      </c>
      <c r="U8494" s="4">
        <f t="shared" si="585"/>
        <v>40320.000000000007</v>
      </c>
      <c r="V8494" s="3"/>
      <c r="W8494" s="3">
        <v>2014</v>
      </c>
      <c r="X8494" s="3"/>
    </row>
    <row r="8495" spans="1:24" ht="63.75">
      <c r="A8495" s="3" t="s">
        <v>18301</v>
      </c>
      <c r="B8495" s="6" t="s">
        <v>361</v>
      </c>
      <c r="C8495" s="6" t="s">
        <v>18308</v>
      </c>
      <c r="D8495" s="6" t="s">
        <v>18309</v>
      </c>
      <c r="E8495" s="6" t="s">
        <v>18310</v>
      </c>
      <c r="F8495" s="6"/>
      <c r="G8495" s="3" t="s">
        <v>605</v>
      </c>
      <c r="H8495" s="54">
        <v>0</v>
      </c>
      <c r="I8495" s="16">
        <v>470000000</v>
      </c>
      <c r="J8495" s="157" t="s">
        <v>229</v>
      </c>
      <c r="K8495" s="5" t="s">
        <v>18314</v>
      </c>
      <c r="L8495" s="17" t="s">
        <v>11411</v>
      </c>
      <c r="M8495" s="3" t="s">
        <v>230</v>
      </c>
      <c r="N8495" s="6" t="s">
        <v>18306</v>
      </c>
      <c r="O8495" s="6" t="s">
        <v>18307</v>
      </c>
      <c r="P8495" s="58">
        <v>796</v>
      </c>
      <c r="Q8495" s="6" t="s">
        <v>234</v>
      </c>
      <c r="R8495" s="3">
        <v>500</v>
      </c>
      <c r="S8495" s="2">
        <v>35</v>
      </c>
      <c r="T8495" s="1">
        <f>R8495*S8495</f>
        <v>17500</v>
      </c>
      <c r="U8495" s="4">
        <f t="shared" si="585"/>
        <v>19600.000000000004</v>
      </c>
      <c r="V8495" s="3"/>
      <c r="W8495" s="3">
        <v>2014</v>
      </c>
      <c r="X8495" s="3"/>
    </row>
    <row r="8496" spans="1:24" ht="63.75">
      <c r="A8496" s="3" t="s">
        <v>18302</v>
      </c>
      <c r="B8496" s="6" t="s">
        <v>361</v>
      </c>
      <c r="C8496" s="6" t="s">
        <v>18312</v>
      </c>
      <c r="D8496" s="6" t="s">
        <v>9383</v>
      </c>
      <c r="E8496" s="6" t="s">
        <v>18313</v>
      </c>
      <c r="F8496" s="65"/>
      <c r="G8496" s="3" t="s">
        <v>605</v>
      </c>
      <c r="H8496" s="54">
        <v>0</v>
      </c>
      <c r="I8496" s="16">
        <v>470000000</v>
      </c>
      <c r="J8496" s="157" t="s">
        <v>229</v>
      </c>
      <c r="K8496" s="5" t="s">
        <v>8309</v>
      </c>
      <c r="L8496" s="17" t="s">
        <v>11411</v>
      </c>
      <c r="M8496" s="3" t="s">
        <v>230</v>
      </c>
      <c r="N8496" s="6" t="s">
        <v>528</v>
      </c>
      <c r="O8496" s="6" t="s">
        <v>18311</v>
      </c>
      <c r="P8496" s="58">
        <v>796</v>
      </c>
      <c r="Q8496" s="6" t="s">
        <v>234</v>
      </c>
      <c r="R8496" s="3">
        <v>2</v>
      </c>
      <c r="S8496" s="2">
        <v>31250</v>
      </c>
      <c r="T8496" s="1">
        <f>R8496*S8496</f>
        <v>62500</v>
      </c>
      <c r="U8496" s="4">
        <f t="shared" si="585"/>
        <v>70000</v>
      </c>
      <c r="V8496" s="3"/>
      <c r="W8496" s="3">
        <v>2014</v>
      </c>
      <c r="X8496" s="3"/>
    </row>
    <row r="8497" spans="1:24" ht="114.75">
      <c r="A8497" s="3" t="s">
        <v>18592</v>
      </c>
      <c r="B8497" s="6" t="s">
        <v>361</v>
      </c>
      <c r="C8497" s="6" t="s">
        <v>5722</v>
      </c>
      <c r="D8497" s="6" t="s">
        <v>5723</v>
      </c>
      <c r="E8497" s="6" t="s">
        <v>5724</v>
      </c>
      <c r="F8497" s="65" t="s">
        <v>18590</v>
      </c>
      <c r="G8497" s="3" t="s">
        <v>11450</v>
      </c>
      <c r="H8497" s="54">
        <v>0</v>
      </c>
      <c r="I8497" s="16">
        <v>470000000</v>
      </c>
      <c r="J8497" s="157" t="s">
        <v>229</v>
      </c>
      <c r="K8497" s="5" t="s">
        <v>9369</v>
      </c>
      <c r="L8497" s="17" t="s">
        <v>17302</v>
      </c>
      <c r="M8497" s="3" t="s">
        <v>230</v>
      </c>
      <c r="N8497" s="6" t="s">
        <v>8898</v>
      </c>
      <c r="O8497" s="6" t="s">
        <v>365</v>
      </c>
      <c r="P8497" s="58" t="s">
        <v>241</v>
      </c>
      <c r="Q8497" s="6" t="s">
        <v>234</v>
      </c>
      <c r="R8497" s="3">
        <v>6</v>
      </c>
      <c r="S8497" s="2">
        <v>19000</v>
      </c>
      <c r="T8497" s="1">
        <f t="shared" ref="T8497:T8519" si="596">R8497*S8497</f>
        <v>114000</v>
      </c>
      <c r="U8497" s="4">
        <f t="shared" si="585"/>
        <v>127680.00000000001</v>
      </c>
      <c r="V8497" s="3"/>
      <c r="W8497" s="3">
        <v>2014</v>
      </c>
      <c r="X8497" s="3"/>
    </row>
    <row r="8498" spans="1:24" ht="114.75">
      <c r="A8498" s="3" t="s">
        <v>18593</v>
      </c>
      <c r="B8498" s="6" t="s">
        <v>361</v>
      </c>
      <c r="C8498" s="6" t="s">
        <v>5722</v>
      </c>
      <c r="D8498" s="6" t="s">
        <v>5723</v>
      </c>
      <c r="E8498" s="6" t="s">
        <v>5724</v>
      </c>
      <c r="F8498" s="65" t="s">
        <v>18591</v>
      </c>
      <c r="G8498" s="3" t="s">
        <v>11450</v>
      </c>
      <c r="H8498" s="54">
        <v>0</v>
      </c>
      <c r="I8498" s="16">
        <v>470000000</v>
      </c>
      <c r="J8498" s="157" t="s">
        <v>229</v>
      </c>
      <c r="K8498" s="5" t="s">
        <v>9369</v>
      </c>
      <c r="L8498" s="17" t="s">
        <v>17302</v>
      </c>
      <c r="M8498" s="3" t="s">
        <v>230</v>
      </c>
      <c r="N8498" s="6" t="s">
        <v>8898</v>
      </c>
      <c r="O8498" s="6" t="s">
        <v>365</v>
      </c>
      <c r="P8498" s="58" t="s">
        <v>241</v>
      </c>
      <c r="Q8498" s="6" t="s">
        <v>234</v>
      </c>
      <c r="R8498" s="3">
        <v>3</v>
      </c>
      <c r="S8498" s="2">
        <v>75714.25</v>
      </c>
      <c r="T8498" s="1">
        <f t="shared" si="596"/>
        <v>227142.75</v>
      </c>
      <c r="U8498" s="4">
        <f t="shared" si="585"/>
        <v>254399.88000000003</v>
      </c>
      <c r="V8498" s="3"/>
      <c r="W8498" s="3">
        <v>2014</v>
      </c>
      <c r="X8498" s="3"/>
    </row>
    <row r="8499" spans="1:24" ht="165.75">
      <c r="A8499" s="3" t="s">
        <v>18610</v>
      </c>
      <c r="B8499" s="6" t="s">
        <v>361</v>
      </c>
      <c r="C8499" s="6" t="s">
        <v>18644</v>
      </c>
      <c r="D8499" s="6" t="s">
        <v>18645</v>
      </c>
      <c r="E8499" s="6" t="s">
        <v>18646</v>
      </c>
      <c r="F8499" s="129" t="s">
        <v>18594</v>
      </c>
      <c r="G8499" s="3" t="s">
        <v>11450</v>
      </c>
      <c r="H8499" s="54">
        <v>0</v>
      </c>
      <c r="I8499" s="16">
        <v>470000000</v>
      </c>
      <c r="J8499" s="157" t="s">
        <v>229</v>
      </c>
      <c r="K8499" s="5" t="s">
        <v>9369</v>
      </c>
      <c r="L8499" s="17" t="s">
        <v>17302</v>
      </c>
      <c r="M8499" s="3" t="s">
        <v>230</v>
      </c>
      <c r="N8499" s="6" t="s">
        <v>8898</v>
      </c>
      <c r="O8499" s="6" t="s">
        <v>365</v>
      </c>
      <c r="P8499" s="58" t="s">
        <v>241</v>
      </c>
      <c r="Q8499" s="6" t="s">
        <v>234</v>
      </c>
      <c r="R8499" s="3">
        <v>10</v>
      </c>
      <c r="S8499" s="2">
        <v>25000</v>
      </c>
      <c r="T8499" s="1">
        <f t="shared" si="596"/>
        <v>250000</v>
      </c>
      <c r="U8499" s="4">
        <f t="shared" si="585"/>
        <v>280000</v>
      </c>
      <c r="V8499" s="3"/>
      <c r="W8499" s="3">
        <v>2014</v>
      </c>
      <c r="X8499" s="3"/>
    </row>
    <row r="8500" spans="1:24" ht="165.75">
      <c r="A8500" s="3" t="s">
        <v>18611</v>
      </c>
      <c r="B8500" s="6" t="s">
        <v>361</v>
      </c>
      <c r="C8500" s="6" t="s">
        <v>18644</v>
      </c>
      <c r="D8500" s="6" t="s">
        <v>18645</v>
      </c>
      <c r="E8500" s="6" t="s">
        <v>18646</v>
      </c>
      <c r="F8500" s="129" t="s">
        <v>18595</v>
      </c>
      <c r="G8500" s="3" t="s">
        <v>11450</v>
      </c>
      <c r="H8500" s="54">
        <v>0</v>
      </c>
      <c r="I8500" s="16">
        <v>470000000</v>
      </c>
      <c r="J8500" s="157" t="s">
        <v>229</v>
      </c>
      <c r="K8500" s="5" t="s">
        <v>9369</v>
      </c>
      <c r="L8500" s="17" t="s">
        <v>17302</v>
      </c>
      <c r="M8500" s="3" t="s">
        <v>230</v>
      </c>
      <c r="N8500" s="6" t="s">
        <v>8898</v>
      </c>
      <c r="O8500" s="6" t="s">
        <v>365</v>
      </c>
      <c r="P8500" s="58" t="s">
        <v>241</v>
      </c>
      <c r="Q8500" s="6" t="s">
        <v>234</v>
      </c>
      <c r="R8500" s="3">
        <v>10</v>
      </c>
      <c r="S8500" s="2">
        <v>28000</v>
      </c>
      <c r="T8500" s="1">
        <f t="shared" si="596"/>
        <v>280000</v>
      </c>
      <c r="U8500" s="4">
        <f t="shared" si="585"/>
        <v>313600.00000000006</v>
      </c>
      <c r="V8500" s="3"/>
      <c r="W8500" s="3">
        <v>2014</v>
      </c>
      <c r="X8500" s="3"/>
    </row>
    <row r="8501" spans="1:24" ht="165.75">
      <c r="A8501" s="3" t="s">
        <v>18612</v>
      </c>
      <c r="B8501" s="6" t="s">
        <v>361</v>
      </c>
      <c r="C8501" s="6" t="s">
        <v>18644</v>
      </c>
      <c r="D8501" s="6" t="s">
        <v>18645</v>
      </c>
      <c r="E8501" s="6" t="s">
        <v>18646</v>
      </c>
      <c r="F8501" s="129" t="s">
        <v>18596</v>
      </c>
      <c r="G8501" s="3" t="s">
        <v>11450</v>
      </c>
      <c r="H8501" s="54">
        <v>0</v>
      </c>
      <c r="I8501" s="16">
        <v>470000000</v>
      </c>
      <c r="J8501" s="157" t="s">
        <v>229</v>
      </c>
      <c r="K8501" s="5" t="s">
        <v>9369</v>
      </c>
      <c r="L8501" s="17" t="s">
        <v>17302</v>
      </c>
      <c r="M8501" s="3" t="s">
        <v>230</v>
      </c>
      <c r="N8501" s="6" t="s">
        <v>8898</v>
      </c>
      <c r="O8501" s="6" t="s">
        <v>365</v>
      </c>
      <c r="P8501" s="58" t="s">
        <v>241</v>
      </c>
      <c r="Q8501" s="6" t="s">
        <v>234</v>
      </c>
      <c r="R8501" s="3">
        <v>18</v>
      </c>
      <c r="S8501" s="2">
        <v>15200</v>
      </c>
      <c r="T8501" s="1">
        <f t="shared" si="596"/>
        <v>273600</v>
      </c>
      <c r="U8501" s="4">
        <f t="shared" ref="U8501:U8533" si="597">T8501*1.12</f>
        <v>306432.00000000006</v>
      </c>
      <c r="V8501" s="3"/>
      <c r="W8501" s="3">
        <v>2014</v>
      </c>
      <c r="X8501" s="3"/>
    </row>
    <row r="8502" spans="1:24" ht="165.75">
      <c r="A8502" s="3" t="s">
        <v>18613</v>
      </c>
      <c r="B8502" s="6" t="s">
        <v>361</v>
      </c>
      <c r="C8502" s="6" t="s">
        <v>18644</v>
      </c>
      <c r="D8502" s="6" t="s">
        <v>18645</v>
      </c>
      <c r="E8502" s="6" t="s">
        <v>18646</v>
      </c>
      <c r="F8502" s="129" t="s">
        <v>18597</v>
      </c>
      <c r="G8502" s="3" t="s">
        <v>11450</v>
      </c>
      <c r="H8502" s="54">
        <v>0</v>
      </c>
      <c r="I8502" s="16">
        <v>470000000</v>
      </c>
      <c r="J8502" s="157" t="s">
        <v>229</v>
      </c>
      <c r="K8502" s="5" t="s">
        <v>9369</v>
      </c>
      <c r="L8502" s="17" t="s">
        <v>17302</v>
      </c>
      <c r="M8502" s="3" t="s">
        <v>230</v>
      </c>
      <c r="N8502" s="6" t="s">
        <v>8898</v>
      </c>
      <c r="O8502" s="6" t="s">
        <v>365</v>
      </c>
      <c r="P8502" s="58" t="s">
        <v>241</v>
      </c>
      <c r="Q8502" s="6" t="s">
        <v>234</v>
      </c>
      <c r="R8502" s="3">
        <v>20</v>
      </c>
      <c r="S8502" s="2">
        <v>13200</v>
      </c>
      <c r="T8502" s="1">
        <f t="shared" si="596"/>
        <v>264000</v>
      </c>
      <c r="U8502" s="4">
        <f t="shared" si="597"/>
        <v>295680</v>
      </c>
      <c r="V8502" s="3"/>
      <c r="W8502" s="3">
        <v>2014</v>
      </c>
      <c r="X8502" s="3"/>
    </row>
    <row r="8503" spans="1:24" ht="165.75">
      <c r="A8503" s="3" t="s">
        <v>18614</v>
      </c>
      <c r="B8503" s="6" t="s">
        <v>361</v>
      </c>
      <c r="C8503" s="6" t="s">
        <v>18644</v>
      </c>
      <c r="D8503" s="6" t="s">
        <v>18645</v>
      </c>
      <c r="E8503" s="6" t="s">
        <v>18646</v>
      </c>
      <c r="F8503" s="129" t="s">
        <v>18598</v>
      </c>
      <c r="G8503" s="3" t="s">
        <v>11450</v>
      </c>
      <c r="H8503" s="54">
        <v>0</v>
      </c>
      <c r="I8503" s="16">
        <v>470000000</v>
      </c>
      <c r="J8503" s="157" t="s">
        <v>229</v>
      </c>
      <c r="K8503" s="5" t="s">
        <v>9369</v>
      </c>
      <c r="L8503" s="17" t="s">
        <v>17302</v>
      </c>
      <c r="M8503" s="3" t="s">
        <v>230</v>
      </c>
      <c r="N8503" s="6" t="s">
        <v>8898</v>
      </c>
      <c r="O8503" s="6" t="s">
        <v>365</v>
      </c>
      <c r="P8503" s="58" t="s">
        <v>241</v>
      </c>
      <c r="Q8503" s="6" t="s">
        <v>234</v>
      </c>
      <c r="R8503" s="3">
        <v>20</v>
      </c>
      <c r="S8503" s="2">
        <v>20400</v>
      </c>
      <c r="T8503" s="1">
        <f t="shared" si="596"/>
        <v>408000</v>
      </c>
      <c r="U8503" s="4">
        <f t="shared" si="597"/>
        <v>456960.00000000006</v>
      </c>
      <c r="V8503" s="3"/>
      <c r="W8503" s="3">
        <v>2014</v>
      </c>
      <c r="X8503" s="3"/>
    </row>
    <row r="8504" spans="1:24" ht="114.75">
      <c r="A8504" s="3" t="s">
        <v>18615</v>
      </c>
      <c r="B8504" s="6" t="s">
        <v>361</v>
      </c>
      <c r="C8504" s="6" t="s">
        <v>18626</v>
      </c>
      <c r="D8504" s="6" t="s">
        <v>368</v>
      </c>
      <c r="E8504" s="6" t="s">
        <v>18627</v>
      </c>
      <c r="F8504" s="6" t="s">
        <v>18599</v>
      </c>
      <c r="G8504" s="3" t="s">
        <v>11450</v>
      </c>
      <c r="H8504" s="54">
        <v>0</v>
      </c>
      <c r="I8504" s="16">
        <v>470000000</v>
      </c>
      <c r="J8504" s="157" t="s">
        <v>229</v>
      </c>
      <c r="K8504" s="5" t="s">
        <v>9369</v>
      </c>
      <c r="L8504" s="17" t="s">
        <v>17302</v>
      </c>
      <c r="M8504" s="3" t="s">
        <v>230</v>
      </c>
      <c r="N8504" s="6" t="s">
        <v>8898</v>
      </c>
      <c r="O8504" s="6" t="s">
        <v>365</v>
      </c>
      <c r="P8504" s="58" t="s">
        <v>241</v>
      </c>
      <c r="Q8504" s="6" t="s">
        <v>234</v>
      </c>
      <c r="R8504" s="3">
        <v>20</v>
      </c>
      <c r="S8504" s="2">
        <v>800</v>
      </c>
      <c r="T8504" s="1">
        <f t="shared" si="596"/>
        <v>16000</v>
      </c>
      <c r="U8504" s="4">
        <f t="shared" si="597"/>
        <v>17920</v>
      </c>
      <c r="V8504" s="3"/>
      <c r="W8504" s="3">
        <v>2014</v>
      </c>
      <c r="X8504" s="3"/>
    </row>
    <row r="8505" spans="1:24" ht="114.75">
      <c r="A8505" s="3" t="s">
        <v>18616</v>
      </c>
      <c r="B8505" s="6" t="s">
        <v>361</v>
      </c>
      <c r="C8505" s="6" t="s">
        <v>18628</v>
      </c>
      <c r="D8505" s="6" t="s">
        <v>368</v>
      </c>
      <c r="E8505" s="6" t="s">
        <v>18629</v>
      </c>
      <c r="F8505" s="326" t="s">
        <v>18600</v>
      </c>
      <c r="G8505" s="3" t="s">
        <v>11450</v>
      </c>
      <c r="H8505" s="54">
        <v>0</v>
      </c>
      <c r="I8505" s="16">
        <v>470000000</v>
      </c>
      <c r="J8505" s="157" t="s">
        <v>229</v>
      </c>
      <c r="K8505" s="5" t="s">
        <v>9369</v>
      </c>
      <c r="L8505" s="17" t="s">
        <v>17302</v>
      </c>
      <c r="M8505" s="3" t="s">
        <v>230</v>
      </c>
      <c r="N8505" s="6" t="s">
        <v>8898</v>
      </c>
      <c r="O8505" s="6" t="s">
        <v>365</v>
      </c>
      <c r="P8505" s="58" t="s">
        <v>241</v>
      </c>
      <c r="Q8505" s="6" t="s">
        <v>234</v>
      </c>
      <c r="R8505" s="3">
        <v>40</v>
      </c>
      <c r="S8505" s="2">
        <v>800</v>
      </c>
      <c r="T8505" s="1">
        <f t="shared" si="596"/>
        <v>32000</v>
      </c>
      <c r="U8505" s="4">
        <f t="shared" si="597"/>
        <v>35840</v>
      </c>
      <c r="V8505" s="3"/>
      <c r="W8505" s="3">
        <v>2014</v>
      </c>
      <c r="X8505" s="3"/>
    </row>
    <row r="8506" spans="1:24" ht="114.75">
      <c r="A8506" s="3" t="s">
        <v>18617</v>
      </c>
      <c r="B8506" s="6" t="s">
        <v>361</v>
      </c>
      <c r="C8506" s="6" t="s">
        <v>18630</v>
      </c>
      <c r="D8506" s="6" t="s">
        <v>368</v>
      </c>
      <c r="E8506" s="6" t="s">
        <v>18631</v>
      </c>
      <c r="F8506" s="6" t="s">
        <v>18601</v>
      </c>
      <c r="G8506" s="3" t="s">
        <v>11450</v>
      </c>
      <c r="H8506" s="54">
        <v>0</v>
      </c>
      <c r="I8506" s="16">
        <v>470000000</v>
      </c>
      <c r="J8506" s="157" t="s">
        <v>229</v>
      </c>
      <c r="K8506" s="5" t="s">
        <v>9369</v>
      </c>
      <c r="L8506" s="17" t="s">
        <v>17302</v>
      </c>
      <c r="M8506" s="3" t="s">
        <v>230</v>
      </c>
      <c r="N8506" s="6" t="s">
        <v>8898</v>
      </c>
      <c r="O8506" s="6" t="s">
        <v>365</v>
      </c>
      <c r="P8506" s="58" t="s">
        <v>241</v>
      </c>
      <c r="Q8506" s="6" t="s">
        <v>234</v>
      </c>
      <c r="R8506" s="3">
        <v>20</v>
      </c>
      <c r="S8506" s="2">
        <v>1000</v>
      </c>
      <c r="T8506" s="1">
        <f t="shared" si="596"/>
        <v>20000</v>
      </c>
      <c r="U8506" s="4">
        <f t="shared" si="597"/>
        <v>22400.000000000004</v>
      </c>
      <c r="V8506" s="3"/>
      <c r="W8506" s="3">
        <v>2014</v>
      </c>
      <c r="X8506" s="3"/>
    </row>
    <row r="8507" spans="1:24" ht="114.75">
      <c r="A8507" s="3" t="s">
        <v>18618</v>
      </c>
      <c r="B8507" s="6" t="s">
        <v>361</v>
      </c>
      <c r="C8507" s="6" t="s">
        <v>18632</v>
      </c>
      <c r="D8507" s="6" t="s">
        <v>368</v>
      </c>
      <c r="E8507" s="6" t="s">
        <v>18633</v>
      </c>
      <c r="F8507" s="6" t="s">
        <v>18602</v>
      </c>
      <c r="G8507" s="3" t="s">
        <v>11450</v>
      </c>
      <c r="H8507" s="54">
        <v>0</v>
      </c>
      <c r="I8507" s="16">
        <v>470000000</v>
      </c>
      <c r="J8507" s="157" t="s">
        <v>229</v>
      </c>
      <c r="K8507" s="5" t="s">
        <v>9369</v>
      </c>
      <c r="L8507" s="17" t="s">
        <v>17302</v>
      </c>
      <c r="M8507" s="3" t="s">
        <v>230</v>
      </c>
      <c r="N8507" s="6" t="s">
        <v>8898</v>
      </c>
      <c r="O8507" s="6" t="s">
        <v>365</v>
      </c>
      <c r="P8507" s="58" t="s">
        <v>241</v>
      </c>
      <c r="Q8507" s="6" t="s">
        <v>234</v>
      </c>
      <c r="R8507" s="3">
        <v>20</v>
      </c>
      <c r="S8507" s="2">
        <v>1000</v>
      </c>
      <c r="T8507" s="1">
        <f t="shared" si="596"/>
        <v>20000</v>
      </c>
      <c r="U8507" s="4">
        <f t="shared" si="597"/>
        <v>22400.000000000004</v>
      </c>
      <c r="V8507" s="3"/>
      <c r="W8507" s="3">
        <v>2014</v>
      </c>
      <c r="X8507" s="3"/>
    </row>
    <row r="8508" spans="1:24" ht="114.75">
      <c r="A8508" s="3" t="s">
        <v>18619</v>
      </c>
      <c r="B8508" s="6" t="s">
        <v>361</v>
      </c>
      <c r="C8508" s="6" t="s">
        <v>18634</v>
      </c>
      <c r="D8508" s="6" t="s">
        <v>368</v>
      </c>
      <c r="E8508" s="6" t="s">
        <v>18635</v>
      </c>
      <c r="F8508" s="6" t="s">
        <v>18603</v>
      </c>
      <c r="G8508" s="3" t="s">
        <v>11450</v>
      </c>
      <c r="H8508" s="54">
        <v>0</v>
      </c>
      <c r="I8508" s="16">
        <v>470000000</v>
      </c>
      <c r="J8508" s="157" t="s">
        <v>229</v>
      </c>
      <c r="K8508" s="5" t="s">
        <v>9369</v>
      </c>
      <c r="L8508" s="17" t="s">
        <v>17302</v>
      </c>
      <c r="M8508" s="3" t="s">
        <v>230</v>
      </c>
      <c r="N8508" s="6" t="s">
        <v>8898</v>
      </c>
      <c r="O8508" s="6" t="s">
        <v>365</v>
      </c>
      <c r="P8508" s="58" t="s">
        <v>241</v>
      </c>
      <c r="Q8508" s="6" t="s">
        <v>234</v>
      </c>
      <c r="R8508" s="3">
        <v>30</v>
      </c>
      <c r="S8508" s="2">
        <v>900</v>
      </c>
      <c r="T8508" s="1">
        <f t="shared" si="596"/>
        <v>27000</v>
      </c>
      <c r="U8508" s="4">
        <f t="shared" si="597"/>
        <v>30240.000000000004</v>
      </c>
      <c r="V8508" s="3"/>
      <c r="W8508" s="3">
        <v>2014</v>
      </c>
      <c r="X8508" s="3"/>
    </row>
    <row r="8509" spans="1:24" ht="114.75">
      <c r="A8509" s="3" t="s">
        <v>18620</v>
      </c>
      <c r="B8509" s="6" t="s">
        <v>361</v>
      </c>
      <c r="C8509" s="6" t="s">
        <v>18636</v>
      </c>
      <c r="D8509" s="6" t="s">
        <v>368</v>
      </c>
      <c r="E8509" s="6" t="s">
        <v>18637</v>
      </c>
      <c r="F8509" s="326" t="s">
        <v>18604</v>
      </c>
      <c r="G8509" s="3" t="s">
        <v>11450</v>
      </c>
      <c r="H8509" s="54">
        <v>0</v>
      </c>
      <c r="I8509" s="16">
        <v>470000000</v>
      </c>
      <c r="J8509" s="157" t="s">
        <v>229</v>
      </c>
      <c r="K8509" s="5" t="s">
        <v>9369</v>
      </c>
      <c r="L8509" s="17" t="s">
        <v>17302</v>
      </c>
      <c r="M8509" s="3" t="s">
        <v>230</v>
      </c>
      <c r="N8509" s="6" t="s">
        <v>8898</v>
      </c>
      <c r="O8509" s="6" t="s">
        <v>365</v>
      </c>
      <c r="P8509" s="58" t="s">
        <v>241</v>
      </c>
      <c r="Q8509" s="6" t="s">
        <v>234</v>
      </c>
      <c r="R8509" s="3">
        <v>20</v>
      </c>
      <c r="S8509" s="2">
        <v>1750</v>
      </c>
      <c r="T8509" s="1">
        <f t="shared" si="596"/>
        <v>35000</v>
      </c>
      <c r="U8509" s="4">
        <f t="shared" si="597"/>
        <v>39200.000000000007</v>
      </c>
      <c r="V8509" s="3"/>
      <c r="W8509" s="3">
        <v>2014</v>
      </c>
      <c r="X8509" s="3"/>
    </row>
    <row r="8510" spans="1:24" ht="114.75">
      <c r="A8510" s="3" t="s">
        <v>18621</v>
      </c>
      <c r="B8510" s="6" t="s">
        <v>361</v>
      </c>
      <c r="C8510" s="6" t="s">
        <v>18638</v>
      </c>
      <c r="D8510" s="6" t="s">
        <v>368</v>
      </c>
      <c r="E8510" s="6" t="s">
        <v>18639</v>
      </c>
      <c r="F8510" s="326" t="s">
        <v>18605</v>
      </c>
      <c r="G8510" s="3" t="s">
        <v>11450</v>
      </c>
      <c r="H8510" s="54">
        <v>0</v>
      </c>
      <c r="I8510" s="16">
        <v>470000000</v>
      </c>
      <c r="J8510" s="157" t="s">
        <v>229</v>
      </c>
      <c r="K8510" s="5" t="s">
        <v>9369</v>
      </c>
      <c r="L8510" s="17" t="s">
        <v>17302</v>
      </c>
      <c r="M8510" s="3" t="s">
        <v>230</v>
      </c>
      <c r="N8510" s="6" t="s">
        <v>8898</v>
      </c>
      <c r="O8510" s="6" t="s">
        <v>365</v>
      </c>
      <c r="P8510" s="58" t="s">
        <v>241</v>
      </c>
      <c r="Q8510" s="6" t="s">
        <v>234</v>
      </c>
      <c r="R8510" s="3">
        <v>20</v>
      </c>
      <c r="S8510" s="2">
        <v>810.25900000000001</v>
      </c>
      <c r="T8510" s="1">
        <f t="shared" si="596"/>
        <v>16205.18</v>
      </c>
      <c r="U8510" s="4">
        <f t="shared" si="597"/>
        <v>18149.801600000003</v>
      </c>
      <c r="V8510" s="3"/>
      <c r="W8510" s="3">
        <v>2014</v>
      </c>
      <c r="X8510" s="3"/>
    </row>
    <row r="8511" spans="1:24" ht="114.75">
      <c r="A8511" s="3" t="s">
        <v>18622</v>
      </c>
      <c r="B8511" s="6" t="s">
        <v>361</v>
      </c>
      <c r="C8511" s="6" t="s">
        <v>18640</v>
      </c>
      <c r="D8511" s="6" t="s">
        <v>368</v>
      </c>
      <c r="E8511" s="6" t="s">
        <v>18641</v>
      </c>
      <c r="F8511" s="326" t="s">
        <v>18606</v>
      </c>
      <c r="G8511" s="3" t="s">
        <v>11450</v>
      </c>
      <c r="H8511" s="54">
        <v>0</v>
      </c>
      <c r="I8511" s="16">
        <v>470000000</v>
      </c>
      <c r="J8511" s="157" t="s">
        <v>229</v>
      </c>
      <c r="K8511" s="5" t="s">
        <v>9369</v>
      </c>
      <c r="L8511" s="17" t="s">
        <v>17302</v>
      </c>
      <c r="M8511" s="3" t="s">
        <v>230</v>
      </c>
      <c r="N8511" s="6" t="s">
        <v>8898</v>
      </c>
      <c r="O8511" s="6" t="s">
        <v>365</v>
      </c>
      <c r="P8511" s="58" t="s">
        <v>241</v>
      </c>
      <c r="Q8511" s="6" t="s">
        <v>234</v>
      </c>
      <c r="R8511" s="3">
        <v>20</v>
      </c>
      <c r="S8511" s="2">
        <v>900</v>
      </c>
      <c r="T8511" s="1">
        <f t="shared" si="596"/>
        <v>18000</v>
      </c>
      <c r="U8511" s="4">
        <f t="shared" si="597"/>
        <v>20160.000000000004</v>
      </c>
      <c r="V8511" s="3"/>
      <c r="W8511" s="3">
        <v>2014</v>
      </c>
      <c r="X8511" s="3"/>
    </row>
    <row r="8512" spans="1:24" ht="114.75">
      <c r="A8512" s="3" t="s">
        <v>18623</v>
      </c>
      <c r="B8512" s="6" t="s">
        <v>361</v>
      </c>
      <c r="C8512" s="6" t="s">
        <v>18642</v>
      </c>
      <c r="D8512" s="6" t="s">
        <v>368</v>
      </c>
      <c r="E8512" s="6" t="s">
        <v>18643</v>
      </c>
      <c r="F8512" s="326" t="s">
        <v>18607</v>
      </c>
      <c r="G8512" s="3" t="s">
        <v>11450</v>
      </c>
      <c r="H8512" s="54">
        <v>0</v>
      </c>
      <c r="I8512" s="16">
        <v>470000000</v>
      </c>
      <c r="J8512" s="157" t="s">
        <v>229</v>
      </c>
      <c r="K8512" s="5" t="s">
        <v>9369</v>
      </c>
      <c r="L8512" s="17" t="s">
        <v>17302</v>
      </c>
      <c r="M8512" s="3" t="s">
        <v>230</v>
      </c>
      <c r="N8512" s="6" t="s">
        <v>8898</v>
      </c>
      <c r="O8512" s="6" t="s">
        <v>365</v>
      </c>
      <c r="P8512" s="58" t="s">
        <v>241</v>
      </c>
      <c r="Q8512" s="6" t="s">
        <v>234</v>
      </c>
      <c r="R8512" s="3">
        <v>20</v>
      </c>
      <c r="S8512" s="2">
        <v>900</v>
      </c>
      <c r="T8512" s="1">
        <f t="shared" si="596"/>
        <v>18000</v>
      </c>
      <c r="U8512" s="4">
        <f t="shared" si="597"/>
        <v>20160.000000000004</v>
      </c>
      <c r="V8512" s="3"/>
      <c r="W8512" s="3">
        <v>2014</v>
      </c>
      <c r="X8512" s="3"/>
    </row>
    <row r="8513" spans="1:24" ht="114.75">
      <c r="A8513" s="3" t="s">
        <v>18624</v>
      </c>
      <c r="B8513" s="6" t="s">
        <v>361</v>
      </c>
      <c r="C8513" s="6" t="s">
        <v>6929</v>
      </c>
      <c r="D8513" s="6" t="s">
        <v>368</v>
      </c>
      <c r="E8513" s="6" t="s">
        <v>6930</v>
      </c>
      <c r="F8513" s="326" t="s">
        <v>18608</v>
      </c>
      <c r="G8513" s="3" t="s">
        <v>11450</v>
      </c>
      <c r="H8513" s="54">
        <v>0</v>
      </c>
      <c r="I8513" s="16">
        <v>470000000</v>
      </c>
      <c r="J8513" s="157" t="s">
        <v>229</v>
      </c>
      <c r="K8513" s="5" t="s">
        <v>9369</v>
      </c>
      <c r="L8513" s="17" t="s">
        <v>17302</v>
      </c>
      <c r="M8513" s="3" t="s">
        <v>230</v>
      </c>
      <c r="N8513" s="6" t="s">
        <v>8898</v>
      </c>
      <c r="O8513" s="6" t="s">
        <v>365</v>
      </c>
      <c r="P8513" s="58" t="s">
        <v>241</v>
      </c>
      <c r="Q8513" s="6" t="s">
        <v>234</v>
      </c>
      <c r="R8513" s="3">
        <v>60</v>
      </c>
      <c r="S8513" s="2">
        <v>1750</v>
      </c>
      <c r="T8513" s="1">
        <f t="shared" si="596"/>
        <v>105000</v>
      </c>
      <c r="U8513" s="4">
        <f t="shared" si="597"/>
        <v>117600.00000000001</v>
      </c>
      <c r="V8513" s="3"/>
      <c r="W8513" s="3">
        <v>2014</v>
      </c>
      <c r="X8513" s="3"/>
    </row>
    <row r="8514" spans="1:24" ht="114.75">
      <c r="A8514" s="3" t="s">
        <v>18625</v>
      </c>
      <c r="B8514" s="6" t="s">
        <v>361</v>
      </c>
      <c r="C8514" s="6" t="s">
        <v>6915</v>
      </c>
      <c r="D8514" s="6" t="s">
        <v>368</v>
      </c>
      <c r="E8514" s="6" t="s">
        <v>6916</v>
      </c>
      <c r="F8514" s="326" t="s">
        <v>18609</v>
      </c>
      <c r="G8514" s="3" t="s">
        <v>11450</v>
      </c>
      <c r="H8514" s="54">
        <v>0</v>
      </c>
      <c r="I8514" s="16">
        <v>470000000</v>
      </c>
      <c r="J8514" s="157" t="s">
        <v>229</v>
      </c>
      <c r="K8514" s="5" t="s">
        <v>9369</v>
      </c>
      <c r="L8514" s="17" t="s">
        <v>17302</v>
      </c>
      <c r="M8514" s="3" t="s">
        <v>230</v>
      </c>
      <c r="N8514" s="6" t="s">
        <v>8898</v>
      </c>
      <c r="O8514" s="6" t="s">
        <v>365</v>
      </c>
      <c r="P8514" s="58" t="s">
        <v>241</v>
      </c>
      <c r="Q8514" s="6" t="s">
        <v>234</v>
      </c>
      <c r="R8514" s="3">
        <v>30</v>
      </c>
      <c r="S8514" s="2">
        <v>800</v>
      </c>
      <c r="T8514" s="1">
        <f t="shared" si="596"/>
        <v>24000</v>
      </c>
      <c r="U8514" s="4">
        <f t="shared" si="597"/>
        <v>26880.000000000004</v>
      </c>
      <c r="V8514" s="3"/>
      <c r="W8514" s="3">
        <v>2014</v>
      </c>
      <c r="X8514" s="3"/>
    </row>
    <row r="8515" spans="1:24" ht="140.25">
      <c r="A8515" s="3" t="s">
        <v>18768</v>
      </c>
      <c r="B8515" s="6" t="s">
        <v>361</v>
      </c>
      <c r="C8515" s="6" t="s">
        <v>18750</v>
      </c>
      <c r="D8515" s="6" t="s">
        <v>3774</v>
      </c>
      <c r="E8515" s="6" t="s">
        <v>18751</v>
      </c>
      <c r="F8515" s="6" t="s">
        <v>18752</v>
      </c>
      <c r="G8515" s="3" t="s">
        <v>11449</v>
      </c>
      <c r="H8515" s="54">
        <v>0.35</v>
      </c>
      <c r="I8515" s="16">
        <v>470000000</v>
      </c>
      <c r="J8515" s="157" t="s">
        <v>229</v>
      </c>
      <c r="K8515" s="5" t="s">
        <v>18765</v>
      </c>
      <c r="L8515" s="6" t="s">
        <v>18766</v>
      </c>
      <c r="M8515" s="3" t="s">
        <v>12250</v>
      </c>
      <c r="N8515" s="6" t="s">
        <v>17921</v>
      </c>
      <c r="O8515" s="6" t="s">
        <v>18767</v>
      </c>
      <c r="P8515" s="58" t="s">
        <v>247</v>
      </c>
      <c r="Q8515" s="6" t="s">
        <v>240</v>
      </c>
      <c r="R8515" s="4">
        <v>877</v>
      </c>
      <c r="S8515" s="2">
        <v>85200</v>
      </c>
      <c r="T8515" s="4">
        <f>R8515*S8515</f>
        <v>74720400</v>
      </c>
      <c r="U8515" s="4">
        <f t="shared" si="597"/>
        <v>83686848.000000015</v>
      </c>
      <c r="V8515" s="3" t="s">
        <v>362</v>
      </c>
      <c r="W8515" s="3">
        <v>2014</v>
      </c>
      <c r="X8515" s="3"/>
    </row>
    <row r="8516" spans="1:24" ht="76.5">
      <c r="A8516" s="3" t="s">
        <v>18753</v>
      </c>
      <c r="B8516" s="6" t="s">
        <v>361</v>
      </c>
      <c r="C8516" s="6" t="s">
        <v>3078</v>
      </c>
      <c r="D8516" s="6" t="s">
        <v>255</v>
      </c>
      <c r="E8516" s="6" t="s">
        <v>3079</v>
      </c>
      <c r="F8516" s="6" t="s">
        <v>3053</v>
      </c>
      <c r="G8516" s="3" t="s">
        <v>11450</v>
      </c>
      <c r="H8516" s="54">
        <v>0.35</v>
      </c>
      <c r="I8516" s="16">
        <v>470000000</v>
      </c>
      <c r="J8516" s="157" t="s">
        <v>229</v>
      </c>
      <c r="K8516" s="5" t="s">
        <v>18748</v>
      </c>
      <c r="L8516" s="17" t="s">
        <v>11411</v>
      </c>
      <c r="M8516" s="3" t="s">
        <v>230</v>
      </c>
      <c r="N8516" s="65" t="s">
        <v>17921</v>
      </c>
      <c r="O8516" s="6" t="s">
        <v>18749</v>
      </c>
      <c r="P8516" s="58">
        <v>168</v>
      </c>
      <c r="Q8516" s="6" t="s">
        <v>240</v>
      </c>
      <c r="R8516" s="118">
        <v>25</v>
      </c>
      <c r="S8516" s="2">
        <v>247170</v>
      </c>
      <c r="T8516" s="1">
        <f t="shared" si="596"/>
        <v>6179250</v>
      </c>
      <c r="U8516" s="4">
        <f t="shared" si="597"/>
        <v>6920760.0000000009</v>
      </c>
      <c r="V8516" s="3" t="s">
        <v>362</v>
      </c>
      <c r="W8516" s="3">
        <v>2014</v>
      </c>
      <c r="X8516" s="3"/>
    </row>
    <row r="8517" spans="1:24" ht="76.5">
      <c r="A8517" s="3" t="s">
        <v>18754</v>
      </c>
      <c r="B8517" s="6" t="s">
        <v>361</v>
      </c>
      <c r="C8517" s="6" t="s">
        <v>14145</v>
      </c>
      <c r="D8517" s="6" t="s">
        <v>255</v>
      </c>
      <c r="E8517" s="6" t="s">
        <v>14146</v>
      </c>
      <c r="F8517" s="6" t="s">
        <v>3059</v>
      </c>
      <c r="G8517" s="3" t="s">
        <v>11450</v>
      </c>
      <c r="H8517" s="54">
        <v>0.35</v>
      </c>
      <c r="I8517" s="16">
        <v>470000000</v>
      </c>
      <c r="J8517" s="157" t="s">
        <v>229</v>
      </c>
      <c r="K8517" s="5" t="s">
        <v>18748</v>
      </c>
      <c r="L8517" s="17" t="s">
        <v>11411</v>
      </c>
      <c r="M8517" s="3" t="s">
        <v>230</v>
      </c>
      <c r="N8517" s="65" t="s">
        <v>17921</v>
      </c>
      <c r="O8517" s="6" t="s">
        <v>18749</v>
      </c>
      <c r="P8517" s="58">
        <v>168</v>
      </c>
      <c r="Q8517" s="6" t="s">
        <v>240</v>
      </c>
      <c r="R8517" s="118">
        <v>25</v>
      </c>
      <c r="S8517" s="2">
        <v>173320</v>
      </c>
      <c r="T8517" s="1">
        <f t="shared" si="596"/>
        <v>4333000</v>
      </c>
      <c r="U8517" s="4">
        <f t="shared" si="597"/>
        <v>4852960</v>
      </c>
      <c r="V8517" s="3" t="s">
        <v>362</v>
      </c>
      <c r="W8517" s="3">
        <v>2014</v>
      </c>
      <c r="X8517" s="3"/>
    </row>
    <row r="8518" spans="1:24" ht="76.5">
      <c r="A8518" s="3" t="s">
        <v>18757</v>
      </c>
      <c r="B8518" s="6" t="s">
        <v>361</v>
      </c>
      <c r="C8518" s="6" t="s">
        <v>3195</v>
      </c>
      <c r="D8518" s="6" t="s">
        <v>255</v>
      </c>
      <c r="E8518" s="6" t="s">
        <v>11515</v>
      </c>
      <c r="F8518" s="6" t="s">
        <v>18758</v>
      </c>
      <c r="G8518" s="3" t="s">
        <v>11450</v>
      </c>
      <c r="H8518" s="54">
        <v>0.35</v>
      </c>
      <c r="I8518" s="16">
        <v>470000000</v>
      </c>
      <c r="J8518" s="157" t="s">
        <v>229</v>
      </c>
      <c r="K8518" s="5" t="s">
        <v>18748</v>
      </c>
      <c r="L8518" s="17" t="s">
        <v>11411</v>
      </c>
      <c r="M8518" s="3" t="s">
        <v>230</v>
      </c>
      <c r="N8518" s="65" t="s">
        <v>17921</v>
      </c>
      <c r="O8518" s="6" t="s">
        <v>18749</v>
      </c>
      <c r="P8518" s="58">
        <v>168</v>
      </c>
      <c r="Q8518" s="6" t="s">
        <v>240</v>
      </c>
      <c r="R8518" s="118">
        <v>10</v>
      </c>
      <c r="S8518" s="2">
        <v>241200</v>
      </c>
      <c r="T8518" s="1">
        <f t="shared" si="596"/>
        <v>2412000</v>
      </c>
      <c r="U8518" s="4">
        <f t="shared" si="597"/>
        <v>2701440.0000000005</v>
      </c>
      <c r="V8518" s="3" t="s">
        <v>362</v>
      </c>
      <c r="W8518" s="3">
        <v>2014</v>
      </c>
      <c r="X8518" s="3"/>
    </row>
    <row r="8519" spans="1:24" ht="89.25">
      <c r="A8519" s="3" t="s">
        <v>18810</v>
      </c>
      <c r="B8519" s="6" t="s">
        <v>361</v>
      </c>
      <c r="C8519" s="6" t="s">
        <v>4094</v>
      </c>
      <c r="D8519" s="6" t="s">
        <v>4095</v>
      </c>
      <c r="E8519" s="6" t="s">
        <v>4096</v>
      </c>
      <c r="F8519" s="6" t="s">
        <v>18883</v>
      </c>
      <c r="G8519" s="3" t="s">
        <v>11450</v>
      </c>
      <c r="H8519" s="54">
        <v>0</v>
      </c>
      <c r="I8519" s="16">
        <v>470000000</v>
      </c>
      <c r="J8519" s="157" t="s">
        <v>229</v>
      </c>
      <c r="K8519" s="5" t="s">
        <v>18748</v>
      </c>
      <c r="L8519" s="17" t="s">
        <v>11411</v>
      </c>
      <c r="M8519" s="3" t="s">
        <v>230</v>
      </c>
      <c r="N8519" s="6" t="s">
        <v>8914</v>
      </c>
      <c r="O8519" s="6" t="s">
        <v>14853</v>
      </c>
      <c r="P8519" s="58" t="s">
        <v>241</v>
      </c>
      <c r="Q8519" s="6" t="s">
        <v>234</v>
      </c>
      <c r="R8519" s="19">
        <v>73</v>
      </c>
      <c r="S8519" s="2">
        <v>3120</v>
      </c>
      <c r="T8519" s="1">
        <f t="shared" si="596"/>
        <v>227760</v>
      </c>
      <c r="U8519" s="4">
        <f t="shared" si="597"/>
        <v>255091.20000000001</v>
      </c>
      <c r="V8519" s="3"/>
      <c r="W8519" s="3">
        <v>2014</v>
      </c>
      <c r="X8519" s="3"/>
    </row>
    <row r="8520" spans="1:24" ht="153">
      <c r="A8520" s="3" t="s">
        <v>18811</v>
      </c>
      <c r="B8520" s="6" t="s">
        <v>361</v>
      </c>
      <c r="C8520" s="6" t="s">
        <v>4104</v>
      </c>
      <c r="D8520" s="6" t="s">
        <v>4099</v>
      </c>
      <c r="E8520" s="6" t="s">
        <v>4105</v>
      </c>
      <c r="F8520" s="6" t="s">
        <v>18887</v>
      </c>
      <c r="G8520" s="3" t="s">
        <v>11450</v>
      </c>
      <c r="H8520" s="54">
        <v>0</v>
      </c>
      <c r="I8520" s="16">
        <v>470000000</v>
      </c>
      <c r="J8520" s="157" t="s">
        <v>229</v>
      </c>
      <c r="K8520" s="5" t="s">
        <v>18748</v>
      </c>
      <c r="L8520" s="17" t="s">
        <v>11411</v>
      </c>
      <c r="M8520" s="3" t="s">
        <v>230</v>
      </c>
      <c r="N8520" s="6" t="s">
        <v>8914</v>
      </c>
      <c r="O8520" s="6" t="s">
        <v>14853</v>
      </c>
      <c r="P8520" s="58" t="s">
        <v>241</v>
      </c>
      <c r="Q8520" s="6" t="s">
        <v>234</v>
      </c>
      <c r="R8520" s="19">
        <v>26</v>
      </c>
      <c r="S8520" s="2">
        <v>7440</v>
      </c>
      <c r="T8520" s="4">
        <f>R8520*S8520</f>
        <v>193440</v>
      </c>
      <c r="U8520" s="4">
        <f t="shared" si="597"/>
        <v>216652.80000000002</v>
      </c>
      <c r="V8520" s="3"/>
      <c r="W8520" s="3">
        <v>2014</v>
      </c>
      <c r="X8520" s="3"/>
    </row>
    <row r="8521" spans="1:24" ht="76.5">
      <c r="A8521" s="3" t="s">
        <v>18836</v>
      </c>
      <c r="B8521" s="6" t="s">
        <v>361</v>
      </c>
      <c r="C8521" s="6" t="s">
        <v>3839</v>
      </c>
      <c r="D8521" s="6" t="s">
        <v>3835</v>
      </c>
      <c r="E8521" s="6" t="s">
        <v>3840</v>
      </c>
      <c r="F8521" s="6" t="s">
        <v>3781</v>
      </c>
      <c r="G8521" s="3" t="s">
        <v>11449</v>
      </c>
      <c r="H8521" s="54">
        <v>0.35</v>
      </c>
      <c r="I8521" s="16">
        <v>470000000</v>
      </c>
      <c r="J8521" s="157" t="s">
        <v>229</v>
      </c>
      <c r="K8521" s="5" t="s">
        <v>18748</v>
      </c>
      <c r="L8521" s="17" t="s">
        <v>11411</v>
      </c>
      <c r="M8521" s="3" t="s">
        <v>230</v>
      </c>
      <c r="N8521" s="6" t="s">
        <v>17921</v>
      </c>
      <c r="O8521" s="6" t="s">
        <v>18749</v>
      </c>
      <c r="P8521" s="58" t="s">
        <v>247</v>
      </c>
      <c r="Q8521" s="6" t="s">
        <v>240</v>
      </c>
      <c r="R8521" s="18">
        <v>45</v>
      </c>
      <c r="S8521" s="2">
        <v>156928.79999999999</v>
      </c>
      <c r="T8521" s="4">
        <v>0</v>
      </c>
      <c r="U8521" s="4">
        <f t="shared" si="597"/>
        <v>0</v>
      </c>
      <c r="V8521" s="3" t="s">
        <v>362</v>
      </c>
      <c r="W8521" s="3">
        <v>2014</v>
      </c>
      <c r="X8521" s="3" t="s">
        <v>19521</v>
      </c>
    </row>
    <row r="8522" spans="1:24" ht="76.5">
      <c r="A8522" s="3" t="s">
        <v>19520</v>
      </c>
      <c r="B8522" s="6" t="s">
        <v>361</v>
      </c>
      <c r="C8522" s="6" t="s">
        <v>3839</v>
      </c>
      <c r="D8522" s="6" t="s">
        <v>3835</v>
      </c>
      <c r="E8522" s="6" t="s">
        <v>3840</v>
      </c>
      <c r="F8522" s="6" t="s">
        <v>3781</v>
      </c>
      <c r="G8522" s="3" t="s">
        <v>11449</v>
      </c>
      <c r="H8522" s="54">
        <v>0.35</v>
      </c>
      <c r="I8522" s="16">
        <v>470000000</v>
      </c>
      <c r="J8522" s="157" t="s">
        <v>229</v>
      </c>
      <c r="K8522" s="5" t="s">
        <v>18748</v>
      </c>
      <c r="L8522" s="17" t="s">
        <v>11411</v>
      </c>
      <c r="M8522" s="3" t="s">
        <v>230</v>
      </c>
      <c r="N8522" s="6" t="s">
        <v>17921</v>
      </c>
      <c r="O8522" s="6" t="s">
        <v>19407</v>
      </c>
      <c r="P8522" s="58" t="s">
        <v>247</v>
      </c>
      <c r="Q8522" s="6" t="s">
        <v>240</v>
      </c>
      <c r="R8522" s="18">
        <v>45</v>
      </c>
      <c r="S8522" s="2">
        <v>156928.79999999999</v>
      </c>
      <c r="T8522" s="4">
        <f>R8522*S8522</f>
        <v>7061795.9999999991</v>
      </c>
      <c r="U8522" s="4">
        <f t="shared" ref="U8522" si="598">T8522*1.12</f>
        <v>7909211.5199999996</v>
      </c>
      <c r="V8522" s="3"/>
      <c r="W8522" s="3">
        <v>2014</v>
      </c>
      <c r="X8522" s="3"/>
    </row>
    <row r="8523" spans="1:24" ht="89.25">
      <c r="A8523" s="3" t="s">
        <v>18870</v>
      </c>
      <c r="B8523" s="6" t="s">
        <v>361</v>
      </c>
      <c r="C8523" s="6" t="s">
        <v>3647</v>
      </c>
      <c r="D8523" s="6" t="s">
        <v>3648</v>
      </c>
      <c r="E8523" s="6" t="s">
        <v>3649</v>
      </c>
      <c r="F8523" s="6" t="s">
        <v>3631</v>
      </c>
      <c r="G8523" s="3" t="s">
        <v>11450</v>
      </c>
      <c r="H8523" s="54">
        <v>0</v>
      </c>
      <c r="I8523" s="16">
        <v>470000000</v>
      </c>
      <c r="J8523" s="157" t="s">
        <v>229</v>
      </c>
      <c r="K8523" s="5" t="s">
        <v>18437</v>
      </c>
      <c r="L8523" s="17" t="s">
        <v>11411</v>
      </c>
      <c r="M8523" s="3" t="s">
        <v>230</v>
      </c>
      <c r="N8523" s="6" t="s">
        <v>528</v>
      </c>
      <c r="O8523" s="6" t="s">
        <v>14853</v>
      </c>
      <c r="P8523" s="58" t="s">
        <v>241</v>
      </c>
      <c r="Q8523" s="6" t="s">
        <v>234</v>
      </c>
      <c r="R8523" s="97">
        <v>350</v>
      </c>
      <c r="S8523" s="2">
        <v>990</v>
      </c>
      <c r="T8523" s="4">
        <f>R8523*S8523</f>
        <v>346500</v>
      </c>
      <c r="U8523" s="4">
        <f t="shared" si="597"/>
        <v>388080.00000000006</v>
      </c>
      <c r="V8523" s="3"/>
      <c r="W8523" s="3">
        <v>2014</v>
      </c>
      <c r="X8523" s="3"/>
    </row>
    <row r="8524" spans="1:24" ht="63.75">
      <c r="A8524" s="3" t="s">
        <v>18873</v>
      </c>
      <c r="B8524" s="6" t="s">
        <v>361</v>
      </c>
      <c r="C8524" s="6" t="s">
        <v>3552</v>
      </c>
      <c r="D8524" s="6" t="s">
        <v>3550</v>
      </c>
      <c r="E8524" s="6" t="s">
        <v>3553</v>
      </c>
      <c r="F8524" s="6" t="s">
        <v>3547</v>
      </c>
      <c r="G8524" s="3" t="s">
        <v>11450</v>
      </c>
      <c r="H8524" s="54">
        <v>0.6</v>
      </c>
      <c r="I8524" s="16">
        <v>470000000</v>
      </c>
      <c r="J8524" s="157" t="s">
        <v>229</v>
      </c>
      <c r="K8524" s="5" t="s">
        <v>18437</v>
      </c>
      <c r="L8524" s="17" t="s">
        <v>11411</v>
      </c>
      <c r="M8524" s="3" t="s">
        <v>230</v>
      </c>
      <c r="N8524" s="6" t="s">
        <v>17921</v>
      </c>
      <c r="O8524" s="6" t="s">
        <v>18749</v>
      </c>
      <c r="P8524" s="58" t="s">
        <v>243</v>
      </c>
      <c r="Q8524" s="6" t="s">
        <v>244</v>
      </c>
      <c r="R8524" s="97">
        <v>350</v>
      </c>
      <c r="S8524" s="2">
        <v>402</v>
      </c>
      <c r="T8524" s="4">
        <f>R8524*S8524</f>
        <v>140700</v>
      </c>
      <c r="U8524" s="4">
        <f t="shared" si="597"/>
        <v>157584.00000000003</v>
      </c>
      <c r="V8524" s="3" t="s">
        <v>362</v>
      </c>
      <c r="W8524" s="3">
        <v>2014</v>
      </c>
      <c r="X8524" s="3"/>
    </row>
    <row r="8525" spans="1:24" ht="63.75">
      <c r="A8525" s="3" t="s">
        <v>18878</v>
      </c>
      <c r="B8525" s="6" t="s">
        <v>361</v>
      </c>
      <c r="C8525" s="6" t="s">
        <v>3554</v>
      </c>
      <c r="D8525" s="6" t="s">
        <v>3550</v>
      </c>
      <c r="E8525" s="6" t="s">
        <v>3555</v>
      </c>
      <c r="F8525" s="6" t="s">
        <v>3541</v>
      </c>
      <c r="G8525" s="3" t="s">
        <v>11450</v>
      </c>
      <c r="H8525" s="54">
        <v>0.6</v>
      </c>
      <c r="I8525" s="16">
        <v>470000000</v>
      </c>
      <c r="J8525" s="157" t="s">
        <v>229</v>
      </c>
      <c r="K8525" s="5" t="s">
        <v>18437</v>
      </c>
      <c r="L8525" s="17" t="s">
        <v>11411</v>
      </c>
      <c r="M8525" s="3" t="s">
        <v>230</v>
      </c>
      <c r="N8525" s="6" t="s">
        <v>17921</v>
      </c>
      <c r="O8525" s="6" t="s">
        <v>18749</v>
      </c>
      <c r="P8525" s="58" t="s">
        <v>243</v>
      </c>
      <c r="Q8525" s="6" t="s">
        <v>244</v>
      </c>
      <c r="R8525" s="97">
        <v>500</v>
      </c>
      <c r="S8525" s="2">
        <v>402</v>
      </c>
      <c r="T8525" s="4">
        <v>0</v>
      </c>
      <c r="U8525" s="4">
        <f t="shared" si="597"/>
        <v>0</v>
      </c>
      <c r="V8525" s="3" t="s">
        <v>362</v>
      </c>
      <c r="W8525" s="3">
        <v>2014</v>
      </c>
      <c r="X8525" s="3" t="s">
        <v>12062</v>
      </c>
    </row>
    <row r="8526" spans="1:24" ht="63.75">
      <c r="A8526" s="3" t="s">
        <v>19258</v>
      </c>
      <c r="B8526" s="6" t="s">
        <v>361</v>
      </c>
      <c r="C8526" s="6" t="s">
        <v>3554</v>
      </c>
      <c r="D8526" s="6" t="s">
        <v>3550</v>
      </c>
      <c r="E8526" s="6" t="s">
        <v>3555</v>
      </c>
      <c r="F8526" s="6" t="s">
        <v>3541</v>
      </c>
      <c r="G8526" s="3" t="s">
        <v>11450</v>
      </c>
      <c r="H8526" s="54">
        <v>0.6</v>
      </c>
      <c r="I8526" s="16">
        <v>470000000</v>
      </c>
      <c r="J8526" s="157" t="s">
        <v>229</v>
      </c>
      <c r="K8526" s="5" t="s">
        <v>18437</v>
      </c>
      <c r="L8526" s="17" t="s">
        <v>11411</v>
      </c>
      <c r="M8526" s="3" t="s">
        <v>230</v>
      </c>
      <c r="N8526" s="6" t="s">
        <v>17921</v>
      </c>
      <c r="O8526" s="6" t="s">
        <v>18749</v>
      </c>
      <c r="P8526" s="58" t="s">
        <v>243</v>
      </c>
      <c r="Q8526" s="6" t="s">
        <v>244</v>
      </c>
      <c r="R8526" s="97">
        <v>300</v>
      </c>
      <c r="S8526" s="2">
        <v>402</v>
      </c>
      <c r="T8526" s="4">
        <f>R8526*S8526</f>
        <v>120600</v>
      </c>
      <c r="U8526" s="4">
        <f t="shared" ref="U8526" si="599">T8526*1.12</f>
        <v>135072</v>
      </c>
      <c r="V8526" s="3" t="s">
        <v>362</v>
      </c>
      <c r="W8526" s="3">
        <v>2014</v>
      </c>
      <c r="X8526" s="3"/>
    </row>
    <row r="8527" spans="1:24" ht="63.75">
      <c r="A8527" s="3" t="s">
        <v>18879</v>
      </c>
      <c r="B8527" s="6" t="s">
        <v>361</v>
      </c>
      <c r="C8527" s="6" t="s">
        <v>3189</v>
      </c>
      <c r="D8527" s="6" t="s">
        <v>3014</v>
      </c>
      <c r="E8527" s="6" t="s">
        <v>3190</v>
      </c>
      <c r="F8527" s="6" t="s">
        <v>15257</v>
      </c>
      <c r="G8527" s="3" t="s">
        <v>11450</v>
      </c>
      <c r="H8527" s="54">
        <v>0.34</v>
      </c>
      <c r="I8527" s="16">
        <v>470000000</v>
      </c>
      <c r="J8527" s="157" t="s">
        <v>229</v>
      </c>
      <c r="K8527" s="5" t="s">
        <v>18437</v>
      </c>
      <c r="L8527" s="17" t="s">
        <v>11411</v>
      </c>
      <c r="M8527" s="3" t="s">
        <v>230</v>
      </c>
      <c r="N8527" s="6" t="s">
        <v>521</v>
      </c>
      <c r="O8527" s="6" t="s">
        <v>18749</v>
      </c>
      <c r="P8527" s="58" t="s">
        <v>241</v>
      </c>
      <c r="Q8527" s="327" t="s">
        <v>234</v>
      </c>
      <c r="R8527" s="3">
        <v>80</v>
      </c>
      <c r="S8527" s="59">
        <v>11428.8</v>
      </c>
      <c r="T8527" s="4">
        <f t="shared" ref="T8527:T8546" si="600">R8527*S8527</f>
        <v>914304</v>
      </c>
      <c r="U8527" s="4">
        <f t="shared" si="597"/>
        <v>1024020.4800000001</v>
      </c>
      <c r="V8527" s="3" t="s">
        <v>362</v>
      </c>
      <c r="W8527" s="3">
        <v>2014</v>
      </c>
      <c r="X8527" s="3"/>
    </row>
    <row r="8528" spans="1:24" ht="89.25">
      <c r="A8528" s="3" t="s">
        <v>18894</v>
      </c>
      <c r="B8528" s="6" t="s">
        <v>361</v>
      </c>
      <c r="C8528" s="6" t="s">
        <v>3364</v>
      </c>
      <c r="D8528" s="6" t="s">
        <v>255</v>
      </c>
      <c r="E8528" s="6" t="s">
        <v>3365</v>
      </c>
      <c r="F8528" s="6" t="s">
        <v>139</v>
      </c>
      <c r="G8528" s="3" t="s">
        <v>11450</v>
      </c>
      <c r="H8528" s="54">
        <v>0.6</v>
      </c>
      <c r="I8528" s="16">
        <v>470000000</v>
      </c>
      <c r="J8528" s="157" t="s">
        <v>229</v>
      </c>
      <c r="K8528" s="5" t="s">
        <v>18437</v>
      </c>
      <c r="L8528" s="17" t="s">
        <v>11411</v>
      </c>
      <c r="M8528" s="3" t="s">
        <v>230</v>
      </c>
      <c r="N8528" s="6" t="s">
        <v>521</v>
      </c>
      <c r="O8528" s="6" t="s">
        <v>18749</v>
      </c>
      <c r="P8528" s="58" t="s">
        <v>237</v>
      </c>
      <c r="Q8528" s="6" t="s">
        <v>238</v>
      </c>
      <c r="R8528" s="222">
        <v>640</v>
      </c>
      <c r="S8528" s="2">
        <v>277.2</v>
      </c>
      <c r="T8528" s="4">
        <f t="shared" si="600"/>
        <v>177408</v>
      </c>
      <c r="U8528" s="4">
        <f t="shared" si="597"/>
        <v>198696.96000000002</v>
      </c>
      <c r="V8528" s="3" t="s">
        <v>362</v>
      </c>
      <c r="W8528" s="3">
        <v>2014</v>
      </c>
      <c r="X8528" s="3"/>
    </row>
    <row r="8529" spans="1:24" ht="89.25">
      <c r="A8529" s="3" t="s">
        <v>18895</v>
      </c>
      <c r="B8529" s="6" t="s">
        <v>361</v>
      </c>
      <c r="C8529" s="6" t="s">
        <v>3366</v>
      </c>
      <c r="D8529" s="6" t="s">
        <v>255</v>
      </c>
      <c r="E8529" s="6" t="s">
        <v>3367</v>
      </c>
      <c r="F8529" s="6" t="s">
        <v>140</v>
      </c>
      <c r="G8529" s="3" t="s">
        <v>11450</v>
      </c>
      <c r="H8529" s="54">
        <v>0.6</v>
      </c>
      <c r="I8529" s="16">
        <v>470000000</v>
      </c>
      <c r="J8529" s="157" t="s">
        <v>229</v>
      </c>
      <c r="K8529" s="5" t="s">
        <v>18437</v>
      </c>
      <c r="L8529" s="17" t="s">
        <v>11411</v>
      </c>
      <c r="M8529" s="3" t="s">
        <v>230</v>
      </c>
      <c r="N8529" s="6" t="s">
        <v>521</v>
      </c>
      <c r="O8529" s="6" t="s">
        <v>18749</v>
      </c>
      <c r="P8529" s="58" t="s">
        <v>237</v>
      </c>
      <c r="Q8529" s="6" t="s">
        <v>238</v>
      </c>
      <c r="R8529" s="222">
        <v>1080</v>
      </c>
      <c r="S8529" s="2">
        <v>474</v>
      </c>
      <c r="T8529" s="4">
        <f t="shared" si="600"/>
        <v>511920</v>
      </c>
      <c r="U8529" s="4">
        <f t="shared" si="597"/>
        <v>573350.40000000002</v>
      </c>
      <c r="V8529" s="3" t="s">
        <v>362</v>
      </c>
      <c r="W8529" s="3">
        <v>2014</v>
      </c>
      <c r="X8529" s="3"/>
    </row>
    <row r="8530" spans="1:24" ht="89.25">
      <c r="A8530" s="3" t="s">
        <v>18896</v>
      </c>
      <c r="B8530" s="6" t="s">
        <v>361</v>
      </c>
      <c r="C8530" s="6" t="s">
        <v>3370</v>
      </c>
      <c r="D8530" s="6" t="s">
        <v>255</v>
      </c>
      <c r="E8530" s="6" t="s">
        <v>3371</v>
      </c>
      <c r="F8530" s="6" t="s">
        <v>142</v>
      </c>
      <c r="G8530" s="3" t="s">
        <v>11450</v>
      </c>
      <c r="H8530" s="54">
        <v>0.6</v>
      </c>
      <c r="I8530" s="16">
        <v>470000000</v>
      </c>
      <c r="J8530" s="157" t="s">
        <v>229</v>
      </c>
      <c r="K8530" s="5" t="s">
        <v>18437</v>
      </c>
      <c r="L8530" s="17" t="s">
        <v>11411</v>
      </c>
      <c r="M8530" s="3" t="s">
        <v>230</v>
      </c>
      <c r="N8530" s="6" t="s">
        <v>521</v>
      </c>
      <c r="O8530" s="6" t="s">
        <v>18749</v>
      </c>
      <c r="P8530" s="58" t="s">
        <v>237</v>
      </c>
      <c r="Q8530" s="6" t="s">
        <v>238</v>
      </c>
      <c r="R8530" s="222">
        <v>260</v>
      </c>
      <c r="S8530" s="2">
        <v>1315.2</v>
      </c>
      <c r="T8530" s="4">
        <f t="shared" si="600"/>
        <v>341952</v>
      </c>
      <c r="U8530" s="4">
        <f t="shared" si="597"/>
        <v>382986.24000000005</v>
      </c>
      <c r="V8530" s="3" t="s">
        <v>362</v>
      </c>
      <c r="W8530" s="3">
        <v>2014</v>
      </c>
      <c r="X8530" s="3"/>
    </row>
    <row r="8531" spans="1:24" ht="63.75">
      <c r="A8531" s="3" t="s">
        <v>18902</v>
      </c>
      <c r="B8531" s="6" t="s">
        <v>361</v>
      </c>
      <c r="C8531" s="6" t="s">
        <v>3374</v>
      </c>
      <c r="D8531" s="6" t="s">
        <v>3014</v>
      </c>
      <c r="E8531" s="6" t="s">
        <v>3375</v>
      </c>
      <c r="F8531" s="6" t="s">
        <v>144</v>
      </c>
      <c r="G8531" s="3" t="s">
        <v>11450</v>
      </c>
      <c r="H8531" s="54">
        <v>0.6</v>
      </c>
      <c r="I8531" s="16">
        <v>470000000</v>
      </c>
      <c r="J8531" s="157" t="s">
        <v>229</v>
      </c>
      <c r="K8531" s="5" t="s">
        <v>18437</v>
      </c>
      <c r="L8531" s="17" t="s">
        <v>11411</v>
      </c>
      <c r="M8531" s="3" t="s">
        <v>230</v>
      </c>
      <c r="N8531" s="6" t="s">
        <v>528</v>
      </c>
      <c r="O8531" s="6" t="s">
        <v>18749</v>
      </c>
      <c r="P8531" s="58" t="s">
        <v>241</v>
      </c>
      <c r="Q8531" s="6" t="s">
        <v>234</v>
      </c>
      <c r="R8531" s="222">
        <v>50</v>
      </c>
      <c r="S8531" s="2">
        <v>192</v>
      </c>
      <c r="T8531" s="4">
        <f t="shared" si="600"/>
        <v>9600</v>
      </c>
      <c r="U8531" s="4">
        <f t="shared" si="597"/>
        <v>10752.000000000002</v>
      </c>
      <c r="V8531" s="3" t="s">
        <v>362</v>
      </c>
      <c r="W8531" s="3">
        <v>2014</v>
      </c>
      <c r="X8531" s="3"/>
    </row>
    <row r="8532" spans="1:24" ht="63.75">
      <c r="A8532" s="3" t="s">
        <v>18903</v>
      </c>
      <c r="B8532" s="6" t="s">
        <v>361</v>
      </c>
      <c r="C8532" s="6" t="s">
        <v>3376</v>
      </c>
      <c r="D8532" s="6" t="s">
        <v>3014</v>
      </c>
      <c r="E8532" s="6" t="s">
        <v>3377</v>
      </c>
      <c r="F8532" s="6" t="s">
        <v>145</v>
      </c>
      <c r="G8532" s="3" t="s">
        <v>11450</v>
      </c>
      <c r="H8532" s="54">
        <v>0.6</v>
      </c>
      <c r="I8532" s="16">
        <v>470000000</v>
      </c>
      <c r="J8532" s="157" t="s">
        <v>229</v>
      </c>
      <c r="K8532" s="5" t="s">
        <v>18437</v>
      </c>
      <c r="L8532" s="17" t="s">
        <v>11411</v>
      </c>
      <c r="M8532" s="3" t="s">
        <v>230</v>
      </c>
      <c r="N8532" s="6" t="s">
        <v>528</v>
      </c>
      <c r="O8532" s="6" t="s">
        <v>18749</v>
      </c>
      <c r="P8532" s="58" t="s">
        <v>241</v>
      </c>
      <c r="Q8532" s="6" t="s">
        <v>234</v>
      </c>
      <c r="R8532" s="222">
        <v>80</v>
      </c>
      <c r="S8532" s="2">
        <v>204</v>
      </c>
      <c r="T8532" s="4">
        <f t="shared" si="600"/>
        <v>16320</v>
      </c>
      <c r="U8532" s="4">
        <f t="shared" si="597"/>
        <v>18278.400000000001</v>
      </c>
      <c r="V8532" s="3" t="s">
        <v>362</v>
      </c>
      <c r="W8532" s="3">
        <v>2014</v>
      </c>
      <c r="X8532" s="3"/>
    </row>
    <row r="8533" spans="1:24" ht="63.75">
      <c r="A8533" s="3" t="s">
        <v>18909</v>
      </c>
      <c r="B8533" s="6" t="s">
        <v>361</v>
      </c>
      <c r="C8533" s="6" t="s">
        <v>3382</v>
      </c>
      <c r="D8533" s="6" t="s">
        <v>643</v>
      </c>
      <c r="E8533" s="6" t="s">
        <v>3383</v>
      </c>
      <c r="F8533" s="6" t="s">
        <v>149</v>
      </c>
      <c r="G8533" s="3" t="s">
        <v>11450</v>
      </c>
      <c r="H8533" s="54">
        <v>0.6</v>
      </c>
      <c r="I8533" s="16">
        <v>470000000</v>
      </c>
      <c r="J8533" s="157" t="s">
        <v>229</v>
      </c>
      <c r="K8533" s="5" t="s">
        <v>18437</v>
      </c>
      <c r="L8533" s="17" t="s">
        <v>11411</v>
      </c>
      <c r="M8533" s="3" t="s">
        <v>230</v>
      </c>
      <c r="N8533" s="6" t="s">
        <v>528</v>
      </c>
      <c r="O8533" s="6" t="s">
        <v>18749</v>
      </c>
      <c r="P8533" s="58" t="s">
        <v>241</v>
      </c>
      <c r="Q8533" s="6" t="s">
        <v>234</v>
      </c>
      <c r="R8533" s="222">
        <v>35</v>
      </c>
      <c r="S8533" s="2">
        <v>456</v>
      </c>
      <c r="T8533" s="4">
        <f t="shared" si="600"/>
        <v>15960</v>
      </c>
      <c r="U8533" s="4">
        <f t="shared" si="597"/>
        <v>17875.2</v>
      </c>
      <c r="V8533" s="3" t="s">
        <v>362</v>
      </c>
      <c r="W8533" s="3">
        <v>2014</v>
      </c>
      <c r="X8533" s="3"/>
    </row>
    <row r="8534" spans="1:24" ht="63.75">
      <c r="A8534" s="3" t="s">
        <v>18911</v>
      </c>
      <c r="B8534" s="6" t="s">
        <v>361</v>
      </c>
      <c r="C8534" s="6" t="s">
        <v>3213</v>
      </c>
      <c r="D8534" s="6" t="s">
        <v>3214</v>
      </c>
      <c r="E8534" s="6" t="s">
        <v>3215</v>
      </c>
      <c r="F8534" s="6" t="s">
        <v>91</v>
      </c>
      <c r="G8534" s="3" t="s">
        <v>11450</v>
      </c>
      <c r="H8534" s="54">
        <v>0.35</v>
      </c>
      <c r="I8534" s="16">
        <v>470000000</v>
      </c>
      <c r="J8534" s="157" t="s">
        <v>229</v>
      </c>
      <c r="K8534" s="5" t="s">
        <v>18437</v>
      </c>
      <c r="L8534" s="17" t="s">
        <v>11411</v>
      </c>
      <c r="M8534" s="3" t="s">
        <v>230</v>
      </c>
      <c r="N8534" s="6" t="s">
        <v>521</v>
      </c>
      <c r="O8534" s="6" t="s">
        <v>18749</v>
      </c>
      <c r="P8534" s="58">
        <v>796</v>
      </c>
      <c r="Q8534" s="6" t="s">
        <v>234</v>
      </c>
      <c r="R8534" s="20">
        <v>220</v>
      </c>
      <c r="S8534" s="2">
        <v>7044</v>
      </c>
      <c r="T8534" s="4">
        <v>0</v>
      </c>
      <c r="U8534" s="4">
        <f>T8534*1.12</f>
        <v>0</v>
      </c>
      <c r="V8534" s="3" t="s">
        <v>362</v>
      </c>
      <c r="W8534" s="3">
        <v>2014</v>
      </c>
      <c r="X8534" s="3" t="s">
        <v>12076</v>
      </c>
    </row>
    <row r="8535" spans="1:24" ht="63.75">
      <c r="A8535" s="3" t="s">
        <v>18912</v>
      </c>
      <c r="B8535" s="6" t="s">
        <v>361</v>
      </c>
      <c r="C8535" s="6" t="s">
        <v>18913</v>
      </c>
      <c r="D8535" s="6" t="s">
        <v>18915</v>
      </c>
      <c r="E8535" s="6" t="s">
        <v>18914</v>
      </c>
      <c r="F8535" s="6"/>
      <c r="G8535" s="3" t="s">
        <v>11450</v>
      </c>
      <c r="H8535" s="54">
        <v>0</v>
      </c>
      <c r="I8535" s="16">
        <v>470000000</v>
      </c>
      <c r="J8535" s="157" t="s">
        <v>229</v>
      </c>
      <c r="K8535" s="5" t="s">
        <v>18437</v>
      </c>
      <c r="L8535" s="17" t="s">
        <v>11411</v>
      </c>
      <c r="M8535" s="3" t="s">
        <v>230</v>
      </c>
      <c r="N8535" s="6" t="s">
        <v>17560</v>
      </c>
      <c r="O8535" s="6" t="s">
        <v>18749</v>
      </c>
      <c r="P8535" s="58">
        <v>797</v>
      </c>
      <c r="Q8535" s="6" t="s">
        <v>234</v>
      </c>
      <c r="R8535" s="222">
        <v>20</v>
      </c>
      <c r="S8535" s="2">
        <v>14000</v>
      </c>
      <c r="T8535" s="4">
        <f t="shared" si="600"/>
        <v>280000</v>
      </c>
      <c r="U8535" s="4">
        <f>T8535*1.12</f>
        <v>313600.00000000006</v>
      </c>
      <c r="V8535" s="3"/>
      <c r="W8535" s="3">
        <v>2014</v>
      </c>
      <c r="X8535" s="3"/>
    </row>
    <row r="8536" spans="1:24" ht="89.25">
      <c r="A8536" s="3" t="s">
        <v>18916</v>
      </c>
      <c r="B8536" s="6" t="s">
        <v>361</v>
      </c>
      <c r="C8536" s="6" t="s">
        <v>3957</v>
      </c>
      <c r="D8536" s="6" t="s">
        <v>3958</v>
      </c>
      <c r="E8536" s="6" t="s">
        <v>3959</v>
      </c>
      <c r="F8536" s="6" t="s">
        <v>3946</v>
      </c>
      <c r="G8536" s="3" t="s">
        <v>11450</v>
      </c>
      <c r="H8536" s="54">
        <v>0</v>
      </c>
      <c r="I8536" s="16">
        <v>470000000</v>
      </c>
      <c r="J8536" s="157" t="s">
        <v>229</v>
      </c>
      <c r="K8536" s="5" t="s">
        <v>18437</v>
      </c>
      <c r="L8536" s="17" t="s">
        <v>11411</v>
      </c>
      <c r="M8536" s="3" t="s">
        <v>230</v>
      </c>
      <c r="N8536" s="6" t="s">
        <v>17560</v>
      </c>
      <c r="O8536" s="6" t="s">
        <v>233</v>
      </c>
      <c r="P8536" s="58" t="s">
        <v>241</v>
      </c>
      <c r="Q8536" s="6" t="s">
        <v>234</v>
      </c>
      <c r="R8536" s="1">
        <v>4</v>
      </c>
      <c r="S8536" s="2">
        <v>25533.599999999999</v>
      </c>
      <c r="T8536" s="4">
        <f t="shared" si="600"/>
        <v>102134.39999999999</v>
      </c>
      <c r="U8536" s="4">
        <f t="shared" ref="U8536:U8551" si="601">T8536*1.12</f>
        <v>114390.52800000001</v>
      </c>
      <c r="V8536" s="3"/>
      <c r="W8536" s="3">
        <v>2014</v>
      </c>
      <c r="X8536" s="3"/>
    </row>
    <row r="8537" spans="1:24" ht="89.25">
      <c r="A8537" s="3" t="s">
        <v>18917</v>
      </c>
      <c r="B8537" s="6" t="s">
        <v>361</v>
      </c>
      <c r="C8537" s="6" t="s">
        <v>3957</v>
      </c>
      <c r="D8537" s="6" t="s">
        <v>3958</v>
      </c>
      <c r="E8537" s="6" t="s">
        <v>3959</v>
      </c>
      <c r="F8537" s="6" t="s">
        <v>3947</v>
      </c>
      <c r="G8537" s="3" t="s">
        <v>11450</v>
      </c>
      <c r="H8537" s="54">
        <v>0</v>
      </c>
      <c r="I8537" s="16">
        <v>470000000</v>
      </c>
      <c r="J8537" s="157" t="s">
        <v>229</v>
      </c>
      <c r="K8537" s="5" t="s">
        <v>18437</v>
      </c>
      <c r="L8537" s="17" t="s">
        <v>11411</v>
      </c>
      <c r="M8537" s="3" t="s">
        <v>230</v>
      </c>
      <c r="N8537" s="6" t="s">
        <v>17560</v>
      </c>
      <c r="O8537" s="6" t="s">
        <v>233</v>
      </c>
      <c r="P8537" s="58" t="s">
        <v>241</v>
      </c>
      <c r="Q8537" s="6" t="s">
        <v>234</v>
      </c>
      <c r="R8537" s="1">
        <v>8</v>
      </c>
      <c r="S8537" s="2">
        <v>25533.599999999999</v>
      </c>
      <c r="T8537" s="4">
        <f t="shared" si="600"/>
        <v>204268.79999999999</v>
      </c>
      <c r="U8537" s="4">
        <f t="shared" si="601"/>
        <v>228781.05600000001</v>
      </c>
      <c r="V8537" s="3"/>
      <c r="W8537" s="3">
        <v>2014</v>
      </c>
      <c r="X8537" s="3"/>
    </row>
    <row r="8538" spans="1:24" ht="89.25">
      <c r="A8538" s="3" t="s">
        <v>18918</v>
      </c>
      <c r="B8538" s="6" t="s">
        <v>361</v>
      </c>
      <c r="C8538" s="6" t="s">
        <v>3957</v>
      </c>
      <c r="D8538" s="6" t="s">
        <v>3958</v>
      </c>
      <c r="E8538" s="6" t="s">
        <v>3959</v>
      </c>
      <c r="F8538" s="6" t="s">
        <v>3948</v>
      </c>
      <c r="G8538" s="3" t="s">
        <v>11450</v>
      </c>
      <c r="H8538" s="54">
        <v>0</v>
      </c>
      <c r="I8538" s="16">
        <v>470000000</v>
      </c>
      <c r="J8538" s="157" t="s">
        <v>229</v>
      </c>
      <c r="K8538" s="5" t="s">
        <v>18437</v>
      </c>
      <c r="L8538" s="17" t="s">
        <v>11411</v>
      </c>
      <c r="M8538" s="3" t="s">
        <v>230</v>
      </c>
      <c r="N8538" s="6" t="s">
        <v>528</v>
      </c>
      <c r="O8538" s="6" t="s">
        <v>233</v>
      </c>
      <c r="P8538" s="58" t="s">
        <v>241</v>
      </c>
      <c r="Q8538" s="6" t="s">
        <v>234</v>
      </c>
      <c r="R8538" s="1">
        <v>21</v>
      </c>
      <c r="S8538" s="2">
        <v>25533.599999999999</v>
      </c>
      <c r="T8538" s="4">
        <f t="shared" si="600"/>
        <v>536205.6</v>
      </c>
      <c r="U8538" s="4">
        <f t="shared" si="601"/>
        <v>600550.272</v>
      </c>
      <c r="V8538" s="3"/>
      <c r="W8538" s="3">
        <v>2014</v>
      </c>
      <c r="X8538" s="3"/>
    </row>
    <row r="8539" spans="1:24" ht="89.25">
      <c r="A8539" s="3" t="s">
        <v>18919</v>
      </c>
      <c r="B8539" s="6" t="s">
        <v>361</v>
      </c>
      <c r="C8539" s="6" t="s">
        <v>3957</v>
      </c>
      <c r="D8539" s="6" t="s">
        <v>3958</v>
      </c>
      <c r="E8539" s="6" t="s">
        <v>3959</v>
      </c>
      <c r="F8539" s="6" t="s">
        <v>18920</v>
      </c>
      <c r="G8539" s="3" t="s">
        <v>11450</v>
      </c>
      <c r="H8539" s="54">
        <v>0</v>
      </c>
      <c r="I8539" s="16">
        <v>470000000</v>
      </c>
      <c r="J8539" s="157" t="s">
        <v>229</v>
      </c>
      <c r="K8539" s="5" t="s">
        <v>18437</v>
      </c>
      <c r="L8539" s="17" t="s">
        <v>11411</v>
      </c>
      <c r="M8539" s="3" t="s">
        <v>230</v>
      </c>
      <c r="N8539" s="6" t="s">
        <v>17560</v>
      </c>
      <c r="O8539" s="6" t="s">
        <v>233</v>
      </c>
      <c r="P8539" s="58" t="s">
        <v>241</v>
      </c>
      <c r="Q8539" s="6" t="s">
        <v>234</v>
      </c>
      <c r="R8539" s="1">
        <v>8</v>
      </c>
      <c r="S8539" s="2">
        <v>25533.599999999999</v>
      </c>
      <c r="T8539" s="4">
        <f t="shared" si="600"/>
        <v>204268.79999999999</v>
      </c>
      <c r="U8539" s="4">
        <f t="shared" si="601"/>
        <v>228781.05600000001</v>
      </c>
      <c r="V8539" s="3"/>
      <c r="W8539" s="3">
        <v>2014</v>
      </c>
      <c r="X8539" s="3"/>
    </row>
    <row r="8540" spans="1:24" ht="89.25">
      <c r="A8540" s="3" t="s">
        <v>18921</v>
      </c>
      <c r="B8540" s="6" t="s">
        <v>361</v>
      </c>
      <c r="C8540" s="6" t="s">
        <v>3969</v>
      </c>
      <c r="D8540" s="6" t="s">
        <v>3040</v>
      </c>
      <c r="E8540" s="6" t="s">
        <v>3970</v>
      </c>
      <c r="F8540" s="6" t="s">
        <v>3953</v>
      </c>
      <c r="G8540" s="3" t="s">
        <v>11450</v>
      </c>
      <c r="H8540" s="54">
        <v>0</v>
      </c>
      <c r="I8540" s="16">
        <v>470000000</v>
      </c>
      <c r="J8540" s="157" t="s">
        <v>229</v>
      </c>
      <c r="K8540" s="5" t="s">
        <v>18437</v>
      </c>
      <c r="L8540" s="17" t="s">
        <v>11411</v>
      </c>
      <c r="M8540" s="3" t="s">
        <v>230</v>
      </c>
      <c r="N8540" s="6" t="s">
        <v>17560</v>
      </c>
      <c r="O8540" s="6" t="s">
        <v>233</v>
      </c>
      <c r="P8540" s="58" t="s">
        <v>241</v>
      </c>
      <c r="Q8540" s="6" t="s">
        <v>234</v>
      </c>
      <c r="R8540" s="1">
        <v>228</v>
      </c>
      <c r="S8540" s="2">
        <v>4200</v>
      </c>
      <c r="T8540" s="4">
        <v>0</v>
      </c>
      <c r="U8540" s="4">
        <f t="shared" si="601"/>
        <v>0</v>
      </c>
      <c r="V8540" s="3"/>
      <c r="W8540" s="3">
        <v>2014</v>
      </c>
      <c r="X8540" s="3">
        <v>15</v>
      </c>
    </row>
    <row r="8541" spans="1:24" ht="76.5">
      <c r="A8541" s="3" t="s">
        <v>19411</v>
      </c>
      <c r="B8541" s="6" t="s">
        <v>361</v>
      </c>
      <c r="C8541" s="6" t="s">
        <v>3969</v>
      </c>
      <c r="D8541" s="6" t="s">
        <v>3040</v>
      </c>
      <c r="E8541" s="6" t="s">
        <v>3970</v>
      </c>
      <c r="F8541" s="6" t="s">
        <v>3953</v>
      </c>
      <c r="G8541" s="3" t="s">
        <v>11450</v>
      </c>
      <c r="H8541" s="54">
        <v>0</v>
      </c>
      <c r="I8541" s="16">
        <v>470000000</v>
      </c>
      <c r="J8541" s="157" t="s">
        <v>229</v>
      </c>
      <c r="K8541" s="5" t="s">
        <v>18437</v>
      </c>
      <c r="L8541" s="17" t="s">
        <v>11411</v>
      </c>
      <c r="M8541" s="3" t="s">
        <v>230</v>
      </c>
      <c r="N8541" s="6" t="s">
        <v>17560</v>
      </c>
      <c r="O8541" s="6" t="s">
        <v>19407</v>
      </c>
      <c r="P8541" s="58" t="s">
        <v>241</v>
      </c>
      <c r="Q8541" s="6" t="s">
        <v>234</v>
      </c>
      <c r="R8541" s="1">
        <v>228</v>
      </c>
      <c r="S8541" s="2">
        <v>4200</v>
      </c>
      <c r="T8541" s="4">
        <f t="shared" ref="T8541" si="602">R8541*S8541</f>
        <v>957600</v>
      </c>
      <c r="U8541" s="4">
        <f t="shared" ref="U8541" si="603">T8541*1.12</f>
        <v>1072512</v>
      </c>
      <c r="V8541" s="3"/>
      <c r="W8541" s="3">
        <v>2014</v>
      </c>
      <c r="X8541" s="3"/>
    </row>
    <row r="8542" spans="1:24" ht="89.25">
      <c r="A8542" s="3" t="s">
        <v>18924</v>
      </c>
      <c r="B8542" s="6" t="s">
        <v>361</v>
      </c>
      <c r="C8542" s="6" t="s">
        <v>18938</v>
      </c>
      <c r="D8542" s="6" t="s">
        <v>18922</v>
      </c>
      <c r="E8542" s="6" t="s">
        <v>18923</v>
      </c>
      <c r="F8542" s="6"/>
      <c r="G8542" s="3" t="s">
        <v>11450</v>
      </c>
      <c r="H8542" s="54">
        <v>0</v>
      </c>
      <c r="I8542" s="16">
        <v>470000000</v>
      </c>
      <c r="J8542" s="157" t="s">
        <v>229</v>
      </c>
      <c r="K8542" s="5" t="s">
        <v>18437</v>
      </c>
      <c r="L8542" s="17" t="s">
        <v>11411</v>
      </c>
      <c r="M8542" s="3" t="s">
        <v>230</v>
      </c>
      <c r="N8542" s="6" t="s">
        <v>17560</v>
      </c>
      <c r="O8542" s="6" t="s">
        <v>233</v>
      </c>
      <c r="P8542" s="58" t="s">
        <v>241</v>
      </c>
      <c r="Q8542" s="6" t="s">
        <v>234</v>
      </c>
      <c r="R8542" s="222">
        <v>159</v>
      </c>
      <c r="S8542" s="2">
        <v>1068</v>
      </c>
      <c r="T8542" s="4">
        <v>0</v>
      </c>
      <c r="U8542" s="4">
        <f t="shared" si="601"/>
        <v>0</v>
      </c>
      <c r="V8542" s="3"/>
      <c r="W8542" s="3">
        <v>2014</v>
      </c>
      <c r="X8542" s="3">
        <v>15</v>
      </c>
    </row>
    <row r="8543" spans="1:24" ht="76.5">
      <c r="A8543" s="3" t="s">
        <v>19412</v>
      </c>
      <c r="B8543" s="6" t="s">
        <v>361</v>
      </c>
      <c r="C8543" s="6" t="s">
        <v>18938</v>
      </c>
      <c r="D8543" s="6" t="s">
        <v>18922</v>
      </c>
      <c r="E8543" s="6" t="s">
        <v>18923</v>
      </c>
      <c r="F8543" s="6"/>
      <c r="G8543" s="3" t="s">
        <v>11450</v>
      </c>
      <c r="H8543" s="54">
        <v>0</v>
      </c>
      <c r="I8543" s="16">
        <v>470000000</v>
      </c>
      <c r="J8543" s="157" t="s">
        <v>229</v>
      </c>
      <c r="K8543" s="5" t="s">
        <v>18437</v>
      </c>
      <c r="L8543" s="17" t="s">
        <v>11411</v>
      </c>
      <c r="M8543" s="3" t="s">
        <v>230</v>
      </c>
      <c r="N8543" s="6" t="s">
        <v>17560</v>
      </c>
      <c r="O8543" s="6" t="s">
        <v>19407</v>
      </c>
      <c r="P8543" s="58" t="s">
        <v>241</v>
      </c>
      <c r="Q8543" s="6" t="s">
        <v>234</v>
      </c>
      <c r="R8543" s="222">
        <v>159</v>
      </c>
      <c r="S8543" s="2">
        <v>1068</v>
      </c>
      <c r="T8543" s="4">
        <f t="shared" ref="T8543" si="604">R8543*S8543</f>
        <v>169812</v>
      </c>
      <c r="U8543" s="4">
        <f t="shared" ref="U8543" si="605">T8543*1.12</f>
        <v>190189.44000000003</v>
      </c>
      <c r="V8543" s="3"/>
      <c r="W8543" s="3">
        <v>2014</v>
      </c>
      <c r="X8543" s="3"/>
    </row>
    <row r="8544" spans="1:24" ht="114.75">
      <c r="A8544" s="3" t="s">
        <v>18926</v>
      </c>
      <c r="B8544" s="6" t="s">
        <v>361</v>
      </c>
      <c r="C8544" s="6" t="s">
        <v>18935</v>
      </c>
      <c r="D8544" s="6" t="s">
        <v>18936</v>
      </c>
      <c r="E8544" s="6" t="s">
        <v>18937</v>
      </c>
      <c r="F8544" s="6" t="s">
        <v>18925</v>
      </c>
      <c r="G8544" s="3" t="s">
        <v>11450</v>
      </c>
      <c r="H8544" s="54">
        <v>0</v>
      </c>
      <c r="I8544" s="16">
        <v>470000000</v>
      </c>
      <c r="J8544" s="157" t="s">
        <v>229</v>
      </c>
      <c r="K8544" s="5" t="s">
        <v>18437</v>
      </c>
      <c r="L8544" s="17" t="s">
        <v>11411</v>
      </c>
      <c r="M8544" s="3" t="s">
        <v>230</v>
      </c>
      <c r="N8544" s="6" t="s">
        <v>528</v>
      </c>
      <c r="O8544" s="6" t="s">
        <v>233</v>
      </c>
      <c r="P8544" s="58" t="s">
        <v>241</v>
      </c>
      <c r="Q8544" s="6" t="s">
        <v>234</v>
      </c>
      <c r="R8544" s="222">
        <v>2</v>
      </c>
      <c r="S8544" s="2">
        <v>54500</v>
      </c>
      <c r="T8544" s="4">
        <f t="shared" si="600"/>
        <v>109000</v>
      </c>
      <c r="U8544" s="4">
        <f t="shared" si="601"/>
        <v>122080.00000000001</v>
      </c>
      <c r="V8544" s="3"/>
      <c r="W8544" s="3">
        <v>2014</v>
      </c>
      <c r="X8544" s="3"/>
    </row>
    <row r="8545" spans="1:24" ht="89.25">
      <c r="A8545" s="3" t="s">
        <v>18939</v>
      </c>
      <c r="B8545" s="6" t="s">
        <v>361</v>
      </c>
      <c r="C8545" s="6" t="s">
        <v>552</v>
      </c>
      <c r="D8545" s="6" t="s">
        <v>553</v>
      </c>
      <c r="E8545" s="6" t="s">
        <v>554</v>
      </c>
      <c r="F8545" s="6" t="s">
        <v>545</v>
      </c>
      <c r="G8545" s="3" t="s">
        <v>11450</v>
      </c>
      <c r="H8545" s="54">
        <v>0</v>
      </c>
      <c r="I8545" s="16">
        <v>470000000</v>
      </c>
      <c r="J8545" s="157" t="s">
        <v>229</v>
      </c>
      <c r="K8545" s="5" t="s">
        <v>18437</v>
      </c>
      <c r="L8545" s="6" t="s">
        <v>11411</v>
      </c>
      <c r="M8545" s="3" t="s">
        <v>230</v>
      </c>
      <c r="N8545" s="6" t="s">
        <v>528</v>
      </c>
      <c r="O8545" s="6" t="s">
        <v>233</v>
      </c>
      <c r="P8545" s="58">
        <v>796</v>
      </c>
      <c r="Q8545" s="6" t="s">
        <v>234</v>
      </c>
      <c r="R8545" s="18">
        <v>10</v>
      </c>
      <c r="S8545" s="13">
        <v>6000</v>
      </c>
      <c r="T8545" s="4">
        <f t="shared" si="600"/>
        <v>60000</v>
      </c>
      <c r="U8545" s="4">
        <f t="shared" si="601"/>
        <v>67200</v>
      </c>
      <c r="V8545" s="3"/>
      <c r="W8545" s="3">
        <v>2014</v>
      </c>
      <c r="X8545" s="3"/>
    </row>
    <row r="8546" spans="1:24" ht="165.75">
      <c r="A8546" s="3" t="s">
        <v>18940</v>
      </c>
      <c r="B8546" s="6" t="s">
        <v>361</v>
      </c>
      <c r="C8546" s="6" t="s">
        <v>558</v>
      </c>
      <c r="D8546" s="6" t="s">
        <v>559</v>
      </c>
      <c r="E8546" s="6" t="s">
        <v>560</v>
      </c>
      <c r="F8546" s="6" t="s">
        <v>543</v>
      </c>
      <c r="G8546" s="3" t="s">
        <v>11450</v>
      </c>
      <c r="H8546" s="54">
        <v>0</v>
      </c>
      <c r="I8546" s="16">
        <v>470000000</v>
      </c>
      <c r="J8546" s="157" t="s">
        <v>229</v>
      </c>
      <c r="K8546" s="5" t="s">
        <v>18437</v>
      </c>
      <c r="L8546" s="6" t="s">
        <v>11411</v>
      </c>
      <c r="M8546" s="3" t="s">
        <v>230</v>
      </c>
      <c r="N8546" s="6" t="s">
        <v>528</v>
      </c>
      <c r="O8546" s="6" t="s">
        <v>233</v>
      </c>
      <c r="P8546" s="58">
        <v>796</v>
      </c>
      <c r="Q8546" s="6" t="s">
        <v>234</v>
      </c>
      <c r="R8546" s="18">
        <v>20</v>
      </c>
      <c r="S8546" s="13">
        <v>5400</v>
      </c>
      <c r="T8546" s="4">
        <f t="shared" si="600"/>
        <v>108000</v>
      </c>
      <c r="U8546" s="4">
        <f t="shared" si="601"/>
        <v>120960.00000000001</v>
      </c>
      <c r="V8546" s="3"/>
      <c r="W8546" s="3">
        <v>2014</v>
      </c>
      <c r="X8546" s="3"/>
    </row>
    <row r="8547" spans="1:24" ht="114.75">
      <c r="A8547" s="3" t="s">
        <v>18941</v>
      </c>
      <c r="B8547" s="6" t="s">
        <v>361</v>
      </c>
      <c r="C8547" s="6" t="s">
        <v>564</v>
      </c>
      <c r="D8547" s="6" t="s">
        <v>565</v>
      </c>
      <c r="E8547" s="6" t="s">
        <v>566</v>
      </c>
      <c r="F8547" s="6" t="s">
        <v>563</v>
      </c>
      <c r="G8547" s="3" t="s">
        <v>11450</v>
      </c>
      <c r="H8547" s="54">
        <v>0</v>
      </c>
      <c r="I8547" s="16">
        <v>470000000</v>
      </c>
      <c r="J8547" s="157" t="s">
        <v>229</v>
      </c>
      <c r="K8547" s="5" t="s">
        <v>18437</v>
      </c>
      <c r="L8547" s="6" t="s">
        <v>11411</v>
      </c>
      <c r="M8547" s="3" t="s">
        <v>230</v>
      </c>
      <c r="N8547" s="6" t="s">
        <v>528</v>
      </c>
      <c r="O8547" s="6" t="s">
        <v>233</v>
      </c>
      <c r="P8547" s="58">
        <v>796</v>
      </c>
      <c r="Q8547" s="6" t="s">
        <v>234</v>
      </c>
      <c r="R8547" s="18">
        <v>3</v>
      </c>
      <c r="S8547" s="13">
        <v>7200</v>
      </c>
      <c r="T8547" s="4">
        <f>R8547*S8547</f>
        <v>21600</v>
      </c>
      <c r="U8547" s="4">
        <f t="shared" si="601"/>
        <v>24192.000000000004</v>
      </c>
      <c r="V8547" s="3"/>
      <c r="W8547" s="3">
        <v>2014</v>
      </c>
      <c r="X8547" s="3"/>
    </row>
    <row r="8548" spans="1:24" ht="89.25">
      <c r="A8548" s="3" t="s">
        <v>18942</v>
      </c>
      <c r="B8548" s="6" t="s">
        <v>361</v>
      </c>
      <c r="C8548" s="161" t="s">
        <v>574</v>
      </c>
      <c r="D8548" s="161" t="s">
        <v>575</v>
      </c>
      <c r="E8548" s="161" t="s">
        <v>576</v>
      </c>
      <c r="F8548" s="6" t="s">
        <v>40</v>
      </c>
      <c r="G8548" s="3" t="s">
        <v>11450</v>
      </c>
      <c r="H8548" s="54">
        <v>0</v>
      </c>
      <c r="I8548" s="16">
        <v>470000000</v>
      </c>
      <c r="J8548" s="157" t="s">
        <v>229</v>
      </c>
      <c r="K8548" s="5" t="s">
        <v>18437</v>
      </c>
      <c r="L8548" s="6" t="s">
        <v>11411</v>
      </c>
      <c r="M8548" s="3" t="s">
        <v>230</v>
      </c>
      <c r="N8548" s="6" t="s">
        <v>528</v>
      </c>
      <c r="O8548" s="6" t="s">
        <v>233</v>
      </c>
      <c r="P8548" s="58">
        <v>796</v>
      </c>
      <c r="Q8548" s="6" t="s">
        <v>234</v>
      </c>
      <c r="R8548" s="18">
        <v>80</v>
      </c>
      <c r="S8548" s="13">
        <v>1320</v>
      </c>
      <c r="T8548" s="4">
        <f t="shared" ref="T8548:T8550" si="606">R8548*S8548</f>
        <v>105600</v>
      </c>
      <c r="U8548" s="4">
        <f t="shared" si="601"/>
        <v>118272.00000000001</v>
      </c>
      <c r="V8548" s="3"/>
      <c r="W8548" s="3">
        <v>2014</v>
      </c>
      <c r="X8548" s="3"/>
    </row>
    <row r="8549" spans="1:24" ht="89.25">
      <c r="A8549" s="3" t="s">
        <v>19105</v>
      </c>
      <c r="B8549" s="6" t="s">
        <v>361</v>
      </c>
      <c r="C8549" s="161" t="s">
        <v>19108</v>
      </c>
      <c r="D8549" s="161" t="s">
        <v>3119</v>
      </c>
      <c r="E8549" s="161" t="s">
        <v>19109</v>
      </c>
      <c r="F8549" s="9" t="s">
        <v>19107</v>
      </c>
      <c r="G8549" s="3" t="s">
        <v>11449</v>
      </c>
      <c r="H8549" s="54">
        <v>0</v>
      </c>
      <c r="I8549" s="16">
        <v>470000000</v>
      </c>
      <c r="J8549" s="157" t="s">
        <v>229</v>
      </c>
      <c r="K8549" s="5" t="s">
        <v>18437</v>
      </c>
      <c r="L8549" s="12" t="s">
        <v>404</v>
      </c>
      <c r="M8549" s="3" t="s">
        <v>230</v>
      </c>
      <c r="N8549" s="6" t="s">
        <v>19369</v>
      </c>
      <c r="O8549" s="6" t="s">
        <v>19407</v>
      </c>
      <c r="P8549" s="58">
        <v>796</v>
      </c>
      <c r="Q8549" s="6" t="s">
        <v>234</v>
      </c>
      <c r="R8549" s="18">
        <v>1</v>
      </c>
      <c r="S8549" s="13">
        <v>3440000</v>
      </c>
      <c r="T8549" s="4">
        <f t="shared" si="606"/>
        <v>3440000</v>
      </c>
      <c r="U8549" s="4">
        <f t="shared" si="601"/>
        <v>3852800.0000000005</v>
      </c>
      <c r="V8549" s="3"/>
      <c r="W8549" s="3">
        <v>2014</v>
      </c>
      <c r="X8549" s="3"/>
    </row>
    <row r="8550" spans="1:24" ht="76.5">
      <c r="A8550" s="3" t="s">
        <v>19106</v>
      </c>
      <c r="B8550" s="6" t="s">
        <v>361</v>
      </c>
      <c r="C8550" s="161" t="s">
        <v>19111</v>
      </c>
      <c r="D8550" s="161" t="s">
        <v>19110</v>
      </c>
      <c r="E8550" s="161" t="s">
        <v>5183</v>
      </c>
      <c r="F8550" s="9" t="s">
        <v>19112</v>
      </c>
      <c r="G8550" s="3" t="s">
        <v>11449</v>
      </c>
      <c r="H8550" s="54">
        <v>0</v>
      </c>
      <c r="I8550" s="16">
        <v>470000000</v>
      </c>
      <c r="J8550" s="157" t="s">
        <v>229</v>
      </c>
      <c r="K8550" s="5" t="s">
        <v>18437</v>
      </c>
      <c r="L8550" s="12" t="s">
        <v>404</v>
      </c>
      <c r="M8550" s="3" t="s">
        <v>230</v>
      </c>
      <c r="N8550" s="6" t="s">
        <v>19369</v>
      </c>
      <c r="O8550" s="6" t="s">
        <v>19407</v>
      </c>
      <c r="P8550" s="58">
        <v>796</v>
      </c>
      <c r="Q8550" s="6" t="s">
        <v>234</v>
      </c>
      <c r="R8550" s="18">
        <v>1</v>
      </c>
      <c r="S8550" s="13">
        <v>740000</v>
      </c>
      <c r="T8550" s="4">
        <f t="shared" si="606"/>
        <v>740000</v>
      </c>
      <c r="U8550" s="4">
        <f t="shared" si="601"/>
        <v>828800.00000000012</v>
      </c>
      <c r="V8550" s="3"/>
      <c r="W8550" s="3">
        <v>2014</v>
      </c>
      <c r="X8550" s="3"/>
    </row>
    <row r="8551" spans="1:24" ht="127.5">
      <c r="A8551" s="3" t="s">
        <v>19137</v>
      </c>
      <c r="B8551" s="6" t="s">
        <v>361</v>
      </c>
      <c r="C8551" s="6" t="s">
        <v>19139</v>
      </c>
      <c r="D8551" s="161" t="s">
        <v>3119</v>
      </c>
      <c r="E8551" s="161" t="s">
        <v>19141</v>
      </c>
      <c r="F8551" s="9" t="s">
        <v>19140</v>
      </c>
      <c r="G8551" s="3" t="s">
        <v>11449</v>
      </c>
      <c r="H8551" s="54">
        <v>0</v>
      </c>
      <c r="I8551" s="16">
        <v>470000000</v>
      </c>
      <c r="J8551" s="56" t="s">
        <v>229</v>
      </c>
      <c r="K8551" s="5" t="s">
        <v>18437</v>
      </c>
      <c r="L8551" s="12" t="s">
        <v>404</v>
      </c>
      <c r="M8551" s="3" t="s">
        <v>230</v>
      </c>
      <c r="N8551" s="8" t="s">
        <v>19369</v>
      </c>
      <c r="O8551" s="6" t="s">
        <v>19407</v>
      </c>
      <c r="P8551" s="58">
        <v>796</v>
      </c>
      <c r="Q8551" s="27" t="s">
        <v>234</v>
      </c>
      <c r="R8551" s="26">
        <v>2</v>
      </c>
      <c r="S8551" s="59">
        <v>780000</v>
      </c>
      <c r="T8551" s="4">
        <v>0</v>
      </c>
      <c r="U8551" s="4">
        <f t="shared" si="601"/>
        <v>0</v>
      </c>
      <c r="V8551" s="3"/>
      <c r="W8551" s="3">
        <v>2014</v>
      </c>
      <c r="X8551" s="3">
        <v>6</v>
      </c>
    </row>
    <row r="8552" spans="1:24" ht="127.5">
      <c r="A8552" s="3" t="s">
        <v>19662</v>
      </c>
      <c r="B8552" s="6" t="s">
        <v>361</v>
      </c>
      <c r="C8552" s="6" t="s">
        <v>19139</v>
      </c>
      <c r="D8552" s="161" t="s">
        <v>3119</v>
      </c>
      <c r="E8552" s="161" t="s">
        <v>19141</v>
      </c>
      <c r="F8552" s="9" t="s">
        <v>19663</v>
      </c>
      <c r="G8552" s="3" t="s">
        <v>11449</v>
      </c>
      <c r="H8552" s="54">
        <v>0</v>
      </c>
      <c r="I8552" s="16">
        <v>470000000</v>
      </c>
      <c r="J8552" s="56" t="s">
        <v>229</v>
      </c>
      <c r="K8552" s="5" t="s">
        <v>18437</v>
      </c>
      <c r="L8552" s="12" t="s">
        <v>404</v>
      </c>
      <c r="M8552" s="3" t="s">
        <v>230</v>
      </c>
      <c r="N8552" s="8" t="s">
        <v>19369</v>
      </c>
      <c r="O8552" s="6" t="s">
        <v>19407</v>
      </c>
      <c r="P8552" s="58">
        <v>796</v>
      </c>
      <c r="Q8552" s="27" t="s">
        <v>234</v>
      </c>
      <c r="R8552" s="26">
        <v>2</v>
      </c>
      <c r="S8552" s="59">
        <v>780000</v>
      </c>
      <c r="T8552" s="4">
        <f t="shared" ref="T8552" si="607">R8552*S8552</f>
        <v>1560000</v>
      </c>
      <c r="U8552" s="4">
        <f t="shared" ref="U8552" si="608">T8552*1.12</f>
        <v>1747200.0000000002</v>
      </c>
      <c r="V8552" s="3"/>
      <c r="W8552" s="3">
        <v>2014</v>
      </c>
      <c r="X8552" s="3"/>
    </row>
    <row r="8553" spans="1:24" ht="76.5">
      <c r="A8553" s="3" t="s">
        <v>19145</v>
      </c>
      <c r="B8553" s="6" t="s">
        <v>361</v>
      </c>
      <c r="C8553" s="330" t="s">
        <v>7403</v>
      </c>
      <c r="D8553" s="161" t="s">
        <v>6036</v>
      </c>
      <c r="E8553" s="161" t="s">
        <v>11535</v>
      </c>
      <c r="F8553" s="331" t="s">
        <v>19142</v>
      </c>
      <c r="G8553" s="3" t="s">
        <v>11449</v>
      </c>
      <c r="H8553" s="54">
        <v>0</v>
      </c>
      <c r="I8553" s="16">
        <v>470000000</v>
      </c>
      <c r="J8553" s="56" t="s">
        <v>229</v>
      </c>
      <c r="K8553" s="5" t="s">
        <v>18437</v>
      </c>
      <c r="L8553" s="12" t="s">
        <v>404</v>
      </c>
      <c r="M8553" s="3" t="s">
        <v>230</v>
      </c>
      <c r="N8553" s="8" t="s">
        <v>19369</v>
      </c>
      <c r="O8553" s="6" t="s">
        <v>19407</v>
      </c>
      <c r="P8553" s="58" t="s">
        <v>242</v>
      </c>
      <c r="Q8553" s="27" t="s">
        <v>239</v>
      </c>
      <c r="R8553" s="26">
        <v>2</v>
      </c>
      <c r="S8553" s="59">
        <v>280000</v>
      </c>
      <c r="T8553" s="4">
        <v>0</v>
      </c>
      <c r="U8553" s="4">
        <f t="shared" ref="U8553:U8559" si="609">T8553*1.12</f>
        <v>0</v>
      </c>
      <c r="V8553" s="3"/>
      <c r="W8553" s="3">
        <v>2014</v>
      </c>
      <c r="X8553" s="3">
        <v>6</v>
      </c>
    </row>
    <row r="8554" spans="1:24" ht="76.5">
      <c r="A8554" s="3" t="s">
        <v>19664</v>
      </c>
      <c r="B8554" s="6" t="s">
        <v>361</v>
      </c>
      <c r="C8554" s="330" t="s">
        <v>7403</v>
      </c>
      <c r="D8554" s="161" t="s">
        <v>6036</v>
      </c>
      <c r="E8554" s="161" t="s">
        <v>11535</v>
      </c>
      <c r="F8554" s="331" t="s">
        <v>19665</v>
      </c>
      <c r="G8554" s="3" t="s">
        <v>11449</v>
      </c>
      <c r="H8554" s="54">
        <v>0</v>
      </c>
      <c r="I8554" s="16">
        <v>470000000</v>
      </c>
      <c r="J8554" s="56" t="s">
        <v>229</v>
      </c>
      <c r="K8554" s="5" t="s">
        <v>18437</v>
      </c>
      <c r="L8554" s="12" t="s">
        <v>404</v>
      </c>
      <c r="M8554" s="3" t="s">
        <v>230</v>
      </c>
      <c r="N8554" s="8" t="s">
        <v>19369</v>
      </c>
      <c r="O8554" s="6" t="s">
        <v>19407</v>
      </c>
      <c r="P8554" s="58" t="s">
        <v>242</v>
      </c>
      <c r="Q8554" s="27" t="s">
        <v>239</v>
      </c>
      <c r="R8554" s="26">
        <v>2</v>
      </c>
      <c r="S8554" s="59">
        <v>280000</v>
      </c>
      <c r="T8554" s="4">
        <f t="shared" ref="T8554" si="610">R8554*S8554</f>
        <v>560000</v>
      </c>
      <c r="U8554" s="4">
        <f t="shared" ref="U8554" si="611">T8554*1.12</f>
        <v>627200.00000000012</v>
      </c>
      <c r="V8554" s="3"/>
      <c r="W8554" s="3">
        <v>2014</v>
      </c>
      <c r="X8554" s="3"/>
    </row>
    <row r="8555" spans="1:24" ht="76.5">
      <c r="A8555" s="3" t="s">
        <v>19146</v>
      </c>
      <c r="B8555" s="6" t="s">
        <v>361</v>
      </c>
      <c r="C8555" s="332" t="s">
        <v>6044</v>
      </c>
      <c r="D8555" s="161" t="s">
        <v>6045</v>
      </c>
      <c r="E8555" s="161" t="s">
        <v>6046</v>
      </c>
      <c r="F8555" s="8" t="s">
        <v>19143</v>
      </c>
      <c r="G8555" s="3" t="s">
        <v>11449</v>
      </c>
      <c r="H8555" s="54">
        <v>0</v>
      </c>
      <c r="I8555" s="16">
        <v>470000000</v>
      </c>
      <c r="J8555" s="56" t="s">
        <v>229</v>
      </c>
      <c r="K8555" s="5" t="s">
        <v>18437</v>
      </c>
      <c r="L8555" s="12" t="s">
        <v>404</v>
      </c>
      <c r="M8555" s="3" t="s">
        <v>230</v>
      </c>
      <c r="N8555" s="8" t="s">
        <v>19369</v>
      </c>
      <c r="O8555" s="6" t="s">
        <v>19407</v>
      </c>
      <c r="P8555" s="58" t="s">
        <v>242</v>
      </c>
      <c r="Q8555" s="27" t="s">
        <v>239</v>
      </c>
      <c r="R8555" s="26">
        <v>1</v>
      </c>
      <c r="S8555" s="59">
        <v>310000</v>
      </c>
      <c r="T8555" s="4">
        <v>0</v>
      </c>
      <c r="U8555" s="4">
        <f t="shared" si="609"/>
        <v>0</v>
      </c>
      <c r="V8555" s="3"/>
      <c r="W8555" s="3">
        <v>2014</v>
      </c>
      <c r="X8555" s="3">
        <v>6</v>
      </c>
    </row>
    <row r="8556" spans="1:24" ht="76.5">
      <c r="A8556" s="3" t="s">
        <v>19666</v>
      </c>
      <c r="B8556" s="6" t="s">
        <v>361</v>
      </c>
      <c r="C8556" s="332" t="s">
        <v>6044</v>
      </c>
      <c r="D8556" s="161" t="s">
        <v>6045</v>
      </c>
      <c r="E8556" s="161" t="s">
        <v>6046</v>
      </c>
      <c r="F8556" s="8" t="s">
        <v>19667</v>
      </c>
      <c r="G8556" s="3" t="s">
        <v>11449</v>
      </c>
      <c r="H8556" s="54">
        <v>0</v>
      </c>
      <c r="I8556" s="16">
        <v>470000000</v>
      </c>
      <c r="J8556" s="56" t="s">
        <v>229</v>
      </c>
      <c r="K8556" s="5" t="s">
        <v>18437</v>
      </c>
      <c r="L8556" s="12" t="s">
        <v>404</v>
      </c>
      <c r="M8556" s="3" t="s">
        <v>230</v>
      </c>
      <c r="N8556" s="8" t="s">
        <v>19369</v>
      </c>
      <c r="O8556" s="6" t="s">
        <v>19407</v>
      </c>
      <c r="P8556" s="58" t="s">
        <v>242</v>
      </c>
      <c r="Q8556" s="27" t="s">
        <v>239</v>
      </c>
      <c r="R8556" s="26">
        <v>1</v>
      </c>
      <c r="S8556" s="59">
        <v>310000</v>
      </c>
      <c r="T8556" s="4">
        <f t="shared" ref="T8556" si="612">R8556*S8556</f>
        <v>310000</v>
      </c>
      <c r="U8556" s="4">
        <f t="shared" ref="U8556" si="613">T8556*1.12</f>
        <v>347200.00000000006</v>
      </c>
      <c r="V8556" s="3"/>
      <c r="W8556" s="3">
        <v>2014</v>
      </c>
      <c r="X8556" s="3"/>
    </row>
    <row r="8557" spans="1:24" ht="76.5">
      <c r="A8557" s="3" t="s">
        <v>19147</v>
      </c>
      <c r="B8557" s="6" t="s">
        <v>361</v>
      </c>
      <c r="C8557" s="332" t="s">
        <v>6048</v>
      </c>
      <c r="D8557" s="161" t="s">
        <v>6049</v>
      </c>
      <c r="E8557" s="161" t="s">
        <v>6046</v>
      </c>
      <c r="F8557" s="8" t="s">
        <v>19144</v>
      </c>
      <c r="G8557" s="3" t="s">
        <v>11449</v>
      </c>
      <c r="H8557" s="54">
        <v>0</v>
      </c>
      <c r="I8557" s="16">
        <v>470000000</v>
      </c>
      <c r="J8557" s="56" t="s">
        <v>229</v>
      </c>
      <c r="K8557" s="5" t="s">
        <v>18437</v>
      </c>
      <c r="L8557" s="12" t="s">
        <v>404</v>
      </c>
      <c r="M8557" s="3" t="s">
        <v>230</v>
      </c>
      <c r="N8557" s="8" t="s">
        <v>19369</v>
      </c>
      <c r="O8557" s="6" t="s">
        <v>19407</v>
      </c>
      <c r="P8557" s="58" t="s">
        <v>242</v>
      </c>
      <c r="Q8557" s="27" t="s">
        <v>239</v>
      </c>
      <c r="R8557" s="26">
        <v>2</v>
      </c>
      <c r="S8557" s="59">
        <v>320000</v>
      </c>
      <c r="T8557" s="4">
        <v>0</v>
      </c>
      <c r="U8557" s="4">
        <f t="shared" si="609"/>
        <v>0</v>
      </c>
      <c r="V8557" s="3"/>
      <c r="W8557" s="3">
        <v>2014</v>
      </c>
      <c r="X8557" s="3">
        <v>6</v>
      </c>
    </row>
    <row r="8558" spans="1:24" ht="76.5">
      <c r="A8558" s="3" t="s">
        <v>19668</v>
      </c>
      <c r="B8558" s="6" t="s">
        <v>361</v>
      </c>
      <c r="C8558" s="332" t="s">
        <v>6048</v>
      </c>
      <c r="D8558" s="161" t="s">
        <v>6049</v>
      </c>
      <c r="E8558" s="161" t="s">
        <v>6046</v>
      </c>
      <c r="F8558" s="8" t="s">
        <v>19669</v>
      </c>
      <c r="G8558" s="3" t="s">
        <v>11449</v>
      </c>
      <c r="H8558" s="54">
        <v>0</v>
      </c>
      <c r="I8558" s="16">
        <v>470000000</v>
      </c>
      <c r="J8558" s="56" t="s">
        <v>229</v>
      </c>
      <c r="K8558" s="5" t="s">
        <v>18437</v>
      </c>
      <c r="L8558" s="12" t="s">
        <v>404</v>
      </c>
      <c r="M8558" s="3" t="s">
        <v>230</v>
      </c>
      <c r="N8558" s="8" t="s">
        <v>19369</v>
      </c>
      <c r="O8558" s="6" t="s">
        <v>19407</v>
      </c>
      <c r="P8558" s="58" t="s">
        <v>242</v>
      </c>
      <c r="Q8558" s="27" t="s">
        <v>239</v>
      </c>
      <c r="R8558" s="26">
        <v>2</v>
      </c>
      <c r="S8558" s="59">
        <v>320000</v>
      </c>
      <c r="T8558" s="4">
        <f t="shared" ref="T8558" si="614">R8558*S8558</f>
        <v>640000</v>
      </c>
      <c r="U8558" s="4">
        <f t="shared" ref="U8558" si="615">T8558*1.12</f>
        <v>716800.00000000012</v>
      </c>
      <c r="V8558" s="3"/>
      <c r="W8558" s="3">
        <v>2014</v>
      </c>
      <c r="X8558" s="3"/>
    </row>
    <row r="8559" spans="1:24" ht="89.25">
      <c r="A8559" s="3" t="s">
        <v>19183</v>
      </c>
      <c r="B8559" s="6" t="s">
        <v>361</v>
      </c>
      <c r="C8559" s="64" t="s">
        <v>4332</v>
      </c>
      <c r="D8559" s="6" t="s">
        <v>4333</v>
      </c>
      <c r="E8559" s="6" t="s">
        <v>4334</v>
      </c>
      <c r="F8559" s="6" t="s">
        <v>19187</v>
      </c>
      <c r="G8559" s="3" t="s">
        <v>11450</v>
      </c>
      <c r="H8559" s="54">
        <v>0.2</v>
      </c>
      <c r="I8559" s="16">
        <v>470000000</v>
      </c>
      <c r="J8559" s="56" t="s">
        <v>229</v>
      </c>
      <c r="K8559" s="5" t="s">
        <v>18437</v>
      </c>
      <c r="L8559" s="6" t="s">
        <v>18766</v>
      </c>
      <c r="M8559" s="3" t="s">
        <v>12250</v>
      </c>
      <c r="N8559" s="15" t="s">
        <v>8914</v>
      </c>
      <c r="O8559" s="6" t="s">
        <v>18749</v>
      </c>
      <c r="P8559" s="58" t="s">
        <v>241</v>
      </c>
      <c r="Q8559" s="6" t="s">
        <v>234</v>
      </c>
      <c r="R8559" s="4">
        <v>6</v>
      </c>
      <c r="S8559" s="74">
        <v>500000</v>
      </c>
      <c r="T8559" s="4">
        <f t="shared" ref="T8559" si="616">R8559*S8559</f>
        <v>3000000</v>
      </c>
      <c r="U8559" s="4">
        <f t="shared" si="609"/>
        <v>3360000.0000000005</v>
      </c>
      <c r="V8559" s="3" t="s">
        <v>362</v>
      </c>
      <c r="W8559" s="3">
        <v>2014</v>
      </c>
      <c r="X8559" s="3"/>
    </row>
    <row r="8560" spans="1:24" ht="76.5">
      <c r="A8560" s="3" t="s">
        <v>19189</v>
      </c>
      <c r="B8560" s="6" t="s">
        <v>361</v>
      </c>
      <c r="C8560" s="64" t="s">
        <v>579</v>
      </c>
      <c r="D8560" s="6" t="s">
        <v>580</v>
      </c>
      <c r="E8560" s="6" t="s">
        <v>581</v>
      </c>
      <c r="F8560" s="6" t="s">
        <v>19210</v>
      </c>
      <c r="G8560" s="3" t="s">
        <v>11450</v>
      </c>
      <c r="H8560" s="54">
        <v>0</v>
      </c>
      <c r="I8560" s="16">
        <v>470000000</v>
      </c>
      <c r="J8560" s="56" t="s">
        <v>229</v>
      </c>
      <c r="K8560" s="5" t="s">
        <v>18437</v>
      </c>
      <c r="L8560" s="17" t="s">
        <v>19196</v>
      </c>
      <c r="M8560" s="3" t="s">
        <v>230</v>
      </c>
      <c r="N8560" s="8" t="s">
        <v>8898</v>
      </c>
      <c r="O8560" s="6" t="s">
        <v>19407</v>
      </c>
      <c r="P8560" s="58" t="s">
        <v>550</v>
      </c>
      <c r="Q8560" s="6" t="s">
        <v>551</v>
      </c>
      <c r="R8560" s="4">
        <v>15</v>
      </c>
      <c r="S8560" s="74">
        <v>36720</v>
      </c>
      <c r="T8560" s="4">
        <f t="shared" ref="T8560:T8565" si="617">R8560*S8560</f>
        <v>550800</v>
      </c>
      <c r="U8560" s="4">
        <f t="shared" ref="U8560:U8565" si="618">T8560*1.12</f>
        <v>616896.00000000012</v>
      </c>
      <c r="V8560" s="3"/>
      <c r="W8560" s="3">
        <v>2014</v>
      </c>
      <c r="X8560" s="3"/>
    </row>
    <row r="8561" spans="1:24" ht="76.5">
      <c r="A8561" s="3" t="s">
        <v>19190</v>
      </c>
      <c r="B8561" s="6" t="s">
        <v>361</v>
      </c>
      <c r="C8561" s="64" t="s">
        <v>586</v>
      </c>
      <c r="D8561" s="3" t="s">
        <v>553</v>
      </c>
      <c r="E8561" s="6" t="s">
        <v>587</v>
      </c>
      <c r="F8561" s="6" t="s">
        <v>19209</v>
      </c>
      <c r="G8561" s="3" t="s">
        <v>11450</v>
      </c>
      <c r="H8561" s="54">
        <v>0</v>
      </c>
      <c r="I8561" s="16">
        <v>470000000</v>
      </c>
      <c r="J8561" s="56" t="s">
        <v>229</v>
      </c>
      <c r="K8561" s="5" t="s">
        <v>18437</v>
      </c>
      <c r="L8561" s="17" t="s">
        <v>19196</v>
      </c>
      <c r="M8561" s="3" t="s">
        <v>230</v>
      </c>
      <c r="N8561" s="8" t="s">
        <v>8898</v>
      </c>
      <c r="O8561" s="6" t="s">
        <v>19407</v>
      </c>
      <c r="P8561" s="58" t="s">
        <v>242</v>
      </c>
      <c r="Q8561" s="6" t="s">
        <v>239</v>
      </c>
      <c r="R8561" s="4">
        <v>15</v>
      </c>
      <c r="S8561" s="74">
        <v>38510</v>
      </c>
      <c r="T8561" s="4">
        <f t="shared" si="617"/>
        <v>577650</v>
      </c>
      <c r="U8561" s="4">
        <f t="shared" si="618"/>
        <v>646968.00000000012</v>
      </c>
      <c r="V8561" s="3"/>
      <c r="W8561" s="3">
        <v>2014</v>
      </c>
      <c r="X8561" s="3"/>
    </row>
    <row r="8562" spans="1:24" ht="102">
      <c r="A8562" s="3" t="s">
        <v>19191</v>
      </c>
      <c r="B8562" s="6" t="s">
        <v>361</v>
      </c>
      <c r="C8562" s="64" t="s">
        <v>4288</v>
      </c>
      <c r="D8562" s="3" t="s">
        <v>457</v>
      </c>
      <c r="E8562" s="6" t="s">
        <v>4289</v>
      </c>
      <c r="F8562" s="6" t="s">
        <v>19208</v>
      </c>
      <c r="G8562" s="3" t="s">
        <v>11450</v>
      </c>
      <c r="H8562" s="54">
        <v>0</v>
      </c>
      <c r="I8562" s="16">
        <v>470000000</v>
      </c>
      <c r="J8562" s="56" t="s">
        <v>229</v>
      </c>
      <c r="K8562" s="5" t="s">
        <v>18437</v>
      </c>
      <c r="L8562" s="17" t="s">
        <v>19196</v>
      </c>
      <c r="M8562" s="3" t="s">
        <v>230</v>
      </c>
      <c r="N8562" s="8" t="s">
        <v>8898</v>
      </c>
      <c r="O8562" s="6" t="s">
        <v>19407</v>
      </c>
      <c r="P8562" s="58" t="s">
        <v>241</v>
      </c>
      <c r="Q8562" s="6" t="s">
        <v>234</v>
      </c>
      <c r="R8562" s="4">
        <v>13</v>
      </c>
      <c r="S8562" s="74">
        <v>13526.478461538461</v>
      </c>
      <c r="T8562" s="4">
        <f t="shared" si="617"/>
        <v>175844.22</v>
      </c>
      <c r="U8562" s="4">
        <f t="shared" si="618"/>
        <v>196945.52640000003</v>
      </c>
      <c r="V8562" s="3"/>
      <c r="W8562" s="3">
        <v>2014</v>
      </c>
      <c r="X8562" s="3"/>
    </row>
    <row r="8563" spans="1:24" ht="102">
      <c r="A8563" s="3" t="s">
        <v>19192</v>
      </c>
      <c r="B8563" s="6" t="s">
        <v>361</v>
      </c>
      <c r="C8563" s="64" t="s">
        <v>4288</v>
      </c>
      <c r="D8563" s="3" t="s">
        <v>457</v>
      </c>
      <c r="E8563" s="6" t="s">
        <v>4289</v>
      </c>
      <c r="F8563" s="6" t="s">
        <v>19207</v>
      </c>
      <c r="G8563" s="3" t="s">
        <v>11450</v>
      </c>
      <c r="H8563" s="54">
        <v>0</v>
      </c>
      <c r="I8563" s="16">
        <v>470000000</v>
      </c>
      <c r="J8563" s="56" t="s">
        <v>229</v>
      </c>
      <c r="K8563" s="5" t="s">
        <v>18437</v>
      </c>
      <c r="L8563" s="17" t="s">
        <v>19196</v>
      </c>
      <c r="M8563" s="3" t="s">
        <v>230</v>
      </c>
      <c r="N8563" s="8" t="s">
        <v>8898</v>
      </c>
      <c r="O8563" s="6" t="s">
        <v>19407</v>
      </c>
      <c r="P8563" s="58" t="s">
        <v>241</v>
      </c>
      <c r="Q8563" s="6" t="s">
        <v>234</v>
      </c>
      <c r="R8563" s="4">
        <v>14</v>
      </c>
      <c r="S8563" s="74">
        <v>15998.4</v>
      </c>
      <c r="T8563" s="4">
        <f t="shared" si="617"/>
        <v>223977.60000000001</v>
      </c>
      <c r="U8563" s="4">
        <f t="shared" si="618"/>
        <v>250854.91200000004</v>
      </c>
      <c r="V8563" s="3"/>
      <c r="W8563" s="3">
        <v>2014</v>
      </c>
      <c r="X8563" s="3"/>
    </row>
    <row r="8564" spans="1:24" ht="76.5">
      <c r="A8564" s="3" t="s">
        <v>19193</v>
      </c>
      <c r="B8564" s="6" t="s">
        <v>361</v>
      </c>
      <c r="C8564" s="64" t="s">
        <v>19199</v>
      </c>
      <c r="D8564" s="3" t="s">
        <v>19197</v>
      </c>
      <c r="E8564" s="6" t="s">
        <v>19198</v>
      </c>
      <c r="F8564" s="6" t="s">
        <v>19206</v>
      </c>
      <c r="G8564" s="3" t="s">
        <v>11450</v>
      </c>
      <c r="H8564" s="54">
        <v>0</v>
      </c>
      <c r="I8564" s="16">
        <v>470000000</v>
      </c>
      <c r="J8564" s="56" t="s">
        <v>229</v>
      </c>
      <c r="K8564" s="5" t="s">
        <v>18437</v>
      </c>
      <c r="L8564" s="17" t="s">
        <v>19196</v>
      </c>
      <c r="M8564" s="3" t="s">
        <v>230</v>
      </c>
      <c r="N8564" s="8" t="s">
        <v>8898</v>
      </c>
      <c r="O8564" s="6" t="s">
        <v>19407</v>
      </c>
      <c r="P8564" s="58" t="s">
        <v>241</v>
      </c>
      <c r="Q8564" s="6" t="s">
        <v>234</v>
      </c>
      <c r="R8564" s="4">
        <v>1</v>
      </c>
      <c r="S8564" s="74">
        <v>136963.26999999999</v>
      </c>
      <c r="T8564" s="4">
        <f t="shared" si="617"/>
        <v>136963.26999999999</v>
      </c>
      <c r="U8564" s="4">
        <f t="shared" si="618"/>
        <v>153398.86240000001</v>
      </c>
      <c r="V8564" s="3"/>
      <c r="W8564" s="3">
        <v>2014</v>
      </c>
      <c r="X8564" s="3"/>
    </row>
    <row r="8565" spans="1:24" ht="76.5">
      <c r="A8565" s="3" t="s">
        <v>19194</v>
      </c>
      <c r="B8565" s="6" t="s">
        <v>361</v>
      </c>
      <c r="C8565" s="64" t="s">
        <v>19201</v>
      </c>
      <c r="D8565" s="6" t="s">
        <v>4209</v>
      </c>
      <c r="E8565" s="6" t="s">
        <v>19200</v>
      </c>
      <c r="F8565" s="6" t="s">
        <v>19205</v>
      </c>
      <c r="G8565" s="3" t="s">
        <v>11450</v>
      </c>
      <c r="H8565" s="54">
        <v>0</v>
      </c>
      <c r="I8565" s="16">
        <v>470000000</v>
      </c>
      <c r="J8565" s="56" t="s">
        <v>229</v>
      </c>
      <c r="K8565" s="5" t="s">
        <v>18437</v>
      </c>
      <c r="L8565" s="17" t="s">
        <v>19196</v>
      </c>
      <c r="M8565" s="3" t="s">
        <v>230</v>
      </c>
      <c r="N8565" s="8" t="s">
        <v>8898</v>
      </c>
      <c r="O8565" s="6" t="s">
        <v>19407</v>
      </c>
      <c r="P8565" s="58" t="s">
        <v>241</v>
      </c>
      <c r="Q8565" s="6" t="s">
        <v>234</v>
      </c>
      <c r="R8565" s="4">
        <v>4</v>
      </c>
      <c r="S8565" s="74">
        <v>60710</v>
      </c>
      <c r="T8565" s="4">
        <f t="shared" si="617"/>
        <v>242840</v>
      </c>
      <c r="U8565" s="4">
        <f t="shared" si="618"/>
        <v>271980.80000000005</v>
      </c>
      <c r="V8565" s="3"/>
      <c r="W8565" s="3">
        <v>2014</v>
      </c>
      <c r="X8565" s="3"/>
    </row>
    <row r="8566" spans="1:24" ht="76.5">
      <c r="A8566" s="3" t="s">
        <v>19195</v>
      </c>
      <c r="B8566" s="6" t="s">
        <v>361</v>
      </c>
      <c r="C8566" s="64" t="s">
        <v>19203</v>
      </c>
      <c r="D8566" s="3" t="s">
        <v>424</v>
      </c>
      <c r="E8566" s="6" t="s">
        <v>19202</v>
      </c>
      <c r="F8566" s="6" t="s">
        <v>19204</v>
      </c>
      <c r="G8566" s="3" t="s">
        <v>11450</v>
      </c>
      <c r="H8566" s="54">
        <v>0</v>
      </c>
      <c r="I8566" s="16">
        <v>470000000</v>
      </c>
      <c r="J8566" s="56" t="s">
        <v>229</v>
      </c>
      <c r="K8566" s="5" t="s">
        <v>18437</v>
      </c>
      <c r="L8566" s="17" t="s">
        <v>19196</v>
      </c>
      <c r="M8566" s="3" t="s">
        <v>230</v>
      </c>
      <c r="N8566" s="8" t="s">
        <v>8898</v>
      </c>
      <c r="O8566" s="6" t="s">
        <v>19407</v>
      </c>
      <c r="P8566" s="58" t="s">
        <v>241</v>
      </c>
      <c r="Q8566" s="6" t="s">
        <v>234</v>
      </c>
      <c r="R8566" s="26">
        <v>4</v>
      </c>
      <c r="S8566" s="59">
        <v>22327.8</v>
      </c>
      <c r="T8566" s="4">
        <f t="shared" ref="T8566:T8569" si="619">R8566*S8566</f>
        <v>89311.2</v>
      </c>
      <c r="U8566" s="4">
        <f t="shared" ref="U8566:U8569" si="620">T8566*1.12</f>
        <v>100028.54400000001</v>
      </c>
      <c r="V8566" s="3"/>
      <c r="W8566" s="3">
        <v>2014</v>
      </c>
      <c r="X8566" s="3"/>
    </row>
    <row r="8567" spans="1:24" ht="76.5">
      <c r="A8567" s="3" t="s">
        <v>19211</v>
      </c>
      <c r="B8567" s="6" t="s">
        <v>361</v>
      </c>
      <c r="C8567" s="64" t="s">
        <v>19217</v>
      </c>
      <c r="D8567" s="3" t="s">
        <v>19215</v>
      </c>
      <c r="E8567" s="6" t="s">
        <v>19216</v>
      </c>
      <c r="F8567" s="6" t="s">
        <v>19218</v>
      </c>
      <c r="G8567" s="3" t="s">
        <v>605</v>
      </c>
      <c r="H8567" s="54">
        <v>0</v>
      </c>
      <c r="I8567" s="16">
        <v>470000000</v>
      </c>
      <c r="J8567" s="56" t="s">
        <v>229</v>
      </c>
      <c r="K8567" s="5" t="s">
        <v>18437</v>
      </c>
      <c r="L8567" s="329" t="s">
        <v>19219</v>
      </c>
      <c r="M8567" s="329" t="s">
        <v>230</v>
      </c>
      <c r="N8567" s="329" t="s">
        <v>528</v>
      </c>
      <c r="O8567" s="6" t="s">
        <v>19407</v>
      </c>
      <c r="P8567" s="58" t="s">
        <v>241</v>
      </c>
      <c r="Q8567" s="6" t="s">
        <v>234</v>
      </c>
      <c r="R8567" s="333">
        <v>1100</v>
      </c>
      <c r="S8567" s="59">
        <v>1500</v>
      </c>
      <c r="T8567" s="4">
        <f t="shared" si="619"/>
        <v>1650000</v>
      </c>
      <c r="U8567" s="4">
        <f t="shared" si="620"/>
        <v>1848000.0000000002</v>
      </c>
      <c r="V8567" s="3"/>
      <c r="W8567" s="3">
        <v>2014</v>
      </c>
      <c r="X8567" s="3"/>
    </row>
    <row r="8568" spans="1:24" ht="153">
      <c r="A8568" s="3" t="s">
        <v>19212</v>
      </c>
      <c r="B8568" s="6" t="s">
        <v>361</v>
      </c>
      <c r="C8568" s="64" t="s">
        <v>19229</v>
      </c>
      <c r="D8568" s="6" t="s">
        <v>19230</v>
      </c>
      <c r="E8568" s="6" t="s">
        <v>19228</v>
      </c>
      <c r="F8568" s="329" t="s">
        <v>19231</v>
      </c>
      <c r="G8568" s="3" t="s">
        <v>605</v>
      </c>
      <c r="H8568" s="54">
        <v>0</v>
      </c>
      <c r="I8568" s="16">
        <v>470000000</v>
      </c>
      <c r="J8568" s="56" t="s">
        <v>229</v>
      </c>
      <c r="K8568" s="5" t="s">
        <v>18437</v>
      </c>
      <c r="L8568" s="329" t="s">
        <v>19219</v>
      </c>
      <c r="M8568" s="329" t="s">
        <v>230</v>
      </c>
      <c r="N8568" s="329" t="s">
        <v>528</v>
      </c>
      <c r="O8568" s="6" t="s">
        <v>19407</v>
      </c>
      <c r="P8568" s="58" t="s">
        <v>241</v>
      </c>
      <c r="Q8568" s="6" t="s">
        <v>234</v>
      </c>
      <c r="R8568" s="333">
        <v>185</v>
      </c>
      <c r="S8568" s="59">
        <v>1850</v>
      </c>
      <c r="T8568" s="4">
        <f t="shared" si="619"/>
        <v>342250</v>
      </c>
      <c r="U8568" s="4">
        <f t="shared" si="620"/>
        <v>383320.00000000006</v>
      </c>
      <c r="V8568" s="3"/>
      <c r="W8568" s="3">
        <v>2014</v>
      </c>
      <c r="X8568" s="3"/>
    </row>
    <row r="8569" spans="1:24" ht="76.5">
      <c r="A8569" s="3" t="s">
        <v>19213</v>
      </c>
      <c r="B8569" s="6" t="s">
        <v>361</v>
      </c>
      <c r="C8569" s="64" t="s">
        <v>19221</v>
      </c>
      <c r="D8569" s="6" t="s">
        <v>19220</v>
      </c>
      <c r="E8569" s="6" t="s">
        <v>19220</v>
      </c>
      <c r="F8569" s="6" t="s">
        <v>19214</v>
      </c>
      <c r="G8569" s="3" t="s">
        <v>605</v>
      </c>
      <c r="H8569" s="54">
        <v>0</v>
      </c>
      <c r="I8569" s="16">
        <v>470000000</v>
      </c>
      <c r="J8569" s="56" t="s">
        <v>229</v>
      </c>
      <c r="K8569" s="5" t="s">
        <v>18437</v>
      </c>
      <c r="L8569" s="329" t="s">
        <v>19219</v>
      </c>
      <c r="M8569" s="329" t="s">
        <v>230</v>
      </c>
      <c r="N8569" s="329" t="s">
        <v>528</v>
      </c>
      <c r="O8569" s="6" t="s">
        <v>19407</v>
      </c>
      <c r="P8569" s="58" t="s">
        <v>19227</v>
      </c>
      <c r="Q8569" s="6" t="s">
        <v>19222</v>
      </c>
      <c r="R8569" s="333">
        <v>60</v>
      </c>
      <c r="S8569" s="59">
        <v>2250</v>
      </c>
      <c r="T8569" s="4">
        <f t="shared" si="619"/>
        <v>135000</v>
      </c>
      <c r="U8569" s="4">
        <f t="shared" si="620"/>
        <v>151200</v>
      </c>
      <c r="V8569" s="3"/>
      <c r="W8569" s="3">
        <v>2014</v>
      </c>
      <c r="X8569" s="3"/>
    </row>
    <row r="8570" spans="1:24" ht="76.5">
      <c r="A8570" s="3" t="s">
        <v>19232</v>
      </c>
      <c r="B8570" s="6" t="s">
        <v>361</v>
      </c>
      <c r="C8570" s="64" t="s">
        <v>19236</v>
      </c>
      <c r="D8570" s="6" t="s">
        <v>19239</v>
      </c>
      <c r="E8570" s="6" t="s">
        <v>19240</v>
      </c>
      <c r="F8570" s="9" t="s">
        <v>19241</v>
      </c>
      <c r="G8570" s="57" t="s">
        <v>11450</v>
      </c>
      <c r="H8570" s="185">
        <v>0</v>
      </c>
      <c r="I8570" s="16">
        <v>470000000</v>
      </c>
      <c r="J8570" s="56" t="s">
        <v>229</v>
      </c>
      <c r="K8570" s="57" t="s">
        <v>18437</v>
      </c>
      <c r="L8570" s="12" t="s">
        <v>404</v>
      </c>
      <c r="M8570" s="3" t="s">
        <v>230</v>
      </c>
      <c r="N8570" s="8" t="s">
        <v>19369</v>
      </c>
      <c r="O8570" s="6" t="s">
        <v>19407</v>
      </c>
      <c r="P8570" s="58" t="s">
        <v>237</v>
      </c>
      <c r="Q8570" s="6" t="s">
        <v>238</v>
      </c>
      <c r="R8570" s="26">
        <v>200</v>
      </c>
      <c r="S8570" s="59">
        <v>1000.0650000000001</v>
      </c>
      <c r="T8570" s="4">
        <f t="shared" ref="T8570:T8572" si="621">R8570*S8570</f>
        <v>200013</v>
      </c>
      <c r="U8570" s="4">
        <f t="shared" ref="U8570:U8572" si="622">T8570*1.12</f>
        <v>224014.56000000003</v>
      </c>
      <c r="V8570" s="3"/>
      <c r="W8570" s="3">
        <v>2014</v>
      </c>
      <c r="X8570" s="3"/>
    </row>
    <row r="8571" spans="1:24" ht="76.5">
      <c r="A8571" s="3" t="s">
        <v>19234</v>
      </c>
      <c r="B8571" s="6" t="s">
        <v>361</v>
      </c>
      <c r="C8571" s="64" t="s">
        <v>19237</v>
      </c>
      <c r="D8571" s="6" t="s">
        <v>19239</v>
      </c>
      <c r="E8571" s="6" t="s">
        <v>19244</v>
      </c>
      <c r="F8571" s="9" t="s">
        <v>19242</v>
      </c>
      <c r="G8571" s="57" t="s">
        <v>11450</v>
      </c>
      <c r="H8571" s="185">
        <v>0</v>
      </c>
      <c r="I8571" s="16">
        <v>470000000</v>
      </c>
      <c r="J8571" s="56" t="s">
        <v>229</v>
      </c>
      <c r="K8571" s="57" t="s">
        <v>18437</v>
      </c>
      <c r="L8571" s="12" t="s">
        <v>404</v>
      </c>
      <c r="M8571" s="3" t="s">
        <v>230</v>
      </c>
      <c r="N8571" s="8" t="s">
        <v>19369</v>
      </c>
      <c r="O8571" s="6" t="s">
        <v>19407</v>
      </c>
      <c r="P8571" s="58" t="s">
        <v>237</v>
      </c>
      <c r="Q8571" s="6" t="s">
        <v>238</v>
      </c>
      <c r="R8571" s="26">
        <v>170</v>
      </c>
      <c r="S8571" s="59">
        <v>1140.3</v>
      </c>
      <c r="T8571" s="4">
        <f t="shared" si="621"/>
        <v>193851</v>
      </c>
      <c r="U8571" s="4">
        <f t="shared" si="622"/>
        <v>217113.12000000002</v>
      </c>
      <c r="V8571" s="3"/>
      <c r="W8571" s="3">
        <v>2014</v>
      </c>
      <c r="X8571" s="3"/>
    </row>
    <row r="8572" spans="1:24" ht="76.5">
      <c r="A8572" s="3" t="s">
        <v>19235</v>
      </c>
      <c r="B8572" s="6" t="s">
        <v>361</v>
      </c>
      <c r="C8572" s="64" t="s">
        <v>19238</v>
      </c>
      <c r="D8572" s="6" t="s">
        <v>19239</v>
      </c>
      <c r="E8572" s="6" t="s">
        <v>19245</v>
      </c>
      <c r="F8572" s="9" t="s">
        <v>19243</v>
      </c>
      <c r="G8572" s="57" t="s">
        <v>11450</v>
      </c>
      <c r="H8572" s="185">
        <v>0</v>
      </c>
      <c r="I8572" s="16">
        <v>470000000</v>
      </c>
      <c r="J8572" s="56" t="s">
        <v>229</v>
      </c>
      <c r="K8572" s="57" t="s">
        <v>18437</v>
      </c>
      <c r="L8572" s="12" t="s">
        <v>404</v>
      </c>
      <c r="M8572" s="3" t="s">
        <v>230</v>
      </c>
      <c r="N8572" s="8" t="s">
        <v>19369</v>
      </c>
      <c r="O8572" s="6" t="s">
        <v>19407</v>
      </c>
      <c r="P8572" s="58" t="s">
        <v>237</v>
      </c>
      <c r="Q8572" s="6" t="s">
        <v>238</v>
      </c>
      <c r="R8572" s="26">
        <v>180</v>
      </c>
      <c r="S8572" s="59">
        <v>1350</v>
      </c>
      <c r="T8572" s="4">
        <f t="shared" si="621"/>
        <v>243000</v>
      </c>
      <c r="U8572" s="4">
        <f t="shared" si="622"/>
        <v>272160</v>
      </c>
      <c r="V8572" s="3"/>
      <c r="W8572" s="3">
        <v>2014</v>
      </c>
      <c r="X8572" s="3"/>
    </row>
    <row r="8573" spans="1:24" ht="76.5">
      <c r="A8573" s="3" t="s">
        <v>19246</v>
      </c>
      <c r="B8573" s="6" t="s">
        <v>361</v>
      </c>
      <c r="C8573" s="64" t="s">
        <v>19248</v>
      </c>
      <c r="D8573" s="6" t="s">
        <v>15508</v>
      </c>
      <c r="E8573" s="6" t="s">
        <v>19247</v>
      </c>
      <c r="F8573" s="9" t="s">
        <v>19250</v>
      </c>
      <c r="G8573" s="57" t="s">
        <v>605</v>
      </c>
      <c r="H8573" s="185">
        <v>0</v>
      </c>
      <c r="I8573" s="16">
        <v>470000000</v>
      </c>
      <c r="J8573" s="56" t="s">
        <v>229</v>
      </c>
      <c r="K8573" s="5" t="s">
        <v>18437</v>
      </c>
      <c r="L8573" s="17" t="s">
        <v>19196</v>
      </c>
      <c r="M8573" s="3" t="s">
        <v>230</v>
      </c>
      <c r="N8573" s="8" t="s">
        <v>8898</v>
      </c>
      <c r="O8573" s="6" t="s">
        <v>19407</v>
      </c>
      <c r="P8573" s="58" t="s">
        <v>247</v>
      </c>
      <c r="Q8573" s="6" t="s">
        <v>19249</v>
      </c>
      <c r="R8573" s="26">
        <v>0.25</v>
      </c>
      <c r="S8573" s="59">
        <v>205480</v>
      </c>
      <c r="T8573" s="4">
        <f t="shared" ref="T8573" si="623">R8573*S8573</f>
        <v>51370</v>
      </c>
      <c r="U8573" s="4">
        <f t="shared" ref="U8573" si="624">T8573*1.12</f>
        <v>57534.400000000009</v>
      </c>
      <c r="V8573" s="3"/>
      <c r="W8573" s="3">
        <v>2014</v>
      </c>
      <c r="X8573" s="3"/>
    </row>
    <row r="8574" spans="1:24" ht="76.5">
      <c r="A8574" s="3" t="s">
        <v>19260</v>
      </c>
      <c r="B8574" s="6" t="s">
        <v>361</v>
      </c>
      <c r="C8574" s="64" t="s">
        <v>3189</v>
      </c>
      <c r="D8574" s="6" t="s">
        <v>3014</v>
      </c>
      <c r="E8574" s="6" t="s">
        <v>3190</v>
      </c>
      <c r="F8574" s="9" t="s">
        <v>19261</v>
      </c>
      <c r="G8574" s="3" t="s">
        <v>605</v>
      </c>
      <c r="H8574" s="54">
        <v>0</v>
      </c>
      <c r="I8574" s="16">
        <v>470000000</v>
      </c>
      <c r="J8574" s="157" t="s">
        <v>229</v>
      </c>
      <c r="K8574" s="5" t="s">
        <v>18437</v>
      </c>
      <c r="L8574" s="17" t="s">
        <v>11411</v>
      </c>
      <c r="M8574" s="3" t="s">
        <v>230</v>
      </c>
      <c r="N8574" s="6" t="s">
        <v>528</v>
      </c>
      <c r="O8574" s="6" t="s">
        <v>19407</v>
      </c>
      <c r="P8574" s="58" t="s">
        <v>241</v>
      </c>
      <c r="Q8574" s="6" t="s">
        <v>234</v>
      </c>
      <c r="R8574" s="26">
        <v>200</v>
      </c>
      <c r="S8574" s="59">
        <v>250.00019399999999</v>
      </c>
      <c r="T8574" s="4">
        <f t="shared" ref="T8574" si="625">R8574*S8574</f>
        <v>50000.038800000002</v>
      </c>
      <c r="U8574" s="4">
        <f t="shared" ref="U8574:U8576" si="626">T8574*1.12</f>
        <v>56000.043456000007</v>
      </c>
      <c r="V8574" s="3"/>
      <c r="W8574" s="3">
        <v>2014</v>
      </c>
      <c r="X8574" s="3"/>
    </row>
    <row r="8575" spans="1:24" ht="76.5">
      <c r="A8575" s="3" t="s">
        <v>19286</v>
      </c>
      <c r="B8575" s="6" t="s">
        <v>361</v>
      </c>
      <c r="C8575" s="64" t="s">
        <v>19288</v>
      </c>
      <c r="D8575" s="6" t="s">
        <v>7048</v>
      </c>
      <c r="E8575" s="6" t="s">
        <v>19287</v>
      </c>
      <c r="F8575" s="335" t="s">
        <v>19289</v>
      </c>
      <c r="G8575" s="3" t="s">
        <v>11450</v>
      </c>
      <c r="H8575" s="54">
        <v>0</v>
      </c>
      <c r="I8575" s="16">
        <v>470000000</v>
      </c>
      <c r="J8575" s="157" t="s">
        <v>229</v>
      </c>
      <c r="K8575" s="5" t="s">
        <v>18437</v>
      </c>
      <c r="L8575" s="17" t="s">
        <v>11411</v>
      </c>
      <c r="M8575" s="3" t="s">
        <v>230</v>
      </c>
      <c r="N8575" s="6" t="s">
        <v>8914</v>
      </c>
      <c r="O8575" s="6" t="s">
        <v>19407</v>
      </c>
      <c r="P8575" s="58" t="s">
        <v>241</v>
      </c>
      <c r="Q8575" s="6" t="s">
        <v>234</v>
      </c>
      <c r="R8575" s="333">
        <v>1</v>
      </c>
      <c r="S8575" s="59">
        <v>1282154</v>
      </c>
      <c r="T8575" s="4">
        <v>0</v>
      </c>
      <c r="U8575" s="4">
        <f t="shared" si="626"/>
        <v>0</v>
      </c>
      <c r="V8575" s="3"/>
      <c r="W8575" s="3">
        <v>2014</v>
      </c>
      <c r="X8575" s="3">
        <v>14</v>
      </c>
    </row>
    <row r="8576" spans="1:24" ht="76.5">
      <c r="A8576" s="3" t="s">
        <v>19599</v>
      </c>
      <c r="B8576" s="6" t="s">
        <v>361</v>
      </c>
      <c r="C8576" s="64" t="s">
        <v>19288</v>
      </c>
      <c r="D8576" s="6" t="s">
        <v>7048</v>
      </c>
      <c r="E8576" s="6" t="s">
        <v>19287</v>
      </c>
      <c r="F8576" s="335" t="s">
        <v>19289</v>
      </c>
      <c r="G8576" s="3" t="s">
        <v>11450</v>
      </c>
      <c r="H8576" s="54">
        <v>0</v>
      </c>
      <c r="I8576" s="16">
        <v>470000000</v>
      </c>
      <c r="J8576" s="157" t="s">
        <v>229</v>
      </c>
      <c r="K8576" s="5" t="s">
        <v>18437</v>
      </c>
      <c r="L8576" s="17" t="s">
        <v>11411</v>
      </c>
      <c r="M8576" s="3" t="s">
        <v>230</v>
      </c>
      <c r="N8576" s="6" t="s">
        <v>528</v>
      </c>
      <c r="O8576" s="6" t="s">
        <v>19407</v>
      </c>
      <c r="P8576" s="58" t="s">
        <v>241</v>
      </c>
      <c r="Q8576" s="6" t="s">
        <v>234</v>
      </c>
      <c r="R8576" s="333">
        <v>1</v>
      </c>
      <c r="S8576" s="59">
        <v>1282154</v>
      </c>
      <c r="T8576" s="4">
        <f t="shared" ref="T8576" si="627">R8576*S8576</f>
        <v>1282154</v>
      </c>
      <c r="U8576" s="4">
        <f t="shared" si="626"/>
        <v>1436012.4800000002</v>
      </c>
      <c r="V8576" s="3"/>
      <c r="W8576" s="3">
        <v>2014</v>
      </c>
      <c r="X8576" s="3"/>
    </row>
    <row r="8577" spans="1:24" ht="114.75">
      <c r="A8577" s="3" t="s">
        <v>19580</v>
      </c>
      <c r="B8577" s="6" t="s">
        <v>361</v>
      </c>
      <c r="C8577" s="6" t="s">
        <v>19584</v>
      </c>
      <c r="D8577" s="6" t="s">
        <v>19585</v>
      </c>
      <c r="E8577" s="6" t="s">
        <v>19586</v>
      </c>
      <c r="F8577" s="6" t="s">
        <v>19587</v>
      </c>
      <c r="G8577" s="3" t="s">
        <v>11449</v>
      </c>
      <c r="H8577" s="54">
        <v>0</v>
      </c>
      <c r="I8577" s="16">
        <v>470000000</v>
      </c>
      <c r="J8577" s="157" t="s">
        <v>229</v>
      </c>
      <c r="K8577" s="6" t="s">
        <v>9956</v>
      </c>
      <c r="L8577" s="17" t="s">
        <v>11411</v>
      </c>
      <c r="M8577" s="3" t="s">
        <v>230</v>
      </c>
      <c r="N8577" s="6" t="s">
        <v>19572</v>
      </c>
      <c r="O8577" s="6" t="s">
        <v>19490</v>
      </c>
      <c r="P8577" s="58" t="s">
        <v>241</v>
      </c>
      <c r="Q8577" s="6" t="s">
        <v>234</v>
      </c>
      <c r="R8577" s="3">
        <v>1</v>
      </c>
      <c r="S8577" s="2">
        <v>7644000</v>
      </c>
      <c r="T8577" s="4">
        <f t="shared" ref="T8577:T8587" si="628">R8577*S8577</f>
        <v>7644000</v>
      </c>
      <c r="U8577" s="4">
        <f t="shared" ref="U8577:U8587" si="629">T8577*1.12</f>
        <v>8561280</v>
      </c>
      <c r="V8577" s="3"/>
      <c r="W8577" s="3">
        <v>2014</v>
      </c>
      <c r="X8577" s="6"/>
    </row>
    <row r="8578" spans="1:24" ht="76.5">
      <c r="A8578" s="3" t="s">
        <v>19581</v>
      </c>
      <c r="B8578" s="6" t="s">
        <v>361</v>
      </c>
      <c r="C8578" s="6" t="s">
        <v>10170</v>
      </c>
      <c r="D8578" s="6" t="s">
        <v>10171</v>
      </c>
      <c r="E8578" s="6" t="s">
        <v>10172</v>
      </c>
      <c r="F8578" s="6" t="s">
        <v>19588</v>
      </c>
      <c r="G8578" s="3" t="s">
        <v>11450</v>
      </c>
      <c r="H8578" s="54">
        <v>0</v>
      </c>
      <c r="I8578" s="16">
        <v>470000000</v>
      </c>
      <c r="J8578" s="157" t="s">
        <v>229</v>
      </c>
      <c r="K8578" s="6" t="s">
        <v>9956</v>
      </c>
      <c r="L8578" s="17" t="s">
        <v>11411</v>
      </c>
      <c r="M8578" s="3" t="s">
        <v>230</v>
      </c>
      <c r="N8578" s="6" t="s">
        <v>19572</v>
      </c>
      <c r="O8578" s="6" t="s">
        <v>19407</v>
      </c>
      <c r="P8578" s="58" t="s">
        <v>241</v>
      </c>
      <c r="Q8578" s="6" t="s">
        <v>234</v>
      </c>
      <c r="R8578" s="3">
        <v>1</v>
      </c>
      <c r="S8578" s="2">
        <v>1850000</v>
      </c>
      <c r="T8578" s="4">
        <f t="shared" si="628"/>
        <v>1850000</v>
      </c>
      <c r="U8578" s="4">
        <f t="shared" si="629"/>
        <v>2072000.0000000002</v>
      </c>
      <c r="V8578" s="3"/>
      <c r="W8578" s="3">
        <v>2014</v>
      </c>
      <c r="X8578" s="6"/>
    </row>
    <row r="8579" spans="1:24" ht="76.5">
      <c r="A8579" s="3" t="s">
        <v>19582</v>
      </c>
      <c r="B8579" s="6" t="s">
        <v>361</v>
      </c>
      <c r="C8579" s="6" t="s">
        <v>19589</v>
      </c>
      <c r="D8579" s="6" t="s">
        <v>19590</v>
      </c>
      <c r="E8579" s="6" t="s">
        <v>19591</v>
      </c>
      <c r="F8579" s="6" t="s">
        <v>19592</v>
      </c>
      <c r="G8579" s="3" t="s">
        <v>11450</v>
      </c>
      <c r="H8579" s="54">
        <v>0</v>
      </c>
      <c r="I8579" s="16">
        <v>470000000</v>
      </c>
      <c r="J8579" s="157" t="s">
        <v>229</v>
      </c>
      <c r="K8579" s="6" t="s">
        <v>9956</v>
      </c>
      <c r="L8579" s="16" t="s">
        <v>17302</v>
      </c>
      <c r="M8579" s="3" t="s">
        <v>230</v>
      </c>
      <c r="N8579" s="6" t="s">
        <v>19572</v>
      </c>
      <c r="O8579" s="6" t="s">
        <v>19407</v>
      </c>
      <c r="P8579" s="58" t="s">
        <v>241</v>
      </c>
      <c r="Q8579" s="6" t="s">
        <v>234</v>
      </c>
      <c r="R8579" s="3">
        <v>1</v>
      </c>
      <c r="S8579" s="2">
        <v>2000000</v>
      </c>
      <c r="T8579" s="4">
        <f t="shared" si="628"/>
        <v>2000000</v>
      </c>
      <c r="U8579" s="4">
        <f t="shared" si="629"/>
        <v>2240000</v>
      </c>
      <c r="V8579" s="3"/>
      <c r="W8579" s="3">
        <v>2014</v>
      </c>
      <c r="X8579" s="6"/>
    </row>
    <row r="8580" spans="1:24" ht="76.5">
      <c r="A8580" s="3" t="s">
        <v>19583</v>
      </c>
      <c r="B8580" s="6" t="s">
        <v>361</v>
      </c>
      <c r="C8580" s="6" t="s">
        <v>19593</v>
      </c>
      <c r="D8580" s="6" t="s">
        <v>19594</v>
      </c>
      <c r="E8580" s="6" t="s">
        <v>7447</v>
      </c>
      <c r="F8580" s="6" t="s">
        <v>19595</v>
      </c>
      <c r="G8580" s="3" t="s">
        <v>11450</v>
      </c>
      <c r="H8580" s="54">
        <v>0</v>
      </c>
      <c r="I8580" s="16">
        <v>470000000</v>
      </c>
      <c r="J8580" s="157" t="s">
        <v>229</v>
      </c>
      <c r="K8580" s="6" t="s">
        <v>9956</v>
      </c>
      <c r="L8580" s="17" t="s">
        <v>11411</v>
      </c>
      <c r="M8580" s="3" t="s">
        <v>230</v>
      </c>
      <c r="N8580" s="65" t="s">
        <v>19398</v>
      </c>
      <c r="O8580" s="6" t="s">
        <v>19407</v>
      </c>
      <c r="P8580" s="58" t="s">
        <v>241</v>
      </c>
      <c r="Q8580" s="6" t="s">
        <v>234</v>
      </c>
      <c r="R8580" s="3">
        <v>20</v>
      </c>
      <c r="S8580" s="2">
        <v>105000</v>
      </c>
      <c r="T8580" s="4">
        <f t="shared" si="628"/>
        <v>2100000</v>
      </c>
      <c r="U8580" s="4">
        <f t="shared" si="629"/>
        <v>2352000</v>
      </c>
      <c r="V8580" s="3"/>
      <c r="W8580" s="3">
        <v>2014</v>
      </c>
      <c r="X8580" s="6"/>
    </row>
    <row r="8581" spans="1:24" ht="76.5">
      <c r="A8581" s="3" t="s">
        <v>19596</v>
      </c>
      <c r="B8581" s="6" t="s">
        <v>361</v>
      </c>
      <c r="C8581" s="6" t="s">
        <v>3941</v>
      </c>
      <c r="D8581" s="6" t="s">
        <v>3937</v>
      </c>
      <c r="E8581" s="6" t="s">
        <v>3942</v>
      </c>
      <c r="F8581" s="6" t="s">
        <v>3934</v>
      </c>
      <c r="G8581" s="3" t="s">
        <v>11450</v>
      </c>
      <c r="H8581" s="54">
        <v>0.2</v>
      </c>
      <c r="I8581" s="16">
        <v>470000000</v>
      </c>
      <c r="J8581" s="157" t="s">
        <v>229</v>
      </c>
      <c r="K8581" s="5" t="s">
        <v>19614</v>
      </c>
      <c r="L8581" s="17" t="s">
        <v>11411</v>
      </c>
      <c r="M8581" s="3" t="s">
        <v>230</v>
      </c>
      <c r="N8581" s="6" t="s">
        <v>528</v>
      </c>
      <c r="O8581" s="6" t="s">
        <v>19545</v>
      </c>
      <c r="P8581" s="58" t="s">
        <v>250</v>
      </c>
      <c r="Q8581" s="6" t="s">
        <v>251</v>
      </c>
      <c r="R8581" s="1">
        <v>15</v>
      </c>
      <c r="S8581" s="2">
        <v>50100</v>
      </c>
      <c r="T8581" s="4">
        <f t="shared" si="628"/>
        <v>751500</v>
      </c>
      <c r="U8581" s="4">
        <f t="shared" si="629"/>
        <v>841680.00000000012</v>
      </c>
      <c r="V8581" s="3" t="s">
        <v>362</v>
      </c>
      <c r="W8581" s="3">
        <v>2014</v>
      </c>
      <c r="X8581" s="6"/>
    </row>
    <row r="8582" spans="1:24" ht="76.5">
      <c r="A8582" s="3" t="s">
        <v>19615</v>
      </c>
      <c r="B8582" s="6" t="s">
        <v>361</v>
      </c>
      <c r="C8582" s="6" t="s">
        <v>17362</v>
      </c>
      <c r="D8582" s="6" t="s">
        <v>3014</v>
      </c>
      <c r="E8582" s="6" t="s">
        <v>17363</v>
      </c>
      <c r="F8582" s="6" t="s">
        <v>17361</v>
      </c>
      <c r="G8582" s="3" t="s">
        <v>605</v>
      </c>
      <c r="H8582" s="54">
        <v>0.64</v>
      </c>
      <c r="I8582" s="16">
        <v>470000000</v>
      </c>
      <c r="J8582" s="157" t="s">
        <v>229</v>
      </c>
      <c r="K8582" s="5" t="s">
        <v>19614</v>
      </c>
      <c r="L8582" s="17" t="s">
        <v>12251</v>
      </c>
      <c r="M8582" s="3" t="s">
        <v>12250</v>
      </c>
      <c r="N8582" s="6" t="s">
        <v>7685</v>
      </c>
      <c r="O8582" s="6" t="s">
        <v>19616</v>
      </c>
      <c r="P8582" s="58">
        <v>796</v>
      </c>
      <c r="Q8582" s="6" t="s">
        <v>234</v>
      </c>
      <c r="R8582" s="322">
        <v>4</v>
      </c>
      <c r="S8582" s="2">
        <v>185960.88</v>
      </c>
      <c r="T8582" s="4">
        <f t="shared" si="628"/>
        <v>743843.52</v>
      </c>
      <c r="U8582" s="4">
        <f t="shared" si="629"/>
        <v>833104.7424000001</v>
      </c>
      <c r="V8582" s="3" t="s">
        <v>362</v>
      </c>
      <c r="W8582" s="3">
        <v>2014</v>
      </c>
      <c r="X8582" s="6"/>
    </row>
    <row r="8583" spans="1:24" ht="89.25">
      <c r="A8583" s="3" t="s">
        <v>19641</v>
      </c>
      <c r="B8583" s="6" t="s">
        <v>361</v>
      </c>
      <c r="C8583" s="6" t="s">
        <v>19642</v>
      </c>
      <c r="D8583" s="6" t="s">
        <v>3119</v>
      </c>
      <c r="E8583" s="6" t="s">
        <v>19643</v>
      </c>
      <c r="F8583" s="350" t="s">
        <v>19644</v>
      </c>
      <c r="G8583" s="3" t="s">
        <v>11450</v>
      </c>
      <c r="H8583" s="54">
        <v>0</v>
      </c>
      <c r="I8583" s="16">
        <v>470000000</v>
      </c>
      <c r="J8583" s="157" t="s">
        <v>229</v>
      </c>
      <c r="K8583" s="5" t="s">
        <v>19614</v>
      </c>
      <c r="L8583" s="16" t="s">
        <v>17302</v>
      </c>
      <c r="M8583" s="3"/>
      <c r="N8583" s="6" t="s">
        <v>528</v>
      </c>
      <c r="O8583" s="6" t="s">
        <v>19616</v>
      </c>
      <c r="P8583" s="58">
        <v>796</v>
      </c>
      <c r="Q8583" s="6" t="s">
        <v>234</v>
      </c>
      <c r="R8583" s="322">
        <v>1</v>
      </c>
      <c r="S8583" s="2">
        <v>3010000</v>
      </c>
      <c r="T8583" s="4">
        <f t="shared" si="628"/>
        <v>3010000</v>
      </c>
      <c r="U8583" s="4">
        <f t="shared" si="629"/>
        <v>3371200.0000000005</v>
      </c>
      <c r="V8583" s="3"/>
      <c r="W8583" s="3">
        <v>2014</v>
      </c>
      <c r="X8583" s="6"/>
    </row>
    <row r="8584" spans="1:24" ht="63.75">
      <c r="A8584" s="3" t="s">
        <v>19645</v>
      </c>
      <c r="B8584" s="6" t="s">
        <v>361</v>
      </c>
      <c r="C8584" s="6" t="s">
        <v>3116</v>
      </c>
      <c r="D8584" s="6" t="s">
        <v>3117</v>
      </c>
      <c r="E8584" s="6" t="s">
        <v>3115</v>
      </c>
      <c r="F8584" s="350" t="s">
        <v>19646</v>
      </c>
      <c r="G8584" s="3" t="s">
        <v>11450</v>
      </c>
      <c r="H8584" s="54">
        <v>0</v>
      </c>
      <c r="I8584" s="16">
        <v>470000000</v>
      </c>
      <c r="J8584" s="157" t="s">
        <v>229</v>
      </c>
      <c r="K8584" s="5" t="s">
        <v>19614</v>
      </c>
      <c r="L8584" s="16" t="s">
        <v>17302</v>
      </c>
      <c r="M8584" s="3"/>
      <c r="N8584" s="6" t="s">
        <v>528</v>
      </c>
      <c r="O8584" s="6" t="s">
        <v>19616</v>
      </c>
      <c r="P8584" s="58">
        <v>796</v>
      </c>
      <c r="Q8584" s="6" t="s">
        <v>234</v>
      </c>
      <c r="R8584" s="322">
        <v>1</v>
      </c>
      <c r="S8584" s="2">
        <v>640000</v>
      </c>
      <c r="T8584" s="4">
        <f t="shared" si="628"/>
        <v>640000</v>
      </c>
      <c r="U8584" s="4">
        <f t="shared" si="629"/>
        <v>716800.00000000012</v>
      </c>
      <c r="V8584" s="3"/>
      <c r="W8584" s="3">
        <v>2014</v>
      </c>
      <c r="X8584" s="6"/>
    </row>
    <row r="8585" spans="1:24" ht="63.75">
      <c r="A8585" s="3" t="s">
        <v>19647</v>
      </c>
      <c r="B8585" s="6" t="s">
        <v>361</v>
      </c>
      <c r="C8585" s="6" t="s">
        <v>3121</v>
      </c>
      <c r="D8585" s="6" t="s">
        <v>3122</v>
      </c>
      <c r="E8585" s="6" t="s">
        <v>3115</v>
      </c>
      <c r="F8585" s="350" t="s">
        <v>19648</v>
      </c>
      <c r="G8585" s="3" t="s">
        <v>11450</v>
      </c>
      <c r="H8585" s="54">
        <v>0</v>
      </c>
      <c r="I8585" s="16">
        <v>470000000</v>
      </c>
      <c r="J8585" s="157" t="s">
        <v>229</v>
      </c>
      <c r="K8585" s="5" t="s">
        <v>19614</v>
      </c>
      <c r="L8585" s="16" t="s">
        <v>17302</v>
      </c>
      <c r="M8585" s="3"/>
      <c r="N8585" s="6" t="s">
        <v>528</v>
      </c>
      <c r="O8585" s="6" t="s">
        <v>19616</v>
      </c>
      <c r="P8585" s="58" t="s">
        <v>242</v>
      </c>
      <c r="Q8585" s="6" t="s">
        <v>239</v>
      </c>
      <c r="R8585" s="322">
        <v>1</v>
      </c>
      <c r="S8585" s="2">
        <v>25000</v>
      </c>
      <c r="T8585" s="4">
        <f t="shared" si="628"/>
        <v>25000</v>
      </c>
      <c r="U8585" s="4">
        <f t="shared" si="629"/>
        <v>28000.000000000004</v>
      </c>
      <c r="V8585" s="3"/>
      <c r="W8585" s="3">
        <v>2014</v>
      </c>
      <c r="X8585" s="6"/>
    </row>
    <row r="8586" spans="1:24" ht="63.75">
      <c r="A8586" s="3" t="s">
        <v>19649</v>
      </c>
      <c r="B8586" s="6" t="s">
        <v>361</v>
      </c>
      <c r="C8586" s="6" t="s">
        <v>3124</v>
      </c>
      <c r="D8586" s="6" t="s">
        <v>3125</v>
      </c>
      <c r="E8586" s="6" t="s">
        <v>3115</v>
      </c>
      <c r="F8586" s="350" t="s">
        <v>19650</v>
      </c>
      <c r="G8586" s="3" t="s">
        <v>11450</v>
      </c>
      <c r="H8586" s="54">
        <v>0</v>
      </c>
      <c r="I8586" s="16">
        <v>470000000</v>
      </c>
      <c r="J8586" s="157" t="s">
        <v>229</v>
      </c>
      <c r="K8586" s="5" t="s">
        <v>19614</v>
      </c>
      <c r="L8586" s="16" t="s">
        <v>17302</v>
      </c>
      <c r="M8586" s="3"/>
      <c r="N8586" s="6" t="s">
        <v>528</v>
      </c>
      <c r="O8586" s="6" t="s">
        <v>19616</v>
      </c>
      <c r="P8586" s="58" t="s">
        <v>242</v>
      </c>
      <c r="Q8586" s="6" t="s">
        <v>239</v>
      </c>
      <c r="R8586" s="322">
        <v>1</v>
      </c>
      <c r="S8586" s="2">
        <v>25000</v>
      </c>
      <c r="T8586" s="4">
        <f t="shared" si="628"/>
        <v>25000</v>
      </c>
      <c r="U8586" s="4">
        <f t="shared" si="629"/>
        <v>28000.000000000004</v>
      </c>
      <c r="V8586" s="3"/>
      <c r="W8586" s="3">
        <v>2014</v>
      </c>
      <c r="X8586" s="6"/>
    </row>
    <row r="8587" spans="1:24" ht="63.75">
      <c r="A8587" s="3" t="s">
        <v>19651</v>
      </c>
      <c r="B8587" s="6" t="s">
        <v>361</v>
      </c>
      <c r="C8587" s="6" t="s">
        <v>5339</v>
      </c>
      <c r="D8587" s="6" t="s">
        <v>5340</v>
      </c>
      <c r="E8587" s="6" t="s">
        <v>5183</v>
      </c>
      <c r="F8587" s="350" t="s">
        <v>19652</v>
      </c>
      <c r="G8587" s="3" t="s">
        <v>11450</v>
      </c>
      <c r="H8587" s="54">
        <v>0</v>
      </c>
      <c r="I8587" s="16">
        <v>470000000</v>
      </c>
      <c r="J8587" s="157" t="s">
        <v>229</v>
      </c>
      <c r="K8587" s="5" t="s">
        <v>19614</v>
      </c>
      <c r="L8587" s="16" t="s">
        <v>17302</v>
      </c>
      <c r="M8587" s="3"/>
      <c r="N8587" s="6" t="s">
        <v>528</v>
      </c>
      <c r="O8587" s="6" t="s">
        <v>19616</v>
      </c>
      <c r="P8587" s="58">
        <v>796</v>
      </c>
      <c r="Q8587" s="6" t="s">
        <v>234</v>
      </c>
      <c r="R8587" s="322">
        <v>1</v>
      </c>
      <c r="S8587" s="2">
        <v>60000</v>
      </c>
      <c r="T8587" s="4">
        <f t="shared" si="628"/>
        <v>60000</v>
      </c>
      <c r="U8587" s="4">
        <f t="shared" si="629"/>
        <v>67200</v>
      </c>
      <c r="V8587" s="3"/>
      <c r="W8587" s="3">
        <v>2014</v>
      </c>
      <c r="X8587" s="6"/>
    </row>
    <row r="8588" spans="1:24">
      <c r="A8588" s="3"/>
      <c r="B8588" s="231" t="s">
        <v>11397</v>
      </c>
      <c r="C8588" s="16"/>
      <c r="D8588" s="286"/>
      <c r="E8588" s="16"/>
      <c r="F8588" s="6"/>
      <c r="G8588" s="3"/>
      <c r="H8588" s="98"/>
      <c r="I8588" s="16"/>
      <c r="J8588" s="16"/>
      <c r="K8588" s="6"/>
      <c r="L8588" s="16"/>
      <c r="M8588" s="162"/>
      <c r="N8588" s="65"/>
      <c r="O8588" s="6"/>
      <c r="P8588" s="58"/>
      <c r="Q8588" s="6"/>
      <c r="R8588" s="3"/>
      <c r="S8588" s="1"/>
      <c r="T8588" s="190">
        <f>SUM(T21:T8587)</f>
        <v>7261034793.9806747</v>
      </c>
      <c r="U8588" s="190">
        <f>SUM(U21:U8587)</f>
        <v>8132358969.258337</v>
      </c>
      <c r="V8588" s="3"/>
      <c r="W8588" s="3"/>
      <c r="X8588" s="3"/>
    </row>
    <row r="8589" spans="1:24">
      <c r="A8589" s="158"/>
      <c r="B8589" s="140" t="s">
        <v>9436</v>
      </c>
      <c r="C8589" s="205"/>
      <c r="D8589" s="16"/>
      <c r="E8589" s="205"/>
      <c r="F8589" s="6"/>
      <c r="G8589" s="190"/>
      <c r="H8589" s="3"/>
      <c r="I8589" s="3"/>
      <c r="J8589" s="205"/>
      <c r="K8589" s="205"/>
      <c r="L8589" s="232"/>
      <c r="M8589" s="3"/>
      <c r="N8589" s="233"/>
      <c r="O8589" s="205"/>
      <c r="P8589" s="3"/>
      <c r="Q8589" s="190"/>
      <c r="R8589" s="190"/>
      <c r="S8589" s="190"/>
      <c r="T8589" s="234"/>
      <c r="U8589" s="234"/>
      <c r="V8589" s="3"/>
      <c r="W8589" s="3"/>
      <c r="X8589" s="3"/>
    </row>
    <row r="8590" spans="1:24" ht="76.5">
      <c r="A8590" s="3" t="s">
        <v>11154</v>
      </c>
      <c r="B8590" s="15" t="s">
        <v>361</v>
      </c>
      <c r="C8590" s="16" t="s">
        <v>9437</v>
      </c>
      <c r="D8590" s="16" t="s">
        <v>9438</v>
      </c>
      <c r="E8590" s="16" t="s">
        <v>9439</v>
      </c>
      <c r="F8590" s="16" t="s">
        <v>9440</v>
      </c>
      <c r="G8590" s="16" t="s">
        <v>11449</v>
      </c>
      <c r="H8590" s="98">
        <v>0.6</v>
      </c>
      <c r="I8590" s="16">
        <v>470000000</v>
      </c>
      <c r="J8590" s="56" t="s">
        <v>229</v>
      </c>
      <c r="K8590" s="197" t="s">
        <v>641</v>
      </c>
      <c r="L8590" s="16" t="s">
        <v>9441</v>
      </c>
      <c r="M8590" s="162"/>
      <c r="N8590" s="62" t="s">
        <v>9442</v>
      </c>
      <c r="O8590" s="78" t="s">
        <v>9443</v>
      </c>
      <c r="P8590" s="3"/>
      <c r="Q8590" s="190"/>
      <c r="R8590" s="190"/>
      <c r="S8590" s="190"/>
      <c r="T8590" s="4">
        <v>0</v>
      </c>
      <c r="U8590" s="4">
        <f t="shared" ref="U8590:U8653" si="630">T8590*1.12</f>
        <v>0</v>
      </c>
      <c r="V8590" s="79"/>
      <c r="W8590" s="3">
        <v>2014</v>
      </c>
      <c r="X8590" s="3">
        <v>11.14</v>
      </c>
    </row>
    <row r="8591" spans="1:24" ht="76.5">
      <c r="A8591" s="3" t="s">
        <v>12449</v>
      </c>
      <c r="B8591" s="15" t="s">
        <v>361</v>
      </c>
      <c r="C8591" s="16" t="s">
        <v>9437</v>
      </c>
      <c r="D8591" s="16" t="s">
        <v>9438</v>
      </c>
      <c r="E8591" s="16" t="s">
        <v>9439</v>
      </c>
      <c r="F8591" s="16" t="s">
        <v>9440</v>
      </c>
      <c r="G8591" s="16" t="s">
        <v>11449</v>
      </c>
      <c r="H8591" s="98">
        <v>0.6</v>
      </c>
      <c r="I8591" s="16">
        <v>470000000</v>
      </c>
      <c r="J8591" s="56" t="s">
        <v>229</v>
      </c>
      <c r="K8591" s="197" t="s">
        <v>642</v>
      </c>
      <c r="L8591" s="16" t="s">
        <v>9441</v>
      </c>
      <c r="M8591" s="162"/>
      <c r="N8591" s="62" t="s">
        <v>12450</v>
      </c>
      <c r="O8591" s="78" t="s">
        <v>9443</v>
      </c>
      <c r="P8591" s="3"/>
      <c r="Q8591" s="190"/>
      <c r="R8591" s="190"/>
      <c r="S8591" s="190"/>
      <c r="T8591" s="4">
        <v>0</v>
      </c>
      <c r="U8591" s="4">
        <f>T8591*1.12</f>
        <v>0</v>
      </c>
      <c r="V8591" s="79"/>
      <c r="W8591" s="3">
        <v>2014</v>
      </c>
      <c r="X8591" s="3">
        <v>11</v>
      </c>
    </row>
    <row r="8592" spans="1:24" ht="76.5">
      <c r="A8592" s="3" t="s">
        <v>14287</v>
      </c>
      <c r="B8592" s="15" t="s">
        <v>361</v>
      </c>
      <c r="C8592" s="16" t="s">
        <v>9437</v>
      </c>
      <c r="D8592" s="16" t="s">
        <v>9438</v>
      </c>
      <c r="E8592" s="16" t="s">
        <v>9439</v>
      </c>
      <c r="F8592" s="16" t="s">
        <v>9440</v>
      </c>
      <c r="G8592" s="16" t="s">
        <v>11449</v>
      </c>
      <c r="H8592" s="98">
        <v>0.6</v>
      </c>
      <c r="I8592" s="16">
        <v>470000000</v>
      </c>
      <c r="J8592" s="56" t="s">
        <v>229</v>
      </c>
      <c r="K8592" s="197" t="s">
        <v>15870</v>
      </c>
      <c r="L8592" s="16" t="s">
        <v>9441</v>
      </c>
      <c r="M8592" s="162"/>
      <c r="N8592" s="62" t="s">
        <v>12450</v>
      </c>
      <c r="O8592" s="78" t="s">
        <v>9443</v>
      </c>
      <c r="P8592" s="3"/>
      <c r="Q8592" s="190"/>
      <c r="R8592" s="190"/>
      <c r="S8592" s="190"/>
      <c r="T8592" s="4">
        <v>0</v>
      </c>
      <c r="U8592" s="4">
        <f>T8592*1.12</f>
        <v>0</v>
      </c>
      <c r="V8592" s="79"/>
      <c r="W8592" s="3">
        <v>2014</v>
      </c>
      <c r="X8592" s="3" t="s">
        <v>12076</v>
      </c>
    </row>
    <row r="8593" spans="1:24" ht="76.5">
      <c r="A8593" s="3" t="s">
        <v>11155</v>
      </c>
      <c r="B8593" s="15" t="s">
        <v>361</v>
      </c>
      <c r="C8593" s="16" t="s">
        <v>9437</v>
      </c>
      <c r="D8593" s="16" t="s">
        <v>9438</v>
      </c>
      <c r="E8593" s="16" t="s">
        <v>9439</v>
      </c>
      <c r="F8593" s="16" t="s">
        <v>9444</v>
      </c>
      <c r="G8593" s="16" t="s">
        <v>11449</v>
      </c>
      <c r="H8593" s="98">
        <v>0.6</v>
      </c>
      <c r="I8593" s="16">
        <v>470000000</v>
      </c>
      <c r="J8593" s="56" t="s">
        <v>229</v>
      </c>
      <c r="K8593" s="197" t="s">
        <v>641</v>
      </c>
      <c r="L8593" s="16" t="s">
        <v>9441</v>
      </c>
      <c r="M8593" s="162"/>
      <c r="N8593" s="62" t="s">
        <v>9445</v>
      </c>
      <c r="O8593" s="78" t="s">
        <v>9443</v>
      </c>
      <c r="P8593" s="3"/>
      <c r="Q8593" s="5"/>
      <c r="R8593" s="5"/>
      <c r="S8593" s="5"/>
      <c r="T8593" s="4">
        <v>0</v>
      </c>
      <c r="U8593" s="4">
        <f t="shared" si="630"/>
        <v>0</v>
      </c>
      <c r="V8593" s="79"/>
      <c r="W8593" s="3">
        <v>2014</v>
      </c>
      <c r="X8593" s="3">
        <v>11</v>
      </c>
    </row>
    <row r="8594" spans="1:24" ht="76.5">
      <c r="A8594" s="3" t="s">
        <v>12451</v>
      </c>
      <c r="B8594" s="15" t="s">
        <v>361</v>
      </c>
      <c r="C8594" s="16" t="s">
        <v>9437</v>
      </c>
      <c r="D8594" s="16" t="s">
        <v>9438</v>
      </c>
      <c r="E8594" s="16" t="s">
        <v>9439</v>
      </c>
      <c r="F8594" s="16" t="s">
        <v>9444</v>
      </c>
      <c r="G8594" s="16" t="s">
        <v>11449</v>
      </c>
      <c r="H8594" s="98">
        <v>0.6</v>
      </c>
      <c r="I8594" s="16">
        <v>470000000</v>
      </c>
      <c r="J8594" s="56" t="s">
        <v>229</v>
      </c>
      <c r="K8594" s="197" t="s">
        <v>642</v>
      </c>
      <c r="L8594" s="16" t="s">
        <v>9441</v>
      </c>
      <c r="M8594" s="162"/>
      <c r="N8594" s="62" t="s">
        <v>9445</v>
      </c>
      <c r="O8594" s="78" t="s">
        <v>9443</v>
      </c>
      <c r="P8594" s="3"/>
      <c r="Q8594" s="5"/>
      <c r="R8594" s="5"/>
      <c r="S8594" s="5"/>
      <c r="T8594" s="4">
        <v>0</v>
      </c>
      <c r="U8594" s="4">
        <f>T8594*1.12</f>
        <v>0</v>
      </c>
      <c r="V8594" s="79"/>
      <c r="W8594" s="3">
        <v>2014</v>
      </c>
      <c r="X8594" s="3">
        <v>11</v>
      </c>
    </row>
    <row r="8595" spans="1:24" ht="76.5">
      <c r="A8595" s="3" t="s">
        <v>14288</v>
      </c>
      <c r="B8595" s="15" t="s">
        <v>361</v>
      </c>
      <c r="C8595" s="16" t="s">
        <v>9437</v>
      </c>
      <c r="D8595" s="16" t="s">
        <v>9438</v>
      </c>
      <c r="E8595" s="16" t="s">
        <v>9439</v>
      </c>
      <c r="F8595" s="16" t="s">
        <v>9444</v>
      </c>
      <c r="G8595" s="16" t="s">
        <v>11449</v>
      </c>
      <c r="H8595" s="98">
        <v>0.6</v>
      </c>
      <c r="I8595" s="16">
        <v>470000000</v>
      </c>
      <c r="J8595" s="56" t="s">
        <v>229</v>
      </c>
      <c r="K8595" s="197" t="s">
        <v>15870</v>
      </c>
      <c r="L8595" s="16" t="s">
        <v>9441</v>
      </c>
      <c r="M8595" s="162"/>
      <c r="N8595" s="62" t="s">
        <v>9445</v>
      </c>
      <c r="O8595" s="78" t="s">
        <v>9443</v>
      </c>
      <c r="P8595" s="3"/>
      <c r="Q8595" s="5"/>
      <c r="R8595" s="5"/>
      <c r="S8595" s="5"/>
      <c r="T8595" s="4">
        <v>0</v>
      </c>
      <c r="U8595" s="4">
        <f>T8595*1.12</f>
        <v>0</v>
      </c>
      <c r="V8595" s="79"/>
      <c r="W8595" s="3">
        <v>2014</v>
      </c>
      <c r="X8595" s="3" t="s">
        <v>12076</v>
      </c>
    </row>
    <row r="8596" spans="1:24" ht="89.25">
      <c r="A8596" s="3" t="s">
        <v>11156</v>
      </c>
      <c r="B8596" s="15" t="s">
        <v>361</v>
      </c>
      <c r="C8596" s="16" t="s">
        <v>9446</v>
      </c>
      <c r="D8596" s="16" t="s">
        <v>9447</v>
      </c>
      <c r="E8596" s="16" t="s">
        <v>9448</v>
      </c>
      <c r="F8596" s="16" t="s">
        <v>9449</v>
      </c>
      <c r="G8596" s="16" t="s">
        <v>11449</v>
      </c>
      <c r="H8596" s="67">
        <v>0.4</v>
      </c>
      <c r="I8596" s="16">
        <v>470000000</v>
      </c>
      <c r="J8596" s="56" t="s">
        <v>229</v>
      </c>
      <c r="K8596" s="197" t="s">
        <v>641</v>
      </c>
      <c r="L8596" s="16" t="s">
        <v>606</v>
      </c>
      <c r="M8596" s="162"/>
      <c r="N8596" s="62" t="s">
        <v>9450</v>
      </c>
      <c r="O8596" s="78" t="s">
        <v>9443</v>
      </c>
      <c r="P8596" s="3"/>
      <c r="Q8596" s="190"/>
      <c r="R8596" s="190"/>
      <c r="S8596" s="190"/>
      <c r="T8596" s="4">
        <v>0</v>
      </c>
      <c r="U8596" s="4">
        <f t="shared" si="630"/>
        <v>0</v>
      </c>
      <c r="V8596" s="79"/>
      <c r="W8596" s="3">
        <v>2014</v>
      </c>
      <c r="X8596" s="3">
        <v>11</v>
      </c>
    </row>
    <row r="8597" spans="1:24" ht="89.25">
      <c r="A8597" s="3" t="s">
        <v>14289</v>
      </c>
      <c r="B8597" s="15" t="s">
        <v>361</v>
      </c>
      <c r="C8597" s="16" t="s">
        <v>9446</v>
      </c>
      <c r="D8597" s="16" t="s">
        <v>9447</v>
      </c>
      <c r="E8597" s="16" t="s">
        <v>9448</v>
      </c>
      <c r="F8597" s="16" t="s">
        <v>9449</v>
      </c>
      <c r="G8597" s="16" t="s">
        <v>11449</v>
      </c>
      <c r="H8597" s="67">
        <v>0.4</v>
      </c>
      <c r="I8597" s="16">
        <v>470000000</v>
      </c>
      <c r="J8597" s="56" t="s">
        <v>229</v>
      </c>
      <c r="K8597" s="197" t="s">
        <v>15870</v>
      </c>
      <c r="L8597" s="16" t="s">
        <v>606</v>
      </c>
      <c r="M8597" s="162"/>
      <c r="N8597" s="62" t="s">
        <v>9450</v>
      </c>
      <c r="O8597" s="78" t="s">
        <v>9443</v>
      </c>
      <c r="P8597" s="3"/>
      <c r="Q8597" s="190"/>
      <c r="R8597" s="190"/>
      <c r="S8597" s="190"/>
      <c r="T8597" s="4">
        <v>0</v>
      </c>
      <c r="U8597" s="4">
        <f>T8597*1.12</f>
        <v>0</v>
      </c>
      <c r="V8597" s="79"/>
      <c r="W8597" s="3">
        <v>2014</v>
      </c>
      <c r="X8597" s="3">
        <v>11</v>
      </c>
    </row>
    <row r="8598" spans="1:24" ht="89.25">
      <c r="A8598" s="3" t="s">
        <v>18375</v>
      </c>
      <c r="B8598" s="15" t="s">
        <v>361</v>
      </c>
      <c r="C8598" s="16" t="s">
        <v>9446</v>
      </c>
      <c r="D8598" s="16" t="s">
        <v>9447</v>
      </c>
      <c r="E8598" s="16" t="s">
        <v>9448</v>
      </c>
      <c r="F8598" s="16" t="s">
        <v>9449</v>
      </c>
      <c r="G8598" s="16" t="s">
        <v>11449</v>
      </c>
      <c r="H8598" s="67">
        <v>0.4</v>
      </c>
      <c r="I8598" s="16">
        <v>470000000</v>
      </c>
      <c r="J8598" s="56" t="s">
        <v>229</v>
      </c>
      <c r="K8598" s="197" t="s">
        <v>16428</v>
      </c>
      <c r="L8598" s="16" t="s">
        <v>606</v>
      </c>
      <c r="M8598" s="162"/>
      <c r="N8598" s="62" t="s">
        <v>9450</v>
      </c>
      <c r="O8598" s="78" t="s">
        <v>9443</v>
      </c>
      <c r="P8598" s="3"/>
      <c r="Q8598" s="190"/>
      <c r="R8598" s="190"/>
      <c r="S8598" s="190"/>
      <c r="T8598" s="1">
        <v>0</v>
      </c>
      <c r="U8598" s="1">
        <f>T8598*1.12</f>
        <v>0</v>
      </c>
      <c r="V8598" s="79"/>
      <c r="W8598" s="3">
        <v>2014</v>
      </c>
      <c r="X8598" s="3">
        <v>11</v>
      </c>
    </row>
    <row r="8599" spans="1:24" ht="89.25">
      <c r="A8599" s="3" t="s">
        <v>18463</v>
      </c>
      <c r="B8599" s="15" t="s">
        <v>361</v>
      </c>
      <c r="C8599" s="16" t="s">
        <v>9446</v>
      </c>
      <c r="D8599" s="16" t="s">
        <v>9447</v>
      </c>
      <c r="E8599" s="16" t="s">
        <v>9448</v>
      </c>
      <c r="F8599" s="16" t="s">
        <v>9449</v>
      </c>
      <c r="G8599" s="16" t="s">
        <v>11449</v>
      </c>
      <c r="H8599" s="67">
        <v>0.4</v>
      </c>
      <c r="I8599" s="16">
        <v>470000000</v>
      </c>
      <c r="J8599" s="56" t="s">
        <v>229</v>
      </c>
      <c r="K8599" s="197" t="s">
        <v>15646</v>
      </c>
      <c r="L8599" s="16" t="s">
        <v>606</v>
      </c>
      <c r="M8599" s="162"/>
      <c r="N8599" s="62" t="s">
        <v>9450</v>
      </c>
      <c r="O8599" s="78" t="s">
        <v>9443</v>
      </c>
      <c r="P8599" s="3"/>
      <c r="Q8599" s="190"/>
      <c r="R8599" s="190"/>
      <c r="S8599" s="190"/>
      <c r="T8599" s="4">
        <v>0</v>
      </c>
      <c r="U8599" s="4">
        <f>T8599*1.12</f>
        <v>0</v>
      </c>
      <c r="V8599" s="79"/>
      <c r="W8599" s="3">
        <v>2014</v>
      </c>
      <c r="X8599" s="3" t="s">
        <v>18965</v>
      </c>
    </row>
    <row r="8600" spans="1:24" ht="89.25">
      <c r="A8600" s="3" t="s">
        <v>18898</v>
      </c>
      <c r="B8600" s="15" t="s">
        <v>361</v>
      </c>
      <c r="C8600" s="16" t="s">
        <v>9446</v>
      </c>
      <c r="D8600" s="16" t="s">
        <v>9447</v>
      </c>
      <c r="E8600" s="16" t="s">
        <v>9448</v>
      </c>
      <c r="F8600" s="16" t="s">
        <v>18899</v>
      </c>
      <c r="G8600" s="16" t="s">
        <v>11450</v>
      </c>
      <c r="H8600" s="67">
        <v>0.4</v>
      </c>
      <c r="I8600" s="16">
        <v>470000000</v>
      </c>
      <c r="J8600" s="56" t="s">
        <v>229</v>
      </c>
      <c r="K8600" s="197" t="s">
        <v>15646</v>
      </c>
      <c r="L8600" s="16" t="s">
        <v>606</v>
      </c>
      <c r="M8600" s="162"/>
      <c r="N8600" s="62" t="s">
        <v>18900</v>
      </c>
      <c r="O8600" s="78" t="s">
        <v>9443</v>
      </c>
      <c r="P8600" s="3"/>
      <c r="Q8600" s="190"/>
      <c r="R8600" s="190"/>
      <c r="S8600" s="190"/>
      <c r="T8600" s="1">
        <v>4257951</v>
      </c>
      <c r="U8600" s="1">
        <f>T8600*1.12</f>
        <v>4768905.12</v>
      </c>
      <c r="V8600" s="79"/>
      <c r="W8600" s="3">
        <v>2014</v>
      </c>
      <c r="X8600" s="3"/>
    </row>
    <row r="8601" spans="1:24" ht="89.25">
      <c r="A8601" s="3" t="s">
        <v>11157</v>
      </c>
      <c r="B8601" s="15" t="s">
        <v>361</v>
      </c>
      <c r="C8601" s="16" t="s">
        <v>9446</v>
      </c>
      <c r="D8601" s="16" t="s">
        <v>9447</v>
      </c>
      <c r="E8601" s="16" t="s">
        <v>9448</v>
      </c>
      <c r="F8601" s="16" t="s">
        <v>9451</v>
      </c>
      <c r="G8601" s="16" t="s">
        <v>11449</v>
      </c>
      <c r="H8601" s="67">
        <v>0.4</v>
      </c>
      <c r="I8601" s="16">
        <v>470000000</v>
      </c>
      <c r="J8601" s="56" t="s">
        <v>229</v>
      </c>
      <c r="K8601" s="197" t="s">
        <v>641</v>
      </c>
      <c r="L8601" s="16" t="s">
        <v>612</v>
      </c>
      <c r="M8601" s="162"/>
      <c r="N8601" s="62" t="s">
        <v>9450</v>
      </c>
      <c r="O8601" s="78" t="s">
        <v>9443</v>
      </c>
      <c r="P8601" s="3"/>
      <c r="Q8601" s="5"/>
      <c r="R8601" s="5"/>
      <c r="S8601" s="1"/>
      <c r="T8601" s="4">
        <v>0</v>
      </c>
      <c r="U8601" s="4">
        <f t="shared" si="630"/>
        <v>0</v>
      </c>
      <c r="V8601" s="79"/>
      <c r="W8601" s="3">
        <v>2014</v>
      </c>
      <c r="X8601" s="3">
        <v>11</v>
      </c>
    </row>
    <row r="8602" spans="1:24" ht="89.25">
      <c r="A8602" s="3" t="s">
        <v>14290</v>
      </c>
      <c r="B8602" s="15" t="s">
        <v>361</v>
      </c>
      <c r="C8602" s="16" t="s">
        <v>9446</v>
      </c>
      <c r="D8602" s="16" t="s">
        <v>9447</v>
      </c>
      <c r="E8602" s="16" t="s">
        <v>9448</v>
      </c>
      <c r="F8602" s="16" t="s">
        <v>9451</v>
      </c>
      <c r="G8602" s="16" t="s">
        <v>11449</v>
      </c>
      <c r="H8602" s="67">
        <v>0.4</v>
      </c>
      <c r="I8602" s="16">
        <v>470000000</v>
      </c>
      <c r="J8602" s="56" t="s">
        <v>229</v>
      </c>
      <c r="K8602" s="197" t="s">
        <v>15870</v>
      </c>
      <c r="L8602" s="16" t="s">
        <v>612</v>
      </c>
      <c r="M8602" s="162"/>
      <c r="N8602" s="62" t="s">
        <v>9450</v>
      </c>
      <c r="O8602" s="78" t="s">
        <v>9443</v>
      </c>
      <c r="P8602" s="3"/>
      <c r="Q8602" s="5"/>
      <c r="R8602" s="5"/>
      <c r="S8602" s="1"/>
      <c r="T8602" s="4">
        <v>0</v>
      </c>
      <c r="U8602" s="4">
        <f>T8602*1.12</f>
        <v>0</v>
      </c>
      <c r="V8602" s="79"/>
      <c r="W8602" s="3">
        <v>2014</v>
      </c>
      <c r="X8602" s="3">
        <v>11</v>
      </c>
    </row>
    <row r="8603" spans="1:24" ht="89.25">
      <c r="A8603" s="3" t="s">
        <v>18376</v>
      </c>
      <c r="B8603" s="15" t="s">
        <v>361</v>
      </c>
      <c r="C8603" s="16" t="s">
        <v>9446</v>
      </c>
      <c r="D8603" s="16" t="s">
        <v>9447</v>
      </c>
      <c r="E8603" s="16" t="s">
        <v>9448</v>
      </c>
      <c r="F8603" s="16" t="s">
        <v>9451</v>
      </c>
      <c r="G8603" s="16" t="s">
        <v>11449</v>
      </c>
      <c r="H8603" s="67">
        <v>0.4</v>
      </c>
      <c r="I8603" s="16">
        <v>470000000</v>
      </c>
      <c r="J8603" s="56" t="s">
        <v>229</v>
      </c>
      <c r="K8603" s="197" t="s">
        <v>16428</v>
      </c>
      <c r="L8603" s="16" t="s">
        <v>612</v>
      </c>
      <c r="M8603" s="162"/>
      <c r="N8603" s="62" t="s">
        <v>9450</v>
      </c>
      <c r="O8603" s="78" t="s">
        <v>9443</v>
      </c>
      <c r="P8603" s="3"/>
      <c r="Q8603" s="5"/>
      <c r="R8603" s="5"/>
      <c r="S8603" s="1"/>
      <c r="T8603" s="1">
        <v>0</v>
      </c>
      <c r="U8603" s="1">
        <f>T8603*1.12</f>
        <v>0</v>
      </c>
      <c r="V8603" s="79"/>
      <c r="W8603" s="3">
        <v>2014</v>
      </c>
      <c r="X8603" s="3">
        <v>11</v>
      </c>
    </row>
    <row r="8604" spans="1:24" ht="89.25">
      <c r="A8604" s="3" t="s">
        <v>18464</v>
      </c>
      <c r="B8604" s="15" t="s">
        <v>361</v>
      </c>
      <c r="C8604" s="16" t="s">
        <v>9446</v>
      </c>
      <c r="D8604" s="16" t="s">
        <v>9447</v>
      </c>
      <c r="E8604" s="16" t="s">
        <v>9448</v>
      </c>
      <c r="F8604" s="16" t="s">
        <v>9451</v>
      </c>
      <c r="G8604" s="16" t="s">
        <v>11449</v>
      </c>
      <c r="H8604" s="67">
        <v>0.4</v>
      </c>
      <c r="I8604" s="16">
        <v>470000000</v>
      </c>
      <c r="J8604" s="56" t="s">
        <v>229</v>
      </c>
      <c r="K8604" s="197" t="s">
        <v>15646</v>
      </c>
      <c r="L8604" s="16" t="s">
        <v>612</v>
      </c>
      <c r="M8604" s="162"/>
      <c r="N8604" s="62" t="s">
        <v>9450</v>
      </c>
      <c r="O8604" s="78" t="s">
        <v>9443</v>
      </c>
      <c r="P8604" s="3"/>
      <c r="Q8604" s="5"/>
      <c r="R8604" s="5"/>
      <c r="S8604" s="1"/>
      <c r="T8604" s="4">
        <v>0</v>
      </c>
      <c r="U8604" s="4">
        <f>T8604*1.12</f>
        <v>0</v>
      </c>
      <c r="V8604" s="79"/>
      <c r="W8604" s="3">
        <v>2014</v>
      </c>
      <c r="X8604" s="3" t="s">
        <v>18965</v>
      </c>
    </row>
    <row r="8605" spans="1:24" ht="89.25">
      <c r="A8605" s="3" t="s">
        <v>18901</v>
      </c>
      <c r="B8605" s="15" t="s">
        <v>361</v>
      </c>
      <c r="C8605" s="16" t="s">
        <v>9446</v>
      </c>
      <c r="D8605" s="16" t="s">
        <v>9447</v>
      </c>
      <c r="E8605" s="16" t="s">
        <v>9448</v>
      </c>
      <c r="F8605" s="16" t="s">
        <v>18899</v>
      </c>
      <c r="G8605" s="16" t="s">
        <v>11450</v>
      </c>
      <c r="H8605" s="67">
        <v>0.4</v>
      </c>
      <c r="I8605" s="16">
        <v>470000000</v>
      </c>
      <c r="J8605" s="56" t="s">
        <v>229</v>
      </c>
      <c r="K8605" s="197" t="s">
        <v>15646</v>
      </c>
      <c r="L8605" s="16" t="s">
        <v>612</v>
      </c>
      <c r="M8605" s="162"/>
      <c r="N8605" s="62" t="s">
        <v>18900</v>
      </c>
      <c r="O8605" s="78" t="s">
        <v>9443</v>
      </c>
      <c r="P8605" s="3"/>
      <c r="Q8605" s="5"/>
      <c r="R8605" s="5"/>
      <c r="S8605" s="1"/>
      <c r="T8605" s="1">
        <v>4257951</v>
      </c>
      <c r="U8605" s="1">
        <f>T8605*1.12</f>
        <v>4768905.12</v>
      </c>
      <c r="V8605" s="79"/>
      <c r="W8605" s="3">
        <v>2014</v>
      </c>
      <c r="X8605" s="3"/>
    </row>
    <row r="8606" spans="1:24" ht="89.25">
      <c r="A8606" s="3" t="s">
        <v>11158</v>
      </c>
      <c r="B8606" s="56" t="s">
        <v>361</v>
      </c>
      <c r="C8606" s="16" t="s">
        <v>11673</v>
      </c>
      <c r="D8606" s="16" t="s">
        <v>11674</v>
      </c>
      <c r="E8606" s="16" t="s">
        <v>11675</v>
      </c>
      <c r="F8606" s="16" t="s">
        <v>9452</v>
      </c>
      <c r="G8606" s="198" t="s">
        <v>605</v>
      </c>
      <c r="H8606" s="67">
        <v>0.6</v>
      </c>
      <c r="I8606" s="16">
        <v>470000000</v>
      </c>
      <c r="J8606" s="16" t="s">
        <v>229</v>
      </c>
      <c r="K8606" s="6" t="s">
        <v>9453</v>
      </c>
      <c r="L8606" s="16" t="s">
        <v>9441</v>
      </c>
      <c r="M8606" s="79"/>
      <c r="N8606" s="65" t="s">
        <v>9454</v>
      </c>
      <c r="O8606" s="162" t="s">
        <v>9443</v>
      </c>
      <c r="P8606" s="79"/>
      <c r="Q8606" s="79"/>
      <c r="R8606" s="79"/>
      <c r="S8606" s="79"/>
      <c r="T8606" s="4">
        <v>0</v>
      </c>
      <c r="U8606" s="4">
        <f t="shared" si="630"/>
        <v>0</v>
      </c>
      <c r="V8606" s="79"/>
      <c r="W8606" s="3">
        <v>2014</v>
      </c>
      <c r="X8606" s="79" t="s">
        <v>11822</v>
      </c>
    </row>
    <row r="8607" spans="1:24" ht="89.25">
      <c r="A8607" s="3" t="s">
        <v>17857</v>
      </c>
      <c r="B8607" s="56" t="s">
        <v>361</v>
      </c>
      <c r="C8607" s="16" t="s">
        <v>11673</v>
      </c>
      <c r="D8607" s="16" t="s">
        <v>11674</v>
      </c>
      <c r="E8607" s="16" t="s">
        <v>11675</v>
      </c>
      <c r="F8607" s="16" t="s">
        <v>9452</v>
      </c>
      <c r="G8607" s="198" t="s">
        <v>605</v>
      </c>
      <c r="H8607" s="67">
        <v>0.6</v>
      </c>
      <c r="I8607" s="16">
        <v>470000000</v>
      </c>
      <c r="J8607" s="16" t="s">
        <v>229</v>
      </c>
      <c r="K8607" s="6" t="s">
        <v>15646</v>
      </c>
      <c r="L8607" s="16" t="s">
        <v>9441</v>
      </c>
      <c r="M8607" s="79"/>
      <c r="N8607" s="65" t="s">
        <v>9454</v>
      </c>
      <c r="O8607" s="162" t="s">
        <v>9443</v>
      </c>
      <c r="P8607" s="79"/>
      <c r="Q8607" s="79"/>
      <c r="R8607" s="79"/>
      <c r="S8607" s="79"/>
      <c r="T8607" s="1">
        <v>1610672</v>
      </c>
      <c r="U8607" s="1">
        <f t="shared" si="630"/>
        <v>1803952.6400000001</v>
      </c>
      <c r="V8607" s="79"/>
      <c r="W8607" s="3">
        <v>2014</v>
      </c>
      <c r="X8607" s="79"/>
    </row>
    <row r="8608" spans="1:24" ht="255">
      <c r="A8608" s="3" t="s">
        <v>11159</v>
      </c>
      <c r="B8608" s="56" t="s">
        <v>361</v>
      </c>
      <c r="C8608" s="16" t="s">
        <v>9455</v>
      </c>
      <c r="D8608" s="16" t="s">
        <v>9456</v>
      </c>
      <c r="E8608" s="16" t="s">
        <v>9457</v>
      </c>
      <c r="F8608" s="16" t="s">
        <v>9458</v>
      </c>
      <c r="G8608" s="198" t="s">
        <v>11450</v>
      </c>
      <c r="H8608" s="67">
        <v>0.6</v>
      </c>
      <c r="I8608" s="16">
        <v>470000000</v>
      </c>
      <c r="J8608" s="16" t="s">
        <v>229</v>
      </c>
      <c r="K8608" s="6" t="s">
        <v>642</v>
      </c>
      <c r="L8608" s="16" t="s">
        <v>9441</v>
      </c>
      <c r="M8608" s="79"/>
      <c r="N8608" s="65" t="s">
        <v>9454</v>
      </c>
      <c r="O8608" s="162" t="s">
        <v>9443</v>
      </c>
      <c r="P8608" s="79"/>
      <c r="Q8608" s="79"/>
      <c r="R8608" s="79"/>
      <c r="S8608" s="79"/>
      <c r="T8608" s="4">
        <v>0</v>
      </c>
      <c r="U8608" s="4">
        <f t="shared" si="630"/>
        <v>0</v>
      </c>
      <c r="V8608" s="79"/>
      <c r="W8608" s="3">
        <v>2014</v>
      </c>
      <c r="X8608" s="3">
        <v>12</v>
      </c>
    </row>
    <row r="8609" spans="1:24" ht="255">
      <c r="A8609" s="3" t="s">
        <v>14106</v>
      </c>
      <c r="B8609" s="56" t="s">
        <v>361</v>
      </c>
      <c r="C8609" s="16" t="s">
        <v>9455</v>
      </c>
      <c r="D8609" s="16" t="s">
        <v>9456</v>
      </c>
      <c r="E8609" s="16" t="s">
        <v>9457</v>
      </c>
      <c r="F8609" s="16" t="s">
        <v>9458</v>
      </c>
      <c r="G8609" s="198" t="s">
        <v>11450</v>
      </c>
      <c r="H8609" s="67">
        <v>0.6</v>
      </c>
      <c r="I8609" s="16">
        <v>470000000</v>
      </c>
      <c r="J8609" s="16" t="s">
        <v>229</v>
      </c>
      <c r="K8609" s="6" t="s">
        <v>642</v>
      </c>
      <c r="L8609" s="16" t="s">
        <v>14107</v>
      </c>
      <c r="M8609" s="79"/>
      <c r="N8609" s="65" t="s">
        <v>9454</v>
      </c>
      <c r="O8609" s="162" t="s">
        <v>9443</v>
      </c>
      <c r="P8609" s="79"/>
      <c r="Q8609" s="79"/>
      <c r="R8609" s="79"/>
      <c r="S8609" s="79"/>
      <c r="T8609" s="1">
        <v>3500000</v>
      </c>
      <c r="U8609" s="1">
        <f>T8609*1.12</f>
        <v>3920000.0000000005</v>
      </c>
      <c r="V8609" s="79"/>
      <c r="W8609" s="3">
        <v>2014</v>
      </c>
      <c r="X8609" s="3"/>
    </row>
    <row r="8610" spans="1:24" ht="63.75">
      <c r="A8610" s="3" t="s">
        <v>11160</v>
      </c>
      <c r="B8610" s="56" t="s">
        <v>361</v>
      </c>
      <c r="C8610" s="16" t="s">
        <v>11676</v>
      </c>
      <c r="D8610" s="16" t="s">
        <v>11677</v>
      </c>
      <c r="E8610" s="16" t="s">
        <v>11678</v>
      </c>
      <c r="F8610" s="16"/>
      <c r="G8610" s="198" t="s">
        <v>605</v>
      </c>
      <c r="H8610" s="67">
        <v>0.65</v>
      </c>
      <c r="I8610" s="16">
        <v>470000000</v>
      </c>
      <c r="J8610" s="16" t="s">
        <v>229</v>
      </c>
      <c r="K8610" s="56" t="s">
        <v>9459</v>
      </c>
      <c r="L8610" s="16" t="s">
        <v>9441</v>
      </c>
      <c r="M8610" s="79"/>
      <c r="N8610" s="65" t="s">
        <v>9454</v>
      </c>
      <c r="O8610" s="162" t="s">
        <v>9443</v>
      </c>
      <c r="P8610" s="79"/>
      <c r="Q8610" s="79"/>
      <c r="R8610" s="79"/>
      <c r="S8610" s="79"/>
      <c r="T8610" s="1">
        <v>19571860</v>
      </c>
      <c r="U8610" s="1">
        <f t="shared" si="630"/>
        <v>21920483.200000003</v>
      </c>
      <c r="V8610" s="79" t="s">
        <v>610</v>
      </c>
      <c r="W8610" s="3">
        <v>2014</v>
      </c>
      <c r="X8610" s="79"/>
    </row>
    <row r="8611" spans="1:24" ht="89.25">
      <c r="A8611" s="3" t="s">
        <v>11161</v>
      </c>
      <c r="B8611" s="56" t="s">
        <v>361</v>
      </c>
      <c r="C8611" s="16" t="s">
        <v>9460</v>
      </c>
      <c r="D8611" s="16" t="s">
        <v>9461</v>
      </c>
      <c r="E8611" s="16" t="s">
        <v>9462</v>
      </c>
      <c r="F8611" s="15" t="s">
        <v>9463</v>
      </c>
      <c r="G8611" s="198" t="s">
        <v>11449</v>
      </c>
      <c r="H8611" s="67">
        <v>0.4</v>
      </c>
      <c r="I8611" s="16">
        <v>470000000</v>
      </c>
      <c r="J8611" s="16" t="s">
        <v>229</v>
      </c>
      <c r="K8611" s="56" t="s">
        <v>9170</v>
      </c>
      <c r="L8611" s="16" t="s">
        <v>9464</v>
      </c>
      <c r="M8611" s="79"/>
      <c r="N8611" s="65" t="s">
        <v>9454</v>
      </c>
      <c r="O8611" s="162" t="s">
        <v>9443</v>
      </c>
      <c r="P8611" s="79"/>
      <c r="Q8611" s="79"/>
      <c r="R8611" s="79"/>
      <c r="S8611" s="1"/>
      <c r="T8611" s="235">
        <v>0</v>
      </c>
      <c r="U8611" s="235">
        <f t="shared" si="630"/>
        <v>0</v>
      </c>
      <c r="V8611" s="79"/>
      <c r="W8611" s="3">
        <v>2014</v>
      </c>
      <c r="X8611" s="79">
        <v>11.14</v>
      </c>
    </row>
    <row r="8612" spans="1:24" ht="89.25">
      <c r="A8612" s="3" t="s">
        <v>12452</v>
      </c>
      <c r="B8612" s="56" t="s">
        <v>361</v>
      </c>
      <c r="C8612" s="16" t="s">
        <v>9460</v>
      </c>
      <c r="D8612" s="16" t="s">
        <v>9461</v>
      </c>
      <c r="E8612" s="16" t="s">
        <v>9462</v>
      </c>
      <c r="F8612" s="15" t="s">
        <v>9463</v>
      </c>
      <c r="G8612" s="198" t="s">
        <v>11449</v>
      </c>
      <c r="H8612" s="67">
        <v>0.4</v>
      </c>
      <c r="I8612" s="16">
        <v>470000000</v>
      </c>
      <c r="J8612" s="16" t="s">
        <v>229</v>
      </c>
      <c r="K8612" s="56" t="s">
        <v>12453</v>
      </c>
      <c r="L8612" s="16" t="s">
        <v>9464</v>
      </c>
      <c r="M8612" s="79"/>
      <c r="N8612" s="65" t="s">
        <v>12416</v>
      </c>
      <c r="O8612" s="162" t="s">
        <v>9443</v>
      </c>
      <c r="P8612" s="79"/>
      <c r="Q8612" s="79"/>
      <c r="R8612" s="79"/>
      <c r="S8612" s="1"/>
      <c r="T8612" s="235">
        <v>0</v>
      </c>
      <c r="U8612" s="235">
        <f t="shared" si="630"/>
        <v>0</v>
      </c>
      <c r="V8612" s="79"/>
      <c r="W8612" s="3">
        <v>2014</v>
      </c>
      <c r="X8612" s="79" t="s">
        <v>11822</v>
      </c>
    </row>
    <row r="8613" spans="1:24" ht="89.25">
      <c r="A8613" s="3" t="s">
        <v>14285</v>
      </c>
      <c r="B8613" s="56" t="s">
        <v>361</v>
      </c>
      <c r="C8613" s="16" t="s">
        <v>9460</v>
      </c>
      <c r="D8613" s="16" t="s">
        <v>9461</v>
      </c>
      <c r="E8613" s="16" t="s">
        <v>9462</v>
      </c>
      <c r="F8613" s="15" t="s">
        <v>9463</v>
      </c>
      <c r="G8613" s="198" t="s">
        <v>11449</v>
      </c>
      <c r="H8613" s="67">
        <v>0.4</v>
      </c>
      <c r="I8613" s="16">
        <v>470000000</v>
      </c>
      <c r="J8613" s="16" t="s">
        <v>229</v>
      </c>
      <c r="K8613" s="56" t="s">
        <v>14321</v>
      </c>
      <c r="L8613" s="16" t="s">
        <v>9464</v>
      </c>
      <c r="M8613" s="79"/>
      <c r="N8613" s="65" t="s">
        <v>12416</v>
      </c>
      <c r="O8613" s="162" t="s">
        <v>9443</v>
      </c>
      <c r="P8613" s="79"/>
      <c r="Q8613" s="79"/>
      <c r="R8613" s="79"/>
      <c r="S8613" s="170"/>
      <c r="T8613" s="235">
        <v>15230500</v>
      </c>
      <c r="U8613" s="235">
        <f>T8613*1.12</f>
        <v>17058160</v>
      </c>
      <c r="V8613" s="79"/>
      <c r="W8613" s="3">
        <v>2014</v>
      </c>
      <c r="X8613" s="79"/>
    </row>
    <row r="8614" spans="1:24" ht="89.25">
      <c r="A8614" s="3" t="s">
        <v>11162</v>
      </c>
      <c r="B8614" s="56" t="s">
        <v>361</v>
      </c>
      <c r="C8614" s="16" t="s">
        <v>9460</v>
      </c>
      <c r="D8614" s="16" t="s">
        <v>9461</v>
      </c>
      <c r="E8614" s="16" t="s">
        <v>9462</v>
      </c>
      <c r="F8614" s="15" t="s">
        <v>9463</v>
      </c>
      <c r="G8614" s="198" t="s">
        <v>11449</v>
      </c>
      <c r="H8614" s="67">
        <v>0.4</v>
      </c>
      <c r="I8614" s="16">
        <v>470000000</v>
      </c>
      <c r="J8614" s="16" t="s">
        <v>229</v>
      </c>
      <c r="K8614" s="56" t="s">
        <v>9170</v>
      </c>
      <c r="L8614" s="16" t="s">
        <v>9465</v>
      </c>
      <c r="M8614" s="79"/>
      <c r="N8614" s="65" t="s">
        <v>9454</v>
      </c>
      <c r="O8614" s="162" t="s">
        <v>9443</v>
      </c>
      <c r="P8614" s="79"/>
      <c r="Q8614" s="79"/>
      <c r="R8614" s="79"/>
      <c r="S8614" s="200"/>
      <c r="T8614" s="235">
        <v>0</v>
      </c>
      <c r="U8614" s="235">
        <f t="shared" si="630"/>
        <v>0</v>
      </c>
      <c r="V8614" s="79"/>
      <c r="W8614" s="3">
        <v>2014</v>
      </c>
      <c r="X8614" s="79">
        <v>11.14</v>
      </c>
    </row>
    <row r="8615" spans="1:24" ht="89.25">
      <c r="A8615" s="3" t="s">
        <v>12414</v>
      </c>
      <c r="B8615" s="56" t="s">
        <v>361</v>
      </c>
      <c r="C8615" s="16" t="s">
        <v>9460</v>
      </c>
      <c r="D8615" s="16" t="s">
        <v>9461</v>
      </c>
      <c r="E8615" s="16" t="s">
        <v>9462</v>
      </c>
      <c r="F8615" s="15" t="s">
        <v>9463</v>
      </c>
      <c r="G8615" s="198" t="s">
        <v>11449</v>
      </c>
      <c r="H8615" s="67">
        <v>0.4</v>
      </c>
      <c r="I8615" s="16">
        <v>470000000</v>
      </c>
      <c r="J8615" s="16" t="s">
        <v>229</v>
      </c>
      <c r="K8615" s="56" t="s">
        <v>12454</v>
      </c>
      <c r="L8615" s="16" t="s">
        <v>9465</v>
      </c>
      <c r="M8615" s="79"/>
      <c r="N8615" s="65" t="s">
        <v>12416</v>
      </c>
      <c r="O8615" s="162" t="s">
        <v>9443</v>
      </c>
      <c r="P8615" s="79"/>
      <c r="Q8615" s="79"/>
      <c r="R8615" s="79"/>
      <c r="S8615" s="200"/>
      <c r="T8615" s="235">
        <v>0</v>
      </c>
      <c r="U8615" s="235">
        <f t="shared" si="630"/>
        <v>0</v>
      </c>
      <c r="V8615" s="79"/>
      <c r="W8615" s="3">
        <v>2014</v>
      </c>
      <c r="X8615" s="79">
        <v>20.21</v>
      </c>
    </row>
    <row r="8616" spans="1:24" ht="89.25">
      <c r="A8616" s="3" t="s">
        <v>14286</v>
      </c>
      <c r="B8616" s="56" t="s">
        <v>361</v>
      </c>
      <c r="C8616" s="16" t="s">
        <v>9460</v>
      </c>
      <c r="D8616" s="16" t="s">
        <v>9461</v>
      </c>
      <c r="E8616" s="16" t="s">
        <v>9462</v>
      </c>
      <c r="F8616" s="15" t="s">
        <v>9463</v>
      </c>
      <c r="G8616" s="198" t="s">
        <v>11449</v>
      </c>
      <c r="H8616" s="67">
        <v>0.4</v>
      </c>
      <c r="I8616" s="16">
        <v>470000000</v>
      </c>
      <c r="J8616" s="16" t="s">
        <v>229</v>
      </c>
      <c r="K8616" s="56" t="s">
        <v>12454</v>
      </c>
      <c r="L8616" s="16" t="s">
        <v>9465</v>
      </c>
      <c r="M8616" s="79"/>
      <c r="N8616" s="65" t="s">
        <v>12416</v>
      </c>
      <c r="O8616" s="162" t="s">
        <v>9443</v>
      </c>
      <c r="P8616" s="79"/>
      <c r="Q8616" s="79"/>
      <c r="R8616" s="79"/>
      <c r="S8616" s="170"/>
      <c r="T8616" s="235">
        <v>0</v>
      </c>
      <c r="U8616" s="235">
        <f>T8616*1.12</f>
        <v>0</v>
      </c>
      <c r="V8616" s="79"/>
      <c r="W8616" s="3">
        <v>2014</v>
      </c>
      <c r="X8616" s="79" t="s">
        <v>11822</v>
      </c>
    </row>
    <row r="8617" spans="1:24" ht="89.25">
      <c r="A8617" s="3" t="s">
        <v>17035</v>
      </c>
      <c r="B8617" s="56" t="s">
        <v>361</v>
      </c>
      <c r="C8617" s="16" t="s">
        <v>9460</v>
      </c>
      <c r="D8617" s="16" t="s">
        <v>9461</v>
      </c>
      <c r="E8617" s="16" t="s">
        <v>9462</v>
      </c>
      <c r="F8617" s="15" t="s">
        <v>9463</v>
      </c>
      <c r="G8617" s="198" t="s">
        <v>11449</v>
      </c>
      <c r="H8617" s="67">
        <v>0.4</v>
      </c>
      <c r="I8617" s="16">
        <v>470000000</v>
      </c>
      <c r="J8617" s="16" t="s">
        <v>229</v>
      </c>
      <c r="K8617" s="56" t="s">
        <v>9041</v>
      </c>
      <c r="L8617" s="16" t="s">
        <v>9465</v>
      </c>
      <c r="M8617" s="79"/>
      <c r="N8617" s="65" t="s">
        <v>12416</v>
      </c>
      <c r="O8617" s="162" t="s">
        <v>9443</v>
      </c>
      <c r="P8617" s="79"/>
      <c r="Q8617" s="79"/>
      <c r="R8617" s="79"/>
      <c r="S8617" s="170"/>
      <c r="T8617" s="200">
        <v>57960000</v>
      </c>
      <c r="U8617" s="1">
        <f>T8617*1.12</f>
        <v>64915200.000000007</v>
      </c>
      <c r="V8617" s="79"/>
      <c r="W8617" s="3">
        <v>2014</v>
      </c>
      <c r="X8617" s="79"/>
    </row>
    <row r="8618" spans="1:24" ht="89.25">
      <c r="A8618" s="3" t="s">
        <v>11434</v>
      </c>
      <c r="B8618" s="56" t="s">
        <v>361</v>
      </c>
      <c r="C8618" s="16" t="s">
        <v>9460</v>
      </c>
      <c r="D8618" s="16" t="s">
        <v>9461</v>
      </c>
      <c r="E8618" s="16" t="s">
        <v>9462</v>
      </c>
      <c r="F8618" s="15" t="s">
        <v>9466</v>
      </c>
      <c r="G8618" s="198" t="s">
        <v>11449</v>
      </c>
      <c r="H8618" s="67">
        <v>0.4</v>
      </c>
      <c r="I8618" s="16">
        <v>470000000</v>
      </c>
      <c r="J8618" s="16" t="s">
        <v>229</v>
      </c>
      <c r="K8618" s="56" t="s">
        <v>9170</v>
      </c>
      <c r="L8618" s="16" t="s">
        <v>9464</v>
      </c>
      <c r="M8618" s="79"/>
      <c r="N8618" s="65" t="s">
        <v>9474</v>
      </c>
      <c r="O8618" s="162" t="s">
        <v>9443</v>
      </c>
      <c r="P8618" s="79"/>
      <c r="Q8618" s="79"/>
      <c r="R8618" s="79"/>
      <c r="S8618" s="200"/>
      <c r="T8618" s="235">
        <v>0</v>
      </c>
      <c r="U8618" s="235">
        <f t="shared" si="630"/>
        <v>0</v>
      </c>
      <c r="V8618" s="79"/>
      <c r="W8618" s="3">
        <v>2014</v>
      </c>
      <c r="X8618" s="79">
        <v>11</v>
      </c>
    </row>
    <row r="8619" spans="1:24" ht="89.25">
      <c r="A8619" s="3" t="s">
        <v>12455</v>
      </c>
      <c r="B8619" s="56" t="s">
        <v>361</v>
      </c>
      <c r="C8619" s="16" t="s">
        <v>9460</v>
      </c>
      <c r="D8619" s="16" t="s">
        <v>9461</v>
      </c>
      <c r="E8619" s="16" t="s">
        <v>9462</v>
      </c>
      <c r="F8619" s="15" t="s">
        <v>9466</v>
      </c>
      <c r="G8619" s="198" t="s">
        <v>11449</v>
      </c>
      <c r="H8619" s="67">
        <v>0.4</v>
      </c>
      <c r="I8619" s="16">
        <v>470000000</v>
      </c>
      <c r="J8619" s="16" t="s">
        <v>229</v>
      </c>
      <c r="K8619" s="56" t="s">
        <v>642</v>
      </c>
      <c r="L8619" s="16" t="s">
        <v>9464</v>
      </c>
      <c r="M8619" s="79"/>
      <c r="N8619" s="65" t="s">
        <v>9474</v>
      </c>
      <c r="O8619" s="162" t="s">
        <v>9443</v>
      </c>
      <c r="P8619" s="79"/>
      <c r="Q8619" s="79"/>
      <c r="R8619" s="79"/>
      <c r="S8619" s="200"/>
      <c r="T8619" s="235">
        <v>0</v>
      </c>
      <c r="U8619" s="235">
        <f t="shared" si="630"/>
        <v>0</v>
      </c>
      <c r="V8619" s="79"/>
      <c r="W8619" s="3">
        <v>2014</v>
      </c>
      <c r="X8619" s="79" t="s">
        <v>12076</v>
      </c>
    </row>
    <row r="8620" spans="1:24" ht="63.75">
      <c r="A8620" s="3" t="s">
        <v>11163</v>
      </c>
      <c r="B8620" s="56" t="s">
        <v>361</v>
      </c>
      <c r="C8620" s="16" t="s">
        <v>11412</v>
      </c>
      <c r="D8620" s="16" t="s">
        <v>11413</v>
      </c>
      <c r="E8620" s="16" t="s">
        <v>11414</v>
      </c>
      <c r="F8620" s="15" t="s">
        <v>11415</v>
      </c>
      <c r="G8620" s="198" t="s">
        <v>11449</v>
      </c>
      <c r="H8620" s="199">
        <v>0.5</v>
      </c>
      <c r="I8620" s="16">
        <v>470000000</v>
      </c>
      <c r="J8620" s="16" t="s">
        <v>229</v>
      </c>
      <c r="K8620" s="56" t="s">
        <v>8958</v>
      </c>
      <c r="L8620" s="16" t="s">
        <v>9465</v>
      </c>
      <c r="M8620" s="79"/>
      <c r="N8620" s="65" t="s">
        <v>11429</v>
      </c>
      <c r="O8620" s="78" t="s">
        <v>9470</v>
      </c>
      <c r="P8620" s="79"/>
      <c r="Q8620" s="79"/>
      <c r="R8620" s="79"/>
      <c r="S8620" s="200"/>
      <c r="T8620" s="235">
        <v>0</v>
      </c>
      <c r="U8620" s="235">
        <f t="shared" si="630"/>
        <v>0</v>
      </c>
      <c r="V8620" s="79"/>
      <c r="W8620" s="3">
        <v>2014</v>
      </c>
      <c r="X8620" s="79">
        <v>11</v>
      </c>
    </row>
    <row r="8621" spans="1:24" ht="63.75">
      <c r="A8621" s="3" t="s">
        <v>12456</v>
      </c>
      <c r="B8621" s="56" t="s">
        <v>361</v>
      </c>
      <c r="C8621" s="16" t="s">
        <v>11412</v>
      </c>
      <c r="D8621" s="16" t="s">
        <v>11413</v>
      </c>
      <c r="E8621" s="16" t="s">
        <v>11414</v>
      </c>
      <c r="F8621" s="15" t="s">
        <v>11415</v>
      </c>
      <c r="G8621" s="198" t="s">
        <v>11449</v>
      </c>
      <c r="H8621" s="199">
        <v>0.5</v>
      </c>
      <c r="I8621" s="16">
        <v>470000000</v>
      </c>
      <c r="J8621" s="16" t="s">
        <v>229</v>
      </c>
      <c r="K8621" s="56" t="s">
        <v>642</v>
      </c>
      <c r="L8621" s="16" t="s">
        <v>9465</v>
      </c>
      <c r="M8621" s="79"/>
      <c r="N8621" s="65" t="s">
        <v>11429</v>
      </c>
      <c r="O8621" s="78" t="s">
        <v>9470</v>
      </c>
      <c r="P8621" s="79"/>
      <c r="Q8621" s="79"/>
      <c r="R8621" s="79"/>
      <c r="S8621" s="200"/>
      <c r="T8621" s="235">
        <v>0</v>
      </c>
      <c r="U8621" s="235">
        <f>T8621*1.12</f>
        <v>0</v>
      </c>
      <c r="V8621" s="79"/>
      <c r="W8621" s="3">
        <v>2014</v>
      </c>
      <c r="X8621" s="79" t="s">
        <v>12076</v>
      </c>
    </row>
    <row r="8622" spans="1:24" ht="63.75">
      <c r="A8622" s="3" t="s">
        <v>14291</v>
      </c>
      <c r="B8622" s="56" t="s">
        <v>361</v>
      </c>
      <c r="C8622" s="16" t="s">
        <v>11412</v>
      </c>
      <c r="D8622" s="16" t="s">
        <v>11413</v>
      </c>
      <c r="E8622" s="16" t="s">
        <v>11414</v>
      </c>
      <c r="F8622" s="15" t="s">
        <v>11415</v>
      </c>
      <c r="G8622" s="198" t="s">
        <v>11449</v>
      </c>
      <c r="H8622" s="199">
        <v>0.5</v>
      </c>
      <c r="I8622" s="16">
        <v>470000000</v>
      </c>
      <c r="J8622" s="16" t="s">
        <v>229</v>
      </c>
      <c r="K8622" s="56" t="s">
        <v>642</v>
      </c>
      <c r="L8622" s="16" t="s">
        <v>9465</v>
      </c>
      <c r="M8622" s="79"/>
      <c r="N8622" s="65" t="s">
        <v>11429</v>
      </c>
      <c r="O8622" s="78" t="s">
        <v>9470</v>
      </c>
      <c r="P8622" s="79"/>
      <c r="Q8622" s="79"/>
      <c r="R8622" s="79"/>
      <c r="S8622" s="200"/>
      <c r="T8622" s="1">
        <v>0</v>
      </c>
      <c r="U8622" s="1">
        <f>T8622*1.12</f>
        <v>0</v>
      </c>
      <c r="V8622" s="79"/>
      <c r="W8622" s="3">
        <v>2014</v>
      </c>
      <c r="X8622" s="79" t="s">
        <v>12076</v>
      </c>
    </row>
    <row r="8623" spans="1:24" ht="76.5">
      <c r="A8623" s="3" t="s">
        <v>11164</v>
      </c>
      <c r="B8623" s="56" t="s">
        <v>361</v>
      </c>
      <c r="C8623" s="16" t="s">
        <v>9471</v>
      </c>
      <c r="D8623" s="16" t="s">
        <v>9472</v>
      </c>
      <c r="E8623" s="16" t="s">
        <v>9473</v>
      </c>
      <c r="F8623" s="16" t="s">
        <v>11430</v>
      </c>
      <c r="G8623" s="198" t="s">
        <v>11449</v>
      </c>
      <c r="H8623" s="199">
        <v>0.5</v>
      </c>
      <c r="I8623" s="16">
        <v>470000000</v>
      </c>
      <c r="J8623" s="16" t="s">
        <v>229</v>
      </c>
      <c r="K8623" s="56" t="s">
        <v>8958</v>
      </c>
      <c r="L8623" s="16" t="s">
        <v>9464</v>
      </c>
      <c r="M8623" s="79"/>
      <c r="N8623" s="65" t="s">
        <v>9474</v>
      </c>
      <c r="O8623" s="78" t="s">
        <v>9470</v>
      </c>
      <c r="P8623" s="79"/>
      <c r="Q8623" s="79"/>
      <c r="R8623" s="79"/>
      <c r="S8623" s="200"/>
      <c r="T8623" s="235">
        <v>0</v>
      </c>
      <c r="U8623" s="235">
        <f t="shared" si="630"/>
        <v>0</v>
      </c>
      <c r="V8623" s="79"/>
      <c r="W8623" s="3">
        <v>2014</v>
      </c>
      <c r="X8623" s="79" t="s">
        <v>11822</v>
      </c>
    </row>
    <row r="8624" spans="1:24" ht="76.5">
      <c r="A8624" s="3" t="s">
        <v>12457</v>
      </c>
      <c r="B8624" s="56" t="s">
        <v>361</v>
      </c>
      <c r="C8624" s="16" t="s">
        <v>9471</v>
      </c>
      <c r="D8624" s="16" t="s">
        <v>9472</v>
      </c>
      <c r="E8624" s="16" t="s">
        <v>9473</v>
      </c>
      <c r="F8624" s="16" t="s">
        <v>11430</v>
      </c>
      <c r="G8624" s="198" t="s">
        <v>11449</v>
      </c>
      <c r="H8624" s="199">
        <v>0.5</v>
      </c>
      <c r="I8624" s="16">
        <v>470000000</v>
      </c>
      <c r="J8624" s="16" t="s">
        <v>229</v>
      </c>
      <c r="K8624" s="56" t="s">
        <v>14322</v>
      </c>
      <c r="L8624" s="16" t="s">
        <v>9464</v>
      </c>
      <c r="M8624" s="79"/>
      <c r="N8624" s="65" t="s">
        <v>9474</v>
      </c>
      <c r="O8624" s="78" t="s">
        <v>9470</v>
      </c>
      <c r="P8624" s="79"/>
      <c r="Q8624" s="79"/>
      <c r="R8624" s="79"/>
      <c r="S8624" s="200"/>
      <c r="T8624" s="4">
        <v>32058502.399999999</v>
      </c>
      <c r="U8624" s="4">
        <f>T8624*1.12</f>
        <v>35905522.688000001</v>
      </c>
      <c r="V8624" s="79"/>
      <c r="W8624" s="3">
        <v>2014</v>
      </c>
      <c r="X8624" s="79"/>
    </row>
    <row r="8625" spans="1:24" ht="76.5">
      <c r="A8625" s="3" t="s">
        <v>11165</v>
      </c>
      <c r="B8625" s="56" t="s">
        <v>361</v>
      </c>
      <c r="C8625" s="16" t="s">
        <v>11395</v>
      </c>
      <c r="D8625" s="16" t="s">
        <v>11396</v>
      </c>
      <c r="E8625" s="16" t="s">
        <v>11396</v>
      </c>
      <c r="F8625" s="16" t="s">
        <v>10357</v>
      </c>
      <c r="G8625" s="198" t="s">
        <v>11450</v>
      </c>
      <c r="H8625" s="199">
        <v>0.5</v>
      </c>
      <c r="I8625" s="16">
        <v>470000000</v>
      </c>
      <c r="J8625" s="16" t="s">
        <v>229</v>
      </c>
      <c r="K8625" s="56" t="s">
        <v>8958</v>
      </c>
      <c r="L8625" s="16" t="s">
        <v>9464</v>
      </c>
      <c r="M8625" s="79"/>
      <c r="N8625" s="65" t="s">
        <v>9474</v>
      </c>
      <c r="O8625" s="78" t="s">
        <v>9470</v>
      </c>
      <c r="P8625" s="79"/>
      <c r="Q8625" s="79"/>
      <c r="R8625" s="79"/>
      <c r="S8625" s="200"/>
      <c r="T8625" s="4">
        <v>0</v>
      </c>
      <c r="U8625" s="4">
        <f t="shared" si="630"/>
        <v>0</v>
      </c>
      <c r="V8625" s="79"/>
      <c r="W8625" s="3">
        <v>2014</v>
      </c>
      <c r="X8625" s="79">
        <v>11</v>
      </c>
    </row>
    <row r="8626" spans="1:24" ht="76.5">
      <c r="A8626" s="3" t="s">
        <v>12458</v>
      </c>
      <c r="B8626" s="56" t="s">
        <v>361</v>
      </c>
      <c r="C8626" s="16" t="s">
        <v>11395</v>
      </c>
      <c r="D8626" s="16" t="s">
        <v>11396</v>
      </c>
      <c r="E8626" s="16" t="s">
        <v>11396</v>
      </c>
      <c r="F8626" s="16" t="s">
        <v>10357</v>
      </c>
      <c r="G8626" s="198" t="s">
        <v>11450</v>
      </c>
      <c r="H8626" s="199">
        <v>0.5</v>
      </c>
      <c r="I8626" s="16">
        <v>470000000</v>
      </c>
      <c r="J8626" s="16" t="s">
        <v>229</v>
      </c>
      <c r="K8626" s="56" t="s">
        <v>642</v>
      </c>
      <c r="L8626" s="16" t="s">
        <v>9464</v>
      </c>
      <c r="M8626" s="79"/>
      <c r="N8626" s="65" t="s">
        <v>9474</v>
      </c>
      <c r="O8626" s="78" t="s">
        <v>9470</v>
      </c>
      <c r="P8626" s="79"/>
      <c r="Q8626" s="79"/>
      <c r="R8626" s="79"/>
      <c r="S8626" s="200"/>
      <c r="T8626" s="4">
        <v>0</v>
      </c>
      <c r="U8626" s="4">
        <f>T8626*1.12</f>
        <v>0</v>
      </c>
      <c r="V8626" s="79"/>
      <c r="W8626" s="3">
        <v>2014</v>
      </c>
      <c r="X8626" s="79">
        <v>11</v>
      </c>
    </row>
    <row r="8627" spans="1:24" ht="76.5">
      <c r="A8627" s="3" t="s">
        <v>14293</v>
      </c>
      <c r="B8627" s="56" t="s">
        <v>361</v>
      </c>
      <c r="C8627" s="16" t="s">
        <v>11395</v>
      </c>
      <c r="D8627" s="16" t="s">
        <v>11396</v>
      </c>
      <c r="E8627" s="16" t="s">
        <v>11396</v>
      </c>
      <c r="F8627" s="16" t="s">
        <v>10357</v>
      </c>
      <c r="G8627" s="198" t="s">
        <v>11450</v>
      </c>
      <c r="H8627" s="199">
        <v>0.5</v>
      </c>
      <c r="I8627" s="16">
        <v>470000000</v>
      </c>
      <c r="J8627" s="16" t="s">
        <v>229</v>
      </c>
      <c r="K8627" s="56" t="s">
        <v>9453</v>
      </c>
      <c r="L8627" s="16" t="s">
        <v>9464</v>
      </c>
      <c r="M8627" s="79"/>
      <c r="N8627" s="65" t="s">
        <v>9474</v>
      </c>
      <c r="O8627" s="78" t="s">
        <v>9470</v>
      </c>
      <c r="P8627" s="79"/>
      <c r="Q8627" s="79"/>
      <c r="R8627" s="79"/>
      <c r="S8627" s="200"/>
      <c r="T8627" s="4">
        <v>0</v>
      </c>
      <c r="U8627" s="4">
        <f>T8627*1.12</f>
        <v>0</v>
      </c>
      <c r="V8627" s="79"/>
      <c r="W8627" s="3">
        <v>2014</v>
      </c>
      <c r="X8627" s="79" t="s">
        <v>12076</v>
      </c>
    </row>
    <row r="8628" spans="1:24" ht="114.75">
      <c r="A8628" s="3" t="s">
        <v>11166</v>
      </c>
      <c r="B8628" s="56" t="s">
        <v>361</v>
      </c>
      <c r="C8628" s="16" t="s">
        <v>11416</v>
      </c>
      <c r="D8628" s="16" t="s">
        <v>11417</v>
      </c>
      <c r="E8628" s="16" t="s">
        <v>11418</v>
      </c>
      <c r="F8628" s="16" t="s">
        <v>11419</v>
      </c>
      <c r="G8628" s="198" t="s">
        <v>11450</v>
      </c>
      <c r="H8628" s="199">
        <v>0.5</v>
      </c>
      <c r="I8628" s="16">
        <v>470000000</v>
      </c>
      <c r="J8628" s="16" t="s">
        <v>229</v>
      </c>
      <c r="K8628" s="56" t="s">
        <v>8958</v>
      </c>
      <c r="L8628" s="16" t="s">
        <v>9465</v>
      </c>
      <c r="M8628" s="79"/>
      <c r="N8628" s="65" t="s">
        <v>11431</v>
      </c>
      <c r="O8628" s="78" t="s">
        <v>9470</v>
      </c>
      <c r="P8628" s="79"/>
      <c r="Q8628" s="79"/>
      <c r="R8628" s="79"/>
      <c r="S8628" s="4"/>
      <c r="T8628" s="4">
        <v>0</v>
      </c>
      <c r="U8628" s="4">
        <f t="shared" si="630"/>
        <v>0</v>
      </c>
      <c r="V8628" s="79"/>
      <c r="W8628" s="3">
        <v>2014</v>
      </c>
      <c r="X8628" s="79">
        <v>11</v>
      </c>
    </row>
    <row r="8629" spans="1:24" ht="114.75">
      <c r="A8629" s="3" t="s">
        <v>12418</v>
      </c>
      <c r="B8629" s="56" t="s">
        <v>361</v>
      </c>
      <c r="C8629" s="16" t="s">
        <v>11416</v>
      </c>
      <c r="D8629" s="16" t="s">
        <v>11417</v>
      </c>
      <c r="E8629" s="16" t="s">
        <v>11418</v>
      </c>
      <c r="F8629" s="16" t="s">
        <v>11419</v>
      </c>
      <c r="G8629" s="198" t="s">
        <v>11450</v>
      </c>
      <c r="H8629" s="199">
        <v>0.5</v>
      </c>
      <c r="I8629" s="16">
        <v>470000000</v>
      </c>
      <c r="J8629" s="16" t="s">
        <v>229</v>
      </c>
      <c r="K8629" s="56" t="s">
        <v>633</v>
      </c>
      <c r="L8629" s="16" t="s">
        <v>9465</v>
      </c>
      <c r="M8629" s="79"/>
      <c r="N8629" s="65" t="s">
        <v>11431</v>
      </c>
      <c r="O8629" s="78" t="s">
        <v>9470</v>
      </c>
      <c r="P8629" s="79"/>
      <c r="Q8629" s="79"/>
      <c r="R8629" s="79"/>
      <c r="S8629" s="200"/>
      <c r="T8629" s="4">
        <v>0</v>
      </c>
      <c r="U8629" s="4">
        <f>T8629*1.12</f>
        <v>0</v>
      </c>
      <c r="V8629" s="79"/>
      <c r="W8629" s="3">
        <v>2014</v>
      </c>
      <c r="X8629" s="79" t="s">
        <v>12076</v>
      </c>
    </row>
    <row r="8630" spans="1:24" ht="76.5">
      <c r="A8630" s="3" t="s">
        <v>11167</v>
      </c>
      <c r="B8630" s="56" t="s">
        <v>361</v>
      </c>
      <c r="C8630" s="16" t="s">
        <v>11420</v>
      </c>
      <c r="D8630" s="16" t="s">
        <v>11421</v>
      </c>
      <c r="E8630" s="16" t="s">
        <v>11421</v>
      </c>
      <c r="F8630" s="16" t="s">
        <v>14294</v>
      </c>
      <c r="G8630" s="198" t="s">
        <v>11449</v>
      </c>
      <c r="H8630" s="199">
        <v>0.5</v>
      </c>
      <c r="I8630" s="16">
        <v>470000000</v>
      </c>
      <c r="J8630" s="16" t="s">
        <v>229</v>
      </c>
      <c r="K8630" s="56" t="s">
        <v>8958</v>
      </c>
      <c r="L8630" s="16" t="s">
        <v>9465</v>
      </c>
      <c r="M8630" s="79"/>
      <c r="N8630" s="65" t="s">
        <v>11431</v>
      </c>
      <c r="O8630" s="78" t="s">
        <v>9470</v>
      </c>
      <c r="P8630" s="79"/>
      <c r="Q8630" s="79"/>
      <c r="R8630" s="79"/>
      <c r="S8630" s="200"/>
      <c r="T8630" s="4">
        <v>0</v>
      </c>
      <c r="U8630" s="4">
        <f t="shared" si="630"/>
        <v>0</v>
      </c>
      <c r="V8630" s="79"/>
      <c r="W8630" s="3">
        <v>2014</v>
      </c>
      <c r="X8630" s="79">
        <v>11</v>
      </c>
    </row>
    <row r="8631" spans="1:24" ht="76.5">
      <c r="A8631" s="3" t="s">
        <v>12459</v>
      </c>
      <c r="B8631" s="56" t="s">
        <v>361</v>
      </c>
      <c r="C8631" s="16" t="s">
        <v>11420</v>
      </c>
      <c r="D8631" s="16" t="s">
        <v>11421</v>
      </c>
      <c r="E8631" s="16" t="s">
        <v>11421</v>
      </c>
      <c r="F8631" s="16" t="s">
        <v>14294</v>
      </c>
      <c r="G8631" s="198" t="s">
        <v>11449</v>
      </c>
      <c r="H8631" s="199">
        <v>0.5</v>
      </c>
      <c r="I8631" s="16">
        <v>470000000</v>
      </c>
      <c r="J8631" s="16" t="s">
        <v>229</v>
      </c>
      <c r="K8631" s="56" t="s">
        <v>642</v>
      </c>
      <c r="L8631" s="16" t="s">
        <v>9465</v>
      </c>
      <c r="M8631" s="79"/>
      <c r="N8631" s="65" t="s">
        <v>11431</v>
      </c>
      <c r="O8631" s="78" t="s">
        <v>9470</v>
      </c>
      <c r="P8631" s="79"/>
      <c r="Q8631" s="79"/>
      <c r="R8631" s="79"/>
      <c r="S8631" s="200"/>
      <c r="T8631" s="4">
        <v>0</v>
      </c>
      <c r="U8631" s="4">
        <f>T8631*1.12</f>
        <v>0</v>
      </c>
      <c r="V8631" s="79"/>
      <c r="W8631" s="3">
        <v>2014</v>
      </c>
      <c r="X8631" s="79" t="s">
        <v>12076</v>
      </c>
    </row>
    <row r="8632" spans="1:24" ht="76.5">
      <c r="A8632" s="3" t="s">
        <v>11168</v>
      </c>
      <c r="B8632" s="56" t="s">
        <v>361</v>
      </c>
      <c r="C8632" s="16" t="s">
        <v>11420</v>
      </c>
      <c r="D8632" s="16" t="s">
        <v>11421</v>
      </c>
      <c r="E8632" s="16" t="s">
        <v>11421</v>
      </c>
      <c r="F8632" s="16" t="s">
        <v>14294</v>
      </c>
      <c r="G8632" s="198" t="s">
        <v>11449</v>
      </c>
      <c r="H8632" s="199">
        <v>0.5</v>
      </c>
      <c r="I8632" s="16">
        <v>470000000</v>
      </c>
      <c r="J8632" s="16" t="s">
        <v>229</v>
      </c>
      <c r="K8632" s="56" t="s">
        <v>8958</v>
      </c>
      <c r="L8632" s="16" t="s">
        <v>9465</v>
      </c>
      <c r="M8632" s="79"/>
      <c r="N8632" s="65" t="s">
        <v>11431</v>
      </c>
      <c r="O8632" s="78" t="s">
        <v>9470</v>
      </c>
      <c r="P8632" s="79"/>
      <c r="Q8632" s="79"/>
      <c r="R8632" s="79"/>
      <c r="S8632" s="200"/>
      <c r="T8632" s="4">
        <v>0</v>
      </c>
      <c r="U8632" s="4">
        <f t="shared" si="630"/>
        <v>0</v>
      </c>
      <c r="V8632" s="79"/>
      <c r="W8632" s="3">
        <v>2014</v>
      </c>
      <c r="X8632" s="79">
        <v>11</v>
      </c>
    </row>
    <row r="8633" spans="1:24" ht="76.5">
      <c r="A8633" s="3" t="s">
        <v>12460</v>
      </c>
      <c r="B8633" s="56" t="s">
        <v>361</v>
      </c>
      <c r="C8633" s="16" t="s">
        <v>11420</v>
      </c>
      <c r="D8633" s="16" t="s">
        <v>11421</v>
      </c>
      <c r="E8633" s="16" t="s">
        <v>11421</v>
      </c>
      <c r="F8633" s="16" t="s">
        <v>14294</v>
      </c>
      <c r="G8633" s="198" t="s">
        <v>11449</v>
      </c>
      <c r="H8633" s="199">
        <v>0.5</v>
      </c>
      <c r="I8633" s="16">
        <v>470000000</v>
      </c>
      <c r="J8633" s="16" t="s">
        <v>229</v>
      </c>
      <c r="K8633" s="56" t="s">
        <v>642</v>
      </c>
      <c r="L8633" s="16" t="s">
        <v>9465</v>
      </c>
      <c r="M8633" s="79"/>
      <c r="N8633" s="65" t="s">
        <v>11431</v>
      </c>
      <c r="O8633" s="78" t="s">
        <v>9470</v>
      </c>
      <c r="P8633" s="79"/>
      <c r="Q8633" s="79"/>
      <c r="R8633" s="79"/>
      <c r="S8633" s="200"/>
      <c r="T8633" s="4">
        <v>0</v>
      </c>
      <c r="U8633" s="4">
        <f>T8633*1.12</f>
        <v>0</v>
      </c>
      <c r="V8633" s="79"/>
      <c r="W8633" s="3">
        <v>2014</v>
      </c>
      <c r="X8633" s="79" t="s">
        <v>12076</v>
      </c>
    </row>
    <row r="8634" spans="1:24" ht="76.5">
      <c r="A8634" s="3" t="s">
        <v>11169</v>
      </c>
      <c r="B8634" s="56" t="s">
        <v>361</v>
      </c>
      <c r="C8634" s="16" t="s">
        <v>11422</v>
      </c>
      <c r="D8634" s="16" t="s">
        <v>11423</v>
      </c>
      <c r="E8634" s="16" t="s">
        <v>11423</v>
      </c>
      <c r="F8634" s="16" t="s">
        <v>11742</v>
      </c>
      <c r="G8634" s="198" t="s">
        <v>11450</v>
      </c>
      <c r="H8634" s="199">
        <v>0.5</v>
      </c>
      <c r="I8634" s="16">
        <v>470000000</v>
      </c>
      <c r="J8634" s="16" t="s">
        <v>229</v>
      </c>
      <c r="K8634" s="56" t="s">
        <v>8958</v>
      </c>
      <c r="L8634" s="16" t="s">
        <v>9465</v>
      </c>
      <c r="M8634" s="79"/>
      <c r="N8634" s="65" t="s">
        <v>11431</v>
      </c>
      <c r="O8634" s="78" t="s">
        <v>9470</v>
      </c>
      <c r="P8634" s="79"/>
      <c r="Q8634" s="79"/>
      <c r="R8634" s="79"/>
      <c r="S8634" s="200"/>
      <c r="T8634" s="4">
        <v>0</v>
      </c>
      <c r="U8634" s="4">
        <f t="shared" si="630"/>
        <v>0</v>
      </c>
      <c r="V8634" s="79"/>
      <c r="W8634" s="3">
        <v>2014</v>
      </c>
      <c r="X8634" s="79">
        <v>11</v>
      </c>
    </row>
    <row r="8635" spans="1:24" ht="76.5">
      <c r="A8635" s="3" t="s">
        <v>12461</v>
      </c>
      <c r="B8635" s="56" t="s">
        <v>361</v>
      </c>
      <c r="C8635" s="16" t="s">
        <v>11422</v>
      </c>
      <c r="D8635" s="16" t="s">
        <v>11423</v>
      </c>
      <c r="E8635" s="16" t="s">
        <v>11423</v>
      </c>
      <c r="F8635" s="16" t="s">
        <v>11742</v>
      </c>
      <c r="G8635" s="198" t="s">
        <v>11450</v>
      </c>
      <c r="H8635" s="199">
        <v>0.5</v>
      </c>
      <c r="I8635" s="16">
        <v>470000000</v>
      </c>
      <c r="J8635" s="16" t="s">
        <v>229</v>
      </c>
      <c r="K8635" s="56" t="s">
        <v>8958</v>
      </c>
      <c r="L8635" s="16" t="s">
        <v>9465</v>
      </c>
      <c r="M8635" s="79"/>
      <c r="N8635" s="65" t="s">
        <v>11431</v>
      </c>
      <c r="O8635" s="78" t="s">
        <v>9470</v>
      </c>
      <c r="P8635" s="79"/>
      <c r="Q8635" s="79"/>
      <c r="R8635" s="79"/>
      <c r="S8635" s="200"/>
      <c r="T8635" s="4">
        <v>0</v>
      </c>
      <c r="U8635" s="4">
        <f>T8635*1.12</f>
        <v>0</v>
      </c>
      <c r="V8635" s="79"/>
      <c r="W8635" s="3">
        <v>2014</v>
      </c>
      <c r="X8635" s="79" t="s">
        <v>12076</v>
      </c>
    </row>
    <row r="8636" spans="1:24" ht="76.5">
      <c r="A8636" s="3" t="s">
        <v>11170</v>
      </c>
      <c r="B8636" s="56" t="s">
        <v>361</v>
      </c>
      <c r="C8636" s="16" t="s">
        <v>9475</v>
      </c>
      <c r="D8636" s="16" t="s">
        <v>9476</v>
      </c>
      <c r="E8636" s="16" t="s">
        <v>9477</v>
      </c>
      <c r="F8636" s="16" t="s">
        <v>10358</v>
      </c>
      <c r="G8636" s="198" t="s">
        <v>11449</v>
      </c>
      <c r="H8636" s="199">
        <v>0.5</v>
      </c>
      <c r="I8636" s="16">
        <v>470000000</v>
      </c>
      <c r="J8636" s="16" t="s">
        <v>229</v>
      </c>
      <c r="K8636" s="56" t="s">
        <v>8958</v>
      </c>
      <c r="L8636" s="16" t="s">
        <v>9465</v>
      </c>
      <c r="M8636" s="79"/>
      <c r="N8636" s="65" t="s">
        <v>11431</v>
      </c>
      <c r="O8636" s="78" t="s">
        <v>9470</v>
      </c>
      <c r="P8636" s="79"/>
      <c r="Q8636" s="79"/>
      <c r="R8636" s="79"/>
      <c r="S8636" s="200"/>
      <c r="T8636" s="4">
        <v>0</v>
      </c>
      <c r="U8636" s="4">
        <f t="shared" si="630"/>
        <v>0</v>
      </c>
      <c r="V8636" s="79"/>
      <c r="W8636" s="3">
        <v>2014</v>
      </c>
      <c r="X8636" s="3">
        <v>11</v>
      </c>
    </row>
    <row r="8637" spans="1:24" ht="76.5">
      <c r="A8637" s="3" t="s">
        <v>12413</v>
      </c>
      <c r="B8637" s="56" t="s">
        <v>361</v>
      </c>
      <c r="C8637" s="16" t="s">
        <v>9475</v>
      </c>
      <c r="D8637" s="16" t="s">
        <v>9476</v>
      </c>
      <c r="E8637" s="16" t="s">
        <v>9477</v>
      </c>
      <c r="F8637" s="16" t="s">
        <v>10358</v>
      </c>
      <c r="G8637" s="198" t="s">
        <v>11449</v>
      </c>
      <c r="H8637" s="199">
        <v>0.5</v>
      </c>
      <c r="I8637" s="16">
        <v>470000000</v>
      </c>
      <c r="J8637" s="16" t="s">
        <v>229</v>
      </c>
      <c r="K8637" s="56" t="s">
        <v>642</v>
      </c>
      <c r="L8637" s="16" t="s">
        <v>9465</v>
      </c>
      <c r="M8637" s="79"/>
      <c r="N8637" s="65" t="s">
        <v>11431</v>
      </c>
      <c r="O8637" s="78" t="s">
        <v>9470</v>
      </c>
      <c r="P8637" s="79"/>
      <c r="Q8637" s="79"/>
      <c r="R8637" s="79"/>
      <c r="S8637" s="200"/>
      <c r="T8637" s="1">
        <v>11090389</v>
      </c>
      <c r="U8637" s="1">
        <f>T8637*1.12</f>
        <v>12421235.680000002</v>
      </c>
      <c r="V8637" s="79"/>
      <c r="W8637" s="3">
        <v>2014</v>
      </c>
      <c r="X8637" s="3"/>
    </row>
    <row r="8638" spans="1:24" ht="76.5">
      <c r="A8638" s="3" t="s">
        <v>11171</v>
      </c>
      <c r="B8638" s="56" t="s">
        <v>361</v>
      </c>
      <c r="C8638" s="16" t="s">
        <v>9475</v>
      </c>
      <c r="D8638" s="16" t="s">
        <v>9476</v>
      </c>
      <c r="E8638" s="16" t="s">
        <v>9477</v>
      </c>
      <c r="F8638" s="16" t="s">
        <v>9478</v>
      </c>
      <c r="G8638" s="198" t="s">
        <v>11449</v>
      </c>
      <c r="H8638" s="199">
        <v>0.5</v>
      </c>
      <c r="I8638" s="16">
        <v>470000000</v>
      </c>
      <c r="J8638" s="16" t="s">
        <v>229</v>
      </c>
      <c r="K8638" s="56" t="s">
        <v>8958</v>
      </c>
      <c r="L8638" s="16" t="s">
        <v>9465</v>
      </c>
      <c r="M8638" s="79"/>
      <c r="N8638" s="65" t="s">
        <v>11431</v>
      </c>
      <c r="O8638" s="78" t="s">
        <v>9470</v>
      </c>
      <c r="P8638" s="79"/>
      <c r="Q8638" s="79"/>
      <c r="R8638" s="79"/>
      <c r="S8638" s="200"/>
      <c r="T8638" s="4">
        <v>0</v>
      </c>
      <c r="U8638" s="4">
        <f t="shared" si="630"/>
        <v>0</v>
      </c>
      <c r="V8638" s="79"/>
      <c r="W8638" s="3">
        <v>2014</v>
      </c>
      <c r="X8638" s="79">
        <v>11</v>
      </c>
    </row>
    <row r="8639" spans="1:24" ht="76.5">
      <c r="A8639" s="3" t="s">
        <v>12420</v>
      </c>
      <c r="B8639" s="56" t="s">
        <v>361</v>
      </c>
      <c r="C8639" s="16" t="s">
        <v>9475</v>
      </c>
      <c r="D8639" s="16" t="s">
        <v>9476</v>
      </c>
      <c r="E8639" s="16" t="s">
        <v>9477</v>
      </c>
      <c r="F8639" s="16" t="s">
        <v>9478</v>
      </c>
      <c r="G8639" s="198" t="s">
        <v>11449</v>
      </c>
      <c r="H8639" s="199">
        <v>0.5</v>
      </c>
      <c r="I8639" s="16">
        <v>470000000</v>
      </c>
      <c r="J8639" s="16" t="s">
        <v>229</v>
      </c>
      <c r="K8639" s="56" t="s">
        <v>642</v>
      </c>
      <c r="L8639" s="16" t="s">
        <v>9465</v>
      </c>
      <c r="M8639" s="79"/>
      <c r="N8639" s="65" t="s">
        <v>11431</v>
      </c>
      <c r="O8639" s="78" t="s">
        <v>9470</v>
      </c>
      <c r="P8639" s="79"/>
      <c r="Q8639" s="79"/>
      <c r="R8639" s="79"/>
      <c r="S8639" s="200"/>
      <c r="T8639" s="1">
        <v>2747608</v>
      </c>
      <c r="U8639" s="1">
        <f t="shared" si="630"/>
        <v>3077320.9600000004</v>
      </c>
      <c r="V8639" s="79"/>
      <c r="W8639" s="3">
        <v>2014</v>
      </c>
      <c r="X8639" s="79"/>
    </row>
    <row r="8640" spans="1:24" ht="63.75">
      <c r="A8640" s="3" t="s">
        <v>11172</v>
      </c>
      <c r="B8640" s="56" t="s">
        <v>361</v>
      </c>
      <c r="C8640" s="16" t="s">
        <v>9467</v>
      </c>
      <c r="D8640" s="16" t="s">
        <v>9468</v>
      </c>
      <c r="E8640" s="16" t="s">
        <v>9469</v>
      </c>
      <c r="F8640" s="16" t="s">
        <v>11432</v>
      </c>
      <c r="G8640" s="198" t="s">
        <v>11449</v>
      </c>
      <c r="H8640" s="199">
        <v>0.5</v>
      </c>
      <c r="I8640" s="16">
        <v>470000000</v>
      </c>
      <c r="J8640" s="16" t="s">
        <v>229</v>
      </c>
      <c r="K8640" s="56" t="s">
        <v>8958</v>
      </c>
      <c r="L8640" s="16" t="s">
        <v>9465</v>
      </c>
      <c r="M8640" s="79"/>
      <c r="N8640" s="65" t="s">
        <v>9510</v>
      </c>
      <c r="O8640" s="78" t="s">
        <v>9470</v>
      </c>
      <c r="P8640" s="79"/>
      <c r="Q8640" s="79"/>
      <c r="R8640" s="79"/>
      <c r="S8640" s="200"/>
      <c r="T8640" s="4">
        <v>0</v>
      </c>
      <c r="U8640" s="4">
        <f t="shared" si="630"/>
        <v>0</v>
      </c>
      <c r="V8640" s="79"/>
      <c r="W8640" s="3">
        <v>2014</v>
      </c>
      <c r="X8640" s="79">
        <v>11.14</v>
      </c>
    </row>
    <row r="8641" spans="1:24" ht="63.75">
      <c r="A8641" s="3" t="s">
        <v>12415</v>
      </c>
      <c r="B8641" s="56" t="s">
        <v>361</v>
      </c>
      <c r="C8641" s="16" t="s">
        <v>9467</v>
      </c>
      <c r="D8641" s="16" t="s">
        <v>9468</v>
      </c>
      <c r="E8641" s="16" t="s">
        <v>9469</v>
      </c>
      <c r="F8641" s="16" t="s">
        <v>11432</v>
      </c>
      <c r="G8641" s="198" t="s">
        <v>11449</v>
      </c>
      <c r="H8641" s="199">
        <v>0.5</v>
      </c>
      <c r="I8641" s="16">
        <v>470000000</v>
      </c>
      <c r="J8641" s="16" t="s">
        <v>229</v>
      </c>
      <c r="K8641" s="56" t="s">
        <v>12454</v>
      </c>
      <c r="L8641" s="16" t="s">
        <v>9465</v>
      </c>
      <c r="M8641" s="79"/>
      <c r="N8641" s="65" t="s">
        <v>12416</v>
      </c>
      <c r="O8641" s="78" t="s">
        <v>9470</v>
      </c>
      <c r="P8641" s="79"/>
      <c r="Q8641" s="79"/>
      <c r="R8641" s="79"/>
      <c r="S8641" s="200"/>
      <c r="T8641" s="4">
        <v>0</v>
      </c>
      <c r="U8641" s="4">
        <f t="shared" si="630"/>
        <v>0</v>
      </c>
      <c r="V8641" s="79"/>
      <c r="W8641" s="3">
        <v>2014</v>
      </c>
      <c r="X8641" s="79">
        <v>11</v>
      </c>
    </row>
    <row r="8642" spans="1:24" ht="63.75">
      <c r="A8642" s="3" t="s">
        <v>14344</v>
      </c>
      <c r="B8642" s="15" t="s">
        <v>361</v>
      </c>
      <c r="C8642" s="6" t="s">
        <v>9467</v>
      </c>
      <c r="D8642" s="6" t="s">
        <v>9468</v>
      </c>
      <c r="E8642" s="6" t="s">
        <v>9469</v>
      </c>
      <c r="F8642" s="6" t="s">
        <v>11432</v>
      </c>
      <c r="G8642" s="3" t="s">
        <v>11449</v>
      </c>
      <c r="H8642" s="258">
        <v>0.5</v>
      </c>
      <c r="I8642" s="6">
        <v>470000000</v>
      </c>
      <c r="J8642" s="6" t="s">
        <v>229</v>
      </c>
      <c r="K8642" s="15" t="s">
        <v>14324</v>
      </c>
      <c r="L8642" s="6" t="s">
        <v>9465</v>
      </c>
      <c r="M8642" s="72"/>
      <c r="N8642" s="65" t="s">
        <v>12416</v>
      </c>
      <c r="O8642" s="78" t="s">
        <v>9470</v>
      </c>
      <c r="P8642" s="72"/>
      <c r="Q8642" s="72"/>
      <c r="R8642" s="72"/>
      <c r="S8642" s="1"/>
      <c r="T8642" s="4">
        <v>0</v>
      </c>
      <c r="U8642" s="4">
        <f t="shared" si="630"/>
        <v>0</v>
      </c>
      <c r="V8642" s="72"/>
      <c r="W8642" s="3">
        <v>2014</v>
      </c>
      <c r="X8642" s="72" t="s">
        <v>11822</v>
      </c>
    </row>
    <row r="8643" spans="1:24" ht="63.75">
      <c r="A8643" s="3" t="s">
        <v>17045</v>
      </c>
      <c r="B8643" s="15" t="s">
        <v>361</v>
      </c>
      <c r="C8643" s="6" t="s">
        <v>9467</v>
      </c>
      <c r="D8643" s="6" t="s">
        <v>9468</v>
      </c>
      <c r="E8643" s="6" t="s">
        <v>9469</v>
      </c>
      <c r="F8643" s="6" t="s">
        <v>11432</v>
      </c>
      <c r="G8643" s="3" t="s">
        <v>11449</v>
      </c>
      <c r="H8643" s="258">
        <v>0.5</v>
      </c>
      <c r="I8643" s="6">
        <v>470000000</v>
      </c>
      <c r="J8643" s="6" t="s">
        <v>229</v>
      </c>
      <c r="K8643" s="15" t="s">
        <v>8950</v>
      </c>
      <c r="L8643" s="6" t="s">
        <v>9465</v>
      </c>
      <c r="M8643" s="72"/>
      <c r="N8643" s="65" t="s">
        <v>12416</v>
      </c>
      <c r="O8643" s="78" t="s">
        <v>9470</v>
      </c>
      <c r="P8643" s="72"/>
      <c r="Q8643" s="72"/>
      <c r="R8643" s="72"/>
      <c r="S8643" s="1"/>
      <c r="T8643" s="1">
        <v>11611182</v>
      </c>
      <c r="U8643" s="1">
        <f t="shared" si="630"/>
        <v>13004523.840000002</v>
      </c>
      <c r="V8643" s="72"/>
      <c r="W8643" s="3">
        <v>2014</v>
      </c>
      <c r="X8643" s="72"/>
    </row>
    <row r="8644" spans="1:24" ht="76.5">
      <c r="A8644" s="3" t="s">
        <v>11173</v>
      </c>
      <c r="B8644" s="56" t="s">
        <v>361</v>
      </c>
      <c r="C8644" s="16" t="s">
        <v>11424</v>
      </c>
      <c r="D8644" s="16" t="s">
        <v>11425</v>
      </c>
      <c r="E8644" s="16" t="s">
        <v>11426</v>
      </c>
      <c r="F8644" s="16" t="s">
        <v>11743</v>
      </c>
      <c r="G8644" s="198" t="s">
        <v>11450</v>
      </c>
      <c r="H8644" s="199">
        <v>0.5</v>
      </c>
      <c r="I8644" s="16">
        <v>470000000</v>
      </c>
      <c r="J8644" s="16" t="s">
        <v>229</v>
      </c>
      <c r="K8644" s="56" t="s">
        <v>8958</v>
      </c>
      <c r="L8644" s="16" t="s">
        <v>11433</v>
      </c>
      <c r="M8644" s="79"/>
      <c r="N8644" s="65" t="s">
        <v>11431</v>
      </c>
      <c r="O8644" s="78" t="s">
        <v>9470</v>
      </c>
      <c r="P8644" s="79"/>
      <c r="Q8644" s="79"/>
      <c r="R8644" s="79"/>
      <c r="S8644" s="200"/>
      <c r="T8644" s="4">
        <v>0</v>
      </c>
      <c r="U8644" s="4">
        <f t="shared" si="630"/>
        <v>0</v>
      </c>
      <c r="V8644" s="79"/>
      <c r="W8644" s="3">
        <v>2014</v>
      </c>
      <c r="X8644" s="79">
        <v>11</v>
      </c>
    </row>
    <row r="8645" spans="1:24" ht="76.5">
      <c r="A8645" s="3" t="s">
        <v>12417</v>
      </c>
      <c r="B8645" s="56" t="s">
        <v>361</v>
      </c>
      <c r="C8645" s="16" t="s">
        <v>11424</v>
      </c>
      <c r="D8645" s="16" t="s">
        <v>11425</v>
      </c>
      <c r="E8645" s="16" t="s">
        <v>11426</v>
      </c>
      <c r="F8645" s="16" t="s">
        <v>11743</v>
      </c>
      <c r="G8645" s="198" t="s">
        <v>11450</v>
      </c>
      <c r="H8645" s="199">
        <v>0.5</v>
      </c>
      <c r="I8645" s="16">
        <v>470000000</v>
      </c>
      <c r="J8645" s="16" t="s">
        <v>229</v>
      </c>
      <c r="K8645" s="56" t="s">
        <v>633</v>
      </c>
      <c r="L8645" s="16" t="s">
        <v>11433</v>
      </c>
      <c r="M8645" s="79"/>
      <c r="N8645" s="65" t="s">
        <v>11431</v>
      </c>
      <c r="O8645" s="78" t="s">
        <v>9470</v>
      </c>
      <c r="P8645" s="79"/>
      <c r="Q8645" s="79"/>
      <c r="R8645" s="79"/>
      <c r="S8645" s="200"/>
      <c r="T8645" s="4">
        <v>0</v>
      </c>
      <c r="U8645" s="4">
        <f t="shared" si="630"/>
        <v>0</v>
      </c>
      <c r="V8645" s="79"/>
      <c r="W8645" s="3">
        <v>2014</v>
      </c>
      <c r="X8645" s="79" t="s">
        <v>11822</v>
      </c>
    </row>
    <row r="8646" spans="1:24" ht="76.5">
      <c r="A8646" s="3" t="s">
        <v>14345</v>
      </c>
      <c r="B8646" s="15" t="s">
        <v>361</v>
      </c>
      <c r="C8646" s="6" t="s">
        <v>11424</v>
      </c>
      <c r="D8646" s="6" t="s">
        <v>11425</v>
      </c>
      <c r="E8646" s="6" t="s">
        <v>11426</v>
      </c>
      <c r="F8646" s="6" t="s">
        <v>11743</v>
      </c>
      <c r="G8646" s="3" t="s">
        <v>11450</v>
      </c>
      <c r="H8646" s="258">
        <v>0.5</v>
      </c>
      <c r="I8646" s="6">
        <v>470000000</v>
      </c>
      <c r="J8646" s="6" t="s">
        <v>229</v>
      </c>
      <c r="K8646" s="15" t="s">
        <v>14324</v>
      </c>
      <c r="L8646" s="6" t="s">
        <v>11433</v>
      </c>
      <c r="M8646" s="72"/>
      <c r="N8646" s="65" t="s">
        <v>11431</v>
      </c>
      <c r="O8646" s="78" t="s">
        <v>9470</v>
      </c>
      <c r="P8646" s="72"/>
      <c r="Q8646" s="72"/>
      <c r="R8646" s="72"/>
      <c r="S8646" s="1"/>
      <c r="T8646" s="4">
        <v>0</v>
      </c>
      <c r="U8646" s="4">
        <f t="shared" si="630"/>
        <v>0</v>
      </c>
      <c r="V8646" s="72"/>
      <c r="W8646" s="3">
        <v>2014</v>
      </c>
      <c r="X8646" s="72" t="s">
        <v>12076</v>
      </c>
    </row>
    <row r="8647" spans="1:24" ht="76.5">
      <c r="A8647" s="3" t="s">
        <v>11174</v>
      </c>
      <c r="B8647" s="56" t="s">
        <v>361</v>
      </c>
      <c r="C8647" s="16" t="s">
        <v>9475</v>
      </c>
      <c r="D8647" s="16" t="s">
        <v>9476</v>
      </c>
      <c r="E8647" s="16" t="s">
        <v>9477</v>
      </c>
      <c r="F8647" s="16" t="s">
        <v>9478</v>
      </c>
      <c r="G8647" s="198" t="s">
        <v>11450</v>
      </c>
      <c r="H8647" s="199">
        <v>0.5</v>
      </c>
      <c r="I8647" s="16">
        <v>470000000</v>
      </c>
      <c r="J8647" s="16" t="s">
        <v>229</v>
      </c>
      <c r="K8647" s="56" t="s">
        <v>8958</v>
      </c>
      <c r="L8647" s="16" t="s">
        <v>621</v>
      </c>
      <c r="M8647" s="79"/>
      <c r="N8647" s="65" t="s">
        <v>9479</v>
      </c>
      <c r="O8647" s="78" t="s">
        <v>9470</v>
      </c>
      <c r="P8647" s="79"/>
      <c r="Q8647" s="79"/>
      <c r="R8647" s="79"/>
      <c r="S8647" s="200"/>
      <c r="T8647" s="4">
        <v>0</v>
      </c>
      <c r="U8647" s="4">
        <f t="shared" si="630"/>
        <v>0</v>
      </c>
      <c r="V8647" s="79"/>
      <c r="W8647" s="3">
        <v>2014</v>
      </c>
      <c r="X8647" s="79">
        <v>11</v>
      </c>
    </row>
    <row r="8648" spans="1:24" ht="76.5">
      <c r="A8648" s="3" t="s">
        <v>12419</v>
      </c>
      <c r="B8648" s="56" t="s">
        <v>361</v>
      </c>
      <c r="C8648" s="16" t="s">
        <v>9475</v>
      </c>
      <c r="D8648" s="16" t="s">
        <v>9476</v>
      </c>
      <c r="E8648" s="16" t="s">
        <v>9477</v>
      </c>
      <c r="F8648" s="16" t="s">
        <v>9478</v>
      </c>
      <c r="G8648" s="198" t="s">
        <v>11450</v>
      </c>
      <c r="H8648" s="199">
        <v>0.5</v>
      </c>
      <c r="I8648" s="16">
        <v>470000000</v>
      </c>
      <c r="J8648" s="16" t="s">
        <v>229</v>
      </c>
      <c r="K8648" s="56" t="s">
        <v>633</v>
      </c>
      <c r="L8648" s="16" t="s">
        <v>621</v>
      </c>
      <c r="M8648" s="79"/>
      <c r="N8648" s="65" t="s">
        <v>9479</v>
      </c>
      <c r="O8648" s="78" t="s">
        <v>9470</v>
      </c>
      <c r="P8648" s="79"/>
      <c r="Q8648" s="79"/>
      <c r="R8648" s="79"/>
      <c r="S8648" s="200"/>
      <c r="T8648" s="4">
        <v>0</v>
      </c>
      <c r="U8648" s="4">
        <f t="shared" si="630"/>
        <v>0</v>
      </c>
      <c r="V8648" s="79"/>
      <c r="W8648" s="3">
        <v>2014</v>
      </c>
      <c r="X8648" s="79">
        <v>11</v>
      </c>
    </row>
    <row r="8649" spans="1:24" ht="76.5">
      <c r="A8649" s="3" t="s">
        <v>18718</v>
      </c>
      <c r="B8649" s="56" t="s">
        <v>361</v>
      </c>
      <c r="C8649" s="16" t="s">
        <v>9475</v>
      </c>
      <c r="D8649" s="16" t="s">
        <v>9476</v>
      </c>
      <c r="E8649" s="16" t="s">
        <v>9477</v>
      </c>
      <c r="F8649" s="16" t="s">
        <v>9478</v>
      </c>
      <c r="G8649" s="198" t="s">
        <v>11450</v>
      </c>
      <c r="H8649" s="199">
        <v>0.5</v>
      </c>
      <c r="I8649" s="16">
        <v>470000000</v>
      </c>
      <c r="J8649" s="16" t="s">
        <v>229</v>
      </c>
      <c r="K8649" s="56" t="s">
        <v>15646</v>
      </c>
      <c r="L8649" s="16" t="s">
        <v>621</v>
      </c>
      <c r="M8649" s="79"/>
      <c r="N8649" s="65" t="s">
        <v>9479</v>
      </c>
      <c r="O8649" s="78" t="s">
        <v>9470</v>
      </c>
      <c r="P8649" s="79"/>
      <c r="Q8649" s="79"/>
      <c r="R8649" s="79"/>
      <c r="S8649" s="200"/>
      <c r="T8649" s="1">
        <v>725276</v>
      </c>
      <c r="U8649" s="1">
        <f t="shared" si="630"/>
        <v>812309.12000000011</v>
      </c>
      <c r="V8649" s="79"/>
      <c r="W8649" s="3">
        <v>2014</v>
      </c>
      <c r="X8649" s="79"/>
    </row>
    <row r="8650" spans="1:24" ht="89.25">
      <c r="A8650" s="3" t="s">
        <v>11175</v>
      </c>
      <c r="B8650" s="6" t="s">
        <v>361</v>
      </c>
      <c r="C8650" s="16" t="s">
        <v>9480</v>
      </c>
      <c r="D8650" s="16" t="s">
        <v>9481</v>
      </c>
      <c r="E8650" s="16" t="s">
        <v>9482</v>
      </c>
      <c r="F8650" s="16" t="s">
        <v>9483</v>
      </c>
      <c r="G8650" s="198" t="s">
        <v>11450</v>
      </c>
      <c r="H8650" s="67">
        <v>0.7</v>
      </c>
      <c r="I8650" s="16">
        <v>470000000</v>
      </c>
      <c r="J8650" s="56" t="s">
        <v>229</v>
      </c>
      <c r="K8650" s="6" t="s">
        <v>9453</v>
      </c>
      <c r="L8650" s="6" t="s">
        <v>9484</v>
      </c>
      <c r="M8650" s="3"/>
      <c r="N8650" s="65" t="s">
        <v>8914</v>
      </c>
      <c r="O8650" s="162" t="s">
        <v>9443</v>
      </c>
      <c r="P8650" s="3"/>
      <c r="Q8650" s="205"/>
      <c r="R8650" s="205"/>
      <c r="S8650" s="205"/>
      <c r="T8650" s="4">
        <v>0</v>
      </c>
      <c r="U8650" s="4">
        <f t="shared" si="630"/>
        <v>0</v>
      </c>
      <c r="V8650" s="79"/>
      <c r="W8650" s="3">
        <v>2014</v>
      </c>
      <c r="X8650" s="3">
        <v>7</v>
      </c>
    </row>
    <row r="8651" spans="1:24" ht="89.25">
      <c r="A8651" s="3" t="s">
        <v>15872</v>
      </c>
      <c r="B8651" s="6" t="s">
        <v>361</v>
      </c>
      <c r="C8651" s="16" t="s">
        <v>9480</v>
      </c>
      <c r="D8651" s="16" t="s">
        <v>9481</v>
      </c>
      <c r="E8651" s="16" t="s">
        <v>9482</v>
      </c>
      <c r="F8651" s="16" t="s">
        <v>9483</v>
      </c>
      <c r="G8651" s="198" t="s">
        <v>605</v>
      </c>
      <c r="H8651" s="67">
        <v>0.7</v>
      </c>
      <c r="I8651" s="16">
        <v>470000000</v>
      </c>
      <c r="J8651" s="56" t="s">
        <v>229</v>
      </c>
      <c r="K8651" s="6" t="s">
        <v>9453</v>
      </c>
      <c r="L8651" s="6" t="s">
        <v>9484</v>
      </c>
      <c r="M8651" s="3"/>
      <c r="N8651" s="65" t="s">
        <v>8914</v>
      </c>
      <c r="O8651" s="162" t="s">
        <v>9443</v>
      </c>
      <c r="P8651" s="3"/>
      <c r="Q8651" s="205"/>
      <c r="R8651" s="205"/>
      <c r="S8651" s="205"/>
      <c r="T8651" s="4">
        <v>0</v>
      </c>
      <c r="U8651" s="4">
        <f t="shared" si="630"/>
        <v>0</v>
      </c>
      <c r="V8651" s="79"/>
      <c r="W8651" s="3">
        <v>2014</v>
      </c>
      <c r="X8651" s="3" t="s">
        <v>11822</v>
      </c>
    </row>
    <row r="8652" spans="1:24" ht="89.25">
      <c r="A8652" s="3" t="s">
        <v>18702</v>
      </c>
      <c r="B8652" s="6" t="s">
        <v>361</v>
      </c>
      <c r="C8652" s="16" t="s">
        <v>9480</v>
      </c>
      <c r="D8652" s="16" t="s">
        <v>9481</v>
      </c>
      <c r="E8652" s="16" t="s">
        <v>9482</v>
      </c>
      <c r="F8652" s="16" t="s">
        <v>9483</v>
      </c>
      <c r="G8652" s="198" t="s">
        <v>605</v>
      </c>
      <c r="H8652" s="67">
        <v>0.7</v>
      </c>
      <c r="I8652" s="16">
        <v>470000000</v>
      </c>
      <c r="J8652" s="56" t="s">
        <v>229</v>
      </c>
      <c r="K8652" s="6" t="s">
        <v>18703</v>
      </c>
      <c r="L8652" s="6" t="s">
        <v>9484</v>
      </c>
      <c r="M8652" s="3"/>
      <c r="N8652" s="65" t="s">
        <v>8914</v>
      </c>
      <c r="O8652" s="162" t="s">
        <v>9443</v>
      </c>
      <c r="P8652" s="3"/>
      <c r="Q8652" s="205"/>
      <c r="R8652" s="205"/>
      <c r="S8652" s="205"/>
      <c r="T8652" s="1">
        <v>904070</v>
      </c>
      <c r="U8652" s="1">
        <f t="shared" si="630"/>
        <v>1012558.4000000001</v>
      </c>
      <c r="V8652" s="79"/>
      <c r="W8652" s="3">
        <v>2014</v>
      </c>
      <c r="X8652" s="3"/>
    </row>
    <row r="8653" spans="1:24" ht="63.75">
      <c r="A8653" s="3" t="s">
        <v>11176</v>
      </c>
      <c r="B8653" s="6" t="s">
        <v>361</v>
      </c>
      <c r="C8653" s="16" t="s">
        <v>9485</v>
      </c>
      <c r="D8653" s="16" t="s">
        <v>9486</v>
      </c>
      <c r="E8653" s="16" t="s">
        <v>9486</v>
      </c>
      <c r="F8653" s="6"/>
      <c r="G8653" s="198" t="s">
        <v>605</v>
      </c>
      <c r="H8653" s="67">
        <v>0.7</v>
      </c>
      <c r="I8653" s="16">
        <v>470000000</v>
      </c>
      <c r="J8653" s="16" t="s">
        <v>229</v>
      </c>
      <c r="K8653" s="56" t="s">
        <v>9459</v>
      </c>
      <c r="L8653" s="16" t="s">
        <v>9487</v>
      </c>
      <c r="M8653" s="139"/>
      <c r="N8653" s="62" t="s">
        <v>9488</v>
      </c>
      <c r="O8653" s="162" t="s">
        <v>9443</v>
      </c>
      <c r="P8653" s="139"/>
      <c r="Q8653" s="139"/>
      <c r="R8653" s="139"/>
      <c r="S8653" s="139"/>
      <c r="T8653" s="1">
        <v>4742568</v>
      </c>
      <c r="U8653" s="1">
        <f t="shared" si="630"/>
        <v>5311676.16</v>
      </c>
      <c r="V8653" s="201" t="s">
        <v>610</v>
      </c>
      <c r="W8653" s="3">
        <v>2014</v>
      </c>
      <c r="X8653" s="140"/>
    </row>
    <row r="8654" spans="1:24" ht="114.75">
      <c r="A8654" s="3" t="s">
        <v>11177</v>
      </c>
      <c r="B8654" s="6" t="s">
        <v>361</v>
      </c>
      <c r="C8654" s="16" t="s">
        <v>9489</v>
      </c>
      <c r="D8654" s="16" t="s">
        <v>9490</v>
      </c>
      <c r="E8654" s="16" t="s">
        <v>9490</v>
      </c>
      <c r="F8654" s="100" t="s">
        <v>9491</v>
      </c>
      <c r="G8654" s="6" t="s">
        <v>11450</v>
      </c>
      <c r="H8654" s="67">
        <v>0.7</v>
      </c>
      <c r="I8654" s="16">
        <v>470000000</v>
      </c>
      <c r="J8654" s="56" t="s">
        <v>229</v>
      </c>
      <c r="K8654" s="6" t="s">
        <v>9041</v>
      </c>
      <c r="L8654" s="16" t="s">
        <v>9441</v>
      </c>
      <c r="M8654" s="3"/>
      <c r="N8654" s="65" t="s">
        <v>9492</v>
      </c>
      <c r="O8654" s="162" t="s">
        <v>9443</v>
      </c>
      <c r="P8654" s="3"/>
      <c r="Q8654" s="6"/>
      <c r="R8654" s="6"/>
      <c r="S8654" s="6"/>
      <c r="T8654" s="236">
        <v>290000</v>
      </c>
      <c r="U8654" s="1">
        <f t="shared" ref="U8654:U8686" si="631">T8654*1.12</f>
        <v>324800.00000000006</v>
      </c>
      <c r="V8654" s="79"/>
      <c r="W8654" s="3">
        <v>2014</v>
      </c>
      <c r="X8654" s="3"/>
    </row>
    <row r="8655" spans="1:24" ht="63.75">
      <c r="A8655" s="3" t="s">
        <v>11178</v>
      </c>
      <c r="B8655" s="6" t="s">
        <v>361</v>
      </c>
      <c r="C8655" s="16" t="s">
        <v>9493</v>
      </c>
      <c r="D8655" s="16" t="s">
        <v>9494</v>
      </c>
      <c r="E8655" s="16" t="s">
        <v>9494</v>
      </c>
      <c r="F8655" s="55" t="s">
        <v>14017</v>
      </c>
      <c r="G8655" s="6" t="s">
        <v>605</v>
      </c>
      <c r="H8655" s="67">
        <v>0.7</v>
      </c>
      <c r="I8655" s="16">
        <v>470000000</v>
      </c>
      <c r="J8655" s="16" t="s">
        <v>229</v>
      </c>
      <c r="K8655" s="6" t="s">
        <v>642</v>
      </c>
      <c r="L8655" s="16" t="s">
        <v>9495</v>
      </c>
      <c r="M8655" s="3"/>
      <c r="N8655" s="65" t="s">
        <v>9454</v>
      </c>
      <c r="O8655" s="162" t="s">
        <v>9443</v>
      </c>
      <c r="P8655" s="3"/>
      <c r="Q8655" s="190"/>
      <c r="R8655" s="190"/>
      <c r="S8655" s="190"/>
      <c r="T8655" s="4">
        <v>0</v>
      </c>
      <c r="U8655" s="4">
        <f t="shared" si="631"/>
        <v>0</v>
      </c>
      <c r="V8655" s="79"/>
      <c r="W8655" s="3">
        <v>2014</v>
      </c>
      <c r="X8655" s="3" t="s">
        <v>14021</v>
      </c>
    </row>
    <row r="8656" spans="1:24" ht="76.5">
      <c r="A8656" s="3" t="s">
        <v>14018</v>
      </c>
      <c r="B8656" s="6" t="s">
        <v>361</v>
      </c>
      <c r="C8656" s="16" t="s">
        <v>9493</v>
      </c>
      <c r="D8656" s="16" t="s">
        <v>9494</v>
      </c>
      <c r="E8656" s="16" t="s">
        <v>9494</v>
      </c>
      <c r="F8656" s="55" t="s">
        <v>14017</v>
      </c>
      <c r="G8656" s="6" t="s">
        <v>11450</v>
      </c>
      <c r="H8656" s="67">
        <v>0.7</v>
      </c>
      <c r="I8656" s="16">
        <v>470000000</v>
      </c>
      <c r="J8656" s="16" t="s">
        <v>229</v>
      </c>
      <c r="K8656" s="6" t="s">
        <v>8950</v>
      </c>
      <c r="L8656" s="16" t="s">
        <v>14020</v>
      </c>
      <c r="M8656" s="3"/>
      <c r="N8656" s="65" t="s">
        <v>14019</v>
      </c>
      <c r="O8656" s="162" t="s">
        <v>9443</v>
      </c>
      <c r="P8656" s="3"/>
      <c r="Q8656" s="190"/>
      <c r="R8656" s="190"/>
      <c r="S8656" s="190"/>
      <c r="T8656" s="4">
        <v>0</v>
      </c>
      <c r="U8656" s="4">
        <f>T8656*1.12</f>
        <v>0</v>
      </c>
      <c r="V8656" s="79"/>
      <c r="W8656" s="3">
        <v>2014</v>
      </c>
      <c r="X8656" s="3">
        <v>11</v>
      </c>
    </row>
    <row r="8657" spans="1:24" ht="76.5">
      <c r="A8657" s="3" t="s">
        <v>16434</v>
      </c>
      <c r="B8657" s="6" t="s">
        <v>361</v>
      </c>
      <c r="C8657" s="16" t="s">
        <v>9493</v>
      </c>
      <c r="D8657" s="16" t="s">
        <v>9494</v>
      </c>
      <c r="E8657" s="16" t="s">
        <v>9494</v>
      </c>
      <c r="F8657" s="55" t="s">
        <v>14017</v>
      </c>
      <c r="G8657" s="6" t="s">
        <v>11450</v>
      </c>
      <c r="H8657" s="67">
        <v>0.7</v>
      </c>
      <c r="I8657" s="16">
        <v>470000000</v>
      </c>
      <c r="J8657" s="16" t="s">
        <v>229</v>
      </c>
      <c r="K8657" s="6" t="s">
        <v>9041</v>
      </c>
      <c r="L8657" s="16" t="s">
        <v>14020</v>
      </c>
      <c r="M8657" s="3"/>
      <c r="N8657" s="65" t="s">
        <v>14019</v>
      </c>
      <c r="O8657" s="162" t="s">
        <v>9443</v>
      </c>
      <c r="P8657" s="3"/>
      <c r="Q8657" s="190"/>
      <c r="R8657" s="190"/>
      <c r="S8657" s="190"/>
      <c r="T8657" s="4">
        <v>0</v>
      </c>
      <c r="U8657" s="4">
        <f>T8657*1.12</f>
        <v>0</v>
      </c>
      <c r="V8657" s="79"/>
      <c r="W8657" s="3">
        <v>2014</v>
      </c>
      <c r="X8657" s="3" t="s">
        <v>12142</v>
      </c>
    </row>
    <row r="8658" spans="1:24" ht="63.75">
      <c r="A8658" s="3" t="s">
        <v>18837</v>
      </c>
      <c r="B8658" s="6" t="s">
        <v>361</v>
      </c>
      <c r="C8658" s="16" t="s">
        <v>9493</v>
      </c>
      <c r="D8658" s="16" t="s">
        <v>9494</v>
      </c>
      <c r="E8658" s="16" t="s">
        <v>9494</v>
      </c>
      <c r="F8658" s="55" t="s">
        <v>14017</v>
      </c>
      <c r="G8658" s="6" t="s">
        <v>11450</v>
      </c>
      <c r="H8658" s="67">
        <v>0.7</v>
      </c>
      <c r="I8658" s="16">
        <v>470000000</v>
      </c>
      <c r="J8658" s="16" t="s">
        <v>229</v>
      </c>
      <c r="K8658" s="6" t="s">
        <v>18748</v>
      </c>
      <c r="L8658" s="16" t="s">
        <v>18838</v>
      </c>
      <c r="M8658" s="3"/>
      <c r="N8658" s="65" t="s">
        <v>18944</v>
      </c>
      <c r="O8658" s="162" t="s">
        <v>9443</v>
      </c>
      <c r="P8658" s="3"/>
      <c r="Q8658" s="190"/>
      <c r="R8658" s="190"/>
      <c r="S8658" s="190"/>
      <c r="T8658" s="4">
        <v>361328</v>
      </c>
      <c r="U8658" s="4">
        <f>T8658*1.12</f>
        <v>404687.36000000004</v>
      </c>
      <c r="V8658" s="79"/>
      <c r="W8658" s="3">
        <v>2014</v>
      </c>
      <c r="X8658" s="3"/>
    </row>
    <row r="8659" spans="1:24" ht="63.75">
      <c r="A8659" s="3" t="s">
        <v>11179</v>
      </c>
      <c r="B8659" s="6" t="s">
        <v>361</v>
      </c>
      <c r="C8659" s="16" t="s">
        <v>9493</v>
      </c>
      <c r="D8659" s="16" t="s">
        <v>9494</v>
      </c>
      <c r="E8659" s="16" t="s">
        <v>9494</v>
      </c>
      <c r="F8659" s="55" t="s">
        <v>9496</v>
      </c>
      <c r="G8659" s="6" t="s">
        <v>605</v>
      </c>
      <c r="H8659" s="67">
        <v>0.7</v>
      </c>
      <c r="I8659" s="16">
        <v>470000000</v>
      </c>
      <c r="J8659" s="16" t="s">
        <v>229</v>
      </c>
      <c r="K8659" s="6" t="s">
        <v>642</v>
      </c>
      <c r="L8659" s="16" t="s">
        <v>9441</v>
      </c>
      <c r="M8659" s="3"/>
      <c r="N8659" s="65" t="s">
        <v>9454</v>
      </c>
      <c r="O8659" s="162" t="s">
        <v>9443</v>
      </c>
      <c r="P8659" s="3"/>
      <c r="Q8659" s="6"/>
      <c r="R8659" s="6"/>
      <c r="S8659" s="6"/>
      <c r="T8659" s="4">
        <v>0</v>
      </c>
      <c r="U8659" s="4">
        <f t="shared" si="631"/>
        <v>0</v>
      </c>
      <c r="V8659" s="79"/>
      <c r="W8659" s="3">
        <v>2014</v>
      </c>
      <c r="X8659" s="3" t="s">
        <v>14021</v>
      </c>
    </row>
    <row r="8660" spans="1:24" ht="76.5">
      <c r="A8660" s="3" t="s">
        <v>14022</v>
      </c>
      <c r="B8660" s="6" t="s">
        <v>361</v>
      </c>
      <c r="C8660" s="16" t="s">
        <v>9493</v>
      </c>
      <c r="D8660" s="16" t="s">
        <v>9494</v>
      </c>
      <c r="E8660" s="16" t="s">
        <v>9494</v>
      </c>
      <c r="F8660" s="55" t="s">
        <v>9496</v>
      </c>
      <c r="G8660" s="6" t="s">
        <v>11450</v>
      </c>
      <c r="H8660" s="67">
        <v>0.7</v>
      </c>
      <c r="I8660" s="16">
        <v>470000000</v>
      </c>
      <c r="J8660" s="16" t="s">
        <v>229</v>
      </c>
      <c r="K8660" s="6" t="s">
        <v>8950</v>
      </c>
      <c r="L8660" s="16" t="s">
        <v>14020</v>
      </c>
      <c r="M8660" s="3"/>
      <c r="N8660" s="287" t="s">
        <v>14019</v>
      </c>
      <c r="O8660" s="162" t="s">
        <v>9443</v>
      </c>
      <c r="P8660" s="3"/>
      <c r="Q8660" s="6"/>
      <c r="R8660" s="6"/>
      <c r="S8660" s="6"/>
      <c r="T8660" s="4">
        <v>0</v>
      </c>
      <c r="U8660" s="4">
        <f>T8660*1.12</f>
        <v>0</v>
      </c>
      <c r="V8660" s="79"/>
      <c r="W8660" s="3">
        <v>2014</v>
      </c>
      <c r="X8660" s="3">
        <v>11</v>
      </c>
    </row>
    <row r="8661" spans="1:24" ht="76.5">
      <c r="A8661" s="3" t="s">
        <v>16435</v>
      </c>
      <c r="B8661" s="6" t="s">
        <v>361</v>
      </c>
      <c r="C8661" s="16" t="s">
        <v>9493</v>
      </c>
      <c r="D8661" s="16" t="s">
        <v>9494</v>
      </c>
      <c r="E8661" s="16" t="s">
        <v>9494</v>
      </c>
      <c r="F8661" s="55" t="s">
        <v>9496</v>
      </c>
      <c r="G8661" s="6" t="s">
        <v>11450</v>
      </c>
      <c r="H8661" s="67">
        <v>0.7</v>
      </c>
      <c r="I8661" s="16">
        <v>470000000</v>
      </c>
      <c r="J8661" s="16" t="s">
        <v>229</v>
      </c>
      <c r="K8661" s="6" t="s">
        <v>9041</v>
      </c>
      <c r="L8661" s="16" t="s">
        <v>14020</v>
      </c>
      <c r="M8661" s="3"/>
      <c r="N8661" s="287" t="s">
        <v>14019</v>
      </c>
      <c r="O8661" s="162" t="s">
        <v>9443</v>
      </c>
      <c r="P8661" s="3"/>
      <c r="Q8661" s="6"/>
      <c r="R8661" s="6"/>
      <c r="S8661" s="6"/>
      <c r="T8661" s="4">
        <v>0</v>
      </c>
      <c r="U8661" s="4">
        <f>T8661*1.12</f>
        <v>0</v>
      </c>
      <c r="V8661" s="79"/>
      <c r="W8661" s="3">
        <v>2014</v>
      </c>
      <c r="X8661" s="3" t="s">
        <v>12142</v>
      </c>
    </row>
    <row r="8662" spans="1:24" ht="63.75">
      <c r="A8662" s="3" t="s">
        <v>18840</v>
      </c>
      <c r="B8662" s="6" t="s">
        <v>361</v>
      </c>
      <c r="C8662" s="16" t="s">
        <v>9493</v>
      </c>
      <c r="D8662" s="16" t="s">
        <v>9494</v>
      </c>
      <c r="E8662" s="16" t="s">
        <v>9494</v>
      </c>
      <c r="F8662" s="55" t="s">
        <v>9496</v>
      </c>
      <c r="G8662" s="6" t="s">
        <v>11450</v>
      </c>
      <c r="H8662" s="67">
        <v>0.7</v>
      </c>
      <c r="I8662" s="16">
        <v>470000000</v>
      </c>
      <c r="J8662" s="16" t="s">
        <v>229</v>
      </c>
      <c r="K8662" s="6" t="s">
        <v>18748</v>
      </c>
      <c r="L8662" s="16" t="s">
        <v>18838</v>
      </c>
      <c r="M8662" s="3"/>
      <c r="N8662" s="65" t="s">
        <v>18944</v>
      </c>
      <c r="O8662" s="162" t="s">
        <v>9443</v>
      </c>
      <c r="P8662" s="3"/>
      <c r="Q8662" s="6"/>
      <c r="R8662" s="6"/>
      <c r="S8662" s="6"/>
      <c r="T8662" s="237">
        <v>280105</v>
      </c>
      <c r="U8662" s="4">
        <f>T8662*1.12</f>
        <v>313717.60000000003</v>
      </c>
      <c r="V8662" s="79"/>
      <c r="W8662" s="3">
        <v>2014</v>
      </c>
      <c r="X8662" s="3"/>
    </row>
    <row r="8663" spans="1:24" ht="63.75">
      <c r="A8663" s="3" t="s">
        <v>11180</v>
      </c>
      <c r="B8663" s="6" t="s">
        <v>361</v>
      </c>
      <c r="C8663" s="16" t="s">
        <v>9493</v>
      </c>
      <c r="D8663" s="16" t="s">
        <v>9494</v>
      </c>
      <c r="E8663" s="16" t="s">
        <v>9494</v>
      </c>
      <c r="F8663" s="55" t="s">
        <v>9497</v>
      </c>
      <c r="G8663" s="6" t="s">
        <v>605</v>
      </c>
      <c r="H8663" s="67">
        <v>0.7</v>
      </c>
      <c r="I8663" s="16">
        <v>470000000</v>
      </c>
      <c r="J8663" s="16" t="s">
        <v>229</v>
      </c>
      <c r="K8663" s="6" t="s">
        <v>642</v>
      </c>
      <c r="L8663" s="16" t="s">
        <v>9498</v>
      </c>
      <c r="M8663" s="3"/>
      <c r="N8663" s="65" t="s">
        <v>9454</v>
      </c>
      <c r="O8663" s="162" t="s">
        <v>9443</v>
      </c>
      <c r="P8663" s="3"/>
      <c r="Q8663" s="190"/>
      <c r="R8663" s="190"/>
      <c r="S8663" s="190"/>
      <c r="T8663" s="4">
        <v>0</v>
      </c>
      <c r="U8663" s="4">
        <f t="shared" si="631"/>
        <v>0</v>
      </c>
      <c r="V8663" s="79"/>
      <c r="W8663" s="3">
        <v>2014</v>
      </c>
      <c r="X8663" s="3" t="s">
        <v>14021</v>
      </c>
    </row>
    <row r="8664" spans="1:24" ht="76.5">
      <c r="A8664" s="3" t="s">
        <v>14023</v>
      </c>
      <c r="B8664" s="6" t="s">
        <v>361</v>
      </c>
      <c r="C8664" s="16" t="s">
        <v>9493</v>
      </c>
      <c r="D8664" s="16" t="s">
        <v>9494</v>
      </c>
      <c r="E8664" s="16" t="s">
        <v>9494</v>
      </c>
      <c r="F8664" s="55" t="s">
        <v>9497</v>
      </c>
      <c r="G8664" s="6" t="s">
        <v>11450</v>
      </c>
      <c r="H8664" s="67">
        <v>0.7</v>
      </c>
      <c r="I8664" s="16">
        <v>470000000</v>
      </c>
      <c r="J8664" s="16" t="s">
        <v>229</v>
      </c>
      <c r="K8664" s="6" t="s">
        <v>8950</v>
      </c>
      <c r="L8664" s="16" t="s">
        <v>14020</v>
      </c>
      <c r="M8664" s="3"/>
      <c r="N8664" s="287" t="s">
        <v>14019</v>
      </c>
      <c r="O8664" s="162" t="s">
        <v>9443</v>
      </c>
      <c r="P8664" s="3"/>
      <c r="Q8664" s="190"/>
      <c r="R8664" s="190"/>
      <c r="S8664" s="190"/>
      <c r="T8664" s="4">
        <v>0</v>
      </c>
      <c r="U8664" s="4">
        <f>T8664*1.12</f>
        <v>0</v>
      </c>
      <c r="V8664" s="79"/>
      <c r="W8664" s="3">
        <v>2014</v>
      </c>
      <c r="X8664" s="3">
        <v>11</v>
      </c>
    </row>
    <row r="8665" spans="1:24" ht="76.5">
      <c r="A8665" s="3" t="s">
        <v>16436</v>
      </c>
      <c r="B8665" s="6" t="s">
        <v>361</v>
      </c>
      <c r="C8665" s="16" t="s">
        <v>9493</v>
      </c>
      <c r="D8665" s="16" t="s">
        <v>9494</v>
      </c>
      <c r="E8665" s="16" t="s">
        <v>9494</v>
      </c>
      <c r="F8665" s="55" t="s">
        <v>9497</v>
      </c>
      <c r="G8665" s="6" t="s">
        <v>11450</v>
      </c>
      <c r="H8665" s="67">
        <v>0.7</v>
      </c>
      <c r="I8665" s="16">
        <v>470000000</v>
      </c>
      <c r="J8665" s="16" t="s">
        <v>229</v>
      </c>
      <c r="K8665" s="6" t="s">
        <v>9041</v>
      </c>
      <c r="L8665" s="16" t="s">
        <v>14020</v>
      </c>
      <c r="M8665" s="3"/>
      <c r="N8665" s="287" t="s">
        <v>14019</v>
      </c>
      <c r="O8665" s="162" t="s">
        <v>9443</v>
      </c>
      <c r="P8665" s="3"/>
      <c r="Q8665" s="190"/>
      <c r="R8665" s="190"/>
      <c r="S8665" s="190"/>
      <c r="T8665" s="4">
        <v>0</v>
      </c>
      <c r="U8665" s="4">
        <f>T8665*1.12</f>
        <v>0</v>
      </c>
      <c r="V8665" s="79"/>
      <c r="W8665" s="3">
        <v>2014</v>
      </c>
      <c r="X8665" s="3" t="s">
        <v>12142</v>
      </c>
    </row>
    <row r="8666" spans="1:24" ht="63.75">
      <c r="A8666" s="3" t="s">
        <v>18841</v>
      </c>
      <c r="B8666" s="6" t="s">
        <v>361</v>
      </c>
      <c r="C8666" s="16" t="s">
        <v>9493</v>
      </c>
      <c r="D8666" s="16" t="s">
        <v>9494</v>
      </c>
      <c r="E8666" s="16" t="s">
        <v>9494</v>
      </c>
      <c r="F8666" s="55" t="s">
        <v>9497</v>
      </c>
      <c r="G8666" s="6" t="s">
        <v>11450</v>
      </c>
      <c r="H8666" s="67">
        <v>0.7</v>
      </c>
      <c r="I8666" s="16">
        <v>470000000</v>
      </c>
      <c r="J8666" s="16" t="s">
        <v>229</v>
      </c>
      <c r="K8666" s="6" t="s">
        <v>18748</v>
      </c>
      <c r="L8666" s="16" t="s">
        <v>18838</v>
      </c>
      <c r="M8666" s="3"/>
      <c r="N8666" s="65" t="s">
        <v>18944</v>
      </c>
      <c r="O8666" s="162" t="s">
        <v>9443</v>
      </c>
      <c r="P8666" s="3"/>
      <c r="Q8666" s="190"/>
      <c r="R8666" s="190"/>
      <c r="S8666" s="190"/>
      <c r="T8666" s="1">
        <v>230114</v>
      </c>
      <c r="U8666" s="4">
        <f>T8666*1.12</f>
        <v>257727.68000000002</v>
      </c>
      <c r="V8666" s="79"/>
      <c r="W8666" s="3">
        <v>2014</v>
      </c>
      <c r="X8666" s="3"/>
    </row>
    <row r="8667" spans="1:24" ht="140.25">
      <c r="A8667" s="3" t="s">
        <v>11181</v>
      </c>
      <c r="B8667" s="6" t="s">
        <v>361</v>
      </c>
      <c r="C8667" s="16" t="s">
        <v>9499</v>
      </c>
      <c r="D8667" s="16" t="s">
        <v>9500</v>
      </c>
      <c r="E8667" s="16" t="s">
        <v>9501</v>
      </c>
      <c r="F8667" s="6" t="s">
        <v>9502</v>
      </c>
      <c r="G8667" s="6" t="s">
        <v>11449</v>
      </c>
      <c r="H8667" s="54">
        <v>0.6</v>
      </c>
      <c r="I8667" s="16">
        <v>470000000</v>
      </c>
      <c r="J8667" s="16" t="s">
        <v>229</v>
      </c>
      <c r="K8667" s="6" t="s">
        <v>11451</v>
      </c>
      <c r="L8667" s="16" t="s">
        <v>9504</v>
      </c>
      <c r="M8667" s="3"/>
      <c r="N8667" s="65" t="s">
        <v>9454</v>
      </c>
      <c r="O8667" s="162" t="s">
        <v>9443</v>
      </c>
      <c r="P8667" s="3"/>
      <c r="Q8667" s="190"/>
      <c r="R8667" s="190"/>
      <c r="S8667" s="190"/>
      <c r="T8667" s="4">
        <v>0</v>
      </c>
      <c r="U8667" s="4">
        <f t="shared" si="631"/>
        <v>0</v>
      </c>
      <c r="V8667" s="79"/>
      <c r="W8667" s="3">
        <v>2014</v>
      </c>
      <c r="X8667" s="3">
        <v>11</v>
      </c>
    </row>
    <row r="8668" spans="1:24" ht="140.25">
      <c r="A8668" s="3" t="s">
        <v>13889</v>
      </c>
      <c r="B8668" s="6" t="s">
        <v>361</v>
      </c>
      <c r="C8668" s="16" t="s">
        <v>9499</v>
      </c>
      <c r="D8668" s="16" t="s">
        <v>9500</v>
      </c>
      <c r="E8668" s="16" t="s">
        <v>9501</v>
      </c>
      <c r="F8668" s="6" t="s">
        <v>9502</v>
      </c>
      <c r="G8668" s="6" t="s">
        <v>11449</v>
      </c>
      <c r="H8668" s="54">
        <v>0.6</v>
      </c>
      <c r="I8668" s="16">
        <v>470000000</v>
      </c>
      <c r="J8668" s="16" t="s">
        <v>229</v>
      </c>
      <c r="K8668" s="6" t="s">
        <v>14059</v>
      </c>
      <c r="L8668" s="16" t="s">
        <v>9504</v>
      </c>
      <c r="M8668" s="3"/>
      <c r="N8668" s="65" t="s">
        <v>9454</v>
      </c>
      <c r="O8668" s="162" t="s">
        <v>9443</v>
      </c>
      <c r="P8668" s="3"/>
      <c r="Q8668" s="190"/>
      <c r="R8668" s="190"/>
      <c r="S8668" s="190"/>
      <c r="T8668" s="1">
        <v>184239150</v>
      </c>
      <c r="U8668" s="1">
        <f>T8668*1.12</f>
        <v>206347848.00000003</v>
      </c>
      <c r="V8668" s="79"/>
      <c r="W8668" s="3">
        <v>2014</v>
      </c>
      <c r="X8668" s="3"/>
    </row>
    <row r="8669" spans="1:24" ht="140.25">
      <c r="A8669" s="3" t="s">
        <v>11182</v>
      </c>
      <c r="B8669" s="6" t="s">
        <v>361</v>
      </c>
      <c r="C8669" s="16" t="s">
        <v>9499</v>
      </c>
      <c r="D8669" s="16" t="s">
        <v>9500</v>
      </c>
      <c r="E8669" s="16" t="s">
        <v>9501</v>
      </c>
      <c r="F8669" s="6" t="s">
        <v>9505</v>
      </c>
      <c r="G8669" s="6" t="s">
        <v>11449</v>
      </c>
      <c r="H8669" s="54">
        <v>0.6</v>
      </c>
      <c r="I8669" s="16">
        <v>470000000</v>
      </c>
      <c r="J8669" s="16" t="s">
        <v>229</v>
      </c>
      <c r="K8669" s="6" t="s">
        <v>11451</v>
      </c>
      <c r="L8669" s="16" t="s">
        <v>9506</v>
      </c>
      <c r="M8669" s="3"/>
      <c r="N8669" s="65" t="s">
        <v>9454</v>
      </c>
      <c r="O8669" s="162" t="s">
        <v>9443</v>
      </c>
      <c r="P8669" s="3"/>
      <c r="Q8669" s="190"/>
      <c r="R8669" s="190"/>
      <c r="S8669" s="190"/>
      <c r="T8669" s="4">
        <v>0</v>
      </c>
      <c r="U8669" s="4">
        <f t="shared" si="631"/>
        <v>0</v>
      </c>
      <c r="V8669" s="79"/>
      <c r="W8669" s="3">
        <v>2014</v>
      </c>
      <c r="X8669" s="3">
        <v>11</v>
      </c>
    </row>
    <row r="8670" spans="1:24" ht="140.25">
      <c r="A8670" s="3" t="s">
        <v>13890</v>
      </c>
      <c r="B8670" s="6" t="s">
        <v>361</v>
      </c>
      <c r="C8670" s="16" t="s">
        <v>9499</v>
      </c>
      <c r="D8670" s="16" t="s">
        <v>9500</v>
      </c>
      <c r="E8670" s="16" t="s">
        <v>9501</v>
      </c>
      <c r="F8670" s="6" t="s">
        <v>9505</v>
      </c>
      <c r="G8670" s="6" t="s">
        <v>11449</v>
      </c>
      <c r="H8670" s="54">
        <v>0.6</v>
      </c>
      <c r="I8670" s="16">
        <v>470000000</v>
      </c>
      <c r="J8670" s="16" t="s">
        <v>229</v>
      </c>
      <c r="K8670" s="6" t="s">
        <v>14059</v>
      </c>
      <c r="L8670" s="16" t="s">
        <v>9506</v>
      </c>
      <c r="M8670" s="3"/>
      <c r="N8670" s="65" t="s">
        <v>9454</v>
      </c>
      <c r="O8670" s="162" t="s">
        <v>9443</v>
      </c>
      <c r="P8670" s="3"/>
      <c r="Q8670" s="190"/>
      <c r="R8670" s="190"/>
      <c r="S8670" s="190"/>
      <c r="T8670" s="1">
        <v>21395220</v>
      </c>
      <c r="U8670" s="1">
        <f>T8670*1.12</f>
        <v>23962646.400000002</v>
      </c>
      <c r="V8670" s="79"/>
      <c r="W8670" s="3">
        <v>2014</v>
      </c>
      <c r="X8670" s="3"/>
    </row>
    <row r="8671" spans="1:24" ht="76.5">
      <c r="A8671" s="3" t="s">
        <v>11183</v>
      </c>
      <c r="B8671" s="6" t="s">
        <v>361</v>
      </c>
      <c r="C8671" s="16" t="s">
        <v>9507</v>
      </c>
      <c r="D8671" s="16" t="s">
        <v>9438</v>
      </c>
      <c r="E8671" s="16" t="s">
        <v>9508</v>
      </c>
      <c r="F8671" s="6" t="s">
        <v>9509</v>
      </c>
      <c r="G8671" s="201" t="s">
        <v>11450</v>
      </c>
      <c r="H8671" s="202">
        <v>0.6</v>
      </c>
      <c r="I8671" s="55">
        <v>470000000</v>
      </c>
      <c r="J8671" s="16" t="s">
        <v>229</v>
      </c>
      <c r="K8671" s="56" t="s">
        <v>633</v>
      </c>
      <c r="L8671" s="16" t="s">
        <v>9441</v>
      </c>
      <c r="M8671" s="79"/>
      <c r="N8671" s="65" t="s">
        <v>9510</v>
      </c>
      <c r="O8671" s="162" t="s">
        <v>9443</v>
      </c>
      <c r="P8671" s="201"/>
      <c r="Q8671" s="203"/>
      <c r="R8671" s="201"/>
      <c r="S8671" s="201"/>
      <c r="T8671" s="4">
        <v>0</v>
      </c>
      <c r="U8671" s="4">
        <f t="shared" si="631"/>
        <v>0</v>
      </c>
      <c r="V8671" s="201"/>
      <c r="W8671" s="3">
        <v>2014</v>
      </c>
      <c r="X8671" s="201" t="s">
        <v>14246</v>
      </c>
    </row>
    <row r="8672" spans="1:24" ht="76.5">
      <c r="A8672" s="3" t="s">
        <v>14245</v>
      </c>
      <c r="B8672" s="6" t="s">
        <v>361</v>
      </c>
      <c r="C8672" s="16" t="s">
        <v>9507</v>
      </c>
      <c r="D8672" s="16" t="s">
        <v>9438</v>
      </c>
      <c r="E8672" s="16" t="s">
        <v>9508</v>
      </c>
      <c r="F8672" s="6" t="s">
        <v>9509</v>
      </c>
      <c r="G8672" s="201" t="s">
        <v>11450</v>
      </c>
      <c r="H8672" s="202">
        <v>0.6</v>
      </c>
      <c r="I8672" s="55">
        <v>470000000</v>
      </c>
      <c r="J8672" s="16" t="s">
        <v>229</v>
      </c>
      <c r="K8672" s="56" t="s">
        <v>9453</v>
      </c>
      <c r="L8672" s="16" t="s">
        <v>14244</v>
      </c>
      <c r="M8672" s="79"/>
      <c r="N8672" s="65" t="s">
        <v>11899</v>
      </c>
      <c r="O8672" s="162" t="s">
        <v>9443</v>
      </c>
      <c r="P8672" s="201"/>
      <c r="Q8672" s="203"/>
      <c r="R8672" s="201"/>
      <c r="S8672" s="201"/>
      <c r="T8672" s="4">
        <v>0</v>
      </c>
      <c r="U8672" s="4">
        <f>T8672*1.12</f>
        <v>0</v>
      </c>
      <c r="V8672" s="201"/>
      <c r="W8672" s="3">
        <v>2014</v>
      </c>
      <c r="X8672" s="201" t="s">
        <v>11822</v>
      </c>
    </row>
    <row r="8673" spans="1:24" ht="76.5">
      <c r="A8673" s="3" t="s">
        <v>17139</v>
      </c>
      <c r="B8673" s="6" t="s">
        <v>361</v>
      </c>
      <c r="C8673" s="16" t="s">
        <v>9507</v>
      </c>
      <c r="D8673" s="16" t="s">
        <v>9438</v>
      </c>
      <c r="E8673" s="16" t="s">
        <v>9508</v>
      </c>
      <c r="F8673" s="6" t="s">
        <v>9509</v>
      </c>
      <c r="G8673" s="201" t="s">
        <v>11450</v>
      </c>
      <c r="H8673" s="202">
        <v>0.6</v>
      </c>
      <c r="I8673" s="55">
        <v>470000000</v>
      </c>
      <c r="J8673" s="16" t="s">
        <v>229</v>
      </c>
      <c r="K8673" s="56" t="s">
        <v>8950</v>
      </c>
      <c r="L8673" s="16" t="s">
        <v>14244</v>
      </c>
      <c r="M8673" s="79"/>
      <c r="N8673" s="65" t="s">
        <v>11899</v>
      </c>
      <c r="O8673" s="162" t="s">
        <v>9443</v>
      </c>
      <c r="P8673" s="201"/>
      <c r="Q8673" s="203"/>
      <c r="R8673" s="201"/>
      <c r="S8673" s="201"/>
      <c r="T8673" s="237">
        <v>750000</v>
      </c>
      <c r="U8673" s="1">
        <f>T8673*1.12</f>
        <v>840000.00000000012</v>
      </c>
      <c r="V8673" s="201"/>
      <c r="W8673" s="3">
        <v>2014</v>
      </c>
      <c r="X8673" s="201"/>
    </row>
    <row r="8674" spans="1:24" ht="63.75">
      <c r="A8674" s="3" t="s">
        <v>11184</v>
      </c>
      <c r="B8674" s="6" t="s">
        <v>361</v>
      </c>
      <c r="C8674" s="16" t="s">
        <v>9511</v>
      </c>
      <c r="D8674" s="16" t="s">
        <v>9512</v>
      </c>
      <c r="E8674" s="16" t="s">
        <v>9513</v>
      </c>
      <c r="F8674" s="6" t="s">
        <v>9514</v>
      </c>
      <c r="G8674" s="201" t="s">
        <v>11450</v>
      </c>
      <c r="H8674" s="67">
        <v>0.8</v>
      </c>
      <c r="I8674" s="16">
        <v>470000000</v>
      </c>
      <c r="J8674" s="6" t="s">
        <v>9515</v>
      </c>
      <c r="K8674" s="6" t="s">
        <v>11451</v>
      </c>
      <c r="L8674" s="16" t="s">
        <v>9441</v>
      </c>
      <c r="M8674" s="3"/>
      <c r="N8674" s="65" t="s">
        <v>9454</v>
      </c>
      <c r="O8674" s="162" t="s">
        <v>9443</v>
      </c>
      <c r="P8674" s="3"/>
      <c r="Q8674" s="3"/>
      <c r="R8674" s="18"/>
      <c r="S8674" s="1"/>
      <c r="T8674" s="4">
        <v>0</v>
      </c>
      <c r="U8674" s="4">
        <f t="shared" si="631"/>
        <v>0</v>
      </c>
      <c r="V8674" s="201"/>
      <c r="W8674" s="3">
        <v>2014</v>
      </c>
      <c r="X8674" s="3">
        <v>11</v>
      </c>
    </row>
    <row r="8675" spans="1:24" ht="63.75">
      <c r="A8675" s="3" t="s">
        <v>14247</v>
      </c>
      <c r="B8675" s="6" t="s">
        <v>361</v>
      </c>
      <c r="C8675" s="16" t="s">
        <v>9511</v>
      </c>
      <c r="D8675" s="16" t="s">
        <v>9512</v>
      </c>
      <c r="E8675" s="16" t="s">
        <v>9513</v>
      </c>
      <c r="F8675" s="6" t="s">
        <v>9514</v>
      </c>
      <c r="G8675" s="201" t="s">
        <v>11450</v>
      </c>
      <c r="H8675" s="67">
        <v>0.8</v>
      </c>
      <c r="I8675" s="16">
        <v>470000000</v>
      </c>
      <c r="J8675" s="6" t="s">
        <v>9515</v>
      </c>
      <c r="K8675" s="6" t="s">
        <v>642</v>
      </c>
      <c r="L8675" s="16" t="s">
        <v>9441</v>
      </c>
      <c r="M8675" s="3"/>
      <c r="N8675" s="65" t="s">
        <v>9454</v>
      </c>
      <c r="O8675" s="162" t="s">
        <v>9443</v>
      </c>
      <c r="P8675" s="3"/>
      <c r="Q8675" s="3"/>
      <c r="R8675" s="18"/>
      <c r="S8675" s="1"/>
      <c r="T8675" s="4">
        <v>0</v>
      </c>
      <c r="U8675" s="4">
        <f>T8675*1.12</f>
        <v>0</v>
      </c>
      <c r="V8675" s="201"/>
      <c r="W8675" s="3">
        <v>2014</v>
      </c>
      <c r="X8675" s="3" t="s">
        <v>11822</v>
      </c>
    </row>
    <row r="8676" spans="1:24" ht="63.75">
      <c r="A8676" s="3" t="s">
        <v>16423</v>
      </c>
      <c r="B8676" s="6" t="s">
        <v>361</v>
      </c>
      <c r="C8676" s="16" t="s">
        <v>9511</v>
      </c>
      <c r="D8676" s="16" t="s">
        <v>9512</v>
      </c>
      <c r="E8676" s="16" t="s">
        <v>9513</v>
      </c>
      <c r="F8676" s="6" t="s">
        <v>9514</v>
      </c>
      <c r="G8676" s="201" t="s">
        <v>11450</v>
      </c>
      <c r="H8676" s="67">
        <v>0.8</v>
      </c>
      <c r="I8676" s="16">
        <v>470000000</v>
      </c>
      <c r="J8676" s="6" t="s">
        <v>9515</v>
      </c>
      <c r="K8676" s="6" t="s">
        <v>9453</v>
      </c>
      <c r="L8676" s="16" t="s">
        <v>9441</v>
      </c>
      <c r="M8676" s="3"/>
      <c r="N8676" s="65" t="s">
        <v>9454</v>
      </c>
      <c r="O8676" s="162" t="s">
        <v>9443</v>
      </c>
      <c r="P8676" s="3"/>
      <c r="Q8676" s="3"/>
      <c r="R8676" s="18"/>
      <c r="S8676" s="1"/>
      <c r="T8676" s="1">
        <v>212990</v>
      </c>
      <c r="U8676" s="1">
        <f>T8676*1.12</f>
        <v>238548.80000000002</v>
      </c>
      <c r="V8676" s="201"/>
      <c r="W8676" s="3">
        <v>2014</v>
      </c>
      <c r="X8676" s="3"/>
    </row>
    <row r="8677" spans="1:24" ht="63.75">
      <c r="A8677" s="3" t="s">
        <v>11185</v>
      </c>
      <c r="B8677" s="6" t="s">
        <v>361</v>
      </c>
      <c r="C8677" s="16" t="s">
        <v>9516</v>
      </c>
      <c r="D8677" s="16" t="s">
        <v>9517</v>
      </c>
      <c r="E8677" s="16" t="s">
        <v>9517</v>
      </c>
      <c r="F8677" s="6" t="s">
        <v>9518</v>
      </c>
      <c r="G8677" s="3" t="s">
        <v>11449</v>
      </c>
      <c r="H8677" s="67">
        <v>0.5</v>
      </c>
      <c r="I8677" s="16">
        <v>470000000</v>
      </c>
      <c r="J8677" s="16" t="s">
        <v>229</v>
      </c>
      <c r="K8677" s="6" t="s">
        <v>9503</v>
      </c>
      <c r="L8677" s="16" t="s">
        <v>621</v>
      </c>
      <c r="M8677" s="3"/>
      <c r="N8677" s="65" t="s">
        <v>9454</v>
      </c>
      <c r="O8677" s="162" t="s">
        <v>9443</v>
      </c>
      <c r="P8677" s="3"/>
      <c r="Q8677" s="1"/>
      <c r="R8677" s="158"/>
      <c r="S8677" s="158"/>
      <c r="T8677" s="4">
        <v>0</v>
      </c>
      <c r="U8677" s="4">
        <f t="shared" si="631"/>
        <v>0</v>
      </c>
      <c r="V8677" s="201"/>
      <c r="W8677" s="3">
        <v>2014</v>
      </c>
      <c r="X8677" s="3">
        <v>20.21</v>
      </c>
    </row>
    <row r="8678" spans="1:24" ht="63.75">
      <c r="A8678" s="3" t="s">
        <v>18708</v>
      </c>
      <c r="B8678" s="6" t="s">
        <v>361</v>
      </c>
      <c r="C8678" s="16" t="s">
        <v>9516</v>
      </c>
      <c r="D8678" s="16" t="s">
        <v>9517</v>
      </c>
      <c r="E8678" s="16" t="s">
        <v>9517</v>
      </c>
      <c r="F8678" s="6" t="s">
        <v>9518</v>
      </c>
      <c r="G8678" s="3" t="s">
        <v>11449</v>
      </c>
      <c r="H8678" s="67">
        <v>0.5</v>
      </c>
      <c r="I8678" s="16">
        <v>470000000</v>
      </c>
      <c r="J8678" s="16" t="s">
        <v>229</v>
      </c>
      <c r="K8678" s="6" t="s">
        <v>9503</v>
      </c>
      <c r="L8678" s="16" t="s">
        <v>621</v>
      </c>
      <c r="M8678" s="3"/>
      <c r="N8678" s="65" t="s">
        <v>9454</v>
      </c>
      <c r="O8678" s="162" t="s">
        <v>9443</v>
      </c>
      <c r="P8678" s="3"/>
      <c r="Q8678" s="1"/>
      <c r="R8678" s="158"/>
      <c r="S8678" s="158"/>
      <c r="T8678" s="4">
        <v>0</v>
      </c>
      <c r="U8678" s="4">
        <f t="shared" si="631"/>
        <v>0</v>
      </c>
      <c r="V8678" s="201"/>
      <c r="W8678" s="3">
        <v>2014</v>
      </c>
      <c r="X8678" s="3">
        <v>20.21</v>
      </c>
    </row>
    <row r="8679" spans="1:24" ht="63.75">
      <c r="A8679" s="3" t="s">
        <v>19660</v>
      </c>
      <c r="B8679" s="6" t="s">
        <v>361</v>
      </c>
      <c r="C8679" s="16" t="s">
        <v>9516</v>
      </c>
      <c r="D8679" s="16" t="s">
        <v>9517</v>
      </c>
      <c r="E8679" s="16" t="s">
        <v>9517</v>
      </c>
      <c r="F8679" s="6" t="s">
        <v>9518</v>
      </c>
      <c r="G8679" s="3" t="s">
        <v>11449</v>
      </c>
      <c r="H8679" s="67">
        <v>0.5</v>
      </c>
      <c r="I8679" s="16">
        <v>470000000</v>
      </c>
      <c r="J8679" s="16" t="s">
        <v>229</v>
      </c>
      <c r="K8679" s="6" t="s">
        <v>9503</v>
      </c>
      <c r="L8679" s="16" t="s">
        <v>621</v>
      </c>
      <c r="M8679" s="3"/>
      <c r="N8679" s="65" t="s">
        <v>9454</v>
      </c>
      <c r="O8679" s="162" t="s">
        <v>9443</v>
      </c>
      <c r="P8679" s="3"/>
      <c r="Q8679" s="1"/>
      <c r="R8679" s="158"/>
      <c r="S8679" s="158"/>
      <c r="T8679" s="1">
        <v>24591008</v>
      </c>
      <c r="U8679" s="1">
        <f t="shared" ref="U8679" si="632">T8679*1.12</f>
        <v>27541928.960000001</v>
      </c>
      <c r="V8679" s="201"/>
      <c r="W8679" s="3">
        <v>2014</v>
      </c>
      <c r="X8679" s="3"/>
    </row>
    <row r="8680" spans="1:24" ht="153">
      <c r="A8680" s="3" t="s">
        <v>11186</v>
      </c>
      <c r="B8680" s="6" t="s">
        <v>361</v>
      </c>
      <c r="C8680" s="16" t="s">
        <v>9519</v>
      </c>
      <c r="D8680" s="16" t="s">
        <v>9520</v>
      </c>
      <c r="E8680" s="16" t="s">
        <v>9520</v>
      </c>
      <c r="F8680" s="6" t="s">
        <v>11444</v>
      </c>
      <c r="G8680" s="3" t="s">
        <v>11449</v>
      </c>
      <c r="H8680" s="67">
        <v>0.6</v>
      </c>
      <c r="I8680" s="16">
        <v>470000000</v>
      </c>
      <c r="J8680" s="16" t="s">
        <v>229</v>
      </c>
      <c r="K8680" s="6" t="s">
        <v>9503</v>
      </c>
      <c r="L8680" s="16" t="s">
        <v>621</v>
      </c>
      <c r="M8680" s="3"/>
      <c r="N8680" s="65" t="s">
        <v>9454</v>
      </c>
      <c r="O8680" s="162" t="s">
        <v>9443</v>
      </c>
      <c r="P8680" s="3"/>
      <c r="Q8680" s="3"/>
      <c r="R8680" s="3"/>
      <c r="S8680" s="1"/>
      <c r="T8680" s="1">
        <v>15576946</v>
      </c>
      <c r="U8680" s="1">
        <f t="shared" si="631"/>
        <v>17446179.520000003</v>
      </c>
      <c r="V8680" s="201"/>
      <c r="W8680" s="3">
        <v>2014</v>
      </c>
      <c r="X8680" s="3"/>
    </row>
    <row r="8681" spans="1:24" ht="63.75">
      <c r="A8681" s="3" t="s">
        <v>11187</v>
      </c>
      <c r="B8681" s="6" t="s">
        <v>361</v>
      </c>
      <c r="C8681" s="55" t="s">
        <v>9521</v>
      </c>
      <c r="D8681" s="16" t="s">
        <v>9522</v>
      </c>
      <c r="E8681" s="55" t="s">
        <v>9522</v>
      </c>
      <c r="F8681" s="6" t="s">
        <v>11445</v>
      </c>
      <c r="G8681" s="3" t="s">
        <v>11450</v>
      </c>
      <c r="H8681" s="67">
        <v>0.6</v>
      </c>
      <c r="I8681" s="16">
        <v>470000000</v>
      </c>
      <c r="J8681" s="16" t="s">
        <v>229</v>
      </c>
      <c r="K8681" s="6" t="s">
        <v>11451</v>
      </c>
      <c r="L8681" s="16" t="s">
        <v>621</v>
      </c>
      <c r="M8681" s="3"/>
      <c r="N8681" s="65" t="s">
        <v>9454</v>
      </c>
      <c r="O8681" s="162" t="s">
        <v>9443</v>
      </c>
      <c r="P8681" s="3"/>
      <c r="Q8681" s="3"/>
      <c r="R8681" s="3"/>
      <c r="S8681" s="1"/>
      <c r="T8681" s="1">
        <v>1379200</v>
      </c>
      <c r="U8681" s="1">
        <f t="shared" si="631"/>
        <v>1544704.0000000002</v>
      </c>
      <c r="V8681" s="201"/>
      <c r="W8681" s="3">
        <v>2014</v>
      </c>
      <c r="X8681" s="3"/>
    </row>
    <row r="8682" spans="1:24" ht="89.25">
      <c r="A8682" s="3" t="s">
        <v>11188</v>
      </c>
      <c r="B8682" s="56" t="s">
        <v>361</v>
      </c>
      <c r="C8682" s="16" t="s">
        <v>9523</v>
      </c>
      <c r="D8682" s="16" t="s">
        <v>9524</v>
      </c>
      <c r="E8682" s="16" t="s">
        <v>9524</v>
      </c>
      <c r="F8682" s="6" t="s">
        <v>11446</v>
      </c>
      <c r="G8682" s="3" t="s">
        <v>11450</v>
      </c>
      <c r="H8682" s="67">
        <v>0.6</v>
      </c>
      <c r="I8682" s="16">
        <v>470000000</v>
      </c>
      <c r="J8682" s="16" t="s">
        <v>229</v>
      </c>
      <c r="K8682" s="56" t="s">
        <v>642</v>
      </c>
      <c r="L8682" s="16" t="s">
        <v>9441</v>
      </c>
      <c r="M8682" s="79"/>
      <c r="N8682" s="62" t="s">
        <v>642</v>
      </c>
      <c r="O8682" s="162" t="s">
        <v>9443</v>
      </c>
      <c r="P8682" s="79"/>
      <c r="Q8682" s="79"/>
      <c r="R8682" s="79"/>
      <c r="S8682" s="79"/>
      <c r="T8682" s="1">
        <v>363390</v>
      </c>
      <c r="U8682" s="1">
        <f t="shared" si="631"/>
        <v>406996.80000000005</v>
      </c>
      <c r="V8682" s="79"/>
      <c r="W8682" s="3">
        <v>2014</v>
      </c>
      <c r="X8682" s="3"/>
    </row>
    <row r="8683" spans="1:24" ht="89.25">
      <c r="A8683" s="3" t="s">
        <v>11189</v>
      </c>
      <c r="B8683" s="56" t="s">
        <v>361</v>
      </c>
      <c r="C8683" s="16" t="s">
        <v>9525</v>
      </c>
      <c r="D8683" s="16" t="s">
        <v>9526</v>
      </c>
      <c r="E8683" s="16" t="s">
        <v>9527</v>
      </c>
      <c r="F8683" s="6" t="s">
        <v>11447</v>
      </c>
      <c r="G8683" s="198" t="s">
        <v>605</v>
      </c>
      <c r="H8683" s="67">
        <v>0.6</v>
      </c>
      <c r="I8683" s="16">
        <v>470000000</v>
      </c>
      <c r="J8683" s="16" t="s">
        <v>229</v>
      </c>
      <c r="K8683" s="56" t="s">
        <v>9016</v>
      </c>
      <c r="L8683" s="16" t="s">
        <v>9528</v>
      </c>
      <c r="M8683" s="79"/>
      <c r="N8683" s="65" t="s">
        <v>9454</v>
      </c>
      <c r="O8683" s="162" t="s">
        <v>9443</v>
      </c>
      <c r="P8683" s="79"/>
      <c r="Q8683" s="79"/>
      <c r="R8683" s="79"/>
      <c r="S8683" s="79"/>
      <c r="T8683" s="4">
        <v>0</v>
      </c>
      <c r="U8683" s="4">
        <f t="shared" si="631"/>
        <v>0</v>
      </c>
      <c r="V8683" s="79"/>
      <c r="W8683" s="3">
        <v>2014</v>
      </c>
      <c r="X8683" s="3">
        <v>11</v>
      </c>
    </row>
    <row r="8684" spans="1:24" ht="89.25">
      <c r="A8684" s="3" t="s">
        <v>11836</v>
      </c>
      <c r="B8684" s="15" t="s">
        <v>361</v>
      </c>
      <c r="C8684" s="6" t="s">
        <v>9525</v>
      </c>
      <c r="D8684" s="6" t="s">
        <v>9526</v>
      </c>
      <c r="E8684" s="6" t="s">
        <v>9527</v>
      </c>
      <c r="F8684" s="6" t="s">
        <v>11447</v>
      </c>
      <c r="G8684" s="3" t="s">
        <v>605</v>
      </c>
      <c r="H8684" s="196">
        <v>0.6</v>
      </c>
      <c r="I8684" s="6">
        <v>470000000</v>
      </c>
      <c r="J8684" s="6" t="s">
        <v>229</v>
      </c>
      <c r="K8684" s="15" t="s">
        <v>633</v>
      </c>
      <c r="L8684" s="6" t="s">
        <v>9528</v>
      </c>
      <c r="M8684" s="72"/>
      <c r="N8684" s="65" t="s">
        <v>9454</v>
      </c>
      <c r="O8684" s="162" t="s">
        <v>9443</v>
      </c>
      <c r="P8684" s="72"/>
      <c r="Q8684" s="72"/>
      <c r="R8684" s="72"/>
      <c r="S8684" s="72"/>
      <c r="T8684" s="4">
        <v>0</v>
      </c>
      <c r="U8684" s="4">
        <f>T8684*1.12</f>
        <v>0</v>
      </c>
      <c r="V8684" s="72"/>
      <c r="W8684" s="3">
        <v>2014</v>
      </c>
      <c r="X8684" s="3">
        <v>11</v>
      </c>
    </row>
    <row r="8685" spans="1:24" ht="89.25">
      <c r="A8685" s="3" t="s">
        <v>14330</v>
      </c>
      <c r="B8685" s="15" t="s">
        <v>361</v>
      </c>
      <c r="C8685" s="6" t="s">
        <v>9525</v>
      </c>
      <c r="D8685" s="6" t="s">
        <v>9526</v>
      </c>
      <c r="E8685" s="6" t="s">
        <v>9527</v>
      </c>
      <c r="F8685" s="6" t="s">
        <v>11447</v>
      </c>
      <c r="G8685" s="3" t="s">
        <v>605</v>
      </c>
      <c r="H8685" s="196">
        <v>0.6</v>
      </c>
      <c r="I8685" s="6">
        <v>470000000</v>
      </c>
      <c r="J8685" s="6" t="s">
        <v>229</v>
      </c>
      <c r="K8685" s="15" t="s">
        <v>14324</v>
      </c>
      <c r="L8685" s="6" t="s">
        <v>9528</v>
      </c>
      <c r="M8685" s="72"/>
      <c r="N8685" s="65" t="s">
        <v>9454</v>
      </c>
      <c r="O8685" s="162" t="s">
        <v>9443</v>
      </c>
      <c r="P8685" s="72"/>
      <c r="Q8685" s="72"/>
      <c r="R8685" s="72"/>
      <c r="S8685" s="72"/>
      <c r="T8685" s="1">
        <v>685040.88</v>
      </c>
      <c r="U8685" s="1">
        <f>T8685*1.12</f>
        <v>767245.78560000006</v>
      </c>
      <c r="V8685" s="72"/>
      <c r="W8685" s="3">
        <v>2014</v>
      </c>
      <c r="X8685" s="3"/>
    </row>
    <row r="8686" spans="1:24" ht="63.75">
      <c r="A8686" s="3" t="s">
        <v>11190</v>
      </c>
      <c r="B8686" s="56" t="s">
        <v>361</v>
      </c>
      <c r="C8686" s="16" t="s">
        <v>9529</v>
      </c>
      <c r="D8686" s="16" t="s">
        <v>9530</v>
      </c>
      <c r="E8686" s="16" t="s">
        <v>9530</v>
      </c>
      <c r="F8686" s="6" t="s">
        <v>9531</v>
      </c>
      <c r="G8686" s="198" t="s">
        <v>605</v>
      </c>
      <c r="H8686" s="67">
        <v>0.6</v>
      </c>
      <c r="I8686" s="16">
        <v>470000000</v>
      </c>
      <c r="J8686" s="16" t="s">
        <v>229</v>
      </c>
      <c r="K8686" s="6" t="s">
        <v>641</v>
      </c>
      <c r="L8686" s="16" t="s">
        <v>9441</v>
      </c>
      <c r="M8686" s="3"/>
      <c r="N8686" s="62" t="s">
        <v>9377</v>
      </c>
      <c r="O8686" s="162" t="s">
        <v>9443</v>
      </c>
      <c r="P8686" s="3"/>
      <c r="Q8686" s="1"/>
      <c r="R8686" s="18"/>
      <c r="S8686" s="1"/>
      <c r="T8686" s="4">
        <v>0</v>
      </c>
      <c r="U8686" s="4">
        <f t="shared" si="631"/>
        <v>0</v>
      </c>
      <c r="V8686" s="79"/>
      <c r="W8686" s="3">
        <v>2014</v>
      </c>
      <c r="X8686" s="3">
        <v>11.14</v>
      </c>
    </row>
    <row r="8687" spans="1:24" ht="63.75">
      <c r="A8687" s="3" t="s">
        <v>11837</v>
      </c>
      <c r="B8687" s="56" t="s">
        <v>361</v>
      </c>
      <c r="C8687" s="16" t="s">
        <v>9529</v>
      </c>
      <c r="D8687" s="16" t="s">
        <v>9530</v>
      </c>
      <c r="E8687" s="16" t="s">
        <v>9530</v>
      </c>
      <c r="F8687" s="6" t="s">
        <v>9531</v>
      </c>
      <c r="G8687" s="198" t="s">
        <v>605</v>
      </c>
      <c r="H8687" s="67">
        <v>0.6</v>
      </c>
      <c r="I8687" s="16">
        <v>470000000</v>
      </c>
      <c r="J8687" s="16" t="s">
        <v>229</v>
      </c>
      <c r="K8687" s="56" t="s">
        <v>642</v>
      </c>
      <c r="L8687" s="16" t="s">
        <v>9441</v>
      </c>
      <c r="M8687" s="3"/>
      <c r="N8687" s="62" t="s">
        <v>9793</v>
      </c>
      <c r="O8687" s="162" t="s">
        <v>9443</v>
      </c>
      <c r="P8687" s="3"/>
      <c r="Q8687" s="1"/>
      <c r="R8687" s="18"/>
      <c r="S8687" s="1"/>
      <c r="T8687" s="1">
        <v>182152</v>
      </c>
      <c r="U8687" s="1">
        <f>T8687*1.12</f>
        <v>204010.24000000002</v>
      </c>
      <c r="V8687" s="79"/>
      <c r="W8687" s="3">
        <v>2014</v>
      </c>
      <c r="X8687" s="3"/>
    </row>
    <row r="8688" spans="1:24" ht="63.75">
      <c r="A8688" s="3" t="s">
        <v>11191</v>
      </c>
      <c r="B8688" s="6" t="s">
        <v>361</v>
      </c>
      <c r="C8688" s="16" t="s">
        <v>9532</v>
      </c>
      <c r="D8688" s="16" t="s">
        <v>9533</v>
      </c>
      <c r="E8688" s="16" t="s">
        <v>9534</v>
      </c>
      <c r="F8688" s="16" t="s">
        <v>9535</v>
      </c>
      <c r="G8688" s="6" t="s">
        <v>605</v>
      </c>
      <c r="H8688" s="67">
        <v>1</v>
      </c>
      <c r="I8688" s="16">
        <v>470000000</v>
      </c>
      <c r="J8688" s="16" t="s">
        <v>229</v>
      </c>
      <c r="K8688" s="77" t="s">
        <v>9536</v>
      </c>
      <c r="L8688" s="16" t="s">
        <v>9537</v>
      </c>
      <c r="M8688" s="3"/>
      <c r="N8688" s="65" t="s">
        <v>9454</v>
      </c>
      <c r="O8688" s="162" t="s">
        <v>9443</v>
      </c>
      <c r="P8688" s="3"/>
      <c r="Q8688" s="6"/>
      <c r="R8688" s="6"/>
      <c r="S8688" s="6"/>
      <c r="T8688" s="1">
        <v>1742027</v>
      </c>
      <c r="U8688" s="1">
        <f>T8688*1.12</f>
        <v>1951070.2400000002</v>
      </c>
      <c r="V8688" s="79" t="s">
        <v>610</v>
      </c>
      <c r="W8688" s="3">
        <v>2014</v>
      </c>
      <c r="X8688" s="3"/>
    </row>
    <row r="8689" spans="1:24" ht="63.75">
      <c r="A8689" s="3" t="s">
        <v>11192</v>
      </c>
      <c r="B8689" s="6" t="s">
        <v>361</v>
      </c>
      <c r="C8689" s="16" t="s">
        <v>9538</v>
      </c>
      <c r="D8689" s="16" t="s">
        <v>9539</v>
      </c>
      <c r="E8689" s="16" t="s">
        <v>9539</v>
      </c>
      <c r="F8689" s="16" t="s">
        <v>9540</v>
      </c>
      <c r="G8689" s="22" t="s">
        <v>11449</v>
      </c>
      <c r="H8689" s="67">
        <v>0.8</v>
      </c>
      <c r="I8689" s="16">
        <v>470000000</v>
      </c>
      <c r="J8689" s="16" t="s">
        <v>229</v>
      </c>
      <c r="K8689" s="6" t="s">
        <v>9503</v>
      </c>
      <c r="L8689" s="16" t="s">
        <v>9541</v>
      </c>
      <c r="M8689" s="3"/>
      <c r="N8689" s="65" t="s">
        <v>9454</v>
      </c>
      <c r="O8689" s="162" t="s">
        <v>9443</v>
      </c>
      <c r="P8689" s="78"/>
      <c r="Q8689" s="82"/>
      <c r="R8689" s="82"/>
      <c r="S8689" s="83"/>
      <c r="T8689" s="1">
        <v>20535800</v>
      </c>
      <c r="U8689" s="1">
        <f>T8689*1.12</f>
        <v>23000096.000000004</v>
      </c>
      <c r="V8689" s="79"/>
      <c r="W8689" s="3">
        <v>2014</v>
      </c>
      <c r="X8689" s="3"/>
    </row>
    <row r="8690" spans="1:24" ht="63.75">
      <c r="A8690" s="3" t="s">
        <v>11193</v>
      </c>
      <c r="B8690" s="6" t="s">
        <v>361</v>
      </c>
      <c r="C8690" s="55" t="s">
        <v>9542</v>
      </c>
      <c r="D8690" s="16" t="s">
        <v>9543</v>
      </c>
      <c r="E8690" s="55" t="s">
        <v>9544</v>
      </c>
      <c r="F8690" s="6" t="s">
        <v>9545</v>
      </c>
      <c r="G8690" s="16" t="s">
        <v>11450</v>
      </c>
      <c r="H8690" s="67">
        <v>0.6</v>
      </c>
      <c r="I8690" s="16">
        <v>470000000</v>
      </c>
      <c r="J8690" s="16" t="s">
        <v>229</v>
      </c>
      <c r="K8690" s="6" t="s">
        <v>8901</v>
      </c>
      <c r="L8690" s="16" t="s">
        <v>621</v>
      </c>
      <c r="M8690" s="3"/>
      <c r="N8690" s="65" t="s">
        <v>9454</v>
      </c>
      <c r="O8690" s="162" t="s">
        <v>9443</v>
      </c>
      <c r="P8690" s="3"/>
      <c r="Q8690" s="6"/>
      <c r="R8690" s="6"/>
      <c r="S8690" s="88"/>
      <c r="T8690" s="4">
        <v>0</v>
      </c>
      <c r="U8690" s="4">
        <f t="shared" ref="U8690:U8710" si="633">T8690*1.12</f>
        <v>0</v>
      </c>
      <c r="V8690" s="79"/>
      <c r="W8690" s="3">
        <v>2014</v>
      </c>
      <c r="X8690" s="3" t="s">
        <v>16552</v>
      </c>
    </row>
    <row r="8691" spans="1:24" ht="63.75">
      <c r="A8691" s="3" t="s">
        <v>16551</v>
      </c>
      <c r="B8691" s="6" t="s">
        <v>361</v>
      </c>
      <c r="C8691" s="55" t="s">
        <v>9542</v>
      </c>
      <c r="D8691" s="16" t="s">
        <v>9543</v>
      </c>
      <c r="E8691" s="55" t="s">
        <v>9544</v>
      </c>
      <c r="F8691" s="6" t="s">
        <v>9545</v>
      </c>
      <c r="G8691" s="16" t="s">
        <v>605</v>
      </c>
      <c r="H8691" s="67">
        <v>0.6</v>
      </c>
      <c r="I8691" s="16">
        <v>470000000</v>
      </c>
      <c r="J8691" s="16" t="s">
        <v>229</v>
      </c>
      <c r="K8691" s="6" t="s">
        <v>7699</v>
      </c>
      <c r="L8691" s="16" t="s">
        <v>621</v>
      </c>
      <c r="M8691" s="3"/>
      <c r="N8691" s="65" t="s">
        <v>9454</v>
      </c>
      <c r="O8691" s="162" t="s">
        <v>9443</v>
      </c>
      <c r="P8691" s="3"/>
      <c r="Q8691" s="6"/>
      <c r="R8691" s="6"/>
      <c r="S8691" s="88"/>
      <c r="T8691" s="1">
        <v>184571</v>
      </c>
      <c r="U8691" s="1">
        <f t="shared" si="633"/>
        <v>206719.52000000002</v>
      </c>
      <c r="V8691" s="79"/>
      <c r="W8691" s="3">
        <v>2014</v>
      </c>
      <c r="X8691" s="3"/>
    </row>
    <row r="8692" spans="1:24" ht="63.75">
      <c r="A8692" s="3" t="s">
        <v>11194</v>
      </c>
      <c r="B8692" s="6" t="s">
        <v>361</v>
      </c>
      <c r="C8692" s="55" t="s">
        <v>9546</v>
      </c>
      <c r="D8692" s="16" t="s">
        <v>9547</v>
      </c>
      <c r="E8692" s="55" t="s">
        <v>9548</v>
      </c>
      <c r="F8692" s="6" t="s">
        <v>9549</v>
      </c>
      <c r="G8692" s="16" t="s">
        <v>605</v>
      </c>
      <c r="H8692" s="67">
        <v>0.6</v>
      </c>
      <c r="I8692" s="16">
        <v>470000000</v>
      </c>
      <c r="J8692" s="16" t="s">
        <v>229</v>
      </c>
      <c r="K8692" s="6" t="s">
        <v>641</v>
      </c>
      <c r="L8692" s="16" t="s">
        <v>621</v>
      </c>
      <c r="M8692" s="3"/>
      <c r="N8692" s="61" t="s">
        <v>9550</v>
      </c>
      <c r="O8692" s="162" t="s">
        <v>9443</v>
      </c>
      <c r="P8692" s="3"/>
      <c r="Q8692" s="6"/>
      <c r="R8692" s="6"/>
      <c r="S8692" s="88"/>
      <c r="T8692" s="4">
        <v>0</v>
      </c>
      <c r="U8692" s="4">
        <f t="shared" si="633"/>
        <v>0</v>
      </c>
      <c r="V8692" s="79"/>
      <c r="W8692" s="3">
        <v>2014</v>
      </c>
      <c r="X8692" s="3"/>
    </row>
    <row r="8693" spans="1:24" ht="63.75">
      <c r="A8693" s="3" t="s">
        <v>13001</v>
      </c>
      <c r="B8693" s="6" t="s">
        <v>361</v>
      </c>
      <c r="C8693" s="55" t="s">
        <v>9546</v>
      </c>
      <c r="D8693" s="16" t="s">
        <v>9547</v>
      </c>
      <c r="E8693" s="55" t="s">
        <v>9548</v>
      </c>
      <c r="F8693" s="6" t="s">
        <v>9549</v>
      </c>
      <c r="G8693" s="16" t="s">
        <v>605</v>
      </c>
      <c r="H8693" s="67">
        <v>0.6</v>
      </c>
      <c r="I8693" s="16">
        <v>470000000</v>
      </c>
      <c r="J8693" s="16" t="s">
        <v>229</v>
      </c>
      <c r="K8693" s="6" t="s">
        <v>9453</v>
      </c>
      <c r="L8693" s="16" t="s">
        <v>621</v>
      </c>
      <c r="M8693" s="3"/>
      <c r="N8693" s="61" t="s">
        <v>9550</v>
      </c>
      <c r="O8693" s="162" t="s">
        <v>9443</v>
      </c>
      <c r="P8693" s="3"/>
      <c r="Q8693" s="6"/>
      <c r="R8693" s="6"/>
      <c r="S8693" s="88"/>
      <c r="T8693" s="1">
        <v>34264</v>
      </c>
      <c r="U8693" s="1">
        <f>T8693*1.12</f>
        <v>38375.68</v>
      </c>
      <c r="V8693" s="79"/>
      <c r="W8693" s="3">
        <v>2014</v>
      </c>
      <c r="X8693" s="3"/>
    </row>
    <row r="8694" spans="1:24" ht="63.75">
      <c r="A8694" s="3" t="s">
        <v>11195</v>
      </c>
      <c r="B8694" s="6" t="s">
        <v>361</v>
      </c>
      <c r="C8694" s="16" t="s">
        <v>9551</v>
      </c>
      <c r="D8694" s="16" t="s">
        <v>9552</v>
      </c>
      <c r="E8694" s="16" t="s">
        <v>9553</v>
      </c>
      <c r="F8694" s="6" t="s">
        <v>9554</v>
      </c>
      <c r="G8694" s="16" t="s">
        <v>605</v>
      </c>
      <c r="H8694" s="67">
        <v>0.5</v>
      </c>
      <c r="I8694" s="16">
        <v>470000000</v>
      </c>
      <c r="J8694" s="16" t="s">
        <v>229</v>
      </c>
      <c r="K8694" s="6" t="s">
        <v>641</v>
      </c>
      <c r="L8694" s="16" t="s">
        <v>621</v>
      </c>
      <c r="M8694" s="3"/>
      <c r="N8694" s="65" t="s">
        <v>9454</v>
      </c>
      <c r="O8694" s="162" t="s">
        <v>9443</v>
      </c>
      <c r="P8694" s="3"/>
      <c r="Q8694" s="3"/>
      <c r="R8694" s="3"/>
      <c r="S8694" s="3"/>
      <c r="T8694" s="1">
        <v>915177.39999999991</v>
      </c>
      <c r="U8694" s="1">
        <f t="shared" si="633"/>
        <v>1024998.688</v>
      </c>
      <c r="V8694" s="79"/>
      <c r="W8694" s="3">
        <v>2014</v>
      </c>
      <c r="X8694" s="3"/>
    </row>
    <row r="8695" spans="1:24" ht="102">
      <c r="A8695" s="3" t="s">
        <v>11196</v>
      </c>
      <c r="B8695" s="6" t="s">
        <v>361</v>
      </c>
      <c r="C8695" s="16" t="s">
        <v>9555</v>
      </c>
      <c r="D8695" s="16" t="s">
        <v>9556</v>
      </c>
      <c r="E8695" s="16" t="s">
        <v>9557</v>
      </c>
      <c r="F8695" s="6" t="s">
        <v>9558</v>
      </c>
      <c r="G8695" s="16" t="s">
        <v>605</v>
      </c>
      <c r="H8695" s="67">
        <v>0.5</v>
      </c>
      <c r="I8695" s="16">
        <v>470000000</v>
      </c>
      <c r="J8695" s="16" t="s">
        <v>229</v>
      </c>
      <c r="K8695" s="6" t="s">
        <v>641</v>
      </c>
      <c r="L8695" s="16" t="s">
        <v>621</v>
      </c>
      <c r="M8695" s="3"/>
      <c r="N8695" s="65" t="s">
        <v>9454</v>
      </c>
      <c r="O8695" s="162" t="s">
        <v>9443</v>
      </c>
      <c r="P8695" s="3"/>
      <c r="Q8695" s="3"/>
      <c r="R8695" s="3"/>
      <c r="S8695" s="3"/>
      <c r="T8695" s="1">
        <v>728571.2</v>
      </c>
      <c r="U8695" s="1">
        <f t="shared" si="633"/>
        <v>815999.74400000006</v>
      </c>
      <c r="V8695" s="79"/>
      <c r="W8695" s="3">
        <v>2014</v>
      </c>
      <c r="X8695" s="3"/>
    </row>
    <row r="8696" spans="1:24" ht="63.75">
      <c r="A8696" s="3" t="s">
        <v>11197</v>
      </c>
      <c r="B8696" s="56" t="s">
        <v>361</v>
      </c>
      <c r="C8696" s="16" t="s">
        <v>9559</v>
      </c>
      <c r="D8696" s="16" t="s">
        <v>9560</v>
      </c>
      <c r="E8696" s="16" t="s">
        <v>9561</v>
      </c>
      <c r="F8696" s="16" t="s">
        <v>9562</v>
      </c>
      <c r="G8696" s="16" t="s">
        <v>605</v>
      </c>
      <c r="H8696" s="67">
        <v>0.5</v>
      </c>
      <c r="I8696" s="16">
        <v>470000000</v>
      </c>
      <c r="J8696" s="16" t="s">
        <v>229</v>
      </c>
      <c r="K8696" s="6" t="s">
        <v>641</v>
      </c>
      <c r="L8696" s="16" t="s">
        <v>9441</v>
      </c>
      <c r="M8696" s="79"/>
      <c r="N8696" s="65" t="s">
        <v>9454</v>
      </c>
      <c r="O8696" s="162" t="s">
        <v>9443</v>
      </c>
      <c r="P8696" s="16"/>
      <c r="Q8696" s="16"/>
      <c r="R8696" s="16"/>
      <c r="S8696" s="16"/>
      <c r="T8696" s="1">
        <v>85714.2</v>
      </c>
      <c r="U8696" s="1">
        <f t="shared" si="633"/>
        <v>95999.90400000001</v>
      </c>
      <c r="V8696" s="79"/>
      <c r="W8696" s="3">
        <v>2014</v>
      </c>
      <c r="X8696" s="56"/>
    </row>
    <row r="8697" spans="1:24" ht="89.25">
      <c r="A8697" s="3" t="s">
        <v>14234</v>
      </c>
      <c r="B8697" s="6" t="s">
        <v>361</v>
      </c>
      <c r="C8697" s="16" t="s">
        <v>9507</v>
      </c>
      <c r="D8697" s="16" t="s">
        <v>9438</v>
      </c>
      <c r="E8697" s="16" t="s">
        <v>9508</v>
      </c>
      <c r="F8697" s="6" t="s">
        <v>14243</v>
      </c>
      <c r="G8697" s="201" t="s">
        <v>11450</v>
      </c>
      <c r="H8697" s="202">
        <v>1</v>
      </c>
      <c r="I8697" s="55">
        <v>470000000</v>
      </c>
      <c r="J8697" s="16" t="s">
        <v>229</v>
      </c>
      <c r="K8697" s="56" t="s">
        <v>9453</v>
      </c>
      <c r="L8697" s="16" t="s">
        <v>14244</v>
      </c>
      <c r="M8697" s="79"/>
      <c r="N8697" s="65" t="s">
        <v>11899</v>
      </c>
      <c r="O8697" s="162" t="s">
        <v>9443</v>
      </c>
      <c r="P8697" s="201"/>
      <c r="Q8697" s="203"/>
      <c r="R8697" s="201"/>
      <c r="S8697" s="201"/>
      <c r="T8697" s="237">
        <v>1205357.1399999999</v>
      </c>
      <c r="U8697" s="1">
        <f t="shared" si="633"/>
        <v>1349999.9968000001</v>
      </c>
      <c r="V8697" s="3"/>
      <c r="W8697" s="3">
        <v>2014</v>
      </c>
      <c r="X8697" s="201"/>
    </row>
    <row r="8698" spans="1:24" ht="76.5">
      <c r="A8698" s="3" t="s">
        <v>14292</v>
      </c>
      <c r="B8698" s="6" t="s">
        <v>361</v>
      </c>
      <c r="C8698" s="16" t="s">
        <v>9471</v>
      </c>
      <c r="D8698" s="16" t="s">
        <v>9472</v>
      </c>
      <c r="E8698" s="16" t="s">
        <v>9473</v>
      </c>
      <c r="F8698" s="16" t="s">
        <v>11430</v>
      </c>
      <c r="G8698" s="198" t="s">
        <v>11449</v>
      </c>
      <c r="H8698" s="199">
        <v>0.5</v>
      </c>
      <c r="I8698" s="16">
        <v>470000000</v>
      </c>
      <c r="J8698" s="16" t="s">
        <v>229</v>
      </c>
      <c r="K8698" s="56" t="s">
        <v>9453</v>
      </c>
      <c r="L8698" s="16" t="s">
        <v>9464</v>
      </c>
      <c r="M8698" s="79"/>
      <c r="N8698" s="65" t="s">
        <v>9474</v>
      </c>
      <c r="O8698" s="78" t="s">
        <v>9470</v>
      </c>
      <c r="P8698" s="79"/>
      <c r="Q8698" s="79"/>
      <c r="R8698" s="79"/>
      <c r="S8698" s="200"/>
      <c r="T8698" s="1">
        <v>33050502.399999999</v>
      </c>
      <c r="U8698" s="1">
        <f t="shared" si="633"/>
        <v>37016562.688000001</v>
      </c>
      <c r="V8698" s="79"/>
      <c r="W8698" s="3">
        <v>2014</v>
      </c>
      <c r="X8698" s="79"/>
    </row>
    <row r="8699" spans="1:24" ht="63.75">
      <c r="A8699" s="3" t="s">
        <v>14295</v>
      </c>
      <c r="B8699" s="6" t="s">
        <v>361</v>
      </c>
      <c r="C8699" s="16" t="s">
        <v>9467</v>
      </c>
      <c r="D8699" s="16" t="s">
        <v>9468</v>
      </c>
      <c r="E8699" s="16" t="s">
        <v>9469</v>
      </c>
      <c r="F8699" s="16" t="s">
        <v>11432</v>
      </c>
      <c r="G8699" s="198" t="s">
        <v>11449</v>
      </c>
      <c r="H8699" s="199">
        <v>0.5</v>
      </c>
      <c r="I8699" s="16">
        <v>470000000</v>
      </c>
      <c r="J8699" s="16" t="s">
        <v>229</v>
      </c>
      <c r="K8699" s="56" t="s">
        <v>9453</v>
      </c>
      <c r="L8699" s="16" t="s">
        <v>9735</v>
      </c>
      <c r="M8699" s="79"/>
      <c r="N8699" s="65" t="s">
        <v>12416</v>
      </c>
      <c r="O8699" s="78" t="s">
        <v>9470</v>
      </c>
      <c r="P8699" s="79"/>
      <c r="Q8699" s="79"/>
      <c r="R8699" s="79"/>
      <c r="S8699" s="200"/>
      <c r="T8699" s="4">
        <v>0</v>
      </c>
      <c r="U8699" s="4">
        <f t="shared" si="633"/>
        <v>0</v>
      </c>
      <c r="V8699" s="79"/>
      <c r="W8699" s="3">
        <v>2014</v>
      </c>
      <c r="X8699" s="79" t="s">
        <v>11822</v>
      </c>
    </row>
    <row r="8700" spans="1:24" ht="63.75">
      <c r="A8700" s="3" t="s">
        <v>17046</v>
      </c>
      <c r="B8700" s="6" t="s">
        <v>361</v>
      </c>
      <c r="C8700" s="16" t="s">
        <v>9467</v>
      </c>
      <c r="D8700" s="16" t="s">
        <v>9468</v>
      </c>
      <c r="E8700" s="16" t="s">
        <v>9469</v>
      </c>
      <c r="F8700" s="16" t="s">
        <v>11432</v>
      </c>
      <c r="G8700" s="198" t="s">
        <v>11449</v>
      </c>
      <c r="H8700" s="199">
        <v>0.5</v>
      </c>
      <c r="I8700" s="16">
        <v>470000000</v>
      </c>
      <c r="J8700" s="16" t="s">
        <v>229</v>
      </c>
      <c r="K8700" s="56" t="s">
        <v>8950</v>
      </c>
      <c r="L8700" s="16" t="s">
        <v>9735</v>
      </c>
      <c r="M8700" s="79"/>
      <c r="N8700" s="65" t="s">
        <v>12416</v>
      </c>
      <c r="O8700" s="78" t="s">
        <v>9470</v>
      </c>
      <c r="P8700" s="79"/>
      <c r="Q8700" s="79"/>
      <c r="R8700" s="79"/>
      <c r="S8700" s="200"/>
      <c r="T8700" s="1">
        <v>46546121</v>
      </c>
      <c r="U8700" s="1">
        <f t="shared" si="633"/>
        <v>52131655.520000003</v>
      </c>
      <c r="V8700" s="79"/>
      <c r="W8700" s="3">
        <v>2014</v>
      </c>
      <c r="X8700" s="79"/>
    </row>
    <row r="8701" spans="1:24" ht="76.5">
      <c r="A8701" s="3" t="s">
        <v>14296</v>
      </c>
      <c r="B8701" s="6" t="s">
        <v>361</v>
      </c>
      <c r="C8701" s="16" t="s">
        <v>14297</v>
      </c>
      <c r="D8701" s="16" t="s">
        <v>14298</v>
      </c>
      <c r="E8701" s="16" t="s">
        <v>14298</v>
      </c>
      <c r="F8701" s="6" t="s">
        <v>14299</v>
      </c>
      <c r="G8701" s="198" t="s">
        <v>11449</v>
      </c>
      <c r="H8701" s="199">
        <v>0.5</v>
      </c>
      <c r="I8701" s="16">
        <v>470000000</v>
      </c>
      <c r="J8701" s="16" t="s">
        <v>229</v>
      </c>
      <c r="K8701" s="56" t="s">
        <v>9453</v>
      </c>
      <c r="L8701" s="16" t="s">
        <v>9735</v>
      </c>
      <c r="M8701" s="170"/>
      <c r="N8701" s="65" t="s">
        <v>9474</v>
      </c>
      <c r="O8701" s="78" t="s">
        <v>9470</v>
      </c>
      <c r="P8701" s="64"/>
      <c r="Q8701" s="170"/>
      <c r="R8701" s="288"/>
      <c r="S8701" s="65"/>
      <c r="T8701" s="4">
        <v>0</v>
      </c>
      <c r="U8701" s="4">
        <f t="shared" si="633"/>
        <v>0</v>
      </c>
      <c r="V8701" s="3"/>
      <c r="W8701" s="3">
        <v>2014</v>
      </c>
      <c r="X8701" s="3">
        <v>7.11</v>
      </c>
    </row>
    <row r="8702" spans="1:24" ht="76.5">
      <c r="A8702" s="3" t="s">
        <v>18719</v>
      </c>
      <c r="B8702" s="6" t="s">
        <v>361</v>
      </c>
      <c r="C8702" s="16" t="s">
        <v>14297</v>
      </c>
      <c r="D8702" s="16" t="s">
        <v>14298</v>
      </c>
      <c r="E8702" s="16" t="s">
        <v>14298</v>
      </c>
      <c r="F8702" s="6" t="s">
        <v>14299</v>
      </c>
      <c r="G8702" s="198" t="s">
        <v>11450</v>
      </c>
      <c r="H8702" s="199">
        <v>0.5</v>
      </c>
      <c r="I8702" s="16">
        <v>470000000</v>
      </c>
      <c r="J8702" s="16" t="s">
        <v>229</v>
      </c>
      <c r="K8702" s="56" t="s">
        <v>9369</v>
      </c>
      <c r="L8702" s="16" t="s">
        <v>9735</v>
      </c>
      <c r="M8702" s="170"/>
      <c r="N8702" s="65" t="s">
        <v>9474</v>
      </c>
      <c r="O8702" s="78" t="s">
        <v>9470</v>
      </c>
      <c r="P8702" s="64"/>
      <c r="Q8702" s="170"/>
      <c r="R8702" s="288"/>
      <c r="S8702" s="65"/>
      <c r="T8702" s="1">
        <v>930816</v>
      </c>
      <c r="U8702" s="1">
        <f t="shared" si="633"/>
        <v>1042513.92</v>
      </c>
      <c r="V8702" s="3"/>
      <c r="W8702" s="3">
        <v>2014</v>
      </c>
      <c r="X8702" s="3"/>
    </row>
    <row r="8703" spans="1:24" ht="76.5">
      <c r="A8703" s="3" t="s">
        <v>14300</v>
      </c>
      <c r="B8703" s="6" t="s">
        <v>361</v>
      </c>
      <c r="C8703" s="16" t="s">
        <v>16357</v>
      </c>
      <c r="D8703" s="16" t="s">
        <v>14301</v>
      </c>
      <c r="E8703" s="16" t="s">
        <v>14302</v>
      </c>
      <c r="F8703" s="6" t="s">
        <v>14303</v>
      </c>
      <c r="G8703" s="22" t="s">
        <v>11449</v>
      </c>
      <c r="H8703" s="199">
        <v>0.5</v>
      </c>
      <c r="I8703" s="16">
        <v>470000000</v>
      </c>
      <c r="J8703" s="16" t="s">
        <v>229</v>
      </c>
      <c r="K8703" s="56" t="s">
        <v>9453</v>
      </c>
      <c r="L8703" s="16" t="s">
        <v>9735</v>
      </c>
      <c r="M8703" s="170"/>
      <c r="N8703" s="65" t="s">
        <v>9474</v>
      </c>
      <c r="O8703" s="78" t="s">
        <v>9470</v>
      </c>
      <c r="P8703" s="64"/>
      <c r="Q8703" s="170"/>
      <c r="R8703" s="288"/>
      <c r="S8703" s="65"/>
      <c r="T8703" s="1">
        <v>5463394</v>
      </c>
      <c r="U8703" s="1">
        <f t="shared" si="633"/>
        <v>6119001.2800000003</v>
      </c>
      <c r="V8703" s="3"/>
      <c r="W8703" s="3">
        <v>2014</v>
      </c>
      <c r="X8703" s="3"/>
    </row>
    <row r="8704" spans="1:24" ht="76.5">
      <c r="A8704" s="3" t="s">
        <v>14304</v>
      </c>
      <c r="B8704" s="6" t="s">
        <v>361</v>
      </c>
      <c r="C8704" s="16" t="s">
        <v>14305</v>
      </c>
      <c r="D8704" s="16" t="s">
        <v>14306</v>
      </c>
      <c r="E8704" s="16" t="s">
        <v>14306</v>
      </c>
      <c r="F8704" s="6" t="s">
        <v>14307</v>
      </c>
      <c r="G8704" s="22" t="s">
        <v>11449</v>
      </c>
      <c r="H8704" s="199">
        <v>0.5</v>
      </c>
      <c r="I8704" s="16">
        <v>470000000</v>
      </c>
      <c r="J8704" s="16" t="s">
        <v>229</v>
      </c>
      <c r="K8704" s="56" t="s">
        <v>9453</v>
      </c>
      <c r="L8704" s="16" t="s">
        <v>9465</v>
      </c>
      <c r="M8704" s="170"/>
      <c r="N8704" s="65" t="s">
        <v>9474</v>
      </c>
      <c r="O8704" s="78" t="s">
        <v>9470</v>
      </c>
      <c r="P8704" s="64"/>
      <c r="Q8704" s="170"/>
      <c r="R8704" s="288"/>
      <c r="S8704" s="65"/>
      <c r="T8704" s="1">
        <v>2668188</v>
      </c>
      <c r="U8704" s="1">
        <f t="shared" si="633"/>
        <v>2988370.56</v>
      </c>
      <c r="V8704" s="3"/>
      <c r="W8704" s="3">
        <v>2014</v>
      </c>
      <c r="X8704" s="3"/>
    </row>
    <row r="8705" spans="1:24" ht="76.5">
      <c r="A8705" s="3" t="s">
        <v>14308</v>
      </c>
      <c r="B8705" s="6" t="s">
        <v>361</v>
      </c>
      <c r="C8705" s="16" t="s">
        <v>14309</v>
      </c>
      <c r="D8705" s="16" t="s">
        <v>14310</v>
      </c>
      <c r="E8705" s="16" t="s">
        <v>14311</v>
      </c>
      <c r="F8705" s="6" t="s">
        <v>14312</v>
      </c>
      <c r="G8705" s="22" t="s">
        <v>11449</v>
      </c>
      <c r="H8705" s="199">
        <v>0.5</v>
      </c>
      <c r="I8705" s="16">
        <v>470000000</v>
      </c>
      <c r="J8705" s="16" t="s">
        <v>229</v>
      </c>
      <c r="K8705" s="56" t="s">
        <v>9453</v>
      </c>
      <c r="L8705" s="16" t="s">
        <v>9465</v>
      </c>
      <c r="M8705" s="170"/>
      <c r="N8705" s="65" t="s">
        <v>9474</v>
      </c>
      <c r="O8705" s="78" t="s">
        <v>9470</v>
      </c>
      <c r="P8705" s="64"/>
      <c r="Q8705" s="170"/>
      <c r="R8705" s="288"/>
      <c r="S8705" s="65"/>
      <c r="T8705" s="1">
        <v>15400640</v>
      </c>
      <c r="U8705" s="1">
        <f t="shared" si="633"/>
        <v>17248716.800000001</v>
      </c>
      <c r="V8705" s="3"/>
      <c r="W8705" s="3">
        <v>2014</v>
      </c>
      <c r="X8705" s="3"/>
    </row>
    <row r="8706" spans="1:24" ht="76.5">
      <c r="A8706" s="3" t="s">
        <v>14313</v>
      </c>
      <c r="B8706" s="6" t="s">
        <v>361</v>
      </c>
      <c r="C8706" s="16" t="s">
        <v>14314</v>
      </c>
      <c r="D8706" s="16" t="s">
        <v>14315</v>
      </c>
      <c r="E8706" s="16" t="s">
        <v>14316</v>
      </c>
      <c r="F8706" s="6" t="s">
        <v>14356</v>
      </c>
      <c r="G8706" s="22" t="s">
        <v>11449</v>
      </c>
      <c r="H8706" s="199">
        <v>0.5</v>
      </c>
      <c r="I8706" s="16">
        <v>470000000</v>
      </c>
      <c r="J8706" s="16" t="s">
        <v>229</v>
      </c>
      <c r="K8706" s="56" t="s">
        <v>9453</v>
      </c>
      <c r="L8706" s="16" t="s">
        <v>9465</v>
      </c>
      <c r="M8706" s="170"/>
      <c r="N8706" s="65" t="s">
        <v>9474</v>
      </c>
      <c r="O8706" s="78" t="s">
        <v>9470</v>
      </c>
      <c r="P8706" s="64"/>
      <c r="Q8706" s="170"/>
      <c r="R8706" s="288"/>
      <c r="S8706" s="65"/>
      <c r="T8706" s="1">
        <v>4474037</v>
      </c>
      <c r="U8706" s="1">
        <f t="shared" si="633"/>
        <v>5010921.4400000004</v>
      </c>
      <c r="V8706" s="3"/>
      <c r="W8706" s="3">
        <v>2014</v>
      </c>
      <c r="X8706" s="3"/>
    </row>
    <row r="8707" spans="1:24" ht="76.5">
      <c r="A8707" s="3" t="s">
        <v>14317</v>
      </c>
      <c r="B8707" s="6" t="s">
        <v>361</v>
      </c>
      <c r="C8707" s="16" t="s">
        <v>14297</v>
      </c>
      <c r="D8707" s="16" t="s">
        <v>14298</v>
      </c>
      <c r="E8707" s="16" t="s">
        <v>14298</v>
      </c>
      <c r="F8707" s="6" t="s">
        <v>14318</v>
      </c>
      <c r="G8707" s="22" t="s">
        <v>11449</v>
      </c>
      <c r="H8707" s="199">
        <v>0.5</v>
      </c>
      <c r="I8707" s="16">
        <v>470000000</v>
      </c>
      <c r="J8707" s="16" t="s">
        <v>229</v>
      </c>
      <c r="K8707" s="56" t="s">
        <v>9453</v>
      </c>
      <c r="L8707" s="16" t="s">
        <v>9465</v>
      </c>
      <c r="M8707" s="170"/>
      <c r="N8707" s="65" t="s">
        <v>9474</v>
      </c>
      <c r="O8707" s="78" t="s">
        <v>9470</v>
      </c>
      <c r="P8707" s="64"/>
      <c r="Q8707" s="170"/>
      <c r="R8707" s="288"/>
      <c r="S8707" s="65"/>
      <c r="T8707" s="4">
        <v>0</v>
      </c>
      <c r="U8707" s="4">
        <f t="shared" si="633"/>
        <v>0</v>
      </c>
      <c r="V8707" s="3"/>
      <c r="W8707" s="3">
        <v>2014</v>
      </c>
      <c r="X8707" s="3" t="s">
        <v>12076</v>
      </c>
    </row>
    <row r="8708" spans="1:24" ht="76.5">
      <c r="A8708" s="3" t="s">
        <v>14346</v>
      </c>
      <c r="B8708" s="6" t="s">
        <v>361</v>
      </c>
      <c r="C8708" s="16" t="s">
        <v>11395</v>
      </c>
      <c r="D8708" s="16" t="s">
        <v>11396</v>
      </c>
      <c r="E8708" s="16" t="s">
        <v>11396</v>
      </c>
      <c r="F8708" s="6" t="s">
        <v>14355</v>
      </c>
      <c r="G8708" s="22" t="s">
        <v>11449</v>
      </c>
      <c r="H8708" s="199">
        <v>0.5</v>
      </c>
      <c r="I8708" s="16">
        <v>470000000</v>
      </c>
      <c r="J8708" s="16" t="s">
        <v>229</v>
      </c>
      <c r="K8708" s="56" t="s">
        <v>9453</v>
      </c>
      <c r="L8708" s="16" t="s">
        <v>9735</v>
      </c>
      <c r="M8708" s="170"/>
      <c r="N8708" s="65" t="s">
        <v>9474</v>
      </c>
      <c r="O8708" s="78" t="s">
        <v>9470</v>
      </c>
      <c r="P8708" s="64"/>
      <c r="Q8708" s="170"/>
      <c r="R8708" s="288"/>
      <c r="S8708" s="65"/>
      <c r="T8708" s="4">
        <v>0</v>
      </c>
      <c r="U8708" s="4">
        <f t="shared" si="633"/>
        <v>0</v>
      </c>
      <c r="V8708" s="3"/>
      <c r="W8708" s="3">
        <v>2014</v>
      </c>
      <c r="X8708" s="3">
        <v>11</v>
      </c>
    </row>
    <row r="8709" spans="1:24" ht="76.5">
      <c r="A8709" s="3" t="s">
        <v>18377</v>
      </c>
      <c r="B8709" s="6" t="s">
        <v>361</v>
      </c>
      <c r="C8709" s="16" t="s">
        <v>11395</v>
      </c>
      <c r="D8709" s="16" t="s">
        <v>11396</v>
      </c>
      <c r="E8709" s="16" t="s">
        <v>11396</v>
      </c>
      <c r="F8709" s="6" t="s">
        <v>14355</v>
      </c>
      <c r="G8709" s="22" t="s">
        <v>11449</v>
      </c>
      <c r="H8709" s="199">
        <v>0.5</v>
      </c>
      <c r="I8709" s="16">
        <v>470000000</v>
      </c>
      <c r="J8709" s="16" t="s">
        <v>229</v>
      </c>
      <c r="K8709" s="56" t="s">
        <v>8950</v>
      </c>
      <c r="L8709" s="16" t="s">
        <v>9735</v>
      </c>
      <c r="M8709" s="170"/>
      <c r="N8709" s="65" t="s">
        <v>9474</v>
      </c>
      <c r="O8709" s="78" t="s">
        <v>9470</v>
      </c>
      <c r="P8709" s="64"/>
      <c r="Q8709" s="170"/>
      <c r="R8709" s="288"/>
      <c r="S8709" s="65"/>
      <c r="T8709" s="4">
        <v>0</v>
      </c>
      <c r="U8709" s="4">
        <f t="shared" si="633"/>
        <v>0</v>
      </c>
      <c r="V8709" s="3"/>
      <c r="W8709" s="3">
        <v>2014</v>
      </c>
      <c r="X8709" s="3">
        <v>7.11</v>
      </c>
    </row>
    <row r="8710" spans="1:24" ht="76.5">
      <c r="A8710" s="3" t="s">
        <v>18720</v>
      </c>
      <c r="B8710" s="6" t="s">
        <v>361</v>
      </c>
      <c r="C8710" s="16" t="s">
        <v>11395</v>
      </c>
      <c r="D8710" s="16" t="s">
        <v>11396</v>
      </c>
      <c r="E8710" s="16" t="s">
        <v>11396</v>
      </c>
      <c r="F8710" s="6" t="s">
        <v>14355</v>
      </c>
      <c r="G8710" s="22" t="s">
        <v>11450</v>
      </c>
      <c r="H8710" s="199">
        <v>0.5</v>
      </c>
      <c r="I8710" s="16">
        <v>470000000</v>
      </c>
      <c r="J8710" s="16" t="s">
        <v>229</v>
      </c>
      <c r="K8710" s="56" t="s">
        <v>9369</v>
      </c>
      <c r="L8710" s="16" t="s">
        <v>9735</v>
      </c>
      <c r="M8710" s="170"/>
      <c r="N8710" s="65" t="s">
        <v>9474</v>
      </c>
      <c r="O8710" s="78" t="s">
        <v>9470</v>
      </c>
      <c r="P8710" s="64"/>
      <c r="Q8710" s="170"/>
      <c r="R8710" s="288"/>
      <c r="S8710" s="65"/>
      <c r="T8710" s="1">
        <v>2333310</v>
      </c>
      <c r="U8710" s="1">
        <f t="shared" si="633"/>
        <v>2613307.2000000002</v>
      </c>
      <c r="V8710" s="3"/>
      <c r="W8710" s="3">
        <v>2014</v>
      </c>
      <c r="X8710" s="3"/>
    </row>
    <row r="8711" spans="1:24" ht="76.5">
      <c r="A8711" s="3" t="s">
        <v>14347</v>
      </c>
      <c r="B8711" s="6" t="s">
        <v>361</v>
      </c>
      <c r="C8711" s="16" t="s">
        <v>14297</v>
      </c>
      <c r="D8711" s="16" t="s">
        <v>14298</v>
      </c>
      <c r="E8711" s="16" t="s">
        <v>14298</v>
      </c>
      <c r="F8711" s="6" t="s">
        <v>14348</v>
      </c>
      <c r="G8711" s="22" t="s">
        <v>11449</v>
      </c>
      <c r="H8711" s="199">
        <v>0.5</v>
      </c>
      <c r="I8711" s="16">
        <v>470000000</v>
      </c>
      <c r="J8711" s="16" t="s">
        <v>229</v>
      </c>
      <c r="K8711" s="56" t="s">
        <v>9453</v>
      </c>
      <c r="L8711" s="16" t="s">
        <v>9735</v>
      </c>
      <c r="M8711" s="170"/>
      <c r="N8711" s="65" t="s">
        <v>9474</v>
      </c>
      <c r="O8711" s="78" t="s">
        <v>9470</v>
      </c>
      <c r="P8711" s="64"/>
      <c r="Q8711" s="170"/>
      <c r="R8711" s="288"/>
      <c r="S8711" s="65"/>
      <c r="T8711" s="1">
        <v>4589719</v>
      </c>
      <c r="U8711" s="1">
        <f>T8711*1.12</f>
        <v>5140485.28</v>
      </c>
      <c r="V8711" s="3"/>
      <c r="W8711" s="3">
        <v>2014</v>
      </c>
      <c r="X8711" s="3"/>
    </row>
    <row r="8712" spans="1:24" ht="76.5">
      <c r="A8712" s="3" t="s">
        <v>14349</v>
      </c>
      <c r="B8712" s="6" t="s">
        <v>361</v>
      </c>
      <c r="C8712" s="16" t="s">
        <v>14305</v>
      </c>
      <c r="D8712" s="16" t="s">
        <v>14306</v>
      </c>
      <c r="E8712" s="16" t="s">
        <v>14306</v>
      </c>
      <c r="F8712" s="6" t="s">
        <v>14350</v>
      </c>
      <c r="G8712" s="22" t="s">
        <v>11449</v>
      </c>
      <c r="H8712" s="199">
        <v>0.5</v>
      </c>
      <c r="I8712" s="16">
        <v>470000000</v>
      </c>
      <c r="J8712" s="16" t="s">
        <v>229</v>
      </c>
      <c r="K8712" s="56" t="s">
        <v>9453</v>
      </c>
      <c r="L8712" s="16" t="s">
        <v>621</v>
      </c>
      <c r="M8712" s="170"/>
      <c r="N8712" s="65" t="s">
        <v>14357</v>
      </c>
      <c r="O8712" s="78" t="s">
        <v>9470</v>
      </c>
      <c r="P8712" s="64"/>
      <c r="Q8712" s="170"/>
      <c r="R8712" s="288"/>
      <c r="S8712" s="65"/>
      <c r="T8712" s="1">
        <v>33095638</v>
      </c>
      <c r="U8712" s="1">
        <f>T8712*1.12</f>
        <v>37067114.560000002</v>
      </c>
      <c r="V8712" s="3"/>
      <c r="W8712" s="3">
        <v>2014</v>
      </c>
      <c r="X8712" s="3"/>
    </row>
    <row r="8713" spans="1:24" ht="89.25">
      <c r="A8713" s="3" t="s">
        <v>14351</v>
      </c>
      <c r="B8713" s="6" t="s">
        <v>361</v>
      </c>
      <c r="C8713" s="16" t="s">
        <v>15873</v>
      </c>
      <c r="D8713" s="16" t="s">
        <v>15874</v>
      </c>
      <c r="E8713" s="16" t="s">
        <v>15875</v>
      </c>
      <c r="F8713" s="6" t="s">
        <v>14353</v>
      </c>
      <c r="G8713" s="22" t="s">
        <v>11449</v>
      </c>
      <c r="H8713" s="199">
        <v>0.5</v>
      </c>
      <c r="I8713" s="16">
        <v>470000000</v>
      </c>
      <c r="J8713" s="16" t="s">
        <v>229</v>
      </c>
      <c r="K8713" s="56" t="s">
        <v>9453</v>
      </c>
      <c r="L8713" s="16" t="s">
        <v>621</v>
      </c>
      <c r="M8713" s="170"/>
      <c r="N8713" s="65" t="s">
        <v>9474</v>
      </c>
      <c r="O8713" s="78" t="s">
        <v>9470</v>
      </c>
      <c r="P8713" s="64"/>
      <c r="Q8713" s="170"/>
      <c r="R8713" s="288"/>
      <c r="S8713" s="65"/>
      <c r="T8713" s="1">
        <v>18913551</v>
      </c>
      <c r="U8713" s="1">
        <f>T8713*1.12</f>
        <v>21183177.120000001</v>
      </c>
      <c r="V8713" s="3"/>
      <c r="W8713" s="3">
        <v>2014</v>
      </c>
      <c r="X8713" s="3"/>
    </row>
    <row r="8714" spans="1:24" ht="76.5">
      <c r="A8714" s="3" t="s">
        <v>14352</v>
      </c>
      <c r="B8714" s="6" t="s">
        <v>361</v>
      </c>
      <c r="C8714" s="16" t="s">
        <v>15876</v>
      </c>
      <c r="D8714" s="16" t="s">
        <v>15877</v>
      </c>
      <c r="E8714" s="16" t="s">
        <v>15878</v>
      </c>
      <c r="F8714" s="6" t="s">
        <v>14354</v>
      </c>
      <c r="G8714" s="22" t="s">
        <v>11449</v>
      </c>
      <c r="H8714" s="199">
        <v>0.5</v>
      </c>
      <c r="I8714" s="16">
        <v>470000000</v>
      </c>
      <c r="J8714" s="16" t="s">
        <v>229</v>
      </c>
      <c r="K8714" s="56" t="s">
        <v>9453</v>
      </c>
      <c r="L8714" s="16" t="s">
        <v>621</v>
      </c>
      <c r="M8714" s="170"/>
      <c r="N8714" s="65" t="s">
        <v>9474</v>
      </c>
      <c r="O8714" s="78" t="s">
        <v>9470</v>
      </c>
      <c r="P8714" s="64"/>
      <c r="Q8714" s="170"/>
      <c r="R8714" s="288"/>
      <c r="S8714" s="65"/>
      <c r="T8714" s="1">
        <v>45408023</v>
      </c>
      <c r="U8714" s="1">
        <f>T8714*1.12</f>
        <v>50856985.760000005</v>
      </c>
      <c r="V8714" s="3"/>
      <c r="W8714" s="3">
        <v>2014</v>
      </c>
      <c r="X8714" s="3"/>
    </row>
    <row r="8715" spans="1:24" ht="63.75">
      <c r="A8715" s="3" t="s">
        <v>16432</v>
      </c>
      <c r="B8715" s="6" t="s">
        <v>361</v>
      </c>
      <c r="C8715" s="16" t="s">
        <v>9507</v>
      </c>
      <c r="D8715" s="16" t="s">
        <v>9438</v>
      </c>
      <c r="E8715" s="16" t="s">
        <v>9508</v>
      </c>
      <c r="F8715" s="6" t="s">
        <v>16433</v>
      </c>
      <c r="G8715" s="201" t="s">
        <v>11450</v>
      </c>
      <c r="H8715" s="202">
        <v>1</v>
      </c>
      <c r="I8715" s="55">
        <v>470000000</v>
      </c>
      <c r="J8715" s="16" t="s">
        <v>229</v>
      </c>
      <c r="K8715" s="56" t="s">
        <v>9041</v>
      </c>
      <c r="L8715" s="16" t="s">
        <v>14244</v>
      </c>
      <c r="M8715" s="79"/>
      <c r="N8715" s="65" t="s">
        <v>11899</v>
      </c>
      <c r="O8715" s="162" t="s">
        <v>9443</v>
      </c>
      <c r="P8715" s="201"/>
      <c r="Q8715" s="203"/>
      <c r="R8715" s="201"/>
      <c r="S8715" s="201"/>
      <c r="T8715" s="4">
        <v>0</v>
      </c>
      <c r="U8715" s="4">
        <f t="shared" ref="U8715:U8747" si="634">T8715*1.12</f>
        <v>0</v>
      </c>
      <c r="V8715" s="3"/>
      <c r="W8715" s="3">
        <v>2014</v>
      </c>
      <c r="X8715" s="201" t="s">
        <v>14246</v>
      </c>
    </row>
    <row r="8716" spans="1:24" ht="63.75">
      <c r="A8716" s="3" t="s">
        <v>18842</v>
      </c>
      <c r="B8716" s="6" t="s">
        <v>361</v>
      </c>
      <c r="C8716" s="16" t="s">
        <v>9507</v>
      </c>
      <c r="D8716" s="16" t="s">
        <v>9438</v>
      </c>
      <c r="E8716" s="16" t="s">
        <v>9508</v>
      </c>
      <c r="F8716" s="6" t="s">
        <v>16433</v>
      </c>
      <c r="G8716" s="201" t="s">
        <v>11450</v>
      </c>
      <c r="H8716" s="202">
        <v>1</v>
      </c>
      <c r="I8716" s="55">
        <v>470000000</v>
      </c>
      <c r="J8716" s="16" t="s">
        <v>229</v>
      </c>
      <c r="K8716" s="56" t="s">
        <v>18843</v>
      </c>
      <c r="L8716" s="16" t="s">
        <v>18838</v>
      </c>
      <c r="M8716" s="79"/>
      <c r="N8716" s="65" t="s">
        <v>18839</v>
      </c>
      <c r="O8716" s="162" t="s">
        <v>9443</v>
      </c>
      <c r="P8716" s="201"/>
      <c r="Q8716" s="203"/>
      <c r="R8716" s="201"/>
      <c r="S8716" s="201"/>
      <c r="T8716" s="237">
        <v>925946</v>
      </c>
      <c r="U8716" s="1">
        <f t="shared" si="634"/>
        <v>1037059.5200000001</v>
      </c>
      <c r="V8716" s="3"/>
      <c r="W8716" s="3">
        <v>2014</v>
      </c>
      <c r="X8716" s="201"/>
    </row>
    <row r="8717" spans="1:24" ht="140.25">
      <c r="A8717" s="3" t="s">
        <v>16637</v>
      </c>
      <c r="B8717" s="6" t="s">
        <v>361</v>
      </c>
      <c r="C8717" s="16" t="s">
        <v>16634</v>
      </c>
      <c r="D8717" s="16" t="s">
        <v>16635</v>
      </c>
      <c r="E8717" s="16" t="s">
        <v>16636</v>
      </c>
      <c r="F8717" s="6" t="s">
        <v>16639</v>
      </c>
      <c r="G8717" s="201" t="s">
        <v>11449</v>
      </c>
      <c r="H8717" s="202">
        <v>0.5</v>
      </c>
      <c r="I8717" s="55">
        <v>470000000</v>
      </c>
      <c r="J8717" s="16" t="s">
        <v>229</v>
      </c>
      <c r="K8717" s="56" t="s">
        <v>8950</v>
      </c>
      <c r="L8717" s="16" t="s">
        <v>16641</v>
      </c>
      <c r="M8717" s="79"/>
      <c r="N8717" s="65" t="s">
        <v>16648</v>
      </c>
      <c r="O8717" s="78" t="s">
        <v>9470</v>
      </c>
      <c r="P8717" s="201"/>
      <c r="Q8717" s="203"/>
      <c r="R8717" s="201"/>
      <c r="S8717" s="201"/>
      <c r="T8717" s="4">
        <v>0</v>
      </c>
      <c r="U8717" s="4">
        <f t="shared" si="634"/>
        <v>0</v>
      </c>
      <c r="V8717" s="3"/>
      <c r="W8717" s="3">
        <v>2014</v>
      </c>
      <c r="X8717" s="201">
        <v>11</v>
      </c>
    </row>
    <row r="8718" spans="1:24" ht="140.25">
      <c r="A8718" s="3" t="s">
        <v>18461</v>
      </c>
      <c r="B8718" s="6" t="s">
        <v>361</v>
      </c>
      <c r="C8718" s="16" t="s">
        <v>16634</v>
      </c>
      <c r="D8718" s="16" t="s">
        <v>16635</v>
      </c>
      <c r="E8718" s="16" t="s">
        <v>16636</v>
      </c>
      <c r="F8718" s="6" t="s">
        <v>16639</v>
      </c>
      <c r="G8718" s="201" t="s">
        <v>11449</v>
      </c>
      <c r="H8718" s="202">
        <v>0.5</v>
      </c>
      <c r="I8718" s="55">
        <v>470000000</v>
      </c>
      <c r="J8718" s="16" t="s">
        <v>229</v>
      </c>
      <c r="K8718" s="56" t="s">
        <v>9369</v>
      </c>
      <c r="L8718" s="16" t="s">
        <v>16641</v>
      </c>
      <c r="M8718" s="79"/>
      <c r="N8718" s="65" t="s">
        <v>16648</v>
      </c>
      <c r="O8718" s="78" t="s">
        <v>9470</v>
      </c>
      <c r="P8718" s="201"/>
      <c r="Q8718" s="203"/>
      <c r="R8718" s="201"/>
      <c r="S8718" s="201"/>
      <c r="T8718" s="4">
        <v>0</v>
      </c>
      <c r="U8718" s="4">
        <f t="shared" si="634"/>
        <v>0</v>
      </c>
      <c r="V8718" s="3"/>
      <c r="W8718" s="3">
        <v>2014</v>
      </c>
      <c r="X8718" s="201" t="s">
        <v>19395</v>
      </c>
    </row>
    <row r="8719" spans="1:24" ht="102">
      <c r="A8719" s="3" t="s">
        <v>19610</v>
      </c>
      <c r="B8719" s="6" t="s">
        <v>361</v>
      </c>
      <c r="C8719" s="16" t="s">
        <v>19611</v>
      </c>
      <c r="D8719" s="16" t="s">
        <v>19612</v>
      </c>
      <c r="E8719" s="16" t="s">
        <v>19612</v>
      </c>
      <c r="F8719" s="6" t="s">
        <v>16639</v>
      </c>
      <c r="G8719" s="201" t="s">
        <v>11449</v>
      </c>
      <c r="H8719" s="202">
        <v>0.5</v>
      </c>
      <c r="I8719" s="55">
        <v>470000000</v>
      </c>
      <c r="J8719" s="16" t="s">
        <v>229</v>
      </c>
      <c r="K8719" s="56" t="s">
        <v>9956</v>
      </c>
      <c r="L8719" s="16" t="s">
        <v>16641</v>
      </c>
      <c r="M8719" s="79"/>
      <c r="N8719" s="65" t="s">
        <v>19398</v>
      </c>
      <c r="O8719" s="78" t="s">
        <v>19407</v>
      </c>
      <c r="P8719" s="201"/>
      <c r="Q8719" s="203"/>
      <c r="R8719" s="201"/>
      <c r="S8719" s="201"/>
      <c r="T8719" s="237">
        <v>19050000</v>
      </c>
      <c r="U8719" s="1">
        <f t="shared" ref="U8719" si="635">T8719*1.12</f>
        <v>21336000.000000004</v>
      </c>
      <c r="V8719" s="3"/>
      <c r="W8719" s="3">
        <v>2014</v>
      </c>
      <c r="X8719" s="201"/>
    </row>
    <row r="8720" spans="1:24" ht="140.25">
      <c r="A8720" s="3" t="s">
        <v>16638</v>
      </c>
      <c r="B8720" s="6" t="s">
        <v>361</v>
      </c>
      <c r="C8720" s="16" t="s">
        <v>16634</v>
      </c>
      <c r="D8720" s="16" t="s">
        <v>16635</v>
      </c>
      <c r="E8720" s="16" t="s">
        <v>16636</v>
      </c>
      <c r="F8720" s="6" t="s">
        <v>16640</v>
      </c>
      <c r="G8720" s="201" t="s">
        <v>11449</v>
      </c>
      <c r="H8720" s="202">
        <v>0.5</v>
      </c>
      <c r="I8720" s="55">
        <v>470000000</v>
      </c>
      <c r="J8720" s="16" t="s">
        <v>229</v>
      </c>
      <c r="K8720" s="56" t="s">
        <v>8950</v>
      </c>
      <c r="L8720" s="16" t="s">
        <v>16642</v>
      </c>
      <c r="M8720" s="79"/>
      <c r="N8720" s="65" t="s">
        <v>16648</v>
      </c>
      <c r="O8720" s="78" t="s">
        <v>9470</v>
      </c>
      <c r="P8720" s="201"/>
      <c r="Q8720" s="203"/>
      <c r="R8720" s="201"/>
      <c r="S8720" s="201"/>
      <c r="T8720" s="4">
        <v>0</v>
      </c>
      <c r="U8720" s="4">
        <f t="shared" si="634"/>
        <v>0</v>
      </c>
      <c r="V8720" s="3"/>
      <c r="W8720" s="3">
        <v>2014</v>
      </c>
      <c r="X8720" s="201">
        <v>11</v>
      </c>
    </row>
    <row r="8721" spans="1:24" ht="140.25">
      <c r="A8721" s="3" t="s">
        <v>18462</v>
      </c>
      <c r="B8721" s="6" t="s">
        <v>361</v>
      </c>
      <c r="C8721" s="16" t="s">
        <v>16634</v>
      </c>
      <c r="D8721" s="16" t="s">
        <v>16635</v>
      </c>
      <c r="E8721" s="16" t="s">
        <v>16636</v>
      </c>
      <c r="F8721" s="6" t="s">
        <v>16640</v>
      </c>
      <c r="G8721" s="201" t="s">
        <v>11449</v>
      </c>
      <c r="H8721" s="202">
        <v>0.5</v>
      </c>
      <c r="I8721" s="55">
        <v>470000000</v>
      </c>
      <c r="J8721" s="16" t="s">
        <v>229</v>
      </c>
      <c r="K8721" s="56" t="s">
        <v>9369</v>
      </c>
      <c r="L8721" s="16" t="s">
        <v>16642</v>
      </c>
      <c r="M8721" s="79"/>
      <c r="N8721" s="65" t="s">
        <v>16648</v>
      </c>
      <c r="O8721" s="78" t="s">
        <v>9470</v>
      </c>
      <c r="P8721" s="201"/>
      <c r="Q8721" s="203"/>
      <c r="R8721" s="201"/>
      <c r="S8721" s="201"/>
      <c r="T8721" s="4">
        <v>0</v>
      </c>
      <c r="U8721" s="4">
        <f t="shared" si="634"/>
        <v>0</v>
      </c>
      <c r="V8721" s="3"/>
      <c r="W8721" s="3">
        <v>2014</v>
      </c>
      <c r="X8721" s="201" t="s">
        <v>19395</v>
      </c>
    </row>
    <row r="8722" spans="1:24" ht="76.5">
      <c r="A8722" s="3" t="s">
        <v>19613</v>
      </c>
      <c r="B8722" s="6" t="s">
        <v>361</v>
      </c>
      <c r="C8722" s="16" t="s">
        <v>19611</v>
      </c>
      <c r="D8722" s="16" t="s">
        <v>19612</v>
      </c>
      <c r="E8722" s="16" t="s">
        <v>19612</v>
      </c>
      <c r="F8722" s="6" t="s">
        <v>16640</v>
      </c>
      <c r="G8722" s="201" t="s">
        <v>11449</v>
      </c>
      <c r="H8722" s="202">
        <v>0.5</v>
      </c>
      <c r="I8722" s="55">
        <v>470000000</v>
      </c>
      <c r="J8722" s="16" t="s">
        <v>229</v>
      </c>
      <c r="K8722" s="56" t="s">
        <v>9956</v>
      </c>
      <c r="L8722" s="16" t="s">
        <v>16642</v>
      </c>
      <c r="M8722" s="79"/>
      <c r="N8722" s="65" t="s">
        <v>19398</v>
      </c>
      <c r="O8722" s="78" t="s">
        <v>19407</v>
      </c>
      <c r="P8722" s="201"/>
      <c r="Q8722" s="203"/>
      <c r="R8722" s="201"/>
      <c r="S8722" s="201"/>
      <c r="T8722" s="237">
        <v>19050000</v>
      </c>
      <c r="U8722" s="1">
        <f t="shared" ref="U8722" si="636">T8722*1.12</f>
        <v>21336000.000000004</v>
      </c>
      <c r="V8722" s="3"/>
      <c r="W8722" s="3">
        <v>2014</v>
      </c>
      <c r="X8722" s="201"/>
    </row>
    <row r="8723" spans="1:24" ht="63.75">
      <c r="A8723" s="3" t="s">
        <v>17031</v>
      </c>
      <c r="B8723" s="6" t="s">
        <v>361</v>
      </c>
      <c r="C8723" s="16" t="s">
        <v>17032</v>
      </c>
      <c r="D8723" s="16" t="s">
        <v>17033</v>
      </c>
      <c r="E8723" s="16" t="s">
        <v>17034</v>
      </c>
      <c r="F8723" s="6" t="s">
        <v>17038</v>
      </c>
      <c r="G8723" s="198" t="s">
        <v>11449</v>
      </c>
      <c r="H8723" s="67">
        <v>0.4</v>
      </c>
      <c r="I8723" s="16">
        <v>470000000</v>
      </c>
      <c r="J8723" s="16" t="s">
        <v>229</v>
      </c>
      <c r="K8723" s="56" t="s">
        <v>8950</v>
      </c>
      <c r="L8723" s="16" t="s">
        <v>9464</v>
      </c>
      <c r="M8723" s="79"/>
      <c r="N8723" s="65" t="s">
        <v>18199</v>
      </c>
      <c r="O8723" s="162" t="s">
        <v>9443</v>
      </c>
      <c r="P8723" s="201"/>
      <c r="Q8723" s="203"/>
      <c r="R8723" s="201"/>
      <c r="S8723" s="201"/>
      <c r="T8723" s="237">
        <v>23271616</v>
      </c>
      <c r="U8723" s="1">
        <f t="shared" si="634"/>
        <v>26064209.920000002</v>
      </c>
      <c r="V8723" s="3"/>
      <c r="W8723" s="3">
        <v>2014</v>
      </c>
      <c r="X8723" s="201"/>
    </row>
    <row r="8724" spans="1:24" ht="76.5">
      <c r="A8724" s="3" t="s">
        <v>17036</v>
      </c>
      <c r="B8724" s="6" t="s">
        <v>361</v>
      </c>
      <c r="C8724" s="16" t="s">
        <v>17032</v>
      </c>
      <c r="D8724" s="16" t="s">
        <v>17033</v>
      </c>
      <c r="E8724" s="16" t="s">
        <v>17034</v>
      </c>
      <c r="F8724" s="6" t="s">
        <v>17037</v>
      </c>
      <c r="G8724" s="198" t="s">
        <v>11449</v>
      </c>
      <c r="H8724" s="67">
        <v>0.4</v>
      </c>
      <c r="I8724" s="16">
        <v>470000000</v>
      </c>
      <c r="J8724" s="16" t="s">
        <v>229</v>
      </c>
      <c r="K8724" s="56" t="s">
        <v>8950</v>
      </c>
      <c r="L8724" s="16" t="s">
        <v>9465</v>
      </c>
      <c r="M8724" s="79"/>
      <c r="N8724" s="65" t="s">
        <v>17122</v>
      </c>
      <c r="O8724" s="162" t="s">
        <v>9443</v>
      </c>
      <c r="P8724" s="201"/>
      <c r="Q8724" s="203"/>
      <c r="R8724" s="201"/>
      <c r="S8724" s="201"/>
      <c r="T8724" s="237">
        <v>22098354</v>
      </c>
      <c r="U8724" s="1">
        <f t="shared" si="634"/>
        <v>24750156.480000004</v>
      </c>
      <c r="V8724" s="3"/>
      <c r="W8724" s="3">
        <v>2014</v>
      </c>
      <c r="X8724" s="201"/>
    </row>
    <row r="8725" spans="1:24" ht="63.75">
      <c r="A8725" s="3" t="s">
        <v>17039</v>
      </c>
      <c r="B8725" s="6" t="s">
        <v>361</v>
      </c>
      <c r="C8725" s="16" t="s">
        <v>17040</v>
      </c>
      <c r="D8725" s="16" t="s">
        <v>17041</v>
      </c>
      <c r="E8725" s="16" t="s">
        <v>17042</v>
      </c>
      <c r="F8725" s="6" t="s">
        <v>17189</v>
      </c>
      <c r="G8725" s="198" t="s">
        <v>11449</v>
      </c>
      <c r="H8725" s="67">
        <v>0.4</v>
      </c>
      <c r="I8725" s="16">
        <v>470000000</v>
      </c>
      <c r="J8725" s="16" t="s">
        <v>229</v>
      </c>
      <c r="K8725" s="56" t="s">
        <v>9041</v>
      </c>
      <c r="L8725" s="16" t="s">
        <v>9465</v>
      </c>
      <c r="M8725" s="79"/>
      <c r="N8725" s="65" t="s">
        <v>17123</v>
      </c>
      <c r="O8725" s="162" t="s">
        <v>9443</v>
      </c>
      <c r="P8725" s="201"/>
      <c r="Q8725" s="203"/>
      <c r="R8725" s="201"/>
      <c r="S8725" s="201"/>
      <c r="T8725" s="237">
        <v>32747875</v>
      </c>
      <c r="U8725" s="1">
        <f t="shared" si="634"/>
        <v>36677620</v>
      </c>
      <c r="V8725" s="3"/>
      <c r="W8725" s="3">
        <v>2014</v>
      </c>
      <c r="X8725" s="201"/>
    </row>
    <row r="8726" spans="1:24" ht="114.75">
      <c r="A8726" s="3" t="s">
        <v>17043</v>
      </c>
      <c r="B8726" s="56" t="s">
        <v>361</v>
      </c>
      <c r="C8726" s="16" t="s">
        <v>11416</v>
      </c>
      <c r="D8726" s="16" t="s">
        <v>11417</v>
      </c>
      <c r="E8726" s="16" t="s">
        <v>11418</v>
      </c>
      <c r="F8726" s="16" t="s">
        <v>17044</v>
      </c>
      <c r="G8726" s="198" t="s">
        <v>11450</v>
      </c>
      <c r="H8726" s="199">
        <v>0.5</v>
      </c>
      <c r="I8726" s="16">
        <v>470000000</v>
      </c>
      <c r="J8726" s="16" t="s">
        <v>229</v>
      </c>
      <c r="K8726" s="56" t="s">
        <v>9041</v>
      </c>
      <c r="L8726" s="16" t="s">
        <v>9465</v>
      </c>
      <c r="M8726" s="79"/>
      <c r="N8726" s="65" t="s">
        <v>17124</v>
      </c>
      <c r="O8726" s="78" t="s">
        <v>9470</v>
      </c>
      <c r="P8726" s="79"/>
      <c r="Q8726" s="79"/>
      <c r="R8726" s="201"/>
      <c r="S8726" s="201"/>
      <c r="T8726" s="237">
        <v>0</v>
      </c>
      <c r="U8726" s="1">
        <f t="shared" si="634"/>
        <v>0</v>
      </c>
      <c r="V8726" s="3"/>
      <c r="W8726" s="3">
        <v>2014</v>
      </c>
      <c r="X8726" s="201">
        <v>11</v>
      </c>
    </row>
    <row r="8727" spans="1:24" ht="114.75">
      <c r="A8727" s="3" t="s">
        <v>18721</v>
      </c>
      <c r="B8727" s="56" t="s">
        <v>361</v>
      </c>
      <c r="C8727" s="16" t="s">
        <v>11416</v>
      </c>
      <c r="D8727" s="16" t="s">
        <v>11417</v>
      </c>
      <c r="E8727" s="16" t="s">
        <v>11418</v>
      </c>
      <c r="F8727" s="16" t="s">
        <v>17044</v>
      </c>
      <c r="G8727" s="198" t="s">
        <v>11450</v>
      </c>
      <c r="H8727" s="199">
        <v>0.5</v>
      </c>
      <c r="I8727" s="16">
        <v>470000000</v>
      </c>
      <c r="J8727" s="16" t="s">
        <v>229</v>
      </c>
      <c r="K8727" s="56" t="s">
        <v>9369</v>
      </c>
      <c r="L8727" s="16" t="s">
        <v>9465</v>
      </c>
      <c r="M8727" s="79"/>
      <c r="N8727" s="65" t="s">
        <v>17124</v>
      </c>
      <c r="O8727" s="78" t="s">
        <v>9470</v>
      </c>
      <c r="P8727" s="79"/>
      <c r="Q8727" s="79"/>
      <c r="R8727" s="201"/>
      <c r="S8727" s="201"/>
      <c r="T8727" s="237">
        <v>5878828</v>
      </c>
      <c r="U8727" s="1">
        <f t="shared" si="634"/>
        <v>6584287.3600000003</v>
      </c>
      <c r="V8727" s="3"/>
      <c r="W8727" s="3">
        <v>2014</v>
      </c>
      <c r="X8727" s="201"/>
    </row>
    <row r="8728" spans="1:24" ht="63.75">
      <c r="A8728" s="3" t="s">
        <v>17047</v>
      </c>
      <c r="B8728" s="6" t="s">
        <v>361</v>
      </c>
      <c r="C8728" s="16" t="s">
        <v>14297</v>
      </c>
      <c r="D8728" s="16" t="s">
        <v>14298</v>
      </c>
      <c r="E8728" s="16" t="s">
        <v>14298</v>
      </c>
      <c r="F8728" s="16" t="s">
        <v>17048</v>
      </c>
      <c r="G8728" s="198" t="s">
        <v>11450</v>
      </c>
      <c r="H8728" s="199">
        <v>0.5</v>
      </c>
      <c r="I8728" s="16">
        <v>470000000</v>
      </c>
      <c r="J8728" s="16" t="s">
        <v>229</v>
      </c>
      <c r="K8728" s="56" t="s">
        <v>9041</v>
      </c>
      <c r="L8728" s="16" t="s">
        <v>9465</v>
      </c>
      <c r="M8728" s="170"/>
      <c r="N8728" s="65" t="s">
        <v>17125</v>
      </c>
      <c r="O8728" s="78" t="s">
        <v>9470</v>
      </c>
      <c r="P8728" s="64"/>
      <c r="Q8728" s="170"/>
      <c r="R8728" s="288"/>
      <c r="S8728" s="65"/>
      <c r="T8728" s="237">
        <v>1114705</v>
      </c>
      <c r="U8728" s="1">
        <f t="shared" si="634"/>
        <v>1248469.6000000001</v>
      </c>
      <c r="V8728" s="3"/>
      <c r="W8728" s="3">
        <v>2014</v>
      </c>
      <c r="X8728" s="201"/>
    </row>
    <row r="8729" spans="1:24" ht="63.75">
      <c r="A8729" s="3" t="s">
        <v>17056</v>
      </c>
      <c r="B8729" s="6" t="s">
        <v>361</v>
      </c>
      <c r="C8729" s="16" t="s">
        <v>9471</v>
      </c>
      <c r="D8729" s="16" t="s">
        <v>9472</v>
      </c>
      <c r="E8729" s="16" t="s">
        <v>9473</v>
      </c>
      <c r="F8729" s="16" t="s">
        <v>17049</v>
      </c>
      <c r="G8729" s="198" t="s">
        <v>11450</v>
      </c>
      <c r="H8729" s="199">
        <v>0.5</v>
      </c>
      <c r="I8729" s="16">
        <v>470000000</v>
      </c>
      <c r="J8729" s="16" t="s">
        <v>229</v>
      </c>
      <c r="K8729" s="56" t="s">
        <v>9041</v>
      </c>
      <c r="L8729" s="16" t="s">
        <v>9465</v>
      </c>
      <c r="M8729" s="170"/>
      <c r="N8729" s="65" t="s">
        <v>17126</v>
      </c>
      <c r="O8729" s="78" t="s">
        <v>9470</v>
      </c>
      <c r="P8729" s="64"/>
      <c r="Q8729" s="170"/>
      <c r="R8729" s="288"/>
      <c r="S8729" s="65"/>
      <c r="T8729" s="237">
        <v>2485311</v>
      </c>
      <c r="U8729" s="1">
        <f t="shared" si="634"/>
        <v>2783548.3200000003</v>
      </c>
      <c r="V8729" s="3"/>
      <c r="W8729" s="3">
        <v>2014</v>
      </c>
      <c r="X8729" s="201"/>
    </row>
    <row r="8730" spans="1:24" ht="63.75">
      <c r="A8730" s="3" t="s">
        <v>17057</v>
      </c>
      <c r="B8730" s="6" t="s">
        <v>361</v>
      </c>
      <c r="C8730" s="16" t="s">
        <v>9471</v>
      </c>
      <c r="D8730" s="16" t="s">
        <v>9472</v>
      </c>
      <c r="E8730" s="16" t="s">
        <v>9473</v>
      </c>
      <c r="F8730" s="16" t="s">
        <v>17050</v>
      </c>
      <c r="G8730" s="198" t="s">
        <v>11450</v>
      </c>
      <c r="H8730" s="199">
        <v>0.5</v>
      </c>
      <c r="I8730" s="16">
        <v>470000000</v>
      </c>
      <c r="J8730" s="16" t="s">
        <v>229</v>
      </c>
      <c r="K8730" s="56" t="s">
        <v>9041</v>
      </c>
      <c r="L8730" s="16" t="s">
        <v>9465</v>
      </c>
      <c r="M8730" s="170"/>
      <c r="N8730" s="65" t="s">
        <v>17126</v>
      </c>
      <c r="O8730" s="78" t="s">
        <v>9470</v>
      </c>
      <c r="P8730" s="64"/>
      <c r="Q8730" s="170"/>
      <c r="R8730" s="288"/>
      <c r="S8730" s="65"/>
      <c r="T8730" s="237">
        <v>4292681</v>
      </c>
      <c r="U8730" s="1">
        <f t="shared" si="634"/>
        <v>4807802.7200000007</v>
      </c>
      <c r="V8730" s="3"/>
      <c r="W8730" s="3">
        <v>2014</v>
      </c>
      <c r="X8730" s="201"/>
    </row>
    <row r="8731" spans="1:24" ht="63.75">
      <c r="A8731" s="3" t="s">
        <v>17058</v>
      </c>
      <c r="B8731" s="6" t="s">
        <v>361</v>
      </c>
      <c r="C8731" s="16" t="s">
        <v>9471</v>
      </c>
      <c r="D8731" s="16" t="s">
        <v>9472</v>
      </c>
      <c r="E8731" s="16" t="s">
        <v>9473</v>
      </c>
      <c r="F8731" s="16" t="s">
        <v>17051</v>
      </c>
      <c r="G8731" s="16" t="s">
        <v>11449</v>
      </c>
      <c r="H8731" s="199">
        <v>0.5</v>
      </c>
      <c r="I8731" s="16">
        <v>470000000</v>
      </c>
      <c r="J8731" s="16" t="s">
        <v>229</v>
      </c>
      <c r="K8731" s="56" t="s">
        <v>9041</v>
      </c>
      <c r="L8731" s="16" t="s">
        <v>9465</v>
      </c>
      <c r="M8731" s="170"/>
      <c r="N8731" s="65" t="s">
        <v>17127</v>
      </c>
      <c r="O8731" s="78" t="s">
        <v>9470</v>
      </c>
      <c r="P8731" s="64"/>
      <c r="Q8731" s="170"/>
      <c r="R8731" s="288"/>
      <c r="S8731" s="65"/>
      <c r="T8731" s="237">
        <v>11093110</v>
      </c>
      <c r="U8731" s="1">
        <f t="shared" si="634"/>
        <v>12424283.200000001</v>
      </c>
      <c r="V8731" s="3"/>
      <c r="W8731" s="3">
        <v>2014</v>
      </c>
      <c r="X8731" s="201"/>
    </row>
    <row r="8732" spans="1:24" ht="76.5">
      <c r="A8732" s="3" t="s">
        <v>17066</v>
      </c>
      <c r="B8732" s="6" t="s">
        <v>361</v>
      </c>
      <c r="C8732" s="16" t="s">
        <v>14297</v>
      </c>
      <c r="D8732" s="16" t="s">
        <v>14298</v>
      </c>
      <c r="E8732" s="16" t="s">
        <v>14298</v>
      </c>
      <c r="F8732" s="16" t="s">
        <v>17052</v>
      </c>
      <c r="G8732" s="198" t="s">
        <v>11450</v>
      </c>
      <c r="H8732" s="199">
        <v>0.5</v>
      </c>
      <c r="I8732" s="16">
        <v>470000000</v>
      </c>
      <c r="J8732" s="16" t="s">
        <v>229</v>
      </c>
      <c r="K8732" s="56" t="s">
        <v>9041</v>
      </c>
      <c r="L8732" s="16" t="s">
        <v>9465</v>
      </c>
      <c r="M8732" s="170"/>
      <c r="N8732" s="65" t="s">
        <v>9474</v>
      </c>
      <c r="O8732" s="78" t="s">
        <v>9470</v>
      </c>
      <c r="P8732" s="64"/>
      <c r="Q8732" s="170"/>
      <c r="R8732" s="288"/>
      <c r="S8732" s="65"/>
      <c r="T8732" s="237">
        <v>3822257</v>
      </c>
      <c r="U8732" s="1">
        <f t="shared" si="634"/>
        <v>4280927.8400000008</v>
      </c>
      <c r="V8732" s="3"/>
      <c r="W8732" s="3">
        <v>2014</v>
      </c>
      <c r="X8732" s="201"/>
    </row>
    <row r="8733" spans="1:24" ht="63.75">
      <c r="A8733" s="3" t="s">
        <v>17067</v>
      </c>
      <c r="B8733" s="6" t="s">
        <v>361</v>
      </c>
      <c r="C8733" s="16" t="s">
        <v>14297</v>
      </c>
      <c r="D8733" s="16" t="s">
        <v>14298</v>
      </c>
      <c r="E8733" s="16" t="s">
        <v>14298</v>
      </c>
      <c r="F8733" s="16" t="s">
        <v>17053</v>
      </c>
      <c r="G8733" s="198" t="s">
        <v>11450</v>
      </c>
      <c r="H8733" s="199">
        <v>0.5</v>
      </c>
      <c r="I8733" s="16">
        <v>470000000</v>
      </c>
      <c r="J8733" s="16" t="s">
        <v>229</v>
      </c>
      <c r="K8733" s="56" t="s">
        <v>9041</v>
      </c>
      <c r="L8733" s="16" t="s">
        <v>9465</v>
      </c>
      <c r="M8733" s="170"/>
      <c r="N8733" s="65" t="s">
        <v>17125</v>
      </c>
      <c r="O8733" s="78" t="s">
        <v>9470</v>
      </c>
      <c r="P8733" s="64"/>
      <c r="Q8733" s="170"/>
      <c r="R8733" s="288"/>
      <c r="S8733" s="65"/>
      <c r="T8733" s="237">
        <v>1273188</v>
      </c>
      <c r="U8733" s="1">
        <f t="shared" si="634"/>
        <v>1425970.56</v>
      </c>
      <c r="V8733" s="3"/>
      <c r="W8733" s="3">
        <v>2014</v>
      </c>
      <c r="X8733" s="201"/>
    </row>
    <row r="8734" spans="1:24" ht="63.75">
      <c r="A8734" s="3" t="s">
        <v>17068</v>
      </c>
      <c r="B8734" s="6" t="s">
        <v>361</v>
      </c>
      <c r="C8734" s="16" t="s">
        <v>9471</v>
      </c>
      <c r="D8734" s="16" t="s">
        <v>9472</v>
      </c>
      <c r="E8734" s="16" t="s">
        <v>9473</v>
      </c>
      <c r="F8734" s="16" t="s">
        <v>17054</v>
      </c>
      <c r="G8734" s="198" t="s">
        <v>11450</v>
      </c>
      <c r="H8734" s="199">
        <v>0.5</v>
      </c>
      <c r="I8734" s="16">
        <v>470000000</v>
      </c>
      <c r="J8734" s="16" t="s">
        <v>229</v>
      </c>
      <c r="K8734" s="56" t="s">
        <v>9041</v>
      </c>
      <c r="L8734" s="16" t="s">
        <v>9465</v>
      </c>
      <c r="M8734" s="170"/>
      <c r="N8734" s="65" t="s">
        <v>17126</v>
      </c>
      <c r="O8734" s="78" t="s">
        <v>9470</v>
      </c>
      <c r="P8734" s="64"/>
      <c r="Q8734" s="170"/>
      <c r="R8734" s="288"/>
      <c r="S8734" s="65"/>
      <c r="T8734" s="237">
        <v>3407864</v>
      </c>
      <c r="U8734" s="1">
        <f t="shared" si="634"/>
        <v>3816807.68</v>
      </c>
      <c r="V8734" s="3"/>
      <c r="W8734" s="3">
        <v>2014</v>
      </c>
      <c r="X8734" s="201"/>
    </row>
    <row r="8735" spans="1:24" ht="63.75">
      <c r="A8735" s="3" t="s">
        <v>17069</v>
      </c>
      <c r="B8735" s="6" t="s">
        <v>361</v>
      </c>
      <c r="C8735" s="16" t="s">
        <v>17081</v>
      </c>
      <c r="D8735" s="16" t="s">
        <v>17082</v>
      </c>
      <c r="E8735" s="16" t="s">
        <v>17082</v>
      </c>
      <c r="F8735" s="16" t="s">
        <v>17055</v>
      </c>
      <c r="G8735" s="16" t="s">
        <v>11449</v>
      </c>
      <c r="H8735" s="199">
        <v>0.5</v>
      </c>
      <c r="I8735" s="16">
        <v>470000000</v>
      </c>
      <c r="J8735" s="16" t="s">
        <v>229</v>
      </c>
      <c r="K8735" s="56" t="s">
        <v>9041</v>
      </c>
      <c r="L8735" s="16" t="s">
        <v>9464</v>
      </c>
      <c r="M8735" s="170"/>
      <c r="N8735" s="65" t="s">
        <v>17128</v>
      </c>
      <c r="O8735" s="78" t="s">
        <v>9470</v>
      </c>
      <c r="P8735" s="64"/>
      <c r="Q8735" s="170"/>
      <c r="R8735" s="288"/>
      <c r="S8735" s="65"/>
      <c r="T8735" s="237">
        <v>12323889</v>
      </c>
      <c r="U8735" s="1">
        <f t="shared" si="634"/>
        <v>13802755.680000002</v>
      </c>
      <c r="V8735" s="3"/>
      <c r="W8735" s="3">
        <v>2014</v>
      </c>
      <c r="X8735" s="201"/>
    </row>
    <row r="8736" spans="1:24" ht="76.5">
      <c r="A8736" s="3" t="s">
        <v>17070</v>
      </c>
      <c r="B8736" s="6" t="s">
        <v>361</v>
      </c>
      <c r="C8736" s="16" t="s">
        <v>17185</v>
      </c>
      <c r="D8736" s="16" t="s">
        <v>17186</v>
      </c>
      <c r="E8736" s="16" t="s">
        <v>17187</v>
      </c>
      <c r="F8736" s="16" t="s">
        <v>17188</v>
      </c>
      <c r="G8736" s="16" t="s">
        <v>11449</v>
      </c>
      <c r="H8736" s="199">
        <v>0.5</v>
      </c>
      <c r="I8736" s="16">
        <v>470000000</v>
      </c>
      <c r="J8736" s="16" t="s">
        <v>229</v>
      </c>
      <c r="K8736" s="56" t="s">
        <v>9041</v>
      </c>
      <c r="L8736" s="16" t="s">
        <v>9464</v>
      </c>
      <c r="M8736" s="170"/>
      <c r="N8736" s="65" t="s">
        <v>11431</v>
      </c>
      <c r="O8736" s="78" t="s">
        <v>9470</v>
      </c>
      <c r="P8736" s="64"/>
      <c r="Q8736" s="170"/>
      <c r="R8736" s="288"/>
      <c r="S8736" s="65"/>
      <c r="T8736" s="237">
        <v>7204081</v>
      </c>
      <c r="U8736" s="1">
        <f t="shared" si="634"/>
        <v>8068570.7200000007</v>
      </c>
      <c r="V8736" s="3"/>
      <c r="W8736" s="3">
        <v>2014</v>
      </c>
      <c r="X8736" s="201"/>
    </row>
    <row r="8737" spans="1:24" ht="63.75">
      <c r="A8737" s="3" t="s">
        <v>17071</v>
      </c>
      <c r="B8737" s="6" t="s">
        <v>361</v>
      </c>
      <c r="C8737" s="16" t="s">
        <v>17078</v>
      </c>
      <c r="D8737" s="16" t="s">
        <v>17079</v>
      </c>
      <c r="E8737" s="16" t="s">
        <v>17080</v>
      </c>
      <c r="F8737" s="16" t="s">
        <v>17059</v>
      </c>
      <c r="G8737" s="16" t="s">
        <v>11449</v>
      </c>
      <c r="H8737" s="199">
        <v>0.5</v>
      </c>
      <c r="I8737" s="16">
        <v>470000000</v>
      </c>
      <c r="J8737" s="16" t="s">
        <v>229</v>
      </c>
      <c r="K8737" s="56" t="s">
        <v>9041</v>
      </c>
      <c r="L8737" s="16" t="s">
        <v>9464</v>
      </c>
      <c r="M8737" s="170"/>
      <c r="N8737" s="65" t="s">
        <v>17128</v>
      </c>
      <c r="O8737" s="78" t="s">
        <v>9470</v>
      </c>
      <c r="P8737" s="64"/>
      <c r="Q8737" s="170"/>
      <c r="R8737" s="288"/>
      <c r="S8737" s="65"/>
      <c r="T8737" s="237">
        <v>37587747</v>
      </c>
      <c r="U8737" s="1">
        <f t="shared" si="634"/>
        <v>42098276.640000001</v>
      </c>
      <c r="V8737" s="3"/>
      <c r="W8737" s="3">
        <v>2014</v>
      </c>
      <c r="X8737" s="201"/>
    </row>
    <row r="8738" spans="1:24" ht="76.5">
      <c r="A8738" s="3" t="s">
        <v>17072</v>
      </c>
      <c r="B8738" s="6" t="s">
        <v>361</v>
      </c>
      <c r="C8738" s="16" t="s">
        <v>14305</v>
      </c>
      <c r="D8738" s="16" t="s">
        <v>14306</v>
      </c>
      <c r="E8738" s="16" t="s">
        <v>14306</v>
      </c>
      <c r="F8738" s="16" t="s">
        <v>17060</v>
      </c>
      <c r="G8738" s="16" t="s">
        <v>11449</v>
      </c>
      <c r="H8738" s="199">
        <v>0.5</v>
      </c>
      <c r="I8738" s="16">
        <v>470000000</v>
      </c>
      <c r="J8738" s="16" t="s">
        <v>229</v>
      </c>
      <c r="K8738" s="56" t="s">
        <v>9041</v>
      </c>
      <c r="L8738" s="16" t="s">
        <v>9465</v>
      </c>
      <c r="M8738" s="170"/>
      <c r="N8738" s="65" t="s">
        <v>9474</v>
      </c>
      <c r="O8738" s="78" t="s">
        <v>9470</v>
      </c>
      <c r="P8738" s="64"/>
      <c r="Q8738" s="170"/>
      <c r="R8738" s="288"/>
      <c r="S8738" s="65"/>
      <c r="T8738" s="237">
        <v>16149878</v>
      </c>
      <c r="U8738" s="1">
        <f t="shared" si="634"/>
        <v>18087863.360000003</v>
      </c>
      <c r="V8738" s="3"/>
      <c r="W8738" s="3">
        <v>2014</v>
      </c>
      <c r="X8738" s="201"/>
    </row>
    <row r="8739" spans="1:24" ht="76.5">
      <c r="A8739" s="3" t="s">
        <v>17073</v>
      </c>
      <c r="B8739" s="6" t="s">
        <v>361</v>
      </c>
      <c r="C8739" s="16" t="s">
        <v>17182</v>
      </c>
      <c r="D8739" s="16" t="s">
        <v>17183</v>
      </c>
      <c r="E8739" s="16" t="s">
        <v>17184</v>
      </c>
      <c r="F8739" s="16" t="s">
        <v>17061</v>
      </c>
      <c r="G8739" s="16" t="s">
        <v>11449</v>
      </c>
      <c r="H8739" s="199">
        <v>0.5</v>
      </c>
      <c r="I8739" s="16">
        <v>470000000</v>
      </c>
      <c r="J8739" s="16" t="s">
        <v>229</v>
      </c>
      <c r="K8739" s="56" t="s">
        <v>9041</v>
      </c>
      <c r="L8739" s="16" t="s">
        <v>9464</v>
      </c>
      <c r="M8739" s="170"/>
      <c r="N8739" s="65" t="s">
        <v>17127</v>
      </c>
      <c r="O8739" s="78" t="s">
        <v>9470</v>
      </c>
      <c r="P8739" s="64"/>
      <c r="Q8739" s="170"/>
      <c r="R8739" s="288"/>
      <c r="S8739" s="65"/>
      <c r="T8739" s="237">
        <v>25754399</v>
      </c>
      <c r="U8739" s="1">
        <f t="shared" si="634"/>
        <v>28844926.880000003</v>
      </c>
      <c r="V8739" s="3"/>
      <c r="W8739" s="3">
        <v>2014</v>
      </c>
      <c r="X8739" s="201"/>
    </row>
    <row r="8740" spans="1:24" ht="114.75">
      <c r="A8740" s="3" t="s">
        <v>17074</v>
      </c>
      <c r="B8740" s="6" t="s">
        <v>361</v>
      </c>
      <c r="C8740" s="16" t="s">
        <v>17131</v>
      </c>
      <c r="D8740" s="16" t="s">
        <v>17132</v>
      </c>
      <c r="E8740" s="16" t="s">
        <v>17133</v>
      </c>
      <c r="F8740" s="16" t="s">
        <v>17062</v>
      </c>
      <c r="G8740" s="16" t="s">
        <v>11449</v>
      </c>
      <c r="H8740" s="199">
        <v>0.5</v>
      </c>
      <c r="I8740" s="16">
        <v>470000000</v>
      </c>
      <c r="J8740" s="16" t="s">
        <v>229</v>
      </c>
      <c r="K8740" s="56" t="s">
        <v>9041</v>
      </c>
      <c r="L8740" s="16" t="s">
        <v>9464</v>
      </c>
      <c r="M8740" s="170"/>
      <c r="N8740" s="65" t="s">
        <v>17129</v>
      </c>
      <c r="O8740" s="78" t="s">
        <v>9470</v>
      </c>
      <c r="P8740" s="64"/>
      <c r="Q8740" s="170"/>
      <c r="R8740" s="288"/>
      <c r="S8740" s="65"/>
      <c r="T8740" s="237">
        <v>47233441</v>
      </c>
      <c r="U8740" s="1">
        <f t="shared" si="634"/>
        <v>52901453.920000002</v>
      </c>
      <c r="V8740" s="3"/>
      <c r="W8740" s="3">
        <v>2014</v>
      </c>
      <c r="X8740" s="201"/>
    </row>
    <row r="8741" spans="1:24" ht="63.75">
      <c r="A8741" s="3" t="s">
        <v>17075</v>
      </c>
      <c r="B8741" s="6" t="s">
        <v>361</v>
      </c>
      <c r="C8741" s="16" t="s">
        <v>17134</v>
      </c>
      <c r="D8741" s="16" t="s">
        <v>17135</v>
      </c>
      <c r="E8741" s="16" t="s">
        <v>17136</v>
      </c>
      <c r="F8741" s="16" t="s">
        <v>17063</v>
      </c>
      <c r="G8741" s="16" t="s">
        <v>11449</v>
      </c>
      <c r="H8741" s="199">
        <v>0.5</v>
      </c>
      <c r="I8741" s="16">
        <v>470000000</v>
      </c>
      <c r="J8741" s="16" t="s">
        <v>229</v>
      </c>
      <c r="K8741" s="56" t="s">
        <v>9041</v>
      </c>
      <c r="L8741" s="16" t="s">
        <v>9735</v>
      </c>
      <c r="M8741" s="170"/>
      <c r="N8741" s="65" t="s">
        <v>17130</v>
      </c>
      <c r="O8741" s="78" t="s">
        <v>9470</v>
      </c>
      <c r="P8741" s="64"/>
      <c r="Q8741" s="170"/>
      <c r="R8741" s="288"/>
      <c r="S8741" s="65"/>
      <c r="T8741" s="219">
        <v>0</v>
      </c>
      <c r="U8741" s="4">
        <f t="shared" si="634"/>
        <v>0</v>
      </c>
      <c r="V8741" s="3"/>
      <c r="W8741" s="3">
        <v>2014</v>
      </c>
      <c r="X8741" s="201">
        <v>20.21</v>
      </c>
    </row>
    <row r="8742" spans="1:24" ht="63.75">
      <c r="A8742" s="3" t="s">
        <v>18717</v>
      </c>
      <c r="B8742" s="6" t="s">
        <v>361</v>
      </c>
      <c r="C8742" s="16" t="s">
        <v>17134</v>
      </c>
      <c r="D8742" s="16" t="s">
        <v>17135</v>
      </c>
      <c r="E8742" s="16" t="s">
        <v>17136</v>
      </c>
      <c r="F8742" s="16" t="s">
        <v>17063</v>
      </c>
      <c r="G8742" s="16" t="s">
        <v>11449</v>
      </c>
      <c r="H8742" s="199">
        <v>0.5</v>
      </c>
      <c r="I8742" s="16">
        <v>470000000</v>
      </c>
      <c r="J8742" s="16" t="s">
        <v>229</v>
      </c>
      <c r="K8742" s="56" t="s">
        <v>9041</v>
      </c>
      <c r="L8742" s="16" t="s">
        <v>9735</v>
      </c>
      <c r="M8742" s="170"/>
      <c r="N8742" s="65" t="s">
        <v>17130</v>
      </c>
      <c r="O8742" s="78" t="s">
        <v>9470</v>
      </c>
      <c r="P8742" s="64"/>
      <c r="Q8742" s="170"/>
      <c r="R8742" s="288"/>
      <c r="S8742" s="65"/>
      <c r="T8742" s="237">
        <v>423635642</v>
      </c>
      <c r="U8742" s="1">
        <f t="shared" si="634"/>
        <v>474471919.04000002</v>
      </c>
      <c r="V8742" s="3"/>
      <c r="W8742" s="3">
        <v>2014</v>
      </c>
      <c r="X8742" s="201"/>
    </row>
    <row r="8743" spans="1:24" ht="76.5">
      <c r="A8743" s="3" t="s">
        <v>17076</v>
      </c>
      <c r="B8743" s="6" t="s">
        <v>361</v>
      </c>
      <c r="C8743" s="16" t="s">
        <v>17182</v>
      </c>
      <c r="D8743" s="16" t="s">
        <v>17183</v>
      </c>
      <c r="E8743" s="16" t="s">
        <v>17184</v>
      </c>
      <c r="F8743" s="16" t="s">
        <v>17064</v>
      </c>
      <c r="G8743" s="16" t="s">
        <v>11449</v>
      </c>
      <c r="H8743" s="199">
        <v>0.5</v>
      </c>
      <c r="I8743" s="16">
        <v>470000000</v>
      </c>
      <c r="J8743" s="16" t="s">
        <v>229</v>
      </c>
      <c r="K8743" s="56" t="s">
        <v>9041</v>
      </c>
      <c r="L8743" s="16" t="s">
        <v>9465</v>
      </c>
      <c r="M8743" s="170"/>
      <c r="N8743" s="65" t="s">
        <v>17129</v>
      </c>
      <c r="O8743" s="78" t="s">
        <v>9470</v>
      </c>
      <c r="P8743" s="64"/>
      <c r="Q8743" s="170"/>
      <c r="R8743" s="288"/>
      <c r="S8743" s="65"/>
      <c r="T8743" s="219">
        <v>0</v>
      </c>
      <c r="U8743" s="4">
        <f t="shared" si="634"/>
        <v>0</v>
      </c>
      <c r="V8743" s="3"/>
      <c r="W8743" s="3">
        <v>2014</v>
      </c>
      <c r="X8743" s="201" t="s">
        <v>11822</v>
      </c>
    </row>
    <row r="8744" spans="1:24" ht="76.5">
      <c r="A8744" s="3" t="s">
        <v>18650</v>
      </c>
      <c r="B8744" s="6" t="s">
        <v>361</v>
      </c>
      <c r="C8744" s="16" t="s">
        <v>17182</v>
      </c>
      <c r="D8744" s="16" t="s">
        <v>17183</v>
      </c>
      <c r="E8744" s="16" t="s">
        <v>17184</v>
      </c>
      <c r="F8744" s="16" t="s">
        <v>17064</v>
      </c>
      <c r="G8744" s="16" t="s">
        <v>11449</v>
      </c>
      <c r="H8744" s="199">
        <v>0.5</v>
      </c>
      <c r="I8744" s="16">
        <v>470000000</v>
      </c>
      <c r="J8744" s="16" t="s">
        <v>229</v>
      </c>
      <c r="K8744" s="56" t="s">
        <v>9369</v>
      </c>
      <c r="L8744" s="16" t="s">
        <v>9465</v>
      </c>
      <c r="M8744" s="170"/>
      <c r="N8744" s="65" t="s">
        <v>17129</v>
      </c>
      <c r="O8744" s="78" t="s">
        <v>9470</v>
      </c>
      <c r="P8744" s="64"/>
      <c r="Q8744" s="170"/>
      <c r="R8744" s="288"/>
      <c r="S8744" s="65"/>
      <c r="T8744" s="237">
        <v>75553201</v>
      </c>
      <c r="U8744" s="1">
        <f t="shared" si="634"/>
        <v>84619585.120000005</v>
      </c>
      <c r="V8744" s="3"/>
      <c r="W8744" s="3">
        <v>2014</v>
      </c>
      <c r="X8744" s="201"/>
    </row>
    <row r="8745" spans="1:24" ht="63.75">
      <c r="A8745" s="3" t="s">
        <v>17077</v>
      </c>
      <c r="B8745" s="6" t="s">
        <v>361</v>
      </c>
      <c r="C8745" s="16" t="s">
        <v>9471</v>
      </c>
      <c r="D8745" s="16" t="s">
        <v>9472</v>
      </c>
      <c r="E8745" s="16" t="s">
        <v>9473</v>
      </c>
      <c r="F8745" s="16" t="s">
        <v>11430</v>
      </c>
      <c r="G8745" s="198" t="s">
        <v>11449</v>
      </c>
      <c r="H8745" s="199">
        <v>0.5</v>
      </c>
      <c r="I8745" s="16">
        <v>470000000</v>
      </c>
      <c r="J8745" s="16" t="s">
        <v>229</v>
      </c>
      <c r="K8745" s="56" t="s">
        <v>9041</v>
      </c>
      <c r="L8745" s="16" t="s">
        <v>9464</v>
      </c>
      <c r="M8745" s="79"/>
      <c r="N8745" s="65" t="s">
        <v>17121</v>
      </c>
      <c r="O8745" s="78" t="s">
        <v>9470</v>
      </c>
      <c r="P8745" s="79"/>
      <c r="Q8745" s="79" t="s">
        <v>17065</v>
      </c>
      <c r="R8745" s="79">
        <v>1</v>
      </c>
      <c r="S8745" s="200"/>
      <c r="T8745" s="1">
        <v>38119124</v>
      </c>
      <c r="U8745" s="1">
        <f t="shared" si="634"/>
        <v>42693418.880000003</v>
      </c>
      <c r="V8745" s="79"/>
      <c r="W8745" s="3">
        <v>2014</v>
      </c>
      <c r="X8745" s="79"/>
    </row>
    <row r="8746" spans="1:24" ht="63.75">
      <c r="A8746" s="3" t="s">
        <v>17206</v>
      </c>
      <c r="B8746" s="6" t="s">
        <v>361</v>
      </c>
      <c r="C8746" s="16" t="s">
        <v>17210</v>
      </c>
      <c r="D8746" s="16" t="s">
        <v>17211</v>
      </c>
      <c r="E8746" s="16" t="s">
        <v>17211</v>
      </c>
      <c r="F8746" s="16" t="s">
        <v>17208</v>
      </c>
      <c r="G8746" s="198" t="s">
        <v>11449</v>
      </c>
      <c r="H8746" s="199">
        <v>0.5</v>
      </c>
      <c r="I8746" s="16">
        <v>470000000</v>
      </c>
      <c r="J8746" s="16" t="s">
        <v>229</v>
      </c>
      <c r="K8746" s="56" t="s">
        <v>9041</v>
      </c>
      <c r="L8746" s="16" t="s">
        <v>9465</v>
      </c>
      <c r="M8746" s="79"/>
      <c r="N8746" s="65" t="s">
        <v>12416</v>
      </c>
      <c r="O8746" s="78" t="s">
        <v>9470</v>
      </c>
      <c r="P8746" s="79"/>
      <c r="Q8746" s="79"/>
      <c r="R8746" s="79"/>
      <c r="S8746" s="200"/>
      <c r="T8746" s="1">
        <v>5103957</v>
      </c>
      <c r="U8746" s="1">
        <f t="shared" si="634"/>
        <v>5716431.8400000008</v>
      </c>
      <c r="V8746" s="79"/>
      <c r="W8746" s="3">
        <v>2014</v>
      </c>
      <c r="X8746" s="79"/>
    </row>
    <row r="8747" spans="1:24" ht="63.75">
      <c r="A8747" s="3" t="s">
        <v>17207</v>
      </c>
      <c r="B8747" s="6" t="s">
        <v>361</v>
      </c>
      <c r="C8747" s="16" t="s">
        <v>17210</v>
      </c>
      <c r="D8747" s="16" t="s">
        <v>17211</v>
      </c>
      <c r="E8747" s="16" t="s">
        <v>17211</v>
      </c>
      <c r="F8747" s="16" t="s">
        <v>17209</v>
      </c>
      <c r="G8747" s="198" t="s">
        <v>11449</v>
      </c>
      <c r="H8747" s="199">
        <v>0.5</v>
      </c>
      <c r="I8747" s="16">
        <v>470000000</v>
      </c>
      <c r="J8747" s="16" t="s">
        <v>229</v>
      </c>
      <c r="K8747" s="56" t="s">
        <v>9041</v>
      </c>
      <c r="L8747" s="16" t="s">
        <v>9465</v>
      </c>
      <c r="M8747" s="79"/>
      <c r="N8747" s="65" t="s">
        <v>12416</v>
      </c>
      <c r="O8747" s="78" t="s">
        <v>9470</v>
      </c>
      <c r="P8747" s="79"/>
      <c r="Q8747" s="79"/>
      <c r="R8747" s="79"/>
      <c r="S8747" s="200"/>
      <c r="T8747" s="1">
        <v>6379946</v>
      </c>
      <c r="U8747" s="1">
        <f t="shared" si="634"/>
        <v>7145539.5200000005</v>
      </c>
      <c r="V8747" s="79"/>
      <c r="W8747" s="3">
        <v>2014</v>
      </c>
      <c r="X8747" s="79"/>
    </row>
    <row r="8748" spans="1:24" ht="89.25">
      <c r="A8748" s="3" t="s">
        <v>18201</v>
      </c>
      <c r="B8748" s="56" t="s">
        <v>361</v>
      </c>
      <c r="C8748" s="16" t="s">
        <v>9460</v>
      </c>
      <c r="D8748" s="16" t="s">
        <v>9461</v>
      </c>
      <c r="E8748" s="16" t="s">
        <v>9462</v>
      </c>
      <c r="F8748" s="15" t="s">
        <v>18202</v>
      </c>
      <c r="G8748" s="198" t="s">
        <v>11449</v>
      </c>
      <c r="H8748" s="67">
        <v>0.4</v>
      </c>
      <c r="I8748" s="16">
        <v>470000000</v>
      </c>
      <c r="J8748" s="16" t="s">
        <v>229</v>
      </c>
      <c r="K8748" s="56" t="s">
        <v>9041</v>
      </c>
      <c r="L8748" s="16" t="s">
        <v>9464</v>
      </c>
      <c r="M8748" s="79"/>
      <c r="N8748" s="65" t="s">
        <v>18198</v>
      </c>
      <c r="O8748" s="162" t="s">
        <v>9443</v>
      </c>
      <c r="P8748" s="79"/>
      <c r="Q8748" s="79" t="s">
        <v>17794</v>
      </c>
      <c r="R8748" s="79">
        <v>2</v>
      </c>
      <c r="S8748" s="170"/>
      <c r="T8748" s="1">
        <v>39417500</v>
      </c>
      <c r="U8748" s="1">
        <f>T8748*1.12</f>
        <v>44147600.000000007</v>
      </c>
      <c r="V8748" s="79"/>
      <c r="W8748" s="3">
        <v>2014</v>
      </c>
      <c r="X8748" s="79"/>
    </row>
    <row r="8749" spans="1:24" ht="63.75">
      <c r="A8749" s="3" t="s">
        <v>18411</v>
      </c>
      <c r="B8749" s="6" t="s">
        <v>361</v>
      </c>
      <c r="C8749" s="16" t="s">
        <v>9471</v>
      </c>
      <c r="D8749" s="16" t="s">
        <v>9472</v>
      </c>
      <c r="E8749" s="16" t="s">
        <v>9473</v>
      </c>
      <c r="F8749" s="16" t="s">
        <v>11430</v>
      </c>
      <c r="G8749" s="198" t="s">
        <v>11449</v>
      </c>
      <c r="H8749" s="199">
        <v>0.5</v>
      </c>
      <c r="I8749" s="16">
        <v>470000000</v>
      </c>
      <c r="J8749" s="16" t="s">
        <v>229</v>
      </c>
      <c r="K8749" s="56" t="s">
        <v>9041</v>
      </c>
      <c r="L8749" s="16" t="s">
        <v>9464</v>
      </c>
      <c r="M8749" s="79"/>
      <c r="N8749" s="65" t="s">
        <v>17121</v>
      </c>
      <c r="O8749" s="78" t="s">
        <v>9470</v>
      </c>
      <c r="P8749" s="79"/>
      <c r="Q8749" s="79" t="s">
        <v>17065</v>
      </c>
      <c r="R8749" s="79">
        <v>1</v>
      </c>
      <c r="S8749" s="200"/>
      <c r="T8749" s="1">
        <v>38119124</v>
      </c>
      <c r="U8749" s="1">
        <f t="shared" ref="U8749:U8758" si="637">T8749*1.12</f>
        <v>42693418.880000003</v>
      </c>
      <c r="V8749" s="79"/>
      <c r="W8749" s="3">
        <v>2014</v>
      </c>
      <c r="X8749" s="79"/>
    </row>
    <row r="8750" spans="1:24" ht="63.75">
      <c r="A8750" s="3" t="s">
        <v>18412</v>
      </c>
      <c r="B8750" s="6" t="s">
        <v>361</v>
      </c>
      <c r="C8750" s="16" t="s">
        <v>9471</v>
      </c>
      <c r="D8750" s="16" t="s">
        <v>9472</v>
      </c>
      <c r="E8750" s="16" t="s">
        <v>9473</v>
      </c>
      <c r="F8750" s="16" t="s">
        <v>11430</v>
      </c>
      <c r="G8750" s="198" t="s">
        <v>11449</v>
      </c>
      <c r="H8750" s="199">
        <v>0.5</v>
      </c>
      <c r="I8750" s="16">
        <v>470000000</v>
      </c>
      <c r="J8750" s="16" t="s">
        <v>229</v>
      </c>
      <c r="K8750" s="56" t="s">
        <v>9041</v>
      </c>
      <c r="L8750" s="16" t="s">
        <v>9464</v>
      </c>
      <c r="M8750" s="79"/>
      <c r="N8750" s="65" t="s">
        <v>17121</v>
      </c>
      <c r="O8750" s="78" t="s">
        <v>9470</v>
      </c>
      <c r="P8750" s="79"/>
      <c r="Q8750" s="79" t="s">
        <v>17065</v>
      </c>
      <c r="R8750" s="79">
        <v>1</v>
      </c>
      <c r="S8750" s="200"/>
      <c r="T8750" s="4">
        <v>0</v>
      </c>
      <c r="U8750" s="4">
        <f t="shared" si="637"/>
        <v>0</v>
      </c>
      <c r="V8750" s="79"/>
      <c r="W8750" s="3">
        <v>2014</v>
      </c>
      <c r="X8750" s="79">
        <v>11</v>
      </c>
    </row>
    <row r="8751" spans="1:24" ht="63.75">
      <c r="A8751" s="3" t="s">
        <v>18651</v>
      </c>
      <c r="B8751" s="6" t="s">
        <v>361</v>
      </c>
      <c r="C8751" s="16" t="s">
        <v>9471</v>
      </c>
      <c r="D8751" s="16" t="s">
        <v>9472</v>
      </c>
      <c r="E8751" s="16" t="s">
        <v>9473</v>
      </c>
      <c r="F8751" s="16" t="s">
        <v>11430</v>
      </c>
      <c r="G8751" s="198" t="s">
        <v>11449</v>
      </c>
      <c r="H8751" s="199">
        <v>0.5</v>
      </c>
      <c r="I8751" s="16">
        <v>470000000</v>
      </c>
      <c r="J8751" s="16" t="s">
        <v>229</v>
      </c>
      <c r="K8751" s="56" t="s">
        <v>18652</v>
      </c>
      <c r="L8751" s="16" t="s">
        <v>9464</v>
      </c>
      <c r="M8751" s="79"/>
      <c r="N8751" s="65" t="s">
        <v>17121</v>
      </c>
      <c r="O8751" s="78" t="s">
        <v>9470</v>
      </c>
      <c r="P8751" s="79"/>
      <c r="Q8751" s="79" t="s">
        <v>17065</v>
      </c>
      <c r="R8751" s="79">
        <v>1</v>
      </c>
      <c r="S8751" s="200"/>
      <c r="T8751" s="1">
        <v>38119124</v>
      </c>
      <c r="U8751" s="1">
        <f t="shared" si="637"/>
        <v>42693418.880000003</v>
      </c>
      <c r="V8751" s="79"/>
      <c r="W8751" s="3">
        <v>2014</v>
      </c>
      <c r="X8751" s="79"/>
    </row>
    <row r="8752" spans="1:24" ht="63.75">
      <c r="A8752" s="3" t="s">
        <v>18504</v>
      </c>
      <c r="B8752" s="6" t="s">
        <v>361</v>
      </c>
      <c r="C8752" s="16" t="s">
        <v>17134</v>
      </c>
      <c r="D8752" s="16" t="s">
        <v>17135</v>
      </c>
      <c r="E8752" s="16" t="s">
        <v>17136</v>
      </c>
      <c r="F8752" s="14" t="s">
        <v>18505</v>
      </c>
      <c r="G8752" s="16" t="s">
        <v>11449</v>
      </c>
      <c r="H8752" s="199">
        <v>0.5</v>
      </c>
      <c r="I8752" s="16">
        <v>470000000</v>
      </c>
      <c r="J8752" s="16" t="s">
        <v>229</v>
      </c>
      <c r="K8752" s="56" t="s">
        <v>9369</v>
      </c>
      <c r="L8752" s="16" t="s">
        <v>9735</v>
      </c>
      <c r="M8752" s="170"/>
      <c r="N8752" s="65" t="s">
        <v>18697</v>
      </c>
      <c r="O8752" s="78" t="s">
        <v>9470</v>
      </c>
      <c r="P8752" s="64"/>
      <c r="Q8752" s="170"/>
      <c r="R8752" s="288"/>
      <c r="S8752" s="65"/>
      <c r="T8752" s="237">
        <v>281250000</v>
      </c>
      <c r="U8752" s="1">
        <f t="shared" si="637"/>
        <v>315000000.00000006</v>
      </c>
      <c r="V8752" s="3"/>
      <c r="W8752" s="3">
        <v>2014</v>
      </c>
      <c r="X8752" s="201"/>
    </row>
    <row r="8753" spans="1:24" ht="63.75">
      <c r="A8753" s="3" t="s">
        <v>18507</v>
      </c>
      <c r="B8753" s="6" t="s">
        <v>361</v>
      </c>
      <c r="C8753" s="16" t="s">
        <v>11412</v>
      </c>
      <c r="D8753" s="16" t="s">
        <v>11413</v>
      </c>
      <c r="E8753" s="16" t="s">
        <v>11414</v>
      </c>
      <c r="F8753" s="14" t="s">
        <v>18506</v>
      </c>
      <c r="G8753" s="16" t="s">
        <v>11449</v>
      </c>
      <c r="H8753" s="199">
        <v>0.5</v>
      </c>
      <c r="I8753" s="16">
        <v>470000000</v>
      </c>
      <c r="J8753" s="16" t="s">
        <v>229</v>
      </c>
      <c r="K8753" s="56" t="s">
        <v>9369</v>
      </c>
      <c r="L8753" s="16" t="s">
        <v>9735</v>
      </c>
      <c r="M8753" s="170"/>
      <c r="N8753" s="65" t="s">
        <v>18697</v>
      </c>
      <c r="O8753" s="78" t="s">
        <v>9470</v>
      </c>
      <c r="P8753" s="79"/>
      <c r="Q8753" s="79"/>
      <c r="R8753" s="79"/>
      <c r="S8753" s="200"/>
      <c r="T8753" s="1">
        <v>46000000</v>
      </c>
      <c r="U8753" s="1">
        <f t="shared" si="637"/>
        <v>51520000.000000007</v>
      </c>
      <c r="V8753" s="79"/>
      <c r="W8753" s="3">
        <v>2014</v>
      </c>
      <c r="X8753" s="79"/>
    </row>
    <row r="8754" spans="1:24" ht="63.75">
      <c r="A8754" s="3" t="s">
        <v>18693</v>
      </c>
      <c r="B8754" s="6" t="s">
        <v>361</v>
      </c>
      <c r="C8754" s="16" t="s">
        <v>17040</v>
      </c>
      <c r="D8754" s="16" t="s">
        <v>17041</v>
      </c>
      <c r="E8754" s="16" t="s">
        <v>17042</v>
      </c>
      <c r="F8754" s="14" t="s">
        <v>18695</v>
      </c>
      <c r="G8754" s="16" t="s">
        <v>11449</v>
      </c>
      <c r="H8754" s="199">
        <v>0.5</v>
      </c>
      <c r="I8754" s="16">
        <v>470000000</v>
      </c>
      <c r="J8754" s="16" t="s">
        <v>229</v>
      </c>
      <c r="K8754" s="56" t="s">
        <v>9369</v>
      </c>
      <c r="L8754" s="16" t="s">
        <v>9735</v>
      </c>
      <c r="M8754" s="170"/>
      <c r="N8754" s="65" t="s">
        <v>18696</v>
      </c>
      <c r="O8754" s="78" t="s">
        <v>9470</v>
      </c>
      <c r="P8754" s="79"/>
      <c r="Q8754" s="79"/>
      <c r="R8754" s="79"/>
      <c r="S8754" s="200"/>
      <c r="T8754" s="1">
        <v>18404645</v>
      </c>
      <c r="U8754" s="1">
        <f t="shared" si="637"/>
        <v>20613202.400000002</v>
      </c>
      <c r="V8754" s="79"/>
      <c r="W8754" s="3">
        <v>2014</v>
      </c>
      <c r="X8754" s="79"/>
    </row>
    <row r="8755" spans="1:24" ht="63.75">
      <c r="A8755" s="3" t="s">
        <v>18694</v>
      </c>
      <c r="B8755" s="6" t="s">
        <v>361</v>
      </c>
      <c r="C8755" s="16" t="s">
        <v>11395</v>
      </c>
      <c r="D8755" s="16" t="s">
        <v>11396</v>
      </c>
      <c r="E8755" s="16" t="s">
        <v>11396</v>
      </c>
      <c r="F8755" s="14" t="s">
        <v>18698</v>
      </c>
      <c r="G8755" s="16" t="s">
        <v>11449</v>
      </c>
      <c r="H8755" s="199">
        <v>0.5</v>
      </c>
      <c r="I8755" s="16">
        <v>470000000</v>
      </c>
      <c r="J8755" s="16" t="s">
        <v>229</v>
      </c>
      <c r="K8755" s="56" t="s">
        <v>9369</v>
      </c>
      <c r="L8755" s="16" t="s">
        <v>9737</v>
      </c>
      <c r="M8755" s="170"/>
      <c r="N8755" s="65" t="s">
        <v>18699</v>
      </c>
      <c r="O8755" s="78" t="s">
        <v>9470</v>
      </c>
      <c r="P8755" s="79"/>
      <c r="Q8755" s="79"/>
      <c r="R8755" s="79"/>
      <c r="S8755" s="200"/>
      <c r="T8755" s="1">
        <v>5878829</v>
      </c>
      <c r="U8755" s="1">
        <f t="shared" si="637"/>
        <v>6584288.4800000004</v>
      </c>
      <c r="V8755" s="79"/>
      <c r="W8755" s="3">
        <v>2014</v>
      </c>
      <c r="X8755" s="79"/>
    </row>
    <row r="8756" spans="1:24" ht="63.75">
      <c r="A8756" s="3" t="s">
        <v>18714</v>
      </c>
      <c r="B8756" s="6" t="s">
        <v>361</v>
      </c>
      <c r="C8756" s="16" t="s">
        <v>18725</v>
      </c>
      <c r="D8756" s="16" t="s">
        <v>18726</v>
      </c>
      <c r="E8756" s="16" t="s">
        <v>18726</v>
      </c>
      <c r="F8756" s="14" t="s">
        <v>18709</v>
      </c>
      <c r="G8756" s="16" t="s">
        <v>11449</v>
      </c>
      <c r="H8756" s="199">
        <v>0.5</v>
      </c>
      <c r="I8756" s="16">
        <v>470000000</v>
      </c>
      <c r="J8756" s="16" t="s">
        <v>229</v>
      </c>
      <c r="K8756" s="56" t="s">
        <v>9369</v>
      </c>
      <c r="L8756" s="16" t="s">
        <v>9737</v>
      </c>
      <c r="M8756" s="170"/>
      <c r="N8756" s="65" t="s">
        <v>18699</v>
      </c>
      <c r="O8756" s="78" t="s">
        <v>9470</v>
      </c>
      <c r="P8756" s="79"/>
      <c r="Q8756" s="79"/>
      <c r="R8756" s="79"/>
      <c r="S8756" s="200"/>
      <c r="T8756" s="1">
        <v>8646526</v>
      </c>
      <c r="U8756" s="1">
        <f t="shared" si="637"/>
        <v>9684109.120000001</v>
      </c>
      <c r="V8756" s="79"/>
      <c r="W8756" s="3">
        <v>2014</v>
      </c>
      <c r="X8756" s="79"/>
    </row>
    <row r="8757" spans="1:24" ht="63.75">
      <c r="A8757" s="3" t="s">
        <v>18715</v>
      </c>
      <c r="B8757" s="6" t="s">
        <v>361</v>
      </c>
      <c r="C8757" s="16" t="s">
        <v>11422</v>
      </c>
      <c r="D8757" s="16" t="s">
        <v>11423</v>
      </c>
      <c r="E8757" s="16" t="s">
        <v>11423</v>
      </c>
      <c r="F8757" s="14" t="s">
        <v>18710</v>
      </c>
      <c r="G8757" s="16" t="s">
        <v>11449</v>
      </c>
      <c r="H8757" s="199">
        <v>0.5</v>
      </c>
      <c r="I8757" s="16">
        <v>470000000</v>
      </c>
      <c r="J8757" s="16" t="s">
        <v>229</v>
      </c>
      <c r="K8757" s="56" t="s">
        <v>9369</v>
      </c>
      <c r="L8757" s="16" t="s">
        <v>9737</v>
      </c>
      <c r="M8757" s="170"/>
      <c r="N8757" s="65" t="s">
        <v>18711</v>
      </c>
      <c r="O8757" s="78" t="s">
        <v>9470</v>
      </c>
      <c r="P8757" s="79"/>
      <c r="Q8757" s="79"/>
      <c r="R8757" s="79"/>
      <c r="S8757" s="200"/>
      <c r="T8757" s="1">
        <v>18515303</v>
      </c>
      <c r="U8757" s="1">
        <f t="shared" si="637"/>
        <v>20737139.360000003</v>
      </c>
      <c r="V8757" s="79"/>
      <c r="W8757" s="3">
        <v>2014</v>
      </c>
      <c r="X8757" s="79"/>
    </row>
    <row r="8758" spans="1:24" ht="63.75">
      <c r="A8758" s="3" t="s">
        <v>18716</v>
      </c>
      <c r="B8758" s="6" t="s">
        <v>361</v>
      </c>
      <c r="C8758" s="16" t="s">
        <v>18722</v>
      </c>
      <c r="D8758" s="16" t="s">
        <v>18723</v>
      </c>
      <c r="E8758" s="16" t="s">
        <v>18724</v>
      </c>
      <c r="F8758" s="14" t="s">
        <v>18712</v>
      </c>
      <c r="G8758" s="16" t="s">
        <v>11449</v>
      </c>
      <c r="H8758" s="199">
        <v>0.5</v>
      </c>
      <c r="I8758" s="16">
        <v>470000000</v>
      </c>
      <c r="J8758" s="16" t="s">
        <v>229</v>
      </c>
      <c r="K8758" s="56" t="s">
        <v>9369</v>
      </c>
      <c r="L8758" s="16" t="s">
        <v>9737</v>
      </c>
      <c r="M8758" s="170"/>
      <c r="N8758" s="65" t="s">
        <v>18713</v>
      </c>
      <c r="O8758" s="78" t="s">
        <v>9470</v>
      </c>
      <c r="P8758" s="79"/>
      <c r="Q8758" s="79"/>
      <c r="R8758" s="79"/>
      <c r="S8758" s="200"/>
      <c r="T8758" s="1">
        <v>6645741</v>
      </c>
      <c r="U8758" s="1">
        <f t="shared" si="637"/>
        <v>7443229.9200000009</v>
      </c>
      <c r="V8758" s="79"/>
      <c r="W8758" s="3">
        <v>2014</v>
      </c>
      <c r="X8758" s="79"/>
    </row>
    <row r="8759" spans="1:24" ht="25.5">
      <c r="A8759" s="211"/>
      <c r="B8759" s="238" t="s">
        <v>11398</v>
      </c>
      <c r="C8759" s="220"/>
      <c r="D8759" s="286"/>
      <c r="E8759" s="220"/>
      <c r="F8759" s="220"/>
      <c r="G8759" s="220"/>
      <c r="H8759" s="239"/>
      <c r="I8759" s="220"/>
      <c r="J8759" s="220"/>
      <c r="K8759" s="190"/>
      <c r="L8759" s="220"/>
      <c r="M8759" s="239"/>
      <c r="N8759" s="240"/>
      <c r="O8759" s="241"/>
      <c r="P8759" s="220"/>
      <c r="Q8759" s="220"/>
      <c r="R8759" s="220"/>
      <c r="S8759" s="220"/>
      <c r="T8759" s="211">
        <f>SUM(T8590:T8758)</f>
        <v>2005664426.6199999</v>
      </c>
      <c r="U8759" s="211">
        <f>SUM(U8590:U8758)</f>
        <v>2246344157.8144007</v>
      </c>
      <c r="V8759" s="239"/>
      <c r="W8759" s="211"/>
      <c r="X8759" s="238"/>
    </row>
    <row r="8760" spans="1:24" s="289" customFormat="1">
      <c r="A8760" s="158"/>
      <c r="B8760" s="140" t="s">
        <v>9563</v>
      </c>
      <c r="C8760" s="205"/>
      <c r="D8760" s="220"/>
      <c r="E8760" s="139"/>
      <c r="F8760" s="140"/>
      <c r="G8760" s="139"/>
      <c r="H8760" s="139"/>
      <c r="I8760" s="139"/>
      <c r="J8760" s="139"/>
      <c r="K8760" s="139"/>
      <c r="L8760" s="139"/>
      <c r="M8760" s="139"/>
      <c r="N8760" s="139"/>
      <c r="O8760" s="139"/>
      <c r="P8760" s="139"/>
      <c r="Q8760" s="139"/>
      <c r="R8760" s="139"/>
      <c r="S8760" s="139"/>
      <c r="T8760" s="139"/>
      <c r="U8760" s="139"/>
      <c r="V8760" s="139"/>
      <c r="W8760" s="139"/>
      <c r="X8760" s="140"/>
    </row>
    <row r="8761" spans="1:24" ht="76.5">
      <c r="A8761" s="3" t="s">
        <v>11198</v>
      </c>
      <c r="B8761" s="55" t="s">
        <v>9166</v>
      </c>
      <c r="C8761" s="16" t="s">
        <v>9564</v>
      </c>
      <c r="D8761" s="16" t="s">
        <v>9565</v>
      </c>
      <c r="E8761" s="16" t="s">
        <v>9565</v>
      </c>
      <c r="F8761" s="16"/>
      <c r="G8761" s="198" t="s">
        <v>11450</v>
      </c>
      <c r="H8761" s="67">
        <v>0.7</v>
      </c>
      <c r="I8761" s="16">
        <v>470000000</v>
      </c>
      <c r="J8761" s="16" t="s">
        <v>229</v>
      </c>
      <c r="K8761" s="56" t="s">
        <v>642</v>
      </c>
      <c r="L8761" s="16" t="s">
        <v>9441</v>
      </c>
      <c r="M8761" s="79"/>
      <c r="N8761" s="65" t="s">
        <v>9566</v>
      </c>
      <c r="O8761" s="162" t="s">
        <v>9567</v>
      </c>
      <c r="P8761" s="79"/>
      <c r="Q8761" s="79"/>
      <c r="R8761" s="79"/>
      <c r="S8761" s="79"/>
      <c r="T8761" s="4">
        <v>0</v>
      </c>
      <c r="U8761" s="4">
        <f t="shared" ref="U8761:U8801" si="638">T8761*1.12</f>
        <v>0</v>
      </c>
      <c r="V8761" s="79"/>
      <c r="W8761" s="3">
        <v>2014</v>
      </c>
      <c r="X8761" s="3">
        <v>11</v>
      </c>
    </row>
    <row r="8762" spans="1:24" ht="76.5">
      <c r="A8762" s="3" t="s">
        <v>18427</v>
      </c>
      <c r="B8762" s="55" t="s">
        <v>9166</v>
      </c>
      <c r="C8762" s="16" t="s">
        <v>9564</v>
      </c>
      <c r="D8762" s="16" t="s">
        <v>9565</v>
      </c>
      <c r="E8762" s="16" t="s">
        <v>9565</v>
      </c>
      <c r="F8762" s="16"/>
      <c r="G8762" s="198" t="s">
        <v>11450</v>
      </c>
      <c r="H8762" s="67">
        <v>0.7</v>
      </c>
      <c r="I8762" s="16">
        <v>470000000</v>
      </c>
      <c r="J8762" s="16" t="s">
        <v>229</v>
      </c>
      <c r="K8762" s="56" t="s">
        <v>14057</v>
      </c>
      <c r="L8762" s="16" t="s">
        <v>9441</v>
      </c>
      <c r="M8762" s="79"/>
      <c r="N8762" s="65" t="s">
        <v>9566</v>
      </c>
      <c r="O8762" s="162" t="s">
        <v>9567</v>
      </c>
      <c r="P8762" s="79"/>
      <c r="Q8762" s="79"/>
      <c r="R8762" s="79"/>
      <c r="S8762" s="79"/>
      <c r="T8762" s="1">
        <v>343420</v>
      </c>
      <c r="U8762" s="1">
        <f t="shared" si="638"/>
        <v>384630.4</v>
      </c>
      <c r="V8762" s="79"/>
      <c r="W8762" s="3">
        <v>2014</v>
      </c>
      <c r="X8762" s="140"/>
    </row>
    <row r="8763" spans="1:24" ht="89.25">
      <c r="A8763" s="3" t="s">
        <v>11199</v>
      </c>
      <c r="B8763" s="55" t="s">
        <v>9166</v>
      </c>
      <c r="C8763" s="16" t="s">
        <v>9568</v>
      </c>
      <c r="D8763" s="16" t="s">
        <v>9569</v>
      </c>
      <c r="E8763" s="16" t="s">
        <v>9569</v>
      </c>
      <c r="F8763" s="16" t="s">
        <v>9570</v>
      </c>
      <c r="G8763" s="198" t="s">
        <v>605</v>
      </c>
      <c r="H8763" s="67">
        <v>0.7</v>
      </c>
      <c r="I8763" s="16">
        <v>470000000</v>
      </c>
      <c r="J8763" s="16" t="s">
        <v>229</v>
      </c>
      <c r="K8763" s="56" t="s">
        <v>9041</v>
      </c>
      <c r="L8763" s="16" t="s">
        <v>9441</v>
      </c>
      <c r="M8763" s="139"/>
      <c r="N8763" s="65" t="s">
        <v>9566</v>
      </c>
      <c r="O8763" s="162" t="s">
        <v>9567</v>
      </c>
      <c r="P8763" s="139"/>
      <c r="Q8763" s="139"/>
      <c r="R8763" s="139"/>
      <c r="S8763" s="139"/>
      <c r="T8763" s="4">
        <v>0</v>
      </c>
      <c r="U8763" s="4">
        <f t="shared" si="638"/>
        <v>0</v>
      </c>
      <c r="V8763" s="79"/>
      <c r="W8763" s="3">
        <v>2014</v>
      </c>
      <c r="X8763" s="3">
        <v>11</v>
      </c>
    </row>
    <row r="8764" spans="1:24" ht="89.25">
      <c r="A8764" s="3" t="s">
        <v>12462</v>
      </c>
      <c r="B8764" s="55" t="s">
        <v>9166</v>
      </c>
      <c r="C8764" s="16" t="s">
        <v>9568</v>
      </c>
      <c r="D8764" s="16" t="s">
        <v>9569</v>
      </c>
      <c r="E8764" s="16" t="s">
        <v>9569</v>
      </c>
      <c r="F8764" s="16" t="s">
        <v>9570</v>
      </c>
      <c r="G8764" s="198" t="s">
        <v>605</v>
      </c>
      <c r="H8764" s="67">
        <v>0.7</v>
      </c>
      <c r="I8764" s="16">
        <v>470000000</v>
      </c>
      <c r="J8764" s="16" t="s">
        <v>229</v>
      </c>
      <c r="K8764" s="56" t="s">
        <v>12463</v>
      </c>
      <c r="L8764" s="16" t="s">
        <v>9441</v>
      </c>
      <c r="M8764" s="139"/>
      <c r="N8764" s="65" t="s">
        <v>9566</v>
      </c>
      <c r="O8764" s="162" t="s">
        <v>9567</v>
      </c>
      <c r="P8764" s="139"/>
      <c r="Q8764" s="139"/>
      <c r="R8764" s="139"/>
      <c r="S8764" s="139"/>
      <c r="T8764" s="1">
        <v>632086</v>
      </c>
      <c r="U8764" s="1">
        <f>T8764*1.12</f>
        <v>707936.32000000007</v>
      </c>
      <c r="V8764" s="79"/>
      <c r="W8764" s="3">
        <v>2014</v>
      </c>
      <c r="X8764" s="140"/>
    </row>
    <row r="8765" spans="1:24" ht="63.75">
      <c r="A8765" s="3" t="s">
        <v>11200</v>
      </c>
      <c r="B8765" s="55" t="s">
        <v>9166</v>
      </c>
      <c r="C8765" s="16" t="s">
        <v>9571</v>
      </c>
      <c r="D8765" s="16" t="s">
        <v>9572</v>
      </c>
      <c r="E8765" s="16" t="s">
        <v>9573</v>
      </c>
      <c r="F8765" s="16" t="s">
        <v>9574</v>
      </c>
      <c r="G8765" s="198" t="s">
        <v>11450</v>
      </c>
      <c r="H8765" s="67">
        <v>0.6</v>
      </c>
      <c r="I8765" s="16">
        <v>470000000</v>
      </c>
      <c r="J8765" s="16" t="s">
        <v>229</v>
      </c>
      <c r="K8765" s="56" t="s">
        <v>9575</v>
      </c>
      <c r="L8765" s="16" t="s">
        <v>9441</v>
      </c>
      <c r="M8765" s="139"/>
      <c r="N8765" s="65" t="s">
        <v>9576</v>
      </c>
      <c r="O8765" s="162" t="s">
        <v>9567</v>
      </c>
      <c r="P8765" s="139"/>
      <c r="Q8765" s="139"/>
      <c r="R8765" s="139"/>
      <c r="S8765" s="139"/>
      <c r="T8765" s="4">
        <v>0</v>
      </c>
      <c r="U8765" s="4">
        <f t="shared" si="638"/>
        <v>0</v>
      </c>
      <c r="V8765" s="79"/>
      <c r="W8765" s="3">
        <v>2014</v>
      </c>
      <c r="X8765" s="3">
        <v>20.21</v>
      </c>
    </row>
    <row r="8766" spans="1:24" ht="63.75">
      <c r="A8766" s="3" t="s">
        <v>14235</v>
      </c>
      <c r="B8766" s="55" t="s">
        <v>9166</v>
      </c>
      <c r="C8766" s="16" t="s">
        <v>9571</v>
      </c>
      <c r="D8766" s="16" t="s">
        <v>9572</v>
      </c>
      <c r="E8766" s="16" t="s">
        <v>9573</v>
      </c>
      <c r="F8766" s="16" t="s">
        <v>9574</v>
      </c>
      <c r="G8766" s="198" t="s">
        <v>11450</v>
      </c>
      <c r="H8766" s="67">
        <v>0.6</v>
      </c>
      <c r="I8766" s="16">
        <v>470000000</v>
      </c>
      <c r="J8766" s="16" t="s">
        <v>229</v>
      </c>
      <c r="K8766" s="56" t="s">
        <v>9575</v>
      </c>
      <c r="L8766" s="16" t="s">
        <v>9441</v>
      </c>
      <c r="M8766" s="139"/>
      <c r="N8766" s="65" t="s">
        <v>9576</v>
      </c>
      <c r="O8766" s="162" t="s">
        <v>9567</v>
      </c>
      <c r="P8766" s="139"/>
      <c r="Q8766" s="139"/>
      <c r="R8766" s="139"/>
      <c r="S8766" s="139"/>
      <c r="T8766" s="1">
        <v>4087500</v>
      </c>
      <c r="U8766" s="1">
        <f>T8766*1.12</f>
        <v>4578000</v>
      </c>
      <c r="V8766" s="79"/>
      <c r="W8766" s="3">
        <v>2014</v>
      </c>
      <c r="X8766" s="140"/>
    </row>
    <row r="8767" spans="1:24" ht="165.75">
      <c r="A8767" s="3" t="s">
        <v>11201</v>
      </c>
      <c r="B8767" s="56" t="s">
        <v>361</v>
      </c>
      <c r="C8767" s="16" t="s">
        <v>9577</v>
      </c>
      <c r="D8767" s="16" t="s">
        <v>9578</v>
      </c>
      <c r="E8767" s="16" t="s">
        <v>9579</v>
      </c>
      <c r="F8767" s="16" t="s">
        <v>9580</v>
      </c>
      <c r="G8767" s="198" t="s">
        <v>605</v>
      </c>
      <c r="H8767" s="67">
        <v>0.8</v>
      </c>
      <c r="I8767" s="16">
        <v>470000000</v>
      </c>
      <c r="J8767" s="16" t="s">
        <v>229</v>
      </c>
      <c r="K8767" s="56" t="s">
        <v>641</v>
      </c>
      <c r="L8767" s="16" t="s">
        <v>9441</v>
      </c>
      <c r="M8767" s="139"/>
      <c r="N8767" s="65" t="s">
        <v>9454</v>
      </c>
      <c r="O8767" s="162" t="s">
        <v>9567</v>
      </c>
      <c r="P8767" s="139"/>
      <c r="Q8767" s="139"/>
      <c r="R8767" s="139"/>
      <c r="S8767" s="139"/>
      <c r="T8767" s="4">
        <v>0</v>
      </c>
      <c r="U8767" s="4">
        <f t="shared" si="638"/>
        <v>0</v>
      </c>
      <c r="V8767" s="79"/>
      <c r="W8767" s="3">
        <v>2014</v>
      </c>
      <c r="X8767" s="3">
        <v>11</v>
      </c>
    </row>
    <row r="8768" spans="1:24" ht="165.75">
      <c r="A8768" s="3" t="s">
        <v>12464</v>
      </c>
      <c r="B8768" s="56" t="s">
        <v>361</v>
      </c>
      <c r="C8768" s="16" t="s">
        <v>9577</v>
      </c>
      <c r="D8768" s="16" t="s">
        <v>9578</v>
      </c>
      <c r="E8768" s="16" t="s">
        <v>9579</v>
      </c>
      <c r="F8768" s="16" t="s">
        <v>9580</v>
      </c>
      <c r="G8768" s="198" t="s">
        <v>605</v>
      </c>
      <c r="H8768" s="67">
        <v>0.8</v>
      </c>
      <c r="I8768" s="16">
        <v>470000000</v>
      </c>
      <c r="J8768" s="16" t="s">
        <v>229</v>
      </c>
      <c r="K8768" s="56" t="s">
        <v>642</v>
      </c>
      <c r="L8768" s="16" t="s">
        <v>9441</v>
      </c>
      <c r="M8768" s="139"/>
      <c r="N8768" s="65" t="s">
        <v>9454</v>
      </c>
      <c r="O8768" s="162" t="s">
        <v>9567</v>
      </c>
      <c r="P8768" s="139"/>
      <c r="Q8768" s="139"/>
      <c r="R8768" s="139"/>
      <c r="S8768" s="139"/>
      <c r="T8768" s="1">
        <v>698037</v>
      </c>
      <c r="U8768" s="1">
        <f>T8768*1.12</f>
        <v>781801.44000000006</v>
      </c>
      <c r="V8768" s="79"/>
      <c r="W8768" s="3">
        <v>2014</v>
      </c>
      <c r="X8768" s="140"/>
    </row>
    <row r="8769" spans="1:24" ht="63.75">
      <c r="A8769" s="3" t="s">
        <v>11202</v>
      </c>
      <c r="B8769" s="55" t="s">
        <v>9166</v>
      </c>
      <c r="C8769" s="16" t="s">
        <v>9581</v>
      </c>
      <c r="D8769" s="16" t="s">
        <v>9582</v>
      </c>
      <c r="E8769" s="16" t="s">
        <v>9582</v>
      </c>
      <c r="F8769" s="16" t="s">
        <v>9583</v>
      </c>
      <c r="G8769" s="198" t="s">
        <v>605</v>
      </c>
      <c r="H8769" s="67">
        <v>0.8</v>
      </c>
      <c r="I8769" s="16">
        <v>470000000</v>
      </c>
      <c r="J8769" s="16" t="s">
        <v>229</v>
      </c>
      <c r="K8769" s="56" t="s">
        <v>642</v>
      </c>
      <c r="L8769" s="16" t="s">
        <v>9584</v>
      </c>
      <c r="M8769" s="79"/>
      <c r="N8769" s="65" t="s">
        <v>9454</v>
      </c>
      <c r="O8769" s="162" t="s">
        <v>9567</v>
      </c>
      <c r="P8769" s="79"/>
      <c r="Q8769" s="79"/>
      <c r="R8769" s="79"/>
      <c r="S8769" s="79"/>
      <c r="T8769" s="204">
        <v>0</v>
      </c>
      <c r="U8769" s="204">
        <f t="shared" si="638"/>
        <v>0</v>
      </c>
      <c r="V8769" s="79"/>
      <c r="W8769" s="3">
        <v>2014</v>
      </c>
      <c r="X8769" s="3">
        <v>11</v>
      </c>
    </row>
    <row r="8770" spans="1:24" ht="63.75">
      <c r="A8770" s="3" t="s">
        <v>18426</v>
      </c>
      <c r="B8770" s="55" t="s">
        <v>9166</v>
      </c>
      <c r="C8770" s="16" t="s">
        <v>9581</v>
      </c>
      <c r="D8770" s="16" t="s">
        <v>9582</v>
      </c>
      <c r="E8770" s="16" t="s">
        <v>9582</v>
      </c>
      <c r="F8770" s="16" t="s">
        <v>9583</v>
      </c>
      <c r="G8770" s="198" t="s">
        <v>605</v>
      </c>
      <c r="H8770" s="67">
        <v>0.8</v>
      </c>
      <c r="I8770" s="16">
        <v>470000000</v>
      </c>
      <c r="J8770" s="16" t="s">
        <v>229</v>
      </c>
      <c r="K8770" s="56" t="s">
        <v>14057</v>
      </c>
      <c r="L8770" s="16" t="s">
        <v>9584</v>
      </c>
      <c r="M8770" s="79"/>
      <c r="N8770" s="65" t="s">
        <v>9454</v>
      </c>
      <c r="O8770" s="162" t="s">
        <v>9567</v>
      </c>
      <c r="P8770" s="79"/>
      <c r="Q8770" s="79"/>
      <c r="R8770" s="79"/>
      <c r="S8770" s="79"/>
      <c r="T8770" s="1">
        <v>157781</v>
      </c>
      <c r="U8770" s="204">
        <f t="shared" si="638"/>
        <v>176714.72000000003</v>
      </c>
      <c r="V8770" s="79"/>
      <c r="W8770" s="3">
        <v>2014</v>
      </c>
      <c r="X8770" s="140"/>
    </row>
    <row r="8771" spans="1:24" ht="102">
      <c r="A8771" s="3" t="s">
        <v>11203</v>
      </c>
      <c r="B8771" s="6" t="s">
        <v>361</v>
      </c>
      <c r="C8771" s="16" t="s">
        <v>9585</v>
      </c>
      <c r="D8771" s="16" t="s">
        <v>9586</v>
      </c>
      <c r="E8771" s="16" t="s">
        <v>9587</v>
      </c>
      <c r="F8771" s="6"/>
      <c r="G8771" s="198" t="s">
        <v>11449</v>
      </c>
      <c r="H8771" s="67">
        <v>0.6</v>
      </c>
      <c r="I8771" s="16">
        <v>470000000</v>
      </c>
      <c r="J8771" s="16" t="s">
        <v>229</v>
      </c>
      <c r="K8771" s="56" t="s">
        <v>9588</v>
      </c>
      <c r="L8771" s="16" t="s">
        <v>11452</v>
      </c>
      <c r="M8771" s="79"/>
      <c r="N8771" s="65" t="s">
        <v>9589</v>
      </c>
      <c r="O8771" s="6" t="s">
        <v>8906</v>
      </c>
      <c r="P8771" s="79"/>
      <c r="Q8771" s="79"/>
      <c r="R8771" s="79"/>
      <c r="S8771" s="79"/>
      <c r="T8771" s="1">
        <v>27334500</v>
      </c>
      <c r="U8771" s="1">
        <f t="shared" si="638"/>
        <v>30614640.000000004</v>
      </c>
      <c r="V8771" s="79"/>
      <c r="W8771" s="3">
        <v>2014</v>
      </c>
      <c r="X8771" s="3"/>
    </row>
    <row r="8772" spans="1:24" ht="63.75">
      <c r="A8772" s="3" t="s">
        <v>11204</v>
      </c>
      <c r="B8772" s="56" t="s">
        <v>361</v>
      </c>
      <c r="C8772" s="16" t="s">
        <v>9590</v>
      </c>
      <c r="D8772" s="16" t="s">
        <v>9591</v>
      </c>
      <c r="E8772" s="16" t="s">
        <v>9592</v>
      </c>
      <c r="F8772" s="16" t="s">
        <v>9593</v>
      </c>
      <c r="G8772" s="198" t="s">
        <v>605</v>
      </c>
      <c r="H8772" s="67">
        <v>0.9</v>
      </c>
      <c r="I8772" s="16">
        <v>470000000</v>
      </c>
      <c r="J8772" s="16" t="s">
        <v>229</v>
      </c>
      <c r="K8772" s="56" t="s">
        <v>9594</v>
      </c>
      <c r="L8772" s="16" t="s">
        <v>9441</v>
      </c>
      <c r="M8772" s="79"/>
      <c r="N8772" s="65" t="s">
        <v>9454</v>
      </c>
      <c r="O8772" s="162" t="s">
        <v>9567</v>
      </c>
      <c r="P8772" s="79"/>
      <c r="Q8772" s="79"/>
      <c r="R8772" s="79"/>
      <c r="S8772" s="79"/>
      <c r="T8772" s="4">
        <v>0</v>
      </c>
      <c r="U8772" s="4">
        <f t="shared" si="638"/>
        <v>0</v>
      </c>
      <c r="V8772" s="79"/>
      <c r="W8772" s="3">
        <v>2014</v>
      </c>
      <c r="X8772" s="79" t="s">
        <v>14265</v>
      </c>
    </row>
    <row r="8773" spans="1:24" ht="63.75">
      <c r="A8773" s="3" t="s">
        <v>19378</v>
      </c>
      <c r="B8773" s="56" t="s">
        <v>361</v>
      </c>
      <c r="C8773" s="16" t="s">
        <v>9590</v>
      </c>
      <c r="D8773" s="16" t="s">
        <v>9591</v>
      </c>
      <c r="E8773" s="16" t="s">
        <v>9592</v>
      </c>
      <c r="F8773" s="16" t="s">
        <v>9593</v>
      </c>
      <c r="G8773" s="198" t="s">
        <v>605</v>
      </c>
      <c r="H8773" s="67">
        <v>0.9</v>
      </c>
      <c r="I8773" s="16">
        <v>470000000</v>
      </c>
      <c r="J8773" s="16" t="s">
        <v>229</v>
      </c>
      <c r="K8773" s="56" t="s">
        <v>19379</v>
      </c>
      <c r="L8773" s="16" t="s">
        <v>9441</v>
      </c>
      <c r="M8773" s="79"/>
      <c r="N8773" s="65" t="s">
        <v>19380</v>
      </c>
      <c r="O8773" s="162" t="s">
        <v>19381</v>
      </c>
      <c r="P8773" s="79"/>
      <c r="Q8773" s="79"/>
      <c r="R8773" s="79"/>
      <c r="S8773" s="79"/>
      <c r="T8773" s="1">
        <v>117000</v>
      </c>
      <c r="U8773" s="1">
        <f t="shared" ref="U8773" si="639">T8773*1.12</f>
        <v>131040.00000000001</v>
      </c>
      <c r="V8773" s="79"/>
      <c r="W8773" s="3">
        <v>2014</v>
      </c>
      <c r="X8773" s="79"/>
    </row>
    <row r="8774" spans="1:24" ht="127.5">
      <c r="A8774" s="3" t="s">
        <v>11205</v>
      </c>
      <c r="B8774" s="56" t="s">
        <v>361</v>
      </c>
      <c r="C8774" s="16" t="s">
        <v>11679</v>
      </c>
      <c r="D8774" s="16" t="s">
        <v>11680</v>
      </c>
      <c r="E8774" s="16" t="s">
        <v>11681</v>
      </c>
      <c r="F8774" s="16" t="s">
        <v>9597</v>
      </c>
      <c r="G8774" s="198" t="s">
        <v>605</v>
      </c>
      <c r="H8774" s="67">
        <v>1</v>
      </c>
      <c r="I8774" s="16">
        <v>470000000</v>
      </c>
      <c r="J8774" s="16" t="s">
        <v>229</v>
      </c>
      <c r="K8774" s="56" t="s">
        <v>642</v>
      </c>
      <c r="L8774" s="16" t="s">
        <v>9441</v>
      </c>
      <c r="M8774" s="79"/>
      <c r="N8774" s="65" t="s">
        <v>9454</v>
      </c>
      <c r="O8774" s="78" t="s">
        <v>9598</v>
      </c>
      <c r="P8774" s="79"/>
      <c r="Q8774" s="79"/>
      <c r="R8774" s="79"/>
      <c r="S8774" s="79"/>
      <c r="T8774" s="4">
        <v>0</v>
      </c>
      <c r="U8774" s="4">
        <f t="shared" si="638"/>
        <v>0</v>
      </c>
      <c r="V8774" s="79"/>
      <c r="W8774" s="3">
        <v>2014</v>
      </c>
      <c r="X8774" s="79">
        <v>11</v>
      </c>
    </row>
    <row r="8775" spans="1:24" ht="127.5">
      <c r="A8775" s="3" t="s">
        <v>18425</v>
      </c>
      <c r="B8775" s="56" t="s">
        <v>361</v>
      </c>
      <c r="C8775" s="16" t="s">
        <v>11679</v>
      </c>
      <c r="D8775" s="16" t="s">
        <v>11680</v>
      </c>
      <c r="E8775" s="16" t="s">
        <v>11681</v>
      </c>
      <c r="F8775" s="16" t="s">
        <v>9597</v>
      </c>
      <c r="G8775" s="198" t="s">
        <v>605</v>
      </c>
      <c r="H8775" s="67">
        <v>1</v>
      </c>
      <c r="I8775" s="16">
        <v>470000000</v>
      </c>
      <c r="J8775" s="16" t="s">
        <v>229</v>
      </c>
      <c r="K8775" s="56" t="s">
        <v>14057</v>
      </c>
      <c r="L8775" s="16" t="s">
        <v>9441</v>
      </c>
      <c r="M8775" s="79"/>
      <c r="N8775" s="65" t="s">
        <v>9454</v>
      </c>
      <c r="O8775" s="78" t="s">
        <v>9598</v>
      </c>
      <c r="P8775" s="79"/>
      <c r="Q8775" s="79"/>
      <c r="R8775" s="79"/>
      <c r="S8775" s="79"/>
      <c r="T8775" s="1">
        <v>287086</v>
      </c>
      <c r="U8775" s="1">
        <f t="shared" si="638"/>
        <v>321536.32</v>
      </c>
      <c r="V8775" s="79"/>
      <c r="W8775" s="3">
        <v>2014</v>
      </c>
      <c r="X8775" s="79"/>
    </row>
    <row r="8776" spans="1:24" ht="63.75">
      <c r="A8776" s="3" t="s">
        <v>11206</v>
      </c>
      <c r="B8776" s="6" t="s">
        <v>361</v>
      </c>
      <c r="C8776" s="16" t="s">
        <v>9599</v>
      </c>
      <c r="D8776" s="16" t="s">
        <v>9600</v>
      </c>
      <c r="E8776" s="16" t="s">
        <v>9601</v>
      </c>
      <c r="F8776" s="16" t="s">
        <v>9602</v>
      </c>
      <c r="G8776" s="6" t="s">
        <v>11450</v>
      </c>
      <c r="H8776" s="54">
        <v>1</v>
      </c>
      <c r="I8776" s="16">
        <v>470000000</v>
      </c>
      <c r="J8776" s="56" t="s">
        <v>229</v>
      </c>
      <c r="K8776" s="6" t="s">
        <v>9041</v>
      </c>
      <c r="L8776" s="16" t="s">
        <v>9603</v>
      </c>
      <c r="M8776" s="3"/>
      <c r="N8776" s="65" t="s">
        <v>8914</v>
      </c>
      <c r="O8776" s="162" t="s">
        <v>9567</v>
      </c>
      <c r="P8776" s="3"/>
      <c r="Q8776" s="205"/>
      <c r="R8776" s="205"/>
      <c r="S8776" s="205"/>
      <c r="T8776" s="1">
        <v>2196350</v>
      </c>
      <c r="U8776" s="1">
        <f t="shared" si="638"/>
        <v>2459912.0000000005</v>
      </c>
      <c r="V8776" s="79"/>
      <c r="W8776" s="3">
        <v>2014</v>
      </c>
      <c r="X8776" s="3"/>
    </row>
    <row r="8777" spans="1:24" ht="63.75">
      <c r="A8777" s="3" t="s">
        <v>11207</v>
      </c>
      <c r="B8777" s="56" t="s">
        <v>361</v>
      </c>
      <c r="C8777" s="16" t="s">
        <v>9604</v>
      </c>
      <c r="D8777" s="16" t="s">
        <v>9605</v>
      </c>
      <c r="E8777" s="16" t="s">
        <v>9605</v>
      </c>
      <c r="F8777" s="16"/>
      <c r="G8777" s="6" t="s">
        <v>11450</v>
      </c>
      <c r="H8777" s="67">
        <v>1</v>
      </c>
      <c r="I8777" s="16">
        <v>470000000</v>
      </c>
      <c r="J8777" s="16" t="s">
        <v>229</v>
      </c>
      <c r="K8777" s="56" t="s">
        <v>8950</v>
      </c>
      <c r="L8777" s="16" t="s">
        <v>9606</v>
      </c>
      <c r="M8777" s="79"/>
      <c r="N8777" s="65" t="s">
        <v>528</v>
      </c>
      <c r="O8777" s="162" t="s">
        <v>9567</v>
      </c>
      <c r="P8777" s="6"/>
      <c r="Q8777" s="72"/>
      <c r="R8777" s="72"/>
      <c r="S8777" s="72"/>
      <c r="T8777" s="1">
        <v>501000</v>
      </c>
      <c r="U8777" s="1">
        <f t="shared" si="638"/>
        <v>561120</v>
      </c>
      <c r="V8777" s="79"/>
      <c r="W8777" s="3">
        <v>2014</v>
      </c>
      <c r="X8777" s="3"/>
    </row>
    <row r="8778" spans="1:24" ht="63.75">
      <c r="A8778" s="3" t="s">
        <v>11208</v>
      </c>
      <c r="B8778" s="16" t="s">
        <v>9166</v>
      </c>
      <c r="C8778" s="16" t="s">
        <v>9607</v>
      </c>
      <c r="D8778" s="16" t="s">
        <v>9608</v>
      </c>
      <c r="E8778" s="16" t="s">
        <v>9609</v>
      </c>
      <c r="F8778" s="3"/>
      <c r="G8778" s="6" t="s">
        <v>11450</v>
      </c>
      <c r="H8778" s="67">
        <v>1</v>
      </c>
      <c r="I8778" s="16">
        <v>470000000</v>
      </c>
      <c r="J8778" s="16" t="s">
        <v>229</v>
      </c>
      <c r="K8778" s="56" t="s">
        <v>8950</v>
      </c>
      <c r="L8778" s="16" t="s">
        <v>9606</v>
      </c>
      <c r="M8778" s="79"/>
      <c r="N8778" s="65" t="s">
        <v>528</v>
      </c>
      <c r="O8778" s="162" t="s">
        <v>9567</v>
      </c>
      <c r="P8778" s="6"/>
      <c r="Q8778" s="72"/>
      <c r="R8778" s="72"/>
      <c r="S8778" s="158"/>
      <c r="T8778" s="1">
        <v>99050</v>
      </c>
      <c r="U8778" s="1">
        <f t="shared" si="638"/>
        <v>110936.00000000001</v>
      </c>
      <c r="V8778" s="79"/>
      <c r="W8778" s="3">
        <v>2014</v>
      </c>
      <c r="X8778" s="3"/>
    </row>
    <row r="8779" spans="1:24" ht="63.75">
      <c r="A8779" s="3" t="s">
        <v>11209</v>
      </c>
      <c r="B8779" s="6" t="s">
        <v>361</v>
      </c>
      <c r="C8779" s="16" t="s">
        <v>9610</v>
      </c>
      <c r="D8779" s="16" t="s">
        <v>9611</v>
      </c>
      <c r="E8779" s="16" t="s">
        <v>9612</v>
      </c>
      <c r="F8779" s="16" t="s">
        <v>9613</v>
      </c>
      <c r="G8779" s="6" t="s">
        <v>11450</v>
      </c>
      <c r="H8779" s="54">
        <v>1</v>
      </c>
      <c r="I8779" s="16">
        <v>470000000</v>
      </c>
      <c r="J8779" s="56" t="s">
        <v>229</v>
      </c>
      <c r="K8779" s="6" t="s">
        <v>633</v>
      </c>
      <c r="L8779" s="16" t="s">
        <v>9614</v>
      </c>
      <c r="M8779" s="3"/>
      <c r="N8779" s="65" t="s">
        <v>524</v>
      </c>
      <c r="O8779" s="162" t="s">
        <v>9567</v>
      </c>
      <c r="P8779" s="3"/>
      <c r="Q8779" s="205"/>
      <c r="R8779" s="205"/>
      <c r="S8779" s="205"/>
      <c r="T8779" s="219">
        <v>0</v>
      </c>
      <c r="U8779" s="219">
        <f t="shared" si="638"/>
        <v>0</v>
      </c>
      <c r="V8779" s="79"/>
      <c r="W8779" s="3">
        <v>2014</v>
      </c>
      <c r="X8779" s="3">
        <v>20.21</v>
      </c>
    </row>
    <row r="8780" spans="1:24" ht="63.75">
      <c r="A8780" s="3" t="s">
        <v>18774</v>
      </c>
      <c r="B8780" s="6" t="s">
        <v>361</v>
      </c>
      <c r="C8780" s="16" t="s">
        <v>9610</v>
      </c>
      <c r="D8780" s="16" t="s">
        <v>9611</v>
      </c>
      <c r="E8780" s="16" t="s">
        <v>9612</v>
      </c>
      <c r="F8780" s="16" t="s">
        <v>9613</v>
      </c>
      <c r="G8780" s="6" t="s">
        <v>11450</v>
      </c>
      <c r="H8780" s="54">
        <v>1</v>
      </c>
      <c r="I8780" s="16">
        <v>470000000</v>
      </c>
      <c r="J8780" s="56" t="s">
        <v>229</v>
      </c>
      <c r="K8780" s="6" t="s">
        <v>633</v>
      </c>
      <c r="L8780" s="16" t="s">
        <v>9614</v>
      </c>
      <c r="M8780" s="3"/>
      <c r="N8780" s="65" t="s">
        <v>524</v>
      </c>
      <c r="O8780" s="162" t="s">
        <v>9567</v>
      </c>
      <c r="P8780" s="3"/>
      <c r="Q8780" s="205"/>
      <c r="R8780" s="205"/>
      <c r="S8780" s="205"/>
      <c r="T8780" s="1">
        <v>3400000</v>
      </c>
      <c r="U8780" s="1">
        <f t="shared" si="638"/>
        <v>3808000.0000000005</v>
      </c>
      <c r="V8780" s="79"/>
      <c r="W8780" s="3">
        <v>2014</v>
      </c>
      <c r="X8780" s="3"/>
    </row>
    <row r="8781" spans="1:24" ht="89.25">
      <c r="A8781" s="3" t="s">
        <v>11210</v>
      </c>
      <c r="B8781" s="6" t="s">
        <v>361</v>
      </c>
      <c r="C8781" s="16" t="s">
        <v>9615</v>
      </c>
      <c r="D8781" s="16" t="s">
        <v>9616</v>
      </c>
      <c r="E8781" s="16" t="s">
        <v>9617</v>
      </c>
      <c r="F8781" s="55" t="s">
        <v>9618</v>
      </c>
      <c r="G8781" s="6" t="s">
        <v>605</v>
      </c>
      <c r="H8781" s="54">
        <v>1</v>
      </c>
      <c r="I8781" s="16">
        <v>470000000</v>
      </c>
      <c r="J8781" s="16" t="s">
        <v>229</v>
      </c>
      <c r="K8781" s="3" t="s">
        <v>9453</v>
      </c>
      <c r="L8781" s="16" t="s">
        <v>9606</v>
      </c>
      <c r="M8781" s="3"/>
      <c r="N8781" s="65" t="s">
        <v>9454</v>
      </c>
      <c r="O8781" s="162" t="s">
        <v>9567</v>
      </c>
      <c r="P8781" s="3"/>
      <c r="Q8781" s="190"/>
      <c r="R8781" s="190"/>
      <c r="S8781" s="190"/>
      <c r="T8781" s="219">
        <v>0</v>
      </c>
      <c r="U8781" s="219">
        <f t="shared" si="638"/>
        <v>0</v>
      </c>
      <c r="V8781" s="79"/>
      <c r="W8781" s="3">
        <v>2014</v>
      </c>
      <c r="X8781" s="3">
        <v>11</v>
      </c>
    </row>
    <row r="8782" spans="1:24" ht="89.25">
      <c r="A8782" s="3" t="s">
        <v>14055</v>
      </c>
      <c r="B8782" s="6" t="s">
        <v>361</v>
      </c>
      <c r="C8782" s="16" t="s">
        <v>9615</v>
      </c>
      <c r="D8782" s="16" t="s">
        <v>9616</v>
      </c>
      <c r="E8782" s="16" t="s">
        <v>9617</v>
      </c>
      <c r="F8782" s="55" t="s">
        <v>9618</v>
      </c>
      <c r="G8782" s="6" t="s">
        <v>605</v>
      </c>
      <c r="H8782" s="54">
        <v>1</v>
      </c>
      <c r="I8782" s="16">
        <v>470000000</v>
      </c>
      <c r="J8782" s="16" t="s">
        <v>229</v>
      </c>
      <c r="K8782" s="6" t="s">
        <v>9041</v>
      </c>
      <c r="L8782" s="16" t="s">
        <v>9606</v>
      </c>
      <c r="M8782" s="3"/>
      <c r="N8782" s="65" t="s">
        <v>9454</v>
      </c>
      <c r="O8782" s="162" t="s">
        <v>9567</v>
      </c>
      <c r="P8782" s="3"/>
      <c r="Q8782" s="190"/>
      <c r="R8782" s="190"/>
      <c r="S8782" s="190"/>
      <c r="T8782" s="219">
        <v>0</v>
      </c>
      <c r="U8782" s="219">
        <f>T8782*1.12</f>
        <v>0</v>
      </c>
      <c r="V8782" s="79"/>
      <c r="W8782" s="3">
        <v>2014</v>
      </c>
      <c r="X8782" s="3">
        <v>11</v>
      </c>
    </row>
    <row r="8783" spans="1:24" ht="89.25">
      <c r="A8783" s="3" t="s">
        <v>18858</v>
      </c>
      <c r="B8783" s="6" t="s">
        <v>361</v>
      </c>
      <c r="C8783" s="16" t="s">
        <v>9615</v>
      </c>
      <c r="D8783" s="16" t="s">
        <v>9616</v>
      </c>
      <c r="E8783" s="16" t="s">
        <v>9617</v>
      </c>
      <c r="F8783" s="55" t="s">
        <v>9618</v>
      </c>
      <c r="G8783" s="6" t="s">
        <v>605</v>
      </c>
      <c r="H8783" s="54">
        <v>1</v>
      </c>
      <c r="I8783" s="16">
        <v>470000000</v>
      </c>
      <c r="J8783" s="16" t="s">
        <v>229</v>
      </c>
      <c r="K8783" s="6" t="s">
        <v>18437</v>
      </c>
      <c r="L8783" s="16" t="s">
        <v>9606</v>
      </c>
      <c r="M8783" s="3"/>
      <c r="N8783" s="65" t="s">
        <v>9454</v>
      </c>
      <c r="O8783" s="162" t="s">
        <v>9567</v>
      </c>
      <c r="P8783" s="3"/>
      <c r="Q8783" s="190"/>
      <c r="R8783" s="190"/>
      <c r="S8783" s="190"/>
      <c r="T8783" s="237">
        <v>66000</v>
      </c>
      <c r="U8783" s="219">
        <f>T8783*1.12</f>
        <v>73920</v>
      </c>
      <c r="V8783" s="79"/>
      <c r="W8783" s="3">
        <v>2014</v>
      </c>
      <c r="X8783" s="3"/>
    </row>
    <row r="8784" spans="1:24" ht="102">
      <c r="A8784" s="3" t="s">
        <v>11211</v>
      </c>
      <c r="B8784" s="6" t="s">
        <v>361</v>
      </c>
      <c r="C8784" s="16" t="s">
        <v>9595</v>
      </c>
      <c r="D8784" s="16" t="s">
        <v>9596</v>
      </c>
      <c r="E8784" s="16" t="s">
        <v>11682</v>
      </c>
      <c r="F8784" s="55" t="s">
        <v>9619</v>
      </c>
      <c r="G8784" s="201" t="s">
        <v>605</v>
      </c>
      <c r="H8784" s="202">
        <v>1</v>
      </c>
      <c r="I8784" s="55">
        <v>470000000</v>
      </c>
      <c r="J8784" s="16" t="s">
        <v>229</v>
      </c>
      <c r="K8784" s="6" t="s">
        <v>9453</v>
      </c>
      <c r="L8784" s="16" t="s">
        <v>9441</v>
      </c>
      <c r="M8784" s="79"/>
      <c r="N8784" s="65" t="s">
        <v>9454</v>
      </c>
      <c r="O8784" s="162" t="s">
        <v>9567</v>
      </c>
      <c r="P8784" s="3"/>
      <c r="Q8784" s="190"/>
      <c r="R8784" s="190"/>
      <c r="S8784" s="190"/>
      <c r="T8784" s="219">
        <v>0</v>
      </c>
      <c r="U8784" s="219">
        <f t="shared" si="638"/>
        <v>0</v>
      </c>
      <c r="V8784" s="79"/>
      <c r="W8784" s="3">
        <v>2014</v>
      </c>
      <c r="X8784" s="3">
        <v>11</v>
      </c>
    </row>
    <row r="8785" spans="1:24" ht="102">
      <c r="A8785" s="3" t="s">
        <v>14056</v>
      </c>
      <c r="B8785" s="6" t="s">
        <v>361</v>
      </c>
      <c r="C8785" s="16" t="s">
        <v>9595</v>
      </c>
      <c r="D8785" s="16" t="s">
        <v>9596</v>
      </c>
      <c r="E8785" s="16" t="s">
        <v>11682</v>
      </c>
      <c r="F8785" s="55" t="s">
        <v>9619</v>
      </c>
      <c r="G8785" s="201" t="s">
        <v>605</v>
      </c>
      <c r="H8785" s="202">
        <v>1</v>
      </c>
      <c r="I8785" s="55">
        <v>470000000</v>
      </c>
      <c r="J8785" s="16" t="s">
        <v>229</v>
      </c>
      <c r="K8785" s="6" t="s">
        <v>14057</v>
      </c>
      <c r="L8785" s="16" t="s">
        <v>9441</v>
      </c>
      <c r="M8785" s="79"/>
      <c r="N8785" s="65" t="s">
        <v>9454</v>
      </c>
      <c r="O8785" s="162" t="s">
        <v>9567</v>
      </c>
      <c r="P8785" s="3"/>
      <c r="Q8785" s="190"/>
      <c r="R8785" s="190"/>
      <c r="S8785" s="190"/>
      <c r="T8785" s="219">
        <v>220000</v>
      </c>
      <c r="U8785" s="219">
        <f>T8785*1.12</f>
        <v>246400.00000000003</v>
      </c>
      <c r="V8785" s="79"/>
      <c r="W8785" s="3">
        <v>2014</v>
      </c>
      <c r="X8785" s="3"/>
    </row>
    <row r="8786" spans="1:24" ht="102">
      <c r="A8786" s="3" t="s">
        <v>11212</v>
      </c>
      <c r="B8786" s="6" t="s">
        <v>361</v>
      </c>
      <c r="C8786" s="16" t="s">
        <v>9595</v>
      </c>
      <c r="D8786" s="16" t="s">
        <v>9596</v>
      </c>
      <c r="E8786" s="16" t="s">
        <v>11682</v>
      </c>
      <c r="F8786" s="55" t="s">
        <v>9620</v>
      </c>
      <c r="G8786" s="201" t="s">
        <v>605</v>
      </c>
      <c r="H8786" s="202">
        <v>1</v>
      </c>
      <c r="I8786" s="55">
        <v>470000000</v>
      </c>
      <c r="J8786" s="16" t="s">
        <v>229</v>
      </c>
      <c r="K8786" s="56" t="s">
        <v>9041</v>
      </c>
      <c r="L8786" s="16" t="s">
        <v>9441</v>
      </c>
      <c r="M8786" s="79"/>
      <c r="N8786" s="65" t="s">
        <v>9454</v>
      </c>
      <c r="O8786" s="162" t="s">
        <v>9567</v>
      </c>
      <c r="P8786" s="201"/>
      <c r="Q8786" s="203"/>
      <c r="R8786" s="201"/>
      <c r="S8786" s="201"/>
      <c r="T8786" s="219">
        <v>0</v>
      </c>
      <c r="U8786" s="219">
        <f t="shared" si="638"/>
        <v>0</v>
      </c>
      <c r="V8786" s="79"/>
      <c r="W8786" s="3">
        <v>2014</v>
      </c>
      <c r="X8786" s="3">
        <v>11</v>
      </c>
    </row>
    <row r="8787" spans="1:24" ht="102">
      <c r="A8787" s="3" t="s">
        <v>18859</v>
      </c>
      <c r="B8787" s="6" t="s">
        <v>361</v>
      </c>
      <c r="C8787" s="16" t="s">
        <v>9595</v>
      </c>
      <c r="D8787" s="16" t="s">
        <v>9596</v>
      </c>
      <c r="E8787" s="16" t="s">
        <v>11682</v>
      </c>
      <c r="F8787" s="55" t="s">
        <v>9620</v>
      </c>
      <c r="G8787" s="201" t="s">
        <v>605</v>
      </c>
      <c r="H8787" s="202">
        <v>1</v>
      </c>
      <c r="I8787" s="55">
        <v>470000000</v>
      </c>
      <c r="J8787" s="16" t="s">
        <v>229</v>
      </c>
      <c r="K8787" s="56" t="s">
        <v>18437</v>
      </c>
      <c r="L8787" s="16" t="s">
        <v>9441</v>
      </c>
      <c r="M8787" s="79"/>
      <c r="N8787" s="65" t="s">
        <v>9454</v>
      </c>
      <c r="O8787" s="162" t="s">
        <v>9567</v>
      </c>
      <c r="P8787" s="201"/>
      <c r="Q8787" s="203"/>
      <c r="R8787" s="201"/>
      <c r="S8787" s="201"/>
      <c r="T8787" s="237">
        <v>32204</v>
      </c>
      <c r="U8787" s="219">
        <f t="shared" si="638"/>
        <v>36068.480000000003</v>
      </c>
      <c r="V8787" s="79"/>
      <c r="W8787" s="3">
        <v>2014</v>
      </c>
      <c r="X8787" s="3"/>
    </row>
    <row r="8788" spans="1:24" ht="63.75">
      <c r="A8788" s="3" t="s">
        <v>11213</v>
      </c>
      <c r="B8788" s="6" t="s">
        <v>361</v>
      </c>
      <c r="C8788" s="16" t="s">
        <v>9621</v>
      </c>
      <c r="D8788" s="16" t="s">
        <v>9622</v>
      </c>
      <c r="E8788" s="16" t="s">
        <v>9622</v>
      </c>
      <c r="F8788" s="6" t="s">
        <v>9623</v>
      </c>
      <c r="G8788" s="6" t="s">
        <v>11450</v>
      </c>
      <c r="H8788" s="202">
        <v>0.6</v>
      </c>
      <c r="I8788" s="16">
        <v>470000000</v>
      </c>
      <c r="J8788" s="16" t="s">
        <v>229</v>
      </c>
      <c r="K8788" s="6" t="s">
        <v>641</v>
      </c>
      <c r="L8788" s="16" t="s">
        <v>9606</v>
      </c>
      <c r="M8788" s="3"/>
      <c r="N8788" s="61" t="s">
        <v>9624</v>
      </c>
      <c r="O8788" s="162" t="s">
        <v>9567</v>
      </c>
      <c r="P8788" s="3"/>
      <c r="Q8788" s="190"/>
      <c r="R8788" s="190"/>
      <c r="S8788" s="190"/>
      <c r="T8788" s="1">
        <v>252545</v>
      </c>
      <c r="U8788" s="1">
        <f t="shared" si="638"/>
        <v>282850.40000000002</v>
      </c>
      <c r="V8788" s="201"/>
      <c r="W8788" s="3">
        <v>2014</v>
      </c>
      <c r="X8788" s="3"/>
    </row>
    <row r="8789" spans="1:24" ht="76.5">
      <c r="A8789" s="3" t="s">
        <v>11214</v>
      </c>
      <c r="B8789" s="6" t="s">
        <v>361</v>
      </c>
      <c r="C8789" s="16" t="s">
        <v>9625</v>
      </c>
      <c r="D8789" s="16" t="s">
        <v>9626</v>
      </c>
      <c r="E8789" s="16" t="s">
        <v>9626</v>
      </c>
      <c r="F8789" s="6" t="s">
        <v>9627</v>
      </c>
      <c r="G8789" s="6" t="s">
        <v>605</v>
      </c>
      <c r="H8789" s="202">
        <v>0.6</v>
      </c>
      <c r="I8789" s="16">
        <v>470000000</v>
      </c>
      <c r="J8789" s="16" t="s">
        <v>229</v>
      </c>
      <c r="K8789" s="6" t="s">
        <v>642</v>
      </c>
      <c r="L8789" s="16" t="s">
        <v>9606</v>
      </c>
      <c r="M8789" s="3"/>
      <c r="N8789" s="65" t="s">
        <v>9454</v>
      </c>
      <c r="O8789" s="162" t="s">
        <v>9567</v>
      </c>
      <c r="P8789" s="3"/>
      <c r="Q8789" s="190"/>
      <c r="R8789" s="190"/>
      <c r="S8789" s="190"/>
      <c r="T8789" s="4">
        <v>0</v>
      </c>
      <c r="U8789" s="4">
        <f t="shared" si="638"/>
        <v>0</v>
      </c>
      <c r="V8789" s="201"/>
      <c r="W8789" s="3">
        <v>2014</v>
      </c>
      <c r="X8789" s="3">
        <v>11</v>
      </c>
    </row>
    <row r="8790" spans="1:24" ht="76.5">
      <c r="A8790" s="3" t="s">
        <v>14058</v>
      </c>
      <c r="B8790" s="6" t="s">
        <v>361</v>
      </c>
      <c r="C8790" s="16" t="s">
        <v>9625</v>
      </c>
      <c r="D8790" s="16" t="s">
        <v>9626</v>
      </c>
      <c r="E8790" s="16" t="s">
        <v>9626</v>
      </c>
      <c r="F8790" s="6" t="s">
        <v>9627</v>
      </c>
      <c r="G8790" s="6" t="s">
        <v>605</v>
      </c>
      <c r="H8790" s="202">
        <v>0.6</v>
      </c>
      <c r="I8790" s="16">
        <v>470000000</v>
      </c>
      <c r="J8790" s="16" t="s">
        <v>229</v>
      </c>
      <c r="K8790" s="6" t="s">
        <v>9453</v>
      </c>
      <c r="L8790" s="16" t="s">
        <v>9606</v>
      </c>
      <c r="M8790" s="3"/>
      <c r="N8790" s="65" t="s">
        <v>9454</v>
      </c>
      <c r="O8790" s="162" t="s">
        <v>9567</v>
      </c>
      <c r="P8790" s="3"/>
      <c r="Q8790" s="190"/>
      <c r="R8790" s="190"/>
      <c r="S8790" s="190"/>
      <c r="T8790" s="4">
        <v>0</v>
      </c>
      <c r="U8790" s="4">
        <f t="shared" si="638"/>
        <v>0</v>
      </c>
      <c r="V8790" s="201"/>
      <c r="W8790" s="3">
        <v>2014</v>
      </c>
      <c r="X8790" s="3" t="s">
        <v>16437</v>
      </c>
    </row>
    <row r="8791" spans="1:24" ht="76.5">
      <c r="A8791" s="3" t="s">
        <v>15879</v>
      </c>
      <c r="B8791" s="6" t="s">
        <v>361</v>
      </c>
      <c r="C8791" s="16" t="s">
        <v>9625</v>
      </c>
      <c r="D8791" s="16" t="s">
        <v>9626</v>
      </c>
      <c r="E8791" s="16" t="s">
        <v>9626</v>
      </c>
      <c r="F8791" s="6" t="s">
        <v>9627</v>
      </c>
      <c r="G8791" s="6" t="s">
        <v>11450</v>
      </c>
      <c r="H8791" s="202">
        <v>0.6</v>
      </c>
      <c r="I8791" s="16">
        <v>470000000</v>
      </c>
      <c r="J8791" s="16" t="s">
        <v>229</v>
      </c>
      <c r="K8791" s="6" t="s">
        <v>9453</v>
      </c>
      <c r="L8791" s="16" t="s">
        <v>9606</v>
      </c>
      <c r="M8791" s="3"/>
      <c r="N8791" s="65" t="s">
        <v>9454</v>
      </c>
      <c r="O8791" s="162" t="s">
        <v>9567</v>
      </c>
      <c r="P8791" s="3"/>
      <c r="Q8791" s="190"/>
      <c r="R8791" s="190"/>
      <c r="S8791" s="190"/>
      <c r="T8791" s="1">
        <v>500000</v>
      </c>
      <c r="U8791" s="1">
        <f t="shared" si="638"/>
        <v>560000</v>
      </c>
      <c r="V8791" s="201"/>
      <c r="W8791" s="3">
        <v>2014</v>
      </c>
      <c r="X8791" s="3"/>
    </row>
    <row r="8792" spans="1:24" ht="63.75">
      <c r="A8792" s="3" t="s">
        <v>11215</v>
      </c>
      <c r="B8792" s="6" t="s">
        <v>361</v>
      </c>
      <c r="C8792" s="55" t="s">
        <v>9628</v>
      </c>
      <c r="D8792" s="55" t="s">
        <v>9629</v>
      </c>
      <c r="E8792" s="55" t="s">
        <v>9630</v>
      </c>
      <c r="F8792" s="6" t="s">
        <v>11448</v>
      </c>
      <c r="G8792" s="3" t="s">
        <v>605</v>
      </c>
      <c r="H8792" s="54">
        <v>0.6</v>
      </c>
      <c r="I8792" s="16">
        <v>470000000</v>
      </c>
      <c r="J8792" s="16" t="s">
        <v>229</v>
      </c>
      <c r="K8792" s="6" t="s">
        <v>8901</v>
      </c>
      <c r="L8792" s="6" t="s">
        <v>631</v>
      </c>
      <c r="M8792" s="3"/>
      <c r="N8792" s="62" t="s">
        <v>9488</v>
      </c>
      <c r="O8792" s="162" t="s">
        <v>9567</v>
      </c>
      <c r="P8792" s="3"/>
      <c r="Q8792" s="3"/>
      <c r="R8792" s="18"/>
      <c r="S8792" s="1"/>
      <c r="T8792" s="1">
        <v>456722.96039999998</v>
      </c>
      <c r="U8792" s="1">
        <f t="shared" si="638"/>
        <v>511529.71564800001</v>
      </c>
      <c r="V8792" s="3" t="s">
        <v>610</v>
      </c>
      <c r="W8792" s="3">
        <v>2014</v>
      </c>
      <c r="X8792" s="3"/>
    </row>
    <row r="8793" spans="1:24" ht="102">
      <c r="A8793" s="3" t="s">
        <v>11216</v>
      </c>
      <c r="B8793" s="6" t="s">
        <v>361</v>
      </c>
      <c r="C8793" s="16" t="s">
        <v>9631</v>
      </c>
      <c r="D8793" s="16" t="s">
        <v>9632</v>
      </c>
      <c r="E8793" s="16" t="s">
        <v>9633</v>
      </c>
      <c r="F8793" s="6" t="s">
        <v>9634</v>
      </c>
      <c r="G8793" s="3" t="s">
        <v>605</v>
      </c>
      <c r="H8793" s="54">
        <v>1</v>
      </c>
      <c r="I8793" s="16">
        <v>470000000</v>
      </c>
      <c r="J8793" s="16" t="s">
        <v>229</v>
      </c>
      <c r="K8793" s="6" t="s">
        <v>8901</v>
      </c>
      <c r="L8793" s="16" t="s">
        <v>621</v>
      </c>
      <c r="M8793" s="3"/>
      <c r="N8793" s="62" t="s">
        <v>9488</v>
      </c>
      <c r="O8793" s="162" t="s">
        <v>9567</v>
      </c>
      <c r="P8793" s="3"/>
      <c r="Q8793" s="1"/>
      <c r="R8793" s="18"/>
      <c r="S8793" s="1"/>
      <c r="T8793" s="1">
        <v>3417067</v>
      </c>
      <c r="U8793" s="1">
        <f t="shared" si="638"/>
        <v>3827115.0400000005</v>
      </c>
      <c r="V8793" s="201"/>
      <c r="W8793" s="3">
        <v>2014</v>
      </c>
      <c r="X8793" s="3"/>
    </row>
    <row r="8794" spans="1:24" ht="76.5">
      <c r="A8794" s="3" t="s">
        <v>11217</v>
      </c>
      <c r="B8794" s="6" t="s">
        <v>361</v>
      </c>
      <c r="C8794" s="55" t="s">
        <v>9635</v>
      </c>
      <c r="D8794" s="16" t="s">
        <v>9636</v>
      </c>
      <c r="E8794" s="55" t="s">
        <v>9637</v>
      </c>
      <c r="F8794" s="6" t="s">
        <v>9638</v>
      </c>
      <c r="G8794" s="3" t="s">
        <v>11450</v>
      </c>
      <c r="H8794" s="186">
        <v>0.6</v>
      </c>
      <c r="I8794" s="16">
        <v>470000000</v>
      </c>
      <c r="J8794" s="16" t="s">
        <v>229</v>
      </c>
      <c r="K8794" s="6" t="s">
        <v>9639</v>
      </c>
      <c r="L8794" s="16" t="s">
        <v>621</v>
      </c>
      <c r="M8794" s="3"/>
      <c r="N8794" s="65" t="s">
        <v>9454</v>
      </c>
      <c r="O8794" s="6" t="s">
        <v>9640</v>
      </c>
      <c r="P8794" s="3"/>
      <c r="Q8794" s="1"/>
      <c r="R8794" s="18"/>
      <c r="S8794" s="1"/>
      <c r="T8794" s="4">
        <v>0</v>
      </c>
      <c r="U8794" s="4">
        <f t="shared" si="638"/>
        <v>0</v>
      </c>
      <c r="V8794" s="201"/>
      <c r="W8794" s="3">
        <v>2014</v>
      </c>
      <c r="X8794" s="6">
        <v>12</v>
      </c>
    </row>
    <row r="8795" spans="1:24" ht="76.5">
      <c r="A8795" s="3" t="s">
        <v>11915</v>
      </c>
      <c r="B8795" s="6" t="s">
        <v>361</v>
      </c>
      <c r="C8795" s="55" t="s">
        <v>9635</v>
      </c>
      <c r="D8795" s="16" t="s">
        <v>9636</v>
      </c>
      <c r="E8795" s="55" t="s">
        <v>9637</v>
      </c>
      <c r="F8795" s="6" t="s">
        <v>9638</v>
      </c>
      <c r="G8795" s="3" t="s">
        <v>11450</v>
      </c>
      <c r="H8795" s="186">
        <v>0.6</v>
      </c>
      <c r="I8795" s="16">
        <v>470000000</v>
      </c>
      <c r="J8795" s="16" t="s">
        <v>229</v>
      </c>
      <c r="K8795" s="6" t="s">
        <v>9639</v>
      </c>
      <c r="L8795" s="16" t="s">
        <v>9723</v>
      </c>
      <c r="M8795" s="3"/>
      <c r="N8795" s="65" t="s">
        <v>9454</v>
      </c>
      <c r="O8795" s="6" t="s">
        <v>9640</v>
      </c>
      <c r="P8795" s="3"/>
      <c r="Q8795" s="1"/>
      <c r="R8795" s="18"/>
      <c r="S8795" s="1"/>
      <c r="T8795" s="1">
        <v>1534308</v>
      </c>
      <c r="U8795" s="4">
        <f>T8795*1.12</f>
        <v>1718424.9600000002</v>
      </c>
      <c r="V8795" s="201"/>
      <c r="W8795" s="3">
        <v>2014</v>
      </c>
      <c r="X8795" s="6"/>
    </row>
    <row r="8796" spans="1:24" ht="63.75">
      <c r="A8796" s="3" t="s">
        <v>11218</v>
      </c>
      <c r="B8796" s="6" t="s">
        <v>361</v>
      </c>
      <c r="C8796" s="55" t="s">
        <v>9641</v>
      </c>
      <c r="D8796" s="16" t="s">
        <v>9642</v>
      </c>
      <c r="E8796" s="55" t="s">
        <v>9643</v>
      </c>
      <c r="F8796" s="6" t="s">
        <v>9638</v>
      </c>
      <c r="G8796" s="3" t="s">
        <v>11449</v>
      </c>
      <c r="H8796" s="186">
        <v>0.6</v>
      </c>
      <c r="I8796" s="16">
        <v>470000000</v>
      </c>
      <c r="J8796" s="16" t="s">
        <v>229</v>
      </c>
      <c r="K8796" s="6" t="s">
        <v>9644</v>
      </c>
      <c r="L8796" s="16" t="s">
        <v>621</v>
      </c>
      <c r="M8796" s="3"/>
      <c r="N8796" s="65" t="s">
        <v>9454</v>
      </c>
      <c r="O8796" s="6" t="s">
        <v>9640</v>
      </c>
      <c r="P8796" s="3"/>
      <c r="Q8796" s="1"/>
      <c r="R8796" s="18"/>
      <c r="S8796" s="1"/>
      <c r="T8796" s="4">
        <v>0</v>
      </c>
      <c r="U8796" s="4">
        <f t="shared" si="638"/>
        <v>0</v>
      </c>
      <c r="V8796" s="201"/>
      <c r="W8796" s="3">
        <v>2014</v>
      </c>
      <c r="X8796" s="6" t="s">
        <v>11917</v>
      </c>
    </row>
    <row r="8797" spans="1:24" ht="63.75">
      <c r="A8797" s="3" t="s">
        <v>11916</v>
      </c>
      <c r="B8797" s="6" t="s">
        <v>361</v>
      </c>
      <c r="C8797" s="55" t="s">
        <v>9641</v>
      </c>
      <c r="D8797" s="16" t="s">
        <v>9642</v>
      </c>
      <c r="E8797" s="55" t="s">
        <v>9643</v>
      </c>
      <c r="F8797" s="6" t="s">
        <v>9638</v>
      </c>
      <c r="G8797" s="3" t="s">
        <v>11450</v>
      </c>
      <c r="H8797" s="186">
        <v>0.6</v>
      </c>
      <c r="I8797" s="16">
        <v>470000000</v>
      </c>
      <c r="J8797" s="16" t="s">
        <v>229</v>
      </c>
      <c r="K8797" s="6" t="s">
        <v>9644</v>
      </c>
      <c r="L8797" s="16" t="s">
        <v>9723</v>
      </c>
      <c r="M8797" s="3"/>
      <c r="N8797" s="65" t="s">
        <v>9454</v>
      </c>
      <c r="O8797" s="6" t="s">
        <v>9640</v>
      </c>
      <c r="P8797" s="3"/>
      <c r="Q8797" s="1"/>
      <c r="R8797" s="18"/>
      <c r="S8797" s="1"/>
      <c r="T8797" s="1">
        <v>3600000</v>
      </c>
      <c r="U8797" s="4">
        <f>T8797*1.12</f>
        <v>4032000.0000000005</v>
      </c>
      <c r="V8797" s="201"/>
      <c r="W8797" s="3">
        <v>2014</v>
      </c>
      <c r="X8797" s="6"/>
    </row>
    <row r="8798" spans="1:24" ht="63.75">
      <c r="A8798" s="3" t="s">
        <v>11219</v>
      </c>
      <c r="B8798" s="6" t="s">
        <v>361</v>
      </c>
      <c r="C8798" s="55" t="s">
        <v>9645</v>
      </c>
      <c r="D8798" s="16" t="s">
        <v>9646</v>
      </c>
      <c r="E8798" s="55" t="s">
        <v>9646</v>
      </c>
      <c r="F8798" s="6" t="s">
        <v>9647</v>
      </c>
      <c r="G8798" s="3" t="s">
        <v>11450</v>
      </c>
      <c r="H8798" s="67">
        <v>0.6</v>
      </c>
      <c r="I8798" s="16">
        <v>470000000</v>
      </c>
      <c r="J8798" s="16" t="s">
        <v>229</v>
      </c>
      <c r="K8798" s="6" t="s">
        <v>9648</v>
      </c>
      <c r="L8798" s="16" t="s">
        <v>621</v>
      </c>
      <c r="M8798" s="3"/>
      <c r="N8798" s="65" t="s">
        <v>9454</v>
      </c>
      <c r="O8798" s="162" t="s">
        <v>9567</v>
      </c>
      <c r="P8798" s="3"/>
      <c r="Q8798" s="3"/>
      <c r="R8798" s="3"/>
      <c r="S8798" s="3"/>
      <c r="T8798" s="4">
        <v>0</v>
      </c>
      <c r="U8798" s="4">
        <f t="shared" si="638"/>
        <v>0</v>
      </c>
      <c r="V8798" s="201"/>
      <c r="W8798" s="3">
        <v>2014</v>
      </c>
      <c r="X8798" s="3">
        <v>11</v>
      </c>
    </row>
    <row r="8799" spans="1:24" ht="63.75">
      <c r="A8799" s="3" t="s">
        <v>12959</v>
      </c>
      <c r="B8799" s="6" t="s">
        <v>361</v>
      </c>
      <c r="C8799" s="55" t="s">
        <v>9645</v>
      </c>
      <c r="D8799" s="16" t="s">
        <v>9646</v>
      </c>
      <c r="E8799" s="55" t="s">
        <v>9646</v>
      </c>
      <c r="F8799" s="6" t="s">
        <v>9647</v>
      </c>
      <c r="G8799" s="3" t="s">
        <v>11450</v>
      </c>
      <c r="H8799" s="67">
        <v>0.6</v>
      </c>
      <c r="I8799" s="16">
        <v>470000000</v>
      </c>
      <c r="J8799" s="16" t="s">
        <v>229</v>
      </c>
      <c r="K8799" s="6" t="s">
        <v>12960</v>
      </c>
      <c r="L8799" s="16" t="s">
        <v>621</v>
      </c>
      <c r="M8799" s="3"/>
      <c r="N8799" s="65" t="s">
        <v>9454</v>
      </c>
      <c r="O8799" s="162" t="s">
        <v>9567</v>
      </c>
      <c r="P8799" s="3"/>
      <c r="Q8799" s="3"/>
      <c r="R8799" s="3"/>
      <c r="S8799" s="3"/>
      <c r="T8799" s="1">
        <v>184800</v>
      </c>
      <c r="U8799" s="1">
        <f>T8799*1.12</f>
        <v>206976.00000000003</v>
      </c>
      <c r="V8799" s="201"/>
      <c r="W8799" s="3">
        <v>2014</v>
      </c>
      <c r="X8799" s="3"/>
    </row>
    <row r="8800" spans="1:24" ht="76.5">
      <c r="A8800" s="3" t="s">
        <v>11220</v>
      </c>
      <c r="B8800" s="16" t="s">
        <v>9166</v>
      </c>
      <c r="C8800" s="55" t="s">
        <v>9649</v>
      </c>
      <c r="D8800" s="16" t="s">
        <v>9650</v>
      </c>
      <c r="E8800" s="16" t="s">
        <v>9650</v>
      </c>
      <c r="F8800" s="6"/>
      <c r="G8800" s="3" t="s">
        <v>11450</v>
      </c>
      <c r="H8800" s="67">
        <v>1</v>
      </c>
      <c r="I8800" s="16">
        <v>470000000</v>
      </c>
      <c r="J8800" s="16" t="s">
        <v>229</v>
      </c>
      <c r="K8800" s="56" t="s">
        <v>9453</v>
      </c>
      <c r="L8800" s="16" t="s">
        <v>9606</v>
      </c>
      <c r="M8800" s="79"/>
      <c r="N8800" s="85" t="s">
        <v>9651</v>
      </c>
      <c r="O8800" s="162" t="s">
        <v>9567</v>
      </c>
      <c r="P8800" s="79"/>
      <c r="Q8800" s="79"/>
      <c r="R8800" s="79"/>
      <c r="S8800" s="79"/>
      <c r="T8800" s="4">
        <v>0</v>
      </c>
      <c r="U8800" s="4">
        <f t="shared" si="638"/>
        <v>0</v>
      </c>
      <c r="V8800" s="201"/>
      <c r="W8800" s="3">
        <v>2014</v>
      </c>
      <c r="X8800" s="3">
        <v>7.12</v>
      </c>
    </row>
    <row r="8801" spans="1:24" ht="76.5">
      <c r="A8801" s="3" t="s">
        <v>16643</v>
      </c>
      <c r="B8801" s="16" t="s">
        <v>9166</v>
      </c>
      <c r="C8801" s="55" t="s">
        <v>9649</v>
      </c>
      <c r="D8801" s="16" t="s">
        <v>9650</v>
      </c>
      <c r="E8801" s="16" t="s">
        <v>9650</v>
      </c>
      <c r="F8801" s="6"/>
      <c r="G8801" s="3" t="s">
        <v>605</v>
      </c>
      <c r="H8801" s="67">
        <v>1</v>
      </c>
      <c r="I8801" s="16">
        <v>470000000</v>
      </c>
      <c r="J8801" s="16" t="s">
        <v>229</v>
      </c>
      <c r="K8801" s="56" t="s">
        <v>9453</v>
      </c>
      <c r="L8801" s="16" t="s">
        <v>9537</v>
      </c>
      <c r="M8801" s="79"/>
      <c r="N8801" s="85" t="s">
        <v>9651</v>
      </c>
      <c r="O8801" s="162" t="s">
        <v>9567</v>
      </c>
      <c r="P8801" s="79"/>
      <c r="Q8801" s="79"/>
      <c r="R8801" s="79"/>
      <c r="S8801" s="79"/>
      <c r="T8801" s="1">
        <v>1828379.7</v>
      </c>
      <c r="U8801" s="1">
        <f t="shared" si="638"/>
        <v>2047785.2640000002</v>
      </c>
      <c r="V8801" s="201"/>
      <c r="W8801" s="3">
        <v>2014</v>
      </c>
      <c r="X8801" s="3"/>
    </row>
    <row r="8802" spans="1:24" ht="63.75">
      <c r="A8802" s="3" t="s">
        <v>11221</v>
      </c>
      <c r="B8802" s="16" t="s">
        <v>9166</v>
      </c>
      <c r="C8802" s="16" t="s">
        <v>9652</v>
      </c>
      <c r="D8802" s="16" t="s">
        <v>9653</v>
      </c>
      <c r="E8802" s="16" t="s">
        <v>9653</v>
      </c>
      <c r="F8802" s="16" t="s">
        <v>9654</v>
      </c>
      <c r="G8802" s="198" t="s">
        <v>605</v>
      </c>
      <c r="H8802" s="67">
        <v>0.6</v>
      </c>
      <c r="I8802" s="16">
        <v>470000000</v>
      </c>
      <c r="J8802" s="16" t="s">
        <v>229</v>
      </c>
      <c r="K8802" s="56" t="s">
        <v>9655</v>
      </c>
      <c r="L8802" s="16" t="s">
        <v>9656</v>
      </c>
      <c r="M8802" s="79"/>
      <c r="N8802" s="62" t="s">
        <v>9488</v>
      </c>
      <c r="O8802" s="162" t="s">
        <v>9567</v>
      </c>
      <c r="P8802" s="79"/>
      <c r="Q8802" s="79"/>
      <c r="R8802" s="79"/>
      <c r="S8802" s="79"/>
      <c r="T8802" s="4">
        <v>0</v>
      </c>
      <c r="U8802" s="4">
        <f>T8802*1.12</f>
        <v>0</v>
      </c>
      <c r="V8802" s="201"/>
      <c r="W8802" s="3">
        <v>2014</v>
      </c>
      <c r="X8802" s="3" t="s">
        <v>14021</v>
      </c>
    </row>
    <row r="8803" spans="1:24" ht="63.75">
      <c r="A8803" s="3" t="s">
        <v>18414</v>
      </c>
      <c r="B8803" s="16" t="s">
        <v>9166</v>
      </c>
      <c r="C8803" s="16" t="s">
        <v>9652</v>
      </c>
      <c r="D8803" s="16" t="s">
        <v>9653</v>
      </c>
      <c r="E8803" s="16" t="s">
        <v>9653</v>
      </c>
      <c r="F8803" s="16" t="s">
        <v>9654</v>
      </c>
      <c r="G8803" s="198" t="s">
        <v>11450</v>
      </c>
      <c r="H8803" s="67">
        <v>0.6</v>
      </c>
      <c r="I8803" s="16">
        <v>470000000</v>
      </c>
      <c r="J8803" s="16" t="s">
        <v>229</v>
      </c>
      <c r="K8803" s="56" t="s">
        <v>15646</v>
      </c>
      <c r="L8803" s="16" t="s">
        <v>18415</v>
      </c>
      <c r="M8803" s="79"/>
      <c r="N8803" s="65" t="s">
        <v>9454</v>
      </c>
      <c r="O8803" s="162" t="s">
        <v>9567</v>
      </c>
      <c r="P8803" s="79"/>
      <c r="Q8803" s="79"/>
      <c r="R8803" s="79"/>
      <c r="S8803" s="79"/>
      <c r="T8803" s="1">
        <v>362696</v>
      </c>
      <c r="U8803" s="1">
        <f>T8803*1.12</f>
        <v>406219.52000000002</v>
      </c>
      <c r="V8803" s="201"/>
      <c r="W8803" s="3">
        <v>2014</v>
      </c>
      <c r="X8803" s="3"/>
    </row>
    <row r="8804" spans="1:24" ht="63.75">
      <c r="A8804" s="3" t="s">
        <v>11222</v>
      </c>
      <c r="B8804" s="16" t="s">
        <v>9166</v>
      </c>
      <c r="C8804" s="16" t="s">
        <v>9657</v>
      </c>
      <c r="D8804" s="16" t="s">
        <v>9658</v>
      </c>
      <c r="E8804" s="16" t="s">
        <v>9658</v>
      </c>
      <c r="F8804" s="6" t="s">
        <v>9659</v>
      </c>
      <c r="G8804" s="3" t="s">
        <v>605</v>
      </c>
      <c r="H8804" s="67">
        <v>0.6</v>
      </c>
      <c r="I8804" s="16">
        <v>470000000</v>
      </c>
      <c r="J8804" s="16" t="s">
        <v>229</v>
      </c>
      <c r="K8804" s="6" t="s">
        <v>8901</v>
      </c>
      <c r="L8804" s="16" t="s">
        <v>621</v>
      </c>
      <c r="M8804" s="3"/>
      <c r="N8804" s="62" t="s">
        <v>9488</v>
      </c>
      <c r="O8804" s="162" t="s">
        <v>9567</v>
      </c>
      <c r="P8804" s="3"/>
      <c r="Q8804" s="1"/>
      <c r="R8804" s="18"/>
      <c r="S8804" s="1"/>
      <c r="T8804" s="1">
        <v>2416751</v>
      </c>
      <c r="U8804" s="1">
        <f>T8804*1.12</f>
        <v>2706761.12</v>
      </c>
      <c r="V8804" s="3" t="s">
        <v>610</v>
      </c>
      <c r="W8804" s="3">
        <v>2014</v>
      </c>
      <c r="X8804" s="3"/>
    </row>
    <row r="8805" spans="1:24" ht="63.75">
      <c r="A8805" s="3" t="s">
        <v>11223</v>
      </c>
      <c r="B8805" s="6" t="s">
        <v>361</v>
      </c>
      <c r="C8805" s="16" t="s">
        <v>9652</v>
      </c>
      <c r="D8805" s="16" t="s">
        <v>9653</v>
      </c>
      <c r="E8805" s="16" t="s">
        <v>9653</v>
      </c>
      <c r="F8805" s="6" t="s">
        <v>9659</v>
      </c>
      <c r="G8805" s="3" t="s">
        <v>11450</v>
      </c>
      <c r="H8805" s="206">
        <v>0.8</v>
      </c>
      <c r="I8805" s="16">
        <v>470000000</v>
      </c>
      <c r="J8805" s="16" t="s">
        <v>229</v>
      </c>
      <c r="K8805" s="6" t="s">
        <v>11451</v>
      </c>
      <c r="L8805" s="16" t="s">
        <v>621</v>
      </c>
      <c r="M8805" s="3"/>
      <c r="N8805" s="65" t="s">
        <v>9454</v>
      </c>
      <c r="O8805" s="162" t="s">
        <v>9567</v>
      </c>
      <c r="P8805" s="3"/>
      <c r="Q8805" s="1"/>
      <c r="R8805" s="18"/>
      <c r="S8805" s="1"/>
      <c r="T8805" s="1">
        <v>604092</v>
      </c>
      <c r="U8805" s="1">
        <f t="shared" ref="U8805:U8888" si="640">T8805*1.12</f>
        <v>676583.04</v>
      </c>
      <c r="V8805" s="201"/>
      <c r="W8805" s="3">
        <v>2014</v>
      </c>
      <c r="X8805" s="3"/>
    </row>
    <row r="8806" spans="1:24" ht="89.25">
      <c r="A8806" s="3" t="s">
        <v>11224</v>
      </c>
      <c r="B8806" s="6" t="s">
        <v>361</v>
      </c>
      <c r="C8806" s="16" t="s">
        <v>9661</v>
      </c>
      <c r="D8806" s="16" t="s">
        <v>9662</v>
      </c>
      <c r="E8806" s="16" t="s">
        <v>9662</v>
      </c>
      <c r="F8806" s="61" t="s">
        <v>9663</v>
      </c>
      <c r="G8806" s="22" t="s">
        <v>605</v>
      </c>
      <c r="H8806" s="67">
        <v>1</v>
      </c>
      <c r="I8806" s="16">
        <v>470000000</v>
      </c>
      <c r="J8806" s="16" t="s">
        <v>229</v>
      </c>
      <c r="K8806" s="86" t="s">
        <v>9664</v>
      </c>
      <c r="L8806" s="16" t="s">
        <v>9606</v>
      </c>
      <c r="M8806" s="3"/>
      <c r="N8806" s="65" t="s">
        <v>9665</v>
      </c>
      <c r="O8806" s="78" t="s">
        <v>9666</v>
      </c>
      <c r="P8806" s="3"/>
      <c r="Q8806" s="82"/>
      <c r="R8806" s="82"/>
      <c r="S8806" s="83"/>
      <c r="T8806" s="4">
        <v>0</v>
      </c>
      <c r="U8806" s="4">
        <f t="shared" si="640"/>
        <v>0</v>
      </c>
      <c r="V8806" s="201"/>
      <c r="W8806" s="3">
        <v>2014</v>
      </c>
      <c r="X8806" s="3">
        <v>20.21</v>
      </c>
    </row>
    <row r="8807" spans="1:24" ht="89.25">
      <c r="A8807" s="3" t="s">
        <v>19096</v>
      </c>
      <c r="B8807" s="6" t="s">
        <v>361</v>
      </c>
      <c r="C8807" s="16" t="s">
        <v>9661</v>
      </c>
      <c r="D8807" s="16" t="s">
        <v>9662</v>
      </c>
      <c r="E8807" s="16" t="s">
        <v>9662</v>
      </c>
      <c r="F8807" s="61" t="s">
        <v>9663</v>
      </c>
      <c r="G8807" s="22" t="s">
        <v>605</v>
      </c>
      <c r="H8807" s="67">
        <v>1</v>
      </c>
      <c r="I8807" s="16">
        <v>470000000</v>
      </c>
      <c r="J8807" s="16" t="s">
        <v>229</v>
      </c>
      <c r="K8807" s="86" t="s">
        <v>9664</v>
      </c>
      <c r="L8807" s="16" t="s">
        <v>9606</v>
      </c>
      <c r="M8807" s="3"/>
      <c r="N8807" s="65" t="s">
        <v>9665</v>
      </c>
      <c r="O8807" s="78" t="s">
        <v>9666</v>
      </c>
      <c r="P8807" s="3"/>
      <c r="Q8807" s="82"/>
      <c r="R8807" s="82"/>
      <c r="S8807" s="83"/>
      <c r="T8807" s="1">
        <v>701812</v>
      </c>
      <c r="U8807" s="1">
        <f t="shared" ref="U8807" si="641">T8807*1.12</f>
        <v>786029.44000000006</v>
      </c>
      <c r="V8807" s="201"/>
      <c r="W8807" s="3">
        <v>2014</v>
      </c>
      <c r="X8807" s="3"/>
    </row>
    <row r="8808" spans="1:24" ht="76.5">
      <c r="A8808" s="3" t="s">
        <v>11225</v>
      </c>
      <c r="B8808" s="6" t="s">
        <v>361</v>
      </c>
      <c r="C8808" s="16" t="s">
        <v>9667</v>
      </c>
      <c r="D8808" s="16" t="s">
        <v>9668</v>
      </c>
      <c r="E8808" s="16" t="s">
        <v>9669</v>
      </c>
      <c r="F8808" s="61" t="s">
        <v>9670</v>
      </c>
      <c r="G8808" s="6" t="s">
        <v>605</v>
      </c>
      <c r="H8808" s="67">
        <v>1</v>
      </c>
      <c r="I8808" s="16">
        <v>470000000</v>
      </c>
      <c r="J8808" s="16" t="s">
        <v>229</v>
      </c>
      <c r="K8808" s="6" t="s">
        <v>8901</v>
      </c>
      <c r="L8808" s="16" t="s">
        <v>9606</v>
      </c>
      <c r="M8808" s="3"/>
      <c r="N8808" s="62" t="s">
        <v>9488</v>
      </c>
      <c r="O8808" s="78" t="s">
        <v>9671</v>
      </c>
      <c r="P8808" s="3"/>
      <c r="Q8808" s="87"/>
      <c r="R8808" s="87"/>
      <c r="S8808" s="88"/>
      <c r="T8808" s="4">
        <v>0</v>
      </c>
      <c r="U8808" s="4">
        <f t="shared" si="640"/>
        <v>0</v>
      </c>
      <c r="V8808" s="201"/>
      <c r="W8808" s="3">
        <v>2014</v>
      </c>
      <c r="X8808" s="3">
        <v>20.21</v>
      </c>
    </row>
    <row r="8809" spans="1:24" ht="76.5">
      <c r="A8809" s="3" t="s">
        <v>16417</v>
      </c>
      <c r="B8809" s="6" t="s">
        <v>361</v>
      </c>
      <c r="C8809" s="16" t="s">
        <v>9667</v>
      </c>
      <c r="D8809" s="16" t="s">
        <v>9668</v>
      </c>
      <c r="E8809" s="16" t="s">
        <v>9669</v>
      </c>
      <c r="F8809" s="61" t="s">
        <v>9670</v>
      </c>
      <c r="G8809" s="6" t="s">
        <v>605</v>
      </c>
      <c r="H8809" s="67">
        <v>1</v>
      </c>
      <c r="I8809" s="16">
        <v>470000000</v>
      </c>
      <c r="J8809" s="16" t="s">
        <v>229</v>
      </c>
      <c r="K8809" s="6" t="s">
        <v>8901</v>
      </c>
      <c r="L8809" s="16" t="s">
        <v>9606</v>
      </c>
      <c r="M8809" s="3"/>
      <c r="N8809" s="62" t="s">
        <v>9488</v>
      </c>
      <c r="O8809" s="78" t="s">
        <v>9671</v>
      </c>
      <c r="P8809" s="3"/>
      <c r="Q8809" s="87"/>
      <c r="R8809" s="87"/>
      <c r="S8809" s="88"/>
      <c r="T8809" s="1">
        <v>5015920</v>
      </c>
      <c r="U8809" s="1">
        <f>T8809*1.12</f>
        <v>5617830.4000000004</v>
      </c>
      <c r="V8809" s="201"/>
      <c r="W8809" s="3">
        <v>2014</v>
      </c>
      <c r="X8809" s="3"/>
    </row>
    <row r="8810" spans="1:24" ht="63.75">
      <c r="A8810" s="3" t="s">
        <v>11226</v>
      </c>
      <c r="B8810" s="6" t="s">
        <v>361</v>
      </c>
      <c r="C8810" s="16" t="s">
        <v>9672</v>
      </c>
      <c r="D8810" s="16" t="s">
        <v>9673</v>
      </c>
      <c r="E8810" s="16" t="s">
        <v>9673</v>
      </c>
      <c r="F8810" s="61" t="s">
        <v>9674</v>
      </c>
      <c r="G8810" s="6" t="s">
        <v>605</v>
      </c>
      <c r="H8810" s="67">
        <v>1</v>
      </c>
      <c r="I8810" s="16">
        <v>470000000</v>
      </c>
      <c r="J8810" s="16" t="s">
        <v>229</v>
      </c>
      <c r="K8810" s="6" t="s">
        <v>8901</v>
      </c>
      <c r="L8810" s="16" t="s">
        <v>9606</v>
      </c>
      <c r="M8810" s="3"/>
      <c r="N8810" s="62" t="s">
        <v>9488</v>
      </c>
      <c r="O8810" s="78" t="s">
        <v>9671</v>
      </c>
      <c r="P8810" s="3"/>
      <c r="Q8810" s="87"/>
      <c r="R8810" s="87"/>
      <c r="S8810" s="88"/>
      <c r="T8810" s="1">
        <v>1585124.4000000001</v>
      </c>
      <c r="U8810" s="1">
        <f t="shared" si="640"/>
        <v>1775339.3280000002</v>
      </c>
      <c r="V8810" s="201"/>
      <c r="W8810" s="3">
        <v>2014</v>
      </c>
      <c r="X8810" s="3"/>
    </row>
    <row r="8811" spans="1:24" ht="76.5">
      <c r="A8811" s="3" t="s">
        <v>11227</v>
      </c>
      <c r="B8811" s="6" t="s">
        <v>361</v>
      </c>
      <c r="C8811" s="16" t="s">
        <v>9667</v>
      </c>
      <c r="D8811" s="16" t="s">
        <v>9668</v>
      </c>
      <c r="E8811" s="16" t="s">
        <v>9669</v>
      </c>
      <c r="F8811" s="6" t="s">
        <v>9675</v>
      </c>
      <c r="G8811" s="6" t="s">
        <v>605</v>
      </c>
      <c r="H8811" s="67">
        <v>1</v>
      </c>
      <c r="I8811" s="16">
        <v>470000000</v>
      </c>
      <c r="J8811" s="16" t="s">
        <v>229</v>
      </c>
      <c r="K8811" s="6" t="s">
        <v>8901</v>
      </c>
      <c r="L8811" s="16" t="s">
        <v>9676</v>
      </c>
      <c r="M8811" s="3"/>
      <c r="N8811" s="62" t="s">
        <v>9488</v>
      </c>
      <c r="O8811" s="78" t="s">
        <v>9671</v>
      </c>
      <c r="P8811" s="3"/>
      <c r="Q8811" s="6"/>
      <c r="R8811" s="6"/>
      <c r="S8811" s="88"/>
      <c r="T8811" s="1">
        <v>9918800</v>
      </c>
      <c r="U8811" s="1">
        <f t="shared" si="640"/>
        <v>11109056.000000002</v>
      </c>
      <c r="V8811" s="201"/>
      <c r="W8811" s="3">
        <v>2014</v>
      </c>
      <c r="X8811" s="3"/>
    </row>
    <row r="8812" spans="1:24" ht="76.5">
      <c r="A8812" s="3" t="s">
        <v>11228</v>
      </c>
      <c r="B8812" s="6" t="s">
        <v>361</v>
      </c>
      <c r="C8812" s="16" t="s">
        <v>9667</v>
      </c>
      <c r="D8812" s="16" t="s">
        <v>9668</v>
      </c>
      <c r="E8812" s="16" t="s">
        <v>9669</v>
      </c>
      <c r="F8812" s="6" t="s">
        <v>9677</v>
      </c>
      <c r="G8812" s="6" t="s">
        <v>605</v>
      </c>
      <c r="H8812" s="67">
        <v>1</v>
      </c>
      <c r="I8812" s="16">
        <v>470000000</v>
      </c>
      <c r="J8812" s="16" t="s">
        <v>229</v>
      </c>
      <c r="K8812" s="6" t="s">
        <v>8901</v>
      </c>
      <c r="L8812" s="16" t="s">
        <v>9676</v>
      </c>
      <c r="M8812" s="3"/>
      <c r="N8812" s="62" t="s">
        <v>9488</v>
      </c>
      <c r="O8812" s="78" t="s">
        <v>9671</v>
      </c>
      <c r="P8812" s="3"/>
      <c r="Q8812" s="6"/>
      <c r="R8812" s="6"/>
      <c r="S8812" s="88"/>
      <c r="T8812" s="1">
        <v>2959350</v>
      </c>
      <c r="U8812" s="1">
        <f t="shared" si="640"/>
        <v>3314472.0000000005</v>
      </c>
      <c r="V8812" s="201"/>
      <c r="W8812" s="3">
        <v>2014</v>
      </c>
      <c r="X8812" s="3"/>
    </row>
    <row r="8813" spans="1:24" ht="76.5">
      <c r="A8813" s="3" t="s">
        <v>11229</v>
      </c>
      <c r="B8813" s="6" t="s">
        <v>361</v>
      </c>
      <c r="C8813" s="16" t="s">
        <v>9667</v>
      </c>
      <c r="D8813" s="16" t="s">
        <v>9668</v>
      </c>
      <c r="E8813" s="16" t="s">
        <v>9669</v>
      </c>
      <c r="F8813" s="6" t="s">
        <v>9678</v>
      </c>
      <c r="G8813" s="6" t="s">
        <v>605</v>
      </c>
      <c r="H8813" s="67">
        <v>1</v>
      </c>
      <c r="I8813" s="16">
        <v>470000000</v>
      </c>
      <c r="J8813" s="16" t="s">
        <v>229</v>
      </c>
      <c r="K8813" s="6" t="s">
        <v>8901</v>
      </c>
      <c r="L8813" s="16" t="s">
        <v>9679</v>
      </c>
      <c r="M8813" s="3"/>
      <c r="N8813" s="62" t="s">
        <v>9488</v>
      </c>
      <c r="O8813" s="78" t="s">
        <v>9680</v>
      </c>
      <c r="P8813" s="78"/>
      <c r="Q8813" s="6"/>
      <c r="R8813" s="6"/>
      <c r="S8813" s="88"/>
      <c r="T8813" s="1">
        <v>48524300</v>
      </c>
      <c r="U8813" s="1">
        <f t="shared" si="640"/>
        <v>54347216.000000007</v>
      </c>
      <c r="V8813" s="79" t="s">
        <v>610</v>
      </c>
      <c r="W8813" s="3">
        <v>2014</v>
      </c>
      <c r="X8813" s="3"/>
    </row>
    <row r="8814" spans="1:24" ht="76.5">
      <c r="A8814" s="3" t="s">
        <v>11230</v>
      </c>
      <c r="B8814" s="6" t="s">
        <v>361</v>
      </c>
      <c r="C8814" s="16" t="s">
        <v>9667</v>
      </c>
      <c r="D8814" s="16" t="s">
        <v>9668</v>
      </c>
      <c r="E8814" s="16" t="s">
        <v>9669</v>
      </c>
      <c r="F8814" s="6" t="s">
        <v>9681</v>
      </c>
      <c r="G8814" s="6" t="s">
        <v>605</v>
      </c>
      <c r="H8814" s="67">
        <v>1</v>
      </c>
      <c r="I8814" s="16">
        <v>470000000</v>
      </c>
      <c r="J8814" s="16" t="s">
        <v>229</v>
      </c>
      <c r="K8814" s="6" t="s">
        <v>8901</v>
      </c>
      <c r="L8814" s="16" t="s">
        <v>9682</v>
      </c>
      <c r="M8814" s="3"/>
      <c r="N8814" s="62" t="s">
        <v>9488</v>
      </c>
      <c r="O8814" s="78" t="s">
        <v>9680</v>
      </c>
      <c r="P8814" s="3"/>
      <c r="Q8814" s="6"/>
      <c r="R8814" s="6"/>
      <c r="S8814" s="88"/>
      <c r="T8814" s="1">
        <v>3984400</v>
      </c>
      <c r="U8814" s="1">
        <f t="shared" si="640"/>
        <v>4462528</v>
      </c>
      <c r="V8814" s="79" t="s">
        <v>610</v>
      </c>
      <c r="W8814" s="3">
        <v>2014</v>
      </c>
      <c r="X8814" s="3"/>
    </row>
    <row r="8815" spans="1:24" ht="76.5">
      <c r="A8815" s="3" t="s">
        <v>11231</v>
      </c>
      <c r="B8815" s="6" t="s">
        <v>361</v>
      </c>
      <c r="C8815" s="16" t="s">
        <v>9667</v>
      </c>
      <c r="D8815" s="16" t="s">
        <v>9668</v>
      </c>
      <c r="E8815" s="16" t="s">
        <v>9669</v>
      </c>
      <c r="F8815" s="6" t="s">
        <v>9683</v>
      </c>
      <c r="G8815" s="6" t="s">
        <v>605</v>
      </c>
      <c r="H8815" s="67">
        <v>1</v>
      </c>
      <c r="I8815" s="16">
        <v>470000000</v>
      </c>
      <c r="J8815" s="16" t="s">
        <v>229</v>
      </c>
      <c r="K8815" s="6" t="s">
        <v>8901</v>
      </c>
      <c r="L8815" s="16" t="s">
        <v>9684</v>
      </c>
      <c r="M8815" s="3"/>
      <c r="N8815" s="62" t="s">
        <v>9488</v>
      </c>
      <c r="O8815" s="78" t="s">
        <v>9671</v>
      </c>
      <c r="P8815" s="3"/>
      <c r="Q8815" s="6"/>
      <c r="R8815" s="6"/>
      <c r="S8815" s="89"/>
      <c r="T8815" s="1">
        <v>4553600</v>
      </c>
      <c r="U8815" s="1">
        <f t="shared" si="640"/>
        <v>5100032.0000000009</v>
      </c>
      <c r="V8815" s="79" t="s">
        <v>610</v>
      </c>
      <c r="W8815" s="3">
        <v>2014</v>
      </c>
      <c r="X8815" s="3"/>
    </row>
    <row r="8816" spans="1:24" ht="63.75">
      <c r="A8816" s="3" t="s">
        <v>11232</v>
      </c>
      <c r="B8816" s="6" t="s">
        <v>361</v>
      </c>
      <c r="C8816" s="16" t="s">
        <v>9685</v>
      </c>
      <c r="D8816" s="16" t="s">
        <v>9686</v>
      </c>
      <c r="E8816" s="16" t="s">
        <v>9687</v>
      </c>
      <c r="F8816" s="6" t="s">
        <v>9688</v>
      </c>
      <c r="G8816" s="6" t="s">
        <v>605</v>
      </c>
      <c r="H8816" s="67">
        <v>1</v>
      </c>
      <c r="I8816" s="16">
        <v>470000000</v>
      </c>
      <c r="J8816" s="16" t="s">
        <v>229</v>
      </c>
      <c r="K8816" s="6" t="s">
        <v>8901</v>
      </c>
      <c r="L8816" s="16" t="s">
        <v>9689</v>
      </c>
      <c r="M8816" s="3"/>
      <c r="N8816" s="62" t="s">
        <v>9488</v>
      </c>
      <c r="O8816" s="78" t="s">
        <v>9671</v>
      </c>
      <c r="P8816" s="3"/>
      <c r="Q8816" s="6"/>
      <c r="R8816" s="6"/>
      <c r="S8816" s="89"/>
      <c r="T8816" s="1">
        <v>7822800</v>
      </c>
      <c r="U8816" s="1">
        <f t="shared" si="640"/>
        <v>8761536</v>
      </c>
      <c r="V8816" s="79" t="s">
        <v>610</v>
      </c>
      <c r="W8816" s="3">
        <v>2014</v>
      </c>
      <c r="X8816" s="3"/>
    </row>
    <row r="8817" spans="1:24" ht="63.75">
      <c r="A8817" s="3" t="s">
        <v>11233</v>
      </c>
      <c r="B8817" s="6" t="s">
        <v>361</v>
      </c>
      <c r="C8817" s="16" t="s">
        <v>9690</v>
      </c>
      <c r="D8817" s="16" t="s">
        <v>9691</v>
      </c>
      <c r="E8817" s="16" t="s">
        <v>9691</v>
      </c>
      <c r="F8817" s="6" t="s">
        <v>9692</v>
      </c>
      <c r="G8817" s="6" t="s">
        <v>605</v>
      </c>
      <c r="H8817" s="67">
        <v>1</v>
      </c>
      <c r="I8817" s="16">
        <v>470000000</v>
      </c>
      <c r="J8817" s="16" t="s">
        <v>229</v>
      </c>
      <c r="K8817" s="6" t="s">
        <v>8901</v>
      </c>
      <c r="L8817" s="16" t="s">
        <v>9693</v>
      </c>
      <c r="M8817" s="3"/>
      <c r="N8817" s="62" t="s">
        <v>9488</v>
      </c>
      <c r="O8817" s="78" t="s">
        <v>9694</v>
      </c>
      <c r="P8817" s="78"/>
      <c r="Q8817" s="6"/>
      <c r="R8817" s="6"/>
      <c r="S8817" s="89"/>
      <c r="T8817" s="1">
        <v>775942</v>
      </c>
      <c r="U8817" s="1">
        <f t="shared" si="640"/>
        <v>869055.04</v>
      </c>
      <c r="V8817" s="201"/>
      <c r="W8817" s="3">
        <v>2014</v>
      </c>
      <c r="X8817" s="3"/>
    </row>
    <row r="8818" spans="1:24" ht="102">
      <c r="A8818" s="3" t="s">
        <v>11234</v>
      </c>
      <c r="B8818" s="6" t="s">
        <v>361</v>
      </c>
      <c r="C8818" s="16" t="s">
        <v>9695</v>
      </c>
      <c r="D8818" s="16" t="s">
        <v>9696</v>
      </c>
      <c r="E8818" s="16" t="s">
        <v>9696</v>
      </c>
      <c r="F8818" s="16" t="s">
        <v>9697</v>
      </c>
      <c r="G8818" s="198" t="s">
        <v>605</v>
      </c>
      <c r="H8818" s="67">
        <v>0.8</v>
      </c>
      <c r="I8818" s="16">
        <v>470000000</v>
      </c>
      <c r="J8818" s="16" t="s">
        <v>229</v>
      </c>
      <c r="K8818" s="6" t="s">
        <v>8901</v>
      </c>
      <c r="L8818" s="16" t="s">
        <v>9606</v>
      </c>
      <c r="M8818" s="3"/>
      <c r="N8818" s="62" t="s">
        <v>9488</v>
      </c>
      <c r="O8818" s="78" t="s">
        <v>9698</v>
      </c>
      <c r="P8818" s="3"/>
      <c r="Q8818" s="6"/>
      <c r="R8818" s="6"/>
      <c r="S8818" s="6"/>
      <c r="T8818" s="1">
        <v>2252966.3563798973</v>
      </c>
      <c r="U8818" s="1">
        <f t="shared" si="640"/>
        <v>2523322.3191454853</v>
      </c>
      <c r="V8818" s="3"/>
      <c r="W8818" s="3">
        <v>2014</v>
      </c>
      <c r="X8818" s="3"/>
    </row>
    <row r="8819" spans="1:24" ht="89.25">
      <c r="A8819" s="3" t="s">
        <v>11235</v>
      </c>
      <c r="B8819" s="6" t="s">
        <v>361</v>
      </c>
      <c r="C8819" s="16" t="s">
        <v>9695</v>
      </c>
      <c r="D8819" s="16" t="s">
        <v>9696</v>
      </c>
      <c r="E8819" s="16" t="s">
        <v>9696</v>
      </c>
      <c r="F8819" s="16" t="s">
        <v>9699</v>
      </c>
      <c r="G8819" s="6" t="s">
        <v>605</v>
      </c>
      <c r="H8819" s="67">
        <v>0.8</v>
      </c>
      <c r="I8819" s="16">
        <v>470000000</v>
      </c>
      <c r="J8819" s="16" t="s">
        <v>229</v>
      </c>
      <c r="K8819" s="6" t="s">
        <v>8901</v>
      </c>
      <c r="L8819" s="16" t="s">
        <v>9606</v>
      </c>
      <c r="M8819" s="3"/>
      <c r="N8819" s="62" t="s">
        <v>9488</v>
      </c>
      <c r="O8819" s="78" t="s">
        <v>9698</v>
      </c>
      <c r="P8819" s="3"/>
      <c r="Q8819" s="6"/>
      <c r="R8819" s="6"/>
      <c r="S8819" s="6"/>
      <c r="T8819" s="1">
        <v>812475.79200000013</v>
      </c>
      <c r="U8819" s="1">
        <f t="shared" si="640"/>
        <v>909972.88704000029</v>
      </c>
      <c r="V8819" s="3"/>
      <c r="W8819" s="3">
        <v>2014</v>
      </c>
      <c r="X8819" s="3"/>
    </row>
    <row r="8820" spans="1:24" ht="76.5">
      <c r="A8820" s="3" t="s">
        <v>11236</v>
      </c>
      <c r="B8820" s="6" t="s">
        <v>361</v>
      </c>
      <c r="C8820" s="16" t="s">
        <v>9700</v>
      </c>
      <c r="D8820" s="16" t="s">
        <v>9701</v>
      </c>
      <c r="E8820" s="16" t="s">
        <v>9701</v>
      </c>
      <c r="F8820" s="16" t="s">
        <v>9702</v>
      </c>
      <c r="G8820" s="6" t="s">
        <v>11450</v>
      </c>
      <c r="H8820" s="67">
        <v>1</v>
      </c>
      <c r="I8820" s="16">
        <v>470000000</v>
      </c>
      <c r="J8820" s="16" t="s">
        <v>229</v>
      </c>
      <c r="K8820" s="6" t="s">
        <v>11741</v>
      </c>
      <c r="L8820" s="16" t="s">
        <v>621</v>
      </c>
      <c r="M8820" s="3"/>
      <c r="N8820" s="62" t="s">
        <v>9488</v>
      </c>
      <c r="O8820" s="78" t="s">
        <v>9698</v>
      </c>
      <c r="P8820" s="3"/>
      <c r="Q8820" s="6"/>
      <c r="R8820" s="6"/>
      <c r="S8820" s="6"/>
      <c r="T8820" s="1">
        <v>6615648</v>
      </c>
      <c r="U8820" s="1">
        <f t="shared" si="640"/>
        <v>7409525.7600000007</v>
      </c>
      <c r="V8820" s="3" t="s">
        <v>610</v>
      </c>
      <c r="W8820" s="3">
        <v>2014</v>
      </c>
      <c r="X8820" s="3"/>
    </row>
    <row r="8821" spans="1:24" ht="63.75">
      <c r="A8821" s="3" t="s">
        <v>11237</v>
      </c>
      <c r="B8821" s="6" t="s">
        <v>361</v>
      </c>
      <c r="C8821" s="16" t="s">
        <v>9703</v>
      </c>
      <c r="D8821" s="16" t="s">
        <v>9704</v>
      </c>
      <c r="E8821" s="16" t="s">
        <v>9705</v>
      </c>
      <c r="F8821" s="3"/>
      <c r="G8821" s="6" t="s">
        <v>605</v>
      </c>
      <c r="H8821" s="54">
        <v>0.5</v>
      </c>
      <c r="I8821" s="16">
        <v>470000000</v>
      </c>
      <c r="J8821" s="16" t="s">
        <v>229</v>
      </c>
      <c r="K8821" s="6" t="s">
        <v>403</v>
      </c>
      <c r="L8821" s="16" t="s">
        <v>639</v>
      </c>
      <c r="M8821" s="3"/>
      <c r="N8821" s="62" t="s">
        <v>9488</v>
      </c>
      <c r="O8821" s="78" t="s">
        <v>9698</v>
      </c>
      <c r="P8821" s="3"/>
      <c r="Q8821" s="6"/>
      <c r="R8821" s="6"/>
      <c r="S8821" s="6"/>
      <c r="T8821" s="4">
        <v>0</v>
      </c>
      <c r="U8821" s="4">
        <f t="shared" si="640"/>
        <v>0</v>
      </c>
      <c r="V8821" s="3" t="s">
        <v>610</v>
      </c>
      <c r="W8821" s="3">
        <v>2014</v>
      </c>
      <c r="X8821" s="3">
        <v>20.21</v>
      </c>
    </row>
    <row r="8822" spans="1:24" ht="63.75">
      <c r="A8822" s="3" t="s">
        <v>17856</v>
      </c>
      <c r="B8822" s="6" t="s">
        <v>361</v>
      </c>
      <c r="C8822" s="16" t="s">
        <v>9703</v>
      </c>
      <c r="D8822" s="16" t="s">
        <v>9704</v>
      </c>
      <c r="E8822" s="16" t="s">
        <v>9705</v>
      </c>
      <c r="F8822" s="3"/>
      <c r="G8822" s="6" t="s">
        <v>605</v>
      </c>
      <c r="H8822" s="54">
        <v>0.5</v>
      </c>
      <c r="I8822" s="16">
        <v>470000000</v>
      </c>
      <c r="J8822" s="16" t="s">
        <v>229</v>
      </c>
      <c r="K8822" s="6" t="s">
        <v>403</v>
      </c>
      <c r="L8822" s="16" t="s">
        <v>639</v>
      </c>
      <c r="M8822" s="3"/>
      <c r="N8822" s="62" t="s">
        <v>9488</v>
      </c>
      <c r="O8822" s="78" t="s">
        <v>9698</v>
      </c>
      <c r="P8822" s="3"/>
      <c r="Q8822" s="6"/>
      <c r="R8822" s="6"/>
      <c r="S8822" s="6"/>
      <c r="T8822" s="1">
        <v>125872340</v>
      </c>
      <c r="U8822" s="1">
        <f t="shared" si="640"/>
        <v>140977020.80000001</v>
      </c>
      <c r="V8822" s="3" t="s">
        <v>610</v>
      </c>
      <c r="W8822" s="3">
        <v>2014</v>
      </c>
      <c r="X8822" s="3"/>
    </row>
    <row r="8823" spans="1:24" ht="63.75">
      <c r="A8823" s="3" t="s">
        <v>11238</v>
      </c>
      <c r="B8823" s="6" t="s">
        <v>361</v>
      </c>
      <c r="C8823" s="16" t="s">
        <v>9703</v>
      </c>
      <c r="D8823" s="16" t="s">
        <v>9704</v>
      </c>
      <c r="E8823" s="16" t="s">
        <v>9705</v>
      </c>
      <c r="F8823" s="3"/>
      <c r="G8823" s="6" t="s">
        <v>605</v>
      </c>
      <c r="H8823" s="54">
        <v>0.5</v>
      </c>
      <c r="I8823" s="16">
        <v>470000000</v>
      </c>
      <c r="J8823" s="16" t="s">
        <v>229</v>
      </c>
      <c r="K8823" s="6" t="s">
        <v>403</v>
      </c>
      <c r="L8823" s="16" t="s">
        <v>11428</v>
      </c>
      <c r="M8823" s="3"/>
      <c r="N8823" s="65" t="s">
        <v>9488</v>
      </c>
      <c r="O8823" s="78" t="s">
        <v>9698</v>
      </c>
      <c r="P8823" s="3"/>
      <c r="Q8823" s="6"/>
      <c r="R8823" s="6"/>
      <c r="S8823" s="6"/>
      <c r="T8823" s="1">
        <v>1788606492</v>
      </c>
      <c r="U8823" s="1">
        <f t="shared" si="640"/>
        <v>2003239271.0400002</v>
      </c>
      <c r="V8823" s="3" t="s">
        <v>610</v>
      </c>
      <c r="W8823" s="3">
        <v>2014</v>
      </c>
      <c r="X8823" s="3"/>
    </row>
    <row r="8824" spans="1:24" ht="63.75">
      <c r="A8824" s="3" t="s">
        <v>11239</v>
      </c>
      <c r="B8824" s="6" t="s">
        <v>361</v>
      </c>
      <c r="C8824" s="16" t="s">
        <v>9706</v>
      </c>
      <c r="D8824" s="16" t="s">
        <v>9707</v>
      </c>
      <c r="E8824" s="16" t="s">
        <v>9707</v>
      </c>
      <c r="F8824" s="16" t="s">
        <v>9708</v>
      </c>
      <c r="G8824" s="6" t="s">
        <v>605</v>
      </c>
      <c r="H8824" s="54">
        <v>0.5</v>
      </c>
      <c r="I8824" s="16">
        <v>470000000</v>
      </c>
      <c r="J8824" s="16" t="s">
        <v>229</v>
      </c>
      <c r="K8824" s="6" t="s">
        <v>403</v>
      </c>
      <c r="L8824" s="16" t="s">
        <v>11428</v>
      </c>
      <c r="M8824" s="3"/>
      <c r="N8824" s="65" t="s">
        <v>9488</v>
      </c>
      <c r="O8824" s="78" t="s">
        <v>9698</v>
      </c>
      <c r="P8824" s="3"/>
      <c r="Q8824" s="6"/>
      <c r="R8824" s="6"/>
      <c r="S8824" s="6"/>
      <c r="T8824" s="1">
        <v>52897765</v>
      </c>
      <c r="U8824" s="1">
        <f t="shared" si="640"/>
        <v>59245496.800000004</v>
      </c>
      <c r="V8824" s="3" t="s">
        <v>610</v>
      </c>
      <c r="W8824" s="3">
        <v>2014</v>
      </c>
      <c r="X8824" s="3"/>
    </row>
    <row r="8825" spans="1:24" ht="63.75">
      <c r="A8825" s="3" t="s">
        <v>11240</v>
      </c>
      <c r="B8825" s="6" t="s">
        <v>361</v>
      </c>
      <c r="C8825" s="16" t="s">
        <v>9709</v>
      </c>
      <c r="D8825" s="16" t="s">
        <v>9710</v>
      </c>
      <c r="E8825" s="16" t="s">
        <v>9711</v>
      </c>
      <c r="F8825" s="3"/>
      <c r="G8825" s="6" t="s">
        <v>605</v>
      </c>
      <c r="H8825" s="54">
        <v>0.5</v>
      </c>
      <c r="I8825" s="16">
        <v>470000000</v>
      </c>
      <c r="J8825" s="16" t="s">
        <v>229</v>
      </c>
      <c r="K8825" s="6" t="s">
        <v>403</v>
      </c>
      <c r="L8825" s="16" t="s">
        <v>11428</v>
      </c>
      <c r="M8825" s="3"/>
      <c r="N8825" s="65" t="s">
        <v>9488</v>
      </c>
      <c r="O8825" s="78" t="s">
        <v>9698</v>
      </c>
      <c r="P8825" s="3"/>
      <c r="Q8825" s="6"/>
      <c r="R8825" s="6"/>
      <c r="S8825" s="6"/>
      <c r="T8825" s="1">
        <v>342175050</v>
      </c>
      <c r="U8825" s="1">
        <f t="shared" si="640"/>
        <v>383236056.00000006</v>
      </c>
      <c r="V8825" s="3" t="s">
        <v>610</v>
      </c>
      <c r="W8825" s="3">
        <v>2014</v>
      </c>
      <c r="X8825" s="3"/>
    </row>
    <row r="8826" spans="1:24" ht="63.75">
      <c r="A8826" s="3" t="s">
        <v>11241</v>
      </c>
      <c r="B8826" s="6" t="s">
        <v>361</v>
      </c>
      <c r="C8826" s="16" t="s">
        <v>9712</v>
      </c>
      <c r="D8826" s="16" t="s">
        <v>9713</v>
      </c>
      <c r="E8826" s="16" t="s">
        <v>9714</v>
      </c>
      <c r="F8826" s="16" t="s">
        <v>9715</v>
      </c>
      <c r="G8826" s="6" t="s">
        <v>605</v>
      </c>
      <c r="H8826" s="54">
        <v>0.5</v>
      </c>
      <c r="I8826" s="16">
        <v>470000000</v>
      </c>
      <c r="J8826" s="16" t="s">
        <v>229</v>
      </c>
      <c r="K8826" s="6" t="s">
        <v>641</v>
      </c>
      <c r="L8826" s="16" t="s">
        <v>9729</v>
      </c>
      <c r="M8826" s="3"/>
      <c r="N8826" s="65" t="s">
        <v>9454</v>
      </c>
      <c r="O8826" s="78" t="s">
        <v>9716</v>
      </c>
      <c r="P8826" s="3"/>
      <c r="Q8826" s="6"/>
      <c r="R8826" s="6"/>
      <c r="S8826" s="6"/>
      <c r="T8826" s="4">
        <v>0</v>
      </c>
      <c r="U8826" s="4">
        <f t="shared" si="640"/>
        <v>0</v>
      </c>
      <c r="V8826" s="3" t="s">
        <v>610</v>
      </c>
      <c r="W8826" s="3">
        <v>2014</v>
      </c>
      <c r="X8826" s="3">
        <v>20.21</v>
      </c>
    </row>
    <row r="8827" spans="1:24" ht="63.75">
      <c r="A8827" s="3" t="s">
        <v>14272</v>
      </c>
      <c r="B8827" s="6" t="s">
        <v>361</v>
      </c>
      <c r="C8827" s="16" t="s">
        <v>9712</v>
      </c>
      <c r="D8827" s="16" t="s">
        <v>9713</v>
      </c>
      <c r="E8827" s="16" t="s">
        <v>9714</v>
      </c>
      <c r="F8827" s="16" t="s">
        <v>9715</v>
      </c>
      <c r="G8827" s="6" t="s">
        <v>605</v>
      </c>
      <c r="H8827" s="54">
        <v>0.5</v>
      </c>
      <c r="I8827" s="16">
        <v>470000000</v>
      </c>
      <c r="J8827" s="16" t="s">
        <v>229</v>
      </c>
      <c r="K8827" s="6" t="s">
        <v>641</v>
      </c>
      <c r="L8827" s="16" t="s">
        <v>9729</v>
      </c>
      <c r="M8827" s="3"/>
      <c r="N8827" s="65" t="s">
        <v>9454</v>
      </c>
      <c r="O8827" s="78" t="s">
        <v>9716</v>
      </c>
      <c r="P8827" s="3"/>
      <c r="Q8827" s="6"/>
      <c r="R8827" s="6"/>
      <c r="S8827" s="6"/>
      <c r="T8827" s="1">
        <v>36748250</v>
      </c>
      <c r="U8827" s="1">
        <f>T8827*1.12</f>
        <v>41158040.000000007</v>
      </c>
      <c r="V8827" s="3" t="s">
        <v>610</v>
      </c>
      <c r="W8827" s="3">
        <v>2014</v>
      </c>
      <c r="X8827" s="3"/>
    </row>
    <row r="8828" spans="1:24" ht="63.75">
      <c r="A8828" s="3" t="s">
        <v>11242</v>
      </c>
      <c r="B8828" s="6" t="s">
        <v>361</v>
      </c>
      <c r="C8828" s="16" t="s">
        <v>9706</v>
      </c>
      <c r="D8828" s="16" t="s">
        <v>9707</v>
      </c>
      <c r="E8828" s="16" t="s">
        <v>9707</v>
      </c>
      <c r="F8828" s="16" t="s">
        <v>9717</v>
      </c>
      <c r="G8828" s="6" t="s">
        <v>605</v>
      </c>
      <c r="H8828" s="54">
        <v>0.5</v>
      </c>
      <c r="I8828" s="16">
        <v>470000000</v>
      </c>
      <c r="J8828" s="16" t="s">
        <v>229</v>
      </c>
      <c r="K8828" s="6" t="s">
        <v>641</v>
      </c>
      <c r="L8828" s="16" t="s">
        <v>9729</v>
      </c>
      <c r="M8828" s="3"/>
      <c r="N8828" s="65" t="s">
        <v>9454</v>
      </c>
      <c r="O8828" s="78" t="s">
        <v>9716</v>
      </c>
      <c r="P8828" s="3"/>
      <c r="Q8828" s="6"/>
      <c r="R8828" s="6"/>
      <c r="S8828" s="6"/>
      <c r="T8828" s="4">
        <v>0</v>
      </c>
      <c r="U8828" s="4">
        <f t="shared" si="640"/>
        <v>0</v>
      </c>
      <c r="V8828" s="3" t="s">
        <v>610</v>
      </c>
      <c r="W8828" s="3">
        <v>2014</v>
      </c>
      <c r="X8828" s="3">
        <v>20.21</v>
      </c>
    </row>
    <row r="8829" spans="1:24" ht="63.75">
      <c r="A8829" s="3" t="s">
        <v>14273</v>
      </c>
      <c r="B8829" s="6" t="s">
        <v>361</v>
      </c>
      <c r="C8829" s="16" t="s">
        <v>9706</v>
      </c>
      <c r="D8829" s="16" t="s">
        <v>9707</v>
      </c>
      <c r="E8829" s="16" t="s">
        <v>9707</v>
      </c>
      <c r="F8829" s="16" t="s">
        <v>9717</v>
      </c>
      <c r="G8829" s="6" t="s">
        <v>605</v>
      </c>
      <c r="H8829" s="54">
        <v>0.5</v>
      </c>
      <c r="I8829" s="16">
        <v>470000000</v>
      </c>
      <c r="J8829" s="16" t="s">
        <v>229</v>
      </c>
      <c r="K8829" s="6" t="s">
        <v>641</v>
      </c>
      <c r="L8829" s="16" t="s">
        <v>9729</v>
      </c>
      <c r="M8829" s="3"/>
      <c r="N8829" s="65" t="s">
        <v>9454</v>
      </c>
      <c r="O8829" s="78" t="s">
        <v>9716</v>
      </c>
      <c r="P8829" s="3"/>
      <c r="Q8829" s="6"/>
      <c r="R8829" s="6"/>
      <c r="S8829" s="6"/>
      <c r="T8829" s="1">
        <v>55426800</v>
      </c>
      <c r="U8829" s="1">
        <f>T8829*1.12</f>
        <v>62078016.000000007</v>
      </c>
      <c r="V8829" s="3" t="s">
        <v>610</v>
      </c>
      <c r="W8829" s="3">
        <v>2014</v>
      </c>
      <c r="X8829" s="3"/>
    </row>
    <row r="8830" spans="1:24" ht="63.75">
      <c r="A8830" s="3" t="s">
        <v>11243</v>
      </c>
      <c r="B8830" s="6" t="s">
        <v>361</v>
      </c>
      <c r="C8830" s="16" t="s">
        <v>9718</v>
      </c>
      <c r="D8830" s="16" t="s">
        <v>9719</v>
      </c>
      <c r="E8830" s="16" t="s">
        <v>9719</v>
      </c>
      <c r="F8830" s="16" t="s">
        <v>9720</v>
      </c>
      <c r="G8830" s="6" t="s">
        <v>605</v>
      </c>
      <c r="H8830" s="54">
        <v>0.5</v>
      </c>
      <c r="I8830" s="16">
        <v>470000000</v>
      </c>
      <c r="J8830" s="16" t="s">
        <v>229</v>
      </c>
      <c r="K8830" s="6" t="s">
        <v>641</v>
      </c>
      <c r="L8830" s="16" t="s">
        <v>9721</v>
      </c>
      <c r="M8830" s="3"/>
      <c r="N8830" s="65" t="s">
        <v>9454</v>
      </c>
      <c r="O8830" s="78" t="s">
        <v>9716</v>
      </c>
      <c r="P8830" s="3"/>
      <c r="Q8830" s="6"/>
      <c r="R8830" s="6"/>
      <c r="S8830" s="6"/>
      <c r="T8830" s="4">
        <v>0</v>
      </c>
      <c r="U8830" s="4">
        <f t="shared" si="640"/>
        <v>0</v>
      </c>
      <c r="V8830" s="3" t="s">
        <v>610</v>
      </c>
      <c r="W8830" s="3">
        <v>2014</v>
      </c>
      <c r="X8830" s="3" t="s">
        <v>12076</v>
      </c>
    </row>
    <row r="8831" spans="1:24" ht="63.75">
      <c r="A8831" s="3" t="s">
        <v>11244</v>
      </c>
      <c r="B8831" s="6" t="s">
        <v>361</v>
      </c>
      <c r="C8831" s="16" t="s">
        <v>9709</v>
      </c>
      <c r="D8831" s="16" t="s">
        <v>9710</v>
      </c>
      <c r="E8831" s="16" t="s">
        <v>9711</v>
      </c>
      <c r="F8831" s="3"/>
      <c r="G8831" s="6" t="s">
        <v>11450</v>
      </c>
      <c r="H8831" s="54">
        <v>0.5</v>
      </c>
      <c r="I8831" s="16">
        <v>470000000</v>
      </c>
      <c r="J8831" s="16" t="s">
        <v>229</v>
      </c>
      <c r="K8831" s="6" t="s">
        <v>9722</v>
      </c>
      <c r="L8831" s="16" t="s">
        <v>9723</v>
      </c>
      <c r="M8831" s="3"/>
      <c r="N8831" s="65" t="s">
        <v>9454</v>
      </c>
      <c r="O8831" s="78" t="s">
        <v>9716</v>
      </c>
      <c r="P8831" s="3"/>
      <c r="Q8831" s="6"/>
      <c r="R8831" s="6"/>
      <c r="S8831" s="6"/>
      <c r="T8831" s="4">
        <v>0</v>
      </c>
      <c r="U8831" s="4">
        <f t="shared" si="640"/>
        <v>0</v>
      </c>
      <c r="V8831" s="3"/>
      <c r="W8831" s="3">
        <v>2014</v>
      </c>
      <c r="X8831" s="3">
        <v>7</v>
      </c>
    </row>
    <row r="8832" spans="1:24" ht="63.75">
      <c r="A8832" s="3" t="s">
        <v>11907</v>
      </c>
      <c r="B8832" s="6" t="s">
        <v>361</v>
      </c>
      <c r="C8832" s="16" t="s">
        <v>9709</v>
      </c>
      <c r="D8832" s="16" t="s">
        <v>9710</v>
      </c>
      <c r="E8832" s="16" t="s">
        <v>9711</v>
      </c>
      <c r="F8832" s="3"/>
      <c r="G8832" s="6" t="s">
        <v>605</v>
      </c>
      <c r="H8832" s="54">
        <v>0.5</v>
      </c>
      <c r="I8832" s="16">
        <v>470000000</v>
      </c>
      <c r="J8832" s="16" t="s">
        <v>229</v>
      </c>
      <c r="K8832" s="6" t="s">
        <v>9722</v>
      </c>
      <c r="L8832" s="16" t="s">
        <v>9723</v>
      </c>
      <c r="M8832" s="3"/>
      <c r="N8832" s="65" t="s">
        <v>9454</v>
      </c>
      <c r="O8832" s="78" t="s">
        <v>9716</v>
      </c>
      <c r="P8832" s="3"/>
      <c r="Q8832" s="6"/>
      <c r="R8832" s="6"/>
      <c r="S8832" s="6"/>
      <c r="T8832" s="1">
        <v>1800000</v>
      </c>
      <c r="U8832" s="1">
        <f>T8832*1.12</f>
        <v>2016000.0000000002</v>
      </c>
      <c r="V8832" s="3"/>
      <c r="W8832" s="3">
        <v>2014</v>
      </c>
      <c r="X8832" s="3"/>
    </row>
    <row r="8833" spans="1:24" ht="63.75">
      <c r="A8833" s="3" t="s">
        <v>11245</v>
      </c>
      <c r="B8833" s="6" t="s">
        <v>361</v>
      </c>
      <c r="C8833" s="16" t="s">
        <v>9641</v>
      </c>
      <c r="D8833" s="16" t="s">
        <v>9642</v>
      </c>
      <c r="E8833" s="16" t="s">
        <v>9643</v>
      </c>
      <c r="F8833" s="16" t="s">
        <v>9724</v>
      </c>
      <c r="G8833" s="6" t="s">
        <v>605</v>
      </c>
      <c r="H8833" s="54">
        <v>0.5</v>
      </c>
      <c r="I8833" s="16">
        <v>470000000</v>
      </c>
      <c r="J8833" s="16" t="s">
        <v>229</v>
      </c>
      <c r="K8833" s="6" t="s">
        <v>641</v>
      </c>
      <c r="L8833" s="16" t="s">
        <v>9721</v>
      </c>
      <c r="M8833" s="3"/>
      <c r="N8833" s="65" t="s">
        <v>9454</v>
      </c>
      <c r="O8833" s="78" t="s">
        <v>9716</v>
      </c>
      <c r="P8833" s="3"/>
      <c r="Q8833" s="6"/>
      <c r="R8833" s="6"/>
      <c r="S8833" s="6"/>
      <c r="T8833" s="4">
        <v>0</v>
      </c>
      <c r="U8833" s="4">
        <f t="shared" si="640"/>
        <v>0</v>
      </c>
      <c r="V8833" s="3" t="s">
        <v>610</v>
      </c>
      <c r="W8833" s="3">
        <v>2014</v>
      </c>
      <c r="X8833" s="3">
        <v>20.21</v>
      </c>
    </row>
    <row r="8834" spans="1:24" ht="63.75">
      <c r="A8834" s="3" t="s">
        <v>14274</v>
      </c>
      <c r="B8834" s="6" t="s">
        <v>361</v>
      </c>
      <c r="C8834" s="16" t="s">
        <v>9641</v>
      </c>
      <c r="D8834" s="16" t="s">
        <v>9642</v>
      </c>
      <c r="E8834" s="16" t="s">
        <v>9643</v>
      </c>
      <c r="F8834" s="16" t="s">
        <v>9724</v>
      </c>
      <c r="G8834" s="6" t="s">
        <v>605</v>
      </c>
      <c r="H8834" s="54">
        <v>0.5</v>
      </c>
      <c r="I8834" s="16">
        <v>470000000</v>
      </c>
      <c r="J8834" s="16" t="s">
        <v>229</v>
      </c>
      <c r="K8834" s="6" t="s">
        <v>641</v>
      </c>
      <c r="L8834" s="16" t="s">
        <v>9721</v>
      </c>
      <c r="M8834" s="3"/>
      <c r="N8834" s="65" t="s">
        <v>9454</v>
      </c>
      <c r="O8834" s="78" t="s">
        <v>9716</v>
      </c>
      <c r="P8834" s="3"/>
      <c r="Q8834" s="6"/>
      <c r="R8834" s="6"/>
      <c r="S8834" s="6"/>
      <c r="T8834" s="1">
        <v>21893586</v>
      </c>
      <c r="U8834" s="1">
        <f>T8834*1.12</f>
        <v>24520816.320000004</v>
      </c>
      <c r="V8834" s="3" t="s">
        <v>610</v>
      </c>
      <c r="W8834" s="3">
        <v>2014</v>
      </c>
      <c r="X8834" s="3"/>
    </row>
    <row r="8835" spans="1:24" ht="63.75">
      <c r="A8835" s="3" t="s">
        <v>11246</v>
      </c>
      <c r="B8835" s="6" t="s">
        <v>361</v>
      </c>
      <c r="C8835" s="16" t="s">
        <v>9725</v>
      </c>
      <c r="D8835" s="16" t="s">
        <v>9726</v>
      </c>
      <c r="E8835" s="16" t="s">
        <v>9726</v>
      </c>
      <c r="F8835" s="16" t="s">
        <v>9727</v>
      </c>
      <c r="G8835" s="6" t="s">
        <v>11449</v>
      </c>
      <c r="H8835" s="54">
        <v>0.5</v>
      </c>
      <c r="I8835" s="16">
        <v>470000000</v>
      </c>
      <c r="J8835" s="16" t="s">
        <v>229</v>
      </c>
      <c r="K8835" s="6" t="s">
        <v>9728</v>
      </c>
      <c r="L8835" s="16" t="s">
        <v>9729</v>
      </c>
      <c r="M8835" s="3"/>
      <c r="N8835" s="65" t="s">
        <v>9454</v>
      </c>
      <c r="O8835" s="78" t="s">
        <v>9716</v>
      </c>
      <c r="P8835" s="3"/>
      <c r="Q8835" s="6"/>
      <c r="R8835" s="6"/>
      <c r="S8835" s="6"/>
      <c r="T8835" s="4">
        <v>0</v>
      </c>
      <c r="U8835" s="4">
        <f t="shared" si="640"/>
        <v>0</v>
      </c>
      <c r="V8835" s="201"/>
      <c r="W8835" s="3">
        <v>2014</v>
      </c>
      <c r="X8835" s="3">
        <v>20.21</v>
      </c>
    </row>
    <row r="8836" spans="1:24" ht="63.75">
      <c r="A8836" s="3" t="s">
        <v>14275</v>
      </c>
      <c r="B8836" s="6" t="s">
        <v>361</v>
      </c>
      <c r="C8836" s="16" t="s">
        <v>9725</v>
      </c>
      <c r="D8836" s="16" t="s">
        <v>9726</v>
      </c>
      <c r="E8836" s="16" t="s">
        <v>9726</v>
      </c>
      <c r="F8836" s="16" t="s">
        <v>9727</v>
      </c>
      <c r="G8836" s="6" t="s">
        <v>11449</v>
      </c>
      <c r="H8836" s="54">
        <v>0.5</v>
      </c>
      <c r="I8836" s="16">
        <v>470000000</v>
      </c>
      <c r="J8836" s="16" t="s">
        <v>229</v>
      </c>
      <c r="K8836" s="6" t="s">
        <v>9728</v>
      </c>
      <c r="L8836" s="16" t="s">
        <v>9729</v>
      </c>
      <c r="M8836" s="3"/>
      <c r="N8836" s="65" t="s">
        <v>9454</v>
      </c>
      <c r="O8836" s="78" t="s">
        <v>9716</v>
      </c>
      <c r="P8836" s="3"/>
      <c r="Q8836" s="6"/>
      <c r="R8836" s="6"/>
      <c r="S8836" s="6"/>
      <c r="T8836" s="4">
        <v>0</v>
      </c>
      <c r="U8836" s="4">
        <f>T8836*1.12</f>
        <v>0</v>
      </c>
      <c r="V8836" s="201"/>
      <c r="W8836" s="3">
        <v>2014</v>
      </c>
      <c r="X8836" s="3" t="s">
        <v>11822</v>
      </c>
    </row>
    <row r="8837" spans="1:24" ht="63.75">
      <c r="A8837" s="3" t="s">
        <v>16528</v>
      </c>
      <c r="B8837" s="6" t="s">
        <v>361</v>
      </c>
      <c r="C8837" s="16" t="s">
        <v>9725</v>
      </c>
      <c r="D8837" s="16" t="s">
        <v>9726</v>
      </c>
      <c r="E8837" s="16" t="s">
        <v>9726</v>
      </c>
      <c r="F8837" s="16" t="s">
        <v>9727</v>
      </c>
      <c r="G8837" s="6" t="s">
        <v>11449</v>
      </c>
      <c r="H8837" s="54">
        <v>0.5</v>
      </c>
      <c r="I8837" s="16">
        <v>470000000</v>
      </c>
      <c r="J8837" s="16" t="s">
        <v>229</v>
      </c>
      <c r="K8837" s="6" t="s">
        <v>8950</v>
      </c>
      <c r="L8837" s="16" t="s">
        <v>9729</v>
      </c>
      <c r="M8837" s="3"/>
      <c r="N8837" s="65" t="s">
        <v>9454</v>
      </c>
      <c r="O8837" s="78" t="s">
        <v>9716</v>
      </c>
      <c r="P8837" s="3"/>
      <c r="Q8837" s="6"/>
      <c r="R8837" s="6"/>
      <c r="S8837" s="6"/>
      <c r="T8837" s="1">
        <v>124990169</v>
      </c>
      <c r="U8837" s="1">
        <f>T8837*1.12</f>
        <v>139988989.28</v>
      </c>
      <c r="V8837" s="201"/>
      <c r="W8837" s="3">
        <v>2014</v>
      </c>
      <c r="X8837" s="3"/>
    </row>
    <row r="8838" spans="1:24" ht="63.75">
      <c r="A8838" s="3" t="s">
        <v>11247</v>
      </c>
      <c r="B8838" s="6" t="s">
        <v>361</v>
      </c>
      <c r="C8838" s="16" t="s">
        <v>9730</v>
      </c>
      <c r="D8838" s="16" t="s">
        <v>9731</v>
      </c>
      <c r="E8838" s="16" t="s">
        <v>9731</v>
      </c>
      <c r="F8838" s="64" t="s">
        <v>9732</v>
      </c>
      <c r="G8838" s="6" t="s">
        <v>605</v>
      </c>
      <c r="H8838" s="54">
        <v>0.65</v>
      </c>
      <c r="I8838" s="16">
        <v>470000000</v>
      </c>
      <c r="J8838" s="16" t="s">
        <v>229</v>
      </c>
      <c r="K8838" s="6" t="s">
        <v>8901</v>
      </c>
      <c r="L8838" s="16" t="s">
        <v>9733</v>
      </c>
      <c r="M8838" s="64"/>
      <c r="N8838" s="65" t="s">
        <v>9488</v>
      </c>
      <c r="O8838" s="162" t="s">
        <v>9567</v>
      </c>
      <c r="P8838" s="3"/>
      <c r="Q8838" s="3"/>
      <c r="R8838" s="3"/>
      <c r="S8838" s="1"/>
      <c r="T8838" s="1">
        <v>98287.2</v>
      </c>
      <c r="U8838" s="1">
        <f t="shared" si="640"/>
        <v>110081.664</v>
      </c>
      <c r="V8838" s="201"/>
      <c r="W8838" s="3">
        <v>2014</v>
      </c>
      <c r="X8838" s="3"/>
    </row>
    <row r="8839" spans="1:24" ht="63.75">
      <c r="A8839" s="3" t="s">
        <v>11248</v>
      </c>
      <c r="B8839" s="6" t="s">
        <v>361</v>
      </c>
      <c r="C8839" s="16" t="s">
        <v>9730</v>
      </c>
      <c r="D8839" s="16" t="s">
        <v>9731</v>
      </c>
      <c r="E8839" s="16" t="s">
        <v>9731</v>
      </c>
      <c r="F8839" s="64" t="s">
        <v>9734</v>
      </c>
      <c r="G8839" s="6" t="s">
        <v>605</v>
      </c>
      <c r="H8839" s="54">
        <v>0.65</v>
      </c>
      <c r="I8839" s="16">
        <v>470000000</v>
      </c>
      <c r="J8839" s="16" t="s">
        <v>229</v>
      </c>
      <c r="K8839" s="6" t="s">
        <v>8901</v>
      </c>
      <c r="L8839" s="16" t="s">
        <v>9735</v>
      </c>
      <c r="M8839" s="3"/>
      <c r="N8839" s="65" t="s">
        <v>9488</v>
      </c>
      <c r="O8839" s="162" t="s">
        <v>9567</v>
      </c>
      <c r="P8839" s="3"/>
      <c r="Q8839" s="3"/>
      <c r="R8839" s="3"/>
      <c r="S8839" s="1"/>
      <c r="T8839" s="1">
        <v>49143.6</v>
      </c>
      <c r="U8839" s="1">
        <f t="shared" si="640"/>
        <v>55040.832000000002</v>
      </c>
      <c r="V8839" s="201"/>
      <c r="W8839" s="3">
        <v>2014</v>
      </c>
      <c r="X8839" s="3"/>
    </row>
    <row r="8840" spans="1:24" ht="63.75">
      <c r="A8840" s="3" t="s">
        <v>11249</v>
      </c>
      <c r="B8840" s="6" t="s">
        <v>361</v>
      </c>
      <c r="C8840" s="16" t="s">
        <v>9730</v>
      </c>
      <c r="D8840" s="16" t="s">
        <v>9731</v>
      </c>
      <c r="E8840" s="16" t="s">
        <v>9731</v>
      </c>
      <c r="F8840" s="64" t="s">
        <v>9736</v>
      </c>
      <c r="G8840" s="6" t="s">
        <v>605</v>
      </c>
      <c r="H8840" s="54">
        <v>0.65</v>
      </c>
      <c r="I8840" s="16">
        <v>470000000</v>
      </c>
      <c r="J8840" s="16" t="s">
        <v>229</v>
      </c>
      <c r="K8840" s="6" t="s">
        <v>8901</v>
      </c>
      <c r="L8840" s="16" t="s">
        <v>9737</v>
      </c>
      <c r="M8840" s="3"/>
      <c r="N8840" s="65" t="s">
        <v>9488</v>
      </c>
      <c r="O8840" s="78" t="s">
        <v>9738</v>
      </c>
      <c r="P8840" s="3"/>
      <c r="Q8840" s="3"/>
      <c r="R8840" s="3"/>
      <c r="S8840" s="1"/>
      <c r="T8840" s="1">
        <v>627382</v>
      </c>
      <c r="U8840" s="1">
        <f t="shared" si="640"/>
        <v>702667.84000000008</v>
      </c>
      <c r="V8840" s="201"/>
      <c r="W8840" s="3">
        <v>2014</v>
      </c>
      <c r="X8840" s="3"/>
    </row>
    <row r="8841" spans="1:24" ht="51">
      <c r="A8841" s="3" t="s">
        <v>11250</v>
      </c>
      <c r="B8841" s="6" t="s">
        <v>361</v>
      </c>
      <c r="C8841" s="16" t="s">
        <v>9739</v>
      </c>
      <c r="D8841" s="16" t="s">
        <v>9740</v>
      </c>
      <c r="E8841" s="16" t="s">
        <v>9741</v>
      </c>
      <c r="F8841" s="64" t="s">
        <v>9742</v>
      </c>
      <c r="G8841" s="6" t="s">
        <v>605</v>
      </c>
      <c r="H8841" s="54">
        <v>0.65</v>
      </c>
      <c r="I8841" s="16">
        <v>470000000</v>
      </c>
      <c r="J8841" s="16" t="s">
        <v>229</v>
      </c>
      <c r="K8841" s="6" t="s">
        <v>8901</v>
      </c>
      <c r="L8841" s="16" t="s">
        <v>9737</v>
      </c>
      <c r="M8841" s="3"/>
      <c r="N8841" s="65" t="s">
        <v>9655</v>
      </c>
      <c r="O8841" s="78" t="s">
        <v>9743</v>
      </c>
      <c r="P8841" s="3"/>
      <c r="Q8841" s="3"/>
      <c r="R8841" s="3"/>
      <c r="S8841" s="1"/>
      <c r="T8841" s="1">
        <v>217980</v>
      </c>
      <c r="U8841" s="1">
        <f t="shared" si="640"/>
        <v>244137.60000000003</v>
      </c>
      <c r="V8841" s="201"/>
      <c r="W8841" s="3">
        <v>2014</v>
      </c>
      <c r="X8841" s="3"/>
    </row>
    <row r="8842" spans="1:24" ht="63.75">
      <c r="A8842" s="3" t="s">
        <v>11251</v>
      </c>
      <c r="B8842" s="6" t="s">
        <v>361</v>
      </c>
      <c r="C8842" s="16" t="s">
        <v>9744</v>
      </c>
      <c r="D8842" s="16" t="s">
        <v>9745</v>
      </c>
      <c r="E8842" s="16" t="s">
        <v>9746</v>
      </c>
      <c r="F8842" s="64" t="s">
        <v>9747</v>
      </c>
      <c r="G8842" s="6" t="s">
        <v>605</v>
      </c>
      <c r="H8842" s="54">
        <v>0.65</v>
      </c>
      <c r="I8842" s="16">
        <v>470000000</v>
      </c>
      <c r="J8842" s="16" t="s">
        <v>229</v>
      </c>
      <c r="K8842" s="6" t="s">
        <v>8901</v>
      </c>
      <c r="L8842" s="16" t="s">
        <v>9737</v>
      </c>
      <c r="M8842" s="3"/>
      <c r="N8842" s="65" t="s">
        <v>9488</v>
      </c>
      <c r="O8842" s="162" t="s">
        <v>9567</v>
      </c>
      <c r="P8842" s="3"/>
      <c r="Q8842" s="3"/>
      <c r="R8842" s="3"/>
      <c r="S8842" s="1"/>
      <c r="T8842" s="1">
        <v>2273712</v>
      </c>
      <c r="U8842" s="1">
        <f t="shared" si="640"/>
        <v>2546557.4400000004</v>
      </c>
      <c r="V8842" s="201"/>
      <c r="W8842" s="3">
        <v>2014</v>
      </c>
      <c r="X8842" s="3"/>
    </row>
    <row r="8843" spans="1:24" ht="63.75">
      <c r="A8843" s="3" t="s">
        <v>11252</v>
      </c>
      <c r="B8843" s="6" t="s">
        <v>361</v>
      </c>
      <c r="C8843" s="16" t="s">
        <v>9744</v>
      </c>
      <c r="D8843" s="16" t="s">
        <v>9745</v>
      </c>
      <c r="E8843" s="16" t="s">
        <v>9746</v>
      </c>
      <c r="F8843" s="64" t="s">
        <v>9748</v>
      </c>
      <c r="G8843" s="6" t="s">
        <v>605</v>
      </c>
      <c r="H8843" s="54">
        <v>0.65</v>
      </c>
      <c r="I8843" s="16">
        <v>470000000</v>
      </c>
      <c r="J8843" s="16" t="s">
        <v>229</v>
      </c>
      <c r="K8843" s="6" t="s">
        <v>8901</v>
      </c>
      <c r="L8843" s="16" t="s">
        <v>9733</v>
      </c>
      <c r="M8843" s="3"/>
      <c r="N8843" s="65" t="s">
        <v>9488</v>
      </c>
      <c r="O8843" s="162" t="s">
        <v>9567</v>
      </c>
      <c r="P8843" s="3"/>
      <c r="Q8843" s="3"/>
      <c r="R8843" s="3"/>
      <c r="S8843" s="1"/>
      <c r="T8843" s="1">
        <v>585116</v>
      </c>
      <c r="U8843" s="1">
        <f t="shared" si="640"/>
        <v>655329.92000000004</v>
      </c>
      <c r="V8843" s="201"/>
      <c r="W8843" s="3">
        <v>2014</v>
      </c>
      <c r="X8843" s="3"/>
    </row>
    <row r="8844" spans="1:24" ht="63.75">
      <c r="A8844" s="3" t="s">
        <v>11253</v>
      </c>
      <c r="B8844" s="6" t="s">
        <v>361</v>
      </c>
      <c r="C8844" s="16" t="s">
        <v>9749</v>
      </c>
      <c r="D8844" s="16" t="s">
        <v>9750</v>
      </c>
      <c r="E8844" s="16" t="s">
        <v>9751</v>
      </c>
      <c r="F8844" s="64" t="s">
        <v>9752</v>
      </c>
      <c r="G8844" s="6" t="s">
        <v>11449</v>
      </c>
      <c r="H8844" s="54">
        <v>0.65</v>
      </c>
      <c r="I8844" s="16">
        <v>470000000</v>
      </c>
      <c r="J8844" s="16" t="s">
        <v>229</v>
      </c>
      <c r="K8844" s="6" t="s">
        <v>8901</v>
      </c>
      <c r="L8844" s="16" t="s">
        <v>9735</v>
      </c>
      <c r="M8844" s="3"/>
      <c r="N8844" s="65" t="s">
        <v>9488</v>
      </c>
      <c r="O8844" s="162" t="s">
        <v>9567</v>
      </c>
      <c r="P8844" s="3"/>
      <c r="Q8844" s="3"/>
      <c r="R8844" s="3"/>
      <c r="S8844" s="1"/>
      <c r="T8844" s="1">
        <v>49360000</v>
      </c>
      <c r="U8844" s="1">
        <f t="shared" si="640"/>
        <v>55283200.000000007</v>
      </c>
      <c r="V8844" s="3"/>
      <c r="W8844" s="3">
        <v>2014</v>
      </c>
      <c r="X8844" s="3"/>
    </row>
    <row r="8845" spans="1:24" ht="89.25">
      <c r="A8845" s="3" t="s">
        <v>11254</v>
      </c>
      <c r="B8845" s="6" t="s">
        <v>361</v>
      </c>
      <c r="C8845" s="16" t="s">
        <v>9753</v>
      </c>
      <c r="D8845" s="16" t="s">
        <v>9754</v>
      </c>
      <c r="E8845" s="16" t="s">
        <v>9755</v>
      </c>
      <c r="F8845" s="64" t="s">
        <v>9756</v>
      </c>
      <c r="G8845" s="6" t="s">
        <v>605</v>
      </c>
      <c r="H8845" s="54">
        <v>0.65</v>
      </c>
      <c r="I8845" s="16">
        <v>470000000</v>
      </c>
      <c r="J8845" s="16" t="s">
        <v>229</v>
      </c>
      <c r="K8845" s="6" t="s">
        <v>8901</v>
      </c>
      <c r="L8845" s="16" t="s">
        <v>9757</v>
      </c>
      <c r="M8845" s="3"/>
      <c r="N8845" s="65" t="s">
        <v>9488</v>
      </c>
      <c r="O8845" s="162" t="s">
        <v>9567</v>
      </c>
      <c r="P8845" s="3"/>
      <c r="Q8845" s="3"/>
      <c r="R8845" s="3"/>
      <c r="S8845" s="1"/>
      <c r="T8845" s="4">
        <v>0</v>
      </c>
      <c r="U8845" s="4">
        <f t="shared" si="640"/>
        <v>0</v>
      </c>
      <c r="V8845" s="201"/>
      <c r="W8845" s="3">
        <v>2014</v>
      </c>
      <c r="X8845" s="3" t="s">
        <v>14111</v>
      </c>
    </row>
    <row r="8846" spans="1:24" ht="89.25">
      <c r="A8846" s="3" t="s">
        <v>14108</v>
      </c>
      <c r="B8846" s="6" t="s">
        <v>361</v>
      </c>
      <c r="C8846" s="16" t="s">
        <v>9753</v>
      </c>
      <c r="D8846" s="16" t="s">
        <v>9754</v>
      </c>
      <c r="E8846" s="16" t="s">
        <v>9755</v>
      </c>
      <c r="F8846" s="64" t="s">
        <v>9756</v>
      </c>
      <c r="G8846" s="6" t="s">
        <v>605</v>
      </c>
      <c r="H8846" s="54">
        <v>1</v>
      </c>
      <c r="I8846" s="16">
        <v>470000000</v>
      </c>
      <c r="J8846" s="16" t="s">
        <v>229</v>
      </c>
      <c r="K8846" s="6" t="s">
        <v>642</v>
      </c>
      <c r="L8846" s="16" t="s">
        <v>14118</v>
      </c>
      <c r="M8846" s="3"/>
      <c r="N8846" s="65" t="s">
        <v>14109</v>
      </c>
      <c r="O8846" s="162" t="s">
        <v>14110</v>
      </c>
      <c r="P8846" s="3"/>
      <c r="Q8846" s="3"/>
      <c r="R8846" s="3"/>
      <c r="S8846" s="1"/>
      <c r="T8846" s="1">
        <v>125100</v>
      </c>
      <c r="U8846" s="1">
        <f t="shared" si="640"/>
        <v>140112</v>
      </c>
      <c r="V8846" s="201"/>
      <c r="W8846" s="3">
        <v>2014</v>
      </c>
      <c r="X8846" s="3"/>
    </row>
    <row r="8847" spans="1:24" ht="76.5">
      <c r="A8847" s="3" t="s">
        <v>11255</v>
      </c>
      <c r="B8847" s="6" t="s">
        <v>361</v>
      </c>
      <c r="C8847" s="16" t="s">
        <v>9758</v>
      </c>
      <c r="D8847" s="16" t="s">
        <v>9759</v>
      </c>
      <c r="E8847" s="16" t="s">
        <v>9760</v>
      </c>
      <c r="F8847" s="64" t="s">
        <v>9761</v>
      </c>
      <c r="G8847" s="6" t="s">
        <v>11450</v>
      </c>
      <c r="H8847" s="54">
        <v>0.7</v>
      </c>
      <c r="I8847" s="16">
        <v>470000000</v>
      </c>
      <c r="J8847" s="16" t="s">
        <v>229</v>
      </c>
      <c r="K8847" s="6" t="s">
        <v>8901</v>
      </c>
      <c r="L8847" s="16" t="s">
        <v>9762</v>
      </c>
      <c r="M8847" s="3"/>
      <c r="N8847" s="65" t="s">
        <v>9488</v>
      </c>
      <c r="O8847" s="162" t="s">
        <v>9567</v>
      </c>
      <c r="P8847" s="3"/>
      <c r="Q8847" s="3"/>
      <c r="R8847" s="3"/>
      <c r="S8847" s="1"/>
      <c r="T8847" s="1">
        <v>2083659.84</v>
      </c>
      <c r="U8847" s="1">
        <f t="shared" si="640"/>
        <v>2333699.0208000005</v>
      </c>
      <c r="V8847" s="201"/>
      <c r="W8847" s="3">
        <v>2014</v>
      </c>
      <c r="X8847" s="3"/>
    </row>
    <row r="8848" spans="1:24" ht="63.75">
      <c r="A8848" s="3" t="s">
        <v>11256</v>
      </c>
      <c r="B8848" s="6" t="s">
        <v>361</v>
      </c>
      <c r="C8848" s="16" t="s">
        <v>9758</v>
      </c>
      <c r="D8848" s="16" t="s">
        <v>9759</v>
      </c>
      <c r="E8848" s="16" t="s">
        <v>9760</v>
      </c>
      <c r="F8848" s="64" t="s">
        <v>9763</v>
      </c>
      <c r="G8848" s="6" t="s">
        <v>11450</v>
      </c>
      <c r="H8848" s="54">
        <v>0.7</v>
      </c>
      <c r="I8848" s="16">
        <v>470000000</v>
      </c>
      <c r="J8848" s="16" t="s">
        <v>229</v>
      </c>
      <c r="K8848" s="6" t="s">
        <v>8901</v>
      </c>
      <c r="L8848" s="16" t="s">
        <v>9735</v>
      </c>
      <c r="M8848" s="3"/>
      <c r="N8848" s="65" t="s">
        <v>9488</v>
      </c>
      <c r="O8848" s="162" t="s">
        <v>9567</v>
      </c>
      <c r="P8848" s="3"/>
      <c r="Q8848" s="3"/>
      <c r="R8848" s="3"/>
      <c r="S8848" s="1"/>
      <c r="T8848" s="1">
        <v>289633.68</v>
      </c>
      <c r="U8848" s="1">
        <f t="shared" si="640"/>
        <v>324389.72160000005</v>
      </c>
      <c r="V8848" s="201"/>
      <c r="W8848" s="3">
        <v>2014</v>
      </c>
      <c r="X8848" s="3"/>
    </row>
    <row r="8849" spans="1:24" ht="63.75">
      <c r="A8849" s="3" t="s">
        <v>11257</v>
      </c>
      <c r="B8849" s="6" t="s">
        <v>361</v>
      </c>
      <c r="C8849" s="16" t="s">
        <v>9758</v>
      </c>
      <c r="D8849" s="16" t="s">
        <v>9759</v>
      </c>
      <c r="E8849" s="16" t="s">
        <v>9760</v>
      </c>
      <c r="F8849" s="64" t="s">
        <v>9764</v>
      </c>
      <c r="G8849" s="6" t="s">
        <v>11450</v>
      </c>
      <c r="H8849" s="54">
        <v>0.7</v>
      </c>
      <c r="I8849" s="16">
        <v>470000000</v>
      </c>
      <c r="J8849" s="16" t="s">
        <v>229</v>
      </c>
      <c r="K8849" s="6" t="s">
        <v>8901</v>
      </c>
      <c r="L8849" s="16" t="s">
        <v>9737</v>
      </c>
      <c r="M8849" s="3"/>
      <c r="N8849" s="65" t="s">
        <v>9488</v>
      </c>
      <c r="O8849" s="162" t="s">
        <v>9567</v>
      </c>
      <c r="P8849" s="3"/>
      <c r="Q8849" s="3"/>
      <c r="R8849" s="3"/>
      <c r="S8849" s="1"/>
      <c r="T8849" s="1">
        <v>292004.06</v>
      </c>
      <c r="U8849" s="1">
        <f t="shared" si="640"/>
        <v>327044.54720000003</v>
      </c>
      <c r="V8849" s="201"/>
      <c r="W8849" s="3">
        <v>2014</v>
      </c>
      <c r="X8849" s="3"/>
    </row>
    <row r="8850" spans="1:24" ht="114.75">
      <c r="A8850" s="3" t="s">
        <v>11258</v>
      </c>
      <c r="B8850" s="6" t="s">
        <v>361</v>
      </c>
      <c r="C8850" s="16" t="s">
        <v>9765</v>
      </c>
      <c r="D8850" s="16" t="s">
        <v>9766</v>
      </c>
      <c r="E8850" s="16" t="s">
        <v>9767</v>
      </c>
      <c r="F8850" s="64" t="s">
        <v>9768</v>
      </c>
      <c r="G8850" s="6" t="s">
        <v>11450</v>
      </c>
      <c r="H8850" s="54">
        <v>0.7</v>
      </c>
      <c r="I8850" s="16">
        <v>470000000</v>
      </c>
      <c r="J8850" s="16" t="s">
        <v>229</v>
      </c>
      <c r="K8850" s="6" t="s">
        <v>8901</v>
      </c>
      <c r="L8850" s="16" t="s">
        <v>9769</v>
      </c>
      <c r="M8850" s="64"/>
      <c r="N8850" s="65" t="s">
        <v>9488</v>
      </c>
      <c r="O8850" s="162" t="s">
        <v>9770</v>
      </c>
      <c r="P8850" s="64"/>
      <c r="Q8850" s="3"/>
      <c r="R8850" s="3"/>
      <c r="S8850" s="1"/>
      <c r="T8850" s="1">
        <v>3744994</v>
      </c>
      <c r="U8850" s="1">
        <f t="shared" si="640"/>
        <v>4194393.28</v>
      </c>
      <c r="V8850" s="4"/>
      <c r="W8850" s="3">
        <v>2014</v>
      </c>
      <c r="X8850" s="3"/>
    </row>
    <row r="8851" spans="1:24" ht="76.5">
      <c r="A8851" s="3" t="s">
        <v>11259</v>
      </c>
      <c r="B8851" s="6" t="s">
        <v>361</v>
      </c>
      <c r="C8851" s="16" t="s">
        <v>9771</v>
      </c>
      <c r="D8851" s="16" t="s">
        <v>9772</v>
      </c>
      <c r="E8851" s="16" t="s">
        <v>9773</v>
      </c>
      <c r="F8851" s="64" t="s">
        <v>9774</v>
      </c>
      <c r="G8851" s="6" t="s">
        <v>11450</v>
      </c>
      <c r="H8851" s="54">
        <v>0.7</v>
      </c>
      <c r="I8851" s="16">
        <v>470000000</v>
      </c>
      <c r="J8851" s="16" t="s">
        <v>229</v>
      </c>
      <c r="K8851" s="6" t="s">
        <v>9728</v>
      </c>
      <c r="L8851" s="16" t="s">
        <v>621</v>
      </c>
      <c r="M8851" s="3"/>
      <c r="N8851" s="65" t="s">
        <v>10041</v>
      </c>
      <c r="O8851" s="162" t="s">
        <v>9567</v>
      </c>
      <c r="P8851" s="3"/>
      <c r="Q8851" s="3"/>
      <c r="R8851" s="3"/>
      <c r="S8851" s="1"/>
      <c r="T8851" s="1">
        <v>642000</v>
      </c>
      <c r="U8851" s="1">
        <f t="shared" si="640"/>
        <v>719040.00000000012</v>
      </c>
      <c r="V8851" s="201"/>
      <c r="W8851" s="3">
        <v>2014</v>
      </c>
      <c r="X8851" s="3"/>
    </row>
    <row r="8852" spans="1:24" ht="76.5">
      <c r="A8852" s="3" t="s">
        <v>11260</v>
      </c>
      <c r="B8852" s="6" t="s">
        <v>361</v>
      </c>
      <c r="C8852" s="16" t="s">
        <v>9771</v>
      </c>
      <c r="D8852" s="16" t="s">
        <v>9772</v>
      </c>
      <c r="E8852" s="16" t="s">
        <v>9773</v>
      </c>
      <c r="F8852" s="64" t="s">
        <v>9776</v>
      </c>
      <c r="G8852" s="6" t="s">
        <v>11450</v>
      </c>
      <c r="H8852" s="54">
        <v>0.7</v>
      </c>
      <c r="I8852" s="16">
        <v>470000000</v>
      </c>
      <c r="J8852" s="16" t="s">
        <v>229</v>
      </c>
      <c r="K8852" s="6" t="s">
        <v>8901</v>
      </c>
      <c r="L8852" s="64" t="s">
        <v>9777</v>
      </c>
      <c r="M8852" s="3"/>
      <c r="N8852" s="65" t="s">
        <v>9778</v>
      </c>
      <c r="O8852" s="162" t="s">
        <v>9567</v>
      </c>
      <c r="P8852" s="3"/>
      <c r="Q8852" s="3"/>
      <c r="R8852" s="3"/>
      <c r="S8852" s="1"/>
      <c r="T8852" s="1">
        <v>580000</v>
      </c>
      <c r="U8852" s="1">
        <f t="shared" si="640"/>
        <v>649600.00000000012</v>
      </c>
      <c r="V8852" s="4"/>
      <c r="W8852" s="3">
        <v>2014</v>
      </c>
      <c r="X8852" s="3"/>
    </row>
    <row r="8853" spans="1:24" ht="76.5">
      <c r="A8853" s="3" t="s">
        <v>11261</v>
      </c>
      <c r="B8853" s="6" t="s">
        <v>361</v>
      </c>
      <c r="C8853" s="16" t="s">
        <v>9771</v>
      </c>
      <c r="D8853" s="16" t="s">
        <v>9772</v>
      </c>
      <c r="E8853" s="16" t="s">
        <v>9773</v>
      </c>
      <c r="F8853" s="64" t="s">
        <v>9779</v>
      </c>
      <c r="G8853" s="6" t="s">
        <v>11450</v>
      </c>
      <c r="H8853" s="54">
        <v>0.7</v>
      </c>
      <c r="I8853" s="16">
        <v>470000000</v>
      </c>
      <c r="J8853" s="16" t="s">
        <v>229</v>
      </c>
      <c r="K8853" s="64" t="s">
        <v>9780</v>
      </c>
      <c r="L8853" s="64" t="s">
        <v>9777</v>
      </c>
      <c r="M8853" s="3"/>
      <c r="N8853" s="65" t="s">
        <v>9775</v>
      </c>
      <c r="O8853" s="162" t="s">
        <v>9567</v>
      </c>
      <c r="P8853" s="3"/>
      <c r="Q8853" s="3"/>
      <c r="R8853" s="3"/>
      <c r="S8853" s="1"/>
      <c r="T8853" s="1">
        <v>580000</v>
      </c>
      <c r="U8853" s="1">
        <f t="shared" si="640"/>
        <v>649600.00000000012</v>
      </c>
      <c r="V8853" s="201"/>
      <c r="W8853" s="3">
        <v>2014</v>
      </c>
      <c r="X8853" s="3"/>
    </row>
    <row r="8854" spans="1:24" ht="76.5">
      <c r="A8854" s="3" t="s">
        <v>11262</v>
      </c>
      <c r="B8854" s="6" t="s">
        <v>361</v>
      </c>
      <c r="C8854" s="16" t="s">
        <v>9781</v>
      </c>
      <c r="D8854" s="16" t="s">
        <v>9782</v>
      </c>
      <c r="E8854" s="16" t="s">
        <v>9783</v>
      </c>
      <c r="F8854" s="64" t="s">
        <v>9784</v>
      </c>
      <c r="G8854" s="6" t="s">
        <v>11450</v>
      </c>
      <c r="H8854" s="54">
        <v>0.7</v>
      </c>
      <c r="I8854" s="16">
        <v>470000000</v>
      </c>
      <c r="J8854" s="16" t="s">
        <v>229</v>
      </c>
      <c r="K8854" s="6" t="s">
        <v>8901</v>
      </c>
      <c r="L8854" s="64" t="s">
        <v>9777</v>
      </c>
      <c r="M8854" s="3"/>
      <c r="N8854" s="65" t="s">
        <v>9488</v>
      </c>
      <c r="O8854" s="162" t="s">
        <v>9770</v>
      </c>
      <c r="P8854" s="64"/>
      <c r="Q8854" s="3"/>
      <c r="R8854" s="3"/>
      <c r="S8854" s="1"/>
      <c r="T8854" s="1">
        <v>845300</v>
      </c>
      <c r="U8854" s="1">
        <f t="shared" si="640"/>
        <v>946736.00000000012</v>
      </c>
      <c r="V8854" s="4"/>
      <c r="W8854" s="3">
        <v>2014</v>
      </c>
      <c r="X8854" s="3"/>
    </row>
    <row r="8855" spans="1:24" ht="63.75">
      <c r="A8855" s="3" t="s">
        <v>11263</v>
      </c>
      <c r="B8855" s="6" t="s">
        <v>361</v>
      </c>
      <c r="C8855" s="16" t="s">
        <v>9785</v>
      </c>
      <c r="D8855" s="16" t="s">
        <v>9786</v>
      </c>
      <c r="E8855" s="16" t="s">
        <v>9786</v>
      </c>
      <c r="F8855" s="64" t="s">
        <v>9787</v>
      </c>
      <c r="G8855" s="6" t="s">
        <v>11450</v>
      </c>
      <c r="H8855" s="54">
        <v>0.7</v>
      </c>
      <c r="I8855" s="16">
        <v>470000000</v>
      </c>
      <c r="J8855" s="16" t="s">
        <v>229</v>
      </c>
      <c r="K8855" s="6" t="s">
        <v>8901</v>
      </c>
      <c r="L8855" s="64" t="s">
        <v>9777</v>
      </c>
      <c r="M8855" s="3"/>
      <c r="N8855" s="65" t="s">
        <v>363</v>
      </c>
      <c r="O8855" s="162" t="s">
        <v>9567</v>
      </c>
      <c r="P8855" s="64"/>
      <c r="Q8855" s="3"/>
      <c r="R8855" s="3"/>
      <c r="S8855" s="1"/>
      <c r="T8855" s="1">
        <v>1070000</v>
      </c>
      <c r="U8855" s="1">
        <f t="shared" si="640"/>
        <v>1198400</v>
      </c>
      <c r="V8855" s="4"/>
      <c r="W8855" s="3">
        <v>2014</v>
      </c>
      <c r="X8855" s="3"/>
    </row>
    <row r="8856" spans="1:24" ht="63.75">
      <c r="A8856" s="3" t="s">
        <v>11264</v>
      </c>
      <c r="B8856" s="6" t="s">
        <v>361</v>
      </c>
      <c r="C8856" s="16" t="s">
        <v>9788</v>
      </c>
      <c r="D8856" s="16" t="s">
        <v>9789</v>
      </c>
      <c r="E8856" s="16" t="s">
        <v>11683</v>
      </c>
      <c r="F8856" s="64" t="s">
        <v>9790</v>
      </c>
      <c r="G8856" s="6" t="s">
        <v>11450</v>
      </c>
      <c r="H8856" s="54">
        <v>0.7</v>
      </c>
      <c r="I8856" s="16">
        <v>470000000</v>
      </c>
      <c r="J8856" s="16" t="s">
        <v>229</v>
      </c>
      <c r="K8856" s="64" t="s">
        <v>7699</v>
      </c>
      <c r="L8856" s="64" t="s">
        <v>9777</v>
      </c>
      <c r="M8856" s="3"/>
      <c r="N8856" s="65" t="s">
        <v>9775</v>
      </c>
      <c r="O8856" s="162" t="s">
        <v>9567</v>
      </c>
      <c r="P8856" s="3"/>
      <c r="Q8856" s="3"/>
      <c r="R8856" s="3"/>
      <c r="S8856" s="1"/>
      <c r="T8856" s="1">
        <v>834600</v>
      </c>
      <c r="U8856" s="1">
        <f t="shared" si="640"/>
        <v>934752.00000000012</v>
      </c>
      <c r="V8856" s="201"/>
      <c r="W8856" s="3">
        <v>2014</v>
      </c>
      <c r="X8856" s="3"/>
    </row>
    <row r="8857" spans="1:24" ht="63.75">
      <c r="A8857" s="3" t="s">
        <v>11265</v>
      </c>
      <c r="B8857" s="6" t="s">
        <v>361</v>
      </c>
      <c r="C8857" s="16" t="s">
        <v>9788</v>
      </c>
      <c r="D8857" s="16" t="s">
        <v>9789</v>
      </c>
      <c r="E8857" s="16" t="s">
        <v>11683</v>
      </c>
      <c r="F8857" s="64" t="s">
        <v>9791</v>
      </c>
      <c r="G8857" s="6" t="s">
        <v>11450</v>
      </c>
      <c r="H8857" s="54">
        <v>0.7</v>
      </c>
      <c r="I8857" s="16">
        <v>470000000</v>
      </c>
      <c r="J8857" s="16" t="s">
        <v>229</v>
      </c>
      <c r="K8857" s="64" t="s">
        <v>7699</v>
      </c>
      <c r="L8857" s="64" t="s">
        <v>9777</v>
      </c>
      <c r="M8857" s="3"/>
      <c r="N8857" s="65" t="s">
        <v>9775</v>
      </c>
      <c r="O8857" s="162" t="s">
        <v>9567</v>
      </c>
      <c r="P8857" s="3"/>
      <c r="Q8857" s="3"/>
      <c r="R8857" s="3"/>
      <c r="S8857" s="1"/>
      <c r="T8857" s="4">
        <v>0</v>
      </c>
      <c r="U8857" s="4">
        <f t="shared" si="640"/>
        <v>0</v>
      </c>
      <c r="V8857" s="201"/>
      <c r="W8857" s="3">
        <v>2014</v>
      </c>
      <c r="X8857" s="3">
        <v>11.14</v>
      </c>
    </row>
    <row r="8858" spans="1:24" ht="63.75">
      <c r="A8858" s="3" t="s">
        <v>11898</v>
      </c>
      <c r="B8858" s="6" t="s">
        <v>361</v>
      </c>
      <c r="C8858" s="16" t="s">
        <v>9788</v>
      </c>
      <c r="D8858" s="16" t="s">
        <v>9789</v>
      </c>
      <c r="E8858" s="16" t="s">
        <v>11683</v>
      </c>
      <c r="F8858" s="64" t="s">
        <v>9791</v>
      </c>
      <c r="G8858" s="6" t="s">
        <v>11450</v>
      </c>
      <c r="H8858" s="54">
        <v>0.7</v>
      </c>
      <c r="I8858" s="16">
        <v>470000000</v>
      </c>
      <c r="J8858" s="16" t="s">
        <v>229</v>
      </c>
      <c r="K8858" s="64" t="s">
        <v>642</v>
      </c>
      <c r="L8858" s="64" t="s">
        <v>9777</v>
      </c>
      <c r="M8858" s="3"/>
      <c r="N8858" s="65" t="s">
        <v>11899</v>
      </c>
      <c r="O8858" s="162" t="s">
        <v>9567</v>
      </c>
      <c r="P8858" s="3"/>
      <c r="Q8858" s="3"/>
      <c r="R8858" s="3"/>
      <c r="S8858" s="1"/>
      <c r="T8858" s="4">
        <v>0</v>
      </c>
      <c r="U8858" s="4">
        <f>T8858*1.12</f>
        <v>0</v>
      </c>
      <c r="V8858" s="201"/>
      <c r="W8858" s="3">
        <v>2014</v>
      </c>
      <c r="X8858" s="3">
        <v>7</v>
      </c>
    </row>
    <row r="8859" spans="1:24" ht="63.75">
      <c r="A8859" s="3" t="s">
        <v>14226</v>
      </c>
      <c r="B8859" s="6" t="s">
        <v>361</v>
      </c>
      <c r="C8859" s="16" t="s">
        <v>9788</v>
      </c>
      <c r="D8859" s="16" t="s">
        <v>9789</v>
      </c>
      <c r="E8859" s="16" t="s">
        <v>11683</v>
      </c>
      <c r="F8859" s="64" t="s">
        <v>9791</v>
      </c>
      <c r="G8859" s="6" t="s">
        <v>605</v>
      </c>
      <c r="H8859" s="54">
        <v>0.7</v>
      </c>
      <c r="I8859" s="16">
        <v>470000000</v>
      </c>
      <c r="J8859" s="16" t="s">
        <v>229</v>
      </c>
      <c r="K8859" s="64" t="s">
        <v>642</v>
      </c>
      <c r="L8859" s="64" t="s">
        <v>9777</v>
      </c>
      <c r="M8859" s="3"/>
      <c r="N8859" s="65" t="s">
        <v>11899</v>
      </c>
      <c r="O8859" s="162" t="s">
        <v>9567</v>
      </c>
      <c r="P8859" s="3"/>
      <c r="Q8859" s="3"/>
      <c r="R8859" s="3"/>
      <c r="S8859" s="1"/>
      <c r="T8859" s="1">
        <v>834600</v>
      </c>
      <c r="U8859" s="1">
        <f>T8859*1.12</f>
        <v>934752.00000000012</v>
      </c>
      <c r="V8859" s="201"/>
      <c r="W8859" s="3">
        <v>2014</v>
      </c>
      <c r="X8859" s="3"/>
    </row>
    <row r="8860" spans="1:24" ht="63.75">
      <c r="A8860" s="3" t="s">
        <v>11266</v>
      </c>
      <c r="B8860" s="6" t="s">
        <v>361</v>
      </c>
      <c r="C8860" s="16" t="s">
        <v>9788</v>
      </c>
      <c r="D8860" s="16" t="s">
        <v>9789</v>
      </c>
      <c r="E8860" s="16" t="s">
        <v>11683</v>
      </c>
      <c r="F8860" s="64" t="s">
        <v>9792</v>
      </c>
      <c r="G8860" s="6" t="s">
        <v>11450</v>
      </c>
      <c r="H8860" s="54">
        <v>0.7</v>
      </c>
      <c r="I8860" s="16">
        <v>470000000</v>
      </c>
      <c r="J8860" s="16" t="s">
        <v>229</v>
      </c>
      <c r="K8860" s="64" t="s">
        <v>642</v>
      </c>
      <c r="L8860" s="64" t="s">
        <v>9777</v>
      </c>
      <c r="M8860" s="3"/>
      <c r="N8860" s="65" t="s">
        <v>9793</v>
      </c>
      <c r="O8860" s="162" t="s">
        <v>9567</v>
      </c>
      <c r="P8860" s="3"/>
      <c r="Q8860" s="3"/>
      <c r="R8860" s="3"/>
      <c r="S8860" s="1"/>
      <c r="T8860" s="4">
        <v>0</v>
      </c>
      <c r="U8860" s="4">
        <f t="shared" si="640"/>
        <v>0</v>
      </c>
      <c r="V8860" s="201"/>
      <c r="W8860" s="3">
        <v>2014</v>
      </c>
      <c r="X8860" s="3">
        <v>14</v>
      </c>
    </row>
    <row r="8861" spans="1:24" ht="63.75">
      <c r="A8861" s="3" t="s">
        <v>11902</v>
      </c>
      <c r="B8861" s="6" t="s">
        <v>361</v>
      </c>
      <c r="C8861" s="16" t="s">
        <v>9788</v>
      </c>
      <c r="D8861" s="16" t="s">
        <v>9789</v>
      </c>
      <c r="E8861" s="16" t="s">
        <v>11683</v>
      </c>
      <c r="F8861" s="64" t="s">
        <v>9792</v>
      </c>
      <c r="G8861" s="6" t="s">
        <v>11450</v>
      </c>
      <c r="H8861" s="54">
        <v>0.7</v>
      </c>
      <c r="I8861" s="16">
        <v>470000000</v>
      </c>
      <c r="J8861" s="16" t="s">
        <v>229</v>
      </c>
      <c r="K8861" s="64" t="s">
        <v>642</v>
      </c>
      <c r="L8861" s="64" t="s">
        <v>9777</v>
      </c>
      <c r="M8861" s="3"/>
      <c r="N8861" s="65" t="s">
        <v>11899</v>
      </c>
      <c r="O8861" s="162" t="s">
        <v>9567</v>
      </c>
      <c r="P8861" s="3"/>
      <c r="Q8861" s="3"/>
      <c r="R8861" s="3"/>
      <c r="S8861" s="1"/>
      <c r="T8861" s="4">
        <v>0</v>
      </c>
      <c r="U8861" s="4">
        <f>T8861*1.12</f>
        <v>0</v>
      </c>
      <c r="V8861" s="201"/>
      <c r="W8861" s="3">
        <v>2014</v>
      </c>
      <c r="X8861" s="3">
        <v>7</v>
      </c>
    </row>
    <row r="8862" spans="1:24" ht="63.75">
      <c r="A8862" s="3" t="s">
        <v>14225</v>
      </c>
      <c r="B8862" s="6" t="s">
        <v>361</v>
      </c>
      <c r="C8862" s="16" t="s">
        <v>9788</v>
      </c>
      <c r="D8862" s="16" t="s">
        <v>9789</v>
      </c>
      <c r="E8862" s="16" t="s">
        <v>11683</v>
      </c>
      <c r="F8862" s="64" t="s">
        <v>9792</v>
      </c>
      <c r="G8862" s="6" t="s">
        <v>605</v>
      </c>
      <c r="H8862" s="54">
        <v>0.7</v>
      </c>
      <c r="I8862" s="16">
        <v>470000000</v>
      </c>
      <c r="J8862" s="16" t="s">
        <v>229</v>
      </c>
      <c r="K8862" s="64" t="s">
        <v>642</v>
      </c>
      <c r="L8862" s="64" t="s">
        <v>9777</v>
      </c>
      <c r="M8862" s="3"/>
      <c r="N8862" s="65" t="s">
        <v>11899</v>
      </c>
      <c r="O8862" s="162" t="s">
        <v>9567</v>
      </c>
      <c r="P8862" s="3"/>
      <c r="Q8862" s="3"/>
      <c r="R8862" s="3"/>
      <c r="S8862" s="1"/>
      <c r="T8862" s="1">
        <v>834600</v>
      </c>
      <c r="U8862" s="1">
        <f>T8862*1.12</f>
        <v>934752.00000000012</v>
      </c>
      <c r="V8862" s="201"/>
      <c r="W8862" s="3">
        <v>2014</v>
      </c>
      <c r="X8862" s="3"/>
    </row>
    <row r="8863" spans="1:24" ht="63.75">
      <c r="A8863" s="3" t="s">
        <v>11267</v>
      </c>
      <c r="B8863" s="6" t="s">
        <v>361</v>
      </c>
      <c r="C8863" s="16" t="s">
        <v>9788</v>
      </c>
      <c r="D8863" s="16" t="s">
        <v>9789</v>
      </c>
      <c r="E8863" s="16" t="s">
        <v>11683</v>
      </c>
      <c r="F8863" s="64" t="s">
        <v>9794</v>
      </c>
      <c r="G8863" s="6" t="s">
        <v>11450</v>
      </c>
      <c r="H8863" s="54">
        <v>0.7</v>
      </c>
      <c r="I8863" s="16">
        <v>470000000</v>
      </c>
      <c r="J8863" s="16" t="s">
        <v>229</v>
      </c>
      <c r="K8863" s="64" t="s">
        <v>642</v>
      </c>
      <c r="L8863" s="64" t="s">
        <v>9777</v>
      </c>
      <c r="M8863" s="3"/>
      <c r="N8863" s="65" t="s">
        <v>9793</v>
      </c>
      <c r="O8863" s="162" t="s">
        <v>9567</v>
      </c>
      <c r="P8863" s="3"/>
      <c r="Q8863" s="3"/>
      <c r="R8863" s="3"/>
      <c r="S8863" s="1"/>
      <c r="T8863" s="4">
        <v>0</v>
      </c>
      <c r="U8863" s="4">
        <f t="shared" si="640"/>
        <v>0</v>
      </c>
      <c r="V8863" s="201"/>
      <c r="W8863" s="3">
        <v>2014</v>
      </c>
      <c r="X8863" s="3">
        <v>11.14</v>
      </c>
    </row>
    <row r="8864" spans="1:24" ht="63.75">
      <c r="A8864" s="3" t="s">
        <v>11900</v>
      </c>
      <c r="B8864" s="6" t="s">
        <v>361</v>
      </c>
      <c r="C8864" s="16" t="s">
        <v>9788</v>
      </c>
      <c r="D8864" s="16" t="s">
        <v>9789</v>
      </c>
      <c r="E8864" s="16" t="s">
        <v>11683</v>
      </c>
      <c r="F8864" s="64" t="s">
        <v>9794</v>
      </c>
      <c r="G8864" s="6" t="s">
        <v>11450</v>
      </c>
      <c r="H8864" s="54">
        <v>0.7</v>
      </c>
      <c r="I8864" s="16">
        <v>470000000</v>
      </c>
      <c r="J8864" s="16" t="s">
        <v>229</v>
      </c>
      <c r="K8864" s="64" t="s">
        <v>8950</v>
      </c>
      <c r="L8864" s="64" t="s">
        <v>9777</v>
      </c>
      <c r="M8864" s="3"/>
      <c r="N8864" s="65" t="s">
        <v>11899</v>
      </c>
      <c r="O8864" s="162" t="s">
        <v>9567</v>
      </c>
      <c r="P8864" s="3"/>
      <c r="Q8864" s="3"/>
      <c r="R8864" s="3"/>
      <c r="S8864" s="1"/>
      <c r="T8864" s="1">
        <v>834600</v>
      </c>
      <c r="U8864" s="1">
        <f>T8864*1.12</f>
        <v>934752.00000000012</v>
      </c>
      <c r="V8864" s="201"/>
      <c r="W8864" s="3">
        <v>2014</v>
      </c>
      <c r="X8864" s="3"/>
    </row>
    <row r="8865" spans="1:24" ht="63.75">
      <c r="A8865" s="3" t="s">
        <v>11268</v>
      </c>
      <c r="B8865" s="6" t="s">
        <v>361</v>
      </c>
      <c r="C8865" s="16" t="s">
        <v>9788</v>
      </c>
      <c r="D8865" s="16" t="s">
        <v>9789</v>
      </c>
      <c r="E8865" s="16" t="s">
        <v>11683</v>
      </c>
      <c r="F8865" s="64" t="s">
        <v>9795</v>
      </c>
      <c r="G8865" s="6" t="s">
        <v>11450</v>
      </c>
      <c r="H8865" s="54">
        <v>0.7</v>
      </c>
      <c r="I8865" s="16">
        <v>470000000</v>
      </c>
      <c r="J8865" s="16" t="s">
        <v>229</v>
      </c>
      <c r="K8865" s="64" t="s">
        <v>8950</v>
      </c>
      <c r="L8865" s="64" t="s">
        <v>9777</v>
      </c>
      <c r="M8865" s="3"/>
      <c r="N8865" s="65" t="s">
        <v>9775</v>
      </c>
      <c r="O8865" s="162" t="s">
        <v>9567</v>
      </c>
      <c r="P8865" s="3"/>
      <c r="Q8865" s="3"/>
      <c r="R8865" s="3"/>
      <c r="S8865" s="1"/>
      <c r="T8865" s="1">
        <v>834600</v>
      </c>
      <c r="U8865" s="1">
        <f t="shared" si="640"/>
        <v>934752.00000000012</v>
      </c>
      <c r="V8865" s="201"/>
      <c r="W8865" s="3">
        <v>2014</v>
      </c>
      <c r="X8865" s="3"/>
    </row>
    <row r="8866" spans="1:24" ht="63.75">
      <c r="A8866" s="3" t="s">
        <v>11269</v>
      </c>
      <c r="B8866" s="6" t="s">
        <v>361</v>
      </c>
      <c r="C8866" s="16" t="s">
        <v>9788</v>
      </c>
      <c r="D8866" s="16" t="s">
        <v>9789</v>
      </c>
      <c r="E8866" s="16" t="s">
        <v>11683</v>
      </c>
      <c r="F8866" s="64" t="s">
        <v>9796</v>
      </c>
      <c r="G8866" s="6" t="s">
        <v>11450</v>
      </c>
      <c r="H8866" s="54">
        <v>0.7</v>
      </c>
      <c r="I8866" s="16">
        <v>470000000</v>
      </c>
      <c r="J8866" s="16" t="s">
        <v>229</v>
      </c>
      <c r="K8866" s="6" t="s">
        <v>8901</v>
      </c>
      <c r="L8866" s="64" t="s">
        <v>9777</v>
      </c>
      <c r="M8866" s="3"/>
      <c r="N8866" s="65" t="s">
        <v>9778</v>
      </c>
      <c r="O8866" s="162" t="s">
        <v>9567</v>
      </c>
      <c r="P8866" s="64"/>
      <c r="Q8866" s="3"/>
      <c r="R8866" s="3"/>
      <c r="S8866" s="1"/>
      <c r="T8866" s="1">
        <v>834600</v>
      </c>
      <c r="U8866" s="1">
        <f t="shared" si="640"/>
        <v>934752.00000000012</v>
      </c>
      <c r="V8866" s="4"/>
      <c r="W8866" s="3">
        <v>2014</v>
      </c>
      <c r="X8866" s="3"/>
    </row>
    <row r="8867" spans="1:24" ht="63.75">
      <c r="A8867" s="3" t="s">
        <v>11270</v>
      </c>
      <c r="B8867" s="6" t="s">
        <v>361</v>
      </c>
      <c r="C8867" s="16" t="s">
        <v>9788</v>
      </c>
      <c r="D8867" s="16" t="s">
        <v>9789</v>
      </c>
      <c r="E8867" s="16" t="s">
        <v>11683</v>
      </c>
      <c r="F8867" s="64" t="s">
        <v>9797</v>
      </c>
      <c r="G8867" s="6" t="s">
        <v>11450</v>
      </c>
      <c r="H8867" s="54">
        <v>0.7</v>
      </c>
      <c r="I8867" s="16">
        <v>470000000</v>
      </c>
      <c r="J8867" s="16" t="s">
        <v>229</v>
      </c>
      <c r="K8867" s="6" t="s">
        <v>8901</v>
      </c>
      <c r="L8867" s="16" t="s">
        <v>621</v>
      </c>
      <c r="M8867" s="3"/>
      <c r="N8867" s="65" t="s">
        <v>9778</v>
      </c>
      <c r="O8867" s="162" t="s">
        <v>9567</v>
      </c>
      <c r="P8867" s="64"/>
      <c r="Q8867" s="3"/>
      <c r="R8867" s="3"/>
      <c r="S8867" s="1"/>
      <c r="T8867" s="1">
        <v>834600</v>
      </c>
      <c r="U8867" s="1">
        <f t="shared" si="640"/>
        <v>934752.00000000012</v>
      </c>
      <c r="V8867" s="4"/>
      <c r="W8867" s="3">
        <v>2014</v>
      </c>
      <c r="X8867" s="3"/>
    </row>
    <row r="8868" spans="1:24" ht="63.75">
      <c r="A8868" s="3" t="s">
        <v>11271</v>
      </c>
      <c r="B8868" s="6" t="s">
        <v>361</v>
      </c>
      <c r="C8868" s="16" t="s">
        <v>9798</v>
      </c>
      <c r="D8868" s="16" t="s">
        <v>9799</v>
      </c>
      <c r="E8868" s="16" t="s">
        <v>9800</v>
      </c>
      <c r="F8868" s="64" t="s">
        <v>9801</v>
      </c>
      <c r="G8868" s="6" t="s">
        <v>11450</v>
      </c>
      <c r="H8868" s="54">
        <v>0.7</v>
      </c>
      <c r="I8868" s="16">
        <v>470000000</v>
      </c>
      <c r="J8868" s="16" t="s">
        <v>229</v>
      </c>
      <c r="K8868" s="6" t="s">
        <v>8901</v>
      </c>
      <c r="L8868" s="64" t="s">
        <v>9777</v>
      </c>
      <c r="M8868" s="3"/>
      <c r="N8868" s="65" t="s">
        <v>9778</v>
      </c>
      <c r="O8868" s="162" t="s">
        <v>9567</v>
      </c>
      <c r="P8868" s="64"/>
      <c r="Q8868" s="3"/>
      <c r="R8868" s="3"/>
      <c r="S8868" s="1"/>
      <c r="T8868" s="1">
        <v>834600</v>
      </c>
      <c r="U8868" s="1">
        <f t="shared" si="640"/>
        <v>934752.00000000012</v>
      </c>
      <c r="V8868" s="4"/>
      <c r="W8868" s="3">
        <v>2014</v>
      </c>
      <c r="X8868" s="3"/>
    </row>
    <row r="8869" spans="1:24" ht="63.75">
      <c r="A8869" s="3" t="s">
        <v>11272</v>
      </c>
      <c r="B8869" s="6" t="s">
        <v>361</v>
      </c>
      <c r="C8869" s="16" t="s">
        <v>9802</v>
      </c>
      <c r="D8869" s="16" t="s">
        <v>9803</v>
      </c>
      <c r="E8869" s="16" t="s">
        <v>9804</v>
      </c>
      <c r="F8869" s="64" t="s">
        <v>9805</v>
      </c>
      <c r="G8869" s="6" t="s">
        <v>11450</v>
      </c>
      <c r="H8869" s="54">
        <v>0.7</v>
      </c>
      <c r="I8869" s="16">
        <v>470000000</v>
      </c>
      <c r="J8869" s="16" t="s">
        <v>229</v>
      </c>
      <c r="K8869" s="6" t="s">
        <v>8901</v>
      </c>
      <c r="L8869" s="64" t="s">
        <v>9806</v>
      </c>
      <c r="M8869" s="3"/>
      <c r="N8869" s="65" t="s">
        <v>9488</v>
      </c>
      <c r="O8869" s="162" t="s">
        <v>9567</v>
      </c>
      <c r="P8869" s="3"/>
      <c r="Q8869" s="3"/>
      <c r="R8869" s="3"/>
      <c r="S8869" s="1"/>
      <c r="T8869" s="1">
        <v>140000</v>
      </c>
      <c r="U8869" s="1">
        <f t="shared" si="640"/>
        <v>156800.00000000003</v>
      </c>
      <c r="V8869" s="4"/>
      <c r="W8869" s="3">
        <v>2014</v>
      </c>
      <c r="X8869" s="3"/>
    </row>
    <row r="8870" spans="1:24" ht="63.75">
      <c r="A8870" s="3" t="s">
        <v>11273</v>
      </c>
      <c r="B8870" s="6" t="s">
        <v>361</v>
      </c>
      <c r="C8870" s="16" t="s">
        <v>9807</v>
      </c>
      <c r="D8870" s="16" t="s">
        <v>9808</v>
      </c>
      <c r="E8870" s="16" t="s">
        <v>9808</v>
      </c>
      <c r="F8870" s="64" t="s">
        <v>9809</v>
      </c>
      <c r="G8870" s="6" t="s">
        <v>11450</v>
      </c>
      <c r="H8870" s="54">
        <v>0.7</v>
      </c>
      <c r="I8870" s="16">
        <v>470000000</v>
      </c>
      <c r="J8870" s="16" t="s">
        <v>229</v>
      </c>
      <c r="K8870" s="64" t="s">
        <v>9655</v>
      </c>
      <c r="L8870" s="64" t="s">
        <v>9810</v>
      </c>
      <c r="M8870" s="3"/>
      <c r="N8870" s="65" t="s">
        <v>9488</v>
      </c>
      <c r="O8870" s="162" t="s">
        <v>9567</v>
      </c>
      <c r="P8870" s="3"/>
      <c r="Q8870" s="3"/>
      <c r="R8870" s="3"/>
      <c r="S8870" s="1"/>
      <c r="T8870" s="1">
        <v>1553892.8489999999</v>
      </c>
      <c r="U8870" s="1">
        <f t="shared" si="640"/>
        <v>1740359.9908800002</v>
      </c>
      <c r="V8870" s="4"/>
      <c r="W8870" s="3">
        <v>2014</v>
      </c>
      <c r="X8870" s="3"/>
    </row>
    <row r="8871" spans="1:24" ht="63.75">
      <c r="A8871" s="3" t="s">
        <v>11274</v>
      </c>
      <c r="B8871" s="16" t="s">
        <v>9166</v>
      </c>
      <c r="C8871" s="16" t="s">
        <v>9811</v>
      </c>
      <c r="D8871" s="16" t="s">
        <v>9812</v>
      </c>
      <c r="E8871" s="16" t="s">
        <v>9812</v>
      </c>
      <c r="F8871" s="16" t="s">
        <v>9813</v>
      </c>
      <c r="G8871" s="198" t="s">
        <v>605</v>
      </c>
      <c r="H8871" s="67">
        <v>0.7</v>
      </c>
      <c r="I8871" s="16">
        <v>470000000</v>
      </c>
      <c r="J8871" s="16" t="s">
        <v>229</v>
      </c>
      <c r="K8871" s="56" t="s">
        <v>8950</v>
      </c>
      <c r="L8871" s="16" t="s">
        <v>9814</v>
      </c>
      <c r="M8871" s="79"/>
      <c r="N8871" s="65" t="s">
        <v>366</v>
      </c>
      <c r="O8871" s="6" t="s">
        <v>9815</v>
      </c>
      <c r="P8871" s="79"/>
      <c r="Q8871" s="79"/>
      <c r="R8871" s="79"/>
      <c r="S8871" s="79"/>
      <c r="T8871" s="1">
        <v>0</v>
      </c>
      <c r="U8871" s="1">
        <f t="shared" si="640"/>
        <v>0</v>
      </c>
      <c r="V8871" s="4"/>
      <c r="W8871" s="3">
        <v>2014</v>
      </c>
      <c r="X8871" s="3">
        <v>14</v>
      </c>
    </row>
    <row r="8872" spans="1:24" ht="63.75">
      <c r="A8872" s="3" t="s">
        <v>18236</v>
      </c>
      <c r="B8872" s="16" t="s">
        <v>9166</v>
      </c>
      <c r="C8872" s="16" t="s">
        <v>9811</v>
      </c>
      <c r="D8872" s="16" t="s">
        <v>9812</v>
      </c>
      <c r="E8872" s="16" t="s">
        <v>9812</v>
      </c>
      <c r="F8872" s="16" t="s">
        <v>9813</v>
      </c>
      <c r="G8872" s="198" t="s">
        <v>605</v>
      </c>
      <c r="H8872" s="67">
        <v>0.7</v>
      </c>
      <c r="I8872" s="16">
        <v>470000000</v>
      </c>
      <c r="J8872" s="16" t="s">
        <v>229</v>
      </c>
      <c r="K8872" s="56" t="s">
        <v>8950</v>
      </c>
      <c r="L8872" s="16" t="s">
        <v>9814</v>
      </c>
      <c r="M8872" s="79"/>
      <c r="N8872" s="65" t="s">
        <v>18237</v>
      </c>
      <c r="O8872" s="6" t="s">
        <v>9815</v>
      </c>
      <c r="P8872" s="79"/>
      <c r="Q8872" s="79"/>
      <c r="R8872" s="79"/>
      <c r="S8872" s="79"/>
      <c r="T8872" s="1">
        <v>915108.89</v>
      </c>
      <c r="U8872" s="1">
        <f t="shared" si="640"/>
        <v>1024921.9568000002</v>
      </c>
      <c r="V8872" s="4"/>
      <c r="W8872" s="3">
        <v>2014</v>
      </c>
      <c r="X8872" s="3"/>
    </row>
    <row r="8873" spans="1:24" ht="89.25">
      <c r="A8873" s="3" t="s">
        <v>11275</v>
      </c>
      <c r="B8873" s="56" t="s">
        <v>361</v>
      </c>
      <c r="C8873" s="55" t="s">
        <v>9816</v>
      </c>
      <c r="D8873" s="55" t="s">
        <v>9817</v>
      </c>
      <c r="E8873" s="55" t="s">
        <v>9818</v>
      </c>
      <c r="F8873" s="56" t="s">
        <v>9819</v>
      </c>
      <c r="G8873" s="198" t="s">
        <v>605</v>
      </c>
      <c r="H8873" s="67">
        <v>1</v>
      </c>
      <c r="I8873" s="16">
        <v>470000000</v>
      </c>
      <c r="J8873" s="16" t="s">
        <v>229</v>
      </c>
      <c r="K8873" s="56" t="s">
        <v>366</v>
      </c>
      <c r="L8873" s="16" t="s">
        <v>9441</v>
      </c>
      <c r="M8873" s="79"/>
      <c r="N8873" s="62" t="s">
        <v>9775</v>
      </c>
      <c r="O8873" s="162" t="s">
        <v>9567</v>
      </c>
      <c r="P8873" s="79"/>
      <c r="Q8873" s="87"/>
      <c r="R8873" s="87"/>
      <c r="S8873" s="207"/>
      <c r="T8873" s="1">
        <v>1250000</v>
      </c>
      <c r="U8873" s="1">
        <f t="shared" si="640"/>
        <v>1400000.0000000002</v>
      </c>
      <c r="V8873" s="4"/>
      <c r="W8873" s="3">
        <v>2014</v>
      </c>
      <c r="X8873" s="79"/>
    </row>
    <row r="8874" spans="1:24" ht="51">
      <c r="A8874" s="3" t="s">
        <v>11276</v>
      </c>
      <c r="B8874" s="56" t="s">
        <v>361</v>
      </c>
      <c r="C8874" s="55" t="s">
        <v>9820</v>
      </c>
      <c r="D8874" s="55" t="s">
        <v>9821</v>
      </c>
      <c r="E8874" s="55" t="s">
        <v>9822</v>
      </c>
      <c r="F8874" s="16" t="s">
        <v>9823</v>
      </c>
      <c r="G8874" s="198" t="s">
        <v>605</v>
      </c>
      <c r="H8874" s="67">
        <v>1</v>
      </c>
      <c r="I8874" s="16">
        <v>470000000</v>
      </c>
      <c r="J8874" s="16" t="s">
        <v>229</v>
      </c>
      <c r="K8874" s="56" t="s">
        <v>633</v>
      </c>
      <c r="L8874" s="16" t="s">
        <v>9441</v>
      </c>
      <c r="M8874" s="79"/>
      <c r="N8874" s="62" t="s">
        <v>9824</v>
      </c>
      <c r="O8874" s="78" t="s">
        <v>9743</v>
      </c>
      <c r="P8874" s="79"/>
      <c r="Q8874" s="87"/>
      <c r="R8874" s="87"/>
      <c r="S8874" s="207"/>
      <c r="T8874" s="1">
        <v>6650</v>
      </c>
      <c r="U8874" s="1">
        <f t="shared" si="640"/>
        <v>7448.0000000000009</v>
      </c>
      <c r="V8874" s="4"/>
      <c r="W8874" s="3">
        <v>2014</v>
      </c>
      <c r="X8874" s="79"/>
    </row>
    <row r="8875" spans="1:24" ht="140.25">
      <c r="A8875" s="3" t="s">
        <v>11277</v>
      </c>
      <c r="B8875" s="56" t="s">
        <v>361</v>
      </c>
      <c r="C8875" s="55" t="s">
        <v>9825</v>
      </c>
      <c r="D8875" s="55" t="s">
        <v>9826</v>
      </c>
      <c r="E8875" s="55" t="s">
        <v>9827</v>
      </c>
      <c r="F8875" s="16" t="s">
        <v>9828</v>
      </c>
      <c r="G8875" s="198" t="s">
        <v>605</v>
      </c>
      <c r="H8875" s="67">
        <v>1</v>
      </c>
      <c r="I8875" s="16">
        <v>470000000</v>
      </c>
      <c r="J8875" s="16" t="s">
        <v>229</v>
      </c>
      <c r="K8875" s="56" t="s">
        <v>369</v>
      </c>
      <c r="L8875" s="16" t="s">
        <v>9441</v>
      </c>
      <c r="M8875" s="79"/>
      <c r="N8875" s="62" t="s">
        <v>9377</v>
      </c>
      <c r="O8875" s="78" t="s">
        <v>9743</v>
      </c>
      <c r="P8875" s="79"/>
      <c r="Q8875" s="87"/>
      <c r="R8875" s="87"/>
      <c r="S8875" s="207"/>
      <c r="T8875" s="1">
        <v>7232</v>
      </c>
      <c r="U8875" s="1">
        <f t="shared" si="640"/>
        <v>8099.8400000000011</v>
      </c>
      <c r="V8875" s="4"/>
      <c r="W8875" s="3">
        <v>2014</v>
      </c>
      <c r="X8875" s="79"/>
    </row>
    <row r="8876" spans="1:24" ht="51">
      <c r="A8876" s="3" t="s">
        <v>11278</v>
      </c>
      <c r="B8876" s="6" t="s">
        <v>361</v>
      </c>
      <c r="C8876" s="55" t="s">
        <v>9829</v>
      </c>
      <c r="D8876" s="16" t="s">
        <v>9830</v>
      </c>
      <c r="E8876" s="55" t="s">
        <v>9830</v>
      </c>
      <c r="F8876" s="61" t="s">
        <v>9831</v>
      </c>
      <c r="G8876" s="16" t="s">
        <v>605</v>
      </c>
      <c r="H8876" s="54">
        <v>0.7</v>
      </c>
      <c r="I8876" s="16">
        <v>470000000</v>
      </c>
      <c r="J8876" s="16" t="s">
        <v>229</v>
      </c>
      <c r="K8876" s="6" t="s">
        <v>8901</v>
      </c>
      <c r="L8876" s="16" t="s">
        <v>621</v>
      </c>
      <c r="M8876" s="3"/>
      <c r="N8876" s="65" t="s">
        <v>9488</v>
      </c>
      <c r="O8876" s="61" t="s">
        <v>9832</v>
      </c>
      <c r="P8876" s="3"/>
      <c r="Q8876" s="87"/>
      <c r="R8876" s="87"/>
      <c r="S8876" s="88"/>
      <c r="T8876" s="4">
        <v>0</v>
      </c>
      <c r="U8876" s="4">
        <f t="shared" si="640"/>
        <v>0</v>
      </c>
      <c r="V8876" s="3" t="s">
        <v>610</v>
      </c>
      <c r="W8876" s="3">
        <v>2014</v>
      </c>
      <c r="X8876" s="3">
        <v>15</v>
      </c>
    </row>
    <row r="8877" spans="1:24" ht="76.5">
      <c r="A8877" s="3" t="s">
        <v>11903</v>
      </c>
      <c r="B8877" s="6" t="s">
        <v>361</v>
      </c>
      <c r="C8877" s="55" t="s">
        <v>9829</v>
      </c>
      <c r="D8877" s="16" t="s">
        <v>9830</v>
      </c>
      <c r="E8877" s="55" t="s">
        <v>9830</v>
      </c>
      <c r="F8877" s="61" t="s">
        <v>9831</v>
      </c>
      <c r="G8877" s="16" t="s">
        <v>605</v>
      </c>
      <c r="H8877" s="54">
        <v>0.7</v>
      </c>
      <c r="I8877" s="16">
        <v>470000000</v>
      </c>
      <c r="J8877" s="16" t="s">
        <v>229</v>
      </c>
      <c r="K8877" s="6" t="s">
        <v>8901</v>
      </c>
      <c r="L8877" s="16" t="s">
        <v>621</v>
      </c>
      <c r="M8877" s="3"/>
      <c r="N8877" s="65" t="s">
        <v>9488</v>
      </c>
      <c r="O8877" s="162" t="s">
        <v>11904</v>
      </c>
      <c r="P8877" s="3"/>
      <c r="Q8877" s="87"/>
      <c r="R8877" s="87"/>
      <c r="S8877" s="88"/>
      <c r="T8877" s="1">
        <v>1262800</v>
      </c>
      <c r="U8877" s="1">
        <f>T8877*1.12</f>
        <v>1414336.0000000002</v>
      </c>
      <c r="V8877" s="3" t="s">
        <v>610</v>
      </c>
      <c r="W8877" s="3">
        <v>2014</v>
      </c>
      <c r="X8877" s="3"/>
    </row>
    <row r="8878" spans="1:24" ht="51">
      <c r="A8878" s="3" t="s">
        <v>11279</v>
      </c>
      <c r="B8878" s="6" t="s">
        <v>361</v>
      </c>
      <c r="C8878" s="55" t="s">
        <v>9833</v>
      </c>
      <c r="D8878" s="16" t="s">
        <v>9834</v>
      </c>
      <c r="E8878" s="55" t="s">
        <v>9834</v>
      </c>
      <c r="F8878" s="61" t="s">
        <v>9835</v>
      </c>
      <c r="G8878" s="16" t="s">
        <v>605</v>
      </c>
      <c r="H8878" s="54">
        <v>0.7</v>
      </c>
      <c r="I8878" s="16">
        <v>470000000</v>
      </c>
      <c r="J8878" s="16" t="s">
        <v>229</v>
      </c>
      <c r="K8878" s="6" t="s">
        <v>8901</v>
      </c>
      <c r="L8878" s="16" t="s">
        <v>621</v>
      </c>
      <c r="M8878" s="3"/>
      <c r="N8878" s="65" t="s">
        <v>9488</v>
      </c>
      <c r="O8878" s="61" t="s">
        <v>9832</v>
      </c>
      <c r="P8878" s="3"/>
      <c r="Q8878" s="87"/>
      <c r="R8878" s="87"/>
      <c r="S8878" s="88"/>
      <c r="T8878" s="4">
        <v>0</v>
      </c>
      <c r="U8878" s="4">
        <f t="shared" si="640"/>
        <v>0</v>
      </c>
      <c r="V8878" s="4"/>
      <c r="W8878" s="3">
        <v>2014</v>
      </c>
      <c r="X8878" s="3">
        <v>15</v>
      </c>
    </row>
    <row r="8879" spans="1:24" ht="76.5">
      <c r="A8879" s="3" t="s">
        <v>11905</v>
      </c>
      <c r="B8879" s="6" t="s">
        <v>361</v>
      </c>
      <c r="C8879" s="55" t="s">
        <v>9833</v>
      </c>
      <c r="D8879" s="16" t="s">
        <v>9834</v>
      </c>
      <c r="E8879" s="55" t="s">
        <v>9834</v>
      </c>
      <c r="F8879" s="61" t="s">
        <v>9835</v>
      </c>
      <c r="G8879" s="16" t="s">
        <v>605</v>
      </c>
      <c r="H8879" s="54">
        <v>0.7</v>
      </c>
      <c r="I8879" s="16">
        <v>470000000</v>
      </c>
      <c r="J8879" s="16" t="s">
        <v>229</v>
      </c>
      <c r="K8879" s="6" t="s">
        <v>8901</v>
      </c>
      <c r="L8879" s="16" t="s">
        <v>621</v>
      </c>
      <c r="M8879" s="3"/>
      <c r="N8879" s="65" t="s">
        <v>9488</v>
      </c>
      <c r="O8879" s="162" t="s">
        <v>11904</v>
      </c>
      <c r="P8879" s="3"/>
      <c r="Q8879" s="87"/>
      <c r="R8879" s="87"/>
      <c r="S8879" s="88"/>
      <c r="T8879" s="1">
        <v>345800</v>
      </c>
      <c r="U8879" s="1">
        <f>T8879*1.12</f>
        <v>387296.00000000006</v>
      </c>
      <c r="V8879" s="4"/>
      <c r="W8879" s="3">
        <v>2014</v>
      </c>
      <c r="X8879" s="3"/>
    </row>
    <row r="8880" spans="1:24" ht="76.5">
      <c r="A8880" s="3" t="s">
        <v>11280</v>
      </c>
      <c r="B8880" s="6" t="s">
        <v>361</v>
      </c>
      <c r="C8880" s="55" t="s">
        <v>9836</v>
      </c>
      <c r="D8880" s="16" t="s">
        <v>9837</v>
      </c>
      <c r="E8880" s="55" t="s">
        <v>9838</v>
      </c>
      <c r="F8880" s="61" t="s">
        <v>9839</v>
      </c>
      <c r="G8880" s="16" t="s">
        <v>605</v>
      </c>
      <c r="H8880" s="54">
        <v>0.7</v>
      </c>
      <c r="I8880" s="16">
        <v>470000000</v>
      </c>
      <c r="J8880" s="16" t="s">
        <v>229</v>
      </c>
      <c r="K8880" s="6" t="s">
        <v>8901</v>
      </c>
      <c r="L8880" s="16" t="s">
        <v>621</v>
      </c>
      <c r="M8880" s="3"/>
      <c r="N8880" s="65" t="s">
        <v>9488</v>
      </c>
      <c r="O8880" s="61" t="s">
        <v>9832</v>
      </c>
      <c r="P8880" s="3"/>
      <c r="Q8880" s="6"/>
      <c r="R8880" s="6"/>
      <c r="S8880" s="88"/>
      <c r="T8880" s="4">
        <v>0</v>
      </c>
      <c r="U8880" s="4">
        <f t="shared" si="640"/>
        <v>0</v>
      </c>
      <c r="V8880" s="4"/>
      <c r="W8880" s="3">
        <v>2014</v>
      </c>
      <c r="X8880" s="3">
        <v>15</v>
      </c>
    </row>
    <row r="8881" spans="1:24" ht="76.5">
      <c r="A8881" s="3" t="s">
        <v>11906</v>
      </c>
      <c r="B8881" s="6" t="s">
        <v>361</v>
      </c>
      <c r="C8881" s="55" t="s">
        <v>9836</v>
      </c>
      <c r="D8881" s="16" t="s">
        <v>9837</v>
      </c>
      <c r="E8881" s="55" t="s">
        <v>9838</v>
      </c>
      <c r="F8881" s="61" t="s">
        <v>9839</v>
      </c>
      <c r="G8881" s="16" t="s">
        <v>605</v>
      </c>
      <c r="H8881" s="54">
        <v>0.7</v>
      </c>
      <c r="I8881" s="16">
        <v>470000000</v>
      </c>
      <c r="J8881" s="16" t="s">
        <v>229</v>
      </c>
      <c r="K8881" s="6" t="s">
        <v>8901</v>
      </c>
      <c r="L8881" s="16" t="s">
        <v>621</v>
      </c>
      <c r="M8881" s="3"/>
      <c r="N8881" s="65" t="s">
        <v>9488</v>
      </c>
      <c r="O8881" s="162" t="s">
        <v>11904</v>
      </c>
      <c r="P8881" s="3"/>
      <c r="Q8881" s="6"/>
      <c r="R8881" s="6"/>
      <c r="S8881" s="88"/>
      <c r="T8881" s="1">
        <v>313950</v>
      </c>
      <c r="U8881" s="1">
        <f>T8881*1.12</f>
        <v>351624.00000000006</v>
      </c>
      <c r="V8881" s="4"/>
      <c r="W8881" s="3">
        <v>2014</v>
      </c>
      <c r="X8881" s="3"/>
    </row>
    <row r="8882" spans="1:24" ht="51">
      <c r="A8882" s="3" t="s">
        <v>11281</v>
      </c>
      <c r="B8882" s="6" t="s">
        <v>361</v>
      </c>
      <c r="C8882" s="55" t="s">
        <v>9840</v>
      </c>
      <c r="D8882" s="16" t="s">
        <v>9841</v>
      </c>
      <c r="E8882" s="55" t="s">
        <v>9841</v>
      </c>
      <c r="F8882" s="6" t="s">
        <v>9842</v>
      </c>
      <c r="G8882" s="16" t="s">
        <v>605</v>
      </c>
      <c r="H8882" s="54">
        <v>1</v>
      </c>
      <c r="I8882" s="16">
        <v>470000000</v>
      </c>
      <c r="J8882" s="16" t="s">
        <v>229</v>
      </c>
      <c r="K8882" s="6" t="s">
        <v>8901</v>
      </c>
      <c r="L8882" s="16" t="s">
        <v>621</v>
      </c>
      <c r="M8882" s="3"/>
      <c r="N8882" s="65" t="s">
        <v>9488</v>
      </c>
      <c r="O8882" s="6" t="s">
        <v>9815</v>
      </c>
      <c r="P8882" s="3"/>
      <c r="Q8882" s="6"/>
      <c r="R8882" s="6"/>
      <c r="S8882" s="88"/>
      <c r="T8882" s="4">
        <v>0</v>
      </c>
      <c r="U8882" s="4">
        <f t="shared" si="640"/>
        <v>0</v>
      </c>
      <c r="V8882" s="3" t="s">
        <v>610</v>
      </c>
      <c r="W8882" s="3">
        <v>2014</v>
      </c>
      <c r="X8882" s="3">
        <v>20.21</v>
      </c>
    </row>
    <row r="8883" spans="1:24" ht="51">
      <c r="A8883" s="3" t="s">
        <v>17956</v>
      </c>
      <c r="B8883" s="6" t="s">
        <v>361</v>
      </c>
      <c r="C8883" s="55" t="s">
        <v>9840</v>
      </c>
      <c r="D8883" s="16" t="s">
        <v>9841</v>
      </c>
      <c r="E8883" s="55" t="s">
        <v>9841</v>
      </c>
      <c r="F8883" s="6" t="s">
        <v>9842</v>
      </c>
      <c r="G8883" s="16" t="s">
        <v>605</v>
      </c>
      <c r="H8883" s="54">
        <v>1</v>
      </c>
      <c r="I8883" s="16">
        <v>470000000</v>
      </c>
      <c r="J8883" s="16" t="s">
        <v>229</v>
      </c>
      <c r="K8883" s="6" t="s">
        <v>8901</v>
      </c>
      <c r="L8883" s="16" t="s">
        <v>621</v>
      </c>
      <c r="M8883" s="3"/>
      <c r="N8883" s="65" t="s">
        <v>9488</v>
      </c>
      <c r="O8883" s="6" t="s">
        <v>9815</v>
      </c>
      <c r="P8883" s="3"/>
      <c r="Q8883" s="6"/>
      <c r="R8883" s="6"/>
      <c r="S8883" s="88"/>
      <c r="T8883" s="1">
        <v>220000</v>
      </c>
      <c r="U8883" s="1">
        <f t="shared" si="640"/>
        <v>246400.00000000003</v>
      </c>
      <c r="V8883" s="3" t="s">
        <v>610</v>
      </c>
      <c r="W8883" s="3">
        <v>2014</v>
      </c>
      <c r="X8883" s="3"/>
    </row>
    <row r="8884" spans="1:24" ht="76.5">
      <c r="A8884" s="3" t="s">
        <v>11282</v>
      </c>
      <c r="B8884" s="6" t="s">
        <v>361</v>
      </c>
      <c r="C8884" s="55" t="s">
        <v>9843</v>
      </c>
      <c r="D8884" s="16" t="s">
        <v>9844</v>
      </c>
      <c r="E8884" s="55" t="s">
        <v>9845</v>
      </c>
      <c r="F8884" s="6" t="s">
        <v>9846</v>
      </c>
      <c r="G8884" s="16" t="s">
        <v>11450</v>
      </c>
      <c r="H8884" s="54">
        <v>0.7</v>
      </c>
      <c r="I8884" s="16">
        <v>470000000</v>
      </c>
      <c r="J8884" s="16" t="s">
        <v>229</v>
      </c>
      <c r="K8884" s="6" t="s">
        <v>8901</v>
      </c>
      <c r="L8884" s="16" t="s">
        <v>621</v>
      </c>
      <c r="M8884" s="3"/>
      <c r="N8884" s="84" t="s">
        <v>11406</v>
      </c>
      <c r="O8884" s="162" t="s">
        <v>9567</v>
      </c>
      <c r="P8884" s="3"/>
      <c r="Q8884" s="6"/>
      <c r="R8884" s="6"/>
      <c r="S8884" s="89"/>
      <c r="T8884" s="1">
        <v>910948</v>
      </c>
      <c r="U8884" s="1">
        <f t="shared" si="640"/>
        <v>1020261.7600000001</v>
      </c>
      <c r="V8884" s="4"/>
      <c r="W8884" s="3">
        <v>2014</v>
      </c>
      <c r="X8884" s="3"/>
    </row>
    <row r="8885" spans="1:24" ht="76.5">
      <c r="A8885" s="3" t="s">
        <v>11283</v>
      </c>
      <c r="B8885" s="6" t="s">
        <v>361</v>
      </c>
      <c r="C8885" s="55" t="s">
        <v>9847</v>
      </c>
      <c r="D8885" s="16" t="s">
        <v>9848</v>
      </c>
      <c r="E8885" s="55" t="s">
        <v>9849</v>
      </c>
      <c r="F8885" s="6" t="s">
        <v>9850</v>
      </c>
      <c r="G8885" s="16" t="s">
        <v>605</v>
      </c>
      <c r="H8885" s="54">
        <v>0.7</v>
      </c>
      <c r="I8885" s="16">
        <v>470000000</v>
      </c>
      <c r="J8885" s="16" t="s">
        <v>229</v>
      </c>
      <c r="K8885" s="6" t="s">
        <v>8901</v>
      </c>
      <c r="L8885" s="16" t="s">
        <v>621</v>
      </c>
      <c r="M8885" s="3"/>
      <c r="N8885" s="65" t="s">
        <v>9488</v>
      </c>
      <c r="O8885" s="162" t="s">
        <v>9851</v>
      </c>
      <c r="P8885" s="3"/>
      <c r="Q8885" s="6"/>
      <c r="R8885" s="6"/>
      <c r="S8885" s="89"/>
      <c r="T8885" s="1">
        <v>18380830</v>
      </c>
      <c r="U8885" s="1">
        <f t="shared" si="640"/>
        <v>20586529.600000001</v>
      </c>
      <c r="V8885" s="3" t="s">
        <v>610</v>
      </c>
      <c r="W8885" s="3">
        <v>2014</v>
      </c>
      <c r="X8885" s="3"/>
    </row>
    <row r="8886" spans="1:24" ht="63.75">
      <c r="A8886" s="3" t="s">
        <v>11284</v>
      </c>
      <c r="B8886" s="16" t="s">
        <v>9166</v>
      </c>
      <c r="C8886" s="16" t="s">
        <v>9852</v>
      </c>
      <c r="D8886" s="16" t="s">
        <v>9853</v>
      </c>
      <c r="E8886" s="16" t="s">
        <v>9853</v>
      </c>
      <c r="F8886" s="16" t="s">
        <v>9854</v>
      </c>
      <c r="G8886" s="198" t="s">
        <v>605</v>
      </c>
      <c r="H8886" s="67">
        <v>0.7</v>
      </c>
      <c r="I8886" s="16">
        <v>470000000</v>
      </c>
      <c r="J8886" s="16" t="s">
        <v>229</v>
      </c>
      <c r="K8886" s="56" t="s">
        <v>369</v>
      </c>
      <c r="L8886" s="16" t="s">
        <v>9606</v>
      </c>
      <c r="M8886" s="79"/>
      <c r="N8886" s="65" t="s">
        <v>9855</v>
      </c>
      <c r="O8886" s="162" t="s">
        <v>9567</v>
      </c>
      <c r="P8886" s="79"/>
      <c r="Q8886" s="79"/>
      <c r="R8886" s="79"/>
      <c r="S8886" s="79"/>
      <c r="T8886" s="1">
        <v>368599</v>
      </c>
      <c r="U8886" s="1">
        <f t="shared" si="640"/>
        <v>412830.88000000006</v>
      </c>
      <c r="V8886" s="79" t="s">
        <v>610</v>
      </c>
      <c r="W8886" s="3">
        <v>2014</v>
      </c>
      <c r="X8886" s="3"/>
    </row>
    <row r="8887" spans="1:24" ht="63.75">
      <c r="A8887" s="3" t="s">
        <v>11285</v>
      </c>
      <c r="B8887" s="6" t="s">
        <v>361</v>
      </c>
      <c r="C8887" s="16" t="s">
        <v>9856</v>
      </c>
      <c r="D8887" s="16" t="s">
        <v>9857</v>
      </c>
      <c r="E8887" s="16" t="s">
        <v>9858</v>
      </c>
      <c r="F8887" s="90" t="s">
        <v>9859</v>
      </c>
      <c r="G8887" s="16" t="s">
        <v>605</v>
      </c>
      <c r="H8887" s="54">
        <v>1</v>
      </c>
      <c r="I8887" s="16">
        <v>470000000</v>
      </c>
      <c r="J8887" s="16" t="s">
        <v>229</v>
      </c>
      <c r="K8887" s="6" t="s">
        <v>403</v>
      </c>
      <c r="L8887" s="16" t="s">
        <v>621</v>
      </c>
      <c r="M8887" s="3"/>
      <c r="N8887" s="65" t="s">
        <v>9488</v>
      </c>
      <c r="O8887" s="162" t="s">
        <v>9567</v>
      </c>
      <c r="P8887" s="3"/>
      <c r="Q8887" s="3"/>
      <c r="R8887" s="3"/>
      <c r="S8887" s="3"/>
      <c r="T8887" s="1">
        <v>912000</v>
      </c>
      <c r="U8887" s="1">
        <f t="shared" si="640"/>
        <v>1021440.0000000001</v>
      </c>
      <c r="V8887" s="3" t="s">
        <v>610</v>
      </c>
      <c r="W8887" s="3">
        <v>2014</v>
      </c>
      <c r="X8887" s="3"/>
    </row>
    <row r="8888" spans="1:24" ht="63.75">
      <c r="A8888" s="3" t="s">
        <v>11286</v>
      </c>
      <c r="B8888" s="6" t="s">
        <v>361</v>
      </c>
      <c r="C8888" s="16" t="s">
        <v>9860</v>
      </c>
      <c r="D8888" s="16" t="s">
        <v>9861</v>
      </c>
      <c r="E8888" s="16" t="s">
        <v>9862</v>
      </c>
      <c r="F8888" s="90" t="s">
        <v>9863</v>
      </c>
      <c r="G8888" s="16" t="s">
        <v>605</v>
      </c>
      <c r="H8888" s="54">
        <v>0.8</v>
      </c>
      <c r="I8888" s="16">
        <v>470000000</v>
      </c>
      <c r="J8888" s="16" t="s">
        <v>229</v>
      </c>
      <c r="K8888" s="6" t="s">
        <v>403</v>
      </c>
      <c r="L8888" s="16" t="s">
        <v>9737</v>
      </c>
      <c r="M8888" s="3"/>
      <c r="N8888" s="65" t="s">
        <v>9488</v>
      </c>
      <c r="O8888" s="162" t="s">
        <v>9567</v>
      </c>
      <c r="P8888" s="3"/>
      <c r="Q8888" s="3"/>
      <c r="R8888" s="3"/>
      <c r="S8888" s="91"/>
      <c r="T8888" s="1">
        <v>337692</v>
      </c>
      <c r="U8888" s="1">
        <f t="shared" si="640"/>
        <v>378215.04000000004</v>
      </c>
      <c r="V8888" s="3" t="s">
        <v>610</v>
      </c>
      <c r="W8888" s="3">
        <v>2014</v>
      </c>
      <c r="X8888" s="3"/>
    </row>
    <row r="8889" spans="1:24" ht="63.75">
      <c r="A8889" s="3" t="s">
        <v>11287</v>
      </c>
      <c r="B8889" s="6" t="s">
        <v>361</v>
      </c>
      <c r="C8889" s="16" t="s">
        <v>9860</v>
      </c>
      <c r="D8889" s="16" t="s">
        <v>9861</v>
      </c>
      <c r="E8889" s="16" t="s">
        <v>9862</v>
      </c>
      <c r="F8889" s="90" t="s">
        <v>9864</v>
      </c>
      <c r="G8889" s="16" t="s">
        <v>605</v>
      </c>
      <c r="H8889" s="54">
        <v>0.8</v>
      </c>
      <c r="I8889" s="16">
        <v>470000000</v>
      </c>
      <c r="J8889" s="16" t="s">
        <v>229</v>
      </c>
      <c r="K8889" s="6" t="s">
        <v>403</v>
      </c>
      <c r="L8889" s="16" t="s">
        <v>9735</v>
      </c>
      <c r="M8889" s="3"/>
      <c r="N8889" s="65" t="s">
        <v>9488</v>
      </c>
      <c r="O8889" s="162" t="s">
        <v>9567</v>
      </c>
      <c r="P8889" s="3"/>
      <c r="Q8889" s="3"/>
      <c r="R8889" s="3"/>
      <c r="S8889" s="91"/>
      <c r="T8889" s="1">
        <v>424092</v>
      </c>
      <c r="U8889" s="1">
        <f t="shared" ref="U8889:U9050" si="642">T8889*1.12</f>
        <v>474983.04000000004</v>
      </c>
      <c r="V8889" s="3" t="s">
        <v>610</v>
      </c>
      <c r="W8889" s="3">
        <v>2014</v>
      </c>
      <c r="X8889" s="3"/>
    </row>
    <row r="8890" spans="1:24" ht="63.75">
      <c r="A8890" s="3" t="s">
        <v>11288</v>
      </c>
      <c r="B8890" s="6" t="s">
        <v>361</v>
      </c>
      <c r="C8890" s="16" t="s">
        <v>9860</v>
      </c>
      <c r="D8890" s="16" t="s">
        <v>9861</v>
      </c>
      <c r="E8890" s="16" t="s">
        <v>9862</v>
      </c>
      <c r="F8890" s="90" t="s">
        <v>9865</v>
      </c>
      <c r="G8890" s="16" t="s">
        <v>605</v>
      </c>
      <c r="H8890" s="54">
        <v>0.8</v>
      </c>
      <c r="I8890" s="16">
        <v>470000000</v>
      </c>
      <c r="J8890" s="16" t="s">
        <v>229</v>
      </c>
      <c r="K8890" s="6" t="s">
        <v>403</v>
      </c>
      <c r="L8890" s="16" t="s">
        <v>9866</v>
      </c>
      <c r="M8890" s="3"/>
      <c r="N8890" s="65" t="s">
        <v>9488</v>
      </c>
      <c r="O8890" s="162" t="s">
        <v>9567</v>
      </c>
      <c r="P8890" s="3"/>
      <c r="Q8890" s="3"/>
      <c r="R8890" s="3"/>
      <c r="S8890" s="91"/>
      <c r="T8890" s="1">
        <v>312000</v>
      </c>
      <c r="U8890" s="1">
        <f t="shared" si="642"/>
        <v>349440.00000000006</v>
      </c>
      <c r="V8890" s="3" t="s">
        <v>610</v>
      </c>
      <c r="W8890" s="3">
        <v>2014</v>
      </c>
      <c r="X8890" s="3"/>
    </row>
    <row r="8891" spans="1:24" ht="63.75">
      <c r="A8891" s="3" t="s">
        <v>11289</v>
      </c>
      <c r="B8891" s="6" t="s">
        <v>361</v>
      </c>
      <c r="C8891" s="16" t="s">
        <v>9860</v>
      </c>
      <c r="D8891" s="16" t="s">
        <v>9861</v>
      </c>
      <c r="E8891" s="16" t="s">
        <v>9862</v>
      </c>
      <c r="F8891" s="90" t="s">
        <v>9867</v>
      </c>
      <c r="G8891" s="16" t="s">
        <v>605</v>
      </c>
      <c r="H8891" s="54">
        <v>0.8</v>
      </c>
      <c r="I8891" s="16">
        <v>470000000</v>
      </c>
      <c r="J8891" s="16" t="s">
        <v>229</v>
      </c>
      <c r="K8891" s="6" t="s">
        <v>403</v>
      </c>
      <c r="L8891" s="16" t="s">
        <v>9866</v>
      </c>
      <c r="M8891" s="3"/>
      <c r="N8891" s="65" t="s">
        <v>9488</v>
      </c>
      <c r="O8891" s="162" t="s">
        <v>9567</v>
      </c>
      <c r="P8891" s="3"/>
      <c r="Q8891" s="3"/>
      <c r="R8891" s="3"/>
      <c r="S8891" s="91"/>
      <c r="T8891" s="1">
        <v>922760</v>
      </c>
      <c r="U8891" s="1">
        <f t="shared" si="642"/>
        <v>1033491.2000000001</v>
      </c>
      <c r="V8891" s="3" t="s">
        <v>610</v>
      </c>
      <c r="W8891" s="3">
        <v>2014</v>
      </c>
      <c r="X8891" s="3"/>
    </row>
    <row r="8892" spans="1:24" ht="63.75">
      <c r="A8892" s="3" t="s">
        <v>11290</v>
      </c>
      <c r="B8892" s="6" t="s">
        <v>361</v>
      </c>
      <c r="C8892" s="16" t="s">
        <v>9860</v>
      </c>
      <c r="D8892" s="16" t="s">
        <v>9861</v>
      </c>
      <c r="E8892" s="16" t="s">
        <v>9862</v>
      </c>
      <c r="F8892" s="90" t="s">
        <v>9868</v>
      </c>
      <c r="G8892" s="16" t="s">
        <v>605</v>
      </c>
      <c r="H8892" s="54">
        <v>0.8</v>
      </c>
      <c r="I8892" s="16">
        <v>470000000</v>
      </c>
      <c r="J8892" s="16" t="s">
        <v>229</v>
      </c>
      <c r="K8892" s="6" t="s">
        <v>403</v>
      </c>
      <c r="L8892" s="16" t="s">
        <v>9606</v>
      </c>
      <c r="M8892" s="3"/>
      <c r="N8892" s="65" t="s">
        <v>9488</v>
      </c>
      <c r="O8892" s="162" t="s">
        <v>9567</v>
      </c>
      <c r="P8892" s="3"/>
      <c r="Q8892" s="3"/>
      <c r="R8892" s="3"/>
      <c r="S8892" s="91"/>
      <c r="T8892" s="1">
        <v>1821600</v>
      </c>
      <c r="U8892" s="1">
        <f t="shared" si="642"/>
        <v>2040192.0000000002</v>
      </c>
      <c r="V8892" s="3" t="s">
        <v>610</v>
      </c>
      <c r="W8892" s="3">
        <v>2014</v>
      </c>
      <c r="X8892" s="3"/>
    </row>
    <row r="8893" spans="1:24" ht="102">
      <c r="A8893" s="3" t="s">
        <v>11291</v>
      </c>
      <c r="B8893" s="6" t="s">
        <v>361</v>
      </c>
      <c r="C8893" s="55" t="s">
        <v>9869</v>
      </c>
      <c r="D8893" s="16" t="s">
        <v>9870</v>
      </c>
      <c r="E8893" s="55" t="s">
        <v>9870</v>
      </c>
      <c r="F8893" s="16" t="s">
        <v>9871</v>
      </c>
      <c r="G8893" s="16" t="s">
        <v>605</v>
      </c>
      <c r="H8893" s="54">
        <v>0.7</v>
      </c>
      <c r="I8893" s="16">
        <v>470000000</v>
      </c>
      <c r="J8893" s="16" t="s">
        <v>229</v>
      </c>
      <c r="K8893" s="6" t="s">
        <v>8901</v>
      </c>
      <c r="L8893" s="16" t="s">
        <v>9735</v>
      </c>
      <c r="M8893" s="3"/>
      <c r="N8893" s="65" t="s">
        <v>9488</v>
      </c>
      <c r="O8893" s="162" t="s">
        <v>9567</v>
      </c>
      <c r="P8893" s="3"/>
      <c r="Q8893" s="6"/>
      <c r="R8893" s="6"/>
      <c r="S8893" s="92"/>
      <c r="T8893" s="1">
        <v>735255</v>
      </c>
      <c r="U8893" s="1">
        <f t="shared" si="642"/>
        <v>823485.60000000009</v>
      </c>
      <c r="V8893" s="4"/>
      <c r="W8893" s="3">
        <v>2014</v>
      </c>
      <c r="X8893" s="3"/>
    </row>
    <row r="8894" spans="1:24" ht="102">
      <c r="A8894" s="3" t="s">
        <v>11292</v>
      </c>
      <c r="B8894" s="6" t="s">
        <v>361</v>
      </c>
      <c r="C8894" s="55" t="s">
        <v>9869</v>
      </c>
      <c r="D8894" s="16" t="s">
        <v>9870</v>
      </c>
      <c r="E8894" s="55" t="s">
        <v>9870</v>
      </c>
      <c r="F8894" s="16" t="s">
        <v>9872</v>
      </c>
      <c r="G8894" s="16" t="s">
        <v>605</v>
      </c>
      <c r="H8894" s="54">
        <v>0.7</v>
      </c>
      <c r="I8894" s="16">
        <v>470000000</v>
      </c>
      <c r="J8894" s="16" t="s">
        <v>229</v>
      </c>
      <c r="K8894" s="6" t="s">
        <v>8901</v>
      </c>
      <c r="L8894" s="16" t="s">
        <v>9737</v>
      </c>
      <c r="M8894" s="3"/>
      <c r="N8894" s="65" t="s">
        <v>9488</v>
      </c>
      <c r="O8894" s="162" t="s">
        <v>9567</v>
      </c>
      <c r="P8894" s="3"/>
      <c r="Q8894" s="6"/>
      <c r="R8894" s="6"/>
      <c r="S8894" s="92"/>
      <c r="T8894" s="1">
        <v>509947</v>
      </c>
      <c r="U8894" s="1">
        <f t="shared" si="642"/>
        <v>571140.64</v>
      </c>
      <c r="V8894" s="4"/>
      <c r="W8894" s="3">
        <v>2014</v>
      </c>
      <c r="X8894" s="3"/>
    </row>
    <row r="8895" spans="1:24" ht="127.5">
      <c r="A8895" s="3" t="s">
        <v>11293</v>
      </c>
      <c r="B8895" s="6" t="s">
        <v>361</v>
      </c>
      <c r="C8895" s="55" t="s">
        <v>9869</v>
      </c>
      <c r="D8895" s="16" t="s">
        <v>9870</v>
      </c>
      <c r="E8895" s="55" t="s">
        <v>9870</v>
      </c>
      <c r="F8895" s="16" t="s">
        <v>9873</v>
      </c>
      <c r="G8895" s="16" t="s">
        <v>605</v>
      </c>
      <c r="H8895" s="54">
        <v>0.7</v>
      </c>
      <c r="I8895" s="16">
        <v>470000000</v>
      </c>
      <c r="J8895" s="16" t="s">
        <v>229</v>
      </c>
      <c r="K8895" s="6" t="s">
        <v>8901</v>
      </c>
      <c r="L8895" s="16" t="s">
        <v>9874</v>
      </c>
      <c r="M8895" s="3"/>
      <c r="N8895" s="65" t="s">
        <v>9488</v>
      </c>
      <c r="O8895" s="162" t="s">
        <v>9567</v>
      </c>
      <c r="P8895" s="3"/>
      <c r="Q8895" s="6"/>
      <c r="R8895" s="6"/>
      <c r="S8895" s="92"/>
      <c r="T8895" s="1">
        <v>259710</v>
      </c>
      <c r="U8895" s="1">
        <f t="shared" si="642"/>
        <v>290875.2</v>
      </c>
      <c r="V8895" s="4"/>
      <c r="W8895" s="3">
        <v>2014</v>
      </c>
      <c r="X8895" s="3"/>
    </row>
    <row r="8896" spans="1:24" ht="102">
      <c r="A8896" s="3" t="s">
        <v>11294</v>
      </c>
      <c r="B8896" s="6" t="s">
        <v>361</v>
      </c>
      <c r="C8896" s="55" t="s">
        <v>9869</v>
      </c>
      <c r="D8896" s="16" t="s">
        <v>9870</v>
      </c>
      <c r="E8896" s="55" t="s">
        <v>9870</v>
      </c>
      <c r="F8896" s="16" t="s">
        <v>9875</v>
      </c>
      <c r="G8896" s="16" t="s">
        <v>605</v>
      </c>
      <c r="H8896" s="54">
        <v>0.7</v>
      </c>
      <c r="I8896" s="16">
        <v>470000000</v>
      </c>
      <c r="J8896" s="16" t="s">
        <v>229</v>
      </c>
      <c r="K8896" s="6" t="s">
        <v>8901</v>
      </c>
      <c r="L8896" s="16" t="s">
        <v>621</v>
      </c>
      <c r="M8896" s="3"/>
      <c r="N8896" s="65" t="s">
        <v>9488</v>
      </c>
      <c r="O8896" s="162" t="s">
        <v>9567</v>
      </c>
      <c r="P8896" s="3"/>
      <c r="Q8896" s="6"/>
      <c r="R8896" s="6"/>
      <c r="S8896" s="92"/>
      <c r="T8896" s="1">
        <v>383234</v>
      </c>
      <c r="U8896" s="1">
        <f t="shared" si="642"/>
        <v>429222.08</v>
      </c>
      <c r="V8896" s="4"/>
      <c r="W8896" s="3">
        <v>2014</v>
      </c>
      <c r="X8896" s="3"/>
    </row>
    <row r="8897" spans="1:24" ht="76.5">
      <c r="A8897" s="3" t="s">
        <v>11295</v>
      </c>
      <c r="B8897" s="6" t="s">
        <v>361</v>
      </c>
      <c r="C8897" s="16" t="s">
        <v>9876</v>
      </c>
      <c r="D8897" s="16" t="s">
        <v>9877</v>
      </c>
      <c r="E8897" s="16" t="s">
        <v>9878</v>
      </c>
      <c r="F8897" s="16" t="s">
        <v>9879</v>
      </c>
      <c r="G8897" s="16" t="s">
        <v>11450</v>
      </c>
      <c r="H8897" s="54">
        <v>0.7</v>
      </c>
      <c r="I8897" s="16">
        <v>470000000</v>
      </c>
      <c r="J8897" s="16" t="s">
        <v>229</v>
      </c>
      <c r="K8897" s="6" t="s">
        <v>9644</v>
      </c>
      <c r="L8897" s="16" t="s">
        <v>9735</v>
      </c>
      <c r="M8897" s="3"/>
      <c r="N8897" s="65" t="s">
        <v>9488</v>
      </c>
      <c r="O8897" s="162" t="s">
        <v>9851</v>
      </c>
      <c r="P8897" s="3"/>
      <c r="Q8897" s="3"/>
      <c r="R8897" s="3"/>
      <c r="S8897" s="3"/>
      <c r="T8897" s="4">
        <f t="shared" ref="T8897:U8904" si="643">S8897*1.12</f>
        <v>0</v>
      </c>
      <c r="U8897" s="4">
        <f t="shared" si="643"/>
        <v>0</v>
      </c>
      <c r="V8897" s="4"/>
      <c r="W8897" s="3">
        <v>2014</v>
      </c>
      <c r="X8897" s="3">
        <v>11</v>
      </c>
    </row>
    <row r="8898" spans="1:24" ht="76.5">
      <c r="A8898" s="3" t="s">
        <v>12465</v>
      </c>
      <c r="B8898" s="6" t="s">
        <v>361</v>
      </c>
      <c r="C8898" s="16" t="s">
        <v>9876</v>
      </c>
      <c r="D8898" s="16" t="s">
        <v>9877</v>
      </c>
      <c r="E8898" s="16" t="s">
        <v>9878</v>
      </c>
      <c r="F8898" s="16" t="s">
        <v>9879</v>
      </c>
      <c r="G8898" s="16" t="s">
        <v>11450</v>
      </c>
      <c r="H8898" s="54">
        <v>0.7</v>
      </c>
      <c r="I8898" s="16">
        <v>470000000</v>
      </c>
      <c r="J8898" s="16" t="s">
        <v>229</v>
      </c>
      <c r="K8898" s="6" t="s">
        <v>12466</v>
      </c>
      <c r="L8898" s="16" t="s">
        <v>9735</v>
      </c>
      <c r="M8898" s="3"/>
      <c r="N8898" s="65" t="s">
        <v>9488</v>
      </c>
      <c r="O8898" s="162" t="s">
        <v>9851</v>
      </c>
      <c r="P8898" s="3"/>
      <c r="Q8898" s="3"/>
      <c r="R8898" s="3"/>
      <c r="S8898" s="3"/>
      <c r="T8898" s="4">
        <v>0</v>
      </c>
      <c r="U8898" s="4">
        <f t="shared" si="643"/>
        <v>0</v>
      </c>
      <c r="V8898" s="4"/>
      <c r="W8898" s="3">
        <v>2014</v>
      </c>
      <c r="X8898" s="3">
        <v>20.21</v>
      </c>
    </row>
    <row r="8899" spans="1:24" ht="76.5">
      <c r="A8899" s="3" t="s">
        <v>15880</v>
      </c>
      <c r="B8899" s="6" t="s">
        <v>361</v>
      </c>
      <c r="C8899" s="16" t="s">
        <v>9876</v>
      </c>
      <c r="D8899" s="16" t="s">
        <v>9877</v>
      </c>
      <c r="E8899" s="16" t="s">
        <v>9878</v>
      </c>
      <c r="F8899" s="16" t="s">
        <v>9879</v>
      </c>
      <c r="G8899" s="16" t="s">
        <v>11450</v>
      </c>
      <c r="H8899" s="54">
        <v>0.7</v>
      </c>
      <c r="I8899" s="16">
        <v>470000000</v>
      </c>
      <c r="J8899" s="16" t="s">
        <v>229</v>
      </c>
      <c r="K8899" s="6" t="s">
        <v>12466</v>
      </c>
      <c r="L8899" s="16" t="s">
        <v>9735</v>
      </c>
      <c r="M8899" s="3"/>
      <c r="N8899" s="65" t="s">
        <v>9488</v>
      </c>
      <c r="O8899" s="162" t="s">
        <v>9851</v>
      </c>
      <c r="P8899" s="3"/>
      <c r="Q8899" s="3"/>
      <c r="R8899" s="3"/>
      <c r="S8899" s="3"/>
      <c r="T8899" s="4">
        <v>0</v>
      </c>
      <c r="U8899" s="4">
        <f t="shared" si="643"/>
        <v>0</v>
      </c>
      <c r="V8899" s="4"/>
      <c r="W8899" s="3">
        <v>2014</v>
      </c>
      <c r="X8899" s="3" t="s">
        <v>16437</v>
      </c>
    </row>
    <row r="8900" spans="1:24" ht="76.5">
      <c r="A8900" s="3" t="s">
        <v>16652</v>
      </c>
      <c r="B8900" s="6" t="s">
        <v>361</v>
      </c>
      <c r="C8900" s="16" t="s">
        <v>9876</v>
      </c>
      <c r="D8900" s="16" t="s">
        <v>9877</v>
      </c>
      <c r="E8900" s="16" t="s">
        <v>9878</v>
      </c>
      <c r="F8900" s="16" t="s">
        <v>9879</v>
      </c>
      <c r="G8900" s="16" t="s">
        <v>605</v>
      </c>
      <c r="H8900" s="54">
        <v>0.7</v>
      </c>
      <c r="I8900" s="16">
        <v>470000000</v>
      </c>
      <c r="J8900" s="16" t="s">
        <v>229</v>
      </c>
      <c r="K8900" s="6" t="s">
        <v>12466</v>
      </c>
      <c r="L8900" s="16" t="s">
        <v>9735</v>
      </c>
      <c r="M8900" s="3"/>
      <c r="N8900" s="65" t="s">
        <v>9488</v>
      </c>
      <c r="O8900" s="162" t="s">
        <v>9851</v>
      </c>
      <c r="P8900" s="3"/>
      <c r="Q8900" s="3"/>
      <c r="R8900" s="3"/>
      <c r="S8900" s="3"/>
      <c r="T8900" s="1">
        <v>419500</v>
      </c>
      <c r="U8900" s="1">
        <f t="shared" si="643"/>
        <v>469840.00000000006</v>
      </c>
      <c r="V8900" s="4"/>
      <c r="W8900" s="3">
        <v>2014</v>
      </c>
      <c r="X8900" s="3"/>
    </row>
    <row r="8901" spans="1:24" ht="76.5">
      <c r="A8901" s="3" t="s">
        <v>11296</v>
      </c>
      <c r="B8901" s="6" t="s">
        <v>361</v>
      </c>
      <c r="C8901" s="16" t="s">
        <v>9876</v>
      </c>
      <c r="D8901" s="16" t="s">
        <v>9877</v>
      </c>
      <c r="E8901" s="16" t="s">
        <v>9878</v>
      </c>
      <c r="F8901" s="16" t="s">
        <v>9879</v>
      </c>
      <c r="G8901" s="16" t="s">
        <v>11450</v>
      </c>
      <c r="H8901" s="54">
        <v>0.7</v>
      </c>
      <c r="I8901" s="16">
        <v>470000000</v>
      </c>
      <c r="J8901" s="16" t="s">
        <v>229</v>
      </c>
      <c r="K8901" s="6" t="s">
        <v>9644</v>
      </c>
      <c r="L8901" s="16" t="s">
        <v>9737</v>
      </c>
      <c r="M8901" s="3"/>
      <c r="N8901" s="65" t="s">
        <v>9488</v>
      </c>
      <c r="O8901" s="162" t="s">
        <v>9851</v>
      </c>
      <c r="P8901" s="3"/>
      <c r="Q8901" s="3"/>
      <c r="R8901" s="3"/>
      <c r="S8901" s="3"/>
      <c r="T8901" s="4">
        <v>0</v>
      </c>
      <c r="U8901" s="4">
        <f t="shared" si="643"/>
        <v>0</v>
      </c>
      <c r="V8901" s="4"/>
      <c r="W8901" s="3">
        <v>2014</v>
      </c>
      <c r="X8901" s="3">
        <v>11</v>
      </c>
    </row>
    <row r="8902" spans="1:24" ht="76.5">
      <c r="A8902" s="3" t="s">
        <v>12467</v>
      </c>
      <c r="B8902" s="6" t="s">
        <v>361</v>
      </c>
      <c r="C8902" s="16" t="s">
        <v>9876</v>
      </c>
      <c r="D8902" s="16" t="s">
        <v>9877</v>
      </c>
      <c r="E8902" s="16" t="s">
        <v>9878</v>
      </c>
      <c r="F8902" s="16" t="s">
        <v>9879</v>
      </c>
      <c r="G8902" s="16" t="s">
        <v>11450</v>
      </c>
      <c r="H8902" s="54">
        <v>0.7</v>
      </c>
      <c r="I8902" s="16">
        <v>470000000</v>
      </c>
      <c r="J8902" s="16" t="s">
        <v>229</v>
      </c>
      <c r="K8902" s="6" t="s">
        <v>12466</v>
      </c>
      <c r="L8902" s="16" t="s">
        <v>9737</v>
      </c>
      <c r="M8902" s="3"/>
      <c r="N8902" s="65" t="s">
        <v>9488</v>
      </c>
      <c r="O8902" s="162" t="s">
        <v>9851</v>
      </c>
      <c r="P8902" s="3"/>
      <c r="Q8902" s="3"/>
      <c r="R8902" s="3"/>
      <c r="S8902" s="3"/>
      <c r="T8902" s="4">
        <v>0</v>
      </c>
      <c r="U8902" s="4">
        <f t="shared" si="643"/>
        <v>0</v>
      </c>
      <c r="V8902" s="4"/>
      <c r="W8902" s="3">
        <v>2014</v>
      </c>
      <c r="X8902" s="3">
        <v>20.21</v>
      </c>
    </row>
    <row r="8903" spans="1:24" ht="76.5">
      <c r="A8903" s="3" t="s">
        <v>15881</v>
      </c>
      <c r="B8903" s="6" t="s">
        <v>361</v>
      </c>
      <c r="C8903" s="16" t="s">
        <v>9876</v>
      </c>
      <c r="D8903" s="16" t="s">
        <v>9877</v>
      </c>
      <c r="E8903" s="16" t="s">
        <v>9878</v>
      </c>
      <c r="F8903" s="16" t="s">
        <v>9879</v>
      </c>
      <c r="G8903" s="16" t="s">
        <v>11450</v>
      </c>
      <c r="H8903" s="54">
        <v>0.7</v>
      </c>
      <c r="I8903" s="16">
        <v>470000000</v>
      </c>
      <c r="J8903" s="16" t="s">
        <v>229</v>
      </c>
      <c r="K8903" s="6" t="s">
        <v>12466</v>
      </c>
      <c r="L8903" s="16" t="s">
        <v>9737</v>
      </c>
      <c r="M8903" s="3"/>
      <c r="N8903" s="65" t="s">
        <v>9488</v>
      </c>
      <c r="O8903" s="162" t="s">
        <v>9851</v>
      </c>
      <c r="P8903" s="3"/>
      <c r="Q8903" s="3"/>
      <c r="R8903" s="3"/>
      <c r="S8903" s="3"/>
      <c r="T8903" s="4">
        <v>0</v>
      </c>
      <c r="U8903" s="4">
        <f t="shared" si="643"/>
        <v>0</v>
      </c>
      <c r="V8903" s="4"/>
      <c r="W8903" s="3">
        <v>2014</v>
      </c>
      <c r="X8903" s="3" t="s">
        <v>16437</v>
      </c>
    </row>
    <row r="8904" spans="1:24" ht="76.5">
      <c r="A8904" s="3" t="s">
        <v>16651</v>
      </c>
      <c r="B8904" s="6" t="s">
        <v>361</v>
      </c>
      <c r="C8904" s="16" t="s">
        <v>9876</v>
      </c>
      <c r="D8904" s="16" t="s">
        <v>9877</v>
      </c>
      <c r="E8904" s="16" t="s">
        <v>9878</v>
      </c>
      <c r="F8904" s="16" t="s">
        <v>9879</v>
      </c>
      <c r="G8904" s="16" t="s">
        <v>605</v>
      </c>
      <c r="H8904" s="54">
        <v>0.7</v>
      </c>
      <c r="I8904" s="16">
        <v>470000000</v>
      </c>
      <c r="J8904" s="16" t="s">
        <v>229</v>
      </c>
      <c r="K8904" s="6" t="s">
        <v>12466</v>
      </c>
      <c r="L8904" s="16" t="s">
        <v>9737</v>
      </c>
      <c r="M8904" s="3"/>
      <c r="N8904" s="65" t="s">
        <v>9488</v>
      </c>
      <c r="O8904" s="162" t="s">
        <v>9851</v>
      </c>
      <c r="P8904" s="3"/>
      <c r="Q8904" s="3"/>
      <c r="R8904" s="3"/>
      <c r="S8904" s="3"/>
      <c r="T8904" s="1">
        <v>273500</v>
      </c>
      <c r="U8904" s="1">
        <f t="shared" si="643"/>
        <v>306320.00000000006</v>
      </c>
      <c r="V8904" s="4"/>
      <c r="W8904" s="3">
        <v>2014</v>
      </c>
      <c r="X8904" s="3"/>
    </row>
    <row r="8905" spans="1:24" ht="76.5">
      <c r="A8905" s="3" t="s">
        <v>11297</v>
      </c>
      <c r="B8905" s="6" t="s">
        <v>361</v>
      </c>
      <c r="C8905" s="16" t="s">
        <v>9880</v>
      </c>
      <c r="D8905" s="16" t="s">
        <v>9877</v>
      </c>
      <c r="E8905" s="16" t="s">
        <v>9881</v>
      </c>
      <c r="F8905" s="6" t="s">
        <v>9882</v>
      </c>
      <c r="G8905" s="16" t="s">
        <v>11450</v>
      </c>
      <c r="H8905" s="54">
        <v>0.7</v>
      </c>
      <c r="I8905" s="16">
        <v>470000000</v>
      </c>
      <c r="J8905" s="16" t="s">
        <v>229</v>
      </c>
      <c r="K8905" s="6" t="s">
        <v>9644</v>
      </c>
      <c r="L8905" s="16" t="s">
        <v>9735</v>
      </c>
      <c r="M8905" s="3"/>
      <c r="N8905" s="65" t="s">
        <v>9488</v>
      </c>
      <c r="O8905" s="162" t="s">
        <v>9851</v>
      </c>
      <c r="P8905" s="3"/>
      <c r="Q8905" s="3"/>
      <c r="R8905" s="3"/>
      <c r="S8905" s="3"/>
      <c r="T8905" s="4">
        <v>0</v>
      </c>
      <c r="U8905" s="4">
        <f t="shared" si="642"/>
        <v>0</v>
      </c>
      <c r="V8905" s="4"/>
      <c r="W8905" s="3">
        <v>2014</v>
      </c>
      <c r="X8905" s="3"/>
    </row>
    <row r="8906" spans="1:24" ht="76.5">
      <c r="A8906" s="3" t="s">
        <v>12468</v>
      </c>
      <c r="B8906" s="6" t="s">
        <v>361</v>
      </c>
      <c r="C8906" s="16" t="s">
        <v>9880</v>
      </c>
      <c r="D8906" s="16" t="s">
        <v>9877</v>
      </c>
      <c r="E8906" s="16" t="s">
        <v>9881</v>
      </c>
      <c r="F8906" s="6" t="s">
        <v>9882</v>
      </c>
      <c r="G8906" s="16" t="s">
        <v>11450</v>
      </c>
      <c r="H8906" s="54">
        <v>0.7</v>
      </c>
      <c r="I8906" s="16">
        <v>470000000</v>
      </c>
      <c r="J8906" s="16" t="s">
        <v>229</v>
      </c>
      <c r="K8906" s="6" t="s">
        <v>12466</v>
      </c>
      <c r="L8906" s="16" t="s">
        <v>9735</v>
      </c>
      <c r="M8906" s="3"/>
      <c r="N8906" s="65" t="s">
        <v>9488</v>
      </c>
      <c r="O8906" s="162" t="s">
        <v>9851</v>
      </c>
      <c r="P8906" s="3"/>
      <c r="Q8906" s="3"/>
      <c r="R8906" s="3"/>
      <c r="S8906" s="3"/>
      <c r="T8906" s="4">
        <v>0</v>
      </c>
      <c r="U8906" s="4">
        <f>T8906*1.12</f>
        <v>0</v>
      </c>
      <c r="V8906" s="4"/>
      <c r="W8906" s="3">
        <v>2014</v>
      </c>
      <c r="X8906" s="3" t="s">
        <v>16437</v>
      </c>
    </row>
    <row r="8907" spans="1:24" ht="76.5">
      <c r="A8907" s="3" t="s">
        <v>16649</v>
      </c>
      <c r="B8907" s="6" t="s">
        <v>361</v>
      </c>
      <c r="C8907" s="16" t="s">
        <v>9880</v>
      </c>
      <c r="D8907" s="16" t="s">
        <v>9877</v>
      </c>
      <c r="E8907" s="16" t="s">
        <v>9881</v>
      </c>
      <c r="F8907" s="6" t="s">
        <v>9882</v>
      </c>
      <c r="G8907" s="16" t="s">
        <v>605</v>
      </c>
      <c r="H8907" s="54">
        <v>0.7</v>
      </c>
      <c r="I8907" s="16">
        <v>470000000</v>
      </c>
      <c r="J8907" s="16" t="s">
        <v>229</v>
      </c>
      <c r="K8907" s="6" t="s">
        <v>12466</v>
      </c>
      <c r="L8907" s="16" t="s">
        <v>9735</v>
      </c>
      <c r="M8907" s="3"/>
      <c r="N8907" s="65" t="s">
        <v>9488</v>
      </c>
      <c r="O8907" s="162" t="s">
        <v>9851</v>
      </c>
      <c r="P8907" s="3"/>
      <c r="Q8907" s="3"/>
      <c r="R8907" s="3"/>
      <c r="S8907" s="3"/>
      <c r="T8907" s="1">
        <v>1682640</v>
      </c>
      <c r="U8907" s="1">
        <f>T8907*1.12</f>
        <v>1884556.8000000003</v>
      </c>
      <c r="V8907" s="4"/>
      <c r="W8907" s="3">
        <v>2014</v>
      </c>
      <c r="X8907" s="3"/>
    </row>
    <row r="8908" spans="1:24" ht="76.5">
      <c r="A8908" s="3" t="s">
        <v>11298</v>
      </c>
      <c r="B8908" s="6" t="s">
        <v>361</v>
      </c>
      <c r="C8908" s="16" t="s">
        <v>9880</v>
      </c>
      <c r="D8908" s="16" t="s">
        <v>9877</v>
      </c>
      <c r="E8908" s="16" t="s">
        <v>9881</v>
      </c>
      <c r="F8908" s="6" t="s">
        <v>9882</v>
      </c>
      <c r="G8908" s="16" t="s">
        <v>11450</v>
      </c>
      <c r="H8908" s="54">
        <v>0.7</v>
      </c>
      <c r="I8908" s="16">
        <v>470000000</v>
      </c>
      <c r="J8908" s="16" t="s">
        <v>229</v>
      </c>
      <c r="K8908" s="6" t="s">
        <v>9644</v>
      </c>
      <c r="L8908" s="16" t="s">
        <v>9737</v>
      </c>
      <c r="M8908" s="3"/>
      <c r="N8908" s="65" t="s">
        <v>9488</v>
      </c>
      <c r="O8908" s="162" t="s">
        <v>9851</v>
      </c>
      <c r="P8908" s="3"/>
      <c r="Q8908" s="3"/>
      <c r="R8908" s="3"/>
      <c r="S8908" s="3"/>
      <c r="T8908" s="4">
        <v>0</v>
      </c>
      <c r="U8908" s="4">
        <f t="shared" si="642"/>
        <v>0</v>
      </c>
      <c r="V8908" s="4"/>
      <c r="W8908" s="3">
        <v>2014</v>
      </c>
      <c r="X8908" s="3">
        <v>11</v>
      </c>
    </row>
    <row r="8909" spans="1:24" ht="76.5">
      <c r="A8909" s="3" t="s">
        <v>12469</v>
      </c>
      <c r="B8909" s="6" t="s">
        <v>361</v>
      </c>
      <c r="C8909" s="16" t="s">
        <v>9880</v>
      </c>
      <c r="D8909" s="16" t="s">
        <v>9877</v>
      </c>
      <c r="E8909" s="16" t="s">
        <v>9881</v>
      </c>
      <c r="F8909" s="6" t="s">
        <v>9882</v>
      </c>
      <c r="G8909" s="16" t="s">
        <v>11450</v>
      </c>
      <c r="H8909" s="54">
        <v>0.7</v>
      </c>
      <c r="I8909" s="16">
        <v>470000000</v>
      </c>
      <c r="J8909" s="16" t="s">
        <v>229</v>
      </c>
      <c r="K8909" s="6" t="s">
        <v>12466</v>
      </c>
      <c r="L8909" s="16" t="s">
        <v>9737</v>
      </c>
      <c r="M8909" s="3"/>
      <c r="N8909" s="65" t="s">
        <v>9488</v>
      </c>
      <c r="O8909" s="162" t="s">
        <v>9851</v>
      </c>
      <c r="P8909" s="3"/>
      <c r="Q8909" s="3"/>
      <c r="R8909" s="3"/>
      <c r="S8909" s="3"/>
      <c r="T8909" s="4">
        <v>0</v>
      </c>
      <c r="U8909" s="4">
        <f>T8909*1.12</f>
        <v>0</v>
      </c>
      <c r="V8909" s="4"/>
      <c r="W8909" s="3">
        <v>2014</v>
      </c>
      <c r="X8909" s="3" t="s">
        <v>16437</v>
      </c>
    </row>
    <row r="8910" spans="1:24" ht="76.5">
      <c r="A8910" s="3" t="s">
        <v>16650</v>
      </c>
      <c r="B8910" s="6" t="s">
        <v>361</v>
      </c>
      <c r="C8910" s="16" t="s">
        <v>9880</v>
      </c>
      <c r="D8910" s="16" t="s">
        <v>9877</v>
      </c>
      <c r="E8910" s="16" t="s">
        <v>9881</v>
      </c>
      <c r="F8910" s="6" t="s">
        <v>9882</v>
      </c>
      <c r="G8910" s="16" t="s">
        <v>605</v>
      </c>
      <c r="H8910" s="54">
        <v>0.7</v>
      </c>
      <c r="I8910" s="16">
        <v>470000000</v>
      </c>
      <c r="J8910" s="16" t="s">
        <v>229</v>
      </c>
      <c r="K8910" s="6" t="s">
        <v>12466</v>
      </c>
      <c r="L8910" s="16" t="s">
        <v>9737</v>
      </c>
      <c r="M8910" s="3"/>
      <c r="N8910" s="65" t="s">
        <v>9488</v>
      </c>
      <c r="O8910" s="162" t="s">
        <v>9851</v>
      </c>
      <c r="P8910" s="3"/>
      <c r="Q8910" s="3"/>
      <c r="R8910" s="3"/>
      <c r="S8910" s="3"/>
      <c r="T8910" s="1">
        <v>1121760</v>
      </c>
      <c r="U8910" s="1">
        <f>T8910*1.12</f>
        <v>1256371.2000000002</v>
      </c>
      <c r="V8910" s="4"/>
      <c r="W8910" s="3">
        <v>2014</v>
      </c>
      <c r="X8910" s="3"/>
    </row>
    <row r="8911" spans="1:24" ht="76.5">
      <c r="A8911" s="3" t="s">
        <v>11299</v>
      </c>
      <c r="B8911" s="6" t="s">
        <v>361</v>
      </c>
      <c r="C8911" s="16" t="s">
        <v>9883</v>
      </c>
      <c r="D8911" s="16" t="s">
        <v>9884</v>
      </c>
      <c r="E8911" s="16" t="s">
        <v>9884</v>
      </c>
      <c r="F8911" s="6" t="s">
        <v>9885</v>
      </c>
      <c r="G8911" s="16" t="s">
        <v>11449</v>
      </c>
      <c r="H8911" s="54">
        <v>0.7</v>
      </c>
      <c r="I8911" s="16">
        <v>470000000</v>
      </c>
      <c r="J8911" s="16" t="s">
        <v>229</v>
      </c>
      <c r="K8911" s="6" t="s">
        <v>8901</v>
      </c>
      <c r="L8911" s="16" t="s">
        <v>9735</v>
      </c>
      <c r="M8911" s="3"/>
      <c r="N8911" s="65" t="s">
        <v>9488</v>
      </c>
      <c r="O8911" s="162" t="s">
        <v>9567</v>
      </c>
      <c r="P8911" s="3"/>
      <c r="Q8911" s="3"/>
      <c r="R8911" s="3"/>
      <c r="S8911" s="3"/>
      <c r="T8911" s="4">
        <v>0</v>
      </c>
      <c r="U8911" s="4">
        <f t="shared" si="642"/>
        <v>0</v>
      </c>
      <c r="V8911" s="3" t="s">
        <v>610</v>
      </c>
      <c r="W8911" s="3">
        <v>2014</v>
      </c>
      <c r="X8911" s="3" t="s">
        <v>16437</v>
      </c>
    </row>
    <row r="8912" spans="1:24" ht="76.5">
      <c r="A8912" s="3" t="s">
        <v>16653</v>
      </c>
      <c r="B8912" s="6" t="s">
        <v>361</v>
      </c>
      <c r="C8912" s="16" t="s">
        <v>9883</v>
      </c>
      <c r="D8912" s="16" t="s">
        <v>9884</v>
      </c>
      <c r="E8912" s="16" t="s">
        <v>9884</v>
      </c>
      <c r="F8912" s="6" t="s">
        <v>9885</v>
      </c>
      <c r="G8912" s="16" t="s">
        <v>605</v>
      </c>
      <c r="H8912" s="54">
        <v>0.7</v>
      </c>
      <c r="I8912" s="16">
        <v>470000000</v>
      </c>
      <c r="J8912" s="16" t="s">
        <v>229</v>
      </c>
      <c r="K8912" s="6" t="s">
        <v>8901</v>
      </c>
      <c r="L8912" s="16" t="s">
        <v>9735</v>
      </c>
      <c r="M8912" s="3"/>
      <c r="N8912" s="65" t="s">
        <v>9488</v>
      </c>
      <c r="O8912" s="162" t="s">
        <v>9567</v>
      </c>
      <c r="P8912" s="3"/>
      <c r="Q8912" s="3"/>
      <c r="R8912" s="3"/>
      <c r="S8912" s="3"/>
      <c r="T8912" s="1">
        <v>10512000</v>
      </c>
      <c r="U8912" s="1">
        <f t="shared" si="642"/>
        <v>11773440.000000002</v>
      </c>
      <c r="V8912" s="3" t="s">
        <v>610</v>
      </c>
      <c r="W8912" s="3">
        <v>2014</v>
      </c>
      <c r="X8912" s="3"/>
    </row>
    <row r="8913" spans="1:24" ht="114.75">
      <c r="A8913" s="3" t="s">
        <v>11300</v>
      </c>
      <c r="B8913" s="6" t="s">
        <v>361</v>
      </c>
      <c r="C8913" s="16" t="s">
        <v>9886</v>
      </c>
      <c r="D8913" s="16" t="s">
        <v>9887</v>
      </c>
      <c r="E8913" s="16" t="s">
        <v>9887</v>
      </c>
      <c r="F8913" s="6" t="s">
        <v>9888</v>
      </c>
      <c r="G8913" s="16" t="s">
        <v>605</v>
      </c>
      <c r="H8913" s="54">
        <v>0.7</v>
      </c>
      <c r="I8913" s="16">
        <v>470000000</v>
      </c>
      <c r="J8913" s="16" t="s">
        <v>229</v>
      </c>
      <c r="K8913" s="6" t="s">
        <v>8901</v>
      </c>
      <c r="L8913" s="16" t="s">
        <v>639</v>
      </c>
      <c r="M8913" s="3"/>
      <c r="N8913" s="65" t="s">
        <v>9488</v>
      </c>
      <c r="O8913" s="162" t="s">
        <v>9567</v>
      </c>
      <c r="P8913" s="3"/>
      <c r="Q8913" s="3"/>
      <c r="R8913" s="3"/>
      <c r="S8913" s="3"/>
      <c r="T8913" s="1">
        <v>5400500</v>
      </c>
      <c r="U8913" s="1">
        <f t="shared" si="642"/>
        <v>6048560.0000000009</v>
      </c>
      <c r="V8913" s="3" t="s">
        <v>610</v>
      </c>
      <c r="W8913" s="3">
        <v>2014</v>
      </c>
      <c r="X8913" s="3"/>
    </row>
    <row r="8914" spans="1:24" ht="114.75">
      <c r="A8914" s="3" t="s">
        <v>11301</v>
      </c>
      <c r="B8914" s="6" t="s">
        <v>361</v>
      </c>
      <c r="C8914" s="16" t="s">
        <v>9886</v>
      </c>
      <c r="D8914" s="16" t="s">
        <v>9887</v>
      </c>
      <c r="E8914" s="16" t="s">
        <v>9887</v>
      </c>
      <c r="F8914" s="6" t="s">
        <v>9889</v>
      </c>
      <c r="G8914" s="16" t="s">
        <v>605</v>
      </c>
      <c r="H8914" s="54">
        <v>0.7</v>
      </c>
      <c r="I8914" s="16">
        <v>470000000</v>
      </c>
      <c r="J8914" s="16" t="s">
        <v>229</v>
      </c>
      <c r="K8914" s="6" t="s">
        <v>8901</v>
      </c>
      <c r="L8914" s="16" t="s">
        <v>639</v>
      </c>
      <c r="M8914" s="3"/>
      <c r="N8914" s="65" t="s">
        <v>9488</v>
      </c>
      <c r="O8914" s="162" t="s">
        <v>9567</v>
      </c>
      <c r="P8914" s="3"/>
      <c r="Q8914" s="6"/>
      <c r="R8914" s="3"/>
      <c r="S8914" s="3"/>
      <c r="T8914" s="1">
        <v>2195945</v>
      </c>
      <c r="U8914" s="1">
        <f t="shared" si="642"/>
        <v>2459458.4000000004</v>
      </c>
      <c r="V8914" s="3" t="s">
        <v>610</v>
      </c>
      <c r="W8914" s="3">
        <v>2014</v>
      </c>
      <c r="X8914" s="3"/>
    </row>
    <row r="8915" spans="1:24" ht="102">
      <c r="A8915" s="3" t="s">
        <v>11302</v>
      </c>
      <c r="B8915" s="6" t="s">
        <v>361</v>
      </c>
      <c r="C8915" s="16" t="s">
        <v>9890</v>
      </c>
      <c r="D8915" s="16" t="s">
        <v>9891</v>
      </c>
      <c r="E8915" s="16" t="s">
        <v>9891</v>
      </c>
      <c r="F8915" s="6" t="s">
        <v>9892</v>
      </c>
      <c r="G8915" s="198" t="s">
        <v>11449</v>
      </c>
      <c r="H8915" s="67">
        <v>0.7</v>
      </c>
      <c r="I8915" s="16">
        <v>470000000</v>
      </c>
      <c r="J8915" s="16" t="s">
        <v>229</v>
      </c>
      <c r="K8915" s="6" t="s">
        <v>11451</v>
      </c>
      <c r="L8915" s="16" t="s">
        <v>621</v>
      </c>
      <c r="M8915" s="79"/>
      <c r="N8915" s="84" t="s">
        <v>9893</v>
      </c>
      <c r="O8915" s="162" t="s">
        <v>9851</v>
      </c>
      <c r="P8915" s="79"/>
      <c r="Q8915" s="79"/>
      <c r="R8915" s="79"/>
      <c r="S8915" s="79"/>
      <c r="T8915" s="4">
        <v>0</v>
      </c>
      <c r="U8915" s="4">
        <f t="shared" si="642"/>
        <v>0</v>
      </c>
      <c r="V8915" s="4"/>
      <c r="W8915" s="3">
        <v>2014</v>
      </c>
      <c r="X8915" s="3">
        <v>11</v>
      </c>
    </row>
    <row r="8916" spans="1:24" ht="102">
      <c r="A8916" s="3" t="s">
        <v>12035</v>
      </c>
      <c r="B8916" s="6" t="s">
        <v>361</v>
      </c>
      <c r="C8916" s="16" t="s">
        <v>9890</v>
      </c>
      <c r="D8916" s="16" t="s">
        <v>9891</v>
      </c>
      <c r="E8916" s="16" t="s">
        <v>9891</v>
      </c>
      <c r="F8916" s="6" t="s">
        <v>9892</v>
      </c>
      <c r="G8916" s="198" t="s">
        <v>11449</v>
      </c>
      <c r="H8916" s="67">
        <v>0.7</v>
      </c>
      <c r="I8916" s="16">
        <v>470000000</v>
      </c>
      <c r="J8916" s="16" t="s">
        <v>229</v>
      </c>
      <c r="K8916" s="6" t="s">
        <v>12036</v>
      </c>
      <c r="L8916" s="16" t="s">
        <v>621</v>
      </c>
      <c r="M8916" s="79"/>
      <c r="N8916" s="84" t="s">
        <v>9893</v>
      </c>
      <c r="O8916" s="162" t="s">
        <v>9851</v>
      </c>
      <c r="P8916" s="79"/>
      <c r="Q8916" s="79"/>
      <c r="R8916" s="79"/>
      <c r="S8916" s="79"/>
      <c r="T8916" s="1">
        <v>105048000</v>
      </c>
      <c r="U8916" s="218">
        <f>T8916*1.12</f>
        <v>117653760.00000001</v>
      </c>
      <c r="V8916" s="4"/>
      <c r="W8916" s="3">
        <v>2014</v>
      </c>
      <c r="X8916" s="3"/>
    </row>
    <row r="8917" spans="1:24" ht="89.25">
      <c r="A8917" s="3" t="s">
        <v>11303</v>
      </c>
      <c r="B8917" s="6" t="s">
        <v>361</v>
      </c>
      <c r="C8917" s="16" t="s">
        <v>9894</v>
      </c>
      <c r="D8917" s="16" t="s">
        <v>9895</v>
      </c>
      <c r="E8917" s="16" t="s">
        <v>9895</v>
      </c>
      <c r="F8917" s="6" t="s">
        <v>9896</v>
      </c>
      <c r="G8917" s="198" t="s">
        <v>11449</v>
      </c>
      <c r="H8917" s="54">
        <v>0.7</v>
      </c>
      <c r="I8917" s="16">
        <v>470000000</v>
      </c>
      <c r="J8917" s="16" t="s">
        <v>229</v>
      </c>
      <c r="K8917" s="6" t="s">
        <v>9660</v>
      </c>
      <c r="L8917" s="16" t="s">
        <v>9735</v>
      </c>
      <c r="M8917" s="3"/>
      <c r="N8917" s="84" t="s">
        <v>9893</v>
      </c>
      <c r="O8917" s="162" t="s">
        <v>9851</v>
      </c>
      <c r="P8917" s="3"/>
      <c r="Q8917" s="3"/>
      <c r="R8917" s="3"/>
      <c r="S8917" s="3"/>
      <c r="T8917" s="4">
        <v>0</v>
      </c>
      <c r="U8917" s="4">
        <f t="shared" si="642"/>
        <v>0</v>
      </c>
      <c r="V8917" s="3" t="s">
        <v>610</v>
      </c>
      <c r="W8917" s="3">
        <v>2014</v>
      </c>
      <c r="X8917" s="3">
        <v>20.21</v>
      </c>
    </row>
    <row r="8918" spans="1:24" ht="89.25">
      <c r="A8918" s="3" t="s">
        <v>16424</v>
      </c>
      <c r="B8918" s="6" t="s">
        <v>361</v>
      </c>
      <c r="C8918" s="16" t="s">
        <v>9894</v>
      </c>
      <c r="D8918" s="16" t="s">
        <v>9895</v>
      </c>
      <c r="E8918" s="16" t="s">
        <v>9895</v>
      </c>
      <c r="F8918" s="6" t="s">
        <v>9896</v>
      </c>
      <c r="G8918" s="198" t="s">
        <v>11449</v>
      </c>
      <c r="H8918" s="54">
        <v>0.7</v>
      </c>
      <c r="I8918" s="16">
        <v>470000000</v>
      </c>
      <c r="J8918" s="16" t="s">
        <v>229</v>
      </c>
      <c r="K8918" s="6" t="s">
        <v>9660</v>
      </c>
      <c r="L8918" s="16" t="s">
        <v>9735</v>
      </c>
      <c r="M8918" s="3"/>
      <c r="N8918" s="84" t="s">
        <v>9893</v>
      </c>
      <c r="O8918" s="162" t="s">
        <v>9851</v>
      </c>
      <c r="P8918" s="3"/>
      <c r="Q8918" s="3"/>
      <c r="R8918" s="3"/>
      <c r="S8918" s="3"/>
      <c r="T8918" s="1">
        <v>28540231.199999999</v>
      </c>
      <c r="U8918" s="1">
        <f t="shared" si="642"/>
        <v>31965058.944000002</v>
      </c>
      <c r="V8918" s="3" t="s">
        <v>610</v>
      </c>
      <c r="W8918" s="3">
        <v>2014</v>
      </c>
      <c r="X8918" s="3"/>
    </row>
    <row r="8919" spans="1:24" ht="89.25">
      <c r="A8919" s="3" t="s">
        <v>11304</v>
      </c>
      <c r="B8919" s="6" t="s">
        <v>361</v>
      </c>
      <c r="C8919" s="16" t="s">
        <v>9894</v>
      </c>
      <c r="D8919" s="16" t="s">
        <v>9895</v>
      </c>
      <c r="E8919" s="16" t="s">
        <v>9895</v>
      </c>
      <c r="F8919" s="6" t="s">
        <v>9897</v>
      </c>
      <c r="G8919" s="198" t="s">
        <v>11449</v>
      </c>
      <c r="H8919" s="54">
        <v>0.7</v>
      </c>
      <c r="I8919" s="16">
        <v>470000000</v>
      </c>
      <c r="J8919" s="16" t="s">
        <v>229</v>
      </c>
      <c r="K8919" s="6" t="s">
        <v>9660</v>
      </c>
      <c r="L8919" s="16" t="s">
        <v>9737</v>
      </c>
      <c r="M8919" s="3"/>
      <c r="N8919" s="84" t="s">
        <v>9893</v>
      </c>
      <c r="O8919" s="162" t="s">
        <v>9851</v>
      </c>
      <c r="P8919" s="3"/>
      <c r="Q8919" s="3"/>
      <c r="R8919" s="3"/>
      <c r="S8919" s="3"/>
      <c r="T8919" s="4">
        <v>0</v>
      </c>
      <c r="U8919" s="4">
        <f t="shared" si="642"/>
        <v>0</v>
      </c>
      <c r="V8919" s="3" t="s">
        <v>610</v>
      </c>
      <c r="W8919" s="3">
        <v>2014</v>
      </c>
      <c r="X8919" s="3">
        <v>20.21</v>
      </c>
    </row>
    <row r="8920" spans="1:24" ht="89.25">
      <c r="A8920" s="3" t="s">
        <v>16425</v>
      </c>
      <c r="B8920" s="6" t="s">
        <v>361</v>
      </c>
      <c r="C8920" s="16" t="s">
        <v>9894</v>
      </c>
      <c r="D8920" s="16" t="s">
        <v>9895</v>
      </c>
      <c r="E8920" s="16" t="s">
        <v>9895</v>
      </c>
      <c r="F8920" s="6" t="s">
        <v>9897</v>
      </c>
      <c r="G8920" s="198" t="s">
        <v>11449</v>
      </c>
      <c r="H8920" s="54">
        <v>0.7</v>
      </c>
      <c r="I8920" s="16">
        <v>470000000</v>
      </c>
      <c r="J8920" s="16" t="s">
        <v>229</v>
      </c>
      <c r="K8920" s="6" t="s">
        <v>9660</v>
      </c>
      <c r="L8920" s="16" t="s">
        <v>9737</v>
      </c>
      <c r="M8920" s="3"/>
      <c r="N8920" s="84" t="s">
        <v>9893</v>
      </c>
      <c r="O8920" s="162" t="s">
        <v>9851</v>
      </c>
      <c r="P8920" s="3"/>
      <c r="Q8920" s="3"/>
      <c r="R8920" s="3"/>
      <c r="S8920" s="3"/>
      <c r="T8920" s="1">
        <v>27181720.800000001</v>
      </c>
      <c r="U8920" s="1">
        <f t="shared" si="642"/>
        <v>30443527.296000004</v>
      </c>
      <c r="V8920" s="3" t="s">
        <v>610</v>
      </c>
      <c r="W8920" s="3">
        <v>2014</v>
      </c>
      <c r="X8920" s="3"/>
    </row>
    <row r="8921" spans="1:24" ht="89.25">
      <c r="A8921" s="3" t="s">
        <v>11305</v>
      </c>
      <c r="B8921" s="6" t="s">
        <v>361</v>
      </c>
      <c r="C8921" s="16" t="s">
        <v>9894</v>
      </c>
      <c r="D8921" s="16" t="s">
        <v>9895</v>
      </c>
      <c r="E8921" s="16" t="s">
        <v>9895</v>
      </c>
      <c r="F8921" s="6" t="s">
        <v>9898</v>
      </c>
      <c r="G8921" s="198" t="s">
        <v>11449</v>
      </c>
      <c r="H8921" s="54">
        <v>0.7</v>
      </c>
      <c r="I8921" s="16">
        <v>470000000</v>
      </c>
      <c r="J8921" s="16" t="s">
        <v>229</v>
      </c>
      <c r="K8921" s="6" t="s">
        <v>9660</v>
      </c>
      <c r="L8921" s="16" t="s">
        <v>621</v>
      </c>
      <c r="M8921" s="3"/>
      <c r="N8921" s="84" t="s">
        <v>9893</v>
      </c>
      <c r="O8921" s="162" t="s">
        <v>9851</v>
      </c>
      <c r="P8921" s="3"/>
      <c r="Q8921" s="3"/>
      <c r="R8921" s="3"/>
      <c r="S8921" s="3"/>
      <c r="T8921" s="1">
        <v>12222165.599999998</v>
      </c>
      <c r="U8921" s="1">
        <f t="shared" si="642"/>
        <v>13688825.471999999</v>
      </c>
      <c r="V8921" s="3" t="s">
        <v>610</v>
      </c>
      <c r="W8921" s="3">
        <v>2014</v>
      </c>
      <c r="X8921" s="3"/>
    </row>
    <row r="8922" spans="1:24" ht="102">
      <c r="A8922" s="3" t="s">
        <v>11306</v>
      </c>
      <c r="B8922" s="6" t="s">
        <v>361</v>
      </c>
      <c r="C8922" s="16" t="s">
        <v>9899</v>
      </c>
      <c r="D8922" s="16" t="s">
        <v>9900</v>
      </c>
      <c r="E8922" s="16" t="s">
        <v>9900</v>
      </c>
      <c r="F8922" s="6" t="s">
        <v>9901</v>
      </c>
      <c r="G8922" s="198" t="s">
        <v>11449</v>
      </c>
      <c r="H8922" s="54">
        <v>0.7</v>
      </c>
      <c r="I8922" s="16">
        <v>470000000</v>
      </c>
      <c r="J8922" s="16" t="s">
        <v>229</v>
      </c>
      <c r="K8922" s="6" t="s">
        <v>9660</v>
      </c>
      <c r="L8922" s="16" t="s">
        <v>9902</v>
      </c>
      <c r="M8922" s="3"/>
      <c r="N8922" s="84" t="s">
        <v>9893</v>
      </c>
      <c r="O8922" s="162" t="s">
        <v>9851</v>
      </c>
      <c r="P8922" s="3"/>
      <c r="Q8922" s="3"/>
      <c r="R8922" s="3"/>
      <c r="S8922" s="3"/>
      <c r="T8922" s="1">
        <v>88798834.5</v>
      </c>
      <c r="U8922" s="1">
        <f t="shared" si="642"/>
        <v>99454694.640000015</v>
      </c>
      <c r="V8922" s="4"/>
      <c r="W8922" s="3">
        <v>2014</v>
      </c>
      <c r="X8922" s="3"/>
    </row>
    <row r="8923" spans="1:24" ht="140.25">
      <c r="A8923" s="3" t="s">
        <v>11307</v>
      </c>
      <c r="B8923" s="6" t="s">
        <v>361</v>
      </c>
      <c r="C8923" s="16" t="s">
        <v>9899</v>
      </c>
      <c r="D8923" s="16" t="s">
        <v>9900</v>
      </c>
      <c r="E8923" s="16" t="s">
        <v>9900</v>
      </c>
      <c r="F8923" s="6" t="s">
        <v>9903</v>
      </c>
      <c r="G8923" s="198" t="s">
        <v>11449</v>
      </c>
      <c r="H8923" s="54">
        <v>0.7</v>
      </c>
      <c r="I8923" s="16">
        <v>470000000</v>
      </c>
      <c r="J8923" s="16" t="s">
        <v>229</v>
      </c>
      <c r="K8923" s="6" t="s">
        <v>9660</v>
      </c>
      <c r="L8923" s="16" t="s">
        <v>9735</v>
      </c>
      <c r="M8923" s="3"/>
      <c r="N8923" s="84" t="s">
        <v>9893</v>
      </c>
      <c r="O8923" s="162" t="s">
        <v>9851</v>
      </c>
      <c r="P8923" s="3"/>
      <c r="Q8923" s="3"/>
      <c r="R8923" s="3"/>
      <c r="S8923" s="3"/>
      <c r="T8923" s="1">
        <v>404300458.49999994</v>
      </c>
      <c r="U8923" s="1">
        <f t="shared" si="642"/>
        <v>452816513.51999998</v>
      </c>
      <c r="V8923" s="4"/>
      <c r="W8923" s="3">
        <v>2014</v>
      </c>
      <c r="X8923" s="3"/>
    </row>
    <row r="8924" spans="1:24" ht="140.25">
      <c r="A8924" s="3" t="s">
        <v>11308</v>
      </c>
      <c r="B8924" s="6" t="s">
        <v>361</v>
      </c>
      <c r="C8924" s="16" t="s">
        <v>9899</v>
      </c>
      <c r="D8924" s="16" t="s">
        <v>9900</v>
      </c>
      <c r="E8924" s="16" t="s">
        <v>9900</v>
      </c>
      <c r="F8924" s="6" t="s">
        <v>9904</v>
      </c>
      <c r="G8924" s="198" t="s">
        <v>11449</v>
      </c>
      <c r="H8924" s="54">
        <v>0.7</v>
      </c>
      <c r="I8924" s="16">
        <v>470000000</v>
      </c>
      <c r="J8924" s="16" t="s">
        <v>229</v>
      </c>
      <c r="K8924" s="6" t="s">
        <v>9660</v>
      </c>
      <c r="L8924" s="16" t="s">
        <v>9737</v>
      </c>
      <c r="M8924" s="3"/>
      <c r="N8924" s="84" t="s">
        <v>9893</v>
      </c>
      <c r="O8924" s="162" t="s">
        <v>9851</v>
      </c>
      <c r="P8924" s="3"/>
      <c r="Q8924" s="3"/>
      <c r="R8924" s="3"/>
      <c r="S8924" s="3"/>
      <c r="T8924" s="1">
        <v>356090545.50000006</v>
      </c>
      <c r="U8924" s="1">
        <f t="shared" si="642"/>
        <v>398821410.9600001</v>
      </c>
      <c r="V8924" s="4"/>
      <c r="W8924" s="3">
        <v>2014</v>
      </c>
      <c r="X8924" s="3"/>
    </row>
    <row r="8925" spans="1:24" ht="89.25">
      <c r="A8925" s="3" t="s">
        <v>11309</v>
      </c>
      <c r="B8925" s="6" t="s">
        <v>361</v>
      </c>
      <c r="C8925" s="16" t="s">
        <v>9899</v>
      </c>
      <c r="D8925" s="16" t="s">
        <v>9900</v>
      </c>
      <c r="E8925" s="16" t="s">
        <v>9900</v>
      </c>
      <c r="F8925" s="6" t="s">
        <v>9905</v>
      </c>
      <c r="G8925" s="198" t="s">
        <v>11449</v>
      </c>
      <c r="H8925" s="54">
        <v>0.6</v>
      </c>
      <c r="I8925" s="16">
        <v>470000000</v>
      </c>
      <c r="J8925" s="16" t="s">
        <v>229</v>
      </c>
      <c r="K8925" s="6" t="s">
        <v>9660</v>
      </c>
      <c r="L8925" s="16" t="s">
        <v>9906</v>
      </c>
      <c r="M8925" s="3"/>
      <c r="N8925" s="84" t="s">
        <v>9893</v>
      </c>
      <c r="O8925" s="162" t="s">
        <v>9851</v>
      </c>
      <c r="P8925" s="3"/>
      <c r="Q8925" s="3"/>
      <c r="R8925" s="3"/>
      <c r="S8925" s="3"/>
      <c r="T8925" s="1">
        <v>15120000</v>
      </c>
      <c r="U8925" s="1">
        <f t="shared" si="642"/>
        <v>16934400</v>
      </c>
      <c r="V8925" s="4"/>
      <c r="W8925" s="3">
        <v>2014</v>
      </c>
      <c r="X8925" s="3"/>
    </row>
    <row r="8926" spans="1:24" ht="51">
      <c r="A8926" s="3" t="s">
        <v>11310</v>
      </c>
      <c r="B8926" s="6" t="s">
        <v>361</v>
      </c>
      <c r="C8926" s="16" t="s">
        <v>9907</v>
      </c>
      <c r="D8926" s="16" t="s">
        <v>9908</v>
      </c>
      <c r="E8926" s="16" t="s">
        <v>9908</v>
      </c>
      <c r="F8926" s="6" t="s">
        <v>9909</v>
      </c>
      <c r="G8926" s="16" t="s">
        <v>605</v>
      </c>
      <c r="H8926" s="54">
        <v>1</v>
      </c>
      <c r="I8926" s="16">
        <v>470000000</v>
      </c>
      <c r="J8926" s="16" t="s">
        <v>229</v>
      </c>
      <c r="K8926" s="6" t="s">
        <v>8901</v>
      </c>
      <c r="L8926" s="16" t="s">
        <v>621</v>
      </c>
      <c r="M8926" s="3"/>
      <c r="N8926" s="65" t="s">
        <v>9488</v>
      </c>
      <c r="O8926" s="16" t="s">
        <v>9910</v>
      </c>
      <c r="P8926" s="3"/>
      <c r="Q8926" s="3"/>
      <c r="R8926" s="3"/>
      <c r="S8926" s="3"/>
      <c r="T8926" s="1">
        <v>7000</v>
      </c>
      <c r="U8926" s="1">
        <f t="shared" si="642"/>
        <v>7840.0000000000009</v>
      </c>
      <c r="V8926" s="3" t="s">
        <v>610</v>
      </c>
      <c r="W8926" s="3">
        <v>2014</v>
      </c>
      <c r="X8926" s="3"/>
    </row>
    <row r="8927" spans="1:24" ht="89.25">
      <c r="A8927" s="3" t="s">
        <v>11311</v>
      </c>
      <c r="B8927" s="6" t="s">
        <v>361</v>
      </c>
      <c r="C8927" s="16" t="s">
        <v>9911</v>
      </c>
      <c r="D8927" s="16" t="s">
        <v>9912</v>
      </c>
      <c r="E8927" s="16" t="s">
        <v>9913</v>
      </c>
      <c r="F8927" s="6" t="s">
        <v>9914</v>
      </c>
      <c r="G8927" s="16" t="s">
        <v>605</v>
      </c>
      <c r="H8927" s="54">
        <v>1</v>
      </c>
      <c r="I8927" s="16">
        <v>470000000</v>
      </c>
      <c r="J8927" s="16" t="s">
        <v>229</v>
      </c>
      <c r="K8927" s="6" t="s">
        <v>8901</v>
      </c>
      <c r="L8927" s="16" t="s">
        <v>621</v>
      </c>
      <c r="M8927" s="3"/>
      <c r="N8927" s="65" t="s">
        <v>9488</v>
      </c>
      <c r="O8927" s="16" t="s">
        <v>9910</v>
      </c>
      <c r="P8927" s="3"/>
      <c r="Q8927" s="3"/>
      <c r="R8927" s="3"/>
      <c r="S8927" s="3"/>
      <c r="T8927" s="4">
        <v>0</v>
      </c>
      <c r="U8927" s="4">
        <f t="shared" si="642"/>
        <v>0</v>
      </c>
      <c r="V8927" s="3" t="s">
        <v>610</v>
      </c>
      <c r="W8927" s="3">
        <v>2014</v>
      </c>
      <c r="X8927" s="3">
        <v>20.21</v>
      </c>
    </row>
    <row r="8928" spans="1:24" ht="89.25">
      <c r="A8928" s="3" t="s">
        <v>17955</v>
      </c>
      <c r="B8928" s="6" t="s">
        <v>361</v>
      </c>
      <c r="C8928" s="16" t="s">
        <v>9911</v>
      </c>
      <c r="D8928" s="16" t="s">
        <v>9912</v>
      </c>
      <c r="E8928" s="16" t="s">
        <v>9913</v>
      </c>
      <c r="F8928" s="6" t="s">
        <v>9914</v>
      </c>
      <c r="G8928" s="16" t="s">
        <v>605</v>
      </c>
      <c r="H8928" s="54">
        <v>1</v>
      </c>
      <c r="I8928" s="16">
        <v>470000000</v>
      </c>
      <c r="J8928" s="16" t="s">
        <v>229</v>
      </c>
      <c r="K8928" s="6" t="s">
        <v>8901</v>
      </c>
      <c r="L8928" s="16" t="s">
        <v>621</v>
      </c>
      <c r="M8928" s="3"/>
      <c r="N8928" s="65" t="s">
        <v>9488</v>
      </c>
      <c r="O8928" s="16" t="s">
        <v>9910</v>
      </c>
      <c r="P8928" s="3"/>
      <c r="Q8928" s="3"/>
      <c r="R8928" s="3"/>
      <c r="S8928" s="3"/>
      <c r="T8928" s="1">
        <v>660714</v>
      </c>
      <c r="U8928" s="1">
        <f t="shared" si="642"/>
        <v>739999.68</v>
      </c>
      <c r="V8928" s="3" t="s">
        <v>610</v>
      </c>
      <c r="W8928" s="3">
        <v>2014</v>
      </c>
      <c r="X8928" s="3"/>
    </row>
    <row r="8929" spans="1:24" ht="114.75">
      <c r="A8929" s="3" t="s">
        <v>11312</v>
      </c>
      <c r="B8929" s="6" t="s">
        <v>361</v>
      </c>
      <c r="C8929" s="16" t="s">
        <v>9915</v>
      </c>
      <c r="D8929" s="16" t="s">
        <v>9916</v>
      </c>
      <c r="E8929" s="16" t="s">
        <v>9917</v>
      </c>
      <c r="F8929" s="6" t="s">
        <v>9918</v>
      </c>
      <c r="G8929" s="16" t="s">
        <v>605</v>
      </c>
      <c r="H8929" s="54">
        <v>1</v>
      </c>
      <c r="I8929" s="16">
        <v>470000000</v>
      </c>
      <c r="J8929" s="16" t="s">
        <v>229</v>
      </c>
      <c r="K8929" s="6" t="s">
        <v>8901</v>
      </c>
      <c r="L8929" s="16" t="s">
        <v>621</v>
      </c>
      <c r="M8929" s="3"/>
      <c r="N8929" s="65" t="s">
        <v>9488</v>
      </c>
      <c r="O8929" s="16" t="s">
        <v>9910</v>
      </c>
      <c r="P8929" s="3"/>
      <c r="Q8929" s="3"/>
      <c r="R8929" s="3"/>
      <c r="S8929" s="3"/>
      <c r="T8929" s="1">
        <v>299785</v>
      </c>
      <c r="U8929" s="1">
        <f t="shared" si="642"/>
        <v>335759.2</v>
      </c>
      <c r="V8929" s="3" t="s">
        <v>610</v>
      </c>
      <c r="W8929" s="3">
        <v>2014</v>
      </c>
      <c r="X8929" s="3"/>
    </row>
    <row r="8930" spans="1:24" ht="63.75">
      <c r="A8930" s="3" t="s">
        <v>11313</v>
      </c>
      <c r="B8930" s="6" t="s">
        <v>361</v>
      </c>
      <c r="C8930" s="52" t="s">
        <v>9919</v>
      </c>
      <c r="D8930" s="52" t="s">
        <v>11684</v>
      </c>
      <c r="E8930" s="52" t="s">
        <v>11684</v>
      </c>
      <c r="F8930" s="6" t="s">
        <v>9920</v>
      </c>
      <c r="G8930" s="16" t="s">
        <v>605</v>
      </c>
      <c r="H8930" s="54">
        <v>1</v>
      </c>
      <c r="I8930" s="16">
        <v>470000000</v>
      </c>
      <c r="J8930" s="16" t="s">
        <v>229</v>
      </c>
      <c r="K8930" s="6" t="s">
        <v>8901</v>
      </c>
      <c r="L8930" s="16" t="s">
        <v>621</v>
      </c>
      <c r="M8930" s="3"/>
      <c r="N8930" s="65" t="s">
        <v>9488</v>
      </c>
      <c r="O8930" s="16" t="s">
        <v>9910</v>
      </c>
      <c r="P8930" s="3"/>
      <c r="Q8930" s="3"/>
      <c r="R8930" s="3"/>
      <c r="S8930" s="3"/>
      <c r="T8930" s="1">
        <v>300000</v>
      </c>
      <c r="U8930" s="1">
        <f t="shared" si="642"/>
        <v>336000.00000000006</v>
      </c>
      <c r="V8930" s="4"/>
      <c r="W8930" s="3">
        <v>2014</v>
      </c>
      <c r="X8930" s="3"/>
    </row>
    <row r="8931" spans="1:24" ht="76.5">
      <c r="A8931" s="3" t="s">
        <v>11314</v>
      </c>
      <c r="B8931" s="6" t="s">
        <v>361</v>
      </c>
      <c r="C8931" s="16" t="s">
        <v>9921</v>
      </c>
      <c r="D8931" s="16" t="s">
        <v>9922</v>
      </c>
      <c r="E8931" s="16" t="s">
        <v>9923</v>
      </c>
      <c r="F8931" s="6" t="s">
        <v>9924</v>
      </c>
      <c r="G8931" s="16" t="s">
        <v>605</v>
      </c>
      <c r="H8931" s="54">
        <v>1</v>
      </c>
      <c r="I8931" s="16">
        <v>470000000</v>
      </c>
      <c r="J8931" s="16" t="s">
        <v>229</v>
      </c>
      <c r="K8931" s="6" t="s">
        <v>8901</v>
      </c>
      <c r="L8931" s="16" t="s">
        <v>621</v>
      </c>
      <c r="M8931" s="3"/>
      <c r="N8931" s="65" t="s">
        <v>9488</v>
      </c>
      <c r="O8931" s="162" t="s">
        <v>9851</v>
      </c>
      <c r="P8931" s="3"/>
      <c r="Q8931" s="3"/>
      <c r="R8931" s="3"/>
      <c r="S8931" s="3"/>
      <c r="T8931" s="1">
        <v>540000</v>
      </c>
      <c r="U8931" s="1">
        <f t="shared" si="642"/>
        <v>604800</v>
      </c>
      <c r="V8931" s="3" t="s">
        <v>610</v>
      </c>
      <c r="W8931" s="3">
        <v>2014</v>
      </c>
      <c r="X8931" s="3"/>
    </row>
    <row r="8932" spans="1:24" ht="63.75">
      <c r="A8932" s="3" t="s">
        <v>11315</v>
      </c>
      <c r="B8932" s="6" t="s">
        <v>361</v>
      </c>
      <c r="C8932" s="16" t="s">
        <v>9925</v>
      </c>
      <c r="D8932" s="16" t="s">
        <v>9926</v>
      </c>
      <c r="E8932" s="16" t="s">
        <v>9926</v>
      </c>
      <c r="F8932" s="6" t="s">
        <v>9927</v>
      </c>
      <c r="G8932" s="16" t="s">
        <v>605</v>
      </c>
      <c r="H8932" s="54">
        <v>1</v>
      </c>
      <c r="I8932" s="16">
        <v>470000000</v>
      </c>
      <c r="J8932" s="16" t="s">
        <v>229</v>
      </c>
      <c r="K8932" s="6" t="s">
        <v>403</v>
      </c>
      <c r="L8932" s="16" t="s">
        <v>9735</v>
      </c>
      <c r="M8932" s="3"/>
      <c r="N8932" s="65" t="s">
        <v>9488</v>
      </c>
      <c r="O8932" s="162" t="s">
        <v>9567</v>
      </c>
      <c r="P8932" s="3"/>
      <c r="Q8932" s="3"/>
      <c r="R8932" s="3"/>
      <c r="S8932" s="3"/>
      <c r="T8932" s="4">
        <v>0</v>
      </c>
      <c r="U8932" s="4">
        <f t="shared" si="642"/>
        <v>0</v>
      </c>
      <c r="V8932" s="3" t="s">
        <v>610</v>
      </c>
      <c r="W8932" s="3">
        <v>2014</v>
      </c>
      <c r="X8932" s="3" t="s">
        <v>14263</v>
      </c>
    </row>
    <row r="8933" spans="1:24" ht="63.75">
      <c r="A8933" s="3" t="s">
        <v>14240</v>
      </c>
      <c r="B8933" s="6" t="s">
        <v>361</v>
      </c>
      <c r="C8933" s="16" t="s">
        <v>9925</v>
      </c>
      <c r="D8933" s="16" t="s">
        <v>9926</v>
      </c>
      <c r="E8933" s="16" t="s">
        <v>9926</v>
      </c>
      <c r="F8933" s="6" t="s">
        <v>9927</v>
      </c>
      <c r="G8933" s="16" t="s">
        <v>605</v>
      </c>
      <c r="H8933" s="54">
        <v>1</v>
      </c>
      <c r="I8933" s="16">
        <v>470000000</v>
      </c>
      <c r="J8933" s="16" t="s">
        <v>229</v>
      </c>
      <c r="K8933" s="6" t="s">
        <v>369</v>
      </c>
      <c r="L8933" s="16" t="s">
        <v>9735</v>
      </c>
      <c r="M8933" s="3"/>
      <c r="N8933" s="65" t="s">
        <v>14241</v>
      </c>
      <c r="O8933" s="162" t="s">
        <v>9567</v>
      </c>
      <c r="P8933" s="3"/>
      <c r="Q8933" s="3"/>
      <c r="R8933" s="3"/>
      <c r="S8933" s="3"/>
      <c r="T8933" s="1">
        <v>1502550</v>
      </c>
      <c r="U8933" s="1">
        <f t="shared" si="642"/>
        <v>1682856.0000000002</v>
      </c>
      <c r="V8933" s="3" t="s">
        <v>610</v>
      </c>
      <c r="W8933" s="3">
        <v>2014</v>
      </c>
      <c r="X8933" s="3"/>
    </row>
    <row r="8934" spans="1:24" ht="63.75">
      <c r="A8934" s="3" t="s">
        <v>11316</v>
      </c>
      <c r="B8934" s="6" t="s">
        <v>361</v>
      </c>
      <c r="C8934" s="16" t="s">
        <v>9925</v>
      </c>
      <c r="D8934" s="16" t="s">
        <v>9926</v>
      </c>
      <c r="E8934" s="16" t="s">
        <v>9926</v>
      </c>
      <c r="F8934" s="6" t="s">
        <v>9928</v>
      </c>
      <c r="G8934" s="16" t="s">
        <v>605</v>
      </c>
      <c r="H8934" s="54">
        <v>1</v>
      </c>
      <c r="I8934" s="16">
        <v>470000000</v>
      </c>
      <c r="J8934" s="16" t="s">
        <v>229</v>
      </c>
      <c r="K8934" s="6" t="s">
        <v>403</v>
      </c>
      <c r="L8934" s="16" t="s">
        <v>9737</v>
      </c>
      <c r="M8934" s="3"/>
      <c r="N8934" s="65" t="s">
        <v>9488</v>
      </c>
      <c r="O8934" s="162" t="s">
        <v>9567</v>
      </c>
      <c r="P8934" s="3"/>
      <c r="Q8934" s="3"/>
      <c r="R8934" s="3"/>
      <c r="S8934" s="3"/>
      <c r="T8934" s="4">
        <v>0</v>
      </c>
      <c r="U8934" s="4">
        <f>T8934*1.12</f>
        <v>0</v>
      </c>
      <c r="V8934" s="3" t="s">
        <v>610</v>
      </c>
      <c r="W8934" s="3">
        <v>2014</v>
      </c>
      <c r="X8934" s="3" t="s">
        <v>14263</v>
      </c>
    </row>
    <row r="8935" spans="1:24" ht="63.75">
      <c r="A8935" s="3" t="s">
        <v>14242</v>
      </c>
      <c r="B8935" s="6" t="s">
        <v>361</v>
      </c>
      <c r="C8935" s="16" t="s">
        <v>9925</v>
      </c>
      <c r="D8935" s="16" t="s">
        <v>9926</v>
      </c>
      <c r="E8935" s="16" t="s">
        <v>9926</v>
      </c>
      <c r="F8935" s="6" t="s">
        <v>9928</v>
      </c>
      <c r="G8935" s="16" t="s">
        <v>605</v>
      </c>
      <c r="H8935" s="54">
        <v>1</v>
      </c>
      <c r="I8935" s="16">
        <v>470000000</v>
      </c>
      <c r="J8935" s="16" t="s">
        <v>229</v>
      </c>
      <c r="K8935" s="6" t="s">
        <v>369</v>
      </c>
      <c r="L8935" s="16" t="s">
        <v>9737</v>
      </c>
      <c r="M8935" s="3"/>
      <c r="N8935" s="65" t="s">
        <v>14241</v>
      </c>
      <c r="O8935" s="162" t="s">
        <v>9567</v>
      </c>
      <c r="P8935" s="3"/>
      <c r="Q8935" s="3"/>
      <c r="R8935" s="3"/>
      <c r="S8935" s="3"/>
      <c r="T8935" s="1">
        <v>847476</v>
      </c>
      <c r="U8935" s="1">
        <f>T8935*1.12</f>
        <v>949173.12000000011</v>
      </c>
      <c r="V8935" s="3" t="s">
        <v>610</v>
      </c>
      <c r="W8935" s="3">
        <v>2014</v>
      </c>
      <c r="X8935" s="3"/>
    </row>
    <row r="8936" spans="1:24" ht="76.5">
      <c r="A8936" s="3" t="s">
        <v>11317</v>
      </c>
      <c r="B8936" s="56" t="s">
        <v>361</v>
      </c>
      <c r="C8936" s="16" t="s">
        <v>9929</v>
      </c>
      <c r="D8936" s="16" t="s">
        <v>9930</v>
      </c>
      <c r="E8936" s="16" t="s">
        <v>9931</v>
      </c>
      <c r="F8936" s="6" t="s">
        <v>9932</v>
      </c>
      <c r="G8936" s="198" t="s">
        <v>605</v>
      </c>
      <c r="H8936" s="67">
        <v>1</v>
      </c>
      <c r="I8936" s="16">
        <v>470000000</v>
      </c>
      <c r="J8936" s="16" t="s">
        <v>229</v>
      </c>
      <c r="K8936" s="56" t="s">
        <v>9933</v>
      </c>
      <c r="L8936" s="16" t="s">
        <v>9606</v>
      </c>
      <c r="M8936" s="79"/>
      <c r="N8936" s="65" t="s">
        <v>9934</v>
      </c>
      <c r="O8936" s="78" t="s">
        <v>9935</v>
      </c>
      <c r="P8936" s="79"/>
      <c r="Q8936" s="87"/>
      <c r="R8936" s="87"/>
      <c r="S8936" s="207"/>
      <c r="T8936" s="4">
        <v>0</v>
      </c>
      <c r="U8936" s="4">
        <f t="shared" si="642"/>
        <v>0</v>
      </c>
      <c r="V8936" s="4"/>
      <c r="W8936" s="3">
        <v>2014</v>
      </c>
      <c r="X8936" s="56">
        <v>11.14</v>
      </c>
    </row>
    <row r="8937" spans="1:24" ht="76.5">
      <c r="A8937" s="3" t="s">
        <v>16412</v>
      </c>
      <c r="B8937" s="56" t="s">
        <v>361</v>
      </c>
      <c r="C8937" s="16" t="s">
        <v>9929</v>
      </c>
      <c r="D8937" s="16" t="s">
        <v>9930</v>
      </c>
      <c r="E8937" s="16" t="s">
        <v>9931</v>
      </c>
      <c r="F8937" s="6" t="s">
        <v>9932</v>
      </c>
      <c r="G8937" s="198" t="s">
        <v>605</v>
      </c>
      <c r="H8937" s="67">
        <v>1</v>
      </c>
      <c r="I8937" s="16">
        <v>470000000</v>
      </c>
      <c r="J8937" s="16" t="s">
        <v>229</v>
      </c>
      <c r="K8937" s="56" t="s">
        <v>14754</v>
      </c>
      <c r="L8937" s="16" t="s">
        <v>9606</v>
      </c>
      <c r="M8937" s="79"/>
      <c r="N8937" s="65" t="s">
        <v>16413</v>
      </c>
      <c r="O8937" s="78" t="s">
        <v>9935</v>
      </c>
      <c r="P8937" s="79"/>
      <c r="Q8937" s="87"/>
      <c r="R8937" s="87"/>
      <c r="S8937" s="207"/>
      <c r="T8937" s="1">
        <v>187015</v>
      </c>
      <c r="U8937" s="1">
        <f>T8937*1.12</f>
        <v>209456.80000000002</v>
      </c>
      <c r="V8937" s="4"/>
      <c r="W8937" s="3">
        <v>2014</v>
      </c>
      <c r="X8937" s="56"/>
    </row>
    <row r="8938" spans="1:24" ht="76.5">
      <c r="A8938" s="3" t="s">
        <v>11318</v>
      </c>
      <c r="B8938" s="16" t="s">
        <v>9166</v>
      </c>
      <c r="C8938" s="16" t="s">
        <v>9936</v>
      </c>
      <c r="D8938" s="16" t="s">
        <v>9937</v>
      </c>
      <c r="E8938" s="16" t="s">
        <v>9937</v>
      </c>
      <c r="F8938" s="16" t="s">
        <v>9938</v>
      </c>
      <c r="G8938" s="198" t="s">
        <v>11450</v>
      </c>
      <c r="H8938" s="67">
        <v>0.8</v>
      </c>
      <c r="I8938" s="16">
        <v>470000000</v>
      </c>
      <c r="J8938" s="16" t="s">
        <v>229</v>
      </c>
      <c r="K8938" s="56" t="s">
        <v>641</v>
      </c>
      <c r="L8938" s="16" t="s">
        <v>9606</v>
      </c>
      <c r="M8938" s="79"/>
      <c r="N8938" s="65" t="s">
        <v>9454</v>
      </c>
      <c r="O8938" s="162" t="s">
        <v>9851</v>
      </c>
      <c r="P8938" s="79"/>
      <c r="Q8938" s="87"/>
      <c r="R8938" s="87"/>
      <c r="S8938" s="207"/>
      <c r="T8938" s="1">
        <v>1600000</v>
      </c>
      <c r="U8938" s="1">
        <f t="shared" si="642"/>
        <v>1792000.0000000002</v>
      </c>
      <c r="V8938" s="4"/>
      <c r="W8938" s="3">
        <v>2014</v>
      </c>
      <c r="X8938" s="56"/>
    </row>
    <row r="8939" spans="1:24" ht="102">
      <c r="A8939" s="3" t="s">
        <v>11319</v>
      </c>
      <c r="B8939" s="16" t="s">
        <v>9166</v>
      </c>
      <c r="C8939" s="16" t="s">
        <v>9939</v>
      </c>
      <c r="D8939" s="16" t="s">
        <v>9940</v>
      </c>
      <c r="E8939" s="16" t="s">
        <v>9941</v>
      </c>
      <c r="F8939" s="16" t="s">
        <v>9942</v>
      </c>
      <c r="G8939" s="198" t="s">
        <v>11449</v>
      </c>
      <c r="H8939" s="67">
        <v>0.8</v>
      </c>
      <c r="I8939" s="16">
        <v>470000000</v>
      </c>
      <c r="J8939" s="16" t="s">
        <v>229</v>
      </c>
      <c r="K8939" s="56" t="s">
        <v>633</v>
      </c>
      <c r="L8939" s="16" t="s">
        <v>9606</v>
      </c>
      <c r="M8939" s="79"/>
      <c r="N8939" s="65" t="s">
        <v>9454</v>
      </c>
      <c r="O8939" s="162" t="s">
        <v>9851</v>
      </c>
      <c r="P8939" s="79"/>
      <c r="Q8939" s="87"/>
      <c r="R8939" s="87"/>
      <c r="S8939" s="207"/>
      <c r="T8939" s="1">
        <v>14062650</v>
      </c>
      <c r="U8939" s="1">
        <f t="shared" si="642"/>
        <v>15750168.000000002</v>
      </c>
      <c r="V8939" s="4"/>
      <c r="W8939" s="3">
        <v>2014</v>
      </c>
      <c r="X8939" s="56"/>
    </row>
    <row r="8940" spans="1:24" ht="76.5">
      <c r="A8940" s="3" t="s">
        <v>11320</v>
      </c>
      <c r="B8940" s="56" t="s">
        <v>361</v>
      </c>
      <c r="C8940" s="16" t="s">
        <v>9943</v>
      </c>
      <c r="D8940" s="16" t="s">
        <v>9944</v>
      </c>
      <c r="E8940" s="16" t="s">
        <v>9945</v>
      </c>
      <c r="F8940" s="16" t="s">
        <v>9946</v>
      </c>
      <c r="G8940" s="198" t="s">
        <v>605</v>
      </c>
      <c r="H8940" s="67">
        <v>0.6</v>
      </c>
      <c r="I8940" s="16">
        <v>470000000</v>
      </c>
      <c r="J8940" s="16" t="s">
        <v>229</v>
      </c>
      <c r="K8940" s="56" t="s">
        <v>363</v>
      </c>
      <c r="L8940" s="16" t="s">
        <v>621</v>
      </c>
      <c r="M8940" s="79"/>
      <c r="N8940" s="62" t="s">
        <v>9550</v>
      </c>
      <c r="O8940" s="162" t="s">
        <v>9567</v>
      </c>
      <c r="P8940" s="79"/>
      <c r="Q8940" s="87"/>
      <c r="R8940" s="87"/>
      <c r="S8940" s="207"/>
      <c r="T8940" s="4">
        <v>0</v>
      </c>
      <c r="U8940" s="4">
        <f t="shared" si="642"/>
        <v>0</v>
      </c>
      <c r="V8940" s="4"/>
      <c r="W8940" s="3">
        <v>2014</v>
      </c>
      <c r="X8940" s="56">
        <v>11.14</v>
      </c>
    </row>
    <row r="8941" spans="1:24" ht="76.5">
      <c r="A8941" s="3" t="s">
        <v>12077</v>
      </c>
      <c r="B8941" s="56" t="s">
        <v>361</v>
      </c>
      <c r="C8941" s="16" t="s">
        <v>9943</v>
      </c>
      <c r="D8941" s="16" t="s">
        <v>9944</v>
      </c>
      <c r="E8941" s="16" t="s">
        <v>9945</v>
      </c>
      <c r="F8941" s="16" t="s">
        <v>9946</v>
      </c>
      <c r="G8941" s="198" t="s">
        <v>605</v>
      </c>
      <c r="H8941" s="67">
        <v>0.6</v>
      </c>
      <c r="I8941" s="16">
        <v>470000000</v>
      </c>
      <c r="J8941" s="16" t="s">
        <v>229</v>
      </c>
      <c r="K8941" s="56" t="s">
        <v>642</v>
      </c>
      <c r="L8941" s="16" t="s">
        <v>621</v>
      </c>
      <c r="M8941" s="79"/>
      <c r="N8941" s="65" t="s">
        <v>9454</v>
      </c>
      <c r="O8941" s="162" t="s">
        <v>9567</v>
      </c>
      <c r="P8941" s="79"/>
      <c r="Q8941" s="87"/>
      <c r="R8941" s="87"/>
      <c r="S8941" s="207"/>
      <c r="T8941" s="4">
        <v>0</v>
      </c>
      <c r="U8941" s="4">
        <f>T8941*1.12</f>
        <v>0</v>
      </c>
      <c r="V8941" s="4"/>
      <c r="W8941" s="3">
        <v>2014</v>
      </c>
      <c r="X8941" s="56" t="s">
        <v>11822</v>
      </c>
    </row>
    <row r="8942" spans="1:24" ht="76.5">
      <c r="A8942" s="3" t="s">
        <v>16553</v>
      </c>
      <c r="B8942" s="56" t="s">
        <v>361</v>
      </c>
      <c r="C8942" s="16" t="s">
        <v>9943</v>
      </c>
      <c r="D8942" s="16" t="s">
        <v>9944</v>
      </c>
      <c r="E8942" s="16" t="s">
        <v>9945</v>
      </c>
      <c r="F8942" s="16" t="s">
        <v>9946</v>
      </c>
      <c r="G8942" s="198" t="s">
        <v>605</v>
      </c>
      <c r="H8942" s="67">
        <v>0.6</v>
      </c>
      <c r="I8942" s="16">
        <v>470000000</v>
      </c>
      <c r="J8942" s="16" t="s">
        <v>229</v>
      </c>
      <c r="K8942" s="56" t="s">
        <v>14754</v>
      </c>
      <c r="L8942" s="16" t="s">
        <v>621</v>
      </c>
      <c r="M8942" s="79"/>
      <c r="N8942" s="65" t="s">
        <v>9454</v>
      </c>
      <c r="O8942" s="162" t="s">
        <v>9567</v>
      </c>
      <c r="P8942" s="79"/>
      <c r="Q8942" s="87"/>
      <c r="R8942" s="87"/>
      <c r="S8942" s="207"/>
      <c r="T8942" s="1">
        <v>178500</v>
      </c>
      <c r="U8942" s="1">
        <f>T8942*1.12</f>
        <v>199920.00000000003</v>
      </c>
      <c r="V8942" s="4"/>
      <c r="W8942" s="3">
        <v>2014</v>
      </c>
      <c r="X8942" s="56"/>
    </row>
    <row r="8943" spans="1:24" ht="102">
      <c r="A8943" s="3" t="s">
        <v>11321</v>
      </c>
      <c r="B8943" s="56" t="s">
        <v>361</v>
      </c>
      <c r="C8943" s="16" t="s">
        <v>9943</v>
      </c>
      <c r="D8943" s="16" t="s">
        <v>9944</v>
      </c>
      <c r="E8943" s="16" t="s">
        <v>9945</v>
      </c>
      <c r="F8943" s="16" t="s">
        <v>9947</v>
      </c>
      <c r="G8943" s="198" t="s">
        <v>605</v>
      </c>
      <c r="H8943" s="67">
        <v>0.6</v>
      </c>
      <c r="I8943" s="16">
        <v>470000000</v>
      </c>
      <c r="J8943" s="16" t="s">
        <v>229</v>
      </c>
      <c r="K8943" s="56" t="s">
        <v>363</v>
      </c>
      <c r="L8943" s="16" t="s">
        <v>621</v>
      </c>
      <c r="M8943" s="79"/>
      <c r="N8943" s="62" t="s">
        <v>9550</v>
      </c>
      <c r="O8943" s="162" t="s">
        <v>9567</v>
      </c>
      <c r="P8943" s="79"/>
      <c r="Q8943" s="87"/>
      <c r="R8943" s="87"/>
      <c r="S8943" s="207"/>
      <c r="T8943" s="4">
        <v>0</v>
      </c>
      <c r="U8943" s="4">
        <f t="shared" si="642"/>
        <v>0</v>
      </c>
      <c r="V8943" s="4"/>
      <c r="W8943" s="3">
        <v>2014</v>
      </c>
      <c r="X8943" s="56">
        <v>11.14</v>
      </c>
    </row>
    <row r="8944" spans="1:24" ht="102">
      <c r="A8944" s="3" t="s">
        <v>12078</v>
      </c>
      <c r="B8944" s="56" t="s">
        <v>361</v>
      </c>
      <c r="C8944" s="16" t="s">
        <v>9943</v>
      </c>
      <c r="D8944" s="16" t="s">
        <v>9944</v>
      </c>
      <c r="E8944" s="16" t="s">
        <v>9945</v>
      </c>
      <c r="F8944" s="16" t="s">
        <v>9947</v>
      </c>
      <c r="G8944" s="198" t="s">
        <v>605</v>
      </c>
      <c r="H8944" s="67">
        <v>0.6</v>
      </c>
      <c r="I8944" s="16">
        <v>470000000</v>
      </c>
      <c r="J8944" s="16" t="s">
        <v>229</v>
      </c>
      <c r="K8944" s="56" t="s">
        <v>642</v>
      </c>
      <c r="L8944" s="16" t="s">
        <v>621</v>
      </c>
      <c r="M8944" s="79"/>
      <c r="N8944" s="65" t="s">
        <v>9454</v>
      </c>
      <c r="O8944" s="162" t="s">
        <v>9567</v>
      </c>
      <c r="P8944" s="79"/>
      <c r="Q8944" s="87"/>
      <c r="R8944" s="87"/>
      <c r="S8944" s="207"/>
      <c r="T8944" s="4">
        <v>0</v>
      </c>
      <c r="U8944" s="4">
        <f>T8944*1.12</f>
        <v>0</v>
      </c>
      <c r="V8944" s="4"/>
      <c r="W8944" s="3">
        <v>2014</v>
      </c>
      <c r="X8944" s="56">
        <v>11</v>
      </c>
    </row>
    <row r="8945" spans="1:24" ht="102">
      <c r="A8945" s="3" t="s">
        <v>16547</v>
      </c>
      <c r="B8945" s="56" t="s">
        <v>361</v>
      </c>
      <c r="C8945" s="16" t="s">
        <v>9943</v>
      </c>
      <c r="D8945" s="16" t="s">
        <v>9944</v>
      </c>
      <c r="E8945" s="16" t="s">
        <v>9945</v>
      </c>
      <c r="F8945" s="16" t="s">
        <v>9947</v>
      </c>
      <c r="G8945" s="198" t="s">
        <v>605</v>
      </c>
      <c r="H8945" s="67">
        <v>0.6</v>
      </c>
      <c r="I8945" s="16">
        <v>470000000</v>
      </c>
      <c r="J8945" s="16" t="s">
        <v>229</v>
      </c>
      <c r="K8945" s="56" t="s">
        <v>14754</v>
      </c>
      <c r="L8945" s="16" t="s">
        <v>621</v>
      </c>
      <c r="M8945" s="79"/>
      <c r="N8945" s="65" t="s">
        <v>9454</v>
      </c>
      <c r="O8945" s="162" t="s">
        <v>9567</v>
      </c>
      <c r="P8945" s="79"/>
      <c r="Q8945" s="87"/>
      <c r="R8945" s="87"/>
      <c r="S8945" s="207"/>
      <c r="T8945" s="1">
        <v>173000</v>
      </c>
      <c r="U8945" s="1">
        <f>T8945*1.12</f>
        <v>193760.00000000003</v>
      </c>
      <c r="V8945" s="4"/>
      <c r="W8945" s="3">
        <v>2014</v>
      </c>
      <c r="X8945" s="56"/>
    </row>
    <row r="8946" spans="1:24" ht="102">
      <c r="A8946" s="3" t="s">
        <v>11322</v>
      </c>
      <c r="B8946" s="56" t="s">
        <v>361</v>
      </c>
      <c r="C8946" s="16" t="s">
        <v>9948</v>
      </c>
      <c r="D8946" s="16" t="s">
        <v>9949</v>
      </c>
      <c r="E8946" s="16" t="s">
        <v>9949</v>
      </c>
      <c r="F8946" s="16" t="s">
        <v>9950</v>
      </c>
      <c r="G8946" s="3" t="s">
        <v>605</v>
      </c>
      <c r="H8946" s="67">
        <v>0.6</v>
      </c>
      <c r="I8946" s="6">
        <v>470000000</v>
      </c>
      <c r="J8946" s="6" t="s">
        <v>229</v>
      </c>
      <c r="K8946" s="15" t="s">
        <v>363</v>
      </c>
      <c r="L8946" s="6" t="s">
        <v>621</v>
      </c>
      <c r="M8946" s="72"/>
      <c r="N8946" s="6" t="s">
        <v>9778</v>
      </c>
      <c r="O8946" s="93" t="s">
        <v>9951</v>
      </c>
      <c r="P8946" s="72"/>
      <c r="Q8946" s="76"/>
      <c r="R8946" s="76"/>
      <c r="S8946" s="208"/>
      <c r="T8946" s="4">
        <v>0</v>
      </c>
      <c r="U8946" s="4">
        <f t="shared" si="642"/>
        <v>0</v>
      </c>
      <c r="V8946" s="4"/>
      <c r="W8946" s="3">
        <v>2014</v>
      </c>
      <c r="X8946" s="15" t="s">
        <v>12076</v>
      </c>
    </row>
    <row r="8947" spans="1:24" ht="102">
      <c r="A8947" s="3" t="s">
        <v>11323</v>
      </c>
      <c r="B8947" s="56" t="s">
        <v>361</v>
      </c>
      <c r="C8947" s="16" t="s">
        <v>9948</v>
      </c>
      <c r="D8947" s="16" t="s">
        <v>9949</v>
      </c>
      <c r="E8947" s="16" t="s">
        <v>9949</v>
      </c>
      <c r="F8947" s="16" t="s">
        <v>9950</v>
      </c>
      <c r="G8947" s="3" t="s">
        <v>605</v>
      </c>
      <c r="H8947" s="67">
        <v>0.6</v>
      </c>
      <c r="I8947" s="6">
        <v>470000000</v>
      </c>
      <c r="J8947" s="6" t="s">
        <v>229</v>
      </c>
      <c r="K8947" s="15" t="s">
        <v>363</v>
      </c>
      <c r="L8947" s="6" t="s">
        <v>9465</v>
      </c>
      <c r="M8947" s="72"/>
      <c r="N8947" s="6" t="s">
        <v>9778</v>
      </c>
      <c r="O8947" s="93" t="s">
        <v>9951</v>
      </c>
      <c r="P8947" s="72"/>
      <c r="Q8947" s="76"/>
      <c r="R8947" s="76"/>
      <c r="S8947" s="208"/>
      <c r="T8947" s="4">
        <v>0</v>
      </c>
      <c r="U8947" s="4">
        <f t="shared" si="642"/>
        <v>0</v>
      </c>
      <c r="V8947" s="4"/>
      <c r="W8947" s="3">
        <v>2014</v>
      </c>
      <c r="X8947" s="15">
        <v>11.15</v>
      </c>
    </row>
    <row r="8948" spans="1:24" ht="102">
      <c r="A8948" s="3" t="s">
        <v>12074</v>
      </c>
      <c r="B8948" s="56" t="s">
        <v>361</v>
      </c>
      <c r="C8948" s="16" t="s">
        <v>9948</v>
      </c>
      <c r="D8948" s="16" t="s">
        <v>9949</v>
      </c>
      <c r="E8948" s="16" t="s">
        <v>9949</v>
      </c>
      <c r="F8948" s="16" t="s">
        <v>9950</v>
      </c>
      <c r="G8948" s="3" t="s">
        <v>605</v>
      </c>
      <c r="H8948" s="67">
        <v>0.6</v>
      </c>
      <c r="I8948" s="6">
        <v>470000000</v>
      </c>
      <c r="J8948" s="6" t="s">
        <v>229</v>
      </c>
      <c r="K8948" s="15" t="s">
        <v>9778</v>
      </c>
      <c r="L8948" s="6" t="s">
        <v>9465</v>
      </c>
      <c r="M8948" s="72"/>
      <c r="N8948" s="6" t="s">
        <v>9778</v>
      </c>
      <c r="O8948" s="15" t="s">
        <v>12073</v>
      </c>
      <c r="P8948" s="72"/>
      <c r="Q8948" s="76"/>
      <c r="R8948" s="76"/>
      <c r="S8948" s="208"/>
      <c r="T8948" s="1">
        <v>489000</v>
      </c>
      <c r="U8948" s="1">
        <f>T8948*1.12</f>
        <v>547680</v>
      </c>
      <c r="V8948" s="4"/>
      <c r="W8948" s="3">
        <v>2014</v>
      </c>
      <c r="X8948" s="15"/>
    </row>
    <row r="8949" spans="1:24" ht="102">
      <c r="A8949" s="3" t="s">
        <v>11324</v>
      </c>
      <c r="B8949" s="56" t="s">
        <v>361</v>
      </c>
      <c r="C8949" s="16" t="s">
        <v>9948</v>
      </c>
      <c r="D8949" s="16" t="s">
        <v>9949</v>
      </c>
      <c r="E8949" s="16" t="s">
        <v>9949</v>
      </c>
      <c r="F8949" s="16" t="s">
        <v>9950</v>
      </c>
      <c r="G8949" s="3" t="s">
        <v>605</v>
      </c>
      <c r="H8949" s="67">
        <v>0.6</v>
      </c>
      <c r="I8949" s="6">
        <v>470000000</v>
      </c>
      <c r="J8949" s="6" t="s">
        <v>229</v>
      </c>
      <c r="K8949" s="15" t="s">
        <v>363</v>
      </c>
      <c r="L8949" s="6" t="s">
        <v>9735</v>
      </c>
      <c r="M8949" s="72"/>
      <c r="N8949" s="6" t="s">
        <v>9778</v>
      </c>
      <c r="O8949" s="93" t="s">
        <v>9951</v>
      </c>
      <c r="P8949" s="72"/>
      <c r="Q8949" s="76"/>
      <c r="R8949" s="76"/>
      <c r="S8949" s="208"/>
      <c r="T8949" s="4">
        <v>0</v>
      </c>
      <c r="U8949" s="4">
        <f t="shared" si="642"/>
        <v>0</v>
      </c>
      <c r="V8949" s="4"/>
      <c r="W8949" s="3">
        <v>2014</v>
      </c>
      <c r="X8949" s="15" t="s">
        <v>12075</v>
      </c>
    </row>
    <row r="8950" spans="1:24" ht="102">
      <c r="A8950" s="3" t="s">
        <v>12072</v>
      </c>
      <c r="B8950" s="56" t="s">
        <v>361</v>
      </c>
      <c r="C8950" s="16" t="s">
        <v>9948</v>
      </c>
      <c r="D8950" s="16" t="s">
        <v>9949</v>
      </c>
      <c r="E8950" s="16" t="s">
        <v>9949</v>
      </c>
      <c r="F8950" s="16" t="s">
        <v>9950</v>
      </c>
      <c r="G8950" s="3" t="s">
        <v>605</v>
      </c>
      <c r="H8950" s="67">
        <v>0.6</v>
      </c>
      <c r="I8950" s="6">
        <v>470000000</v>
      </c>
      <c r="J8950" s="6" t="s">
        <v>229</v>
      </c>
      <c r="K8950" s="15" t="s">
        <v>9778</v>
      </c>
      <c r="L8950" s="6" t="s">
        <v>9735</v>
      </c>
      <c r="M8950" s="72"/>
      <c r="N8950" s="6" t="s">
        <v>9778</v>
      </c>
      <c r="O8950" s="15" t="s">
        <v>12073</v>
      </c>
      <c r="P8950" s="72"/>
      <c r="Q8950" s="76"/>
      <c r="R8950" s="76"/>
      <c r="S8950" s="208"/>
      <c r="T8950" s="1">
        <v>542500</v>
      </c>
      <c r="U8950" s="1">
        <f>T8950*1.12</f>
        <v>607600</v>
      </c>
      <c r="V8950" s="4"/>
      <c r="W8950" s="3">
        <v>2014</v>
      </c>
      <c r="X8950" s="15"/>
    </row>
    <row r="8951" spans="1:24" ht="102">
      <c r="A8951" s="3" t="s">
        <v>11325</v>
      </c>
      <c r="B8951" s="56" t="s">
        <v>361</v>
      </c>
      <c r="C8951" s="6" t="s">
        <v>9948</v>
      </c>
      <c r="D8951" s="6" t="s">
        <v>9949</v>
      </c>
      <c r="E8951" s="6" t="s">
        <v>9949</v>
      </c>
      <c r="F8951" s="6" t="s">
        <v>9952</v>
      </c>
      <c r="G8951" s="3" t="s">
        <v>605</v>
      </c>
      <c r="H8951" s="67">
        <v>0.6</v>
      </c>
      <c r="I8951" s="6">
        <v>470000000</v>
      </c>
      <c r="J8951" s="6" t="s">
        <v>229</v>
      </c>
      <c r="K8951" s="56" t="s">
        <v>8950</v>
      </c>
      <c r="L8951" s="6" t="s">
        <v>621</v>
      </c>
      <c r="M8951" s="72"/>
      <c r="N8951" s="6" t="s">
        <v>9041</v>
      </c>
      <c r="O8951" s="93" t="s">
        <v>9951</v>
      </c>
      <c r="P8951" s="72"/>
      <c r="Q8951" s="76"/>
      <c r="R8951" s="76"/>
      <c r="S8951" s="208"/>
      <c r="T8951" s="4">
        <v>0</v>
      </c>
      <c r="U8951" s="4">
        <f t="shared" si="642"/>
        <v>0</v>
      </c>
      <c r="V8951" s="4"/>
      <c r="W8951" s="3">
        <v>2014</v>
      </c>
      <c r="X8951" s="15" t="s">
        <v>12076</v>
      </c>
    </row>
    <row r="8952" spans="1:24" ht="102">
      <c r="A8952" s="3" t="s">
        <v>11326</v>
      </c>
      <c r="B8952" s="56" t="s">
        <v>361</v>
      </c>
      <c r="C8952" s="6" t="s">
        <v>9948</v>
      </c>
      <c r="D8952" s="6" t="s">
        <v>9949</v>
      </c>
      <c r="E8952" s="6" t="s">
        <v>9949</v>
      </c>
      <c r="F8952" s="6" t="s">
        <v>9952</v>
      </c>
      <c r="G8952" s="3" t="s">
        <v>605</v>
      </c>
      <c r="H8952" s="67">
        <v>0.6</v>
      </c>
      <c r="I8952" s="6">
        <v>470000000</v>
      </c>
      <c r="J8952" s="6" t="s">
        <v>229</v>
      </c>
      <c r="K8952" s="56" t="s">
        <v>8950</v>
      </c>
      <c r="L8952" s="6" t="s">
        <v>9465</v>
      </c>
      <c r="M8952" s="72"/>
      <c r="N8952" s="6" t="s">
        <v>9041</v>
      </c>
      <c r="O8952" s="93" t="s">
        <v>9951</v>
      </c>
      <c r="P8952" s="72"/>
      <c r="Q8952" s="76"/>
      <c r="R8952" s="76"/>
      <c r="S8952" s="208"/>
      <c r="T8952" s="4">
        <v>0</v>
      </c>
      <c r="U8952" s="4">
        <f t="shared" si="642"/>
        <v>0</v>
      </c>
      <c r="V8952" s="4"/>
      <c r="W8952" s="3">
        <v>2014</v>
      </c>
      <c r="X8952" s="15" t="s">
        <v>14265</v>
      </c>
    </row>
    <row r="8953" spans="1:24" ht="102">
      <c r="A8953" s="3" t="s">
        <v>18430</v>
      </c>
      <c r="B8953" s="56" t="s">
        <v>361</v>
      </c>
      <c r="C8953" s="6" t="s">
        <v>9948</v>
      </c>
      <c r="D8953" s="6" t="s">
        <v>9949</v>
      </c>
      <c r="E8953" s="6" t="s">
        <v>9949</v>
      </c>
      <c r="F8953" s="6" t="s">
        <v>9952</v>
      </c>
      <c r="G8953" s="3" t="s">
        <v>605</v>
      </c>
      <c r="H8953" s="67">
        <v>0.6</v>
      </c>
      <c r="I8953" s="6">
        <v>470000000</v>
      </c>
      <c r="J8953" s="6" t="s">
        <v>229</v>
      </c>
      <c r="K8953" s="56" t="s">
        <v>366</v>
      </c>
      <c r="L8953" s="6" t="s">
        <v>9465</v>
      </c>
      <c r="M8953" s="72"/>
      <c r="N8953" s="6" t="s">
        <v>9775</v>
      </c>
      <c r="O8953" s="93" t="s">
        <v>18432</v>
      </c>
      <c r="P8953" s="72"/>
      <c r="Q8953" s="76"/>
      <c r="R8953" s="76"/>
      <c r="S8953" s="208"/>
      <c r="T8953" s="1">
        <v>489000</v>
      </c>
      <c r="U8953" s="1">
        <f t="shared" si="642"/>
        <v>547680</v>
      </c>
      <c r="V8953" s="4"/>
      <c r="W8953" s="3">
        <v>2014</v>
      </c>
      <c r="X8953" s="15"/>
    </row>
    <row r="8954" spans="1:24" ht="102">
      <c r="A8954" s="3" t="s">
        <v>11327</v>
      </c>
      <c r="B8954" s="56" t="s">
        <v>361</v>
      </c>
      <c r="C8954" s="6" t="s">
        <v>9948</v>
      </c>
      <c r="D8954" s="6" t="s">
        <v>9949</v>
      </c>
      <c r="E8954" s="6" t="s">
        <v>9949</v>
      </c>
      <c r="F8954" s="6" t="s">
        <v>9952</v>
      </c>
      <c r="G8954" s="3" t="s">
        <v>605</v>
      </c>
      <c r="H8954" s="67">
        <v>0.6</v>
      </c>
      <c r="I8954" s="6">
        <v>470000000</v>
      </c>
      <c r="J8954" s="6" t="s">
        <v>229</v>
      </c>
      <c r="K8954" s="56" t="s">
        <v>8950</v>
      </c>
      <c r="L8954" s="6" t="s">
        <v>9735</v>
      </c>
      <c r="M8954" s="72"/>
      <c r="N8954" s="6" t="s">
        <v>9041</v>
      </c>
      <c r="O8954" s="93" t="s">
        <v>9951</v>
      </c>
      <c r="P8954" s="72"/>
      <c r="Q8954" s="76"/>
      <c r="R8954" s="76"/>
      <c r="S8954" s="208"/>
      <c r="T8954" s="4">
        <v>0</v>
      </c>
      <c r="U8954" s="4">
        <f t="shared" si="642"/>
        <v>0</v>
      </c>
      <c r="V8954" s="4"/>
      <c r="W8954" s="3">
        <v>2014</v>
      </c>
      <c r="X8954" s="15" t="s">
        <v>18433</v>
      </c>
    </row>
    <row r="8955" spans="1:24" ht="102">
      <c r="A8955" s="3" t="s">
        <v>18431</v>
      </c>
      <c r="B8955" s="56" t="s">
        <v>361</v>
      </c>
      <c r="C8955" s="6" t="s">
        <v>9948</v>
      </c>
      <c r="D8955" s="6" t="s">
        <v>9949</v>
      </c>
      <c r="E8955" s="6" t="s">
        <v>9949</v>
      </c>
      <c r="F8955" s="6" t="s">
        <v>9952</v>
      </c>
      <c r="G8955" s="3" t="s">
        <v>605</v>
      </c>
      <c r="H8955" s="67">
        <v>0.6</v>
      </c>
      <c r="I8955" s="6">
        <v>470000000</v>
      </c>
      <c r="J8955" s="6" t="s">
        <v>229</v>
      </c>
      <c r="K8955" s="56" t="s">
        <v>366</v>
      </c>
      <c r="L8955" s="6" t="s">
        <v>9735</v>
      </c>
      <c r="M8955" s="72"/>
      <c r="N8955" s="6" t="s">
        <v>9775</v>
      </c>
      <c r="O8955" s="93" t="s">
        <v>18432</v>
      </c>
      <c r="P8955" s="72"/>
      <c r="Q8955" s="76"/>
      <c r="R8955" s="76"/>
      <c r="S8955" s="208"/>
      <c r="T8955" s="1">
        <v>542500</v>
      </c>
      <c r="U8955" s="1">
        <f t="shared" si="642"/>
        <v>607600</v>
      </c>
      <c r="V8955" s="4"/>
      <c r="W8955" s="3">
        <v>2014</v>
      </c>
      <c r="X8955" s="15"/>
    </row>
    <row r="8956" spans="1:24" ht="76.5">
      <c r="A8956" s="3" t="s">
        <v>11328</v>
      </c>
      <c r="B8956" s="56" t="s">
        <v>361</v>
      </c>
      <c r="C8956" s="16" t="s">
        <v>9953</v>
      </c>
      <c r="D8956" s="16" t="s">
        <v>9954</v>
      </c>
      <c r="E8956" s="16" t="s">
        <v>9954</v>
      </c>
      <c r="F8956" s="16" t="s">
        <v>9955</v>
      </c>
      <c r="G8956" s="198" t="s">
        <v>605</v>
      </c>
      <c r="H8956" s="67">
        <v>0.6</v>
      </c>
      <c r="I8956" s="16">
        <v>470000000</v>
      </c>
      <c r="J8956" s="16" t="s">
        <v>229</v>
      </c>
      <c r="K8956" s="56" t="s">
        <v>9956</v>
      </c>
      <c r="L8956" s="16" t="s">
        <v>621</v>
      </c>
      <c r="M8956" s="79"/>
      <c r="N8956" s="6" t="s">
        <v>9370</v>
      </c>
      <c r="O8956" s="78" t="s">
        <v>9957</v>
      </c>
      <c r="P8956" s="79"/>
      <c r="Q8956" s="76"/>
      <c r="R8956" s="76"/>
      <c r="S8956" s="208"/>
      <c r="T8956" s="4">
        <v>0</v>
      </c>
      <c r="U8956" s="4">
        <f t="shared" si="642"/>
        <v>0</v>
      </c>
      <c r="V8956" s="4"/>
      <c r="W8956" s="3">
        <v>2014</v>
      </c>
      <c r="X8956" s="56">
        <v>15</v>
      </c>
    </row>
    <row r="8957" spans="1:24" ht="76.5">
      <c r="A8957" s="3" t="s">
        <v>18854</v>
      </c>
      <c r="B8957" s="56" t="s">
        <v>361</v>
      </c>
      <c r="C8957" s="16" t="s">
        <v>9953</v>
      </c>
      <c r="D8957" s="16" t="s">
        <v>9954</v>
      </c>
      <c r="E8957" s="16" t="s">
        <v>9954</v>
      </c>
      <c r="F8957" s="16" t="s">
        <v>9955</v>
      </c>
      <c r="G8957" s="198" t="s">
        <v>605</v>
      </c>
      <c r="H8957" s="67">
        <v>0.6</v>
      </c>
      <c r="I8957" s="16">
        <v>470000000</v>
      </c>
      <c r="J8957" s="16" t="s">
        <v>229</v>
      </c>
      <c r="K8957" s="56" t="s">
        <v>9956</v>
      </c>
      <c r="L8957" s="16" t="s">
        <v>621</v>
      </c>
      <c r="M8957" s="79"/>
      <c r="N8957" s="6" t="s">
        <v>9370</v>
      </c>
      <c r="O8957" s="78" t="s">
        <v>18855</v>
      </c>
      <c r="P8957" s="79"/>
      <c r="Q8957" s="76"/>
      <c r="R8957" s="76"/>
      <c r="S8957" s="208"/>
      <c r="T8957" s="1">
        <v>978000</v>
      </c>
      <c r="U8957" s="1">
        <f t="shared" si="642"/>
        <v>1095360</v>
      </c>
      <c r="V8957" s="4"/>
      <c r="W8957" s="3">
        <v>2014</v>
      </c>
      <c r="X8957" s="56"/>
    </row>
    <row r="8958" spans="1:24" ht="76.5">
      <c r="A8958" s="3" t="s">
        <v>11329</v>
      </c>
      <c r="B8958" s="56" t="s">
        <v>361</v>
      </c>
      <c r="C8958" s="16" t="s">
        <v>9953</v>
      </c>
      <c r="D8958" s="16" t="s">
        <v>9954</v>
      </c>
      <c r="E8958" s="16" t="s">
        <v>9954</v>
      </c>
      <c r="F8958" s="16" t="s">
        <v>9958</v>
      </c>
      <c r="G8958" s="198" t="s">
        <v>605</v>
      </c>
      <c r="H8958" s="67">
        <v>0.6</v>
      </c>
      <c r="I8958" s="16">
        <v>470000000</v>
      </c>
      <c r="J8958" s="16" t="s">
        <v>229</v>
      </c>
      <c r="K8958" s="56" t="s">
        <v>9956</v>
      </c>
      <c r="L8958" s="16" t="s">
        <v>621</v>
      </c>
      <c r="M8958" s="79"/>
      <c r="N8958" s="6" t="s">
        <v>9370</v>
      </c>
      <c r="O8958" s="78" t="s">
        <v>9957</v>
      </c>
      <c r="P8958" s="79"/>
      <c r="Q8958" s="76"/>
      <c r="R8958" s="76"/>
      <c r="S8958" s="208"/>
      <c r="T8958" s="4">
        <v>0</v>
      </c>
      <c r="U8958" s="4">
        <f t="shared" si="642"/>
        <v>0</v>
      </c>
      <c r="V8958" s="4"/>
      <c r="W8958" s="3">
        <v>2014</v>
      </c>
      <c r="X8958" s="56">
        <v>15</v>
      </c>
    </row>
    <row r="8959" spans="1:24" ht="76.5">
      <c r="A8959" s="3" t="s">
        <v>18856</v>
      </c>
      <c r="B8959" s="56" t="s">
        <v>361</v>
      </c>
      <c r="C8959" s="16" t="s">
        <v>9953</v>
      </c>
      <c r="D8959" s="16" t="s">
        <v>9954</v>
      </c>
      <c r="E8959" s="16" t="s">
        <v>9954</v>
      </c>
      <c r="F8959" s="16" t="s">
        <v>9958</v>
      </c>
      <c r="G8959" s="198" t="s">
        <v>605</v>
      </c>
      <c r="H8959" s="67">
        <v>0.6</v>
      </c>
      <c r="I8959" s="16">
        <v>470000000</v>
      </c>
      <c r="J8959" s="16" t="s">
        <v>229</v>
      </c>
      <c r="K8959" s="56" t="s">
        <v>9956</v>
      </c>
      <c r="L8959" s="16" t="s">
        <v>621</v>
      </c>
      <c r="M8959" s="79"/>
      <c r="N8959" s="6" t="s">
        <v>9370</v>
      </c>
      <c r="O8959" s="78" t="s">
        <v>18855</v>
      </c>
      <c r="P8959" s="79"/>
      <c r="Q8959" s="76"/>
      <c r="R8959" s="76"/>
      <c r="S8959" s="208"/>
      <c r="T8959" s="1">
        <v>1070000</v>
      </c>
      <c r="U8959" s="1">
        <f t="shared" si="642"/>
        <v>1198400</v>
      </c>
      <c r="V8959" s="4"/>
      <c r="W8959" s="3">
        <v>2014</v>
      </c>
      <c r="X8959" s="56"/>
    </row>
    <row r="8960" spans="1:24" ht="63.75">
      <c r="A8960" s="3" t="s">
        <v>11330</v>
      </c>
      <c r="B8960" s="56" t="s">
        <v>361</v>
      </c>
      <c r="C8960" s="16" t="s">
        <v>9948</v>
      </c>
      <c r="D8960" s="16" t="s">
        <v>9949</v>
      </c>
      <c r="E8960" s="16" t="s">
        <v>9949</v>
      </c>
      <c r="F8960" s="16" t="s">
        <v>9959</v>
      </c>
      <c r="G8960" s="198" t="s">
        <v>605</v>
      </c>
      <c r="H8960" s="67">
        <v>0.6</v>
      </c>
      <c r="I8960" s="16">
        <v>470000000</v>
      </c>
      <c r="J8960" s="16" t="s">
        <v>229</v>
      </c>
      <c r="K8960" s="56" t="s">
        <v>9956</v>
      </c>
      <c r="L8960" s="16" t="s">
        <v>621</v>
      </c>
      <c r="M8960" s="79"/>
      <c r="N8960" s="6" t="s">
        <v>9370</v>
      </c>
      <c r="O8960" s="78" t="s">
        <v>9957</v>
      </c>
      <c r="P8960" s="79"/>
      <c r="Q8960" s="87"/>
      <c r="R8960" s="87"/>
      <c r="S8960" s="207"/>
      <c r="T8960" s="4">
        <v>0</v>
      </c>
      <c r="U8960" s="4">
        <f t="shared" si="642"/>
        <v>0</v>
      </c>
      <c r="V8960" s="4"/>
      <c r="W8960" s="3">
        <v>2014</v>
      </c>
      <c r="X8960" s="56">
        <v>15</v>
      </c>
    </row>
    <row r="8961" spans="1:24" ht="63.75">
      <c r="A8961" s="3" t="s">
        <v>18857</v>
      </c>
      <c r="B8961" s="56" t="s">
        <v>361</v>
      </c>
      <c r="C8961" s="16" t="s">
        <v>9948</v>
      </c>
      <c r="D8961" s="16" t="s">
        <v>9949</v>
      </c>
      <c r="E8961" s="16" t="s">
        <v>9949</v>
      </c>
      <c r="F8961" s="16" t="s">
        <v>9959</v>
      </c>
      <c r="G8961" s="198" t="s">
        <v>605</v>
      </c>
      <c r="H8961" s="67">
        <v>0.6</v>
      </c>
      <c r="I8961" s="16">
        <v>470000000</v>
      </c>
      <c r="J8961" s="16" t="s">
        <v>229</v>
      </c>
      <c r="K8961" s="56" t="s">
        <v>9956</v>
      </c>
      <c r="L8961" s="16" t="s">
        <v>621</v>
      </c>
      <c r="M8961" s="79"/>
      <c r="N8961" s="6" t="s">
        <v>9370</v>
      </c>
      <c r="O8961" s="78" t="s">
        <v>18855</v>
      </c>
      <c r="P8961" s="79"/>
      <c r="Q8961" s="87"/>
      <c r="R8961" s="87"/>
      <c r="S8961" s="207"/>
      <c r="T8961" s="1">
        <v>2914500</v>
      </c>
      <c r="U8961" s="1">
        <f t="shared" si="642"/>
        <v>3264240.0000000005</v>
      </c>
      <c r="V8961" s="4"/>
      <c r="W8961" s="3">
        <v>2014</v>
      </c>
      <c r="X8961" s="56"/>
    </row>
    <row r="8962" spans="1:24" ht="76.5">
      <c r="A8962" s="3" t="s">
        <v>11331</v>
      </c>
      <c r="B8962" s="56" t="s">
        <v>361</v>
      </c>
      <c r="C8962" s="16" t="s">
        <v>9960</v>
      </c>
      <c r="D8962" s="16" t="s">
        <v>9961</v>
      </c>
      <c r="E8962" s="16" t="s">
        <v>9961</v>
      </c>
      <c r="F8962" s="16"/>
      <c r="G8962" s="198" t="s">
        <v>605</v>
      </c>
      <c r="H8962" s="67">
        <v>0.7</v>
      </c>
      <c r="I8962" s="16">
        <v>470000000</v>
      </c>
      <c r="J8962" s="16" t="s">
        <v>229</v>
      </c>
      <c r="K8962" s="56" t="s">
        <v>9170</v>
      </c>
      <c r="L8962" s="16" t="s">
        <v>621</v>
      </c>
      <c r="M8962" s="79"/>
      <c r="N8962" s="65" t="s">
        <v>9454</v>
      </c>
      <c r="O8962" s="162" t="s">
        <v>9851</v>
      </c>
      <c r="P8962" s="79"/>
      <c r="Q8962" s="87"/>
      <c r="R8962" s="87"/>
      <c r="S8962" s="207"/>
      <c r="T8962" s="1">
        <v>1200000</v>
      </c>
      <c r="U8962" s="1">
        <f t="shared" si="642"/>
        <v>1344000.0000000002</v>
      </c>
      <c r="V8962" s="4"/>
      <c r="W8962" s="3">
        <v>2014</v>
      </c>
      <c r="X8962" s="56"/>
    </row>
    <row r="8963" spans="1:24" ht="76.5">
      <c r="A8963" s="3" t="s">
        <v>11332</v>
      </c>
      <c r="B8963" s="6" t="s">
        <v>361</v>
      </c>
      <c r="C8963" s="52" t="s">
        <v>9962</v>
      </c>
      <c r="D8963" s="52" t="s">
        <v>11685</v>
      </c>
      <c r="E8963" s="52" t="s">
        <v>11686</v>
      </c>
      <c r="F8963" s="5" t="s">
        <v>9963</v>
      </c>
      <c r="G8963" s="16" t="s">
        <v>605</v>
      </c>
      <c r="H8963" s="54">
        <v>1</v>
      </c>
      <c r="I8963" s="16">
        <v>470000000</v>
      </c>
      <c r="J8963" s="6" t="s">
        <v>9515</v>
      </c>
      <c r="K8963" s="6" t="s">
        <v>8901</v>
      </c>
      <c r="L8963" s="16" t="s">
        <v>621</v>
      </c>
      <c r="M8963" s="3"/>
      <c r="N8963" s="65" t="s">
        <v>9488</v>
      </c>
      <c r="O8963" s="78" t="s">
        <v>11409</v>
      </c>
      <c r="P8963" s="3"/>
      <c r="Q8963" s="3"/>
      <c r="R8963" s="190"/>
      <c r="S8963" s="5"/>
      <c r="T8963" s="1">
        <v>360000</v>
      </c>
      <c r="U8963" s="1">
        <f t="shared" si="642"/>
        <v>403200.00000000006</v>
      </c>
      <c r="V8963" s="4"/>
      <c r="W8963" s="3">
        <v>2014</v>
      </c>
      <c r="X8963" s="3"/>
    </row>
    <row r="8964" spans="1:24" ht="76.5">
      <c r="A8964" s="3" t="s">
        <v>11333</v>
      </c>
      <c r="B8964" s="6" t="s">
        <v>361</v>
      </c>
      <c r="C8964" s="16" t="s">
        <v>9965</v>
      </c>
      <c r="D8964" s="16" t="s">
        <v>9966</v>
      </c>
      <c r="E8964" s="16" t="s">
        <v>9966</v>
      </c>
      <c r="F8964" s="5"/>
      <c r="G8964" s="16" t="s">
        <v>605</v>
      </c>
      <c r="H8964" s="54">
        <v>1</v>
      </c>
      <c r="I8964" s="16">
        <v>470000000</v>
      </c>
      <c r="J8964" s="6" t="s">
        <v>9515</v>
      </c>
      <c r="K8964" s="6" t="s">
        <v>9655</v>
      </c>
      <c r="L8964" s="16" t="s">
        <v>621</v>
      </c>
      <c r="M8964" s="3"/>
      <c r="N8964" s="65" t="s">
        <v>9488</v>
      </c>
      <c r="O8964" s="78" t="s">
        <v>9967</v>
      </c>
      <c r="P8964" s="3"/>
      <c r="Q8964" s="5"/>
      <c r="R8964" s="5"/>
      <c r="S8964" s="5"/>
      <c r="T8964" s="1">
        <v>1700000</v>
      </c>
      <c r="U8964" s="1">
        <f t="shared" si="642"/>
        <v>1904000.0000000002</v>
      </c>
      <c r="V8964" s="3" t="s">
        <v>610</v>
      </c>
      <c r="W8964" s="3">
        <v>2014</v>
      </c>
      <c r="X8964" s="3"/>
    </row>
    <row r="8965" spans="1:24" ht="76.5">
      <c r="A8965" s="3" t="s">
        <v>11334</v>
      </c>
      <c r="B8965" s="6" t="s">
        <v>361</v>
      </c>
      <c r="C8965" s="16" t="s">
        <v>9968</v>
      </c>
      <c r="D8965" s="16" t="s">
        <v>9969</v>
      </c>
      <c r="E8965" s="16" t="s">
        <v>9970</v>
      </c>
      <c r="F8965" s="5"/>
      <c r="G8965" s="16" t="s">
        <v>605</v>
      </c>
      <c r="H8965" s="54">
        <v>1</v>
      </c>
      <c r="I8965" s="16">
        <v>470000000</v>
      </c>
      <c r="J8965" s="6" t="s">
        <v>9515</v>
      </c>
      <c r="K8965" s="6" t="s">
        <v>9655</v>
      </c>
      <c r="L8965" s="16" t="s">
        <v>621</v>
      </c>
      <c r="M8965" s="3"/>
      <c r="N8965" s="65" t="s">
        <v>9488</v>
      </c>
      <c r="O8965" s="78" t="s">
        <v>9967</v>
      </c>
      <c r="P8965" s="3"/>
      <c r="Q8965" s="5"/>
      <c r="R8965" s="5"/>
      <c r="S8965" s="5"/>
      <c r="T8965" s="1">
        <v>2400000</v>
      </c>
      <c r="U8965" s="1">
        <f t="shared" si="642"/>
        <v>2688000.0000000005</v>
      </c>
      <c r="V8965" s="3" t="s">
        <v>610</v>
      </c>
      <c r="W8965" s="3">
        <v>2014</v>
      </c>
      <c r="X8965" s="3"/>
    </row>
    <row r="8966" spans="1:24" ht="89.25">
      <c r="A8966" s="3" t="s">
        <v>11335</v>
      </c>
      <c r="B8966" s="6" t="s">
        <v>361</v>
      </c>
      <c r="C8966" s="16" t="s">
        <v>9971</v>
      </c>
      <c r="D8966" s="16" t="s">
        <v>9972</v>
      </c>
      <c r="E8966" s="16" t="s">
        <v>9972</v>
      </c>
      <c r="F8966" s="5"/>
      <c r="G8966" s="16" t="s">
        <v>605</v>
      </c>
      <c r="H8966" s="54">
        <v>1</v>
      </c>
      <c r="I8966" s="16">
        <v>470000000</v>
      </c>
      <c r="J8966" s="6" t="s">
        <v>9515</v>
      </c>
      <c r="K8966" s="6" t="s">
        <v>9655</v>
      </c>
      <c r="L8966" s="16" t="s">
        <v>621</v>
      </c>
      <c r="M8966" s="3"/>
      <c r="N8966" s="65" t="s">
        <v>9488</v>
      </c>
      <c r="O8966" s="78" t="s">
        <v>9967</v>
      </c>
      <c r="P8966" s="3"/>
      <c r="Q8966" s="5"/>
      <c r="R8966" s="5"/>
      <c r="S8966" s="5"/>
      <c r="T8966" s="1">
        <v>150000</v>
      </c>
      <c r="U8966" s="1">
        <f t="shared" si="642"/>
        <v>168000.00000000003</v>
      </c>
      <c r="V8966" s="3" t="s">
        <v>610</v>
      </c>
      <c r="W8966" s="3">
        <v>2014</v>
      </c>
      <c r="X8966" s="3"/>
    </row>
    <row r="8967" spans="1:24" ht="89.25">
      <c r="A8967" s="3" t="s">
        <v>11336</v>
      </c>
      <c r="B8967" s="6" t="s">
        <v>361</v>
      </c>
      <c r="C8967" s="16" t="s">
        <v>9973</v>
      </c>
      <c r="D8967" s="16" t="s">
        <v>9974</v>
      </c>
      <c r="E8967" s="16" t="s">
        <v>9974</v>
      </c>
      <c r="F8967" s="5" t="s">
        <v>9975</v>
      </c>
      <c r="G8967" s="16" t="s">
        <v>605</v>
      </c>
      <c r="H8967" s="54">
        <v>1</v>
      </c>
      <c r="I8967" s="16">
        <v>470000000</v>
      </c>
      <c r="J8967" s="6" t="s">
        <v>9515</v>
      </c>
      <c r="K8967" s="6" t="s">
        <v>9655</v>
      </c>
      <c r="L8967" s="16" t="s">
        <v>621</v>
      </c>
      <c r="M8967" s="3"/>
      <c r="N8967" s="65" t="s">
        <v>9488</v>
      </c>
      <c r="O8967" s="78" t="s">
        <v>9964</v>
      </c>
      <c r="P8967" s="3"/>
      <c r="Q8967" s="5"/>
      <c r="R8967" s="5"/>
      <c r="S8967" s="5"/>
      <c r="T8967" s="1">
        <v>1347187.4999999998</v>
      </c>
      <c r="U8967" s="1">
        <f t="shared" si="642"/>
        <v>1508849.9999999998</v>
      </c>
      <c r="V8967" s="4"/>
      <c r="W8967" s="3">
        <v>2014</v>
      </c>
      <c r="X8967" s="3"/>
    </row>
    <row r="8968" spans="1:24" ht="89.25">
      <c r="A8968" s="3" t="s">
        <v>11337</v>
      </c>
      <c r="B8968" s="15" t="s">
        <v>361</v>
      </c>
      <c r="C8968" s="55" t="s">
        <v>9976</v>
      </c>
      <c r="D8968" s="55" t="s">
        <v>9977</v>
      </c>
      <c r="E8968" s="55" t="s">
        <v>9978</v>
      </c>
      <c r="F8968" s="55" t="s">
        <v>9979</v>
      </c>
      <c r="G8968" s="15" t="s">
        <v>605</v>
      </c>
      <c r="H8968" s="67">
        <v>1</v>
      </c>
      <c r="I8968" s="16">
        <v>470000000</v>
      </c>
      <c r="J8968" s="16" t="s">
        <v>229</v>
      </c>
      <c r="K8968" s="6" t="s">
        <v>9655</v>
      </c>
      <c r="L8968" s="16" t="s">
        <v>621</v>
      </c>
      <c r="M8968" s="79"/>
      <c r="N8968" s="65" t="s">
        <v>9488</v>
      </c>
      <c r="O8968" s="78" t="s">
        <v>9967</v>
      </c>
      <c r="P8968" s="94"/>
      <c r="Q8968" s="94"/>
      <c r="R8968" s="94"/>
      <c r="S8968" s="72"/>
      <c r="T8968" s="1">
        <v>446428.56</v>
      </c>
      <c r="U8968" s="1">
        <f t="shared" si="642"/>
        <v>499999.98720000003</v>
      </c>
      <c r="V8968" s="3" t="s">
        <v>610</v>
      </c>
      <c r="W8968" s="3">
        <v>2014</v>
      </c>
      <c r="X8968" s="56"/>
    </row>
    <row r="8969" spans="1:24" ht="114.75">
      <c r="A8969" s="3" t="s">
        <v>11338</v>
      </c>
      <c r="B8969" s="15" t="s">
        <v>361</v>
      </c>
      <c r="C8969" s="55" t="s">
        <v>9980</v>
      </c>
      <c r="D8969" s="55" t="s">
        <v>9981</v>
      </c>
      <c r="E8969" s="55" t="s">
        <v>9981</v>
      </c>
      <c r="F8969" s="55"/>
      <c r="G8969" s="15" t="s">
        <v>605</v>
      </c>
      <c r="H8969" s="67">
        <v>1</v>
      </c>
      <c r="I8969" s="16">
        <v>470000000</v>
      </c>
      <c r="J8969" s="16" t="s">
        <v>229</v>
      </c>
      <c r="K8969" s="56" t="s">
        <v>633</v>
      </c>
      <c r="L8969" s="16" t="s">
        <v>621</v>
      </c>
      <c r="M8969" s="79"/>
      <c r="N8969" s="65" t="s">
        <v>9454</v>
      </c>
      <c r="O8969" s="78" t="s">
        <v>9967</v>
      </c>
      <c r="P8969" s="94"/>
      <c r="Q8969" s="94"/>
      <c r="R8969" s="94"/>
      <c r="S8969" s="72"/>
      <c r="T8969" s="4">
        <v>0</v>
      </c>
      <c r="U8969" s="4">
        <f t="shared" si="642"/>
        <v>0</v>
      </c>
      <c r="V8969" s="95" t="s">
        <v>610</v>
      </c>
      <c r="W8969" s="3">
        <v>2014</v>
      </c>
      <c r="X8969" s="56" t="s">
        <v>14265</v>
      </c>
    </row>
    <row r="8970" spans="1:24" ht="114.75">
      <c r="A8970" s="3" t="s">
        <v>14228</v>
      </c>
      <c r="B8970" s="15" t="s">
        <v>361</v>
      </c>
      <c r="C8970" s="55" t="s">
        <v>9980</v>
      </c>
      <c r="D8970" s="55" t="s">
        <v>9981</v>
      </c>
      <c r="E8970" s="55" t="s">
        <v>9981</v>
      </c>
      <c r="F8970" s="55"/>
      <c r="G8970" s="15" t="s">
        <v>605</v>
      </c>
      <c r="H8970" s="67">
        <v>1</v>
      </c>
      <c r="I8970" s="16">
        <v>470000000</v>
      </c>
      <c r="J8970" s="16" t="s">
        <v>229</v>
      </c>
      <c r="K8970" s="56" t="s">
        <v>9453</v>
      </c>
      <c r="L8970" s="16" t="s">
        <v>621</v>
      </c>
      <c r="M8970" s="79"/>
      <c r="N8970" s="65" t="s">
        <v>14266</v>
      </c>
      <c r="O8970" s="78" t="s">
        <v>14264</v>
      </c>
      <c r="P8970" s="94"/>
      <c r="Q8970" s="94"/>
      <c r="R8970" s="94"/>
      <c r="S8970" s="72"/>
      <c r="T8970" s="1">
        <v>2456067.85</v>
      </c>
      <c r="U8970" s="1">
        <f>T8970*1.12</f>
        <v>2750795.9920000006</v>
      </c>
      <c r="V8970" s="95" t="s">
        <v>610</v>
      </c>
      <c r="W8970" s="3">
        <v>2014</v>
      </c>
      <c r="X8970" s="56"/>
    </row>
    <row r="8971" spans="1:24" ht="114.75">
      <c r="A8971" s="3" t="s">
        <v>11339</v>
      </c>
      <c r="B8971" s="15" t="s">
        <v>361</v>
      </c>
      <c r="C8971" s="55" t="s">
        <v>11435</v>
      </c>
      <c r="D8971" s="55" t="s">
        <v>11436</v>
      </c>
      <c r="E8971" s="55" t="s">
        <v>11437</v>
      </c>
      <c r="F8971" s="55"/>
      <c r="G8971" s="15" t="s">
        <v>605</v>
      </c>
      <c r="H8971" s="67">
        <v>1</v>
      </c>
      <c r="I8971" s="16">
        <v>470000000</v>
      </c>
      <c r="J8971" s="16" t="s">
        <v>229</v>
      </c>
      <c r="K8971" s="56" t="s">
        <v>9655</v>
      </c>
      <c r="L8971" s="16" t="s">
        <v>621</v>
      </c>
      <c r="M8971" s="79"/>
      <c r="N8971" s="65" t="s">
        <v>9488</v>
      </c>
      <c r="O8971" s="78" t="s">
        <v>11438</v>
      </c>
      <c r="P8971" s="94"/>
      <c r="Q8971" s="94"/>
      <c r="R8971" s="94"/>
      <c r="S8971" s="72"/>
      <c r="T8971" s="4">
        <v>0</v>
      </c>
      <c r="U8971" s="4">
        <f t="shared" si="642"/>
        <v>0</v>
      </c>
      <c r="V8971" s="95" t="s">
        <v>610</v>
      </c>
      <c r="W8971" s="3">
        <v>2014</v>
      </c>
      <c r="X8971" s="56">
        <v>20.21</v>
      </c>
    </row>
    <row r="8972" spans="1:24" ht="114.75">
      <c r="A8972" s="3" t="s">
        <v>18197</v>
      </c>
      <c r="B8972" s="15" t="s">
        <v>361</v>
      </c>
      <c r="C8972" s="55" t="s">
        <v>11435</v>
      </c>
      <c r="D8972" s="55" t="s">
        <v>11436</v>
      </c>
      <c r="E8972" s="55" t="s">
        <v>11437</v>
      </c>
      <c r="F8972" s="55"/>
      <c r="G8972" s="15" t="s">
        <v>605</v>
      </c>
      <c r="H8972" s="67">
        <v>1</v>
      </c>
      <c r="I8972" s="16">
        <v>470000000</v>
      </c>
      <c r="J8972" s="16" t="s">
        <v>229</v>
      </c>
      <c r="K8972" s="56" t="s">
        <v>9655</v>
      </c>
      <c r="L8972" s="16" t="s">
        <v>621</v>
      </c>
      <c r="M8972" s="79"/>
      <c r="N8972" s="65" t="s">
        <v>9488</v>
      </c>
      <c r="O8972" s="78" t="s">
        <v>11438</v>
      </c>
      <c r="P8972" s="94"/>
      <c r="Q8972" s="94"/>
      <c r="R8972" s="94"/>
      <c r="S8972" s="72"/>
      <c r="T8972" s="4">
        <v>0</v>
      </c>
      <c r="U8972" s="4">
        <f t="shared" si="642"/>
        <v>0</v>
      </c>
      <c r="V8972" s="95" t="s">
        <v>610</v>
      </c>
      <c r="W8972" s="3">
        <v>2014</v>
      </c>
      <c r="X8972" s="56">
        <v>20.21</v>
      </c>
    </row>
    <row r="8973" spans="1:24" ht="114.75">
      <c r="A8973" s="3" t="s">
        <v>18775</v>
      </c>
      <c r="B8973" s="15" t="s">
        <v>361</v>
      </c>
      <c r="C8973" s="55" t="s">
        <v>11435</v>
      </c>
      <c r="D8973" s="55" t="s">
        <v>11436</v>
      </c>
      <c r="E8973" s="55" t="s">
        <v>11437</v>
      </c>
      <c r="F8973" s="55"/>
      <c r="G8973" s="15" t="s">
        <v>605</v>
      </c>
      <c r="H8973" s="67">
        <v>1</v>
      </c>
      <c r="I8973" s="16">
        <v>470000000</v>
      </c>
      <c r="J8973" s="16" t="s">
        <v>229</v>
      </c>
      <c r="K8973" s="56" t="s">
        <v>9655</v>
      </c>
      <c r="L8973" s="16" t="s">
        <v>621</v>
      </c>
      <c r="M8973" s="79"/>
      <c r="N8973" s="65" t="s">
        <v>9488</v>
      </c>
      <c r="O8973" s="78" t="s">
        <v>11438</v>
      </c>
      <c r="P8973" s="94"/>
      <c r="Q8973" s="94"/>
      <c r="R8973" s="94"/>
      <c r="S8973" s="72"/>
      <c r="T8973" s="4">
        <v>0</v>
      </c>
      <c r="U8973" s="4">
        <f t="shared" si="642"/>
        <v>0</v>
      </c>
      <c r="V8973" s="95" t="s">
        <v>610</v>
      </c>
      <c r="W8973" s="3">
        <v>2014</v>
      </c>
      <c r="X8973" s="56">
        <v>20.21</v>
      </c>
    </row>
    <row r="8974" spans="1:24" ht="114.75">
      <c r="A8974" s="3" t="s">
        <v>19093</v>
      </c>
      <c r="B8974" s="15" t="s">
        <v>361</v>
      </c>
      <c r="C8974" s="55" t="s">
        <v>11435</v>
      </c>
      <c r="D8974" s="55" t="s">
        <v>11436</v>
      </c>
      <c r="E8974" s="55" t="s">
        <v>11437</v>
      </c>
      <c r="F8974" s="55"/>
      <c r="G8974" s="15" t="s">
        <v>605</v>
      </c>
      <c r="H8974" s="67">
        <v>1</v>
      </c>
      <c r="I8974" s="16">
        <v>470000000</v>
      </c>
      <c r="J8974" s="16" t="s">
        <v>229</v>
      </c>
      <c r="K8974" s="56" t="s">
        <v>9655</v>
      </c>
      <c r="L8974" s="16" t="s">
        <v>621</v>
      </c>
      <c r="M8974" s="79"/>
      <c r="N8974" s="65" t="s">
        <v>9488</v>
      </c>
      <c r="O8974" s="78" t="s">
        <v>11438</v>
      </c>
      <c r="P8974" s="94"/>
      <c r="Q8974" s="94"/>
      <c r="R8974" s="94"/>
      <c r="S8974" s="72"/>
      <c r="T8974" s="1">
        <v>0</v>
      </c>
      <c r="U8974" s="1">
        <f t="shared" ref="U8974" si="644">T8974*1.12</f>
        <v>0</v>
      </c>
      <c r="V8974" s="95" t="s">
        <v>610</v>
      </c>
      <c r="W8974" s="3">
        <v>2014</v>
      </c>
      <c r="X8974" s="56">
        <v>20.21</v>
      </c>
    </row>
    <row r="8975" spans="1:24" ht="114.75">
      <c r="A8975" s="3" t="s">
        <v>19661</v>
      </c>
      <c r="B8975" s="15" t="s">
        <v>361</v>
      </c>
      <c r="C8975" s="55" t="s">
        <v>11435</v>
      </c>
      <c r="D8975" s="55" t="s">
        <v>11436</v>
      </c>
      <c r="E8975" s="55" t="s">
        <v>11437</v>
      </c>
      <c r="F8975" s="55"/>
      <c r="G8975" s="15" t="s">
        <v>605</v>
      </c>
      <c r="H8975" s="67">
        <v>1</v>
      </c>
      <c r="I8975" s="16">
        <v>470000000</v>
      </c>
      <c r="J8975" s="16" t="s">
        <v>229</v>
      </c>
      <c r="K8975" s="56" t="s">
        <v>9655</v>
      </c>
      <c r="L8975" s="16" t="s">
        <v>621</v>
      </c>
      <c r="M8975" s="79"/>
      <c r="N8975" s="65" t="s">
        <v>9488</v>
      </c>
      <c r="O8975" s="78" t="s">
        <v>11438</v>
      </c>
      <c r="P8975" s="94"/>
      <c r="Q8975" s="94"/>
      <c r="R8975" s="94"/>
      <c r="S8975" s="72"/>
      <c r="T8975" s="1">
        <v>117239487</v>
      </c>
      <c r="U8975" s="1">
        <f t="shared" ref="U8975" si="645">T8975*1.12</f>
        <v>131308225.44000001</v>
      </c>
      <c r="V8975" s="95" t="s">
        <v>610</v>
      </c>
      <c r="W8975" s="3">
        <v>2014</v>
      </c>
      <c r="X8975" s="56"/>
    </row>
    <row r="8976" spans="1:24" ht="89.25">
      <c r="A8976" s="3" t="s">
        <v>11340</v>
      </c>
      <c r="B8976" s="55" t="s">
        <v>9166</v>
      </c>
      <c r="C8976" s="16" t="s">
        <v>9976</v>
      </c>
      <c r="D8976" s="16" t="s">
        <v>9977</v>
      </c>
      <c r="E8976" s="16" t="s">
        <v>9978</v>
      </c>
      <c r="F8976" s="16" t="s">
        <v>9982</v>
      </c>
      <c r="G8976" s="96" t="s">
        <v>605</v>
      </c>
      <c r="H8976" s="67">
        <v>1</v>
      </c>
      <c r="I8976" s="55">
        <v>470000000</v>
      </c>
      <c r="J8976" s="16" t="s">
        <v>229</v>
      </c>
      <c r="K8976" s="6" t="s">
        <v>9016</v>
      </c>
      <c r="L8976" s="16" t="s">
        <v>621</v>
      </c>
      <c r="M8976" s="79"/>
      <c r="N8976" s="65" t="s">
        <v>9488</v>
      </c>
      <c r="O8976" s="78" t="s">
        <v>9983</v>
      </c>
      <c r="P8976" s="79"/>
      <c r="Q8976" s="79"/>
      <c r="R8976" s="79"/>
      <c r="S8976" s="79"/>
      <c r="T8976" s="1">
        <v>3600000</v>
      </c>
      <c r="U8976" s="1">
        <f t="shared" si="642"/>
        <v>4032000.0000000005</v>
      </c>
      <c r="V8976" s="4"/>
      <c r="W8976" s="3">
        <v>2014</v>
      </c>
      <c r="X8976" s="3"/>
    </row>
    <row r="8977" spans="1:24" ht="63.75">
      <c r="A8977" s="3" t="s">
        <v>11341</v>
      </c>
      <c r="B8977" s="55" t="s">
        <v>9166</v>
      </c>
      <c r="C8977" s="16" t="s">
        <v>9984</v>
      </c>
      <c r="D8977" s="16" t="s">
        <v>9985</v>
      </c>
      <c r="E8977" s="16" t="s">
        <v>9985</v>
      </c>
      <c r="F8977" s="209" t="s">
        <v>9986</v>
      </c>
      <c r="G8977" s="96" t="s">
        <v>605</v>
      </c>
      <c r="H8977" s="67">
        <v>1</v>
      </c>
      <c r="I8977" s="55">
        <v>470000000</v>
      </c>
      <c r="J8977" s="16" t="s">
        <v>229</v>
      </c>
      <c r="K8977" s="56" t="s">
        <v>403</v>
      </c>
      <c r="L8977" s="16" t="s">
        <v>621</v>
      </c>
      <c r="M8977" s="79"/>
      <c r="N8977" s="61" t="s">
        <v>9987</v>
      </c>
      <c r="O8977" s="78" t="s">
        <v>9988</v>
      </c>
      <c r="P8977" s="79"/>
      <c r="Q8977" s="79"/>
      <c r="R8977" s="79"/>
      <c r="S8977" s="79"/>
      <c r="T8977" s="1">
        <v>1226760</v>
      </c>
      <c r="U8977" s="1">
        <f t="shared" si="642"/>
        <v>1373971.2000000002</v>
      </c>
      <c r="V8977" s="79"/>
      <c r="W8977" s="3">
        <v>2014</v>
      </c>
      <c r="X8977" s="3"/>
    </row>
    <row r="8978" spans="1:24" ht="63.75">
      <c r="A8978" s="3" t="s">
        <v>11342</v>
      </c>
      <c r="B8978" s="210" t="s">
        <v>361</v>
      </c>
      <c r="C8978" s="16" t="s">
        <v>9989</v>
      </c>
      <c r="D8978" s="16" t="s">
        <v>9990</v>
      </c>
      <c r="E8978" s="16" t="s">
        <v>9991</v>
      </c>
      <c r="F8978" s="16" t="s">
        <v>9992</v>
      </c>
      <c r="G8978" s="201" t="s">
        <v>605</v>
      </c>
      <c r="H8978" s="67">
        <v>1</v>
      </c>
      <c r="I8978" s="55">
        <v>470000000</v>
      </c>
      <c r="J8978" s="16" t="s">
        <v>229</v>
      </c>
      <c r="K8978" s="56" t="s">
        <v>9993</v>
      </c>
      <c r="L8978" s="16" t="s">
        <v>621</v>
      </c>
      <c r="M8978" s="79"/>
      <c r="N8978" s="65" t="s">
        <v>9994</v>
      </c>
      <c r="O8978" s="78" t="s">
        <v>9988</v>
      </c>
      <c r="P8978" s="96"/>
      <c r="Q8978" s="96"/>
      <c r="R8978" s="96"/>
      <c r="S8978" s="96"/>
      <c r="T8978" s="1">
        <v>12100000</v>
      </c>
      <c r="U8978" s="1">
        <f t="shared" si="642"/>
        <v>13552000.000000002</v>
      </c>
      <c r="V8978" s="79"/>
      <c r="W8978" s="3">
        <v>2014</v>
      </c>
      <c r="X8978" s="3"/>
    </row>
    <row r="8979" spans="1:24" ht="140.25">
      <c r="A8979" s="3" t="s">
        <v>11343</v>
      </c>
      <c r="B8979" s="210" t="s">
        <v>361</v>
      </c>
      <c r="C8979" s="16" t="s">
        <v>9825</v>
      </c>
      <c r="D8979" s="16" t="s">
        <v>9826</v>
      </c>
      <c r="E8979" s="16" t="s">
        <v>9827</v>
      </c>
      <c r="F8979" s="16" t="s">
        <v>9995</v>
      </c>
      <c r="G8979" s="201" t="s">
        <v>605</v>
      </c>
      <c r="H8979" s="67">
        <v>1</v>
      </c>
      <c r="I8979" s="55">
        <v>470000000</v>
      </c>
      <c r="J8979" s="16" t="s">
        <v>229</v>
      </c>
      <c r="K8979" s="6" t="s">
        <v>9660</v>
      </c>
      <c r="L8979" s="16" t="s">
        <v>621</v>
      </c>
      <c r="M8979" s="79"/>
      <c r="N8979" s="65" t="s">
        <v>9488</v>
      </c>
      <c r="O8979" s="78" t="s">
        <v>9910</v>
      </c>
      <c r="P8979" s="96"/>
      <c r="Q8979" s="96"/>
      <c r="R8979" s="96"/>
      <c r="S8979" s="96"/>
      <c r="T8979" s="1">
        <v>80250</v>
      </c>
      <c r="U8979" s="1">
        <f t="shared" si="642"/>
        <v>89880.000000000015</v>
      </c>
      <c r="V8979" s="79"/>
      <c r="W8979" s="3">
        <v>2014</v>
      </c>
      <c r="X8979" s="3"/>
    </row>
    <row r="8980" spans="1:24" ht="89.25">
      <c r="A8980" s="3" t="s">
        <v>11344</v>
      </c>
      <c r="B8980" s="6" t="s">
        <v>361</v>
      </c>
      <c r="C8980" s="16" t="s">
        <v>9996</v>
      </c>
      <c r="D8980" s="16" t="s">
        <v>9997</v>
      </c>
      <c r="E8980" s="16" t="s">
        <v>9998</v>
      </c>
      <c r="F8980" s="6" t="s">
        <v>9999</v>
      </c>
      <c r="G8980" s="201" t="s">
        <v>605</v>
      </c>
      <c r="H8980" s="67">
        <v>1</v>
      </c>
      <c r="I8980" s="16">
        <v>470000000</v>
      </c>
      <c r="J8980" s="16" t="s">
        <v>229</v>
      </c>
      <c r="K8980" s="6" t="s">
        <v>7699</v>
      </c>
      <c r="L8980" s="16" t="s">
        <v>10000</v>
      </c>
      <c r="M8980" s="162"/>
      <c r="N8980" s="65" t="s">
        <v>9454</v>
      </c>
      <c r="O8980" s="162" t="s">
        <v>9567</v>
      </c>
      <c r="P8980" s="3"/>
      <c r="Q8980" s="3"/>
      <c r="R8980" s="3"/>
      <c r="S8980" s="1"/>
      <c r="T8980" s="4">
        <v>0</v>
      </c>
      <c r="U8980" s="4">
        <f t="shared" si="642"/>
        <v>0</v>
      </c>
      <c r="V8980" s="79"/>
      <c r="W8980" s="3">
        <v>2014</v>
      </c>
      <c r="X8980" s="3" t="s">
        <v>16552</v>
      </c>
    </row>
    <row r="8981" spans="1:24" ht="89.25">
      <c r="A8981" s="3" t="s">
        <v>18238</v>
      </c>
      <c r="B8981" s="6" t="s">
        <v>361</v>
      </c>
      <c r="C8981" s="16" t="s">
        <v>9996</v>
      </c>
      <c r="D8981" s="16" t="s">
        <v>9997</v>
      </c>
      <c r="E8981" s="16" t="s">
        <v>9998</v>
      </c>
      <c r="F8981" s="6" t="s">
        <v>9999</v>
      </c>
      <c r="G8981" s="201" t="s">
        <v>11450</v>
      </c>
      <c r="H8981" s="67">
        <v>1</v>
      </c>
      <c r="I8981" s="16">
        <v>470000000</v>
      </c>
      <c r="J8981" s="16" t="s">
        <v>229</v>
      </c>
      <c r="K8981" s="6" t="s">
        <v>9041</v>
      </c>
      <c r="L8981" s="16" t="s">
        <v>10000</v>
      </c>
      <c r="M8981" s="162"/>
      <c r="N8981" s="65" t="s">
        <v>9454</v>
      </c>
      <c r="O8981" s="162" t="s">
        <v>9567</v>
      </c>
      <c r="P8981" s="3"/>
      <c r="Q8981" s="3"/>
      <c r="R8981" s="3"/>
      <c r="S8981" s="1"/>
      <c r="T8981" s="4">
        <v>0</v>
      </c>
      <c r="U8981" s="4">
        <f t="shared" si="642"/>
        <v>0</v>
      </c>
      <c r="V8981" s="79"/>
      <c r="W8981" s="3">
        <v>2014</v>
      </c>
      <c r="X8981" s="3">
        <v>11</v>
      </c>
    </row>
    <row r="8982" spans="1:24" ht="89.25">
      <c r="A8982" s="3" t="s">
        <v>18520</v>
      </c>
      <c r="B8982" s="6" t="s">
        <v>361</v>
      </c>
      <c r="C8982" s="16" t="s">
        <v>9996</v>
      </c>
      <c r="D8982" s="16" t="s">
        <v>9997</v>
      </c>
      <c r="E8982" s="16" t="s">
        <v>9998</v>
      </c>
      <c r="F8982" s="6" t="s">
        <v>9999</v>
      </c>
      <c r="G8982" s="201" t="s">
        <v>11450</v>
      </c>
      <c r="H8982" s="67">
        <v>1</v>
      </c>
      <c r="I8982" s="16">
        <v>470000000</v>
      </c>
      <c r="J8982" s="16" t="s">
        <v>229</v>
      </c>
      <c r="K8982" s="6" t="s">
        <v>9369</v>
      </c>
      <c r="L8982" s="16" t="s">
        <v>10000</v>
      </c>
      <c r="M8982" s="162"/>
      <c r="N8982" s="65" t="s">
        <v>9454</v>
      </c>
      <c r="O8982" s="162" t="s">
        <v>9567</v>
      </c>
      <c r="P8982" s="3"/>
      <c r="Q8982" s="3"/>
      <c r="R8982" s="3"/>
      <c r="S8982" s="1"/>
      <c r="T8982" s="1">
        <v>0</v>
      </c>
      <c r="U8982" s="97">
        <f t="shared" si="642"/>
        <v>0</v>
      </c>
      <c r="V8982" s="79"/>
      <c r="W8982" s="3">
        <v>2014</v>
      </c>
      <c r="X8982" s="3" t="s">
        <v>12076</v>
      </c>
    </row>
    <row r="8983" spans="1:24" ht="89.25">
      <c r="A8983" s="3" t="s">
        <v>11345</v>
      </c>
      <c r="B8983" s="6" t="s">
        <v>361</v>
      </c>
      <c r="C8983" s="16" t="s">
        <v>9996</v>
      </c>
      <c r="D8983" s="16" t="s">
        <v>9997</v>
      </c>
      <c r="E8983" s="16" t="s">
        <v>9998</v>
      </c>
      <c r="F8983" s="6" t="s">
        <v>10001</v>
      </c>
      <c r="G8983" s="201" t="s">
        <v>605</v>
      </c>
      <c r="H8983" s="67">
        <v>1</v>
      </c>
      <c r="I8983" s="16">
        <v>470000000</v>
      </c>
      <c r="J8983" s="16" t="s">
        <v>229</v>
      </c>
      <c r="K8983" s="6" t="s">
        <v>7699</v>
      </c>
      <c r="L8983" s="16" t="s">
        <v>10000</v>
      </c>
      <c r="M8983" s="162"/>
      <c r="N8983" s="65" t="s">
        <v>9454</v>
      </c>
      <c r="O8983" s="162" t="s">
        <v>9567</v>
      </c>
      <c r="P8983" s="3"/>
      <c r="Q8983" s="3"/>
      <c r="R8983" s="3"/>
      <c r="S8983" s="1"/>
      <c r="T8983" s="4">
        <v>0</v>
      </c>
      <c r="U8983" s="5">
        <f t="shared" si="642"/>
        <v>0</v>
      </c>
      <c r="V8983" s="79"/>
      <c r="W8983" s="3">
        <v>2014</v>
      </c>
      <c r="X8983" s="3">
        <v>7</v>
      </c>
    </row>
    <row r="8984" spans="1:24" ht="89.25">
      <c r="A8984" s="3" t="s">
        <v>11816</v>
      </c>
      <c r="B8984" s="6" t="s">
        <v>361</v>
      </c>
      <c r="C8984" s="16" t="s">
        <v>9996</v>
      </c>
      <c r="D8984" s="16" t="s">
        <v>9997</v>
      </c>
      <c r="E8984" s="16" t="s">
        <v>9998</v>
      </c>
      <c r="F8984" s="6" t="s">
        <v>10001</v>
      </c>
      <c r="G8984" s="3" t="s">
        <v>11450</v>
      </c>
      <c r="H8984" s="67">
        <v>1</v>
      </c>
      <c r="I8984" s="16">
        <v>470000000</v>
      </c>
      <c r="J8984" s="16" t="s">
        <v>229</v>
      </c>
      <c r="K8984" s="6" t="s">
        <v>7699</v>
      </c>
      <c r="L8984" s="16" t="s">
        <v>10000</v>
      </c>
      <c r="M8984" s="162"/>
      <c r="N8984" s="65" t="s">
        <v>9454</v>
      </c>
      <c r="O8984" s="162" t="s">
        <v>9567</v>
      </c>
      <c r="P8984" s="3"/>
      <c r="Q8984" s="3"/>
      <c r="R8984" s="3"/>
      <c r="S8984" s="1"/>
      <c r="T8984" s="4">
        <v>0</v>
      </c>
      <c r="U8984" s="5">
        <f>T8984*1.12</f>
        <v>0</v>
      </c>
      <c r="V8984" s="79"/>
      <c r="W8984" s="3">
        <v>2014</v>
      </c>
      <c r="X8984" s="3" t="s">
        <v>11822</v>
      </c>
    </row>
    <row r="8985" spans="1:24" ht="89.25">
      <c r="A8985" s="3" t="s">
        <v>18239</v>
      </c>
      <c r="B8985" s="6" t="s">
        <v>361</v>
      </c>
      <c r="C8985" s="16" t="s">
        <v>9996</v>
      </c>
      <c r="D8985" s="16" t="s">
        <v>9997</v>
      </c>
      <c r="E8985" s="16" t="s">
        <v>9998</v>
      </c>
      <c r="F8985" s="6" t="s">
        <v>10001</v>
      </c>
      <c r="G8985" s="3" t="s">
        <v>11450</v>
      </c>
      <c r="H8985" s="67">
        <v>1</v>
      </c>
      <c r="I8985" s="16">
        <v>470000000</v>
      </c>
      <c r="J8985" s="16" t="s">
        <v>229</v>
      </c>
      <c r="K8985" s="6" t="s">
        <v>9041</v>
      </c>
      <c r="L8985" s="16" t="s">
        <v>10000</v>
      </c>
      <c r="M8985" s="162"/>
      <c r="N8985" s="65" t="s">
        <v>9454</v>
      </c>
      <c r="O8985" s="162" t="s">
        <v>9567</v>
      </c>
      <c r="P8985" s="3"/>
      <c r="Q8985" s="3"/>
      <c r="R8985" s="3"/>
      <c r="S8985" s="1"/>
      <c r="T8985" s="4">
        <v>0</v>
      </c>
      <c r="U8985" s="5">
        <f>T8985*1.12</f>
        <v>0</v>
      </c>
      <c r="V8985" s="79"/>
      <c r="W8985" s="3">
        <v>2014</v>
      </c>
      <c r="X8985" s="3">
        <v>11</v>
      </c>
    </row>
    <row r="8986" spans="1:24" ht="89.25">
      <c r="A8986" s="3" t="s">
        <v>18521</v>
      </c>
      <c r="B8986" s="6" t="s">
        <v>361</v>
      </c>
      <c r="C8986" s="16" t="s">
        <v>9996</v>
      </c>
      <c r="D8986" s="16" t="s">
        <v>9997</v>
      </c>
      <c r="E8986" s="16" t="s">
        <v>9998</v>
      </c>
      <c r="F8986" s="6" t="s">
        <v>10001</v>
      </c>
      <c r="G8986" s="3" t="s">
        <v>11450</v>
      </c>
      <c r="H8986" s="67">
        <v>1</v>
      </c>
      <c r="I8986" s="16">
        <v>470000000</v>
      </c>
      <c r="J8986" s="16" t="s">
        <v>229</v>
      </c>
      <c r="K8986" s="6" t="s">
        <v>9369</v>
      </c>
      <c r="L8986" s="16" t="s">
        <v>10000</v>
      </c>
      <c r="M8986" s="162"/>
      <c r="N8986" s="65" t="s">
        <v>9454</v>
      </c>
      <c r="O8986" s="162" t="s">
        <v>9567</v>
      </c>
      <c r="P8986" s="3"/>
      <c r="Q8986" s="3"/>
      <c r="R8986" s="3"/>
      <c r="S8986" s="1"/>
      <c r="T8986" s="1">
        <v>0</v>
      </c>
      <c r="U8986" s="97">
        <f>T8986*1.12</f>
        <v>0</v>
      </c>
      <c r="V8986" s="79"/>
      <c r="W8986" s="3">
        <v>2014</v>
      </c>
      <c r="X8986" s="3" t="s">
        <v>12076</v>
      </c>
    </row>
    <row r="8987" spans="1:24" ht="127.5">
      <c r="A8987" s="3" t="s">
        <v>11346</v>
      </c>
      <c r="B8987" s="56" t="s">
        <v>361</v>
      </c>
      <c r="C8987" s="16" t="s">
        <v>10002</v>
      </c>
      <c r="D8987" s="16" t="s">
        <v>10003</v>
      </c>
      <c r="E8987" s="16" t="s">
        <v>11687</v>
      </c>
      <c r="F8987" s="79"/>
      <c r="G8987" s="198" t="s">
        <v>605</v>
      </c>
      <c r="H8987" s="67">
        <v>1</v>
      </c>
      <c r="I8987" s="16">
        <v>470000000</v>
      </c>
      <c r="J8987" s="16" t="s">
        <v>229</v>
      </c>
      <c r="K8987" s="56" t="s">
        <v>10004</v>
      </c>
      <c r="L8987" s="16" t="s">
        <v>621</v>
      </c>
      <c r="M8987" s="79"/>
      <c r="N8987" s="65" t="s">
        <v>10005</v>
      </c>
      <c r="O8987" s="78" t="s">
        <v>9910</v>
      </c>
      <c r="P8987" s="79"/>
      <c r="Q8987" s="87"/>
      <c r="R8987" s="87"/>
      <c r="S8987" s="163"/>
      <c r="T8987" s="4">
        <v>0</v>
      </c>
      <c r="U8987" s="4">
        <f t="shared" si="642"/>
        <v>0</v>
      </c>
      <c r="V8987" s="79"/>
      <c r="W8987" s="242">
        <v>2014</v>
      </c>
      <c r="X8987" s="56">
        <v>20.21</v>
      </c>
    </row>
    <row r="8988" spans="1:24" ht="127.5">
      <c r="A8988" s="3" t="s">
        <v>16426</v>
      </c>
      <c r="B8988" s="56" t="s">
        <v>361</v>
      </c>
      <c r="C8988" s="16" t="s">
        <v>10002</v>
      </c>
      <c r="D8988" s="16" t="s">
        <v>10003</v>
      </c>
      <c r="E8988" s="16" t="s">
        <v>11687</v>
      </c>
      <c r="F8988" s="79"/>
      <c r="G8988" s="198" t="s">
        <v>605</v>
      </c>
      <c r="H8988" s="67">
        <v>1</v>
      </c>
      <c r="I8988" s="16">
        <v>470000000</v>
      </c>
      <c r="J8988" s="16" t="s">
        <v>229</v>
      </c>
      <c r="K8988" s="56" t="s">
        <v>10004</v>
      </c>
      <c r="L8988" s="16" t="s">
        <v>621</v>
      </c>
      <c r="M8988" s="79"/>
      <c r="N8988" s="65" t="s">
        <v>10005</v>
      </c>
      <c r="O8988" s="78" t="s">
        <v>9910</v>
      </c>
      <c r="P8988" s="79"/>
      <c r="Q8988" s="87"/>
      <c r="R8988" s="87"/>
      <c r="S8988" s="163"/>
      <c r="T8988" s="1">
        <v>46183252</v>
      </c>
      <c r="U8988" s="1">
        <f t="shared" si="642"/>
        <v>51725242.240000002</v>
      </c>
      <c r="V8988" s="79"/>
      <c r="W8988" s="242">
        <v>2014</v>
      </c>
      <c r="X8988" s="56"/>
    </row>
    <row r="8989" spans="1:24" ht="102">
      <c r="A8989" s="3" t="s">
        <v>11347</v>
      </c>
      <c r="B8989" s="56" t="s">
        <v>361</v>
      </c>
      <c r="C8989" s="16" t="s">
        <v>10006</v>
      </c>
      <c r="D8989" s="16" t="s">
        <v>10007</v>
      </c>
      <c r="E8989" s="16" t="s">
        <v>10008</v>
      </c>
      <c r="F8989" s="16" t="s">
        <v>10009</v>
      </c>
      <c r="G8989" s="198" t="s">
        <v>605</v>
      </c>
      <c r="H8989" s="67">
        <v>1</v>
      </c>
      <c r="I8989" s="16">
        <v>470000000</v>
      </c>
      <c r="J8989" s="16" t="s">
        <v>229</v>
      </c>
      <c r="K8989" s="56" t="s">
        <v>10010</v>
      </c>
      <c r="L8989" s="16" t="s">
        <v>621</v>
      </c>
      <c r="M8989" s="79"/>
      <c r="N8989" s="65" t="s">
        <v>10011</v>
      </c>
      <c r="O8989" s="162" t="s">
        <v>10012</v>
      </c>
      <c r="P8989" s="79"/>
      <c r="Q8989" s="87"/>
      <c r="R8989" s="87"/>
      <c r="S8989" s="163"/>
      <c r="T8989" s="4">
        <v>0</v>
      </c>
      <c r="U8989" s="4">
        <f t="shared" si="642"/>
        <v>0</v>
      </c>
      <c r="V8989" s="4"/>
      <c r="W8989" s="242">
        <v>2014</v>
      </c>
      <c r="X8989" s="56" t="s">
        <v>12076</v>
      </c>
    </row>
    <row r="8990" spans="1:24" ht="102">
      <c r="A8990" s="3" t="s">
        <v>11348</v>
      </c>
      <c r="B8990" s="56" t="s">
        <v>361</v>
      </c>
      <c r="C8990" s="16" t="s">
        <v>10006</v>
      </c>
      <c r="D8990" s="16" t="s">
        <v>10007</v>
      </c>
      <c r="E8990" s="16" t="s">
        <v>10008</v>
      </c>
      <c r="F8990" s="16" t="s">
        <v>10013</v>
      </c>
      <c r="G8990" s="198" t="s">
        <v>605</v>
      </c>
      <c r="H8990" s="67">
        <v>1</v>
      </c>
      <c r="I8990" s="16">
        <v>470000000</v>
      </c>
      <c r="J8990" s="16" t="s">
        <v>229</v>
      </c>
      <c r="K8990" s="15" t="s">
        <v>10014</v>
      </c>
      <c r="L8990" s="6" t="s">
        <v>621</v>
      </c>
      <c r="M8990" s="72"/>
      <c r="N8990" s="65" t="s">
        <v>10015</v>
      </c>
      <c r="O8990" s="162" t="s">
        <v>10012</v>
      </c>
      <c r="P8990" s="79"/>
      <c r="Q8990" s="87"/>
      <c r="R8990" s="87"/>
      <c r="S8990" s="163"/>
      <c r="T8990" s="4">
        <v>0</v>
      </c>
      <c r="U8990" s="4">
        <f t="shared" si="642"/>
        <v>0</v>
      </c>
      <c r="V8990" s="4"/>
      <c r="W8990" s="242">
        <v>2014</v>
      </c>
      <c r="X8990" s="56" t="s">
        <v>14335</v>
      </c>
    </row>
    <row r="8991" spans="1:24" ht="102">
      <c r="A8991" s="3" t="s">
        <v>14339</v>
      </c>
      <c r="B8991" s="56" t="s">
        <v>361</v>
      </c>
      <c r="C8991" s="16" t="s">
        <v>10006</v>
      </c>
      <c r="D8991" s="16" t="s">
        <v>10007</v>
      </c>
      <c r="E8991" s="16" t="s">
        <v>10008</v>
      </c>
      <c r="F8991" s="16" t="s">
        <v>10013</v>
      </c>
      <c r="G8991" s="198" t="s">
        <v>605</v>
      </c>
      <c r="H8991" s="67">
        <v>1</v>
      </c>
      <c r="I8991" s="16">
        <v>470000000</v>
      </c>
      <c r="J8991" s="16" t="s">
        <v>229</v>
      </c>
      <c r="K8991" s="56" t="s">
        <v>14324</v>
      </c>
      <c r="L8991" s="16" t="s">
        <v>621</v>
      </c>
      <c r="M8991" s="79"/>
      <c r="N8991" s="65" t="s">
        <v>10011</v>
      </c>
      <c r="O8991" s="162" t="s">
        <v>10012</v>
      </c>
      <c r="P8991" s="79"/>
      <c r="Q8991" s="87"/>
      <c r="R8991" s="87"/>
      <c r="S8991" s="163"/>
      <c r="T8991" s="4">
        <v>0</v>
      </c>
      <c r="U8991" s="4">
        <f>T8991*1.12</f>
        <v>0</v>
      </c>
      <c r="V8991" s="4"/>
      <c r="W8991" s="242">
        <v>2014</v>
      </c>
      <c r="X8991" s="56" t="s">
        <v>11822</v>
      </c>
    </row>
    <row r="8992" spans="1:24" ht="102">
      <c r="A8992" s="3" t="s">
        <v>16748</v>
      </c>
      <c r="B8992" s="56" t="s">
        <v>361</v>
      </c>
      <c r="C8992" s="16" t="s">
        <v>10006</v>
      </c>
      <c r="D8992" s="16" t="s">
        <v>10007</v>
      </c>
      <c r="E8992" s="16" t="s">
        <v>10008</v>
      </c>
      <c r="F8992" s="16" t="s">
        <v>10013</v>
      </c>
      <c r="G8992" s="198" t="s">
        <v>605</v>
      </c>
      <c r="H8992" s="67">
        <v>1</v>
      </c>
      <c r="I8992" s="16">
        <v>470000000</v>
      </c>
      <c r="J8992" s="16" t="s">
        <v>229</v>
      </c>
      <c r="K8992" s="56" t="s">
        <v>17014</v>
      </c>
      <c r="L8992" s="16" t="s">
        <v>621</v>
      </c>
      <c r="M8992" s="79"/>
      <c r="N8992" s="65" t="s">
        <v>10011</v>
      </c>
      <c r="O8992" s="162" t="s">
        <v>10012</v>
      </c>
      <c r="P8992" s="79"/>
      <c r="Q8992" s="87"/>
      <c r="R8992" s="87"/>
      <c r="S8992" s="163"/>
      <c r="T8992" s="4">
        <v>0</v>
      </c>
      <c r="U8992" s="4">
        <f>T8992*1.12</f>
        <v>0</v>
      </c>
      <c r="V8992" s="4"/>
      <c r="W8992" s="242">
        <v>2014</v>
      </c>
      <c r="X8992" s="56" t="s">
        <v>14263</v>
      </c>
    </row>
    <row r="8993" spans="1:24" ht="102">
      <c r="A8993" s="3" t="s">
        <v>18666</v>
      </c>
      <c r="B8993" s="56" t="s">
        <v>361</v>
      </c>
      <c r="C8993" s="16" t="s">
        <v>10006</v>
      </c>
      <c r="D8993" s="16" t="s">
        <v>10007</v>
      </c>
      <c r="E8993" s="16" t="s">
        <v>10008</v>
      </c>
      <c r="F8993" s="16" t="s">
        <v>10013</v>
      </c>
      <c r="G8993" s="198" t="s">
        <v>605</v>
      </c>
      <c r="H8993" s="67">
        <v>1</v>
      </c>
      <c r="I8993" s="16">
        <v>470000000</v>
      </c>
      <c r="J8993" s="16" t="s">
        <v>229</v>
      </c>
      <c r="K8993" s="56" t="s">
        <v>18667</v>
      </c>
      <c r="L8993" s="16" t="s">
        <v>621</v>
      </c>
      <c r="M8993" s="79"/>
      <c r="N8993" s="65" t="s">
        <v>15899</v>
      </c>
      <c r="O8993" s="162" t="s">
        <v>10012</v>
      </c>
      <c r="P8993" s="79"/>
      <c r="Q8993" s="87"/>
      <c r="R8993" s="87"/>
      <c r="S8993" s="163"/>
      <c r="T8993" s="4">
        <v>0</v>
      </c>
      <c r="U8993" s="4">
        <f>T8993*1.12</f>
        <v>0</v>
      </c>
      <c r="V8993" s="4"/>
      <c r="W8993" s="242">
        <v>2014</v>
      </c>
      <c r="X8993" s="56">
        <v>15</v>
      </c>
    </row>
    <row r="8994" spans="1:24" ht="102">
      <c r="A8994" s="3" t="s">
        <v>19292</v>
      </c>
      <c r="B8994" s="56" t="s">
        <v>361</v>
      </c>
      <c r="C8994" s="16" t="s">
        <v>10006</v>
      </c>
      <c r="D8994" s="16" t="s">
        <v>10007</v>
      </c>
      <c r="E8994" s="16" t="s">
        <v>10008</v>
      </c>
      <c r="F8994" s="16" t="s">
        <v>10013</v>
      </c>
      <c r="G8994" s="198" t="s">
        <v>605</v>
      </c>
      <c r="H8994" s="67">
        <v>1</v>
      </c>
      <c r="I8994" s="16">
        <v>470000000</v>
      </c>
      <c r="J8994" s="16" t="s">
        <v>229</v>
      </c>
      <c r="K8994" s="56" t="s">
        <v>18667</v>
      </c>
      <c r="L8994" s="16" t="s">
        <v>621</v>
      </c>
      <c r="M8994" s="79"/>
      <c r="N8994" s="65" t="s">
        <v>15899</v>
      </c>
      <c r="O8994" s="162" t="s">
        <v>19294</v>
      </c>
      <c r="P8994" s="79"/>
      <c r="Q8994" s="87"/>
      <c r="R8994" s="87"/>
      <c r="S8994" s="163"/>
      <c r="T8994" s="1">
        <v>9856000</v>
      </c>
      <c r="U8994" s="1">
        <f>T8994*1.12</f>
        <v>11038720.000000002</v>
      </c>
      <c r="V8994" s="4"/>
      <c r="W8994" s="242">
        <v>2014</v>
      </c>
      <c r="X8994" s="56"/>
    </row>
    <row r="8995" spans="1:24" ht="102">
      <c r="A8995" s="3" t="s">
        <v>11349</v>
      </c>
      <c r="B8995" s="56" t="s">
        <v>361</v>
      </c>
      <c r="C8995" s="16" t="s">
        <v>10006</v>
      </c>
      <c r="D8995" s="16" t="s">
        <v>10007</v>
      </c>
      <c r="E8995" s="16" t="s">
        <v>10008</v>
      </c>
      <c r="F8995" s="16" t="s">
        <v>10016</v>
      </c>
      <c r="G8995" s="198" t="s">
        <v>605</v>
      </c>
      <c r="H8995" s="67">
        <v>1</v>
      </c>
      <c r="I8995" s="16">
        <v>470000000</v>
      </c>
      <c r="J8995" s="16" t="s">
        <v>229</v>
      </c>
      <c r="K8995" s="56" t="s">
        <v>642</v>
      </c>
      <c r="L8995" s="16" t="s">
        <v>621</v>
      </c>
      <c r="M8995" s="79"/>
      <c r="N8995" s="65" t="s">
        <v>10017</v>
      </c>
      <c r="O8995" s="162" t="s">
        <v>10012</v>
      </c>
      <c r="P8995" s="79"/>
      <c r="Q8995" s="87"/>
      <c r="R8995" s="87"/>
      <c r="S8995" s="163"/>
      <c r="T8995" s="4">
        <v>0</v>
      </c>
      <c r="U8995" s="4">
        <f t="shared" si="642"/>
        <v>0</v>
      </c>
      <c r="V8995" s="4"/>
      <c r="W8995" s="242">
        <v>2014</v>
      </c>
      <c r="X8995" s="221" t="s">
        <v>14335</v>
      </c>
    </row>
    <row r="8996" spans="1:24" ht="102">
      <c r="A8996" s="3" t="s">
        <v>14333</v>
      </c>
      <c r="B8996" s="56" t="s">
        <v>361</v>
      </c>
      <c r="C8996" s="16" t="s">
        <v>10006</v>
      </c>
      <c r="D8996" s="16" t="s">
        <v>10007</v>
      </c>
      <c r="E8996" s="16" t="s">
        <v>10008</v>
      </c>
      <c r="F8996" s="16" t="s">
        <v>10016</v>
      </c>
      <c r="G8996" s="198" t="s">
        <v>605</v>
      </c>
      <c r="H8996" s="67">
        <v>1</v>
      </c>
      <c r="I8996" s="16">
        <v>470000000</v>
      </c>
      <c r="J8996" s="16" t="s">
        <v>229</v>
      </c>
      <c r="K8996" s="56" t="s">
        <v>14324</v>
      </c>
      <c r="L8996" s="16" t="s">
        <v>621</v>
      </c>
      <c r="M8996" s="79"/>
      <c r="N8996" s="65" t="s">
        <v>14334</v>
      </c>
      <c r="O8996" s="162" t="s">
        <v>10012</v>
      </c>
      <c r="P8996" s="79"/>
      <c r="Q8996" s="87"/>
      <c r="R8996" s="87"/>
      <c r="S8996" s="163"/>
      <c r="T8996" s="4">
        <v>0</v>
      </c>
      <c r="U8996" s="4">
        <f>T8996*1.12</f>
        <v>0</v>
      </c>
      <c r="V8996" s="4"/>
      <c r="W8996" s="242">
        <v>2014</v>
      </c>
      <c r="X8996" s="56">
        <v>15</v>
      </c>
    </row>
    <row r="8997" spans="1:24" ht="102">
      <c r="A8997" s="3" t="s">
        <v>19293</v>
      </c>
      <c r="B8997" s="56" t="s">
        <v>361</v>
      </c>
      <c r="C8997" s="16" t="s">
        <v>10006</v>
      </c>
      <c r="D8997" s="16" t="s">
        <v>10007</v>
      </c>
      <c r="E8997" s="16" t="s">
        <v>10008</v>
      </c>
      <c r="F8997" s="16" t="s">
        <v>10016</v>
      </c>
      <c r="G8997" s="198" t="s">
        <v>605</v>
      </c>
      <c r="H8997" s="67">
        <v>1</v>
      </c>
      <c r="I8997" s="16">
        <v>470000000</v>
      </c>
      <c r="J8997" s="16" t="s">
        <v>229</v>
      </c>
      <c r="K8997" s="56" t="s">
        <v>14324</v>
      </c>
      <c r="L8997" s="16" t="s">
        <v>621</v>
      </c>
      <c r="M8997" s="79"/>
      <c r="N8997" s="65" t="s">
        <v>14334</v>
      </c>
      <c r="O8997" s="162" t="s">
        <v>19294</v>
      </c>
      <c r="P8997" s="79"/>
      <c r="Q8997" s="87"/>
      <c r="R8997" s="87"/>
      <c r="S8997" s="163"/>
      <c r="T8997" s="1">
        <v>594000</v>
      </c>
      <c r="U8997" s="1">
        <f>T8997*1.12</f>
        <v>665280.00000000012</v>
      </c>
      <c r="V8997" s="4"/>
      <c r="W8997" s="242">
        <v>2014</v>
      </c>
      <c r="X8997" s="56"/>
    </row>
    <row r="8998" spans="1:24" ht="102">
      <c r="A8998" s="3" t="s">
        <v>11350</v>
      </c>
      <c r="B8998" s="56" t="s">
        <v>361</v>
      </c>
      <c r="C8998" s="16" t="s">
        <v>10006</v>
      </c>
      <c r="D8998" s="16" t="s">
        <v>10007</v>
      </c>
      <c r="E8998" s="16" t="s">
        <v>10008</v>
      </c>
      <c r="F8998" s="16" t="s">
        <v>10018</v>
      </c>
      <c r="G8998" s="198" t="s">
        <v>605</v>
      </c>
      <c r="H8998" s="67">
        <v>1</v>
      </c>
      <c r="I8998" s="16">
        <v>470000000</v>
      </c>
      <c r="J8998" s="16" t="s">
        <v>229</v>
      </c>
      <c r="K8998" s="56" t="s">
        <v>10019</v>
      </c>
      <c r="L8998" s="16" t="s">
        <v>621</v>
      </c>
      <c r="M8998" s="79"/>
      <c r="N8998" s="65" t="s">
        <v>10020</v>
      </c>
      <c r="O8998" s="162" t="s">
        <v>10012</v>
      </c>
      <c r="P8998" s="79"/>
      <c r="Q8998" s="87"/>
      <c r="R8998" s="87"/>
      <c r="S8998" s="163"/>
      <c r="T8998" s="4">
        <v>0</v>
      </c>
      <c r="U8998" s="4">
        <f t="shared" si="642"/>
        <v>0</v>
      </c>
      <c r="V8998" s="4"/>
      <c r="W8998" s="242">
        <v>2014</v>
      </c>
      <c r="X8998" s="56">
        <v>20.21</v>
      </c>
    </row>
    <row r="8999" spans="1:24" ht="102">
      <c r="A8999" s="3" t="s">
        <v>16749</v>
      </c>
      <c r="B8999" s="56" t="s">
        <v>361</v>
      </c>
      <c r="C8999" s="16" t="s">
        <v>10006</v>
      </c>
      <c r="D8999" s="16" t="s">
        <v>10007</v>
      </c>
      <c r="E8999" s="16" t="s">
        <v>10008</v>
      </c>
      <c r="F8999" s="16" t="s">
        <v>10018</v>
      </c>
      <c r="G8999" s="198" t="s">
        <v>605</v>
      </c>
      <c r="H8999" s="67">
        <v>1</v>
      </c>
      <c r="I8999" s="16">
        <v>470000000</v>
      </c>
      <c r="J8999" s="16" t="s">
        <v>229</v>
      </c>
      <c r="K8999" s="56" t="s">
        <v>10019</v>
      </c>
      <c r="L8999" s="16" t="s">
        <v>621</v>
      </c>
      <c r="M8999" s="79"/>
      <c r="N8999" s="65" t="s">
        <v>10020</v>
      </c>
      <c r="O8999" s="162" t="s">
        <v>10012</v>
      </c>
      <c r="P8999" s="79"/>
      <c r="Q8999" s="87"/>
      <c r="R8999" s="87"/>
      <c r="S8999" s="163"/>
      <c r="T8999" s="4">
        <v>0</v>
      </c>
      <c r="U8999" s="4">
        <f t="shared" si="642"/>
        <v>0</v>
      </c>
      <c r="V8999" s="4"/>
      <c r="W8999" s="242">
        <v>2014</v>
      </c>
      <c r="X8999" s="56">
        <v>11</v>
      </c>
    </row>
    <row r="9000" spans="1:24" ht="102">
      <c r="A9000" s="3" t="s">
        <v>18668</v>
      </c>
      <c r="B9000" s="56" t="s">
        <v>361</v>
      </c>
      <c r="C9000" s="16" t="s">
        <v>10006</v>
      </c>
      <c r="D9000" s="16" t="s">
        <v>10007</v>
      </c>
      <c r="E9000" s="16" t="s">
        <v>10008</v>
      </c>
      <c r="F9000" s="16" t="s">
        <v>10018</v>
      </c>
      <c r="G9000" s="198" t="s">
        <v>605</v>
      </c>
      <c r="H9000" s="67">
        <v>1</v>
      </c>
      <c r="I9000" s="16">
        <v>470000000</v>
      </c>
      <c r="J9000" s="16" t="s">
        <v>229</v>
      </c>
      <c r="K9000" s="56" t="s">
        <v>18667</v>
      </c>
      <c r="L9000" s="16" t="s">
        <v>621</v>
      </c>
      <c r="M9000" s="79"/>
      <c r="N9000" s="65" t="s">
        <v>10020</v>
      </c>
      <c r="O9000" s="162" t="s">
        <v>10012</v>
      </c>
      <c r="P9000" s="79"/>
      <c r="Q9000" s="87"/>
      <c r="R9000" s="87"/>
      <c r="S9000" s="163"/>
      <c r="T9000" s="4">
        <v>0</v>
      </c>
      <c r="U9000" s="4">
        <f t="shared" si="642"/>
        <v>0</v>
      </c>
      <c r="V9000" s="4"/>
      <c r="W9000" s="242">
        <v>2014</v>
      </c>
      <c r="X9000" s="56">
        <v>15</v>
      </c>
    </row>
    <row r="9001" spans="1:24" ht="102">
      <c r="A9001" s="3" t="s">
        <v>19295</v>
      </c>
      <c r="B9001" s="56" t="s">
        <v>361</v>
      </c>
      <c r="C9001" s="16" t="s">
        <v>10006</v>
      </c>
      <c r="D9001" s="16" t="s">
        <v>10007</v>
      </c>
      <c r="E9001" s="16" t="s">
        <v>10008</v>
      </c>
      <c r="F9001" s="16" t="s">
        <v>10018</v>
      </c>
      <c r="G9001" s="198" t="s">
        <v>605</v>
      </c>
      <c r="H9001" s="67">
        <v>1</v>
      </c>
      <c r="I9001" s="16">
        <v>470000000</v>
      </c>
      <c r="J9001" s="16" t="s">
        <v>229</v>
      </c>
      <c r="K9001" s="56" t="s">
        <v>18667</v>
      </c>
      <c r="L9001" s="16" t="s">
        <v>621</v>
      </c>
      <c r="M9001" s="79"/>
      <c r="N9001" s="65" t="s">
        <v>10020</v>
      </c>
      <c r="O9001" s="162" t="s">
        <v>19294</v>
      </c>
      <c r="P9001" s="79"/>
      <c r="Q9001" s="87"/>
      <c r="R9001" s="87"/>
      <c r="S9001" s="163"/>
      <c r="T9001" s="1">
        <v>568000</v>
      </c>
      <c r="U9001" s="1">
        <f t="shared" ref="U9001" si="646">T9001*1.12</f>
        <v>636160.00000000012</v>
      </c>
      <c r="V9001" s="4"/>
      <c r="W9001" s="242">
        <v>2014</v>
      </c>
      <c r="X9001" s="56"/>
    </row>
    <row r="9002" spans="1:24" ht="102">
      <c r="A9002" s="3" t="s">
        <v>11351</v>
      </c>
      <c r="B9002" s="56" t="s">
        <v>361</v>
      </c>
      <c r="C9002" s="16" t="s">
        <v>10006</v>
      </c>
      <c r="D9002" s="16" t="s">
        <v>10007</v>
      </c>
      <c r="E9002" s="16" t="s">
        <v>10008</v>
      </c>
      <c r="F9002" s="16" t="s">
        <v>10021</v>
      </c>
      <c r="G9002" s="198" t="s">
        <v>605</v>
      </c>
      <c r="H9002" s="67">
        <v>1</v>
      </c>
      <c r="I9002" s="16">
        <v>470000000</v>
      </c>
      <c r="J9002" s="16" t="s">
        <v>229</v>
      </c>
      <c r="K9002" s="56" t="s">
        <v>9778</v>
      </c>
      <c r="L9002" s="16" t="s">
        <v>621</v>
      </c>
      <c r="M9002" s="79"/>
      <c r="N9002" s="65" t="s">
        <v>10022</v>
      </c>
      <c r="O9002" s="162" t="s">
        <v>10012</v>
      </c>
      <c r="P9002" s="79"/>
      <c r="Q9002" s="87"/>
      <c r="R9002" s="87"/>
      <c r="S9002" s="163"/>
      <c r="T9002" s="4">
        <v>0</v>
      </c>
      <c r="U9002" s="4">
        <f t="shared" si="642"/>
        <v>0</v>
      </c>
      <c r="V9002" s="4"/>
      <c r="W9002" s="242">
        <v>2014</v>
      </c>
      <c r="X9002" s="56">
        <v>15</v>
      </c>
    </row>
    <row r="9003" spans="1:24" ht="102">
      <c r="A9003" s="3" t="s">
        <v>19296</v>
      </c>
      <c r="B9003" s="56" t="s">
        <v>361</v>
      </c>
      <c r="C9003" s="16" t="s">
        <v>10006</v>
      </c>
      <c r="D9003" s="16" t="s">
        <v>10007</v>
      </c>
      <c r="E9003" s="16" t="s">
        <v>10008</v>
      </c>
      <c r="F9003" s="16" t="s">
        <v>10021</v>
      </c>
      <c r="G9003" s="198" t="s">
        <v>605</v>
      </c>
      <c r="H9003" s="67">
        <v>1</v>
      </c>
      <c r="I9003" s="16">
        <v>470000000</v>
      </c>
      <c r="J9003" s="16" t="s">
        <v>229</v>
      </c>
      <c r="K9003" s="56" t="s">
        <v>9778</v>
      </c>
      <c r="L9003" s="16" t="s">
        <v>621</v>
      </c>
      <c r="M9003" s="79"/>
      <c r="N9003" s="65" t="s">
        <v>10022</v>
      </c>
      <c r="O9003" s="162" t="s">
        <v>19294</v>
      </c>
      <c r="P9003" s="79"/>
      <c r="Q9003" s="87"/>
      <c r="R9003" s="87"/>
      <c r="S9003" s="163"/>
      <c r="T9003" s="1">
        <v>80000</v>
      </c>
      <c r="U9003" s="1">
        <f t="shared" ref="U9003" si="647">T9003*1.12</f>
        <v>89600.000000000015</v>
      </c>
      <c r="V9003" s="4"/>
      <c r="W9003" s="242">
        <v>2014</v>
      </c>
      <c r="X9003" s="56"/>
    </row>
    <row r="9004" spans="1:24" ht="102">
      <c r="A9004" s="3" t="s">
        <v>11352</v>
      </c>
      <c r="B9004" s="56" t="s">
        <v>361</v>
      </c>
      <c r="C9004" s="16" t="s">
        <v>10006</v>
      </c>
      <c r="D9004" s="16" t="s">
        <v>10007</v>
      </c>
      <c r="E9004" s="16" t="s">
        <v>10008</v>
      </c>
      <c r="F9004" s="16" t="s">
        <v>10023</v>
      </c>
      <c r="G9004" s="198" t="s">
        <v>605</v>
      </c>
      <c r="H9004" s="67">
        <v>1</v>
      </c>
      <c r="I9004" s="16">
        <v>470000000</v>
      </c>
      <c r="J9004" s="16" t="s">
        <v>229</v>
      </c>
      <c r="K9004" s="56" t="s">
        <v>369</v>
      </c>
      <c r="L9004" s="16" t="s">
        <v>621</v>
      </c>
      <c r="M9004" s="79"/>
      <c r="N9004" s="65" t="s">
        <v>10017</v>
      </c>
      <c r="O9004" s="162" t="s">
        <v>10012</v>
      </c>
      <c r="P9004" s="79"/>
      <c r="Q9004" s="87"/>
      <c r="R9004" s="87"/>
      <c r="S9004" s="163"/>
      <c r="T9004" s="1">
        <v>0</v>
      </c>
      <c r="U9004" s="1">
        <f t="shared" si="642"/>
        <v>0</v>
      </c>
      <c r="V9004" s="4"/>
      <c r="W9004" s="242">
        <v>2014</v>
      </c>
      <c r="X9004" s="221" t="s">
        <v>14335</v>
      </c>
    </row>
    <row r="9005" spans="1:24" ht="102">
      <c r="A9005" s="3" t="s">
        <v>14331</v>
      </c>
      <c r="B9005" s="56" t="s">
        <v>361</v>
      </c>
      <c r="C9005" s="16" t="s">
        <v>10006</v>
      </c>
      <c r="D9005" s="16" t="s">
        <v>10007</v>
      </c>
      <c r="E9005" s="16" t="s">
        <v>10008</v>
      </c>
      <c r="F9005" s="16" t="s">
        <v>10023</v>
      </c>
      <c r="G9005" s="198" t="s">
        <v>605</v>
      </c>
      <c r="H9005" s="67">
        <v>1</v>
      </c>
      <c r="I9005" s="16">
        <v>470000000</v>
      </c>
      <c r="J9005" s="16" t="s">
        <v>229</v>
      </c>
      <c r="K9005" s="56" t="s">
        <v>14324</v>
      </c>
      <c r="L9005" s="16" t="s">
        <v>621</v>
      </c>
      <c r="M9005" s="79"/>
      <c r="N9005" s="65" t="s">
        <v>14334</v>
      </c>
      <c r="O9005" s="162" t="s">
        <v>10012</v>
      </c>
      <c r="P9005" s="79"/>
      <c r="Q9005" s="87"/>
      <c r="R9005" s="87"/>
      <c r="S9005" s="163"/>
      <c r="T9005" s="4">
        <v>0</v>
      </c>
      <c r="U9005" s="4">
        <f>T9005*1.12</f>
        <v>0</v>
      </c>
      <c r="V9005" s="4"/>
      <c r="W9005" s="242">
        <v>2014</v>
      </c>
      <c r="X9005" s="56">
        <v>15</v>
      </c>
    </row>
    <row r="9006" spans="1:24" ht="102">
      <c r="A9006" s="3" t="s">
        <v>19297</v>
      </c>
      <c r="B9006" s="56" t="s">
        <v>361</v>
      </c>
      <c r="C9006" s="16" t="s">
        <v>10006</v>
      </c>
      <c r="D9006" s="16" t="s">
        <v>10007</v>
      </c>
      <c r="E9006" s="16" t="s">
        <v>10008</v>
      </c>
      <c r="F9006" s="16" t="s">
        <v>10023</v>
      </c>
      <c r="G9006" s="198" t="s">
        <v>605</v>
      </c>
      <c r="H9006" s="67">
        <v>1</v>
      </c>
      <c r="I9006" s="16">
        <v>470000000</v>
      </c>
      <c r="J9006" s="16" t="s">
        <v>229</v>
      </c>
      <c r="K9006" s="56" t="s">
        <v>14324</v>
      </c>
      <c r="L9006" s="16" t="s">
        <v>621</v>
      </c>
      <c r="M9006" s="79"/>
      <c r="N9006" s="65" t="s">
        <v>14334</v>
      </c>
      <c r="O9006" s="162" t="s">
        <v>19294</v>
      </c>
      <c r="P9006" s="79"/>
      <c r="Q9006" s="87"/>
      <c r="R9006" s="87"/>
      <c r="S9006" s="163"/>
      <c r="T9006" s="1">
        <v>118800</v>
      </c>
      <c r="U9006" s="1">
        <f>T9006*1.12</f>
        <v>133056</v>
      </c>
      <c r="V9006" s="4"/>
      <c r="W9006" s="242">
        <v>2014</v>
      </c>
      <c r="X9006" s="56"/>
    </row>
    <row r="9007" spans="1:24" ht="102">
      <c r="A9007" s="3" t="s">
        <v>11353</v>
      </c>
      <c r="B9007" s="56" t="s">
        <v>361</v>
      </c>
      <c r="C9007" s="16" t="s">
        <v>10006</v>
      </c>
      <c r="D9007" s="16" t="s">
        <v>10007</v>
      </c>
      <c r="E9007" s="16" t="s">
        <v>10008</v>
      </c>
      <c r="F9007" s="16" t="s">
        <v>10024</v>
      </c>
      <c r="G9007" s="198" t="s">
        <v>605</v>
      </c>
      <c r="H9007" s="67">
        <v>1</v>
      </c>
      <c r="I9007" s="16">
        <v>470000000</v>
      </c>
      <c r="J9007" s="16" t="s">
        <v>229</v>
      </c>
      <c r="K9007" s="56" t="s">
        <v>366</v>
      </c>
      <c r="L9007" s="16" t="s">
        <v>621</v>
      </c>
      <c r="M9007" s="79"/>
      <c r="N9007" s="65" t="s">
        <v>10025</v>
      </c>
      <c r="O9007" s="162" t="s">
        <v>10012</v>
      </c>
      <c r="P9007" s="79"/>
      <c r="Q9007" s="87"/>
      <c r="R9007" s="87"/>
      <c r="S9007" s="163"/>
      <c r="T9007" s="4">
        <v>0</v>
      </c>
      <c r="U9007" s="4">
        <f t="shared" si="642"/>
        <v>0</v>
      </c>
      <c r="V9007" s="4"/>
      <c r="W9007" s="242">
        <v>2014</v>
      </c>
      <c r="X9007" s="56">
        <v>11.14</v>
      </c>
    </row>
    <row r="9008" spans="1:24" ht="102">
      <c r="A9008" s="3" t="s">
        <v>18669</v>
      </c>
      <c r="B9008" s="56" t="s">
        <v>361</v>
      </c>
      <c r="C9008" s="16" t="s">
        <v>10006</v>
      </c>
      <c r="D9008" s="16" t="s">
        <v>10007</v>
      </c>
      <c r="E9008" s="16" t="s">
        <v>10008</v>
      </c>
      <c r="F9008" s="16" t="s">
        <v>10024</v>
      </c>
      <c r="G9008" s="198" t="s">
        <v>605</v>
      </c>
      <c r="H9008" s="67">
        <v>1</v>
      </c>
      <c r="I9008" s="16">
        <v>470000000</v>
      </c>
      <c r="J9008" s="16" t="s">
        <v>229</v>
      </c>
      <c r="K9008" s="56" t="s">
        <v>18437</v>
      </c>
      <c r="L9008" s="16" t="s">
        <v>621</v>
      </c>
      <c r="M9008" s="79"/>
      <c r="N9008" s="65" t="s">
        <v>10020</v>
      </c>
      <c r="O9008" s="162" t="s">
        <v>10012</v>
      </c>
      <c r="P9008" s="79"/>
      <c r="Q9008" s="87"/>
      <c r="R9008" s="87"/>
      <c r="S9008" s="163"/>
      <c r="T9008" s="4">
        <v>0</v>
      </c>
      <c r="U9008" s="4">
        <f t="shared" si="642"/>
        <v>0</v>
      </c>
      <c r="V9008" s="4"/>
      <c r="W9008" s="242">
        <v>2014</v>
      </c>
      <c r="X9008" s="56">
        <v>15</v>
      </c>
    </row>
    <row r="9009" spans="1:24" ht="102">
      <c r="A9009" s="3" t="s">
        <v>19298</v>
      </c>
      <c r="B9009" s="56" t="s">
        <v>361</v>
      </c>
      <c r="C9009" s="16" t="s">
        <v>10006</v>
      </c>
      <c r="D9009" s="16" t="s">
        <v>10007</v>
      </c>
      <c r="E9009" s="16" t="s">
        <v>10008</v>
      </c>
      <c r="F9009" s="16" t="s">
        <v>10024</v>
      </c>
      <c r="G9009" s="198" t="s">
        <v>605</v>
      </c>
      <c r="H9009" s="67">
        <v>1</v>
      </c>
      <c r="I9009" s="16">
        <v>470000000</v>
      </c>
      <c r="J9009" s="16" t="s">
        <v>229</v>
      </c>
      <c r="K9009" s="56" t="s">
        <v>18437</v>
      </c>
      <c r="L9009" s="16" t="s">
        <v>621</v>
      </c>
      <c r="M9009" s="79"/>
      <c r="N9009" s="65" t="s">
        <v>10020</v>
      </c>
      <c r="O9009" s="162" t="s">
        <v>19294</v>
      </c>
      <c r="P9009" s="79"/>
      <c r="Q9009" s="87"/>
      <c r="R9009" s="87"/>
      <c r="S9009" s="163"/>
      <c r="T9009" s="1">
        <v>40000</v>
      </c>
      <c r="U9009" s="1">
        <f t="shared" ref="U9009" si="648">T9009*1.12</f>
        <v>44800.000000000007</v>
      </c>
      <c r="V9009" s="4"/>
      <c r="W9009" s="242">
        <v>2014</v>
      </c>
      <c r="X9009" s="56"/>
    </row>
    <row r="9010" spans="1:24" ht="102">
      <c r="A9010" s="3" t="s">
        <v>11354</v>
      </c>
      <c r="B9010" s="56" t="s">
        <v>361</v>
      </c>
      <c r="C9010" s="16" t="s">
        <v>10006</v>
      </c>
      <c r="D9010" s="16" t="s">
        <v>10007</v>
      </c>
      <c r="E9010" s="16" t="s">
        <v>10008</v>
      </c>
      <c r="F9010" s="16" t="s">
        <v>10026</v>
      </c>
      <c r="G9010" s="198" t="s">
        <v>605</v>
      </c>
      <c r="H9010" s="67">
        <v>1</v>
      </c>
      <c r="I9010" s="16">
        <v>470000000</v>
      </c>
      <c r="J9010" s="16" t="s">
        <v>229</v>
      </c>
      <c r="K9010" s="56" t="s">
        <v>9793</v>
      </c>
      <c r="L9010" s="16" t="s">
        <v>621</v>
      </c>
      <c r="M9010" s="79"/>
      <c r="N9010" s="65" t="s">
        <v>10027</v>
      </c>
      <c r="O9010" s="162" t="s">
        <v>10012</v>
      </c>
      <c r="P9010" s="79"/>
      <c r="Q9010" s="87"/>
      <c r="R9010" s="87"/>
      <c r="S9010" s="163"/>
      <c r="T9010" s="4">
        <v>0</v>
      </c>
      <c r="U9010" s="4">
        <f t="shared" si="642"/>
        <v>0</v>
      </c>
      <c r="V9010" s="4"/>
      <c r="W9010" s="242">
        <v>2014</v>
      </c>
      <c r="X9010" s="56" t="s">
        <v>11822</v>
      </c>
    </row>
    <row r="9011" spans="1:24" ht="102">
      <c r="A9011" s="3" t="s">
        <v>16750</v>
      </c>
      <c r="B9011" s="56" t="s">
        <v>361</v>
      </c>
      <c r="C9011" s="16" t="s">
        <v>10006</v>
      </c>
      <c r="D9011" s="16" t="s">
        <v>10007</v>
      </c>
      <c r="E9011" s="16" t="s">
        <v>10008</v>
      </c>
      <c r="F9011" s="16" t="s">
        <v>10026</v>
      </c>
      <c r="G9011" s="198" t="s">
        <v>605</v>
      </c>
      <c r="H9011" s="67">
        <v>1</v>
      </c>
      <c r="I9011" s="16">
        <v>470000000</v>
      </c>
      <c r="J9011" s="16" t="s">
        <v>229</v>
      </c>
      <c r="K9011" s="56" t="s">
        <v>14057</v>
      </c>
      <c r="L9011" s="16" t="s">
        <v>621</v>
      </c>
      <c r="M9011" s="79"/>
      <c r="N9011" s="65" t="s">
        <v>10027</v>
      </c>
      <c r="O9011" s="162" t="s">
        <v>10012</v>
      </c>
      <c r="P9011" s="79"/>
      <c r="Q9011" s="87"/>
      <c r="R9011" s="87"/>
      <c r="S9011" s="163"/>
      <c r="T9011" s="4">
        <v>0</v>
      </c>
      <c r="U9011" s="4">
        <f t="shared" si="642"/>
        <v>0</v>
      </c>
      <c r="V9011" s="4"/>
      <c r="W9011" s="242">
        <v>2014</v>
      </c>
      <c r="X9011" s="56">
        <v>14</v>
      </c>
    </row>
    <row r="9012" spans="1:24" ht="102">
      <c r="A9012" s="3" t="s">
        <v>18670</v>
      </c>
      <c r="B9012" s="56" t="s">
        <v>361</v>
      </c>
      <c r="C9012" s="16" t="s">
        <v>10006</v>
      </c>
      <c r="D9012" s="16" t="s">
        <v>10007</v>
      </c>
      <c r="E9012" s="16" t="s">
        <v>10008</v>
      </c>
      <c r="F9012" s="16" t="s">
        <v>10026</v>
      </c>
      <c r="G9012" s="198" t="s">
        <v>605</v>
      </c>
      <c r="H9012" s="67">
        <v>1</v>
      </c>
      <c r="I9012" s="16">
        <v>470000000</v>
      </c>
      <c r="J9012" s="16" t="s">
        <v>229</v>
      </c>
      <c r="K9012" s="56" t="s">
        <v>14057</v>
      </c>
      <c r="L9012" s="16" t="s">
        <v>621</v>
      </c>
      <c r="M9012" s="79"/>
      <c r="N9012" s="65" t="s">
        <v>10020</v>
      </c>
      <c r="O9012" s="162" t="s">
        <v>10012</v>
      </c>
      <c r="P9012" s="79"/>
      <c r="Q9012" s="87"/>
      <c r="R9012" s="87"/>
      <c r="S9012" s="163"/>
      <c r="T9012" s="4">
        <v>0</v>
      </c>
      <c r="U9012" s="4">
        <f t="shared" si="642"/>
        <v>0</v>
      </c>
      <c r="V9012" s="4"/>
      <c r="W9012" s="242">
        <v>2014</v>
      </c>
      <c r="X9012" s="56">
        <v>15</v>
      </c>
    </row>
    <row r="9013" spans="1:24" ht="102">
      <c r="A9013" s="3" t="s">
        <v>19299</v>
      </c>
      <c r="B9013" s="56" t="s">
        <v>361</v>
      </c>
      <c r="C9013" s="16" t="s">
        <v>10006</v>
      </c>
      <c r="D9013" s="16" t="s">
        <v>10007</v>
      </c>
      <c r="E9013" s="16" t="s">
        <v>10008</v>
      </c>
      <c r="F9013" s="16" t="s">
        <v>10026</v>
      </c>
      <c r="G9013" s="198" t="s">
        <v>605</v>
      </c>
      <c r="H9013" s="67">
        <v>1</v>
      </c>
      <c r="I9013" s="16">
        <v>470000000</v>
      </c>
      <c r="J9013" s="16" t="s">
        <v>229</v>
      </c>
      <c r="K9013" s="56" t="s">
        <v>14057</v>
      </c>
      <c r="L9013" s="16" t="s">
        <v>621</v>
      </c>
      <c r="M9013" s="79"/>
      <c r="N9013" s="65" t="s">
        <v>10020</v>
      </c>
      <c r="O9013" s="162" t="s">
        <v>19294</v>
      </c>
      <c r="P9013" s="79"/>
      <c r="Q9013" s="87"/>
      <c r="R9013" s="87"/>
      <c r="S9013" s="163"/>
      <c r="T9013" s="1">
        <v>128000</v>
      </c>
      <c r="U9013" s="1">
        <f t="shared" ref="U9013" si="649">T9013*1.12</f>
        <v>143360</v>
      </c>
      <c r="V9013" s="4"/>
      <c r="W9013" s="242">
        <v>2014</v>
      </c>
      <c r="X9013" s="56"/>
    </row>
    <row r="9014" spans="1:24" ht="102">
      <c r="A9014" s="3" t="s">
        <v>11355</v>
      </c>
      <c r="B9014" s="56" t="s">
        <v>361</v>
      </c>
      <c r="C9014" s="16" t="s">
        <v>10006</v>
      </c>
      <c r="D9014" s="16" t="s">
        <v>10007</v>
      </c>
      <c r="E9014" s="16" t="s">
        <v>10008</v>
      </c>
      <c r="F9014" s="16" t="s">
        <v>10028</v>
      </c>
      <c r="G9014" s="198" t="s">
        <v>605</v>
      </c>
      <c r="H9014" s="67">
        <v>1</v>
      </c>
      <c r="I9014" s="16">
        <v>470000000</v>
      </c>
      <c r="J9014" s="16" t="s">
        <v>229</v>
      </c>
      <c r="K9014" s="56" t="s">
        <v>9793</v>
      </c>
      <c r="L9014" s="16" t="s">
        <v>621</v>
      </c>
      <c r="M9014" s="79"/>
      <c r="N9014" s="65" t="s">
        <v>10027</v>
      </c>
      <c r="O9014" s="162" t="s">
        <v>10012</v>
      </c>
      <c r="P9014" s="79"/>
      <c r="Q9014" s="87"/>
      <c r="R9014" s="87"/>
      <c r="S9014" s="163"/>
      <c r="T9014" s="1">
        <v>0</v>
      </c>
      <c r="U9014" s="1">
        <f t="shared" si="642"/>
        <v>0</v>
      </c>
      <c r="V9014" s="4"/>
      <c r="W9014" s="242">
        <v>2014</v>
      </c>
      <c r="X9014" s="56">
        <v>20.21</v>
      </c>
    </row>
    <row r="9015" spans="1:24" ht="102">
      <c r="A9015" s="3" t="s">
        <v>14332</v>
      </c>
      <c r="B9015" s="56" t="s">
        <v>361</v>
      </c>
      <c r="C9015" s="16" t="s">
        <v>10006</v>
      </c>
      <c r="D9015" s="16" t="s">
        <v>10007</v>
      </c>
      <c r="E9015" s="16" t="s">
        <v>10008</v>
      </c>
      <c r="F9015" s="16" t="s">
        <v>10028</v>
      </c>
      <c r="G9015" s="198" t="s">
        <v>605</v>
      </c>
      <c r="H9015" s="67">
        <v>1</v>
      </c>
      <c r="I9015" s="16">
        <v>470000000</v>
      </c>
      <c r="J9015" s="16" t="s">
        <v>229</v>
      </c>
      <c r="K9015" s="56" t="s">
        <v>9793</v>
      </c>
      <c r="L9015" s="16" t="s">
        <v>621</v>
      </c>
      <c r="M9015" s="79"/>
      <c r="N9015" s="65" t="s">
        <v>10027</v>
      </c>
      <c r="O9015" s="162" t="s">
        <v>10012</v>
      </c>
      <c r="P9015" s="79"/>
      <c r="Q9015" s="87"/>
      <c r="R9015" s="87"/>
      <c r="S9015" s="163"/>
      <c r="T9015" s="4">
        <v>0</v>
      </c>
      <c r="U9015" s="4">
        <f>T9015*1.12</f>
        <v>0</v>
      </c>
      <c r="V9015" s="4"/>
      <c r="W9015" s="242">
        <v>2014</v>
      </c>
      <c r="X9015" s="56">
        <v>15</v>
      </c>
    </row>
    <row r="9016" spans="1:24" ht="102">
      <c r="A9016" s="3" t="s">
        <v>19300</v>
      </c>
      <c r="B9016" s="56" t="s">
        <v>361</v>
      </c>
      <c r="C9016" s="16" t="s">
        <v>10006</v>
      </c>
      <c r="D9016" s="16" t="s">
        <v>10007</v>
      </c>
      <c r="E9016" s="16" t="s">
        <v>10008</v>
      </c>
      <c r="F9016" s="16" t="s">
        <v>10028</v>
      </c>
      <c r="G9016" s="198" t="s">
        <v>605</v>
      </c>
      <c r="H9016" s="67">
        <v>1</v>
      </c>
      <c r="I9016" s="16">
        <v>470000000</v>
      </c>
      <c r="J9016" s="16" t="s">
        <v>229</v>
      </c>
      <c r="K9016" s="56" t="s">
        <v>9793</v>
      </c>
      <c r="L9016" s="16" t="s">
        <v>621</v>
      </c>
      <c r="M9016" s="79"/>
      <c r="N9016" s="65" t="s">
        <v>10027</v>
      </c>
      <c r="O9016" s="162" t="s">
        <v>19294</v>
      </c>
      <c r="P9016" s="79"/>
      <c r="Q9016" s="87"/>
      <c r="R9016" s="87"/>
      <c r="S9016" s="163"/>
      <c r="T9016" s="1">
        <v>415800</v>
      </c>
      <c r="U9016" s="1">
        <f>T9016*1.12</f>
        <v>465696.00000000006</v>
      </c>
      <c r="V9016" s="4"/>
      <c r="W9016" s="242">
        <v>2014</v>
      </c>
      <c r="X9016" s="56"/>
    </row>
    <row r="9017" spans="1:24" ht="102">
      <c r="A9017" s="3" t="s">
        <v>11356</v>
      </c>
      <c r="B9017" s="56" t="s">
        <v>361</v>
      </c>
      <c r="C9017" s="16" t="s">
        <v>10006</v>
      </c>
      <c r="D9017" s="16" t="s">
        <v>10007</v>
      </c>
      <c r="E9017" s="16" t="s">
        <v>10008</v>
      </c>
      <c r="F9017" s="16" t="s">
        <v>10029</v>
      </c>
      <c r="G9017" s="198" t="s">
        <v>605</v>
      </c>
      <c r="H9017" s="67">
        <v>1</v>
      </c>
      <c r="I9017" s="16">
        <v>470000000</v>
      </c>
      <c r="J9017" s="16" t="s">
        <v>229</v>
      </c>
      <c r="K9017" s="56" t="s">
        <v>10019</v>
      </c>
      <c r="L9017" s="16" t="s">
        <v>621</v>
      </c>
      <c r="M9017" s="79"/>
      <c r="N9017" s="65" t="s">
        <v>10020</v>
      </c>
      <c r="O9017" s="162" t="s">
        <v>10012</v>
      </c>
      <c r="P9017" s="79"/>
      <c r="Q9017" s="87"/>
      <c r="R9017" s="87"/>
      <c r="S9017" s="163"/>
      <c r="T9017" s="4">
        <v>0</v>
      </c>
      <c r="U9017" s="4">
        <f t="shared" si="642"/>
        <v>0</v>
      </c>
      <c r="V9017" s="4"/>
      <c r="W9017" s="242">
        <v>2014</v>
      </c>
      <c r="X9017" s="56">
        <v>20.21</v>
      </c>
    </row>
    <row r="9018" spans="1:24" ht="102">
      <c r="A9018" s="3" t="s">
        <v>16751</v>
      </c>
      <c r="B9018" s="56" t="s">
        <v>361</v>
      </c>
      <c r="C9018" s="16" t="s">
        <v>10006</v>
      </c>
      <c r="D9018" s="16" t="s">
        <v>10007</v>
      </c>
      <c r="E9018" s="16" t="s">
        <v>10008</v>
      </c>
      <c r="F9018" s="16" t="s">
        <v>10029</v>
      </c>
      <c r="G9018" s="198" t="s">
        <v>605</v>
      </c>
      <c r="H9018" s="67">
        <v>1</v>
      </c>
      <c r="I9018" s="16">
        <v>470000000</v>
      </c>
      <c r="J9018" s="16" t="s">
        <v>229</v>
      </c>
      <c r="K9018" s="56" t="s">
        <v>10019</v>
      </c>
      <c r="L9018" s="16" t="s">
        <v>621</v>
      </c>
      <c r="M9018" s="79"/>
      <c r="N9018" s="65" t="s">
        <v>10020</v>
      </c>
      <c r="O9018" s="162" t="s">
        <v>10012</v>
      </c>
      <c r="P9018" s="79"/>
      <c r="Q9018" s="87"/>
      <c r="R9018" s="87"/>
      <c r="S9018" s="163"/>
      <c r="T9018" s="4">
        <v>0</v>
      </c>
      <c r="U9018" s="4">
        <f t="shared" si="642"/>
        <v>0</v>
      </c>
      <c r="V9018" s="4"/>
      <c r="W9018" s="242">
        <v>2014</v>
      </c>
      <c r="X9018" s="56">
        <v>11</v>
      </c>
    </row>
    <row r="9019" spans="1:24" ht="102">
      <c r="A9019" s="3" t="s">
        <v>18671</v>
      </c>
      <c r="B9019" s="56" t="s">
        <v>361</v>
      </c>
      <c r="C9019" s="16" t="s">
        <v>10006</v>
      </c>
      <c r="D9019" s="16" t="s">
        <v>10007</v>
      </c>
      <c r="E9019" s="16" t="s">
        <v>10008</v>
      </c>
      <c r="F9019" s="16" t="s">
        <v>10029</v>
      </c>
      <c r="G9019" s="198" t="s">
        <v>605</v>
      </c>
      <c r="H9019" s="67">
        <v>1</v>
      </c>
      <c r="I9019" s="16">
        <v>470000000</v>
      </c>
      <c r="J9019" s="16" t="s">
        <v>229</v>
      </c>
      <c r="K9019" s="56" t="s">
        <v>18667</v>
      </c>
      <c r="L9019" s="16" t="s">
        <v>621</v>
      </c>
      <c r="M9019" s="79"/>
      <c r="N9019" s="65" t="s">
        <v>10020</v>
      </c>
      <c r="O9019" s="162" t="s">
        <v>10012</v>
      </c>
      <c r="P9019" s="79"/>
      <c r="Q9019" s="87"/>
      <c r="R9019" s="87"/>
      <c r="S9019" s="163"/>
      <c r="T9019" s="4">
        <v>0</v>
      </c>
      <c r="U9019" s="4">
        <f t="shared" si="642"/>
        <v>0</v>
      </c>
      <c r="V9019" s="4"/>
      <c r="W9019" s="242">
        <v>2014</v>
      </c>
      <c r="X9019" s="56">
        <v>15</v>
      </c>
    </row>
    <row r="9020" spans="1:24" ht="102">
      <c r="A9020" s="3" t="s">
        <v>19301</v>
      </c>
      <c r="B9020" s="56" t="s">
        <v>361</v>
      </c>
      <c r="C9020" s="16" t="s">
        <v>10006</v>
      </c>
      <c r="D9020" s="16" t="s">
        <v>10007</v>
      </c>
      <c r="E9020" s="16" t="s">
        <v>10008</v>
      </c>
      <c r="F9020" s="16" t="s">
        <v>10029</v>
      </c>
      <c r="G9020" s="198" t="s">
        <v>605</v>
      </c>
      <c r="H9020" s="67">
        <v>1</v>
      </c>
      <c r="I9020" s="16">
        <v>470000000</v>
      </c>
      <c r="J9020" s="16" t="s">
        <v>229</v>
      </c>
      <c r="K9020" s="56" t="s">
        <v>18667</v>
      </c>
      <c r="L9020" s="16" t="s">
        <v>621</v>
      </c>
      <c r="M9020" s="79"/>
      <c r="N9020" s="65" t="s">
        <v>10020</v>
      </c>
      <c r="O9020" s="162" t="s">
        <v>19294</v>
      </c>
      <c r="P9020" s="79"/>
      <c r="Q9020" s="87"/>
      <c r="R9020" s="87"/>
      <c r="S9020" s="163"/>
      <c r="T9020" s="1">
        <v>880000</v>
      </c>
      <c r="U9020" s="1">
        <f t="shared" ref="U9020" si="650">T9020*1.12</f>
        <v>985600.00000000012</v>
      </c>
      <c r="V9020" s="4"/>
      <c r="W9020" s="242">
        <v>2014</v>
      </c>
      <c r="X9020" s="56"/>
    </row>
    <row r="9021" spans="1:24" ht="102">
      <c r="A9021" s="3" t="s">
        <v>11357</v>
      </c>
      <c r="B9021" s="56" t="s">
        <v>361</v>
      </c>
      <c r="C9021" s="16" t="s">
        <v>10006</v>
      </c>
      <c r="D9021" s="16" t="s">
        <v>10007</v>
      </c>
      <c r="E9021" s="16" t="s">
        <v>10008</v>
      </c>
      <c r="F9021" s="16" t="s">
        <v>10030</v>
      </c>
      <c r="G9021" s="198" t="s">
        <v>605</v>
      </c>
      <c r="H9021" s="67">
        <v>1</v>
      </c>
      <c r="I9021" s="16">
        <v>470000000</v>
      </c>
      <c r="J9021" s="16" t="s">
        <v>229</v>
      </c>
      <c r="K9021" s="56" t="s">
        <v>9775</v>
      </c>
      <c r="L9021" s="16" t="s">
        <v>621</v>
      </c>
      <c r="M9021" s="79"/>
      <c r="N9021" s="65" t="s">
        <v>10031</v>
      </c>
      <c r="O9021" s="162" t="s">
        <v>10012</v>
      </c>
      <c r="P9021" s="79"/>
      <c r="Q9021" s="87"/>
      <c r="R9021" s="87"/>
      <c r="S9021" s="163"/>
      <c r="T9021" s="219">
        <v>0</v>
      </c>
      <c r="U9021" s="219">
        <f t="shared" si="642"/>
        <v>0</v>
      </c>
      <c r="V9021" s="4"/>
      <c r="W9021" s="242">
        <v>2014</v>
      </c>
      <c r="X9021" s="56" t="s">
        <v>12076</v>
      </c>
    </row>
    <row r="9022" spans="1:24" ht="102">
      <c r="A9022" s="3" t="s">
        <v>11358</v>
      </c>
      <c r="B9022" s="56" t="s">
        <v>361</v>
      </c>
      <c r="C9022" s="16" t="s">
        <v>10006</v>
      </c>
      <c r="D9022" s="16" t="s">
        <v>10007</v>
      </c>
      <c r="E9022" s="16" t="s">
        <v>10008</v>
      </c>
      <c r="F9022" s="16" t="s">
        <v>10032</v>
      </c>
      <c r="G9022" s="198" t="s">
        <v>605</v>
      </c>
      <c r="H9022" s="67">
        <v>1</v>
      </c>
      <c r="I9022" s="16">
        <v>470000000</v>
      </c>
      <c r="J9022" s="16" t="s">
        <v>229</v>
      </c>
      <c r="K9022" s="56" t="s">
        <v>9377</v>
      </c>
      <c r="L9022" s="16" t="s">
        <v>621</v>
      </c>
      <c r="M9022" s="79"/>
      <c r="N9022" s="65" t="s">
        <v>10033</v>
      </c>
      <c r="O9022" s="162" t="s">
        <v>10012</v>
      </c>
      <c r="P9022" s="79"/>
      <c r="Q9022" s="87"/>
      <c r="R9022" s="87"/>
      <c r="S9022" s="163"/>
      <c r="T9022" s="219">
        <v>0</v>
      </c>
      <c r="U9022" s="219">
        <f t="shared" si="642"/>
        <v>0</v>
      </c>
      <c r="V9022" s="4"/>
      <c r="W9022" s="242">
        <v>2014</v>
      </c>
      <c r="X9022" s="56">
        <v>11</v>
      </c>
    </row>
    <row r="9023" spans="1:24" ht="102">
      <c r="A9023" s="3" t="s">
        <v>17015</v>
      </c>
      <c r="B9023" s="56" t="s">
        <v>361</v>
      </c>
      <c r="C9023" s="16" t="s">
        <v>10006</v>
      </c>
      <c r="D9023" s="16" t="s">
        <v>10007</v>
      </c>
      <c r="E9023" s="16" t="s">
        <v>10008</v>
      </c>
      <c r="F9023" s="16" t="s">
        <v>10032</v>
      </c>
      <c r="G9023" s="198" t="s">
        <v>605</v>
      </c>
      <c r="H9023" s="67">
        <v>1</v>
      </c>
      <c r="I9023" s="16">
        <v>470000000</v>
      </c>
      <c r="J9023" s="16" t="s">
        <v>229</v>
      </c>
      <c r="K9023" s="56" t="s">
        <v>14057</v>
      </c>
      <c r="L9023" s="16" t="s">
        <v>621</v>
      </c>
      <c r="M9023" s="79"/>
      <c r="N9023" s="65" t="s">
        <v>10033</v>
      </c>
      <c r="O9023" s="162" t="s">
        <v>10012</v>
      </c>
      <c r="P9023" s="79"/>
      <c r="Q9023" s="87"/>
      <c r="R9023" s="87"/>
      <c r="S9023" s="163"/>
      <c r="T9023" s="219">
        <v>0</v>
      </c>
      <c r="U9023" s="219">
        <f t="shared" si="642"/>
        <v>0</v>
      </c>
      <c r="V9023" s="4"/>
      <c r="W9023" s="242">
        <v>2014</v>
      </c>
      <c r="X9023" s="56">
        <v>14</v>
      </c>
    </row>
    <row r="9024" spans="1:24" ht="102">
      <c r="A9024" s="3" t="s">
        <v>18672</v>
      </c>
      <c r="B9024" s="56" t="s">
        <v>361</v>
      </c>
      <c r="C9024" s="16" t="s">
        <v>10006</v>
      </c>
      <c r="D9024" s="16" t="s">
        <v>10007</v>
      </c>
      <c r="E9024" s="16" t="s">
        <v>10008</v>
      </c>
      <c r="F9024" s="16" t="s">
        <v>10032</v>
      </c>
      <c r="G9024" s="198" t="s">
        <v>605</v>
      </c>
      <c r="H9024" s="67">
        <v>1</v>
      </c>
      <c r="I9024" s="16">
        <v>470000000</v>
      </c>
      <c r="J9024" s="16" t="s">
        <v>229</v>
      </c>
      <c r="K9024" s="56" t="s">
        <v>14057</v>
      </c>
      <c r="L9024" s="16" t="s">
        <v>621</v>
      </c>
      <c r="M9024" s="79"/>
      <c r="N9024" s="65" t="s">
        <v>10020</v>
      </c>
      <c r="O9024" s="162" t="s">
        <v>10012</v>
      </c>
      <c r="P9024" s="79"/>
      <c r="Q9024" s="87"/>
      <c r="R9024" s="87"/>
      <c r="S9024" s="163"/>
      <c r="T9024" s="4">
        <v>0</v>
      </c>
      <c r="U9024" s="4">
        <f t="shared" si="642"/>
        <v>0</v>
      </c>
      <c r="V9024" s="4"/>
      <c r="W9024" s="242">
        <v>2014</v>
      </c>
      <c r="X9024" s="56">
        <v>15</v>
      </c>
    </row>
    <row r="9025" spans="1:24" ht="102">
      <c r="A9025" s="3" t="s">
        <v>19302</v>
      </c>
      <c r="B9025" s="56" t="s">
        <v>361</v>
      </c>
      <c r="C9025" s="16" t="s">
        <v>10006</v>
      </c>
      <c r="D9025" s="16" t="s">
        <v>10007</v>
      </c>
      <c r="E9025" s="16" t="s">
        <v>10008</v>
      </c>
      <c r="F9025" s="16" t="s">
        <v>10032</v>
      </c>
      <c r="G9025" s="198" t="s">
        <v>605</v>
      </c>
      <c r="H9025" s="67">
        <v>1</v>
      </c>
      <c r="I9025" s="16">
        <v>470000000</v>
      </c>
      <c r="J9025" s="16" t="s">
        <v>229</v>
      </c>
      <c r="K9025" s="56" t="s">
        <v>14057</v>
      </c>
      <c r="L9025" s="16" t="s">
        <v>621</v>
      </c>
      <c r="M9025" s="79"/>
      <c r="N9025" s="65" t="s">
        <v>10020</v>
      </c>
      <c r="O9025" s="162" t="s">
        <v>19294</v>
      </c>
      <c r="P9025" s="79"/>
      <c r="Q9025" s="87"/>
      <c r="R9025" s="87"/>
      <c r="S9025" s="163"/>
      <c r="T9025" s="1">
        <v>90000</v>
      </c>
      <c r="U9025" s="1">
        <f t="shared" ref="U9025" si="651">T9025*1.12</f>
        <v>100800.00000000001</v>
      </c>
      <c r="V9025" s="4"/>
      <c r="W9025" s="242">
        <v>2014</v>
      </c>
      <c r="X9025" s="56"/>
    </row>
    <row r="9026" spans="1:24" ht="63.75">
      <c r="A9026" s="3" t="s">
        <v>11359</v>
      </c>
      <c r="B9026" s="56" t="s">
        <v>361</v>
      </c>
      <c r="C9026" s="16" t="s">
        <v>10034</v>
      </c>
      <c r="D9026" s="16" t="s">
        <v>10035</v>
      </c>
      <c r="E9026" s="16" t="s">
        <v>10036</v>
      </c>
      <c r="F9026" s="16" t="s">
        <v>18417</v>
      </c>
      <c r="G9026" s="198" t="s">
        <v>605</v>
      </c>
      <c r="H9026" s="67">
        <v>1</v>
      </c>
      <c r="I9026" s="16">
        <v>470000000</v>
      </c>
      <c r="J9026" s="16" t="s">
        <v>229</v>
      </c>
      <c r="K9026" s="56" t="s">
        <v>9778</v>
      </c>
      <c r="L9026" s="16" t="s">
        <v>621</v>
      </c>
      <c r="M9026" s="79"/>
      <c r="N9026" s="65" t="s">
        <v>10022</v>
      </c>
      <c r="O9026" s="162" t="s">
        <v>10012</v>
      </c>
      <c r="P9026" s="79"/>
      <c r="Q9026" s="87"/>
      <c r="R9026" s="87"/>
      <c r="S9026" s="163"/>
      <c r="T9026" s="4">
        <v>0</v>
      </c>
      <c r="U9026" s="4">
        <f t="shared" si="642"/>
        <v>0</v>
      </c>
      <c r="V9026" s="4"/>
      <c r="W9026" s="242">
        <v>2014</v>
      </c>
      <c r="X9026" s="56">
        <v>15</v>
      </c>
    </row>
    <row r="9027" spans="1:24" ht="63.75">
      <c r="A9027" s="3" t="s">
        <v>19303</v>
      </c>
      <c r="B9027" s="56" t="s">
        <v>361</v>
      </c>
      <c r="C9027" s="16" t="s">
        <v>10034</v>
      </c>
      <c r="D9027" s="16" t="s">
        <v>10035</v>
      </c>
      <c r="E9027" s="16" t="s">
        <v>10036</v>
      </c>
      <c r="F9027" s="16" t="s">
        <v>18417</v>
      </c>
      <c r="G9027" s="198" t="s">
        <v>605</v>
      </c>
      <c r="H9027" s="67">
        <v>1</v>
      </c>
      <c r="I9027" s="16">
        <v>470000000</v>
      </c>
      <c r="J9027" s="16" t="s">
        <v>229</v>
      </c>
      <c r="K9027" s="56" t="s">
        <v>9778</v>
      </c>
      <c r="L9027" s="16" t="s">
        <v>621</v>
      </c>
      <c r="M9027" s="79"/>
      <c r="N9027" s="65" t="s">
        <v>10022</v>
      </c>
      <c r="O9027" s="162" t="s">
        <v>19294</v>
      </c>
      <c r="P9027" s="79"/>
      <c r="Q9027" s="87"/>
      <c r="R9027" s="87"/>
      <c r="S9027" s="163"/>
      <c r="T9027" s="1">
        <v>100000</v>
      </c>
      <c r="U9027" s="1">
        <f t="shared" ref="U9027" si="652">T9027*1.12</f>
        <v>112000.00000000001</v>
      </c>
      <c r="V9027" s="4"/>
      <c r="W9027" s="242">
        <v>2014</v>
      </c>
      <c r="X9027" s="56"/>
    </row>
    <row r="9028" spans="1:24" ht="102">
      <c r="A9028" s="3" t="s">
        <v>11360</v>
      </c>
      <c r="B9028" s="56" t="s">
        <v>361</v>
      </c>
      <c r="C9028" s="16" t="s">
        <v>10006</v>
      </c>
      <c r="D9028" s="16" t="s">
        <v>10007</v>
      </c>
      <c r="E9028" s="16" t="s">
        <v>10008</v>
      </c>
      <c r="F9028" s="16" t="s">
        <v>10037</v>
      </c>
      <c r="G9028" s="198" t="s">
        <v>605</v>
      </c>
      <c r="H9028" s="67">
        <v>1</v>
      </c>
      <c r="I9028" s="16">
        <v>470000000</v>
      </c>
      <c r="J9028" s="16" t="s">
        <v>229</v>
      </c>
      <c r="K9028" s="56" t="s">
        <v>642</v>
      </c>
      <c r="L9028" s="16" t="s">
        <v>621</v>
      </c>
      <c r="M9028" s="79"/>
      <c r="N9028" s="65" t="s">
        <v>10033</v>
      </c>
      <c r="O9028" s="162" t="s">
        <v>10012</v>
      </c>
      <c r="P9028" s="79"/>
      <c r="Q9028" s="87"/>
      <c r="R9028" s="87"/>
      <c r="S9028" s="163"/>
      <c r="T9028" s="4">
        <v>0</v>
      </c>
      <c r="U9028" s="4">
        <f t="shared" si="642"/>
        <v>0</v>
      </c>
      <c r="V9028" s="4"/>
      <c r="W9028" s="242">
        <v>2014</v>
      </c>
      <c r="X9028" s="221" t="s">
        <v>11822</v>
      </c>
    </row>
    <row r="9029" spans="1:24" ht="102">
      <c r="A9029" s="3" t="s">
        <v>14336</v>
      </c>
      <c r="B9029" s="56" t="s">
        <v>361</v>
      </c>
      <c r="C9029" s="16" t="s">
        <v>10006</v>
      </c>
      <c r="D9029" s="16" t="s">
        <v>10007</v>
      </c>
      <c r="E9029" s="16" t="s">
        <v>10008</v>
      </c>
      <c r="F9029" s="16" t="s">
        <v>10037</v>
      </c>
      <c r="G9029" s="198" t="s">
        <v>605</v>
      </c>
      <c r="H9029" s="67">
        <v>1</v>
      </c>
      <c r="I9029" s="16">
        <v>470000000</v>
      </c>
      <c r="J9029" s="16" t="s">
        <v>229</v>
      </c>
      <c r="K9029" s="56" t="s">
        <v>14324</v>
      </c>
      <c r="L9029" s="16" t="s">
        <v>621</v>
      </c>
      <c r="M9029" s="79"/>
      <c r="N9029" s="65" t="s">
        <v>10033</v>
      </c>
      <c r="O9029" s="162" t="s">
        <v>10012</v>
      </c>
      <c r="P9029" s="79"/>
      <c r="Q9029" s="87"/>
      <c r="R9029" s="87"/>
      <c r="S9029" s="163"/>
      <c r="T9029" s="4">
        <v>0</v>
      </c>
      <c r="U9029" s="4">
        <f>T9029*1.12</f>
        <v>0</v>
      </c>
      <c r="V9029" s="4"/>
      <c r="W9029" s="242">
        <v>2014</v>
      </c>
      <c r="X9029" s="56">
        <v>15</v>
      </c>
    </row>
    <row r="9030" spans="1:24" ht="102">
      <c r="A9030" s="3" t="s">
        <v>19304</v>
      </c>
      <c r="B9030" s="56" t="s">
        <v>361</v>
      </c>
      <c r="C9030" s="16" t="s">
        <v>10006</v>
      </c>
      <c r="D9030" s="16" t="s">
        <v>10007</v>
      </c>
      <c r="E9030" s="16" t="s">
        <v>10008</v>
      </c>
      <c r="F9030" s="16" t="s">
        <v>10037</v>
      </c>
      <c r="G9030" s="198" t="s">
        <v>605</v>
      </c>
      <c r="H9030" s="67">
        <v>1</v>
      </c>
      <c r="I9030" s="16">
        <v>470000000</v>
      </c>
      <c r="J9030" s="16" t="s">
        <v>229</v>
      </c>
      <c r="K9030" s="56" t="s">
        <v>14324</v>
      </c>
      <c r="L9030" s="16" t="s">
        <v>621</v>
      </c>
      <c r="M9030" s="79"/>
      <c r="N9030" s="65" t="s">
        <v>10033</v>
      </c>
      <c r="O9030" s="162" t="s">
        <v>19294</v>
      </c>
      <c r="P9030" s="79"/>
      <c r="Q9030" s="87"/>
      <c r="R9030" s="87"/>
      <c r="S9030" s="163"/>
      <c r="T9030" s="1">
        <v>964286</v>
      </c>
      <c r="U9030" s="1">
        <f>T9030*1.12</f>
        <v>1080000.32</v>
      </c>
      <c r="V9030" s="4"/>
      <c r="W9030" s="242">
        <v>2014</v>
      </c>
      <c r="X9030" s="56"/>
    </row>
    <row r="9031" spans="1:24" ht="102">
      <c r="A9031" s="3" t="s">
        <v>11361</v>
      </c>
      <c r="B9031" s="56" t="s">
        <v>361</v>
      </c>
      <c r="C9031" s="16" t="s">
        <v>10006</v>
      </c>
      <c r="D9031" s="16" t="s">
        <v>10007</v>
      </c>
      <c r="E9031" s="16" t="s">
        <v>10008</v>
      </c>
      <c r="F9031" s="16" t="s">
        <v>10038</v>
      </c>
      <c r="G9031" s="198" t="s">
        <v>605</v>
      </c>
      <c r="H9031" s="67">
        <v>1</v>
      </c>
      <c r="I9031" s="16">
        <v>470000000</v>
      </c>
      <c r="J9031" s="16" t="s">
        <v>229</v>
      </c>
      <c r="K9031" s="56" t="s">
        <v>363</v>
      </c>
      <c r="L9031" s="16" t="s">
        <v>621</v>
      </c>
      <c r="M9031" s="79"/>
      <c r="N9031" s="65" t="s">
        <v>10039</v>
      </c>
      <c r="O9031" s="162" t="s">
        <v>10012</v>
      </c>
      <c r="P9031" s="79"/>
      <c r="Q9031" s="87"/>
      <c r="R9031" s="87"/>
      <c r="S9031" s="163"/>
      <c r="T9031" s="4">
        <v>0</v>
      </c>
      <c r="U9031" s="4">
        <f t="shared" si="642"/>
        <v>0</v>
      </c>
      <c r="V9031" s="4"/>
      <c r="W9031" s="242">
        <v>2014</v>
      </c>
      <c r="X9031" s="56">
        <v>20.21</v>
      </c>
    </row>
    <row r="9032" spans="1:24" ht="102">
      <c r="A9032" s="3" t="s">
        <v>16752</v>
      </c>
      <c r="B9032" s="56" t="s">
        <v>361</v>
      </c>
      <c r="C9032" s="16" t="s">
        <v>10006</v>
      </c>
      <c r="D9032" s="16" t="s">
        <v>10007</v>
      </c>
      <c r="E9032" s="16" t="s">
        <v>10008</v>
      </c>
      <c r="F9032" s="16" t="s">
        <v>10038</v>
      </c>
      <c r="G9032" s="198" t="s">
        <v>605</v>
      </c>
      <c r="H9032" s="67">
        <v>1</v>
      </c>
      <c r="I9032" s="16">
        <v>470000000</v>
      </c>
      <c r="J9032" s="16" t="s">
        <v>229</v>
      </c>
      <c r="K9032" s="56" t="s">
        <v>363</v>
      </c>
      <c r="L9032" s="16" t="s">
        <v>621</v>
      </c>
      <c r="M9032" s="79"/>
      <c r="N9032" s="65" t="s">
        <v>10039</v>
      </c>
      <c r="O9032" s="162" t="s">
        <v>10012</v>
      </c>
      <c r="P9032" s="79"/>
      <c r="Q9032" s="87"/>
      <c r="R9032" s="87"/>
      <c r="S9032" s="163"/>
      <c r="T9032" s="4">
        <v>0</v>
      </c>
      <c r="U9032" s="4">
        <f t="shared" si="642"/>
        <v>0</v>
      </c>
      <c r="V9032" s="4"/>
      <c r="W9032" s="242">
        <v>2014</v>
      </c>
      <c r="X9032" s="56">
        <v>15</v>
      </c>
    </row>
    <row r="9033" spans="1:24" ht="102">
      <c r="A9033" s="3" t="s">
        <v>19305</v>
      </c>
      <c r="B9033" s="56" t="s">
        <v>361</v>
      </c>
      <c r="C9033" s="16" t="s">
        <v>10006</v>
      </c>
      <c r="D9033" s="16" t="s">
        <v>10007</v>
      </c>
      <c r="E9033" s="16" t="s">
        <v>10008</v>
      </c>
      <c r="F9033" s="16" t="s">
        <v>10038</v>
      </c>
      <c r="G9033" s="198" t="s">
        <v>605</v>
      </c>
      <c r="H9033" s="67">
        <v>1</v>
      </c>
      <c r="I9033" s="16">
        <v>470000000</v>
      </c>
      <c r="J9033" s="16" t="s">
        <v>229</v>
      </c>
      <c r="K9033" s="56" t="s">
        <v>363</v>
      </c>
      <c r="L9033" s="16" t="s">
        <v>621</v>
      </c>
      <c r="M9033" s="79"/>
      <c r="N9033" s="65" t="s">
        <v>10039</v>
      </c>
      <c r="O9033" s="162" t="s">
        <v>19294</v>
      </c>
      <c r="P9033" s="79"/>
      <c r="Q9033" s="87"/>
      <c r="R9033" s="87"/>
      <c r="S9033" s="163"/>
      <c r="T9033" s="1">
        <v>149199</v>
      </c>
      <c r="U9033" s="1">
        <f t="shared" ref="U9033" si="653">T9033*1.12</f>
        <v>167102.88</v>
      </c>
      <c r="V9033" s="4"/>
      <c r="W9033" s="242">
        <v>2014</v>
      </c>
      <c r="X9033" s="56"/>
    </row>
    <row r="9034" spans="1:24" ht="102">
      <c r="A9034" s="3" t="s">
        <v>11362</v>
      </c>
      <c r="B9034" s="56" t="s">
        <v>361</v>
      </c>
      <c r="C9034" s="16" t="s">
        <v>10006</v>
      </c>
      <c r="D9034" s="16" t="s">
        <v>10007</v>
      </c>
      <c r="E9034" s="16" t="s">
        <v>10008</v>
      </c>
      <c r="F9034" s="16" t="s">
        <v>10040</v>
      </c>
      <c r="G9034" s="198" t="s">
        <v>605</v>
      </c>
      <c r="H9034" s="67">
        <v>1</v>
      </c>
      <c r="I9034" s="16">
        <v>470000000</v>
      </c>
      <c r="J9034" s="16" t="s">
        <v>229</v>
      </c>
      <c r="K9034" s="56" t="s">
        <v>10041</v>
      </c>
      <c r="L9034" s="16" t="s">
        <v>621</v>
      </c>
      <c r="M9034" s="79"/>
      <c r="N9034" s="65" t="s">
        <v>10042</v>
      </c>
      <c r="O9034" s="162" t="s">
        <v>10012</v>
      </c>
      <c r="P9034" s="79"/>
      <c r="Q9034" s="87"/>
      <c r="R9034" s="87"/>
      <c r="S9034" s="163"/>
      <c r="T9034" s="4">
        <v>0</v>
      </c>
      <c r="U9034" s="4">
        <f t="shared" si="642"/>
        <v>0</v>
      </c>
      <c r="V9034" s="4"/>
      <c r="W9034" s="242">
        <v>2014</v>
      </c>
      <c r="X9034" s="56">
        <v>20.21</v>
      </c>
    </row>
    <row r="9035" spans="1:24" ht="102">
      <c r="A9035" s="3" t="s">
        <v>14340</v>
      </c>
      <c r="B9035" s="56" t="s">
        <v>361</v>
      </c>
      <c r="C9035" s="16" t="s">
        <v>10006</v>
      </c>
      <c r="D9035" s="16" t="s">
        <v>10007</v>
      </c>
      <c r="E9035" s="16" t="s">
        <v>10008</v>
      </c>
      <c r="F9035" s="16" t="s">
        <v>10040</v>
      </c>
      <c r="G9035" s="198" t="s">
        <v>605</v>
      </c>
      <c r="H9035" s="67">
        <v>1</v>
      </c>
      <c r="I9035" s="16">
        <v>470000000</v>
      </c>
      <c r="J9035" s="16" t="s">
        <v>229</v>
      </c>
      <c r="K9035" s="56" t="s">
        <v>10041</v>
      </c>
      <c r="L9035" s="16" t="s">
        <v>621</v>
      </c>
      <c r="M9035" s="79"/>
      <c r="N9035" s="65" t="s">
        <v>10042</v>
      </c>
      <c r="O9035" s="162" t="s">
        <v>10012</v>
      </c>
      <c r="P9035" s="79"/>
      <c r="Q9035" s="87"/>
      <c r="R9035" s="87"/>
      <c r="S9035" s="163"/>
      <c r="T9035" s="4">
        <v>0</v>
      </c>
      <c r="U9035" s="4">
        <f>T9035*1.12</f>
        <v>0</v>
      </c>
      <c r="V9035" s="4"/>
      <c r="W9035" s="242">
        <v>2014</v>
      </c>
      <c r="X9035" s="56" t="s">
        <v>11822</v>
      </c>
    </row>
    <row r="9036" spans="1:24" ht="102">
      <c r="A9036" s="3" t="s">
        <v>18673</v>
      </c>
      <c r="B9036" s="56" t="s">
        <v>361</v>
      </c>
      <c r="C9036" s="16" t="s">
        <v>10006</v>
      </c>
      <c r="D9036" s="16" t="s">
        <v>10007</v>
      </c>
      <c r="E9036" s="16" t="s">
        <v>10008</v>
      </c>
      <c r="F9036" s="16" t="s">
        <v>10040</v>
      </c>
      <c r="G9036" s="198" t="s">
        <v>605</v>
      </c>
      <c r="H9036" s="67">
        <v>1</v>
      </c>
      <c r="I9036" s="16">
        <v>470000000</v>
      </c>
      <c r="J9036" s="16" t="s">
        <v>229</v>
      </c>
      <c r="K9036" s="56" t="s">
        <v>18674</v>
      </c>
      <c r="L9036" s="16" t="s">
        <v>621</v>
      </c>
      <c r="M9036" s="79"/>
      <c r="N9036" s="65" t="s">
        <v>10042</v>
      </c>
      <c r="O9036" s="162" t="s">
        <v>10012</v>
      </c>
      <c r="P9036" s="79"/>
      <c r="Q9036" s="70"/>
      <c r="R9036" s="70"/>
      <c r="S9036" s="163"/>
      <c r="T9036" s="4">
        <v>0</v>
      </c>
      <c r="U9036" s="4">
        <f>T9036*1.12</f>
        <v>0</v>
      </c>
      <c r="V9036" s="4"/>
      <c r="W9036" s="242">
        <v>2014</v>
      </c>
      <c r="X9036" s="56" t="s">
        <v>19351</v>
      </c>
    </row>
    <row r="9037" spans="1:24" ht="102">
      <c r="A9037" s="3" t="s">
        <v>19306</v>
      </c>
      <c r="B9037" s="56" t="s">
        <v>361</v>
      </c>
      <c r="C9037" s="16" t="s">
        <v>10006</v>
      </c>
      <c r="D9037" s="16" t="s">
        <v>10007</v>
      </c>
      <c r="E9037" s="16" t="s">
        <v>10008</v>
      </c>
      <c r="F9037" s="16" t="s">
        <v>10040</v>
      </c>
      <c r="G9037" s="198" t="s">
        <v>605</v>
      </c>
      <c r="H9037" s="67">
        <v>1</v>
      </c>
      <c r="I9037" s="16">
        <v>470000000</v>
      </c>
      <c r="J9037" s="16" t="s">
        <v>229</v>
      </c>
      <c r="K9037" s="56" t="s">
        <v>18437</v>
      </c>
      <c r="L9037" s="16" t="s">
        <v>19383</v>
      </c>
      <c r="M9037" s="79"/>
      <c r="N9037" s="65" t="s">
        <v>19382</v>
      </c>
      <c r="O9037" s="162" t="s">
        <v>19294</v>
      </c>
      <c r="P9037" s="79"/>
      <c r="Q9037" s="70"/>
      <c r="R9037" s="70"/>
      <c r="S9037" s="163"/>
      <c r="T9037" s="1">
        <v>261663</v>
      </c>
      <c r="U9037" s="1">
        <f>T9037*1.12</f>
        <v>293062.56000000006</v>
      </c>
      <c r="V9037" s="4"/>
      <c r="W9037" s="242">
        <v>2014</v>
      </c>
      <c r="X9037" s="56"/>
    </row>
    <row r="9038" spans="1:24" ht="102">
      <c r="A9038" s="3" t="s">
        <v>11363</v>
      </c>
      <c r="B9038" s="56" t="s">
        <v>361</v>
      </c>
      <c r="C9038" s="16" t="s">
        <v>10006</v>
      </c>
      <c r="D9038" s="16" t="s">
        <v>10007</v>
      </c>
      <c r="E9038" s="16" t="s">
        <v>10008</v>
      </c>
      <c r="F9038" s="16" t="s">
        <v>10043</v>
      </c>
      <c r="G9038" s="198" t="s">
        <v>605</v>
      </c>
      <c r="H9038" s="67">
        <v>1</v>
      </c>
      <c r="I9038" s="16">
        <v>470000000</v>
      </c>
      <c r="J9038" s="16" t="s">
        <v>229</v>
      </c>
      <c r="K9038" s="56" t="s">
        <v>10041</v>
      </c>
      <c r="L9038" s="16" t="s">
        <v>17026</v>
      </c>
      <c r="M9038" s="79"/>
      <c r="N9038" s="65" t="s">
        <v>10042</v>
      </c>
      <c r="O9038" s="162" t="s">
        <v>10012</v>
      </c>
      <c r="P9038" s="79"/>
      <c r="Q9038" s="87"/>
      <c r="R9038" s="87"/>
      <c r="S9038" s="163"/>
      <c r="T9038" s="4">
        <v>0</v>
      </c>
      <c r="U9038" s="4">
        <f t="shared" si="642"/>
        <v>0</v>
      </c>
      <c r="V9038" s="4"/>
      <c r="W9038" s="242">
        <v>2014</v>
      </c>
      <c r="X9038" s="56">
        <v>11.14</v>
      </c>
    </row>
    <row r="9039" spans="1:24" ht="102">
      <c r="A9039" s="3" t="s">
        <v>18675</v>
      </c>
      <c r="B9039" s="56" t="s">
        <v>361</v>
      </c>
      <c r="C9039" s="16" t="s">
        <v>10006</v>
      </c>
      <c r="D9039" s="16" t="s">
        <v>10007</v>
      </c>
      <c r="E9039" s="16" t="s">
        <v>10008</v>
      </c>
      <c r="F9039" s="16" t="s">
        <v>10043</v>
      </c>
      <c r="G9039" s="198" t="s">
        <v>605</v>
      </c>
      <c r="H9039" s="67">
        <v>1</v>
      </c>
      <c r="I9039" s="16">
        <v>470000000</v>
      </c>
      <c r="J9039" s="16" t="s">
        <v>229</v>
      </c>
      <c r="K9039" s="56" t="s">
        <v>18437</v>
      </c>
      <c r="L9039" s="16" t="s">
        <v>17026</v>
      </c>
      <c r="M9039" s="79"/>
      <c r="N9039" s="65" t="s">
        <v>18676</v>
      </c>
      <c r="O9039" s="162" t="s">
        <v>10012</v>
      </c>
      <c r="P9039" s="79"/>
      <c r="Q9039" s="87"/>
      <c r="R9039" s="87"/>
      <c r="S9039" s="163"/>
      <c r="T9039" s="4">
        <v>0</v>
      </c>
      <c r="U9039" s="4">
        <f t="shared" si="642"/>
        <v>0</v>
      </c>
      <c r="V9039" s="4"/>
      <c r="W9039" s="242">
        <v>2014</v>
      </c>
      <c r="X9039" s="56" t="s">
        <v>19283</v>
      </c>
    </row>
    <row r="9040" spans="1:24" ht="102">
      <c r="A9040" s="3" t="s">
        <v>19282</v>
      </c>
      <c r="B9040" s="56" t="s">
        <v>361</v>
      </c>
      <c r="C9040" s="16" t="s">
        <v>10006</v>
      </c>
      <c r="D9040" s="16" t="s">
        <v>10007</v>
      </c>
      <c r="E9040" s="16" t="s">
        <v>10008</v>
      </c>
      <c r="F9040" s="16" t="s">
        <v>10043</v>
      </c>
      <c r="G9040" s="198" t="s">
        <v>605</v>
      </c>
      <c r="H9040" s="67">
        <v>1</v>
      </c>
      <c r="I9040" s="16">
        <v>470000000</v>
      </c>
      <c r="J9040" s="16" t="s">
        <v>229</v>
      </c>
      <c r="K9040" s="56" t="s">
        <v>18437</v>
      </c>
      <c r="L9040" s="16" t="s">
        <v>17026</v>
      </c>
      <c r="M9040" s="79"/>
      <c r="N9040" s="65" t="s">
        <v>18676</v>
      </c>
      <c r="O9040" s="162" t="s">
        <v>19294</v>
      </c>
      <c r="P9040" s="79"/>
      <c r="Q9040" s="87"/>
      <c r="R9040" s="87"/>
      <c r="S9040" s="163"/>
      <c r="T9040" s="1">
        <v>376000</v>
      </c>
      <c r="U9040" s="1">
        <f t="shared" ref="U9040" si="654">T9040*1.12</f>
        <v>421120.00000000006</v>
      </c>
      <c r="V9040" s="4"/>
      <c r="W9040" s="242">
        <v>2014</v>
      </c>
      <c r="X9040" s="56"/>
    </row>
    <row r="9041" spans="1:24" ht="102">
      <c r="A9041" s="3" t="s">
        <v>11364</v>
      </c>
      <c r="B9041" s="56" t="s">
        <v>361</v>
      </c>
      <c r="C9041" s="16" t="s">
        <v>10006</v>
      </c>
      <c r="D9041" s="16" t="s">
        <v>10007</v>
      </c>
      <c r="E9041" s="16" t="s">
        <v>10008</v>
      </c>
      <c r="F9041" s="16" t="s">
        <v>10044</v>
      </c>
      <c r="G9041" s="198" t="s">
        <v>605</v>
      </c>
      <c r="H9041" s="67">
        <v>1</v>
      </c>
      <c r="I9041" s="16">
        <v>470000000</v>
      </c>
      <c r="J9041" s="16" t="s">
        <v>229</v>
      </c>
      <c r="K9041" s="56" t="s">
        <v>366</v>
      </c>
      <c r="L9041" s="16" t="s">
        <v>621</v>
      </c>
      <c r="M9041" s="79"/>
      <c r="N9041" s="65" t="s">
        <v>10045</v>
      </c>
      <c r="O9041" s="162" t="s">
        <v>10012</v>
      </c>
      <c r="P9041" s="79"/>
      <c r="Q9041" s="87"/>
      <c r="R9041" s="87"/>
      <c r="S9041" s="163"/>
      <c r="T9041" s="4">
        <v>0</v>
      </c>
      <c r="U9041" s="4">
        <f t="shared" si="642"/>
        <v>0</v>
      </c>
      <c r="V9041" s="4"/>
      <c r="W9041" s="242">
        <v>2014</v>
      </c>
      <c r="X9041" s="56">
        <v>11</v>
      </c>
    </row>
    <row r="9042" spans="1:24" ht="102">
      <c r="A9042" s="3" t="s">
        <v>17016</v>
      </c>
      <c r="B9042" s="56" t="s">
        <v>361</v>
      </c>
      <c r="C9042" s="16" t="s">
        <v>10006</v>
      </c>
      <c r="D9042" s="16" t="s">
        <v>10007</v>
      </c>
      <c r="E9042" s="16" t="s">
        <v>10008</v>
      </c>
      <c r="F9042" s="16" t="s">
        <v>10044</v>
      </c>
      <c r="G9042" s="198" t="s">
        <v>605</v>
      </c>
      <c r="H9042" s="67">
        <v>1</v>
      </c>
      <c r="I9042" s="16">
        <v>470000000</v>
      </c>
      <c r="J9042" s="16" t="s">
        <v>229</v>
      </c>
      <c r="K9042" s="56" t="s">
        <v>9956</v>
      </c>
      <c r="L9042" s="16" t="s">
        <v>621</v>
      </c>
      <c r="M9042" s="79"/>
      <c r="N9042" s="65" t="s">
        <v>10045</v>
      </c>
      <c r="O9042" s="162" t="s">
        <v>10012</v>
      </c>
      <c r="P9042" s="79"/>
      <c r="Q9042" s="87"/>
      <c r="R9042" s="87"/>
      <c r="S9042" s="163"/>
      <c r="T9042" s="4">
        <v>0</v>
      </c>
      <c r="U9042" s="4">
        <f t="shared" si="642"/>
        <v>0</v>
      </c>
      <c r="V9042" s="4"/>
      <c r="W9042" s="242">
        <v>2014</v>
      </c>
      <c r="X9042" s="56">
        <v>14</v>
      </c>
    </row>
    <row r="9043" spans="1:24" ht="102">
      <c r="A9043" s="3" t="s">
        <v>18677</v>
      </c>
      <c r="B9043" s="56" t="s">
        <v>361</v>
      </c>
      <c r="C9043" s="16" t="s">
        <v>10006</v>
      </c>
      <c r="D9043" s="16" t="s">
        <v>10007</v>
      </c>
      <c r="E9043" s="16" t="s">
        <v>10008</v>
      </c>
      <c r="F9043" s="16" t="s">
        <v>10044</v>
      </c>
      <c r="G9043" s="198" t="s">
        <v>605</v>
      </c>
      <c r="H9043" s="67">
        <v>1</v>
      </c>
      <c r="I9043" s="16">
        <v>470000000</v>
      </c>
      <c r="J9043" s="16" t="s">
        <v>229</v>
      </c>
      <c r="K9043" s="56" t="s">
        <v>9956</v>
      </c>
      <c r="L9043" s="16" t="s">
        <v>621</v>
      </c>
      <c r="M9043" s="79"/>
      <c r="N9043" s="65" t="s">
        <v>18676</v>
      </c>
      <c r="O9043" s="162" t="s">
        <v>10012</v>
      </c>
      <c r="P9043" s="79"/>
      <c r="Q9043" s="87"/>
      <c r="R9043" s="87"/>
      <c r="S9043" s="163"/>
      <c r="T9043" s="4">
        <v>0</v>
      </c>
      <c r="U9043" s="4">
        <f t="shared" si="642"/>
        <v>0</v>
      </c>
      <c r="V9043" s="4"/>
      <c r="W9043" s="242">
        <v>2014</v>
      </c>
      <c r="X9043" s="56">
        <v>15</v>
      </c>
    </row>
    <row r="9044" spans="1:24" ht="102">
      <c r="A9044" s="3" t="s">
        <v>19307</v>
      </c>
      <c r="B9044" s="56" t="s">
        <v>361</v>
      </c>
      <c r="C9044" s="16" t="s">
        <v>10006</v>
      </c>
      <c r="D9044" s="16" t="s">
        <v>10007</v>
      </c>
      <c r="E9044" s="16" t="s">
        <v>10008</v>
      </c>
      <c r="F9044" s="16" t="s">
        <v>10044</v>
      </c>
      <c r="G9044" s="198" t="s">
        <v>605</v>
      </c>
      <c r="H9044" s="67">
        <v>1</v>
      </c>
      <c r="I9044" s="16">
        <v>470000000</v>
      </c>
      <c r="J9044" s="16" t="s">
        <v>229</v>
      </c>
      <c r="K9044" s="56" t="s">
        <v>9956</v>
      </c>
      <c r="L9044" s="16" t="s">
        <v>621</v>
      </c>
      <c r="M9044" s="79"/>
      <c r="N9044" s="65" t="s">
        <v>18676</v>
      </c>
      <c r="O9044" s="162" t="s">
        <v>19294</v>
      </c>
      <c r="P9044" s="79"/>
      <c r="Q9044" s="87"/>
      <c r="R9044" s="87"/>
      <c r="S9044" s="163"/>
      <c r="T9044" s="1">
        <v>573216</v>
      </c>
      <c r="U9044" s="1">
        <f t="shared" ref="U9044" si="655">T9044*1.12</f>
        <v>642001.92000000004</v>
      </c>
      <c r="V9044" s="4"/>
      <c r="W9044" s="242">
        <v>2014</v>
      </c>
      <c r="X9044" s="56"/>
    </row>
    <row r="9045" spans="1:24" ht="102">
      <c r="A9045" s="3" t="s">
        <v>11365</v>
      </c>
      <c r="B9045" s="56" t="s">
        <v>361</v>
      </c>
      <c r="C9045" s="16" t="s">
        <v>10006</v>
      </c>
      <c r="D9045" s="16" t="s">
        <v>10007</v>
      </c>
      <c r="E9045" s="16" t="s">
        <v>10008</v>
      </c>
      <c r="F9045" s="16" t="s">
        <v>10046</v>
      </c>
      <c r="G9045" s="198" t="s">
        <v>605</v>
      </c>
      <c r="H9045" s="67">
        <v>1</v>
      </c>
      <c r="I9045" s="16">
        <v>470000000</v>
      </c>
      <c r="J9045" s="16" t="s">
        <v>229</v>
      </c>
      <c r="K9045" s="56" t="s">
        <v>9793</v>
      </c>
      <c r="L9045" s="16" t="s">
        <v>17027</v>
      </c>
      <c r="M9045" s="79"/>
      <c r="N9045" s="65" t="s">
        <v>10027</v>
      </c>
      <c r="O9045" s="162" t="s">
        <v>10012</v>
      </c>
      <c r="P9045" s="79"/>
      <c r="Q9045" s="87"/>
      <c r="R9045" s="87"/>
      <c r="S9045" s="163"/>
      <c r="T9045" s="4">
        <v>0</v>
      </c>
      <c r="U9045" s="4">
        <f t="shared" si="642"/>
        <v>0</v>
      </c>
      <c r="V9045" s="4"/>
      <c r="W9045" s="242">
        <v>2014</v>
      </c>
      <c r="X9045" s="56">
        <v>12</v>
      </c>
    </row>
    <row r="9046" spans="1:24" ht="102">
      <c r="A9046" s="3" t="s">
        <v>16526</v>
      </c>
      <c r="B9046" s="56" t="s">
        <v>361</v>
      </c>
      <c r="C9046" s="16" t="s">
        <v>10006</v>
      </c>
      <c r="D9046" s="16" t="s">
        <v>10007</v>
      </c>
      <c r="E9046" s="16" t="s">
        <v>10008</v>
      </c>
      <c r="F9046" s="16" t="s">
        <v>10046</v>
      </c>
      <c r="G9046" s="198" t="s">
        <v>605</v>
      </c>
      <c r="H9046" s="67">
        <v>1</v>
      </c>
      <c r="I9046" s="16">
        <v>470000000</v>
      </c>
      <c r="J9046" s="16" t="s">
        <v>229</v>
      </c>
      <c r="K9046" s="56" t="s">
        <v>9793</v>
      </c>
      <c r="L9046" s="16" t="s">
        <v>15894</v>
      </c>
      <c r="M9046" s="79"/>
      <c r="N9046" s="65" t="s">
        <v>10027</v>
      </c>
      <c r="O9046" s="162" t="s">
        <v>10012</v>
      </c>
      <c r="P9046" s="79"/>
      <c r="Q9046" s="87"/>
      <c r="R9046" s="87"/>
      <c r="S9046" s="163"/>
      <c r="T9046" s="4">
        <v>0</v>
      </c>
      <c r="U9046" s="4">
        <f t="shared" si="642"/>
        <v>0</v>
      </c>
      <c r="V9046" s="4"/>
      <c r="W9046" s="242">
        <v>2014</v>
      </c>
      <c r="X9046" s="56">
        <v>15</v>
      </c>
    </row>
    <row r="9047" spans="1:24" ht="102">
      <c r="A9047" s="3" t="s">
        <v>19308</v>
      </c>
      <c r="B9047" s="56" t="s">
        <v>361</v>
      </c>
      <c r="C9047" s="16" t="s">
        <v>10006</v>
      </c>
      <c r="D9047" s="16" t="s">
        <v>10007</v>
      </c>
      <c r="E9047" s="16" t="s">
        <v>10008</v>
      </c>
      <c r="F9047" s="16" t="s">
        <v>10046</v>
      </c>
      <c r="G9047" s="198" t="s">
        <v>605</v>
      </c>
      <c r="H9047" s="67">
        <v>1</v>
      </c>
      <c r="I9047" s="16">
        <v>470000000</v>
      </c>
      <c r="J9047" s="16" t="s">
        <v>229</v>
      </c>
      <c r="K9047" s="56" t="s">
        <v>9793</v>
      </c>
      <c r="L9047" s="16" t="s">
        <v>15894</v>
      </c>
      <c r="M9047" s="79"/>
      <c r="N9047" s="65" t="s">
        <v>10027</v>
      </c>
      <c r="O9047" s="162" t="s">
        <v>19294</v>
      </c>
      <c r="P9047" s="79"/>
      <c r="Q9047" s="87"/>
      <c r="R9047" s="87"/>
      <c r="S9047" s="163"/>
      <c r="T9047" s="1">
        <v>85000</v>
      </c>
      <c r="U9047" s="1">
        <f t="shared" ref="U9047" si="656">T9047*1.12</f>
        <v>95200.000000000015</v>
      </c>
      <c r="V9047" s="4"/>
      <c r="W9047" s="242">
        <v>2014</v>
      </c>
      <c r="X9047" s="56"/>
    </row>
    <row r="9048" spans="1:24" ht="102">
      <c r="A9048" s="3" t="s">
        <v>11366</v>
      </c>
      <c r="B9048" s="56" t="s">
        <v>361</v>
      </c>
      <c r="C9048" s="16" t="s">
        <v>10006</v>
      </c>
      <c r="D9048" s="16" t="s">
        <v>10007</v>
      </c>
      <c r="E9048" s="16" t="s">
        <v>10008</v>
      </c>
      <c r="F9048" s="16" t="s">
        <v>10047</v>
      </c>
      <c r="G9048" s="198" t="s">
        <v>605</v>
      </c>
      <c r="H9048" s="67">
        <v>1</v>
      </c>
      <c r="I9048" s="16">
        <v>470000000</v>
      </c>
      <c r="J9048" s="16" t="s">
        <v>229</v>
      </c>
      <c r="K9048" s="56" t="s">
        <v>366</v>
      </c>
      <c r="L9048" s="16" t="s">
        <v>15894</v>
      </c>
      <c r="M9048" s="79"/>
      <c r="N9048" s="65" t="s">
        <v>10045</v>
      </c>
      <c r="O9048" s="162" t="s">
        <v>10012</v>
      </c>
      <c r="P9048" s="79"/>
      <c r="Q9048" s="87"/>
      <c r="R9048" s="87"/>
      <c r="S9048" s="163"/>
      <c r="T9048" s="4">
        <v>0</v>
      </c>
      <c r="U9048" s="4">
        <f t="shared" si="642"/>
        <v>0</v>
      </c>
      <c r="V9048" s="4"/>
      <c r="W9048" s="242">
        <v>2014</v>
      </c>
      <c r="X9048" s="56">
        <v>15</v>
      </c>
    </row>
    <row r="9049" spans="1:24" ht="102">
      <c r="A9049" s="3" t="s">
        <v>19309</v>
      </c>
      <c r="B9049" s="56" t="s">
        <v>361</v>
      </c>
      <c r="C9049" s="16" t="s">
        <v>10006</v>
      </c>
      <c r="D9049" s="16" t="s">
        <v>10007</v>
      </c>
      <c r="E9049" s="16" t="s">
        <v>10008</v>
      </c>
      <c r="F9049" s="16" t="s">
        <v>10047</v>
      </c>
      <c r="G9049" s="198" t="s">
        <v>605</v>
      </c>
      <c r="H9049" s="67">
        <v>1</v>
      </c>
      <c r="I9049" s="16">
        <v>470000000</v>
      </c>
      <c r="J9049" s="16" t="s">
        <v>229</v>
      </c>
      <c r="K9049" s="56" t="s">
        <v>366</v>
      </c>
      <c r="L9049" s="16" t="s">
        <v>15894</v>
      </c>
      <c r="M9049" s="79"/>
      <c r="N9049" s="65" t="s">
        <v>10045</v>
      </c>
      <c r="O9049" s="162" t="s">
        <v>19294</v>
      </c>
      <c r="P9049" s="79"/>
      <c r="Q9049" s="87"/>
      <c r="R9049" s="87"/>
      <c r="S9049" s="163"/>
      <c r="T9049" s="1">
        <v>60000</v>
      </c>
      <c r="U9049" s="1">
        <f t="shared" ref="U9049" si="657">T9049*1.12</f>
        <v>67200</v>
      </c>
      <c r="V9049" s="4"/>
      <c r="W9049" s="242">
        <v>2014</v>
      </c>
      <c r="X9049" s="56"/>
    </row>
    <row r="9050" spans="1:24" ht="102">
      <c r="A9050" s="3" t="s">
        <v>11367</v>
      </c>
      <c r="B9050" s="56" t="s">
        <v>361</v>
      </c>
      <c r="C9050" s="16" t="s">
        <v>10006</v>
      </c>
      <c r="D9050" s="16" t="s">
        <v>10007</v>
      </c>
      <c r="E9050" s="16" t="s">
        <v>10008</v>
      </c>
      <c r="F9050" s="16" t="s">
        <v>10048</v>
      </c>
      <c r="G9050" s="198" t="s">
        <v>605</v>
      </c>
      <c r="H9050" s="67">
        <v>1</v>
      </c>
      <c r="I9050" s="16">
        <v>470000000</v>
      </c>
      <c r="J9050" s="16" t="s">
        <v>229</v>
      </c>
      <c r="K9050" s="56" t="s">
        <v>9778</v>
      </c>
      <c r="L9050" s="16" t="s">
        <v>15892</v>
      </c>
      <c r="M9050" s="79"/>
      <c r="N9050" s="65" t="s">
        <v>10022</v>
      </c>
      <c r="O9050" s="162" t="s">
        <v>10012</v>
      </c>
      <c r="P9050" s="79"/>
      <c r="Q9050" s="87"/>
      <c r="R9050" s="87"/>
      <c r="S9050" s="163"/>
      <c r="T9050" s="4">
        <v>0</v>
      </c>
      <c r="U9050" s="4">
        <f t="shared" si="642"/>
        <v>0</v>
      </c>
      <c r="V9050" s="4"/>
      <c r="W9050" s="242">
        <v>2014</v>
      </c>
      <c r="X9050" s="56">
        <v>20.21</v>
      </c>
    </row>
    <row r="9051" spans="1:24" ht="102">
      <c r="A9051" s="3" t="s">
        <v>11849</v>
      </c>
      <c r="B9051" s="56" t="s">
        <v>361</v>
      </c>
      <c r="C9051" s="16" t="s">
        <v>10006</v>
      </c>
      <c r="D9051" s="16" t="s">
        <v>10007</v>
      </c>
      <c r="E9051" s="16" t="s">
        <v>10008</v>
      </c>
      <c r="F9051" s="16" t="s">
        <v>10048</v>
      </c>
      <c r="G9051" s="198" t="s">
        <v>605</v>
      </c>
      <c r="H9051" s="67">
        <v>1</v>
      </c>
      <c r="I9051" s="16">
        <v>470000000</v>
      </c>
      <c r="J9051" s="16" t="s">
        <v>229</v>
      </c>
      <c r="K9051" s="56" t="s">
        <v>9778</v>
      </c>
      <c r="L9051" s="16" t="s">
        <v>15892</v>
      </c>
      <c r="M9051" s="79"/>
      <c r="N9051" s="65" t="s">
        <v>10022</v>
      </c>
      <c r="O9051" s="162" t="s">
        <v>10012</v>
      </c>
      <c r="P9051" s="79"/>
      <c r="Q9051" s="87"/>
      <c r="R9051" s="87"/>
      <c r="S9051" s="163"/>
      <c r="T9051" s="4">
        <v>0</v>
      </c>
      <c r="U9051" s="4">
        <f>T9051*1.12</f>
        <v>0</v>
      </c>
      <c r="V9051" s="4"/>
      <c r="W9051" s="242">
        <v>2014</v>
      </c>
      <c r="X9051" s="56">
        <v>15</v>
      </c>
    </row>
    <row r="9052" spans="1:24" ht="102">
      <c r="A9052" s="3" t="s">
        <v>19310</v>
      </c>
      <c r="B9052" s="56" t="s">
        <v>361</v>
      </c>
      <c r="C9052" s="16" t="s">
        <v>10006</v>
      </c>
      <c r="D9052" s="16" t="s">
        <v>10007</v>
      </c>
      <c r="E9052" s="16" t="s">
        <v>10008</v>
      </c>
      <c r="F9052" s="16" t="s">
        <v>10048</v>
      </c>
      <c r="G9052" s="198" t="s">
        <v>605</v>
      </c>
      <c r="H9052" s="67">
        <v>1</v>
      </c>
      <c r="I9052" s="16">
        <v>470000000</v>
      </c>
      <c r="J9052" s="16" t="s">
        <v>229</v>
      </c>
      <c r="K9052" s="56" t="s">
        <v>9778</v>
      </c>
      <c r="L9052" s="16" t="s">
        <v>15892</v>
      </c>
      <c r="M9052" s="79"/>
      <c r="N9052" s="65" t="s">
        <v>10022</v>
      </c>
      <c r="O9052" s="162" t="s">
        <v>19294</v>
      </c>
      <c r="P9052" s="79"/>
      <c r="Q9052" s="87"/>
      <c r="R9052" s="87"/>
      <c r="S9052" s="163"/>
      <c r="T9052" s="1">
        <v>190000</v>
      </c>
      <c r="U9052" s="1">
        <f>T9052*1.12</f>
        <v>212800.00000000003</v>
      </c>
      <c r="V9052" s="4"/>
      <c r="W9052" s="242">
        <v>2014</v>
      </c>
      <c r="X9052" s="56"/>
    </row>
    <row r="9053" spans="1:24" ht="102">
      <c r="A9053" s="3" t="s">
        <v>11368</v>
      </c>
      <c r="B9053" s="56" t="s">
        <v>361</v>
      </c>
      <c r="C9053" s="16" t="s">
        <v>10006</v>
      </c>
      <c r="D9053" s="16" t="s">
        <v>10007</v>
      </c>
      <c r="E9053" s="16" t="s">
        <v>10008</v>
      </c>
      <c r="F9053" s="16" t="s">
        <v>10049</v>
      </c>
      <c r="G9053" s="198" t="s">
        <v>605</v>
      </c>
      <c r="H9053" s="67">
        <v>1</v>
      </c>
      <c r="I9053" s="16">
        <v>470000000</v>
      </c>
      <c r="J9053" s="16" t="s">
        <v>229</v>
      </c>
      <c r="K9053" s="56" t="s">
        <v>369</v>
      </c>
      <c r="L9053" s="16" t="s">
        <v>621</v>
      </c>
      <c r="M9053" s="79"/>
      <c r="N9053" s="65" t="s">
        <v>10017</v>
      </c>
      <c r="O9053" s="162" t="s">
        <v>10012</v>
      </c>
      <c r="P9053" s="79"/>
      <c r="Q9053" s="87"/>
      <c r="R9053" s="87"/>
      <c r="S9053" s="163"/>
      <c r="T9053" s="4">
        <v>0</v>
      </c>
      <c r="U9053" s="4">
        <f t="shared" ref="U9053" si="658">T9053*1.12</f>
        <v>0</v>
      </c>
      <c r="V9053" s="4"/>
      <c r="W9053" s="242">
        <v>2014</v>
      </c>
      <c r="X9053" s="56">
        <v>20.21</v>
      </c>
    </row>
    <row r="9054" spans="1:24" ht="102">
      <c r="A9054" s="3" t="s">
        <v>14341</v>
      </c>
      <c r="B9054" s="56" t="s">
        <v>361</v>
      </c>
      <c r="C9054" s="16" t="s">
        <v>10006</v>
      </c>
      <c r="D9054" s="16" t="s">
        <v>10007</v>
      </c>
      <c r="E9054" s="16" t="s">
        <v>10008</v>
      </c>
      <c r="F9054" s="16" t="s">
        <v>10049</v>
      </c>
      <c r="G9054" s="198" t="s">
        <v>605</v>
      </c>
      <c r="H9054" s="67">
        <v>1</v>
      </c>
      <c r="I9054" s="16">
        <v>470000000</v>
      </c>
      <c r="J9054" s="16" t="s">
        <v>229</v>
      </c>
      <c r="K9054" s="56" t="s">
        <v>369</v>
      </c>
      <c r="L9054" s="16" t="s">
        <v>621</v>
      </c>
      <c r="M9054" s="79"/>
      <c r="N9054" s="65" t="s">
        <v>10017</v>
      </c>
      <c r="O9054" s="162" t="s">
        <v>10012</v>
      </c>
      <c r="P9054" s="79"/>
      <c r="Q9054" s="87"/>
      <c r="R9054" s="87"/>
      <c r="S9054" s="163"/>
      <c r="T9054" s="4">
        <v>0</v>
      </c>
      <c r="U9054" s="4">
        <v>0</v>
      </c>
      <c r="V9054" s="4"/>
      <c r="W9054" s="242">
        <v>2014</v>
      </c>
      <c r="X9054" s="6" t="s">
        <v>18680</v>
      </c>
    </row>
    <row r="9055" spans="1:24" ht="102">
      <c r="A9055" s="3" t="s">
        <v>18523</v>
      </c>
      <c r="B9055" s="56" t="s">
        <v>361</v>
      </c>
      <c r="C9055" s="16" t="s">
        <v>10006</v>
      </c>
      <c r="D9055" s="16" t="s">
        <v>10007</v>
      </c>
      <c r="E9055" s="16" t="s">
        <v>10008</v>
      </c>
      <c r="F9055" s="16" t="s">
        <v>10049</v>
      </c>
      <c r="G9055" s="198" t="s">
        <v>605</v>
      </c>
      <c r="H9055" s="67">
        <v>1</v>
      </c>
      <c r="I9055" s="16">
        <v>470000000</v>
      </c>
      <c r="J9055" s="16" t="s">
        <v>229</v>
      </c>
      <c r="K9055" s="56" t="s">
        <v>9775</v>
      </c>
      <c r="L9055" s="16" t="s">
        <v>18524</v>
      </c>
      <c r="M9055" s="79"/>
      <c r="N9055" s="65" t="s">
        <v>10025</v>
      </c>
      <c r="O9055" s="162" t="s">
        <v>10012</v>
      </c>
      <c r="P9055" s="79"/>
      <c r="Q9055" s="87"/>
      <c r="R9055" s="87"/>
      <c r="S9055" s="163"/>
      <c r="T9055" s="4">
        <v>0</v>
      </c>
      <c r="U9055" s="4">
        <f>T9055*1.12</f>
        <v>0</v>
      </c>
      <c r="V9055" s="4"/>
      <c r="W9055" s="242">
        <v>2014</v>
      </c>
      <c r="X9055" s="3">
        <v>15</v>
      </c>
    </row>
    <row r="9056" spans="1:24" ht="102">
      <c r="A9056" s="3" t="s">
        <v>19311</v>
      </c>
      <c r="B9056" s="56" t="s">
        <v>361</v>
      </c>
      <c r="C9056" s="16" t="s">
        <v>10006</v>
      </c>
      <c r="D9056" s="16" t="s">
        <v>10007</v>
      </c>
      <c r="E9056" s="16" t="s">
        <v>10008</v>
      </c>
      <c r="F9056" s="16" t="s">
        <v>10049</v>
      </c>
      <c r="G9056" s="198" t="s">
        <v>605</v>
      </c>
      <c r="H9056" s="67">
        <v>1</v>
      </c>
      <c r="I9056" s="16">
        <v>470000000</v>
      </c>
      <c r="J9056" s="16" t="s">
        <v>229</v>
      </c>
      <c r="K9056" s="56" t="s">
        <v>9775</v>
      </c>
      <c r="L9056" s="16" t="s">
        <v>18524</v>
      </c>
      <c r="M9056" s="79"/>
      <c r="N9056" s="65" t="s">
        <v>10025</v>
      </c>
      <c r="O9056" s="162" t="s">
        <v>19294</v>
      </c>
      <c r="P9056" s="79"/>
      <c r="Q9056" s="87"/>
      <c r="R9056" s="87"/>
      <c r="S9056" s="163"/>
      <c r="T9056" s="1">
        <v>53571.43</v>
      </c>
      <c r="U9056" s="1">
        <f>T9056*1.12</f>
        <v>60000.001600000003</v>
      </c>
      <c r="V9056" s="4"/>
      <c r="W9056" s="242">
        <v>2014</v>
      </c>
      <c r="X9056" s="158"/>
    </row>
    <row r="9057" spans="1:24" ht="102">
      <c r="A9057" s="3" t="s">
        <v>11369</v>
      </c>
      <c r="B9057" s="56" t="s">
        <v>361</v>
      </c>
      <c r="C9057" s="16" t="s">
        <v>10006</v>
      </c>
      <c r="D9057" s="16" t="s">
        <v>10007</v>
      </c>
      <c r="E9057" s="16" t="s">
        <v>10008</v>
      </c>
      <c r="F9057" s="16" t="s">
        <v>9612</v>
      </c>
      <c r="G9057" s="198" t="s">
        <v>605</v>
      </c>
      <c r="H9057" s="67">
        <v>1</v>
      </c>
      <c r="I9057" s="16">
        <v>470000000</v>
      </c>
      <c r="J9057" s="16" t="s">
        <v>229</v>
      </c>
      <c r="K9057" s="56" t="s">
        <v>363</v>
      </c>
      <c r="L9057" s="16" t="s">
        <v>621</v>
      </c>
      <c r="M9057" s="79"/>
      <c r="N9057" s="65" t="s">
        <v>10050</v>
      </c>
      <c r="O9057" s="162" t="s">
        <v>10012</v>
      </c>
      <c r="P9057" s="79"/>
      <c r="Q9057" s="87"/>
      <c r="R9057" s="87"/>
      <c r="S9057" s="163"/>
      <c r="T9057" s="4">
        <v>0</v>
      </c>
      <c r="U9057" s="4">
        <f t="shared" ref="U9057:U9170" si="659">T9057*1.12</f>
        <v>0</v>
      </c>
      <c r="V9057" s="4"/>
      <c r="W9057" s="242">
        <v>2014</v>
      </c>
      <c r="X9057" s="56" t="s">
        <v>11822</v>
      </c>
    </row>
    <row r="9058" spans="1:24" ht="102">
      <c r="A9058" s="3" t="s">
        <v>11820</v>
      </c>
      <c r="B9058" s="56" t="s">
        <v>361</v>
      </c>
      <c r="C9058" s="16" t="s">
        <v>10006</v>
      </c>
      <c r="D9058" s="16" t="s">
        <v>10007</v>
      </c>
      <c r="E9058" s="16" t="s">
        <v>10008</v>
      </c>
      <c r="F9058" s="16" t="s">
        <v>9612</v>
      </c>
      <c r="G9058" s="198" t="s">
        <v>605</v>
      </c>
      <c r="H9058" s="67">
        <v>1</v>
      </c>
      <c r="I9058" s="16">
        <v>470000000</v>
      </c>
      <c r="J9058" s="16" t="s">
        <v>229</v>
      </c>
      <c r="K9058" s="56" t="s">
        <v>7699</v>
      </c>
      <c r="L9058" s="16" t="s">
        <v>621</v>
      </c>
      <c r="M9058" s="79"/>
      <c r="N9058" s="65" t="s">
        <v>10050</v>
      </c>
      <c r="O9058" s="162" t="s">
        <v>10012</v>
      </c>
      <c r="P9058" s="79"/>
      <c r="Q9058" s="87"/>
      <c r="R9058" s="87"/>
      <c r="S9058" s="163"/>
      <c r="T9058" s="4">
        <v>0</v>
      </c>
      <c r="U9058" s="4">
        <f>T9058*1.12</f>
        <v>0</v>
      </c>
      <c r="V9058" s="4"/>
      <c r="W9058" s="242">
        <v>2014</v>
      </c>
      <c r="X9058" s="56">
        <v>15</v>
      </c>
    </row>
    <row r="9059" spans="1:24" ht="102">
      <c r="A9059" s="3" t="s">
        <v>19312</v>
      </c>
      <c r="B9059" s="56" t="s">
        <v>361</v>
      </c>
      <c r="C9059" s="16" t="s">
        <v>10006</v>
      </c>
      <c r="D9059" s="16" t="s">
        <v>10007</v>
      </c>
      <c r="E9059" s="16" t="s">
        <v>10008</v>
      </c>
      <c r="F9059" s="16" t="s">
        <v>9612</v>
      </c>
      <c r="G9059" s="198" t="s">
        <v>605</v>
      </c>
      <c r="H9059" s="67">
        <v>1</v>
      </c>
      <c r="I9059" s="16">
        <v>470000000</v>
      </c>
      <c r="J9059" s="16" t="s">
        <v>229</v>
      </c>
      <c r="K9059" s="56" t="s">
        <v>7699</v>
      </c>
      <c r="L9059" s="16" t="s">
        <v>621</v>
      </c>
      <c r="M9059" s="79"/>
      <c r="N9059" s="65" t="s">
        <v>10050</v>
      </c>
      <c r="O9059" s="162" t="s">
        <v>19294</v>
      </c>
      <c r="P9059" s="79"/>
      <c r="Q9059" s="87"/>
      <c r="R9059" s="87"/>
      <c r="S9059" s="163"/>
      <c r="T9059" s="1">
        <v>235000</v>
      </c>
      <c r="U9059" s="1">
        <f>T9059*1.12</f>
        <v>263200</v>
      </c>
      <c r="V9059" s="4"/>
      <c r="W9059" s="242">
        <v>2014</v>
      </c>
      <c r="X9059" s="56"/>
    </row>
    <row r="9060" spans="1:24" ht="102">
      <c r="A9060" s="3" t="s">
        <v>11370</v>
      </c>
      <c r="B9060" s="56" t="s">
        <v>361</v>
      </c>
      <c r="C9060" s="16" t="s">
        <v>10006</v>
      </c>
      <c r="D9060" s="16" t="s">
        <v>10007</v>
      </c>
      <c r="E9060" s="16" t="s">
        <v>10008</v>
      </c>
      <c r="F9060" s="16" t="s">
        <v>10051</v>
      </c>
      <c r="G9060" s="198" t="s">
        <v>605</v>
      </c>
      <c r="H9060" s="67">
        <v>1</v>
      </c>
      <c r="I9060" s="16">
        <v>470000000</v>
      </c>
      <c r="J9060" s="16" t="s">
        <v>229</v>
      </c>
      <c r="K9060" s="56" t="s">
        <v>369</v>
      </c>
      <c r="L9060" s="16" t="s">
        <v>621</v>
      </c>
      <c r="M9060" s="79"/>
      <c r="N9060" s="65" t="s">
        <v>10017</v>
      </c>
      <c r="O9060" s="162" t="s">
        <v>10012</v>
      </c>
      <c r="P9060" s="79"/>
      <c r="Q9060" s="87"/>
      <c r="R9060" s="87"/>
      <c r="S9060" s="163"/>
      <c r="T9060" s="4">
        <v>0</v>
      </c>
      <c r="U9060" s="4">
        <f t="shared" si="659"/>
        <v>0</v>
      </c>
      <c r="V9060" s="79"/>
      <c r="W9060" s="242">
        <v>2014</v>
      </c>
      <c r="X9060" s="56" t="s">
        <v>18680</v>
      </c>
    </row>
    <row r="9061" spans="1:24" ht="102">
      <c r="A9061" s="3" t="s">
        <v>18684</v>
      </c>
      <c r="B9061" s="56" t="s">
        <v>361</v>
      </c>
      <c r="C9061" s="16" t="s">
        <v>10006</v>
      </c>
      <c r="D9061" s="16" t="s">
        <v>10007</v>
      </c>
      <c r="E9061" s="16" t="s">
        <v>10008</v>
      </c>
      <c r="F9061" s="16" t="s">
        <v>18700</v>
      </c>
      <c r="G9061" s="198" t="s">
        <v>605</v>
      </c>
      <c r="H9061" s="67">
        <v>1</v>
      </c>
      <c r="I9061" s="16">
        <v>470000000</v>
      </c>
      <c r="J9061" s="16" t="s">
        <v>229</v>
      </c>
      <c r="K9061" s="56" t="s">
        <v>9369</v>
      </c>
      <c r="L9061" s="16" t="s">
        <v>17028</v>
      </c>
      <c r="M9061" s="79"/>
      <c r="N9061" s="65" t="s">
        <v>10020</v>
      </c>
      <c r="O9061" s="162" t="s">
        <v>10012</v>
      </c>
      <c r="P9061" s="79"/>
      <c r="Q9061" s="87"/>
      <c r="R9061" s="87"/>
      <c r="S9061" s="163"/>
      <c r="T9061" s="4">
        <v>0</v>
      </c>
      <c r="U9061" s="4">
        <f t="shared" si="659"/>
        <v>0</v>
      </c>
      <c r="V9061" s="79"/>
      <c r="W9061" s="242">
        <v>2014</v>
      </c>
      <c r="X9061" s="56">
        <v>15</v>
      </c>
    </row>
    <row r="9062" spans="1:24" ht="102">
      <c r="A9062" s="3" t="s">
        <v>19313</v>
      </c>
      <c r="B9062" s="56" t="s">
        <v>361</v>
      </c>
      <c r="C9062" s="16" t="s">
        <v>10006</v>
      </c>
      <c r="D9062" s="16" t="s">
        <v>10007</v>
      </c>
      <c r="E9062" s="16" t="s">
        <v>10008</v>
      </c>
      <c r="F9062" s="16" t="s">
        <v>18700</v>
      </c>
      <c r="G9062" s="198" t="s">
        <v>605</v>
      </c>
      <c r="H9062" s="67">
        <v>1</v>
      </c>
      <c r="I9062" s="16">
        <v>470000000</v>
      </c>
      <c r="J9062" s="16" t="s">
        <v>229</v>
      </c>
      <c r="K9062" s="56" t="s">
        <v>9369</v>
      </c>
      <c r="L9062" s="16" t="s">
        <v>17028</v>
      </c>
      <c r="M9062" s="79"/>
      <c r="N9062" s="65" t="s">
        <v>10020</v>
      </c>
      <c r="O9062" s="162" t="s">
        <v>19294</v>
      </c>
      <c r="P9062" s="79"/>
      <c r="Q9062" s="87"/>
      <c r="R9062" s="87"/>
      <c r="S9062" s="163"/>
      <c r="T9062" s="1">
        <v>371800</v>
      </c>
      <c r="U9062" s="1">
        <f t="shared" ref="U9062" si="660">T9062*1.12</f>
        <v>416416.00000000006</v>
      </c>
      <c r="V9062" s="79"/>
      <c r="W9062" s="242">
        <v>2014</v>
      </c>
      <c r="X9062" s="56"/>
    </row>
    <row r="9063" spans="1:24" ht="102">
      <c r="A9063" s="3" t="s">
        <v>11371</v>
      </c>
      <c r="B9063" s="56" t="s">
        <v>361</v>
      </c>
      <c r="C9063" s="16" t="s">
        <v>10006</v>
      </c>
      <c r="D9063" s="16" t="s">
        <v>10007</v>
      </c>
      <c r="E9063" s="16" t="s">
        <v>10008</v>
      </c>
      <c r="F9063" s="16" t="s">
        <v>10052</v>
      </c>
      <c r="G9063" s="198" t="s">
        <v>605</v>
      </c>
      <c r="H9063" s="67">
        <v>1</v>
      </c>
      <c r="I9063" s="16">
        <v>470000000</v>
      </c>
      <c r="J9063" s="16" t="s">
        <v>229</v>
      </c>
      <c r="K9063" s="56" t="s">
        <v>9377</v>
      </c>
      <c r="L9063" s="16" t="s">
        <v>17028</v>
      </c>
      <c r="M9063" s="79"/>
      <c r="N9063" s="65" t="s">
        <v>10011</v>
      </c>
      <c r="O9063" s="162" t="s">
        <v>10012</v>
      </c>
      <c r="P9063" s="79"/>
      <c r="Q9063" s="87"/>
      <c r="R9063" s="87"/>
      <c r="S9063" s="163"/>
      <c r="T9063" s="4">
        <v>0</v>
      </c>
      <c r="U9063" s="4">
        <f t="shared" si="659"/>
        <v>0</v>
      </c>
      <c r="V9063" s="79"/>
      <c r="W9063" s="242">
        <v>2014</v>
      </c>
      <c r="X9063" s="56" t="s">
        <v>18681</v>
      </c>
    </row>
    <row r="9064" spans="1:24" ht="102">
      <c r="A9064" s="3" t="s">
        <v>18678</v>
      </c>
      <c r="B9064" s="56" t="s">
        <v>361</v>
      </c>
      <c r="C9064" s="16" t="s">
        <v>10006</v>
      </c>
      <c r="D9064" s="16" t="s">
        <v>10007</v>
      </c>
      <c r="E9064" s="16" t="s">
        <v>10008</v>
      </c>
      <c r="F9064" s="16" t="s">
        <v>18679</v>
      </c>
      <c r="G9064" s="198" t="s">
        <v>605</v>
      </c>
      <c r="H9064" s="67">
        <v>1</v>
      </c>
      <c r="I9064" s="16">
        <v>470000000</v>
      </c>
      <c r="J9064" s="16" t="s">
        <v>229</v>
      </c>
      <c r="K9064" s="56" t="s">
        <v>18437</v>
      </c>
      <c r="L9064" s="16" t="s">
        <v>17027</v>
      </c>
      <c r="M9064" s="79"/>
      <c r="N9064" s="65" t="s">
        <v>15899</v>
      </c>
      <c r="O9064" s="162" t="s">
        <v>10012</v>
      </c>
      <c r="P9064" s="79"/>
      <c r="Q9064" s="87"/>
      <c r="R9064" s="87"/>
      <c r="S9064" s="163"/>
      <c r="T9064" s="4">
        <v>0</v>
      </c>
      <c r="U9064" s="4">
        <f t="shared" si="659"/>
        <v>0</v>
      </c>
      <c r="V9064" s="79"/>
      <c r="W9064" s="242">
        <v>2014</v>
      </c>
      <c r="X9064" s="56">
        <v>11.15</v>
      </c>
    </row>
    <row r="9065" spans="1:24" ht="102">
      <c r="A9065" s="3" t="s">
        <v>19285</v>
      </c>
      <c r="B9065" s="56" t="s">
        <v>361</v>
      </c>
      <c r="C9065" s="16" t="s">
        <v>10006</v>
      </c>
      <c r="D9065" s="16" t="s">
        <v>10007</v>
      </c>
      <c r="E9065" s="16" t="s">
        <v>10008</v>
      </c>
      <c r="F9065" s="16" t="s">
        <v>18679</v>
      </c>
      <c r="G9065" s="198" t="s">
        <v>605</v>
      </c>
      <c r="H9065" s="67">
        <v>1</v>
      </c>
      <c r="I9065" s="16">
        <v>470000000</v>
      </c>
      <c r="J9065" s="16" t="s">
        <v>229</v>
      </c>
      <c r="K9065" s="56" t="s">
        <v>9956</v>
      </c>
      <c r="L9065" s="16" t="s">
        <v>17027</v>
      </c>
      <c r="M9065" s="79"/>
      <c r="N9065" s="65" t="s">
        <v>15899</v>
      </c>
      <c r="O9065" s="162" t="s">
        <v>19179</v>
      </c>
      <c r="P9065" s="79"/>
      <c r="Q9065" s="87"/>
      <c r="R9065" s="87"/>
      <c r="S9065" s="163"/>
      <c r="T9065" s="1">
        <v>240268</v>
      </c>
      <c r="U9065" s="1">
        <f t="shared" ref="U9065" si="661">T9065*1.12</f>
        <v>269100.16000000003</v>
      </c>
      <c r="V9065" s="79"/>
      <c r="W9065" s="242">
        <v>2014</v>
      </c>
      <c r="X9065" s="56"/>
    </row>
    <row r="9066" spans="1:24" ht="102">
      <c r="A9066" s="3" t="s">
        <v>11372</v>
      </c>
      <c r="B9066" s="56" t="s">
        <v>361</v>
      </c>
      <c r="C9066" s="16" t="s">
        <v>10006</v>
      </c>
      <c r="D9066" s="16" t="s">
        <v>10007</v>
      </c>
      <c r="E9066" s="16" t="s">
        <v>10008</v>
      </c>
      <c r="F9066" s="16" t="s">
        <v>10053</v>
      </c>
      <c r="G9066" s="198" t="s">
        <v>605</v>
      </c>
      <c r="H9066" s="67">
        <v>1</v>
      </c>
      <c r="I9066" s="16">
        <v>470000000</v>
      </c>
      <c r="J9066" s="16" t="s">
        <v>229</v>
      </c>
      <c r="K9066" s="56" t="s">
        <v>369</v>
      </c>
      <c r="L9066" s="16" t="s">
        <v>621</v>
      </c>
      <c r="M9066" s="79"/>
      <c r="N9066" s="65" t="s">
        <v>10017</v>
      </c>
      <c r="O9066" s="162" t="s">
        <v>10012</v>
      </c>
      <c r="P9066" s="79"/>
      <c r="Q9066" s="87"/>
      <c r="R9066" s="87"/>
      <c r="S9066" s="163"/>
      <c r="T9066" s="4">
        <v>0</v>
      </c>
      <c r="U9066" s="4">
        <f t="shared" si="659"/>
        <v>0</v>
      </c>
      <c r="V9066" s="4"/>
      <c r="W9066" s="242">
        <v>2014</v>
      </c>
      <c r="X9066" s="56" t="s">
        <v>12076</v>
      </c>
    </row>
    <row r="9067" spans="1:24" ht="102">
      <c r="A9067" s="3" t="s">
        <v>11373</v>
      </c>
      <c r="B9067" s="56" t="s">
        <v>361</v>
      </c>
      <c r="C9067" s="16" t="s">
        <v>10006</v>
      </c>
      <c r="D9067" s="16" t="s">
        <v>10007</v>
      </c>
      <c r="E9067" s="16" t="s">
        <v>10008</v>
      </c>
      <c r="F9067" s="16" t="s">
        <v>10054</v>
      </c>
      <c r="G9067" s="198" t="s">
        <v>605</v>
      </c>
      <c r="H9067" s="67">
        <v>1</v>
      </c>
      <c r="I9067" s="16">
        <v>470000000</v>
      </c>
      <c r="J9067" s="16" t="s">
        <v>229</v>
      </c>
      <c r="K9067" s="56" t="s">
        <v>9775</v>
      </c>
      <c r="L9067" s="16" t="s">
        <v>621</v>
      </c>
      <c r="M9067" s="79"/>
      <c r="N9067" s="65" t="s">
        <v>10017</v>
      </c>
      <c r="O9067" s="162" t="s">
        <v>10012</v>
      </c>
      <c r="P9067" s="79"/>
      <c r="Q9067" s="87"/>
      <c r="R9067" s="87"/>
      <c r="S9067" s="163"/>
      <c r="T9067" s="4">
        <v>0</v>
      </c>
      <c r="U9067" s="4">
        <f t="shared" si="659"/>
        <v>0</v>
      </c>
      <c r="V9067" s="4"/>
      <c r="W9067" s="242">
        <v>2014</v>
      </c>
      <c r="X9067" s="56" t="s">
        <v>18400</v>
      </c>
    </row>
    <row r="9068" spans="1:24" ht="102">
      <c r="A9068" s="3" t="s">
        <v>18396</v>
      </c>
      <c r="B9068" s="56" t="s">
        <v>361</v>
      </c>
      <c r="C9068" s="16" t="s">
        <v>10006</v>
      </c>
      <c r="D9068" s="16" t="s">
        <v>10007</v>
      </c>
      <c r="E9068" s="16" t="s">
        <v>10008</v>
      </c>
      <c r="F9068" s="16" t="s">
        <v>10054</v>
      </c>
      <c r="G9068" s="198" t="s">
        <v>605</v>
      </c>
      <c r="H9068" s="67">
        <v>1</v>
      </c>
      <c r="I9068" s="16">
        <v>470000000</v>
      </c>
      <c r="J9068" s="16" t="s">
        <v>229</v>
      </c>
      <c r="K9068" s="56" t="s">
        <v>18397</v>
      </c>
      <c r="L9068" s="16" t="s">
        <v>621</v>
      </c>
      <c r="M9068" s="79"/>
      <c r="N9068" s="65" t="s">
        <v>15899</v>
      </c>
      <c r="O9068" s="162" t="s">
        <v>10012</v>
      </c>
      <c r="P9068" s="79"/>
      <c r="Q9068" s="87"/>
      <c r="R9068" s="87"/>
      <c r="S9068" s="163"/>
      <c r="T9068" s="4">
        <v>0</v>
      </c>
      <c r="U9068" s="4">
        <f t="shared" si="659"/>
        <v>0</v>
      </c>
      <c r="V9068" s="4"/>
      <c r="W9068" s="242">
        <v>2014</v>
      </c>
      <c r="X9068" s="56">
        <v>11.15</v>
      </c>
    </row>
    <row r="9069" spans="1:24" ht="102">
      <c r="A9069" s="3" t="s">
        <v>19178</v>
      </c>
      <c r="B9069" s="56" t="s">
        <v>361</v>
      </c>
      <c r="C9069" s="16" t="s">
        <v>10006</v>
      </c>
      <c r="D9069" s="16" t="s">
        <v>10007</v>
      </c>
      <c r="E9069" s="16" t="s">
        <v>10008</v>
      </c>
      <c r="F9069" s="16" t="s">
        <v>10054</v>
      </c>
      <c r="G9069" s="198" t="s">
        <v>605</v>
      </c>
      <c r="H9069" s="67">
        <v>1</v>
      </c>
      <c r="I9069" s="16">
        <v>470000000</v>
      </c>
      <c r="J9069" s="16" t="s">
        <v>229</v>
      </c>
      <c r="K9069" s="56" t="s">
        <v>10019</v>
      </c>
      <c r="L9069" s="16" t="s">
        <v>621</v>
      </c>
      <c r="M9069" s="79"/>
      <c r="N9069" s="65" t="s">
        <v>15899</v>
      </c>
      <c r="O9069" s="162" t="s">
        <v>19179</v>
      </c>
      <c r="P9069" s="79"/>
      <c r="Q9069" s="87"/>
      <c r="R9069" s="87"/>
      <c r="S9069" s="163"/>
      <c r="T9069" s="1">
        <v>345000</v>
      </c>
      <c r="U9069" s="1">
        <f t="shared" ref="U9069" si="662">T9069*1.12</f>
        <v>386400.00000000006</v>
      </c>
      <c r="V9069" s="4"/>
      <c r="W9069" s="242">
        <v>2014</v>
      </c>
      <c r="X9069" s="56"/>
    </row>
    <row r="9070" spans="1:24" ht="102">
      <c r="A9070" s="3" t="s">
        <v>11374</v>
      </c>
      <c r="B9070" s="56" t="s">
        <v>361</v>
      </c>
      <c r="C9070" s="16" t="s">
        <v>10006</v>
      </c>
      <c r="D9070" s="16" t="s">
        <v>10007</v>
      </c>
      <c r="E9070" s="16" t="s">
        <v>10008</v>
      </c>
      <c r="F9070" s="16" t="s">
        <v>10055</v>
      </c>
      <c r="G9070" s="198" t="s">
        <v>605</v>
      </c>
      <c r="H9070" s="67">
        <v>1</v>
      </c>
      <c r="I9070" s="16">
        <v>470000000</v>
      </c>
      <c r="J9070" s="16" t="s">
        <v>229</v>
      </c>
      <c r="K9070" s="56" t="s">
        <v>9793</v>
      </c>
      <c r="L9070" s="16" t="s">
        <v>621</v>
      </c>
      <c r="M9070" s="79"/>
      <c r="N9070" s="65" t="s">
        <v>10027</v>
      </c>
      <c r="O9070" s="162" t="s">
        <v>10012</v>
      </c>
      <c r="P9070" s="79"/>
      <c r="Q9070" s="87"/>
      <c r="R9070" s="87"/>
      <c r="S9070" s="163"/>
      <c r="T9070" s="4">
        <v>0</v>
      </c>
      <c r="U9070" s="4">
        <f t="shared" si="659"/>
        <v>0</v>
      </c>
      <c r="V9070" s="79"/>
      <c r="W9070" s="242">
        <v>2014</v>
      </c>
      <c r="X9070" s="56">
        <v>20.21</v>
      </c>
    </row>
    <row r="9071" spans="1:24" ht="102">
      <c r="A9071" s="3" t="s">
        <v>15882</v>
      </c>
      <c r="B9071" s="56" t="s">
        <v>361</v>
      </c>
      <c r="C9071" s="16" t="s">
        <v>10006</v>
      </c>
      <c r="D9071" s="16" t="s">
        <v>10007</v>
      </c>
      <c r="E9071" s="16" t="s">
        <v>10008</v>
      </c>
      <c r="F9071" s="16" t="s">
        <v>10055</v>
      </c>
      <c r="G9071" s="198" t="s">
        <v>605</v>
      </c>
      <c r="H9071" s="67">
        <v>1</v>
      </c>
      <c r="I9071" s="16">
        <v>470000000</v>
      </c>
      <c r="J9071" s="16" t="s">
        <v>229</v>
      </c>
      <c r="K9071" s="56" t="s">
        <v>9793</v>
      </c>
      <c r="L9071" s="16" t="s">
        <v>621</v>
      </c>
      <c r="M9071" s="79"/>
      <c r="N9071" s="65" t="s">
        <v>10027</v>
      </c>
      <c r="O9071" s="162" t="s">
        <v>10012</v>
      </c>
      <c r="P9071" s="79"/>
      <c r="Q9071" s="87"/>
      <c r="R9071" s="87"/>
      <c r="S9071" s="163"/>
      <c r="T9071" s="4">
        <v>0</v>
      </c>
      <c r="U9071" s="4">
        <f t="shared" si="659"/>
        <v>0</v>
      </c>
      <c r="V9071" s="79"/>
      <c r="W9071" s="242">
        <v>2014</v>
      </c>
      <c r="X9071" s="56">
        <v>20.21</v>
      </c>
    </row>
    <row r="9072" spans="1:24" ht="102">
      <c r="A9072" s="3" t="s">
        <v>16745</v>
      </c>
      <c r="B9072" s="56" t="s">
        <v>361</v>
      </c>
      <c r="C9072" s="16" t="s">
        <v>10006</v>
      </c>
      <c r="D9072" s="16" t="s">
        <v>10007</v>
      </c>
      <c r="E9072" s="16" t="s">
        <v>10008</v>
      </c>
      <c r="F9072" s="16" t="s">
        <v>10055</v>
      </c>
      <c r="G9072" s="198" t="s">
        <v>605</v>
      </c>
      <c r="H9072" s="67">
        <v>1</v>
      </c>
      <c r="I9072" s="16">
        <v>470000000</v>
      </c>
      <c r="J9072" s="16" t="s">
        <v>229</v>
      </c>
      <c r="K9072" s="56" t="s">
        <v>9793</v>
      </c>
      <c r="L9072" s="16" t="s">
        <v>621</v>
      </c>
      <c r="M9072" s="79"/>
      <c r="N9072" s="65" t="s">
        <v>10027</v>
      </c>
      <c r="O9072" s="162" t="s">
        <v>10012</v>
      </c>
      <c r="P9072" s="79"/>
      <c r="Q9072" s="87"/>
      <c r="R9072" s="87"/>
      <c r="S9072" s="163"/>
      <c r="T9072" s="4">
        <v>0</v>
      </c>
      <c r="U9072" s="4">
        <f t="shared" si="659"/>
        <v>0</v>
      </c>
      <c r="V9072" s="79"/>
      <c r="W9072" s="242">
        <v>2014</v>
      </c>
      <c r="X9072" s="56">
        <v>15</v>
      </c>
    </row>
    <row r="9073" spans="1:24" ht="102">
      <c r="A9073" s="3" t="s">
        <v>19314</v>
      </c>
      <c r="B9073" s="56" t="s">
        <v>361</v>
      </c>
      <c r="C9073" s="16" t="s">
        <v>10006</v>
      </c>
      <c r="D9073" s="16" t="s">
        <v>10007</v>
      </c>
      <c r="E9073" s="16" t="s">
        <v>10008</v>
      </c>
      <c r="F9073" s="16" t="s">
        <v>10055</v>
      </c>
      <c r="G9073" s="198" t="s">
        <v>605</v>
      </c>
      <c r="H9073" s="67">
        <v>1</v>
      </c>
      <c r="I9073" s="16">
        <v>470000000</v>
      </c>
      <c r="J9073" s="16" t="s">
        <v>229</v>
      </c>
      <c r="K9073" s="56" t="s">
        <v>9793</v>
      </c>
      <c r="L9073" s="16" t="s">
        <v>621</v>
      </c>
      <c r="M9073" s="79"/>
      <c r="N9073" s="65" t="s">
        <v>10027</v>
      </c>
      <c r="O9073" s="162" t="s">
        <v>19179</v>
      </c>
      <c r="P9073" s="79"/>
      <c r="Q9073" s="87"/>
      <c r="R9073" s="87"/>
      <c r="S9073" s="163"/>
      <c r="T9073" s="1">
        <v>558483</v>
      </c>
      <c r="U9073" s="1">
        <f t="shared" ref="U9073" si="663">T9073*1.12</f>
        <v>625500.96000000008</v>
      </c>
      <c r="V9073" s="79"/>
      <c r="W9073" s="242">
        <v>2014</v>
      </c>
      <c r="X9073" s="56"/>
    </row>
    <row r="9074" spans="1:24" ht="102">
      <c r="A9074" s="3" t="s">
        <v>11375</v>
      </c>
      <c r="B9074" s="56" t="s">
        <v>361</v>
      </c>
      <c r="C9074" s="16" t="s">
        <v>10006</v>
      </c>
      <c r="D9074" s="16" t="s">
        <v>10007</v>
      </c>
      <c r="E9074" s="16" t="s">
        <v>10008</v>
      </c>
      <c r="F9074" s="16" t="s">
        <v>10056</v>
      </c>
      <c r="G9074" s="198" t="s">
        <v>605</v>
      </c>
      <c r="H9074" s="67">
        <v>1</v>
      </c>
      <c r="I9074" s="16">
        <v>470000000</v>
      </c>
      <c r="J9074" s="16" t="s">
        <v>229</v>
      </c>
      <c r="K9074" s="56" t="s">
        <v>9778</v>
      </c>
      <c r="L9074" s="16" t="s">
        <v>17028</v>
      </c>
      <c r="M9074" s="79"/>
      <c r="N9074" s="65" t="s">
        <v>10022</v>
      </c>
      <c r="O9074" s="162" t="s">
        <v>10012</v>
      </c>
      <c r="P9074" s="79"/>
      <c r="Q9074" s="87"/>
      <c r="R9074" s="87"/>
      <c r="S9074" s="163"/>
      <c r="T9074" s="4">
        <v>0</v>
      </c>
      <c r="U9074" s="4">
        <f t="shared" si="659"/>
        <v>0</v>
      </c>
      <c r="V9074" s="79"/>
      <c r="W9074" s="242">
        <v>2014</v>
      </c>
      <c r="X9074" s="56" t="s">
        <v>12076</v>
      </c>
    </row>
    <row r="9075" spans="1:24" ht="102">
      <c r="A9075" s="3" t="s">
        <v>11376</v>
      </c>
      <c r="B9075" s="56" t="s">
        <v>361</v>
      </c>
      <c r="C9075" s="16" t="s">
        <v>10006</v>
      </c>
      <c r="D9075" s="16" t="s">
        <v>10007</v>
      </c>
      <c r="E9075" s="16" t="s">
        <v>10008</v>
      </c>
      <c r="F9075" s="16" t="s">
        <v>10057</v>
      </c>
      <c r="G9075" s="198" t="s">
        <v>605</v>
      </c>
      <c r="H9075" s="67">
        <v>1</v>
      </c>
      <c r="I9075" s="16">
        <v>470000000</v>
      </c>
      <c r="J9075" s="16" t="s">
        <v>229</v>
      </c>
      <c r="K9075" s="56" t="s">
        <v>9377</v>
      </c>
      <c r="L9075" s="16" t="s">
        <v>621</v>
      </c>
      <c r="M9075" s="79"/>
      <c r="N9075" s="65" t="s">
        <v>10011</v>
      </c>
      <c r="O9075" s="162" t="s">
        <v>10012</v>
      </c>
      <c r="P9075" s="79"/>
      <c r="Q9075" s="87"/>
      <c r="R9075" s="87"/>
      <c r="S9075" s="163"/>
      <c r="T9075" s="4">
        <v>0</v>
      </c>
      <c r="U9075" s="4">
        <f t="shared" si="659"/>
        <v>0</v>
      </c>
      <c r="V9075" s="79"/>
      <c r="W9075" s="242">
        <v>2014</v>
      </c>
      <c r="X9075" s="56">
        <v>20.21</v>
      </c>
    </row>
    <row r="9076" spans="1:24" ht="102">
      <c r="A9076" s="3" t="s">
        <v>14342</v>
      </c>
      <c r="B9076" s="56" t="s">
        <v>361</v>
      </c>
      <c r="C9076" s="16" t="s">
        <v>10006</v>
      </c>
      <c r="D9076" s="16" t="s">
        <v>10007</v>
      </c>
      <c r="E9076" s="16" t="s">
        <v>10008</v>
      </c>
      <c r="F9076" s="16" t="s">
        <v>10057</v>
      </c>
      <c r="G9076" s="198" t="s">
        <v>605</v>
      </c>
      <c r="H9076" s="67">
        <v>1</v>
      </c>
      <c r="I9076" s="16">
        <v>470000000</v>
      </c>
      <c r="J9076" s="16" t="s">
        <v>229</v>
      </c>
      <c r="K9076" s="56" t="s">
        <v>9377</v>
      </c>
      <c r="L9076" s="16" t="s">
        <v>621</v>
      </c>
      <c r="M9076" s="79"/>
      <c r="N9076" s="65" t="s">
        <v>10011</v>
      </c>
      <c r="O9076" s="162" t="s">
        <v>10012</v>
      </c>
      <c r="P9076" s="79"/>
      <c r="Q9076" s="87"/>
      <c r="R9076" s="87"/>
      <c r="S9076" s="163"/>
      <c r="T9076" s="4">
        <v>0</v>
      </c>
      <c r="U9076" s="4">
        <f t="shared" si="659"/>
        <v>0</v>
      </c>
      <c r="V9076" s="79"/>
      <c r="W9076" s="242">
        <v>2014</v>
      </c>
      <c r="X9076" s="56">
        <v>11.14</v>
      </c>
    </row>
    <row r="9077" spans="1:24" ht="102">
      <c r="A9077" s="3" t="s">
        <v>18683</v>
      </c>
      <c r="B9077" s="56" t="s">
        <v>361</v>
      </c>
      <c r="C9077" s="16" t="s">
        <v>10006</v>
      </c>
      <c r="D9077" s="16" t="s">
        <v>10007</v>
      </c>
      <c r="E9077" s="16" t="s">
        <v>10008</v>
      </c>
      <c r="F9077" s="16" t="s">
        <v>10057</v>
      </c>
      <c r="G9077" s="198" t="s">
        <v>605</v>
      </c>
      <c r="H9077" s="67">
        <v>1</v>
      </c>
      <c r="I9077" s="16">
        <v>470000000</v>
      </c>
      <c r="J9077" s="16" t="s">
        <v>229</v>
      </c>
      <c r="K9077" s="56" t="s">
        <v>9956</v>
      </c>
      <c r="L9077" s="16" t="s">
        <v>621</v>
      </c>
      <c r="M9077" s="79"/>
      <c r="N9077" s="65" t="s">
        <v>15899</v>
      </c>
      <c r="O9077" s="162" t="s">
        <v>10012</v>
      </c>
      <c r="P9077" s="79"/>
      <c r="Q9077" s="87"/>
      <c r="R9077" s="87"/>
      <c r="S9077" s="163"/>
      <c r="T9077" s="4">
        <v>0</v>
      </c>
      <c r="U9077" s="4">
        <f t="shared" si="659"/>
        <v>0</v>
      </c>
      <c r="V9077" s="79"/>
      <c r="W9077" s="242">
        <v>2014</v>
      </c>
      <c r="X9077" s="56">
        <v>15</v>
      </c>
    </row>
    <row r="9078" spans="1:24" ht="102">
      <c r="A9078" s="3" t="s">
        <v>19315</v>
      </c>
      <c r="B9078" s="56" t="s">
        <v>361</v>
      </c>
      <c r="C9078" s="16" t="s">
        <v>10006</v>
      </c>
      <c r="D9078" s="16" t="s">
        <v>10007</v>
      </c>
      <c r="E9078" s="16" t="s">
        <v>10008</v>
      </c>
      <c r="F9078" s="16" t="s">
        <v>10057</v>
      </c>
      <c r="G9078" s="198" t="s">
        <v>605</v>
      </c>
      <c r="H9078" s="67">
        <v>1</v>
      </c>
      <c r="I9078" s="16">
        <v>470000000</v>
      </c>
      <c r="J9078" s="16" t="s">
        <v>229</v>
      </c>
      <c r="K9078" s="56" t="s">
        <v>9956</v>
      </c>
      <c r="L9078" s="16" t="s">
        <v>621</v>
      </c>
      <c r="M9078" s="79"/>
      <c r="N9078" s="65" t="s">
        <v>15899</v>
      </c>
      <c r="O9078" s="162" t="s">
        <v>19179</v>
      </c>
      <c r="P9078" s="79"/>
      <c r="Q9078" s="87"/>
      <c r="R9078" s="87"/>
      <c r="S9078" s="163"/>
      <c r="T9078" s="1">
        <v>39769</v>
      </c>
      <c r="U9078" s="1">
        <f t="shared" ref="U9078" si="664">T9078*1.12</f>
        <v>44541.280000000006</v>
      </c>
      <c r="V9078" s="79"/>
      <c r="W9078" s="242">
        <v>2014</v>
      </c>
      <c r="X9078" s="56"/>
    </row>
    <row r="9079" spans="1:24" ht="102">
      <c r="A9079" s="3" t="s">
        <v>11377</v>
      </c>
      <c r="B9079" s="56" t="s">
        <v>361</v>
      </c>
      <c r="C9079" s="16" t="s">
        <v>10006</v>
      </c>
      <c r="D9079" s="16" t="s">
        <v>10007</v>
      </c>
      <c r="E9079" s="16" t="s">
        <v>10008</v>
      </c>
      <c r="F9079" s="16" t="s">
        <v>10058</v>
      </c>
      <c r="G9079" s="198" t="s">
        <v>605</v>
      </c>
      <c r="H9079" s="67">
        <v>1</v>
      </c>
      <c r="I9079" s="16">
        <v>470000000</v>
      </c>
      <c r="J9079" s="16" t="s">
        <v>229</v>
      </c>
      <c r="K9079" s="56" t="s">
        <v>10059</v>
      </c>
      <c r="L9079" s="16" t="s">
        <v>621</v>
      </c>
      <c r="M9079" s="79"/>
      <c r="N9079" s="65" t="s">
        <v>10060</v>
      </c>
      <c r="O9079" s="162" t="s">
        <v>10012</v>
      </c>
      <c r="P9079" s="79"/>
      <c r="Q9079" s="87"/>
      <c r="R9079" s="87"/>
      <c r="S9079" s="163"/>
      <c r="T9079" s="4">
        <v>0</v>
      </c>
      <c r="U9079" s="4">
        <f t="shared" si="659"/>
        <v>0</v>
      </c>
      <c r="V9079" s="79"/>
      <c r="W9079" s="242">
        <v>2014</v>
      </c>
      <c r="X9079" s="56" t="s">
        <v>11822</v>
      </c>
    </row>
    <row r="9080" spans="1:24" ht="102">
      <c r="A9080" s="3" t="s">
        <v>15883</v>
      </c>
      <c r="B9080" s="56" t="s">
        <v>361</v>
      </c>
      <c r="C9080" s="16" t="s">
        <v>10006</v>
      </c>
      <c r="D9080" s="16" t="s">
        <v>10007</v>
      </c>
      <c r="E9080" s="16" t="s">
        <v>10008</v>
      </c>
      <c r="F9080" s="16" t="s">
        <v>15884</v>
      </c>
      <c r="G9080" s="198" t="s">
        <v>605</v>
      </c>
      <c r="H9080" s="67">
        <v>1</v>
      </c>
      <c r="I9080" s="16">
        <v>470000000</v>
      </c>
      <c r="J9080" s="16" t="s">
        <v>229</v>
      </c>
      <c r="K9080" s="56" t="s">
        <v>7699</v>
      </c>
      <c r="L9080" s="16" t="s">
        <v>621</v>
      </c>
      <c r="M9080" s="79"/>
      <c r="N9080" s="65" t="s">
        <v>10060</v>
      </c>
      <c r="O9080" s="162" t="s">
        <v>10012</v>
      </c>
      <c r="P9080" s="79"/>
      <c r="Q9080" s="87"/>
      <c r="R9080" s="87"/>
      <c r="S9080" s="163"/>
      <c r="T9080" s="4">
        <v>0</v>
      </c>
      <c r="U9080" s="4">
        <f t="shared" si="659"/>
        <v>0</v>
      </c>
      <c r="V9080" s="79"/>
      <c r="W9080" s="242">
        <v>2014</v>
      </c>
      <c r="X9080" s="56">
        <v>15</v>
      </c>
    </row>
    <row r="9081" spans="1:24" ht="102">
      <c r="A9081" s="3" t="s">
        <v>19316</v>
      </c>
      <c r="B9081" s="56" t="s">
        <v>361</v>
      </c>
      <c r="C9081" s="16" t="s">
        <v>10006</v>
      </c>
      <c r="D9081" s="16" t="s">
        <v>10007</v>
      </c>
      <c r="E9081" s="16" t="s">
        <v>10008</v>
      </c>
      <c r="F9081" s="16" t="s">
        <v>15884</v>
      </c>
      <c r="G9081" s="198" t="s">
        <v>605</v>
      </c>
      <c r="H9081" s="67">
        <v>1</v>
      </c>
      <c r="I9081" s="16">
        <v>470000000</v>
      </c>
      <c r="J9081" s="16" t="s">
        <v>229</v>
      </c>
      <c r="K9081" s="56" t="s">
        <v>7699</v>
      </c>
      <c r="L9081" s="16" t="s">
        <v>621</v>
      </c>
      <c r="M9081" s="79"/>
      <c r="N9081" s="65" t="s">
        <v>10060</v>
      </c>
      <c r="O9081" s="162" t="s">
        <v>19179</v>
      </c>
      <c r="P9081" s="79"/>
      <c r="Q9081" s="87"/>
      <c r="R9081" s="87"/>
      <c r="S9081" s="163"/>
      <c r="T9081" s="1">
        <v>117470</v>
      </c>
      <c r="U9081" s="1">
        <f t="shared" ref="U9081" si="665">T9081*1.12</f>
        <v>131566.40000000002</v>
      </c>
      <c r="V9081" s="79"/>
      <c r="W9081" s="242">
        <v>2014</v>
      </c>
      <c r="X9081" s="56"/>
    </row>
    <row r="9082" spans="1:24" ht="102">
      <c r="A9082" s="3" t="s">
        <v>11378</v>
      </c>
      <c r="B9082" s="56" t="s">
        <v>361</v>
      </c>
      <c r="C9082" s="16" t="s">
        <v>10006</v>
      </c>
      <c r="D9082" s="16" t="s">
        <v>10007</v>
      </c>
      <c r="E9082" s="16" t="s">
        <v>10008</v>
      </c>
      <c r="F9082" s="16" t="s">
        <v>10061</v>
      </c>
      <c r="G9082" s="198" t="s">
        <v>605</v>
      </c>
      <c r="H9082" s="67">
        <v>1</v>
      </c>
      <c r="I9082" s="16">
        <v>470000000</v>
      </c>
      <c r="J9082" s="16" t="s">
        <v>229</v>
      </c>
      <c r="K9082" s="56" t="s">
        <v>369</v>
      </c>
      <c r="L9082" s="16" t="s">
        <v>621</v>
      </c>
      <c r="M9082" s="79"/>
      <c r="N9082" s="65" t="s">
        <v>10017</v>
      </c>
      <c r="O9082" s="162" t="s">
        <v>10012</v>
      </c>
      <c r="P9082" s="79"/>
      <c r="Q9082" s="87"/>
      <c r="R9082" s="87"/>
      <c r="S9082" s="163"/>
      <c r="T9082" s="4">
        <v>0</v>
      </c>
      <c r="U9082" s="4">
        <f t="shared" si="659"/>
        <v>0</v>
      </c>
      <c r="V9082" s="79"/>
      <c r="W9082" s="242">
        <v>2014</v>
      </c>
      <c r="X9082" s="56">
        <v>20.21</v>
      </c>
    </row>
    <row r="9083" spans="1:24" ht="102">
      <c r="A9083" s="3" t="s">
        <v>15885</v>
      </c>
      <c r="B9083" s="56" t="s">
        <v>361</v>
      </c>
      <c r="C9083" s="16" t="s">
        <v>10006</v>
      </c>
      <c r="D9083" s="16" t="s">
        <v>10007</v>
      </c>
      <c r="E9083" s="16" t="s">
        <v>10008</v>
      </c>
      <c r="F9083" s="16" t="s">
        <v>10061</v>
      </c>
      <c r="G9083" s="198" t="s">
        <v>605</v>
      </c>
      <c r="H9083" s="67">
        <v>1</v>
      </c>
      <c r="I9083" s="16">
        <v>470000000</v>
      </c>
      <c r="J9083" s="16" t="s">
        <v>229</v>
      </c>
      <c r="K9083" s="56" t="s">
        <v>369</v>
      </c>
      <c r="L9083" s="16" t="s">
        <v>621</v>
      </c>
      <c r="M9083" s="79"/>
      <c r="N9083" s="65" t="s">
        <v>10017</v>
      </c>
      <c r="O9083" s="162" t="s">
        <v>10012</v>
      </c>
      <c r="P9083" s="79"/>
      <c r="Q9083" s="87"/>
      <c r="R9083" s="87"/>
      <c r="S9083" s="163"/>
      <c r="T9083" s="4">
        <v>0</v>
      </c>
      <c r="U9083" s="4">
        <f t="shared" si="659"/>
        <v>0</v>
      </c>
      <c r="V9083" s="79"/>
      <c r="W9083" s="242">
        <v>2014</v>
      </c>
      <c r="X9083" s="56" t="s">
        <v>18690</v>
      </c>
    </row>
    <row r="9084" spans="1:24" ht="102">
      <c r="A9084" s="3" t="s">
        <v>18686</v>
      </c>
      <c r="B9084" s="56" t="s">
        <v>361</v>
      </c>
      <c r="C9084" s="16" t="s">
        <v>10006</v>
      </c>
      <c r="D9084" s="16" t="s">
        <v>10007</v>
      </c>
      <c r="E9084" s="16" t="s">
        <v>10008</v>
      </c>
      <c r="F9084" s="16" t="s">
        <v>18688</v>
      </c>
      <c r="G9084" s="198" t="s">
        <v>605</v>
      </c>
      <c r="H9084" s="67">
        <v>1</v>
      </c>
      <c r="I9084" s="16">
        <v>470000000</v>
      </c>
      <c r="J9084" s="16" t="s">
        <v>229</v>
      </c>
      <c r="K9084" s="56" t="s">
        <v>9775</v>
      </c>
      <c r="L9084" s="16" t="s">
        <v>621</v>
      </c>
      <c r="M9084" s="79"/>
      <c r="N9084" s="65" t="s">
        <v>10020</v>
      </c>
      <c r="O9084" s="162" t="s">
        <v>18687</v>
      </c>
      <c r="P9084" s="79"/>
      <c r="Q9084" s="87"/>
      <c r="R9084" s="87"/>
      <c r="S9084" s="163"/>
      <c r="T9084" s="4">
        <v>0</v>
      </c>
      <c r="U9084" s="4">
        <f t="shared" si="659"/>
        <v>0</v>
      </c>
      <c r="V9084" s="79"/>
      <c r="W9084" s="242">
        <v>2014</v>
      </c>
      <c r="X9084" s="56">
        <v>11.15</v>
      </c>
    </row>
    <row r="9085" spans="1:24" ht="102">
      <c r="A9085" s="3" t="s">
        <v>19284</v>
      </c>
      <c r="B9085" s="56" t="s">
        <v>361</v>
      </c>
      <c r="C9085" s="16" t="s">
        <v>10006</v>
      </c>
      <c r="D9085" s="16" t="s">
        <v>10007</v>
      </c>
      <c r="E9085" s="16" t="s">
        <v>10008</v>
      </c>
      <c r="F9085" s="16" t="s">
        <v>18688</v>
      </c>
      <c r="G9085" s="198" t="s">
        <v>605</v>
      </c>
      <c r="H9085" s="67">
        <v>1</v>
      </c>
      <c r="I9085" s="16">
        <v>470000000</v>
      </c>
      <c r="J9085" s="16" t="s">
        <v>229</v>
      </c>
      <c r="K9085" s="56" t="s">
        <v>18437</v>
      </c>
      <c r="L9085" s="16" t="s">
        <v>621</v>
      </c>
      <c r="M9085" s="79"/>
      <c r="N9085" s="65" t="s">
        <v>10020</v>
      </c>
      <c r="O9085" s="162" t="s">
        <v>19179</v>
      </c>
      <c r="P9085" s="79"/>
      <c r="Q9085" s="87"/>
      <c r="R9085" s="87"/>
      <c r="S9085" s="163"/>
      <c r="T9085" s="4">
        <v>0</v>
      </c>
      <c r="U9085" s="4">
        <f t="shared" ref="U9085" si="666">T9085*1.12</f>
        <v>0</v>
      </c>
      <c r="V9085" s="79"/>
      <c r="W9085" s="242">
        <v>2014</v>
      </c>
      <c r="X9085" s="56" t="s">
        <v>12076</v>
      </c>
    </row>
    <row r="9086" spans="1:24" ht="102">
      <c r="A9086" s="3" t="s">
        <v>11379</v>
      </c>
      <c r="B9086" s="56" t="s">
        <v>361</v>
      </c>
      <c r="C9086" s="16" t="s">
        <v>10006</v>
      </c>
      <c r="D9086" s="16" t="s">
        <v>10007</v>
      </c>
      <c r="E9086" s="16" t="s">
        <v>10008</v>
      </c>
      <c r="F9086" s="16" t="s">
        <v>10062</v>
      </c>
      <c r="G9086" s="198" t="s">
        <v>605</v>
      </c>
      <c r="H9086" s="67">
        <v>1</v>
      </c>
      <c r="I9086" s="16">
        <v>470000000</v>
      </c>
      <c r="J9086" s="16" t="s">
        <v>229</v>
      </c>
      <c r="K9086" s="56" t="s">
        <v>369</v>
      </c>
      <c r="L9086" s="16" t="s">
        <v>17027</v>
      </c>
      <c r="M9086" s="79"/>
      <c r="N9086" s="65" t="s">
        <v>10017</v>
      </c>
      <c r="O9086" s="162" t="s">
        <v>10012</v>
      </c>
      <c r="P9086" s="79"/>
      <c r="Q9086" s="87"/>
      <c r="R9086" s="87"/>
      <c r="S9086" s="163"/>
      <c r="T9086" s="4">
        <v>0</v>
      </c>
      <c r="U9086" s="4">
        <f t="shared" si="659"/>
        <v>0</v>
      </c>
      <c r="V9086" s="79"/>
      <c r="W9086" s="242">
        <v>2014</v>
      </c>
      <c r="X9086" s="56">
        <v>11.14</v>
      </c>
    </row>
    <row r="9087" spans="1:24" ht="102">
      <c r="A9087" s="3" t="s">
        <v>18436</v>
      </c>
      <c r="B9087" s="56" t="s">
        <v>361</v>
      </c>
      <c r="C9087" s="16" t="s">
        <v>10006</v>
      </c>
      <c r="D9087" s="16" t="s">
        <v>10007</v>
      </c>
      <c r="E9087" s="16" t="s">
        <v>10008</v>
      </c>
      <c r="F9087" s="16" t="s">
        <v>10062</v>
      </c>
      <c r="G9087" s="198" t="s">
        <v>605</v>
      </c>
      <c r="H9087" s="67">
        <v>1</v>
      </c>
      <c r="I9087" s="16">
        <v>470000000</v>
      </c>
      <c r="J9087" s="16" t="s">
        <v>229</v>
      </c>
      <c r="K9087" s="56" t="s">
        <v>18437</v>
      </c>
      <c r="L9087" s="16" t="s">
        <v>17027</v>
      </c>
      <c r="M9087" s="79"/>
      <c r="N9087" s="65" t="s">
        <v>10020</v>
      </c>
      <c r="O9087" s="162" t="s">
        <v>10012</v>
      </c>
      <c r="P9087" s="79"/>
      <c r="Q9087" s="70"/>
      <c r="R9087" s="70"/>
      <c r="S9087" s="163"/>
      <c r="T9087" s="4">
        <v>0</v>
      </c>
      <c r="U9087" s="4">
        <f t="shared" si="659"/>
        <v>0</v>
      </c>
      <c r="V9087" s="79"/>
      <c r="W9087" s="242">
        <v>2014</v>
      </c>
      <c r="X9087" s="56">
        <v>11.15</v>
      </c>
    </row>
    <row r="9088" spans="1:24" ht="102">
      <c r="A9088" s="3" t="s">
        <v>19317</v>
      </c>
      <c r="B9088" s="56" t="s">
        <v>361</v>
      </c>
      <c r="C9088" s="16" t="s">
        <v>10006</v>
      </c>
      <c r="D9088" s="16" t="s">
        <v>10007</v>
      </c>
      <c r="E9088" s="16" t="s">
        <v>10008</v>
      </c>
      <c r="F9088" s="16" t="s">
        <v>10062</v>
      </c>
      <c r="G9088" s="198" t="s">
        <v>605</v>
      </c>
      <c r="H9088" s="67">
        <v>1</v>
      </c>
      <c r="I9088" s="16">
        <v>470000000</v>
      </c>
      <c r="J9088" s="16" t="s">
        <v>229</v>
      </c>
      <c r="K9088" s="56" t="s">
        <v>19409</v>
      </c>
      <c r="L9088" s="16" t="s">
        <v>17027</v>
      </c>
      <c r="M9088" s="79"/>
      <c r="N9088" s="65" t="s">
        <v>10020</v>
      </c>
      <c r="O9088" s="162" t="s">
        <v>19179</v>
      </c>
      <c r="P9088" s="79"/>
      <c r="Q9088" s="70"/>
      <c r="R9088" s="70"/>
      <c r="S9088" s="163"/>
      <c r="T9088" s="4">
        <v>0</v>
      </c>
      <c r="U9088" s="4">
        <f t="shared" si="659"/>
        <v>0</v>
      </c>
      <c r="V9088" s="79"/>
      <c r="W9088" s="242">
        <v>2014</v>
      </c>
      <c r="X9088" s="56" t="s">
        <v>19656</v>
      </c>
    </row>
    <row r="9089" spans="1:24" ht="127.5">
      <c r="A9089" s="3" t="s">
        <v>19653</v>
      </c>
      <c r="B9089" s="56" t="s">
        <v>361</v>
      </c>
      <c r="C9089" s="16" t="s">
        <v>10006</v>
      </c>
      <c r="D9089" s="16" t="s">
        <v>10007</v>
      </c>
      <c r="E9089" s="16" t="s">
        <v>10008</v>
      </c>
      <c r="F9089" s="16" t="s">
        <v>19655</v>
      </c>
      <c r="G9089" s="198" t="s">
        <v>605</v>
      </c>
      <c r="H9089" s="67">
        <v>1</v>
      </c>
      <c r="I9089" s="16">
        <v>470000000</v>
      </c>
      <c r="J9089" s="16" t="s">
        <v>229</v>
      </c>
      <c r="K9089" s="56" t="s">
        <v>19409</v>
      </c>
      <c r="L9089" s="16" t="s">
        <v>19654</v>
      </c>
      <c r="M9089" s="79"/>
      <c r="N9089" s="65" t="s">
        <v>10020</v>
      </c>
      <c r="O9089" s="162" t="s">
        <v>19179</v>
      </c>
      <c r="P9089" s="79"/>
      <c r="Q9089" s="70"/>
      <c r="R9089" s="70"/>
      <c r="S9089" s="163"/>
      <c r="T9089" s="1">
        <v>800000</v>
      </c>
      <c r="U9089" s="1">
        <f t="shared" ref="U9089" si="667">T9089*1.12</f>
        <v>896000.00000000012</v>
      </c>
      <c r="V9089" s="79"/>
      <c r="W9089" s="242">
        <v>2014</v>
      </c>
      <c r="X9089" s="56"/>
    </row>
    <row r="9090" spans="1:24" ht="102">
      <c r="A9090" s="3" t="s">
        <v>11380</v>
      </c>
      <c r="B9090" s="56" t="s">
        <v>361</v>
      </c>
      <c r="C9090" s="16" t="s">
        <v>10006</v>
      </c>
      <c r="D9090" s="16" t="s">
        <v>10007</v>
      </c>
      <c r="E9090" s="16" t="s">
        <v>10008</v>
      </c>
      <c r="F9090" s="16" t="s">
        <v>10063</v>
      </c>
      <c r="G9090" s="198" t="s">
        <v>605</v>
      </c>
      <c r="H9090" s="67">
        <v>1</v>
      </c>
      <c r="I9090" s="16">
        <v>470000000</v>
      </c>
      <c r="J9090" s="16" t="s">
        <v>229</v>
      </c>
      <c r="K9090" s="56" t="s">
        <v>369</v>
      </c>
      <c r="L9090" s="16" t="s">
        <v>621</v>
      </c>
      <c r="M9090" s="79"/>
      <c r="N9090" s="65" t="s">
        <v>10017</v>
      </c>
      <c r="O9090" s="162" t="s">
        <v>10012</v>
      </c>
      <c r="P9090" s="79"/>
      <c r="Q9090" s="87"/>
      <c r="R9090" s="87"/>
      <c r="S9090" s="163"/>
      <c r="T9090" s="4">
        <v>0</v>
      </c>
      <c r="U9090" s="4">
        <f t="shared" si="659"/>
        <v>0</v>
      </c>
      <c r="V9090" s="79"/>
      <c r="W9090" s="242">
        <v>2014</v>
      </c>
      <c r="X9090" s="56" t="s">
        <v>12076</v>
      </c>
    </row>
    <row r="9091" spans="1:24" ht="102">
      <c r="A9091" s="3" t="s">
        <v>11381</v>
      </c>
      <c r="B9091" s="56" t="s">
        <v>361</v>
      </c>
      <c r="C9091" s="16" t="s">
        <v>10006</v>
      </c>
      <c r="D9091" s="16" t="s">
        <v>10007</v>
      </c>
      <c r="E9091" s="16" t="s">
        <v>10008</v>
      </c>
      <c r="F9091" s="16" t="s">
        <v>10064</v>
      </c>
      <c r="G9091" s="198" t="s">
        <v>605</v>
      </c>
      <c r="H9091" s="67">
        <v>1</v>
      </c>
      <c r="I9091" s="16">
        <v>470000000</v>
      </c>
      <c r="J9091" s="16" t="s">
        <v>229</v>
      </c>
      <c r="K9091" s="56" t="s">
        <v>9780</v>
      </c>
      <c r="L9091" s="16" t="s">
        <v>621</v>
      </c>
      <c r="M9091" s="79"/>
      <c r="N9091" s="65" t="s">
        <v>10065</v>
      </c>
      <c r="O9091" s="162" t="s">
        <v>10012</v>
      </c>
      <c r="P9091" s="79"/>
      <c r="Q9091" s="87"/>
      <c r="R9091" s="87"/>
      <c r="S9091" s="163"/>
      <c r="T9091" s="4">
        <v>0</v>
      </c>
      <c r="U9091" s="4">
        <f t="shared" si="659"/>
        <v>0</v>
      </c>
      <c r="V9091" s="79"/>
      <c r="W9091" s="242">
        <v>2014</v>
      </c>
      <c r="X9091" s="56">
        <v>20.21</v>
      </c>
    </row>
    <row r="9092" spans="1:24" ht="102">
      <c r="A9092" s="3" t="s">
        <v>15886</v>
      </c>
      <c r="B9092" s="56" t="s">
        <v>361</v>
      </c>
      <c r="C9092" s="16" t="s">
        <v>10006</v>
      </c>
      <c r="D9092" s="16" t="s">
        <v>10007</v>
      </c>
      <c r="E9092" s="16" t="s">
        <v>10008</v>
      </c>
      <c r="F9092" s="16" t="s">
        <v>10064</v>
      </c>
      <c r="G9092" s="198" t="s">
        <v>605</v>
      </c>
      <c r="H9092" s="67">
        <v>1</v>
      </c>
      <c r="I9092" s="16">
        <v>470000000</v>
      </c>
      <c r="J9092" s="16" t="s">
        <v>229</v>
      </c>
      <c r="K9092" s="56" t="s">
        <v>9780</v>
      </c>
      <c r="L9092" s="16" t="s">
        <v>621</v>
      </c>
      <c r="M9092" s="79"/>
      <c r="N9092" s="65" t="s">
        <v>10065</v>
      </c>
      <c r="O9092" s="162" t="s">
        <v>10012</v>
      </c>
      <c r="P9092" s="79"/>
      <c r="Q9092" s="87"/>
      <c r="R9092" s="87"/>
      <c r="S9092" s="163"/>
      <c r="T9092" s="4">
        <v>0</v>
      </c>
      <c r="U9092" s="4">
        <f t="shared" si="659"/>
        <v>0</v>
      </c>
      <c r="V9092" s="79"/>
      <c r="W9092" s="242">
        <v>2014</v>
      </c>
      <c r="X9092" s="56" t="s">
        <v>18730</v>
      </c>
    </row>
    <row r="9093" spans="1:24" ht="102">
      <c r="A9093" s="3" t="s">
        <v>18729</v>
      </c>
      <c r="B9093" s="56" t="s">
        <v>361</v>
      </c>
      <c r="C9093" s="16" t="s">
        <v>10006</v>
      </c>
      <c r="D9093" s="16" t="s">
        <v>10007</v>
      </c>
      <c r="E9093" s="16" t="s">
        <v>10008</v>
      </c>
      <c r="F9093" s="16" t="s">
        <v>10064</v>
      </c>
      <c r="G9093" s="198" t="s">
        <v>605</v>
      </c>
      <c r="H9093" s="67">
        <v>1</v>
      </c>
      <c r="I9093" s="16">
        <v>470000000</v>
      </c>
      <c r="J9093" s="16" t="s">
        <v>229</v>
      </c>
      <c r="K9093" s="56" t="s">
        <v>9793</v>
      </c>
      <c r="L9093" s="16" t="s">
        <v>15894</v>
      </c>
      <c r="M9093" s="79"/>
      <c r="N9093" s="65" t="s">
        <v>10065</v>
      </c>
      <c r="O9093" s="162" t="s">
        <v>10012</v>
      </c>
      <c r="P9093" s="79"/>
      <c r="Q9093" s="87"/>
      <c r="R9093" s="87"/>
      <c r="S9093" s="163"/>
      <c r="T9093" s="4">
        <v>0</v>
      </c>
      <c r="U9093" s="4">
        <f t="shared" si="659"/>
        <v>0</v>
      </c>
      <c r="V9093" s="79"/>
      <c r="W9093" s="242">
        <v>2014</v>
      </c>
      <c r="X9093" s="56">
        <v>15</v>
      </c>
    </row>
    <row r="9094" spans="1:24" ht="102">
      <c r="A9094" s="3" t="s">
        <v>19318</v>
      </c>
      <c r="B9094" s="56" t="s">
        <v>361</v>
      </c>
      <c r="C9094" s="16" t="s">
        <v>10006</v>
      </c>
      <c r="D9094" s="16" t="s">
        <v>10007</v>
      </c>
      <c r="E9094" s="16" t="s">
        <v>10008</v>
      </c>
      <c r="F9094" s="16" t="s">
        <v>10064</v>
      </c>
      <c r="G9094" s="198" t="s">
        <v>605</v>
      </c>
      <c r="H9094" s="67">
        <v>1</v>
      </c>
      <c r="I9094" s="16">
        <v>470000000</v>
      </c>
      <c r="J9094" s="16" t="s">
        <v>229</v>
      </c>
      <c r="K9094" s="56" t="s">
        <v>9793</v>
      </c>
      <c r="L9094" s="16" t="s">
        <v>15894</v>
      </c>
      <c r="M9094" s="79"/>
      <c r="N9094" s="65" t="s">
        <v>10065</v>
      </c>
      <c r="O9094" s="162" t="s">
        <v>19179</v>
      </c>
      <c r="P9094" s="79"/>
      <c r="Q9094" s="87"/>
      <c r="R9094" s="87"/>
      <c r="S9094" s="163"/>
      <c r="T9094" s="1">
        <v>132000</v>
      </c>
      <c r="U9094" s="1">
        <f t="shared" ref="U9094" si="668">T9094*1.12</f>
        <v>147840</v>
      </c>
      <c r="V9094" s="79"/>
      <c r="W9094" s="242">
        <v>2014</v>
      </c>
      <c r="X9094" s="56"/>
    </row>
    <row r="9095" spans="1:24" ht="102">
      <c r="A9095" s="3" t="s">
        <v>11382</v>
      </c>
      <c r="B9095" s="56" t="s">
        <v>361</v>
      </c>
      <c r="C9095" s="16" t="s">
        <v>10006</v>
      </c>
      <c r="D9095" s="16" t="s">
        <v>10007</v>
      </c>
      <c r="E9095" s="16" t="s">
        <v>10008</v>
      </c>
      <c r="F9095" s="16" t="s">
        <v>10066</v>
      </c>
      <c r="G9095" s="198" t="s">
        <v>605</v>
      </c>
      <c r="H9095" s="67">
        <v>1</v>
      </c>
      <c r="I9095" s="16">
        <v>470000000</v>
      </c>
      <c r="J9095" s="16" t="s">
        <v>229</v>
      </c>
      <c r="K9095" s="56" t="s">
        <v>9793</v>
      </c>
      <c r="L9095" s="16" t="s">
        <v>15894</v>
      </c>
      <c r="M9095" s="79"/>
      <c r="N9095" s="65" t="s">
        <v>10027</v>
      </c>
      <c r="O9095" s="162" t="s">
        <v>10012</v>
      </c>
      <c r="P9095" s="79"/>
      <c r="Q9095" s="87"/>
      <c r="R9095" s="87"/>
      <c r="S9095" s="163"/>
      <c r="T9095" s="4">
        <v>0</v>
      </c>
      <c r="U9095" s="4">
        <f t="shared" si="659"/>
        <v>0</v>
      </c>
      <c r="V9095" s="79"/>
      <c r="W9095" s="242">
        <v>2014</v>
      </c>
      <c r="X9095" s="56">
        <v>15</v>
      </c>
    </row>
    <row r="9096" spans="1:24" ht="102">
      <c r="A9096" s="3" t="s">
        <v>19319</v>
      </c>
      <c r="B9096" s="56" t="s">
        <v>361</v>
      </c>
      <c r="C9096" s="16" t="s">
        <v>10006</v>
      </c>
      <c r="D9096" s="16" t="s">
        <v>10007</v>
      </c>
      <c r="E9096" s="16" t="s">
        <v>10008</v>
      </c>
      <c r="F9096" s="16" t="s">
        <v>10066</v>
      </c>
      <c r="G9096" s="198" t="s">
        <v>605</v>
      </c>
      <c r="H9096" s="67">
        <v>1</v>
      </c>
      <c r="I9096" s="16">
        <v>470000000</v>
      </c>
      <c r="J9096" s="16" t="s">
        <v>229</v>
      </c>
      <c r="K9096" s="56" t="s">
        <v>9793</v>
      </c>
      <c r="L9096" s="16" t="s">
        <v>15894</v>
      </c>
      <c r="M9096" s="79"/>
      <c r="N9096" s="65" t="s">
        <v>10027</v>
      </c>
      <c r="O9096" s="162" t="s">
        <v>19179</v>
      </c>
      <c r="P9096" s="79"/>
      <c r="Q9096" s="87"/>
      <c r="R9096" s="87"/>
      <c r="S9096" s="163"/>
      <c r="T9096" s="1">
        <v>115000</v>
      </c>
      <c r="U9096" s="1">
        <f t="shared" ref="U9096" si="669">T9096*1.12</f>
        <v>128800.00000000001</v>
      </c>
      <c r="V9096" s="79"/>
      <c r="W9096" s="242">
        <v>2014</v>
      </c>
      <c r="X9096" s="56"/>
    </row>
    <row r="9097" spans="1:24" ht="102">
      <c r="A9097" s="3" t="s">
        <v>11383</v>
      </c>
      <c r="B9097" s="56" t="s">
        <v>361</v>
      </c>
      <c r="C9097" s="16" t="s">
        <v>10006</v>
      </c>
      <c r="D9097" s="16" t="s">
        <v>10007</v>
      </c>
      <c r="E9097" s="16" t="s">
        <v>10008</v>
      </c>
      <c r="F9097" s="16" t="s">
        <v>10067</v>
      </c>
      <c r="G9097" s="198" t="s">
        <v>605</v>
      </c>
      <c r="H9097" s="67">
        <v>1</v>
      </c>
      <c r="I9097" s="16">
        <v>470000000</v>
      </c>
      <c r="J9097" s="16" t="s">
        <v>229</v>
      </c>
      <c r="K9097" s="56" t="s">
        <v>9778</v>
      </c>
      <c r="L9097" s="16" t="s">
        <v>15894</v>
      </c>
      <c r="M9097" s="79"/>
      <c r="N9097" s="65" t="s">
        <v>10022</v>
      </c>
      <c r="O9097" s="162" t="s">
        <v>10012</v>
      </c>
      <c r="P9097" s="79"/>
      <c r="Q9097" s="87"/>
      <c r="R9097" s="87"/>
      <c r="S9097" s="163"/>
      <c r="T9097" s="4">
        <v>0</v>
      </c>
      <c r="U9097" s="4">
        <f t="shared" si="659"/>
        <v>0</v>
      </c>
      <c r="V9097" s="79"/>
      <c r="W9097" s="242">
        <v>2014</v>
      </c>
      <c r="X9097" s="56" t="s">
        <v>12076</v>
      </c>
    </row>
    <row r="9098" spans="1:24" ht="102">
      <c r="A9098" s="3" t="s">
        <v>11384</v>
      </c>
      <c r="B9098" s="56" t="s">
        <v>361</v>
      </c>
      <c r="C9098" s="16" t="s">
        <v>10006</v>
      </c>
      <c r="D9098" s="16" t="s">
        <v>10007</v>
      </c>
      <c r="E9098" s="16" t="s">
        <v>10008</v>
      </c>
      <c r="F9098" s="16" t="s">
        <v>10063</v>
      </c>
      <c r="G9098" s="198" t="s">
        <v>605</v>
      </c>
      <c r="H9098" s="67">
        <v>1</v>
      </c>
      <c r="I9098" s="16">
        <v>470000000</v>
      </c>
      <c r="J9098" s="16" t="s">
        <v>229</v>
      </c>
      <c r="K9098" s="56" t="s">
        <v>363</v>
      </c>
      <c r="L9098" s="16" t="s">
        <v>621</v>
      </c>
      <c r="M9098" s="79"/>
      <c r="N9098" s="65" t="s">
        <v>10050</v>
      </c>
      <c r="O9098" s="162" t="s">
        <v>10012</v>
      </c>
      <c r="P9098" s="79"/>
      <c r="Q9098" s="87"/>
      <c r="R9098" s="87"/>
      <c r="S9098" s="163"/>
      <c r="T9098" s="4">
        <v>0</v>
      </c>
      <c r="U9098" s="4">
        <f t="shared" si="659"/>
        <v>0</v>
      </c>
      <c r="V9098" s="79"/>
      <c r="W9098" s="242">
        <v>2014</v>
      </c>
      <c r="X9098" s="56" t="s">
        <v>11822</v>
      </c>
    </row>
    <row r="9099" spans="1:24" ht="102">
      <c r="A9099" s="3" t="s">
        <v>17889</v>
      </c>
      <c r="B9099" s="56" t="s">
        <v>361</v>
      </c>
      <c r="C9099" s="16" t="s">
        <v>10006</v>
      </c>
      <c r="D9099" s="16" t="s">
        <v>10007</v>
      </c>
      <c r="E9099" s="16" t="s">
        <v>10008</v>
      </c>
      <c r="F9099" s="16" t="s">
        <v>10063</v>
      </c>
      <c r="G9099" s="198" t="s">
        <v>605</v>
      </c>
      <c r="H9099" s="67">
        <v>1</v>
      </c>
      <c r="I9099" s="16">
        <v>470000000</v>
      </c>
      <c r="J9099" s="16" t="s">
        <v>229</v>
      </c>
      <c r="K9099" s="56" t="s">
        <v>9775</v>
      </c>
      <c r="L9099" s="16" t="s">
        <v>621</v>
      </c>
      <c r="M9099" s="79"/>
      <c r="N9099" s="65" t="s">
        <v>10050</v>
      </c>
      <c r="O9099" s="162" t="s">
        <v>10012</v>
      </c>
      <c r="P9099" s="79"/>
      <c r="Q9099" s="87"/>
      <c r="R9099" s="87"/>
      <c r="S9099" s="163"/>
      <c r="T9099" s="4">
        <v>0</v>
      </c>
      <c r="U9099" s="4">
        <f t="shared" si="659"/>
        <v>0</v>
      </c>
      <c r="V9099" s="79"/>
      <c r="W9099" s="242">
        <v>2014</v>
      </c>
      <c r="X9099" s="56" t="s">
        <v>18691</v>
      </c>
    </row>
    <row r="9100" spans="1:24" ht="102">
      <c r="A9100" s="3" t="s">
        <v>18689</v>
      </c>
      <c r="B9100" s="56" t="s">
        <v>361</v>
      </c>
      <c r="C9100" s="16" t="s">
        <v>10006</v>
      </c>
      <c r="D9100" s="16" t="s">
        <v>10007</v>
      </c>
      <c r="E9100" s="16" t="s">
        <v>10008</v>
      </c>
      <c r="F9100" s="16" t="s">
        <v>18688</v>
      </c>
      <c r="G9100" s="198" t="s">
        <v>605</v>
      </c>
      <c r="H9100" s="67">
        <v>1</v>
      </c>
      <c r="I9100" s="16">
        <v>470000000</v>
      </c>
      <c r="J9100" s="16" t="s">
        <v>229</v>
      </c>
      <c r="K9100" s="56" t="s">
        <v>9775</v>
      </c>
      <c r="L9100" s="16" t="s">
        <v>621</v>
      </c>
      <c r="M9100" s="79"/>
      <c r="N9100" s="65" t="s">
        <v>10020</v>
      </c>
      <c r="O9100" s="162" t="s">
        <v>18687</v>
      </c>
      <c r="P9100" s="79"/>
      <c r="Q9100" s="70"/>
      <c r="R9100" s="70"/>
      <c r="S9100" s="163"/>
      <c r="T9100" s="4">
        <v>0</v>
      </c>
      <c r="U9100" s="4">
        <f t="shared" si="659"/>
        <v>0</v>
      </c>
      <c r="V9100" s="79"/>
      <c r="W9100" s="242">
        <v>2014</v>
      </c>
      <c r="X9100" s="343" t="s">
        <v>19400</v>
      </c>
    </row>
    <row r="9101" spans="1:24" ht="102">
      <c r="A9101" s="3" t="s">
        <v>19320</v>
      </c>
      <c r="B9101" s="56" t="s">
        <v>361</v>
      </c>
      <c r="C9101" s="16" t="s">
        <v>10006</v>
      </c>
      <c r="D9101" s="16" t="s">
        <v>10007</v>
      </c>
      <c r="E9101" s="16" t="s">
        <v>10008</v>
      </c>
      <c r="F9101" s="16" t="s">
        <v>19401</v>
      </c>
      <c r="G9101" s="198" t="s">
        <v>605</v>
      </c>
      <c r="H9101" s="67">
        <v>1</v>
      </c>
      <c r="I9101" s="16">
        <v>470000000</v>
      </c>
      <c r="J9101" s="16" t="s">
        <v>229</v>
      </c>
      <c r="K9101" s="56" t="s">
        <v>9775</v>
      </c>
      <c r="L9101" s="16" t="s">
        <v>621</v>
      </c>
      <c r="M9101" s="79"/>
      <c r="N9101" s="65" t="s">
        <v>10020</v>
      </c>
      <c r="O9101" s="162" t="s">
        <v>19179</v>
      </c>
      <c r="P9101" s="79"/>
      <c r="Q9101" s="70"/>
      <c r="R9101" s="70"/>
      <c r="S9101" s="163"/>
      <c r="T9101" s="1">
        <v>45002</v>
      </c>
      <c r="U9101" s="1">
        <f t="shared" si="659"/>
        <v>50402.240000000005</v>
      </c>
      <c r="V9101" s="79"/>
      <c r="W9101" s="242">
        <v>2014</v>
      </c>
      <c r="X9101" s="56"/>
    </row>
    <row r="9102" spans="1:24" ht="102">
      <c r="A9102" s="3" t="s">
        <v>11385</v>
      </c>
      <c r="B9102" s="56" t="s">
        <v>361</v>
      </c>
      <c r="C9102" s="16" t="s">
        <v>10006</v>
      </c>
      <c r="D9102" s="16" t="s">
        <v>10007</v>
      </c>
      <c r="E9102" s="16" t="s">
        <v>10008</v>
      </c>
      <c r="F9102" s="16" t="s">
        <v>10068</v>
      </c>
      <c r="G9102" s="198" t="s">
        <v>605</v>
      </c>
      <c r="H9102" s="67">
        <v>1</v>
      </c>
      <c r="I9102" s="16">
        <v>470000000</v>
      </c>
      <c r="J9102" s="16" t="s">
        <v>229</v>
      </c>
      <c r="K9102" s="56" t="s">
        <v>369</v>
      </c>
      <c r="L9102" s="16" t="s">
        <v>621</v>
      </c>
      <c r="M9102" s="79"/>
      <c r="N9102" s="65" t="s">
        <v>10017</v>
      </c>
      <c r="O9102" s="162" t="s">
        <v>10012</v>
      </c>
      <c r="P9102" s="79"/>
      <c r="Q9102" s="87"/>
      <c r="R9102" s="87"/>
      <c r="S9102" s="163"/>
      <c r="T9102" s="4">
        <v>0</v>
      </c>
      <c r="U9102" s="4">
        <f t="shared" si="659"/>
        <v>0</v>
      </c>
      <c r="V9102" s="79"/>
      <c r="W9102" s="242">
        <v>2014</v>
      </c>
      <c r="X9102" s="56">
        <v>11.14</v>
      </c>
    </row>
    <row r="9103" spans="1:24" ht="102">
      <c r="A9103" s="3" t="s">
        <v>18682</v>
      </c>
      <c r="B9103" s="56" t="s">
        <v>361</v>
      </c>
      <c r="C9103" s="16" t="s">
        <v>10006</v>
      </c>
      <c r="D9103" s="16" t="s">
        <v>10007</v>
      </c>
      <c r="E9103" s="16" t="s">
        <v>10008</v>
      </c>
      <c r="F9103" s="16" t="s">
        <v>10068</v>
      </c>
      <c r="G9103" s="198" t="s">
        <v>605</v>
      </c>
      <c r="H9103" s="67">
        <v>1</v>
      </c>
      <c r="I9103" s="16">
        <v>470000000</v>
      </c>
      <c r="J9103" s="16" t="s">
        <v>229</v>
      </c>
      <c r="K9103" s="56" t="s">
        <v>18437</v>
      </c>
      <c r="L9103" s="16" t="s">
        <v>621</v>
      </c>
      <c r="M9103" s="79"/>
      <c r="N9103" s="65" t="s">
        <v>10020</v>
      </c>
      <c r="O9103" s="162" t="s">
        <v>10012</v>
      </c>
      <c r="P9103" s="79"/>
      <c r="Q9103" s="70"/>
      <c r="R9103" s="70"/>
      <c r="S9103" s="163"/>
      <c r="T9103" s="4">
        <v>0</v>
      </c>
      <c r="U9103" s="4">
        <f t="shared" si="659"/>
        <v>0</v>
      </c>
      <c r="V9103" s="79"/>
      <c r="W9103" s="242">
        <v>2014</v>
      </c>
      <c r="X9103" s="343" t="s">
        <v>19400</v>
      </c>
    </row>
    <row r="9104" spans="1:24" ht="102">
      <c r="A9104" s="3" t="s">
        <v>19321</v>
      </c>
      <c r="B9104" s="56" t="s">
        <v>361</v>
      </c>
      <c r="C9104" s="16" t="s">
        <v>10006</v>
      </c>
      <c r="D9104" s="16" t="s">
        <v>10007</v>
      </c>
      <c r="E9104" s="16" t="s">
        <v>10008</v>
      </c>
      <c r="F9104" s="16" t="s">
        <v>18421</v>
      </c>
      <c r="G9104" s="198" t="s">
        <v>605</v>
      </c>
      <c r="H9104" s="67">
        <v>1</v>
      </c>
      <c r="I9104" s="16">
        <v>470000000</v>
      </c>
      <c r="J9104" s="16" t="s">
        <v>229</v>
      </c>
      <c r="K9104" s="56" t="s">
        <v>18437</v>
      </c>
      <c r="L9104" s="16" t="s">
        <v>621</v>
      </c>
      <c r="M9104" s="79"/>
      <c r="N9104" s="65" t="s">
        <v>10020</v>
      </c>
      <c r="O9104" s="162" t="s">
        <v>19179</v>
      </c>
      <c r="P9104" s="79"/>
      <c r="Q9104" s="70"/>
      <c r="R9104" s="70"/>
      <c r="S9104" s="163"/>
      <c r="T9104" s="1">
        <v>255000</v>
      </c>
      <c r="U9104" s="1">
        <f t="shared" si="659"/>
        <v>285600</v>
      </c>
      <c r="V9104" s="79"/>
      <c r="W9104" s="242">
        <v>2014</v>
      </c>
      <c r="X9104" s="56"/>
    </row>
    <row r="9105" spans="1:24" ht="102">
      <c r="A9105" s="3" t="s">
        <v>11386</v>
      </c>
      <c r="B9105" s="56" t="s">
        <v>361</v>
      </c>
      <c r="C9105" s="16" t="s">
        <v>10006</v>
      </c>
      <c r="D9105" s="16" t="s">
        <v>10007</v>
      </c>
      <c r="E9105" s="16" t="s">
        <v>10008</v>
      </c>
      <c r="F9105" s="16" t="s">
        <v>10069</v>
      </c>
      <c r="G9105" s="198" t="s">
        <v>605</v>
      </c>
      <c r="H9105" s="67">
        <v>1</v>
      </c>
      <c r="I9105" s="16">
        <v>470000000</v>
      </c>
      <c r="J9105" s="16" t="s">
        <v>229</v>
      </c>
      <c r="K9105" s="56" t="s">
        <v>9775</v>
      </c>
      <c r="L9105" s="16" t="s">
        <v>15894</v>
      </c>
      <c r="M9105" s="79"/>
      <c r="N9105" s="65" t="s">
        <v>10042</v>
      </c>
      <c r="O9105" s="162" t="s">
        <v>10012</v>
      </c>
      <c r="P9105" s="79"/>
      <c r="Q9105" s="87"/>
      <c r="R9105" s="87"/>
      <c r="S9105" s="163"/>
      <c r="T9105" s="4">
        <v>0</v>
      </c>
      <c r="U9105" s="4">
        <f t="shared" si="659"/>
        <v>0</v>
      </c>
      <c r="V9105" s="79"/>
      <c r="W9105" s="242">
        <v>2014</v>
      </c>
      <c r="X9105" s="56" t="s">
        <v>11822</v>
      </c>
    </row>
    <row r="9106" spans="1:24" ht="102">
      <c r="A9106" s="3" t="s">
        <v>11821</v>
      </c>
      <c r="B9106" s="56" t="s">
        <v>361</v>
      </c>
      <c r="C9106" s="16" t="s">
        <v>10006</v>
      </c>
      <c r="D9106" s="16" t="s">
        <v>10007</v>
      </c>
      <c r="E9106" s="16" t="s">
        <v>10008</v>
      </c>
      <c r="F9106" s="16" t="s">
        <v>10069</v>
      </c>
      <c r="G9106" s="198" t="s">
        <v>605</v>
      </c>
      <c r="H9106" s="67">
        <v>1</v>
      </c>
      <c r="I9106" s="16">
        <v>470000000</v>
      </c>
      <c r="J9106" s="16" t="s">
        <v>229</v>
      </c>
      <c r="K9106" s="56" t="s">
        <v>9778</v>
      </c>
      <c r="L9106" s="16" t="s">
        <v>15894</v>
      </c>
      <c r="M9106" s="79"/>
      <c r="N9106" s="65" t="s">
        <v>10042</v>
      </c>
      <c r="O9106" s="162" t="s">
        <v>10012</v>
      </c>
      <c r="P9106" s="79"/>
      <c r="Q9106" s="87"/>
      <c r="R9106" s="87"/>
      <c r="S9106" s="163"/>
      <c r="T9106" s="4">
        <v>0</v>
      </c>
      <c r="U9106" s="4">
        <f>T9106*1.12</f>
        <v>0</v>
      </c>
      <c r="V9106" s="79"/>
      <c r="W9106" s="242">
        <v>2014</v>
      </c>
      <c r="X9106" s="56">
        <v>15</v>
      </c>
    </row>
    <row r="9107" spans="1:24" ht="102">
      <c r="A9107" s="3" t="s">
        <v>19322</v>
      </c>
      <c r="B9107" s="56" t="s">
        <v>361</v>
      </c>
      <c r="C9107" s="16" t="s">
        <v>10006</v>
      </c>
      <c r="D9107" s="16" t="s">
        <v>10007</v>
      </c>
      <c r="E9107" s="16" t="s">
        <v>10008</v>
      </c>
      <c r="F9107" s="16" t="s">
        <v>10069</v>
      </c>
      <c r="G9107" s="198" t="s">
        <v>605</v>
      </c>
      <c r="H9107" s="67">
        <v>1</v>
      </c>
      <c r="I9107" s="16">
        <v>470000000</v>
      </c>
      <c r="J9107" s="16" t="s">
        <v>229</v>
      </c>
      <c r="K9107" s="56" t="s">
        <v>9778</v>
      </c>
      <c r="L9107" s="16" t="s">
        <v>15894</v>
      </c>
      <c r="M9107" s="79"/>
      <c r="N9107" s="65" t="s">
        <v>10042</v>
      </c>
      <c r="O9107" s="162" t="s">
        <v>19179</v>
      </c>
      <c r="P9107" s="79"/>
      <c r="Q9107" s="87"/>
      <c r="R9107" s="87"/>
      <c r="S9107" s="163"/>
      <c r="T9107" s="1">
        <v>100000</v>
      </c>
      <c r="U9107" s="1">
        <f>T9107*1.12</f>
        <v>112000.00000000001</v>
      </c>
      <c r="V9107" s="79"/>
      <c r="W9107" s="242">
        <v>2014</v>
      </c>
      <c r="X9107" s="56"/>
    </row>
    <row r="9108" spans="1:24" ht="102">
      <c r="A9108" s="3" t="s">
        <v>11387</v>
      </c>
      <c r="B9108" s="56" t="s">
        <v>361</v>
      </c>
      <c r="C9108" s="16" t="s">
        <v>10006</v>
      </c>
      <c r="D9108" s="16" t="s">
        <v>10007</v>
      </c>
      <c r="E9108" s="16" t="s">
        <v>10008</v>
      </c>
      <c r="F9108" s="16" t="s">
        <v>10070</v>
      </c>
      <c r="G9108" s="198" t="s">
        <v>605</v>
      </c>
      <c r="H9108" s="67">
        <v>1</v>
      </c>
      <c r="I9108" s="16">
        <v>470000000</v>
      </c>
      <c r="J9108" s="16" t="s">
        <v>229</v>
      </c>
      <c r="K9108" s="56" t="s">
        <v>9793</v>
      </c>
      <c r="L9108" s="16" t="s">
        <v>15892</v>
      </c>
      <c r="M9108" s="79"/>
      <c r="N9108" s="65" t="s">
        <v>10027</v>
      </c>
      <c r="O9108" s="162" t="s">
        <v>10012</v>
      </c>
      <c r="P9108" s="79"/>
      <c r="Q9108" s="87"/>
      <c r="R9108" s="87"/>
      <c r="S9108" s="163"/>
      <c r="T9108" s="4">
        <v>0</v>
      </c>
      <c r="U9108" s="4">
        <f t="shared" si="659"/>
        <v>0</v>
      </c>
      <c r="V9108" s="79"/>
      <c r="W9108" s="242">
        <v>2014</v>
      </c>
      <c r="X9108" s="56" t="s">
        <v>12076</v>
      </c>
    </row>
    <row r="9109" spans="1:24" ht="76.5">
      <c r="A9109" s="3" t="s">
        <v>11388</v>
      </c>
      <c r="B9109" s="56" t="s">
        <v>361</v>
      </c>
      <c r="C9109" s="16" t="s">
        <v>10071</v>
      </c>
      <c r="D9109" s="16" t="s">
        <v>10072</v>
      </c>
      <c r="E9109" s="16" t="s">
        <v>10073</v>
      </c>
      <c r="F9109" s="16" t="s">
        <v>10074</v>
      </c>
      <c r="G9109" s="198" t="s">
        <v>605</v>
      </c>
      <c r="H9109" s="67">
        <v>1</v>
      </c>
      <c r="I9109" s="16">
        <v>470000000</v>
      </c>
      <c r="J9109" s="16" t="s">
        <v>229</v>
      </c>
      <c r="K9109" s="56" t="s">
        <v>9775</v>
      </c>
      <c r="L9109" s="16" t="s">
        <v>15892</v>
      </c>
      <c r="M9109" s="79"/>
      <c r="N9109" s="65" t="s">
        <v>10042</v>
      </c>
      <c r="O9109" s="162" t="s">
        <v>10012</v>
      </c>
      <c r="P9109" s="79"/>
      <c r="Q9109" s="87"/>
      <c r="R9109" s="87"/>
      <c r="S9109" s="163"/>
      <c r="T9109" s="4">
        <v>0</v>
      </c>
      <c r="U9109" s="4">
        <f t="shared" si="659"/>
        <v>0</v>
      </c>
      <c r="V9109" s="79"/>
      <c r="W9109" s="242">
        <v>2014</v>
      </c>
      <c r="X9109" s="56" t="s">
        <v>12076</v>
      </c>
    </row>
    <row r="9110" spans="1:24" ht="102">
      <c r="A9110" s="3" t="s">
        <v>11389</v>
      </c>
      <c r="B9110" s="56" t="s">
        <v>361</v>
      </c>
      <c r="C9110" s="16" t="s">
        <v>10006</v>
      </c>
      <c r="D9110" s="16" t="s">
        <v>10007</v>
      </c>
      <c r="E9110" s="16" t="s">
        <v>10008</v>
      </c>
      <c r="F9110" s="16" t="s">
        <v>10075</v>
      </c>
      <c r="G9110" s="198" t="s">
        <v>605</v>
      </c>
      <c r="H9110" s="67">
        <v>1</v>
      </c>
      <c r="I9110" s="16">
        <v>470000000</v>
      </c>
      <c r="J9110" s="16" t="s">
        <v>229</v>
      </c>
      <c r="K9110" s="56" t="s">
        <v>369</v>
      </c>
      <c r="L9110" s="16" t="s">
        <v>15894</v>
      </c>
      <c r="M9110" s="79"/>
      <c r="N9110" s="65" t="s">
        <v>10015</v>
      </c>
      <c r="O9110" s="162" t="s">
        <v>10012</v>
      </c>
      <c r="P9110" s="79"/>
      <c r="Q9110" s="87"/>
      <c r="R9110" s="87"/>
      <c r="S9110" s="163"/>
      <c r="T9110" s="4">
        <v>0</v>
      </c>
      <c r="U9110" s="4">
        <f t="shared" si="659"/>
        <v>0</v>
      </c>
      <c r="V9110" s="79"/>
      <c r="W9110" s="242">
        <v>2014</v>
      </c>
      <c r="X9110" s="56">
        <v>11.14</v>
      </c>
    </row>
    <row r="9111" spans="1:24" ht="102">
      <c r="A9111" s="3" t="s">
        <v>16527</v>
      </c>
      <c r="B9111" s="56" t="s">
        <v>361</v>
      </c>
      <c r="C9111" s="16" t="s">
        <v>10006</v>
      </c>
      <c r="D9111" s="16" t="s">
        <v>10007</v>
      </c>
      <c r="E9111" s="16" t="s">
        <v>10008</v>
      </c>
      <c r="F9111" s="16" t="s">
        <v>10075</v>
      </c>
      <c r="G9111" s="198" t="s">
        <v>605</v>
      </c>
      <c r="H9111" s="67">
        <v>1</v>
      </c>
      <c r="I9111" s="16">
        <v>470000000</v>
      </c>
      <c r="J9111" s="16" t="s">
        <v>229</v>
      </c>
      <c r="K9111" s="56" t="s">
        <v>9793</v>
      </c>
      <c r="L9111" s="16" t="s">
        <v>17028</v>
      </c>
      <c r="M9111" s="79"/>
      <c r="N9111" s="65" t="s">
        <v>10027</v>
      </c>
      <c r="O9111" s="162" t="s">
        <v>10012</v>
      </c>
      <c r="P9111" s="79"/>
      <c r="Q9111" s="87"/>
      <c r="R9111" s="87"/>
      <c r="S9111" s="163"/>
      <c r="T9111" s="4">
        <v>0</v>
      </c>
      <c r="U9111" s="4">
        <f t="shared" si="659"/>
        <v>0</v>
      </c>
      <c r="V9111" s="79"/>
      <c r="W9111" s="242">
        <v>2014</v>
      </c>
      <c r="X9111" s="56">
        <v>11.14</v>
      </c>
    </row>
    <row r="9112" spans="1:24" ht="102">
      <c r="A9112" s="3" t="s">
        <v>18727</v>
      </c>
      <c r="B9112" s="56" t="s">
        <v>361</v>
      </c>
      <c r="C9112" s="16" t="s">
        <v>10006</v>
      </c>
      <c r="D9112" s="16" t="s">
        <v>10007</v>
      </c>
      <c r="E9112" s="16" t="s">
        <v>10008</v>
      </c>
      <c r="F9112" s="16" t="s">
        <v>10075</v>
      </c>
      <c r="G9112" s="198" t="s">
        <v>605</v>
      </c>
      <c r="H9112" s="67">
        <v>1</v>
      </c>
      <c r="I9112" s="16">
        <v>470000000</v>
      </c>
      <c r="J9112" s="16" t="s">
        <v>229</v>
      </c>
      <c r="K9112" s="56" t="s">
        <v>9369</v>
      </c>
      <c r="L9112" s="16" t="s">
        <v>17028</v>
      </c>
      <c r="M9112" s="79"/>
      <c r="N9112" s="65" t="s">
        <v>10020</v>
      </c>
      <c r="O9112" s="162" t="s">
        <v>10012</v>
      </c>
      <c r="P9112" s="79"/>
      <c r="Q9112" s="87"/>
      <c r="R9112" s="87"/>
      <c r="S9112" s="163"/>
      <c r="T9112" s="4">
        <v>0</v>
      </c>
      <c r="U9112" s="4">
        <f t="shared" si="659"/>
        <v>0</v>
      </c>
      <c r="V9112" s="79"/>
      <c r="W9112" s="242">
        <v>2014</v>
      </c>
      <c r="X9112" s="56" t="s">
        <v>12076</v>
      </c>
    </row>
    <row r="9113" spans="1:24" ht="102">
      <c r="A9113" s="3" t="s">
        <v>11390</v>
      </c>
      <c r="B9113" s="56" t="s">
        <v>361</v>
      </c>
      <c r="C9113" s="16" t="s">
        <v>10006</v>
      </c>
      <c r="D9113" s="16" t="s">
        <v>10007</v>
      </c>
      <c r="E9113" s="16" t="s">
        <v>10008</v>
      </c>
      <c r="F9113" s="16" t="s">
        <v>10076</v>
      </c>
      <c r="G9113" s="198" t="s">
        <v>605</v>
      </c>
      <c r="H9113" s="67">
        <v>1</v>
      </c>
      <c r="I9113" s="16">
        <v>470000000</v>
      </c>
      <c r="J9113" s="16" t="s">
        <v>229</v>
      </c>
      <c r="K9113" s="56" t="s">
        <v>9377</v>
      </c>
      <c r="L9113" s="16" t="s">
        <v>17028</v>
      </c>
      <c r="M9113" s="79"/>
      <c r="N9113" s="65" t="s">
        <v>10011</v>
      </c>
      <c r="O9113" s="162" t="s">
        <v>10012</v>
      </c>
      <c r="P9113" s="79"/>
      <c r="Q9113" s="87"/>
      <c r="R9113" s="87"/>
      <c r="S9113" s="163"/>
      <c r="T9113" s="4">
        <v>0</v>
      </c>
      <c r="U9113" s="4">
        <f t="shared" si="659"/>
        <v>0</v>
      </c>
      <c r="V9113" s="79"/>
      <c r="W9113" s="242">
        <v>2014</v>
      </c>
      <c r="X9113" s="56">
        <v>15</v>
      </c>
    </row>
    <row r="9114" spans="1:24" ht="102">
      <c r="A9114" s="3" t="s">
        <v>19323</v>
      </c>
      <c r="B9114" s="56" t="s">
        <v>361</v>
      </c>
      <c r="C9114" s="16" t="s">
        <v>10006</v>
      </c>
      <c r="D9114" s="16" t="s">
        <v>10007</v>
      </c>
      <c r="E9114" s="16" t="s">
        <v>10008</v>
      </c>
      <c r="F9114" s="16" t="s">
        <v>10076</v>
      </c>
      <c r="G9114" s="198" t="s">
        <v>605</v>
      </c>
      <c r="H9114" s="67">
        <v>1</v>
      </c>
      <c r="I9114" s="16">
        <v>470000000</v>
      </c>
      <c r="J9114" s="16" t="s">
        <v>229</v>
      </c>
      <c r="K9114" s="56" t="s">
        <v>9377</v>
      </c>
      <c r="L9114" s="16" t="s">
        <v>17028</v>
      </c>
      <c r="M9114" s="79"/>
      <c r="N9114" s="65" t="s">
        <v>10011</v>
      </c>
      <c r="O9114" s="162" t="s">
        <v>19179</v>
      </c>
      <c r="P9114" s="79"/>
      <c r="Q9114" s="87"/>
      <c r="R9114" s="87"/>
      <c r="S9114" s="163"/>
      <c r="T9114" s="1">
        <v>85000</v>
      </c>
      <c r="U9114" s="1">
        <f t="shared" ref="U9114" si="670">T9114*1.12</f>
        <v>95200.000000000015</v>
      </c>
      <c r="V9114" s="79"/>
      <c r="W9114" s="242">
        <v>2014</v>
      </c>
      <c r="X9114" s="56"/>
    </row>
    <row r="9115" spans="1:24" ht="102">
      <c r="A9115" s="3" t="s">
        <v>11391</v>
      </c>
      <c r="B9115" s="56" t="s">
        <v>361</v>
      </c>
      <c r="C9115" s="16" t="s">
        <v>10006</v>
      </c>
      <c r="D9115" s="16" t="s">
        <v>10007</v>
      </c>
      <c r="E9115" s="16" t="s">
        <v>10008</v>
      </c>
      <c r="F9115" s="16" t="s">
        <v>10077</v>
      </c>
      <c r="G9115" s="198" t="s">
        <v>605</v>
      </c>
      <c r="H9115" s="67">
        <v>1</v>
      </c>
      <c r="I9115" s="16">
        <v>470000000</v>
      </c>
      <c r="J9115" s="16" t="s">
        <v>229</v>
      </c>
      <c r="K9115" s="56" t="s">
        <v>9793</v>
      </c>
      <c r="L9115" s="16" t="s">
        <v>17028</v>
      </c>
      <c r="M9115" s="79"/>
      <c r="N9115" s="6" t="s">
        <v>10027</v>
      </c>
      <c r="O9115" s="162" t="s">
        <v>10012</v>
      </c>
      <c r="P9115" s="79"/>
      <c r="Q9115" s="87"/>
      <c r="R9115" s="87"/>
      <c r="S9115" s="163"/>
      <c r="T9115" s="4">
        <v>0</v>
      </c>
      <c r="U9115" s="4">
        <f t="shared" si="659"/>
        <v>0</v>
      </c>
      <c r="V9115" s="79"/>
      <c r="W9115" s="242">
        <v>2014</v>
      </c>
      <c r="X9115" s="56">
        <v>15</v>
      </c>
    </row>
    <row r="9116" spans="1:24" ht="102">
      <c r="A9116" s="3" t="s">
        <v>19324</v>
      </c>
      <c r="B9116" s="56" t="s">
        <v>361</v>
      </c>
      <c r="C9116" s="16" t="s">
        <v>10006</v>
      </c>
      <c r="D9116" s="16" t="s">
        <v>10007</v>
      </c>
      <c r="E9116" s="16" t="s">
        <v>10008</v>
      </c>
      <c r="F9116" s="16" t="s">
        <v>10077</v>
      </c>
      <c r="G9116" s="198" t="s">
        <v>605</v>
      </c>
      <c r="H9116" s="67">
        <v>1</v>
      </c>
      <c r="I9116" s="16">
        <v>470000000</v>
      </c>
      <c r="J9116" s="16" t="s">
        <v>229</v>
      </c>
      <c r="K9116" s="56" t="s">
        <v>9793</v>
      </c>
      <c r="L9116" s="16" t="s">
        <v>17028</v>
      </c>
      <c r="M9116" s="79"/>
      <c r="N9116" s="6" t="s">
        <v>10027</v>
      </c>
      <c r="O9116" s="162" t="s">
        <v>19179</v>
      </c>
      <c r="P9116" s="79"/>
      <c r="Q9116" s="87"/>
      <c r="R9116" s="87"/>
      <c r="S9116" s="163"/>
      <c r="T9116" s="1">
        <v>85000</v>
      </c>
      <c r="U9116" s="1">
        <f t="shared" ref="U9116" si="671">T9116*1.12</f>
        <v>95200.000000000015</v>
      </c>
      <c r="V9116" s="79"/>
      <c r="W9116" s="242">
        <v>2014</v>
      </c>
      <c r="X9116" s="56"/>
    </row>
    <row r="9117" spans="1:24" ht="102">
      <c r="A9117" s="3" t="s">
        <v>11392</v>
      </c>
      <c r="B9117" s="56" t="s">
        <v>361</v>
      </c>
      <c r="C9117" s="16" t="s">
        <v>10006</v>
      </c>
      <c r="D9117" s="16" t="s">
        <v>10007</v>
      </c>
      <c r="E9117" s="16" t="s">
        <v>10008</v>
      </c>
      <c r="F9117" s="16" t="s">
        <v>10078</v>
      </c>
      <c r="G9117" s="198" t="s">
        <v>605</v>
      </c>
      <c r="H9117" s="67">
        <v>1</v>
      </c>
      <c r="I9117" s="16">
        <v>470000000</v>
      </c>
      <c r="J9117" s="16" t="s">
        <v>229</v>
      </c>
      <c r="K9117" s="56" t="s">
        <v>9377</v>
      </c>
      <c r="L9117" s="16" t="s">
        <v>15892</v>
      </c>
      <c r="M9117" s="79"/>
      <c r="N9117" s="6" t="s">
        <v>10011</v>
      </c>
      <c r="O9117" s="162" t="s">
        <v>10012</v>
      </c>
      <c r="P9117" s="79"/>
      <c r="Q9117" s="87"/>
      <c r="R9117" s="87"/>
      <c r="S9117" s="163"/>
      <c r="T9117" s="4">
        <v>0</v>
      </c>
      <c r="U9117" s="4">
        <f t="shared" si="659"/>
        <v>0</v>
      </c>
      <c r="V9117" s="79"/>
      <c r="W9117" s="242">
        <v>2014</v>
      </c>
      <c r="X9117" s="56" t="s">
        <v>15887</v>
      </c>
    </row>
    <row r="9118" spans="1:24" ht="102">
      <c r="A9118" s="3" t="s">
        <v>15888</v>
      </c>
      <c r="B9118" s="56" t="s">
        <v>361</v>
      </c>
      <c r="C9118" s="16" t="s">
        <v>10006</v>
      </c>
      <c r="D9118" s="16" t="s">
        <v>10007</v>
      </c>
      <c r="E9118" s="16" t="s">
        <v>10008</v>
      </c>
      <c r="F9118" s="16" t="s">
        <v>15889</v>
      </c>
      <c r="G9118" s="198" t="s">
        <v>605</v>
      </c>
      <c r="H9118" s="67">
        <v>1</v>
      </c>
      <c r="I9118" s="16">
        <v>470000000</v>
      </c>
      <c r="J9118" s="16" t="s">
        <v>229</v>
      </c>
      <c r="K9118" s="56" t="s">
        <v>369</v>
      </c>
      <c r="L9118" s="16" t="s">
        <v>15892</v>
      </c>
      <c r="M9118" s="79"/>
      <c r="N9118" s="6" t="s">
        <v>10011</v>
      </c>
      <c r="O9118" s="162" t="s">
        <v>10012</v>
      </c>
      <c r="P9118" s="79"/>
      <c r="Q9118" s="87"/>
      <c r="R9118" s="87"/>
      <c r="S9118" s="163"/>
      <c r="T9118" s="4">
        <v>0</v>
      </c>
      <c r="U9118" s="4">
        <f t="shared" si="659"/>
        <v>0</v>
      </c>
      <c r="V9118" s="79"/>
      <c r="W9118" s="242">
        <v>2014</v>
      </c>
      <c r="X9118" s="56">
        <v>15</v>
      </c>
    </row>
    <row r="9119" spans="1:24" ht="102">
      <c r="A9119" s="3" t="s">
        <v>19325</v>
      </c>
      <c r="B9119" s="56" t="s">
        <v>361</v>
      </c>
      <c r="C9119" s="16" t="s">
        <v>10006</v>
      </c>
      <c r="D9119" s="16" t="s">
        <v>10007</v>
      </c>
      <c r="E9119" s="16" t="s">
        <v>10008</v>
      </c>
      <c r="F9119" s="16" t="s">
        <v>15889</v>
      </c>
      <c r="G9119" s="198" t="s">
        <v>605</v>
      </c>
      <c r="H9119" s="67">
        <v>1</v>
      </c>
      <c r="I9119" s="16">
        <v>470000000</v>
      </c>
      <c r="J9119" s="16" t="s">
        <v>229</v>
      </c>
      <c r="K9119" s="56" t="s">
        <v>369</v>
      </c>
      <c r="L9119" s="16" t="s">
        <v>15892</v>
      </c>
      <c r="M9119" s="79"/>
      <c r="N9119" s="6" t="s">
        <v>10011</v>
      </c>
      <c r="O9119" s="162" t="s">
        <v>19179</v>
      </c>
      <c r="P9119" s="79"/>
      <c r="Q9119" s="87"/>
      <c r="R9119" s="87"/>
      <c r="S9119" s="163"/>
      <c r="T9119" s="1">
        <v>107313.39</v>
      </c>
      <c r="U9119" s="1">
        <f t="shared" ref="U9119" si="672">T9119*1.12</f>
        <v>120190.99680000001</v>
      </c>
      <c r="V9119" s="79"/>
      <c r="W9119" s="242">
        <v>2014</v>
      </c>
      <c r="X9119" s="56"/>
    </row>
    <row r="9120" spans="1:24" ht="102">
      <c r="A9120" s="3" t="s">
        <v>11393</v>
      </c>
      <c r="B9120" s="56" t="s">
        <v>361</v>
      </c>
      <c r="C9120" s="16" t="s">
        <v>10006</v>
      </c>
      <c r="D9120" s="16" t="s">
        <v>10007</v>
      </c>
      <c r="E9120" s="16" t="s">
        <v>10008</v>
      </c>
      <c r="F9120" s="16" t="s">
        <v>10079</v>
      </c>
      <c r="G9120" s="198" t="s">
        <v>605</v>
      </c>
      <c r="H9120" s="67">
        <v>1</v>
      </c>
      <c r="I9120" s="16">
        <v>470000000</v>
      </c>
      <c r="J9120" s="16" t="s">
        <v>229</v>
      </c>
      <c r="K9120" s="56" t="s">
        <v>9775</v>
      </c>
      <c r="L9120" s="16" t="s">
        <v>15892</v>
      </c>
      <c r="M9120" s="79"/>
      <c r="N9120" s="6" t="s">
        <v>10031</v>
      </c>
      <c r="O9120" s="162" t="s">
        <v>10012</v>
      </c>
      <c r="P9120" s="79"/>
      <c r="Q9120" s="87"/>
      <c r="R9120" s="87"/>
      <c r="S9120" s="163"/>
      <c r="T9120" s="4">
        <v>0</v>
      </c>
      <c r="U9120" s="4">
        <f t="shared" si="659"/>
        <v>0</v>
      </c>
      <c r="V9120" s="79"/>
      <c r="W9120" s="242">
        <v>2014</v>
      </c>
      <c r="X9120" s="56">
        <v>11.15</v>
      </c>
    </row>
    <row r="9121" spans="1:24" ht="102">
      <c r="A9121" s="3" t="s">
        <v>19326</v>
      </c>
      <c r="B9121" s="56" t="s">
        <v>361</v>
      </c>
      <c r="C9121" s="16" t="s">
        <v>10006</v>
      </c>
      <c r="D9121" s="16" t="s">
        <v>10007</v>
      </c>
      <c r="E9121" s="16" t="s">
        <v>10008</v>
      </c>
      <c r="F9121" s="16" t="s">
        <v>10079</v>
      </c>
      <c r="G9121" s="198" t="s">
        <v>605</v>
      </c>
      <c r="H9121" s="67">
        <v>1</v>
      </c>
      <c r="I9121" s="16">
        <v>470000000</v>
      </c>
      <c r="J9121" s="16" t="s">
        <v>229</v>
      </c>
      <c r="K9121" s="56" t="s">
        <v>9956</v>
      </c>
      <c r="L9121" s="16" t="s">
        <v>15892</v>
      </c>
      <c r="M9121" s="79"/>
      <c r="N9121" s="6" t="s">
        <v>10031</v>
      </c>
      <c r="O9121" s="162" t="s">
        <v>19179</v>
      </c>
      <c r="P9121" s="79"/>
      <c r="Q9121" s="87"/>
      <c r="R9121" s="87"/>
      <c r="S9121" s="163"/>
      <c r="T9121" s="1">
        <v>55500</v>
      </c>
      <c r="U9121" s="1">
        <f t="shared" ref="U9121" si="673">T9121*1.12</f>
        <v>62160.000000000007</v>
      </c>
      <c r="V9121" s="79"/>
      <c r="W9121" s="242">
        <v>2014</v>
      </c>
      <c r="X9121" s="56"/>
    </row>
    <row r="9122" spans="1:24" ht="102">
      <c r="A9122" s="3" t="s">
        <v>11394</v>
      </c>
      <c r="B9122" s="56" t="s">
        <v>361</v>
      </c>
      <c r="C9122" s="16" t="s">
        <v>10006</v>
      </c>
      <c r="D9122" s="16" t="s">
        <v>10007</v>
      </c>
      <c r="E9122" s="16" t="s">
        <v>10008</v>
      </c>
      <c r="F9122" s="16" t="s">
        <v>10080</v>
      </c>
      <c r="G9122" s="198" t="s">
        <v>605</v>
      </c>
      <c r="H9122" s="67">
        <v>1</v>
      </c>
      <c r="I9122" s="16">
        <v>470000000</v>
      </c>
      <c r="J9122" s="16" t="s">
        <v>229</v>
      </c>
      <c r="K9122" s="56" t="s">
        <v>366</v>
      </c>
      <c r="L9122" s="16" t="s">
        <v>15892</v>
      </c>
      <c r="M9122" s="79"/>
      <c r="N9122" s="65" t="s">
        <v>10045</v>
      </c>
      <c r="O9122" s="162" t="s">
        <v>10012</v>
      </c>
      <c r="P9122" s="79"/>
      <c r="Q9122" s="87"/>
      <c r="R9122" s="87"/>
      <c r="S9122" s="163"/>
      <c r="T9122" s="4">
        <v>0</v>
      </c>
      <c r="U9122" s="4">
        <f t="shared" si="659"/>
        <v>0</v>
      </c>
      <c r="V9122" s="79"/>
      <c r="W9122" s="242">
        <v>2014</v>
      </c>
      <c r="X9122" s="56" t="s">
        <v>15890</v>
      </c>
    </row>
    <row r="9123" spans="1:24" ht="102">
      <c r="A9123" s="3" t="s">
        <v>14284</v>
      </c>
      <c r="B9123" s="56" t="s">
        <v>361</v>
      </c>
      <c r="C9123" s="16" t="s">
        <v>10006</v>
      </c>
      <c r="D9123" s="16" t="s">
        <v>10007</v>
      </c>
      <c r="E9123" s="16" t="s">
        <v>10008</v>
      </c>
      <c r="F9123" s="16" t="s">
        <v>15891</v>
      </c>
      <c r="G9123" s="198" t="s">
        <v>605</v>
      </c>
      <c r="H9123" s="67">
        <v>1</v>
      </c>
      <c r="I9123" s="16">
        <v>470000000</v>
      </c>
      <c r="J9123" s="16" t="s">
        <v>229</v>
      </c>
      <c r="K9123" s="56" t="s">
        <v>9377</v>
      </c>
      <c r="L9123" s="16" t="s">
        <v>15892</v>
      </c>
      <c r="M9123" s="79"/>
      <c r="N9123" s="65" t="s">
        <v>10033</v>
      </c>
      <c r="O9123" s="162" t="s">
        <v>10012</v>
      </c>
      <c r="P9123" s="79"/>
      <c r="Q9123" s="87"/>
      <c r="R9123" s="87"/>
      <c r="S9123" s="163"/>
      <c r="T9123" s="4">
        <v>0</v>
      </c>
      <c r="U9123" s="4">
        <f t="shared" si="659"/>
        <v>0</v>
      </c>
      <c r="V9123" s="79"/>
      <c r="W9123" s="242">
        <v>2014</v>
      </c>
      <c r="X9123" s="56">
        <v>15</v>
      </c>
    </row>
    <row r="9124" spans="1:24" ht="102">
      <c r="A9124" s="3" t="s">
        <v>19327</v>
      </c>
      <c r="B9124" s="56" t="s">
        <v>361</v>
      </c>
      <c r="C9124" s="16" t="s">
        <v>10006</v>
      </c>
      <c r="D9124" s="16" t="s">
        <v>10007</v>
      </c>
      <c r="E9124" s="16" t="s">
        <v>10008</v>
      </c>
      <c r="F9124" s="16" t="s">
        <v>15891</v>
      </c>
      <c r="G9124" s="198" t="s">
        <v>605</v>
      </c>
      <c r="H9124" s="67">
        <v>1</v>
      </c>
      <c r="I9124" s="16">
        <v>470000000</v>
      </c>
      <c r="J9124" s="16" t="s">
        <v>229</v>
      </c>
      <c r="K9124" s="56" t="s">
        <v>9377</v>
      </c>
      <c r="L9124" s="16" t="s">
        <v>15892</v>
      </c>
      <c r="M9124" s="79"/>
      <c r="N9124" s="65" t="s">
        <v>10033</v>
      </c>
      <c r="O9124" s="162" t="s">
        <v>19179</v>
      </c>
      <c r="P9124" s="79"/>
      <c r="Q9124" s="87"/>
      <c r="R9124" s="87"/>
      <c r="S9124" s="163"/>
      <c r="T9124" s="1">
        <v>62565</v>
      </c>
      <c r="U9124" s="1">
        <f t="shared" ref="U9124" si="674">T9124*1.12</f>
        <v>70072.800000000003</v>
      </c>
      <c r="V9124" s="79"/>
      <c r="W9124" s="242">
        <v>2014</v>
      </c>
      <c r="X9124" s="56"/>
    </row>
    <row r="9125" spans="1:24" ht="140.25">
      <c r="A9125" s="3" t="s">
        <v>11439</v>
      </c>
      <c r="B9125" s="56" t="s">
        <v>361</v>
      </c>
      <c r="C9125" s="16" t="s">
        <v>9825</v>
      </c>
      <c r="D9125" s="16" t="s">
        <v>9826</v>
      </c>
      <c r="E9125" s="16" t="s">
        <v>9827</v>
      </c>
      <c r="F9125" s="16" t="s">
        <v>10081</v>
      </c>
      <c r="G9125" s="79" t="s">
        <v>605</v>
      </c>
      <c r="H9125" s="67">
        <v>1</v>
      </c>
      <c r="I9125" s="16">
        <v>470000000</v>
      </c>
      <c r="J9125" s="56" t="s">
        <v>229</v>
      </c>
      <c r="K9125" s="6" t="s">
        <v>8901</v>
      </c>
      <c r="L9125" s="16" t="s">
        <v>9171</v>
      </c>
      <c r="M9125" s="162"/>
      <c r="N9125" s="6" t="s">
        <v>9488</v>
      </c>
      <c r="O9125" s="162" t="s">
        <v>10012</v>
      </c>
      <c r="P9125" s="3"/>
      <c r="Q9125" s="3"/>
      <c r="R9125" s="3"/>
      <c r="S9125" s="1"/>
      <c r="T9125" s="1">
        <v>511200</v>
      </c>
      <c r="U9125" s="1">
        <f t="shared" si="659"/>
        <v>572544</v>
      </c>
      <c r="V9125" s="79"/>
      <c r="W9125" s="3">
        <v>2014</v>
      </c>
      <c r="X9125" s="3"/>
    </row>
    <row r="9126" spans="1:24" ht="63.75">
      <c r="A9126" s="3" t="s">
        <v>14112</v>
      </c>
      <c r="B9126" s="6" t="s">
        <v>361</v>
      </c>
      <c r="C9126" s="16" t="s">
        <v>14113</v>
      </c>
      <c r="D9126" s="16" t="s">
        <v>14114</v>
      </c>
      <c r="E9126" s="16" t="s">
        <v>14114</v>
      </c>
      <c r="F9126" s="16" t="s">
        <v>14115</v>
      </c>
      <c r="G9126" s="3" t="s">
        <v>14116</v>
      </c>
      <c r="H9126" s="186">
        <v>1</v>
      </c>
      <c r="I9126" s="16">
        <v>470000000</v>
      </c>
      <c r="J9126" s="16" t="s">
        <v>229</v>
      </c>
      <c r="K9126" s="6" t="s">
        <v>369</v>
      </c>
      <c r="L9126" s="16" t="s">
        <v>9171</v>
      </c>
      <c r="M9126" s="3"/>
      <c r="N9126" s="56" t="s">
        <v>14134</v>
      </c>
      <c r="O9126" s="6" t="s">
        <v>14117</v>
      </c>
      <c r="P9126" s="3"/>
      <c r="Q9126" s="3"/>
      <c r="R9126" s="3"/>
      <c r="S9126" s="1"/>
      <c r="T9126" s="1">
        <v>32185000</v>
      </c>
      <c r="U9126" s="1">
        <f t="shared" si="659"/>
        <v>36047200</v>
      </c>
      <c r="V9126" s="79" t="s">
        <v>14133</v>
      </c>
      <c r="W9126" s="3">
        <v>2014</v>
      </c>
      <c r="X9126" s="3"/>
    </row>
    <row r="9127" spans="1:24" ht="63.75">
      <c r="A9127" s="3" t="s">
        <v>14239</v>
      </c>
      <c r="B9127" s="6" t="s">
        <v>361</v>
      </c>
      <c r="C9127" s="16" t="s">
        <v>14236</v>
      </c>
      <c r="D9127" s="16" t="s">
        <v>14237</v>
      </c>
      <c r="E9127" s="16" t="s">
        <v>14238</v>
      </c>
      <c r="F9127" s="6"/>
      <c r="G9127" s="6" t="s">
        <v>605</v>
      </c>
      <c r="H9127" s="54">
        <v>1</v>
      </c>
      <c r="I9127" s="16">
        <v>470000000</v>
      </c>
      <c r="J9127" s="16" t="s">
        <v>229</v>
      </c>
      <c r="K9127" s="64" t="s">
        <v>9453</v>
      </c>
      <c r="L9127" s="16" t="s">
        <v>9171</v>
      </c>
      <c r="M9127" s="3"/>
      <c r="N9127" s="6" t="s">
        <v>10020</v>
      </c>
      <c r="O9127" s="162" t="s">
        <v>9567</v>
      </c>
      <c r="P9127" s="58"/>
      <c r="Q9127" s="31"/>
      <c r="R9127" s="216"/>
      <c r="S9127" s="59"/>
      <c r="T9127" s="4">
        <v>0</v>
      </c>
      <c r="U9127" s="4">
        <f t="shared" si="659"/>
        <v>0</v>
      </c>
      <c r="V9127" s="3" t="s">
        <v>14133</v>
      </c>
      <c r="W9127" s="3">
        <v>2014</v>
      </c>
      <c r="X9127" s="3">
        <v>11</v>
      </c>
    </row>
    <row r="9128" spans="1:24" ht="63.75">
      <c r="A9128" s="3" t="s">
        <v>18424</v>
      </c>
      <c r="B9128" s="6" t="s">
        <v>361</v>
      </c>
      <c r="C9128" s="16" t="s">
        <v>14236</v>
      </c>
      <c r="D9128" s="16" t="s">
        <v>14237</v>
      </c>
      <c r="E9128" s="16" t="s">
        <v>14238</v>
      </c>
      <c r="F9128" s="6"/>
      <c r="G9128" s="6" t="s">
        <v>605</v>
      </c>
      <c r="H9128" s="54">
        <v>1</v>
      </c>
      <c r="I9128" s="16">
        <v>470000000</v>
      </c>
      <c r="J9128" s="16" t="s">
        <v>229</v>
      </c>
      <c r="K9128" s="64" t="s">
        <v>18435</v>
      </c>
      <c r="L9128" s="16" t="s">
        <v>9171</v>
      </c>
      <c r="M9128" s="3"/>
      <c r="N9128" s="6" t="s">
        <v>10020</v>
      </c>
      <c r="O9128" s="162" t="s">
        <v>9567</v>
      </c>
      <c r="P9128" s="58"/>
      <c r="Q9128" s="31"/>
      <c r="R9128" s="216"/>
      <c r="S9128" s="59"/>
      <c r="T9128" s="4">
        <v>170000</v>
      </c>
      <c r="U9128" s="1">
        <f t="shared" si="659"/>
        <v>190400.00000000003</v>
      </c>
      <c r="V9128" s="3" t="s">
        <v>14133</v>
      </c>
      <c r="W9128" s="3">
        <v>2014</v>
      </c>
      <c r="X9128" s="3"/>
    </row>
    <row r="9129" spans="1:24" ht="63.75">
      <c r="A9129" s="3" t="s">
        <v>14276</v>
      </c>
      <c r="B9129" s="6" t="s">
        <v>361</v>
      </c>
      <c r="C9129" s="16" t="s">
        <v>9725</v>
      </c>
      <c r="D9129" s="16" t="s">
        <v>9726</v>
      </c>
      <c r="E9129" s="16" t="s">
        <v>9726</v>
      </c>
      <c r="F9129" s="16" t="s">
        <v>14279</v>
      </c>
      <c r="G9129" s="6" t="s">
        <v>605</v>
      </c>
      <c r="H9129" s="54">
        <v>0.5</v>
      </c>
      <c r="I9129" s="16">
        <v>470000000</v>
      </c>
      <c r="J9129" s="16" t="s">
        <v>229</v>
      </c>
      <c r="K9129" s="64" t="s">
        <v>9453</v>
      </c>
      <c r="L9129" s="16" t="s">
        <v>9729</v>
      </c>
      <c r="M9129" s="3"/>
      <c r="N9129" s="6" t="s">
        <v>9454</v>
      </c>
      <c r="O9129" s="78" t="s">
        <v>9716</v>
      </c>
      <c r="P9129" s="3"/>
      <c r="Q9129" s="6"/>
      <c r="R9129" s="6"/>
      <c r="S9129" s="6"/>
      <c r="T9129" s="4">
        <v>0</v>
      </c>
      <c r="U9129" s="4">
        <f t="shared" si="659"/>
        <v>0</v>
      </c>
      <c r="V9129" s="201" t="s">
        <v>610</v>
      </c>
      <c r="W9129" s="3">
        <v>2014</v>
      </c>
      <c r="X9129" s="3">
        <v>20.21</v>
      </c>
    </row>
    <row r="9130" spans="1:24" ht="63.75">
      <c r="A9130" s="3" t="s">
        <v>16531</v>
      </c>
      <c r="B9130" s="6" t="s">
        <v>361</v>
      </c>
      <c r="C9130" s="16" t="s">
        <v>9725</v>
      </c>
      <c r="D9130" s="16" t="s">
        <v>9726</v>
      </c>
      <c r="E9130" s="16" t="s">
        <v>9726</v>
      </c>
      <c r="F9130" s="16" t="s">
        <v>14279</v>
      </c>
      <c r="G9130" s="6" t="s">
        <v>605</v>
      </c>
      <c r="H9130" s="54">
        <v>0.5</v>
      </c>
      <c r="I9130" s="16">
        <v>470000000</v>
      </c>
      <c r="J9130" s="16" t="s">
        <v>229</v>
      </c>
      <c r="K9130" s="64" t="s">
        <v>9453</v>
      </c>
      <c r="L9130" s="16" t="s">
        <v>9729</v>
      </c>
      <c r="M9130" s="3"/>
      <c r="N9130" s="6" t="s">
        <v>9454</v>
      </c>
      <c r="O9130" s="78" t="s">
        <v>9716</v>
      </c>
      <c r="P9130" s="3"/>
      <c r="Q9130" s="6"/>
      <c r="R9130" s="6"/>
      <c r="S9130" s="6"/>
      <c r="T9130" s="4">
        <v>171531360</v>
      </c>
      <c r="U9130" s="4">
        <f t="shared" si="659"/>
        <v>192115123.20000002</v>
      </c>
      <c r="V9130" s="201" t="s">
        <v>610</v>
      </c>
      <c r="W9130" s="3">
        <v>2014</v>
      </c>
      <c r="X9130" s="3"/>
    </row>
    <row r="9131" spans="1:24" ht="63.75">
      <c r="A9131" s="3" t="s">
        <v>14277</v>
      </c>
      <c r="B9131" s="6" t="s">
        <v>361</v>
      </c>
      <c r="C9131" s="6" t="s">
        <v>9703</v>
      </c>
      <c r="D9131" s="5" t="s">
        <v>9704</v>
      </c>
      <c r="E9131" s="6" t="s">
        <v>9705</v>
      </c>
      <c r="F9131" s="6" t="s">
        <v>14280</v>
      </c>
      <c r="G9131" s="6" t="s">
        <v>605</v>
      </c>
      <c r="H9131" s="54">
        <v>0.5</v>
      </c>
      <c r="I9131" s="16">
        <v>470000000</v>
      </c>
      <c r="J9131" s="16" t="s">
        <v>229</v>
      </c>
      <c r="K9131" s="64" t="s">
        <v>9453</v>
      </c>
      <c r="L9131" s="16" t="s">
        <v>9729</v>
      </c>
      <c r="M9131" s="3"/>
      <c r="N9131" s="6" t="s">
        <v>9454</v>
      </c>
      <c r="O9131" s="78" t="s">
        <v>9716</v>
      </c>
      <c r="P9131" s="58"/>
      <c r="Q9131" s="31"/>
      <c r="R9131" s="216"/>
      <c r="S9131" s="59"/>
      <c r="T9131" s="4">
        <v>0</v>
      </c>
      <c r="U9131" s="4">
        <f t="shared" si="659"/>
        <v>0</v>
      </c>
      <c r="V9131" s="201" t="s">
        <v>610</v>
      </c>
      <c r="W9131" s="3">
        <v>2014</v>
      </c>
      <c r="X9131" s="3">
        <v>20.21</v>
      </c>
    </row>
    <row r="9132" spans="1:24" ht="63.75">
      <c r="A9132" s="3" t="s">
        <v>16529</v>
      </c>
      <c r="B9132" s="6" t="s">
        <v>361</v>
      </c>
      <c r="C9132" s="6" t="s">
        <v>9703</v>
      </c>
      <c r="D9132" s="5" t="s">
        <v>9704</v>
      </c>
      <c r="E9132" s="6" t="s">
        <v>9705</v>
      </c>
      <c r="F9132" s="6" t="s">
        <v>14280</v>
      </c>
      <c r="G9132" s="6" t="s">
        <v>605</v>
      </c>
      <c r="H9132" s="54">
        <v>0.5</v>
      </c>
      <c r="I9132" s="16">
        <v>470000000</v>
      </c>
      <c r="J9132" s="16" t="s">
        <v>229</v>
      </c>
      <c r="K9132" s="64" t="s">
        <v>9453</v>
      </c>
      <c r="L9132" s="16" t="s">
        <v>9729</v>
      </c>
      <c r="M9132" s="3"/>
      <c r="N9132" s="6" t="s">
        <v>9454</v>
      </c>
      <c r="O9132" s="78" t="s">
        <v>9716</v>
      </c>
      <c r="P9132" s="58"/>
      <c r="Q9132" s="31"/>
      <c r="R9132" s="216"/>
      <c r="S9132" s="59"/>
      <c r="T9132" s="4">
        <v>21151588</v>
      </c>
      <c r="U9132" s="1">
        <f t="shared" si="659"/>
        <v>23689778.560000002</v>
      </c>
      <c r="V9132" s="201" t="s">
        <v>610</v>
      </c>
      <c r="W9132" s="3">
        <v>2014</v>
      </c>
      <c r="X9132" s="3"/>
    </row>
    <row r="9133" spans="1:24" ht="63.75">
      <c r="A9133" s="3" t="s">
        <v>14278</v>
      </c>
      <c r="B9133" s="6" t="s">
        <v>361</v>
      </c>
      <c r="C9133" s="6" t="s">
        <v>9706</v>
      </c>
      <c r="D9133" s="5" t="s">
        <v>9707</v>
      </c>
      <c r="E9133" s="6" t="s">
        <v>9707</v>
      </c>
      <c r="F9133" s="6" t="s">
        <v>14281</v>
      </c>
      <c r="G9133" s="6" t="s">
        <v>14116</v>
      </c>
      <c r="H9133" s="54">
        <v>0.5</v>
      </c>
      <c r="I9133" s="16">
        <v>470000000</v>
      </c>
      <c r="J9133" s="16" t="s">
        <v>229</v>
      </c>
      <c r="K9133" s="64" t="s">
        <v>9453</v>
      </c>
      <c r="L9133" s="16" t="s">
        <v>9528</v>
      </c>
      <c r="M9133" s="3"/>
      <c r="N9133" s="6" t="s">
        <v>9454</v>
      </c>
      <c r="O9133" s="78" t="s">
        <v>9716</v>
      </c>
      <c r="P9133" s="58"/>
      <c r="Q9133" s="31"/>
      <c r="R9133" s="216"/>
      <c r="S9133" s="59"/>
      <c r="T9133" s="4">
        <v>0</v>
      </c>
      <c r="U9133" s="4">
        <f t="shared" si="659"/>
        <v>0</v>
      </c>
      <c r="V9133" s="3"/>
      <c r="W9133" s="3">
        <v>2014</v>
      </c>
      <c r="X9133" s="3" t="s">
        <v>11822</v>
      </c>
    </row>
    <row r="9134" spans="1:24" ht="63.75">
      <c r="A9134" s="3" t="s">
        <v>16530</v>
      </c>
      <c r="B9134" s="6" t="s">
        <v>361</v>
      </c>
      <c r="C9134" s="6" t="s">
        <v>9706</v>
      </c>
      <c r="D9134" s="5" t="s">
        <v>9707</v>
      </c>
      <c r="E9134" s="6" t="s">
        <v>9707</v>
      </c>
      <c r="F9134" s="6" t="s">
        <v>17030</v>
      </c>
      <c r="G9134" s="6" t="s">
        <v>14116</v>
      </c>
      <c r="H9134" s="54">
        <v>0.5</v>
      </c>
      <c r="I9134" s="16">
        <v>470000000</v>
      </c>
      <c r="J9134" s="16" t="s">
        <v>229</v>
      </c>
      <c r="K9134" s="64" t="s">
        <v>8950</v>
      </c>
      <c r="L9134" s="16" t="s">
        <v>9528</v>
      </c>
      <c r="M9134" s="3"/>
      <c r="N9134" s="6" t="s">
        <v>9454</v>
      </c>
      <c r="O9134" s="78" t="s">
        <v>9716</v>
      </c>
      <c r="P9134" s="58"/>
      <c r="Q9134" s="31"/>
      <c r="R9134" s="216"/>
      <c r="S9134" s="59"/>
      <c r="T9134" s="4">
        <v>0</v>
      </c>
      <c r="U9134" s="4">
        <f t="shared" si="659"/>
        <v>0</v>
      </c>
      <c r="V9134" s="3"/>
      <c r="W9134" s="3">
        <v>2014</v>
      </c>
      <c r="X9134" s="3" t="s">
        <v>18423</v>
      </c>
    </row>
    <row r="9135" spans="1:24" ht="63.75">
      <c r="A9135" s="3" t="s">
        <v>18382</v>
      </c>
      <c r="B9135" s="6" t="s">
        <v>361</v>
      </c>
      <c r="C9135" s="6" t="s">
        <v>9706</v>
      </c>
      <c r="D9135" s="5" t="s">
        <v>9707</v>
      </c>
      <c r="E9135" s="6" t="s">
        <v>9707</v>
      </c>
      <c r="F9135" s="6" t="s">
        <v>18384</v>
      </c>
      <c r="G9135" s="6" t="s">
        <v>14116</v>
      </c>
      <c r="H9135" s="54">
        <v>0.5</v>
      </c>
      <c r="I9135" s="16">
        <v>470000000</v>
      </c>
      <c r="J9135" s="16" t="s">
        <v>229</v>
      </c>
      <c r="K9135" s="64" t="s">
        <v>8950</v>
      </c>
      <c r="L9135" s="16" t="s">
        <v>9528</v>
      </c>
      <c r="M9135" s="3"/>
      <c r="N9135" s="6" t="s">
        <v>9454</v>
      </c>
      <c r="O9135" s="78" t="s">
        <v>9716</v>
      </c>
      <c r="P9135" s="58"/>
      <c r="Q9135" s="31"/>
      <c r="R9135" s="216"/>
      <c r="S9135" s="59"/>
      <c r="T9135" s="4">
        <v>0</v>
      </c>
      <c r="U9135" s="4">
        <f t="shared" si="659"/>
        <v>0</v>
      </c>
      <c r="V9135" s="3"/>
      <c r="W9135" s="3">
        <v>2014</v>
      </c>
      <c r="X9135" s="3">
        <v>11</v>
      </c>
    </row>
    <row r="9136" spans="1:24" ht="63.75">
      <c r="A9136" s="3" t="s">
        <v>19041</v>
      </c>
      <c r="B9136" s="6" t="s">
        <v>361</v>
      </c>
      <c r="C9136" s="6" t="s">
        <v>9706</v>
      </c>
      <c r="D9136" s="5" t="s">
        <v>9707</v>
      </c>
      <c r="E9136" s="6" t="s">
        <v>9707</v>
      </c>
      <c r="F9136" s="6" t="s">
        <v>18384</v>
      </c>
      <c r="G9136" s="6" t="s">
        <v>14116</v>
      </c>
      <c r="H9136" s="54">
        <v>0.5</v>
      </c>
      <c r="I9136" s="16">
        <v>470000000</v>
      </c>
      <c r="J9136" s="16" t="s">
        <v>229</v>
      </c>
      <c r="K9136" s="64" t="s">
        <v>9369</v>
      </c>
      <c r="L9136" s="16" t="s">
        <v>9528</v>
      </c>
      <c r="M9136" s="3"/>
      <c r="N9136" s="6" t="s">
        <v>9454</v>
      </c>
      <c r="O9136" s="78" t="s">
        <v>9716</v>
      </c>
      <c r="P9136" s="58"/>
      <c r="Q9136" s="31"/>
      <c r="R9136" s="216"/>
      <c r="S9136" s="59"/>
      <c r="T9136" s="4">
        <v>30261000</v>
      </c>
      <c r="U9136" s="1">
        <f t="shared" ref="U9136" si="675">T9136*1.12</f>
        <v>33892320</v>
      </c>
      <c r="V9136" s="3"/>
      <c r="W9136" s="3">
        <v>2014</v>
      </c>
      <c r="X9136" s="3"/>
    </row>
    <row r="9137" spans="1:24" ht="102">
      <c r="A9137" s="6" t="s">
        <v>14337</v>
      </c>
      <c r="B9137" s="6" t="s">
        <v>361</v>
      </c>
      <c r="C9137" s="6" t="s">
        <v>10006</v>
      </c>
      <c r="D9137" s="6" t="s">
        <v>10007</v>
      </c>
      <c r="E9137" s="6" t="s">
        <v>10008</v>
      </c>
      <c r="F9137" s="6" t="s">
        <v>14338</v>
      </c>
      <c r="G9137" s="6" t="s">
        <v>605</v>
      </c>
      <c r="H9137" s="67">
        <v>1</v>
      </c>
      <c r="I9137" s="6">
        <v>470000000</v>
      </c>
      <c r="J9137" s="6" t="s">
        <v>229</v>
      </c>
      <c r="K9137" s="6" t="s">
        <v>10010</v>
      </c>
      <c r="L9137" s="6" t="s">
        <v>621</v>
      </c>
      <c r="M9137" s="6"/>
      <c r="N9137" s="6" t="s">
        <v>10011</v>
      </c>
      <c r="O9137" s="6" t="s">
        <v>10012</v>
      </c>
      <c r="P9137" s="6"/>
      <c r="Q9137" s="6"/>
      <c r="R9137" s="6"/>
      <c r="S9137" s="6"/>
      <c r="T9137" s="4">
        <v>0</v>
      </c>
      <c r="U9137" s="6">
        <f t="shared" si="659"/>
        <v>0</v>
      </c>
      <c r="V9137" s="6"/>
      <c r="W9137" s="6">
        <v>2014</v>
      </c>
      <c r="X9137" s="6">
        <v>15</v>
      </c>
    </row>
    <row r="9138" spans="1:24" ht="102">
      <c r="A9138" s="6" t="s">
        <v>19328</v>
      </c>
      <c r="B9138" s="6" t="s">
        <v>361</v>
      </c>
      <c r="C9138" s="6" t="s">
        <v>10006</v>
      </c>
      <c r="D9138" s="6" t="s">
        <v>10007</v>
      </c>
      <c r="E9138" s="6" t="s">
        <v>10008</v>
      </c>
      <c r="F9138" s="6" t="s">
        <v>14338</v>
      </c>
      <c r="G9138" s="6" t="s">
        <v>605</v>
      </c>
      <c r="H9138" s="67">
        <v>1</v>
      </c>
      <c r="I9138" s="6">
        <v>470000000</v>
      </c>
      <c r="J9138" s="6" t="s">
        <v>229</v>
      </c>
      <c r="K9138" s="6" t="s">
        <v>10010</v>
      </c>
      <c r="L9138" s="6" t="s">
        <v>621</v>
      </c>
      <c r="M9138" s="6"/>
      <c r="N9138" s="6" t="s">
        <v>10011</v>
      </c>
      <c r="O9138" s="162" t="s">
        <v>19179</v>
      </c>
      <c r="P9138" s="6"/>
      <c r="Q9138" s="6"/>
      <c r="R9138" s="6"/>
      <c r="S9138" s="6"/>
      <c r="T9138" s="4">
        <v>792000</v>
      </c>
      <c r="U9138" s="6">
        <f t="shared" ref="U9138" si="676">T9138*1.12</f>
        <v>887040.00000000012</v>
      </c>
      <c r="V9138" s="6"/>
      <c r="W9138" s="6">
        <v>2014</v>
      </c>
      <c r="X9138" s="6"/>
    </row>
    <row r="9139" spans="1:24" ht="102">
      <c r="A9139" s="6" t="s">
        <v>15895</v>
      </c>
      <c r="B9139" s="56" t="s">
        <v>361</v>
      </c>
      <c r="C9139" s="16" t="s">
        <v>10006</v>
      </c>
      <c r="D9139" s="16" t="s">
        <v>10007</v>
      </c>
      <c r="E9139" s="16" t="s">
        <v>10008</v>
      </c>
      <c r="F9139" s="16" t="s">
        <v>15893</v>
      </c>
      <c r="G9139" s="198" t="s">
        <v>605</v>
      </c>
      <c r="H9139" s="67">
        <v>1</v>
      </c>
      <c r="I9139" s="16">
        <v>470000000</v>
      </c>
      <c r="J9139" s="16" t="s">
        <v>229</v>
      </c>
      <c r="K9139" s="56" t="s">
        <v>9377</v>
      </c>
      <c r="L9139" s="16" t="s">
        <v>15894</v>
      </c>
      <c r="M9139" s="79"/>
      <c r="N9139" s="6" t="s">
        <v>10033</v>
      </c>
      <c r="O9139" s="162" t="s">
        <v>10012</v>
      </c>
      <c r="P9139" s="79"/>
      <c r="Q9139" s="87"/>
      <c r="R9139" s="87"/>
      <c r="S9139" s="163"/>
      <c r="T9139" s="4">
        <v>0</v>
      </c>
      <c r="U9139" s="4">
        <f t="shared" si="659"/>
        <v>0</v>
      </c>
      <c r="V9139" s="79"/>
      <c r="W9139" s="242">
        <v>2014</v>
      </c>
      <c r="X9139" s="56">
        <v>15</v>
      </c>
    </row>
    <row r="9140" spans="1:24" ht="102">
      <c r="A9140" s="6" t="s">
        <v>19329</v>
      </c>
      <c r="B9140" s="56" t="s">
        <v>361</v>
      </c>
      <c r="C9140" s="16" t="s">
        <v>10006</v>
      </c>
      <c r="D9140" s="16" t="s">
        <v>10007</v>
      </c>
      <c r="E9140" s="16" t="s">
        <v>10008</v>
      </c>
      <c r="F9140" s="16" t="s">
        <v>15893</v>
      </c>
      <c r="G9140" s="198" t="s">
        <v>605</v>
      </c>
      <c r="H9140" s="67">
        <v>1</v>
      </c>
      <c r="I9140" s="16">
        <v>470000000</v>
      </c>
      <c r="J9140" s="16" t="s">
        <v>229</v>
      </c>
      <c r="K9140" s="56" t="s">
        <v>9377</v>
      </c>
      <c r="L9140" s="16" t="s">
        <v>15894</v>
      </c>
      <c r="M9140" s="79"/>
      <c r="N9140" s="6" t="s">
        <v>10033</v>
      </c>
      <c r="O9140" s="162" t="s">
        <v>19179</v>
      </c>
      <c r="P9140" s="79"/>
      <c r="Q9140" s="87"/>
      <c r="R9140" s="87"/>
      <c r="S9140" s="163"/>
      <c r="T9140" s="1">
        <v>134000</v>
      </c>
      <c r="U9140" s="1">
        <f t="shared" ref="U9140" si="677">T9140*1.12</f>
        <v>150080</v>
      </c>
      <c r="V9140" s="79"/>
      <c r="W9140" s="242">
        <v>2014</v>
      </c>
      <c r="X9140" s="56"/>
    </row>
    <row r="9141" spans="1:24" ht="102">
      <c r="A9141" s="6" t="s">
        <v>15897</v>
      </c>
      <c r="B9141" s="6" t="s">
        <v>361</v>
      </c>
      <c r="C9141" s="16" t="s">
        <v>10006</v>
      </c>
      <c r="D9141" s="16" t="s">
        <v>10007</v>
      </c>
      <c r="E9141" s="16" t="s">
        <v>10008</v>
      </c>
      <c r="F9141" s="6" t="s">
        <v>15896</v>
      </c>
      <c r="G9141" s="198" t="s">
        <v>605</v>
      </c>
      <c r="H9141" s="67">
        <v>1</v>
      </c>
      <c r="I9141" s="16">
        <v>470000000</v>
      </c>
      <c r="J9141" s="16" t="s">
        <v>229</v>
      </c>
      <c r="K9141" s="56" t="s">
        <v>9377</v>
      </c>
      <c r="L9141" s="16" t="s">
        <v>15894</v>
      </c>
      <c r="M9141" s="79"/>
      <c r="N9141" s="6" t="s">
        <v>10033</v>
      </c>
      <c r="O9141" s="162" t="s">
        <v>10012</v>
      </c>
      <c r="P9141" s="58"/>
      <c r="Q9141" s="31"/>
      <c r="R9141" s="216"/>
      <c r="S9141" s="59"/>
      <c r="T9141" s="4">
        <v>0</v>
      </c>
      <c r="U9141" s="4">
        <f t="shared" si="659"/>
        <v>0</v>
      </c>
      <c r="V9141" s="3"/>
      <c r="W9141" s="242">
        <v>2014</v>
      </c>
      <c r="X9141" s="3">
        <v>15</v>
      </c>
    </row>
    <row r="9142" spans="1:24" ht="102">
      <c r="A9142" s="6" t="s">
        <v>19330</v>
      </c>
      <c r="B9142" s="6" t="s">
        <v>361</v>
      </c>
      <c r="C9142" s="16" t="s">
        <v>10006</v>
      </c>
      <c r="D9142" s="16" t="s">
        <v>10007</v>
      </c>
      <c r="E9142" s="16" t="s">
        <v>10008</v>
      </c>
      <c r="F9142" s="6" t="s">
        <v>15896</v>
      </c>
      <c r="G9142" s="198" t="s">
        <v>605</v>
      </c>
      <c r="H9142" s="67">
        <v>1</v>
      </c>
      <c r="I9142" s="16">
        <v>470000000</v>
      </c>
      <c r="J9142" s="16" t="s">
        <v>229</v>
      </c>
      <c r="K9142" s="56" t="s">
        <v>9377</v>
      </c>
      <c r="L9142" s="16" t="s">
        <v>15894</v>
      </c>
      <c r="M9142" s="79"/>
      <c r="N9142" s="6" t="s">
        <v>10033</v>
      </c>
      <c r="O9142" s="162" t="s">
        <v>19179</v>
      </c>
      <c r="P9142" s="58"/>
      <c r="Q9142" s="31"/>
      <c r="R9142" s="216"/>
      <c r="S9142" s="59"/>
      <c r="T9142" s="1">
        <v>90000</v>
      </c>
      <c r="U9142" s="1">
        <f t="shared" ref="U9142" si="678">T9142*1.12</f>
        <v>100800.00000000001</v>
      </c>
      <c r="V9142" s="3"/>
      <c r="W9142" s="242">
        <v>2014</v>
      </c>
      <c r="X9142" s="158"/>
    </row>
    <row r="9143" spans="1:24" ht="76.5">
      <c r="A9143" s="6" t="s">
        <v>15900</v>
      </c>
      <c r="B9143" s="6" t="s">
        <v>361</v>
      </c>
      <c r="C9143" s="16" t="s">
        <v>9876</v>
      </c>
      <c r="D9143" s="16" t="s">
        <v>9877</v>
      </c>
      <c r="E9143" s="16" t="s">
        <v>9878</v>
      </c>
      <c r="F9143" s="16" t="s">
        <v>9879</v>
      </c>
      <c r="G9143" s="16" t="s">
        <v>11450</v>
      </c>
      <c r="H9143" s="54">
        <v>0.7</v>
      </c>
      <c r="I9143" s="16">
        <v>470000000</v>
      </c>
      <c r="J9143" s="16" t="s">
        <v>229</v>
      </c>
      <c r="K9143" s="6" t="s">
        <v>7699</v>
      </c>
      <c r="L9143" s="16" t="s">
        <v>15898</v>
      </c>
      <c r="M9143" s="3"/>
      <c r="N9143" s="6" t="s">
        <v>15899</v>
      </c>
      <c r="O9143" s="162" t="s">
        <v>9851</v>
      </c>
      <c r="P9143" s="58"/>
      <c r="Q9143" s="31"/>
      <c r="R9143" s="216"/>
      <c r="S9143" s="59"/>
      <c r="T9143" s="4">
        <v>0</v>
      </c>
      <c r="U9143" s="4">
        <f t="shared" si="659"/>
        <v>0</v>
      </c>
      <c r="V9143" s="3"/>
      <c r="W9143" s="242">
        <v>2014</v>
      </c>
      <c r="X9143" s="3">
        <v>7</v>
      </c>
    </row>
    <row r="9144" spans="1:24" ht="76.5">
      <c r="A9144" s="3" t="s">
        <v>16647</v>
      </c>
      <c r="B9144" s="6" t="s">
        <v>361</v>
      </c>
      <c r="C9144" s="16" t="s">
        <v>9876</v>
      </c>
      <c r="D9144" s="16" t="s">
        <v>9877</v>
      </c>
      <c r="E9144" s="16" t="s">
        <v>9878</v>
      </c>
      <c r="F9144" s="16" t="s">
        <v>9879</v>
      </c>
      <c r="G9144" s="16" t="s">
        <v>605</v>
      </c>
      <c r="H9144" s="54">
        <v>0.7</v>
      </c>
      <c r="I9144" s="16">
        <v>470000000</v>
      </c>
      <c r="J9144" s="16" t="s">
        <v>229</v>
      </c>
      <c r="K9144" s="6" t="s">
        <v>7699</v>
      </c>
      <c r="L9144" s="16" t="s">
        <v>15898</v>
      </c>
      <c r="M9144" s="3"/>
      <c r="N9144" s="6" t="s">
        <v>15899</v>
      </c>
      <c r="O9144" s="162" t="s">
        <v>9851</v>
      </c>
      <c r="P9144" s="58"/>
      <c r="Q9144" s="31"/>
      <c r="R9144" s="216"/>
      <c r="S9144" s="59"/>
      <c r="T9144" s="1">
        <v>330000</v>
      </c>
      <c r="U9144" s="1">
        <f t="shared" si="659"/>
        <v>369600.00000000006</v>
      </c>
      <c r="V9144" s="3"/>
      <c r="W9144" s="242">
        <v>2014</v>
      </c>
      <c r="X9144" s="158"/>
    </row>
    <row r="9145" spans="1:24" ht="89.25">
      <c r="A9145" s="6" t="s">
        <v>16548</v>
      </c>
      <c r="B9145" s="6" t="s">
        <v>361</v>
      </c>
      <c r="C9145" s="16" t="s">
        <v>9996</v>
      </c>
      <c r="D9145" s="16" t="s">
        <v>9997</v>
      </c>
      <c r="E9145" s="16" t="s">
        <v>9998</v>
      </c>
      <c r="F9145" s="6" t="s">
        <v>16549</v>
      </c>
      <c r="G9145" s="16" t="s">
        <v>11449</v>
      </c>
      <c r="H9145" s="54">
        <v>0.7</v>
      </c>
      <c r="I9145" s="16">
        <v>470000000</v>
      </c>
      <c r="J9145" s="16" t="s">
        <v>229</v>
      </c>
      <c r="K9145" s="6" t="s">
        <v>9041</v>
      </c>
      <c r="L9145" s="16" t="s">
        <v>15898</v>
      </c>
      <c r="M9145" s="3"/>
      <c r="N9145" s="6" t="s">
        <v>15899</v>
      </c>
      <c r="O9145" s="162" t="s">
        <v>16550</v>
      </c>
      <c r="P9145" s="58"/>
      <c r="Q9145" s="31"/>
      <c r="R9145" s="216"/>
      <c r="S9145" s="59"/>
      <c r="T9145" s="4">
        <v>0</v>
      </c>
      <c r="U9145" s="4">
        <f t="shared" si="659"/>
        <v>0</v>
      </c>
      <c r="V9145" s="3"/>
      <c r="W9145" s="242">
        <v>2014</v>
      </c>
      <c r="X9145" s="3">
        <v>11</v>
      </c>
    </row>
    <row r="9146" spans="1:24" ht="89.25">
      <c r="A9146" s="6" t="s">
        <v>18522</v>
      </c>
      <c r="B9146" s="6" t="s">
        <v>361</v>
      </c>
      <c r="C9146" s="16" t="s">
        <v>9996</v>
      </c>
      <c r="D9146" s="16" t="s">
        <v>9997</v>
      </c>
      <c r="E9146" s="16" t="s">
        <v>9998</v>
      </c>
      <c r="F9146" s="6" t="s">
        <v>16549</v>
      </c>
      <c r="G9146" s="16" t="s">
        <v>11449</v>
      </c>
      <c r="H9146" s="54">
        <v>0.7</v>
      </c>
      <c r="I9146" s="16">
        <v>470000000</v>
      </c>
      <c r="J9146" s="16" t="s">
        <v>229</v>
      </c>
      <c r="K9146" s="6" t="s">
        <v>9369</v>
      </c>
      <c r="L9146" s="16" t="s">
        <v>15898</v>
      </c>
      <c r="M9146" s="3"/>
      <c r="N9146" s="6" t="s">
        <v>15899</v>
      </c>
      <c r="O9146" s="162" t="s">
        <v>16550</v>
      </c>
      <c r="P9146" s="58"/>
      <c r="Q9146" s="31"/>
      <c r="R9146" s="216"/>
      <c r="S9146" s="59"/>
      <c r="T9146" s="1">
        <v>0</v>
      </c>
      <c r="U9146" s="1">
        <f t="shared" si="659"/>
        <v>0</v>
      </c>
      <c r="V9146" s="3"/>
      <c r="W9146" s="242">
        <v>2014</v>
      </c>
      <c r="X9146" s="3" t="s">
        <v>12076</v>
      </c>
    </row>
    <row r="9147" spans="1:24" ht="102">
      <c r="A9147" s="6" t="s">
        <v>16746</v>
      </c>
      <c r="B9147" s="6" t="s">
        <v>361</v>
      </c>
      <c r="C9147" s="16" t="s">
        <v>10006</v>
      </c>
      <c r="D9147" s="16" t="s">
        <v>10007</v>
      </c>
      <c r="E9147" s="16" t="s">
        <v>10008</v>
      </c>
      <c r="F9147" s="16" t="s">
        <v>16747</v>
      </c>
      <c r="G9147" s="198" t="s">
        <v>605</v>
      </c>
      <c r="H9147" s="67">
        <v>1</v>
      </c>
      <c r="I9147" s="16">
        <v>470000000</v>
      </c>
      <c r="J9147" s="16" t="s">
        <v>229</v>
      </c>
      <c r="K9147" s="56" t="s">
        <v>9793</v>
      </c>
      <c r="L9147" s="16" t="s">
        <v>621</v>
      </c>
      <c r="M9147" s="79"/>
      <c r="N9147" s="6" t="s">
        <v>15899</v>
      </c>
      <c r="O9147" s="162" t="s">
        <v>10012</v>
      </c>
      <c r="P9147" s="79"/>
      <c r="Q9147" s="87"/>
      <c r="R9147" s="87"/>
      <c r="S9147" s="59"/>
      <c r="T9147" s="4">
        <v>0</v>
      </c>
      <c r="U9147" s="4">
        <f t="shared" si="659"/>
        <v>0</v>
      </c>
      <c r="V9147" s="3"/>
      <c r="W9147" s="242">
        <v>2014</v>
      </c>
      <c r="X9147" s="3">
        <v>15</v>
      </c>
    </row>
    <row r="9148" spans="1:24" ht="102">
      <c r="A9148" s="6" t="s">
        <v>19331</v>
      </c>
      <c r="B9148" s="6" t="s">
        <v>361</v>
      </c>
      <c r="C9148" s="16" t="s">
        <v>10006</v>
      </c>
      <c r="D9148" s="16" t="s">
        <v>10007</v>
      </c>
      <c r="E9148" s="16" t="s">
        <v>10008</v>
      </c>
      <c r="F9148" s="16" t="s">
        <v>16747</v>
      </c>
      <c r="G9148" s="198" t="s">
        <v>605</v>
      </c>
      <c r="H9148" s="67">
        <v>1</v>
      </c>
      <c r="I9148" s="16">
        <v>470000000</v>
      </c>
      <c r="J9148" s="16" t="s">
        <v>229</v>
      </c>
      <c r="K9148" s="56" t="s">
        <v>9793</v>
      </c>
      <c r="L9148" s="16" t="s">
        <v>621</v>
      </c>
      <c r="M9148" s="79"/>
      <c r="N9148" s="6" t="s">
        <v>15899</v>
      </c>
      <c r="O9148" s="162" t="s">
        <v>19179</v>
      </c>
      <c r="P9148" s="79"/>
      <c r="Q9148" s="87"/>
      <c r="R9148" s="87"/>
      <c r="S9148" s="59"/>
      <c r="T9148" s="1">
        <v>37500</v>
      </c>
      <c r="U9148" s="1">
        <f t="shared" ref="U9148" si="679">T9148*1.12</f>
        <v>42000.000000000007</v>
      </c>
      <c r="V9148" s="3"/>
      <c r="W9148" s="242">
        <v>2014</v>
      </c>
      <c r="X9148" s="158"/>
    </row>
    <row r="9149" spans="1:24" ht="102">
      <c r="A9149" s="6" t="s">
        <v>17017</v>
      </c>
      <c r="B9149" s="6" t="s">
        <v>361</v>
      </c>
      <c r="C9149" s="16" t="s">
        <v>10006</v>
      </c>
      <c r="D9149" s="16" t="s">
        <v>10007</v>
      </c>
      <c r="E9149" s="16" t="s">
        <v>10008</v>
      </c>
      <c r="F9149" s="16" t="s">
        <v>17018</v>
      </c>
      <c r="G9149" s="198" t="s">
        <v>605</v>
      </c>
      <c r="H9149" s="67">
        <v>1</v>
      </c>
      <c r="I9149" s="16">
        <v>470000000</v>
      </c>
      <c r="J9149" s="16" t="s">
        <v>229</v>
      </c>
      <c r="K9149" s="56" t="s">
        <v>9780</v>
      </c>
      <c r="L9149" s="16" t="s">
        <v>621</v>
      </c>
      <c r="M9149" s="79"/>
      <c r="N9149" s="6" t="s">
        <v>15899</v>
      </c>
      <c r="O9149" s="162" t="s">
        <v>10012</v>
      </c>
      <c r="P9149" s="79"/>
      <c r="Q9149" s="87"/>
      <c r="R9149" s="87"/>
      <c r="S9149" s="59"/>
      <c r="T9149" s="4">
        <v>0</v>
      </c>
      <c r="U9149" s="4">
        <f t="shared" si="659"/>
        <v>0</v>
      </c>
      <c r="V9149" s="3"/>
      <c r="W9149" s="242">
        <v>2014</v>
      </c>
      <c r="X9149" s="3">
        <v>11</v>
      </c>
    </row>
    <row r="9150" spans="1:24" ht="102">
      <c r="A9150" s="6" t="s">
        <v>18728</v>
      </c>
      <c r="B9150" s="6" t="s">
        <v>361</v>
      </c>
      <c r="C9150" s="16" t="s">
        <v>10006</v>
      </c>
      <c r="D9150" s="16" t="s">
        <v>10007</v>
      </c>
      <c r="E9150" s="16" t="s">
        <v>10008</v>
      </c>
      <c r="F9150" s="16" t="s">
        <v>17018</v>
      </c>
      <c r="G9150" s="198" t="s">
        <v>605</v>
      </c>
      <c r="H9150" s="67">
        <v>1</v>
      </c>
      <c r="I9150" s="16">
        <v>470000000</v>
      </c>
      <c r="J9150" s="16" t="s">
        <v>229</v>
      </c>
      <c r="K9150" s="56" t="s">
        <v>9369</v>
      </c>
      <c r="L9150" s="16" t="s">
        <v>621</v>
      </c>
      <c r="M9150" s="79"/>
      <c r="N9150" s="6" t="s">
        <v>15899</v>
      </c>
      <c r="O9150" s="162" t="s">
        <v>10012</v>
      </c>
      <c r="P9150" s="79"/>
      <c r="Q9150" s="87"/>
      <c r="R9150" s="87"/>
      <c r="S9150" s="59"/>
      <c r="T9150" s="4">
        <v>0</v>
      </c>
      <c r="U9150" s="4">
        <f t="shared" si="659"/>
        <v>0</v>
      </c>
      <c r="V9150" s="3"/>
      <c r="W9150" s="242">
        <v>2014</v>
      </c>
      <c r="X9150" s="3">
        <v>15</v>
      </c>
    </row>
    <row r="9151" spans="1:24" ht="102">
      <c r="A9151" s="6" t="s">
        <v>19332</v>
      </c>
      <c r="B9151" s="6" t="s">
        <v>361</v>
      </c>
      <c r="C9151" s="16" t="s">
        <v>10006</v>
      </c>
      <c r="D9151" s="16" t="s">
        <v>10007</v>
      </c>
      <c r="E9151" s="16" t="s">
        <v>10008</v>
      </c>
      <c r="F9151" s="16" t="s">
        <v>17018</v>
      </c>
      <c r="G9151" s="198" t="s">
        <v>605</v>
      </c>
      <c r="H9151" s="67">
        <v>1</v>
      </c>
      <c r="I9151" s="16">
        <v>470000000</v>
      </c>
      <c r="J9151" s="16" t="s">
        <v>229</v>
      </c>
      <c r="K9151" s="56" t="s">
        <v>9369</v>
      </c>
      <c r="L9151" s="16" t="s">
        <v>621</v>
      </c>
      <c r="M9151" s="79"/>
      <c r="N9151" s="6" t="s">
        <v>15899</v>
      </c>
      <c r="O9151" s="162" t="s">
        <v>19179</v>
      </c>
      <c r="P9151" s="79"/>
      <c r="Q9151" s="87"/>
      <c r="R9151" s="87"/>
      <c r="S9151" s="59"/>
      <c r="T9151" s="1">
        <v>100000</v>
      </c>
      <c r="U9151" s="1">
        <f t="shared" ref="U9151" si="680">T9151*1.12</f>
        <v>112000.00000000001</v>
      </c>
      <c r="V9151" s="3"/>
      <c r="W9151" s="242">
        <v>2014</v>
      </c>
      <c r="X9151" s="158"/>
    </row>
    <row r="9152" spans="1:24" ht="102">
      <c r="A9152" s="6" t="s">
        <v>17019</v>
      </c>
      <c r="B9152" s="6" t="s">
        <v>361</v>
      </c>
      <c r="C9152" s="16" t="s">
        <v>10006</v>
      </c>
      <c r="D9152" s="16" t="s">
        <v>10007</v>
      </c>
      <c r="E9152" s="16" t="s">
        <v>10008</v>
      </c>
      <c r="F9152" s="6" t="s">
        <v>17020</v>
      </c>
      <c r="G9152" s="198" t="s">
        <v>605</v>
      </c>
      <c r="H9152" s="67">
        <v>1</v>
      </c>
      <c r="I9152" s="16">
        <v>470000000</v>
      </c>
      <c r="J9152" s="16" t="s">
        <v>229</v>
      </c>
      <c r="K9152" s="56" t="s">
        <v>366</v>
      </c>
      <c r="L9152" s="16" t="s">
        <v>621</v>
      </c>
      <c r="M9152" s="79"/>
      <c r="N9152" s="6" t="s">
        <v>18410</v>
      </c>
      <c r="O9152" s="162" t="s">
        <v>10012</v>
      </c>
      <c r="P9152" s="79"/>
      <c r="Q9152" s="87"/>
      <c r="R9152" s="87"/>
      <c r="S9152" s="59"/>
      <c r="T9152" s="4">
        <v>0</v>
      </c>
      <c r="U9152" s="4">
        <f t="shared" si="659"/>
        <v>0</v>
      </c>
      <c r="V9152" s="3"/>
      <c r="W9152" s="242">
        <v>2014</v>
      </c>
      <c r="X9152" s="3">
        <v>15</v>
      </c>
    </row>
    <row r="9153" spans="1:24" ht="102">
      <c r="A9153" s="6" t="s">
        <v>19333</v>
      </c>
      <c r="B9153" s="6" t="s">
        <v>361</v>
      </c>
      <c r="C9153" s="16" t="s">
        <v>10006</v>
      </c>
      <c r="D9153" s="16" t="s">
        <v>10007</v>
      </c>
      <c r="E9153" s="16" t="s">
        <v>10008</v>
      </c>
      <c r="F9153" s="6" t="s">
        <v>17020</v>
      </c>
      <c r="G9153" s="198" t="s">
        <v>605</v>
      </c>
      <c r="H9153" s="67">
        <v>1</v>
      </c>
      <c r="I9153" s="16">
        <v>470000000</v>
      </c>
      <c r="J9153" s="16" t="s">
        <v>229</v>
      </c>
      <c r="K9153" s="56" t="s">
        <v>366</v>
      </c>
      <c r="L9153" s="16" t="s">
        <v>621</v>
      </c>
      <c r="M9153" s="79"/>
      <c r="N9153" s="6" t="s">
        <v>18410</v>
      </c>
      <c r="O9153" s="162" t="s">
        <v>19179</v>
      </c>
      <c r="P9153" s="79"/>
      <c r="Q9153" s="87"/>
      <c r="R9153" s="87"/>
      <c r="S9153" s="59"/>
      <c r="T9153" s="1">
        <v>644000</v>
      </c>
      <c r="U9153" s="1">
        <f t="shared" ref="U9153" si="681">T9153*1.12</f>
        <v>721280.00000000012</v>
      </c>
      <c r="V9153" s="3"/>
      <c r="W9153" s="242">
        <v>2014</v>
      </c>
      <c r="X9153" s="158"/>
    </row>
    <row r="9154" spans="1:24" ht="102">
      <c r="A9154" s="6" t="s">
        <v>17021</v>
      </c>
      <c r="B9154" s="6" t="s">
        <v>361</v>
      </c>
      <c r="C9154" s="16" t="s">
        <v>10006</v>
      </c>
      <c r="D9154" s="16" t="s">
        <v>10007</v>
      </c>
      <c r="E9154" s="16" t="s">
        <v>10008</v>
      </c>
      <c r="F9154" s="6" t="s">
        <v>17022</v>
      </c>
      <c r="G9154" s="198" t="s">
        <v>605</v>
      </c>
      <c r="H9154" s="67">
        <v>1</v>
      </c>
      <c r="I9154" s="16">
        <v>470000000</v>
      </c>
      <c r="J9154" s="16" t="s">
        <v>229</v>
      </c>
      <c r="K9154" s="56" t="s">
        <v>9369</v>
      </c>
      <c r="L9154" s="16" t="s">
        <v>621</v>
      </c>
      <c r="M9154" s="79"/>
      <c r="N9154" s="6" t="s">
        <v>15899</v>
      </c>
      <c r="O9154" s="162" t="s">
        <v>10012</v>
      </c>
      <c r="P9154" s="79"/>
      <c r="Q9154" s="87"/>
      <c r="R9154" s="87"/>
      <c r="S9154" s="59"/>
      <c r="T9154" s="4">
        <v>0</v>
      </c>
      <c r="U9154" s="4">
        <f t="shared" si="659"/>
        <v>0</v>
      </c>
      <c r="V9154" s="3"/>
      <c r="W9154" s="242">
        <v>2014</v>
      </c>
      <c r="X9154" s="3">
        <v>6.11</v>
      </c>
    </row>
    <row r="9155" spans="1:24" ht="102">
      <c r="A9155" s="6" t="s">
        <v>18420</v>
      </c>
      <c r="B9155" s="6" t="s">
        <v>361</v>
      </c>
      <c r="C9155" s="16" t="s">
        <v>10006</v>
      </c>
      <c r="D9155" s="16" t="s">
        <v>10007</v>
      </c>
      <c r="E9155" s="16" t="s">
        <v>10008</v>
      </c>
      <c r="F9155" s="6" t="s">
        <v>18421</v>
      </c>
      <c r="G9155" s="198" t="s">
        <v>605</v>
      </c>
      <c r="H9155" s="67">
        <v>1</v>
      </c>
      <c r="I9155" s="16">
        <v>470000000</v>
      </c>
      <c r="J9155" s="16" t="s">
        <v>229</v>
      </c>
      <c r="K9155" s="56" t="s">
        <v>9041</v>
      </c>
      <c r="L9155" s="16" t="s">
        <v>621</v>
      </c>
      <c r="M9155" s="79"/>
      <c r="N9155" s="6" t="s">
        <v>15899</v>
      </c>
      <c r="O9155" s="162" t="s">
        <v>10012</v>
      </c>
      <c r="P9155" s="79"/>
      <c r="Q9155" s="87"/>
      <c r="R9155" s="87"/>
      <c r="S9155" s="59"/>
      <c r="T9155" s="4">
        <v>0</v>
      </c>
      <c r="U9155" s="4">
        <f t="shared" si="659"/>
        <v>0</v>
      </c>
      <c r="V9155" s="3"/>
      <c r="W9155" s="242">
        <v>2014</v>
      </c>
      <c r="X9155" s="3">
        <v>15</v>
      </c>
    </row>
    <row r="9156" spans="1:24" ht="102">
      <c r="A9156" s="6" t="s">
        <v>19334</v>
      </c>
      <c r="B9156" s="6" t="s">
        <v>361</v>
      </c>
      <c r="C9156" s="16" t="s">
        <v>10006</v>
      </c>
      <c r="D9156" s="16" t="s">
        <v>10007</v>
      </c>
      <c r="E9156" s="16" t="s">
        <v>10008</v>
      </c>
      <c r="F9156" s="6" t="s">
        <v>18421</v>
      </c>
      <c r="G9156" s="198" t="s">
        <v>605</v>
      </c>
      <c r="H9156" s="67">
        <v>1</v>
      </c>
      <c r="I9156" s="16">
        <v>470000000</v>
      </c>
      <c r="J9156" s="16" t="s">
        <v>229</v>
      </c>
      <c r="K9156" s="56" t="s">
        <v>9041</v>
      </c>
      <c r="L9156" s="16" t="s">
        <v>621</v>
      </c>
      <c r="M9156" s="79"/>
      <c r="N9156" s="6" t="s">
        <v>15899</v>
      </c>
      <c r="O9156" s="162" t="s">
        <v>19179</v>
      </c>
      <c r="P9156" s="79"/>
      <c r="Q9156" s="87"/>
      <c r="R9156" s="87"/>
      <c r="S9156" s="59"/>
      <c r="T9156" s="1">
        <v>200000</v>
      </c>
      <c r="U9156" s="1">
        <f t="shared" ref="U9156" si="682">T9156*1.12</f>
        <v>224000.00000000003</v>
      </c>
      <c r="V9156" s="3"/>
      <c r="W9156" s="242">
        <v>2014</v>
      </c>
      <c r="X9156" s="158"/>
    </row>
    <row r="9157" spans="1:24" ht="102">
      <c r="A9157" s="6" t="s">
        <v>17023</v>
      </c>
      <c r="B9157" s="6" t="s">
        <v>361</v>
      </c>
      <c r="C9157" s="16" t="s">
        <v>10006</v>
      </c>
      <c r="D9157" s="16" t="s">
        <v>10007</v>
      </c>
      <c r="E9157" s="16" t="s">
        <v>10008</v>
      </c>
      <c r="F9157" s="6" t="s">
        <v>18374</v>
      </c>
      <c r="G9157" s="198" t="s">
        <v>605</v>
      </c>
      <c r="H9157" s="67">
        <v>1</v>
      </c>
      <c r="I9157" s="16">
        <v>470000000</v>
      </c>
      <c r="J9157" s="16" t="s">
        <v>229</v>
      </c>
      <c r="K9157" s="56" t="s">
        <v>8950</v>
      </c>
      <c r="L9157" s="16" t="s">
        <v>18353</v>
      </c>
      <c r="M9157" s="79"/>
      <c r="N9157" s="65" t="s">
        <v>10060</v>
      </c>
      <c r="O9157" s="162" t="s">
        <v>10012</v>
      </c>
      <c r="P9157" s="79"/>
      <c r="Q9157" s="87"/>
      <c r="R9157" s="87"/>
      <c r="S9157" s="59"/>
      <c r="T9157" s="4">
        <v>0</v>
      </c>
      <c r="U9157" s="4">
        <f t="shared" si="659"/>
        <v>0</v>
      </c>
      <c r="V9157" s="3"/>
      <c r="W9157" s="242">
        <v>2014</v>
      </c>
      <c r="X9157" s="3">
        <v>20.21</v>
      </c>
    </row>
    <row r="9158" spans="1:24" ht="102">
      <c r="A9158" s="6" t="s">
        <v>18401</v>
      </c>
      <c r="B9158" s="6" t="s">
        <v>361</v>
      </c>
      <c r="C9158" s="16" t="s">
        <v>10006</v>
      </c>
      <c r="D9158" s="314" t="s">
        <v>10007</v>
      </c>
      <c r="E9158" s="314" t="s">
        <v>10008</v>
      </c>
      <c r="F9158" s="315" t="s">
        <v>18374</v>
      </c>
      <c r="G9158" s="316" t="s">
        <v>605</v>
      </c>
      <c r="H9158" s="317">
        <v>1</v>
      </c>
      <c r="I9158" s="314">
        <v>470000000</v>
      </c>
      <c r="J9158" s="16" t="s">
        <v>229</v>
      </c>
      <c r="K9158" s="56" t="s">
        <v>8950</v>
      </c>
      <c r="L9158" s="16" t="s">
        <v>18353</v>
      </c>
      <c r="M9158" s="79"/>
      <c r="N9158" s="65" t="s">
        <v>10060</v>
      </c>
      <c r="O9158" s="162" t="s">
        <v>10012</v>
      </c>
      <c r="P9158" s="79"/>
      <c r="Q9158" s="87"/>
      <c r="R9158" s="87"/>
      <c r="S9158" s="59"/>
      <c r="T9158" s="4">
        <v>0</v>
      </c>
      <c r="U9158" s="4">
        <f t="shared" si="659"/>
        <v>0</v>
      </c>
      <c r="V9158" s="3"/>
      <c r="W9158" s="242">
        <v>2014</v>
      </c>
      <c r="X9158" s="3">
        <v>15</v>
      </c>
    </row>
    <row r="9159" spans="1:24" ht="102">
      <c r="A9159" s="6" t="s">
        <v>19335</v>
      </c>
      <c r="B9159" s="6" t="s">
        <v>361</v>
      </c>
      <c r="C9159" s="16" t="s">
        <v>10006</v>
      </c>
      <c r="D9159" s="314" t="s">
        <v>10007</v>
      </c>
      <c r="E9159" s="314" t="s">
        <v>10008</v>
      </c>
      <c r="F9159" s="315" t="s">
        <v>18374</v>
      </c>
      <c r="G9159" s="316" t="s">
        <v>605</v>
      </c>
      <c r="H9159" s="317">
        <v>1</v>
      </c>
      <c r="I9159" s="314">
        <v>470000000</v>
      </c>
      <c r="J9159" s="16" t="s">
        <v>229</v>
      </c>
      <c r="K9159" s="56" t="s">
        <v>8950</v>
      </c>
      <c r="L9159" s="16" t="s">
        <v>18353</v>
      </c>
      <c r="M9159" s="79"/>
      <c r="N9159" s="65" t="s">
        <v>10060</v>
      </c>
      <c r="O9159" s="162" t="s">
        <v>19179</v>
      </c>
      <c r="P9159" s="79"/>
      <c r="Q9159" s="87"/>
      <c r="R9159" s="87"/>
      <c r="S9159" s="59"/>
      <c r="T9159" s="1">
        <v>100893</v>
      </c>
      <c r="U9159" s="1">
        <f t="shared" ref="U9159" si="683">T9159*1.12</f>
        <v>113000.16</v>
      </c>
      <c r="V9159" s="3"/>
      <c r="W9159" s="242">
        <v>2014</v>
      </c>
      <c r="X9159" s="158"/>
    </row>
    <row r="9160" spans="1:24" ht="102">
      <c r="A9160" s="6" t="s">
        <v>17025</v>
      </c>
      <c r="B9160" s="6" t="s">
        <v>361</v>
      </c>
      <c r="C9160" s="16" t="s">
        <v>10006</v>
      </c>
      <c r="D9160" s="16" t="s">
        <v>10007</v>
      </c>
      <c r="E9160" s="16" t="s">
        <v>10008</v>
      </c>
      <c r="F9160" s="16" t="s">
        <v>18358</v>
      </c>
      <c r="G9160" s="198" t="s">
        <v>605</v>
      </c>
      <c r="H9160" s="67">
        <v>1</v>
      </c>
      <c r="I9160" s="16">
        <v>470000000</v>
      </c>
      <c r="J9160" s="16" t="s">
        <v>229</v>
      </c>
      <c r="K9160" s="56" t="s">
        <v>8950</v>
      </c>
      <c r="L9160" s="16" t="s">
        <v>17024</v>
      </c>
      <c r="M9160" s="79"/>
      <c r="N9160" s="65" t="s">
        <v>10060</v>
      </c>
      <c r="O9160" s="162" t="s">
        <v>10012</v>
      </c>
      <c r="P9160" s="79"/>
      <c r="Q9160" s="87"/>
      <c r="R9160" s="87"/>
      <c r="S9160" s="59"/>
      <c r="T9160" s="4">
        <v>0</v>
      </c>
      <c r="U9160" s="4">
        <f t="shared" si="659"/>
        <v>0</v>
      </c>
      <c r="V9160" s="3"/>
      <c r="W9160" s="242">
        <v>2014</v>
      </c>
      <c r="X9160" s="3">
        <v>20.21</v>
      </c>
    </row>
    <row r="9161" spans="1:24" ht="102">
      <c r="A9161" s="6" t="s">
        <v>18402</v>
      </c>
      <c r="B9161" s="6" t="s">
        <v>361</v>
      </c>
      <c r="C9161" s="16" t="s">
        <v>10006</v>
      </c>
      <c r="D9161" s="16" t="s">
        <v>10007</v>
      </c>
      <c r="E9161" s="16" t="s">
        <v>10008</v>
      </c>
      <c r="F9161" s="16" t="s">
        <v>18358</v>
      </c>
      <c r="G9161" s="198" t="s">
        <v>605</v>
      </c>
      <c r="H9161" s="67">
        <v>1</v>
      </c>
      <c r="I9161" s="16">
        <v>470000000</v>
      </c>
      <c r="J9161" s="16" t="s">
        <v>229</v>
      </c>
      <c r="K9161" s="56" t="s">
        <v>8950</v>
      </c>
      <c r="L9161" s="16" t="s">
        <v>17024</v>
      </c>
      <c r="M9161" s="79"/>
      <c r="N9161" s="65" t="s">
        <v>10060</v>
      </c>
      <c r="O9161" s="162" t="s">
        <v>10012</v>
      </c>
      <c r="P9161" s="79"/>
      <c r="Q9161" s="87"/>
      <c r="R9161" s="87"/>
      <c r="S9161" s="59"/>
      <c r="T9161" s="4">
        <v>0</v>
      </c>
      <c r="U9161" s="4">
        <f t="shared" si="659"/>
        <v>0</v>
      </c>
      <c r="V9161" s="3"/>
      <c r="W9161" s="242">
        <v>2014</v>
      </c>
      <c r="X9161" s="3">
        <v>15</v>
      </c>
    </row>
    <row r="9162" spans="1:24" ht="102">
      <c r="A9162" s="6" t="s">
        <v>19336</v>
      </c>
      <c r="B9162" s="6" t="s">
        <v>361</v>
      </c>
      <c r="C9162" s="16" t="s">
        <v>10006</v>
      </c>
      <c r="D9162" s="16" t="s">
        <v>10007</v>
      </c>
      <c r="E9162" s="16" t="s">
        <v>10008</v>
      </c>
      <c r="F9162" s="16" t="s">
        <v>18358</v>
      </c>
      <c r="G9162" s="198" t="s">
        <v>605</v>
      </c>
      <c r="H9162" s="67">
        <v>1</v>
      </c>
      <c r="I9162" s="16">
        <v>470000000</v>
      </c>
      <c r="J9162" s="16" t="s">
        <v>229</v>
      </c>
      <c r="K9162" s="56" t="s">
        <v>8950</v>
      </c>
      <c r="L9162" s="16" t="s">
        <v>17024</v>
      </c>
      <c r="M9162" s="79"/>
      <c r="N9162" s="65" t="s">
        <v>10060</v>
      </c>
      <c r="O9162" s="162" t="s">
        <v>19179</v>
      </c>
      <c r="P9162" s="79"/>
      <c r="Q9162" s="87"/>
      <c r="R9162" s="87"/>
      <c r="S9162" s="59"/>
      <c r="T9162" s="1">
        <v>42857</v>
      </c>
      <c r="U9162" s="1">
        <f t="shared" ref="U9162" si="684">T9162*1.12</f>
        <v>47999.840000000004</v>
      </c>
      <c r="V9162" s="3"/>
      <c r="W9162" s="242">
        <v>2014</v>
      </c>
      <c r="X9162" s="158"/>
    </row>
    <row r="9163" spans="1:24" ht="63.75">
      <c r="A9163" s="6" t="s">
        <v>17029</v>
      </c>
      <c r="B9163" s="6" t="s">
        <v>361</v>
      </c>
      <c r="C9163" s="6" t="s">
        <v>9706</v>
      </c>
      <c r="D9163" s="5" t="s">
        <v>9707</v>
      </c>
      <c r="E9163" s="6" t="s">
        <v>9707</v>
      </c>
      <c r="F9163" s="6" t="s">
        <v>17030</v>
      </c>
      <c r="G9163" s="6" t="s">
        <v>14116</v>
      </c>
      <c r="H9163" s="54">
        <v>0.5</v>
      </c>
      <c r="I9163" s="16">
        <v>470000000</v>
      </c>
      <c r="J9163" s="16" t="s">
        <v>229</v>
      </c>
      <c r="K9163" s="64" t="s">
        <v>8950</v>
      </c>
      <c r="L9163" s="16" t="s">
        <v>9729</v>
      </c>
      <c r="M9163" s="3"/>
      <c r="N9163" s="65" t="s">
        <v>9454</v>
      </c>
      <c r="O9163" s="78" t="s">
        <v>9716</v>
      </c>
      <c r="P9163" s="79"/>
      <c r="Q9163" s="87"/>
      <c r="R9163" s="87"/>
      <c r="S9163" s="59"/>
      <c r="T9163" s="4">
        <v>0</v>
      </c>
      <c r="U9163" s="4">
        <f t="shared" si="659"/>
        <v>0</v>
      </c>
      <c r="V9163" s="3"/>
      <c r="W9163" s="242">
        <v>2014</v>
      </c>
      <c r="X9163" s="3">
        <v>11</v>
      </c>
    </row>
    <row r="9164" spans="1:24" ht="63.75">
      <c r="A9164" s="6" t="s">
        <v>19039</v>
      </c>
      <c r="B9164" s="6" t="s">
        <v>361</v>
      </c>
      <c r="C9164" s="6" t="s">
        <v>9706</v>
      </c>
      <c r="D9164" s="5" t="s">
        <v>9707</v>
      </c>
      <c r="E9164" s="6" t="s">
        <v>9707</v>
      </c>
      <c r="F9164" s="6" t="s">
        <v>17030</v>
      </c>
      <c r="G9164" s="6" t="s">
        <v>14116</v>
      </c>
      <c r="H9164" s="54">
        <v>0.5</v>
      </c>
      <c r="I9164" s="16">
        <v>470000000</v>
      </c>
      <c r="J9164" s="16" t="s">
        <v>229</v>
      </c>
      <c r="K9164" s="64" t="s">
        <v>9369</v>
      </c>
      <c r="L9164" s="16" t="s">
        <v>9729</v>
      </c>
      <c r="M9164" s="3"/>
      <c r="N9164" s="65" t="s">
        <v>9454</v>
      </c>
      <c r="O9164" s="78" t="s">
        <v>9716</v>
      </c>
      <c r="P9164" s="79"/>
      <c r="Q9164" s="87"/>
      <c r="R9164" s="87"/>
      <c r="S9164" s="59"/>
      <c r="T9164" s="4">
        <v>0</v>
      </c>
      <c r="U9164" s="4">
        <f t="shared" ref="U9164" si="685">T9164*1.12</f>
        <v>0</v>
      </c>
      <c r="V9164" s="3"/>
      <c r="W9164" s="242">
        <v>2014</v>
      </c>
      <c r="X9164" s="3" t="s">
        <v>11822</v>
      </c>
    </row>
    <row r="9165" spans="1:24" ht="63.75">
      <c r="A9165" s="6" t="s">
        <v>19356</v>
      </c>
      <c r="B9165" s="6" t="s">
        <v>361</v>
      </c>
      <c r="C9165" s="6" t="s">
        <v>9706</v>
      </c>
      <c r="D9165" s="5" t="s">
        <v>9707</v>
      </c>
      <c r="E9165" s="6" t="s">
        <v>9707</v>
      </c>
      <c r="F9165" s="6" t="s">
        <v>17030</v>
      </c>
      <c r="G9165" s="6" t="s">
        <v>14116</v>
      </c>
      <c r="H9165" s="54">
        <v>0.5</v>
      </c>
      <c r="I9165" s="16">
        <v>470000000</v>
      </c>
      <c r="J9165" s="16" t="s">
        <v>229</v>
      </c>
      <c r="K9165" s="64" t="s">
        <v>18437</v>
      </c>
      <c r="L9165" s="16" t="s">
        <v>9729</v>
      </c>
      <c r="M9165" s="3"/>
      <c r="N9165" s="65" t="s">
        <v>9454</v>
      </c>
      <c r="O9165" s="78" t="s">
        <v>9716</v>
      </c>
      <c r="P9165" s="79"/>
      <c r="Q9165" s="87"/>
      <c r="R9165" s="87"/>
      <c r="S9165" s="59"/>
      <c r="T9165" s="1">
        <v>11165000</v>
      </c>
      <c r="U9165" s="1">
        <f t="shared" ref="U9165" si="686">T9165*1.12</f>
        <v>12504800.000000002</v>
      </c>
      <c r="V9165" s="3"/>
      <c r="W9165" s="242">
        <v>2014</v>
      </c>
      <c r="X9165" s="158"/>
    </row>
    <row r="9166" spans="1:24" ht="102">
      <c r="A9166" s="6" t="s">
        <v>17907</v>
      </c>
      <c r="B9166" s="6" t="s">
        <v>361</v>
      </c>
      <c r="C9166" s="16" t="s">
        <v>10006</v>
      </c>
      <c r="D9166" s="16" t="s">
        <v>10007</v>
      </c>
      <c r="E9166" s="16" t="s">
        <v>10008</v>
      </c>
      <c r="F9166" s="16" t="s">
        <v>18178</v>
      </c>
      <c r="G9166" s="198" t="s">
        <v>605</v>
      </c>
      <c r="H9166" s="67">
        <v>1</v>
      </c>
      <c r="I9166" s="16">
        <v>470000000</v>
      </c>
      <c r="J9166" s="16" t="s">
        <v>229</v>
      </c>
      <c r="K9166" s="56" t="s">
        <v>9780</v>
      </c>
      <c r="L9166" s="16" t="s">
        <v>17024</v>
      </c>
      <c r="M9166" s="79"/>
      <c r="N9166" s="65" t="s">
        <v>17908</v>
      </c>
      <c r="O9166" s="162" t="s">
        <v>10012</v>
      </c>
      <c r="P9166" s="79"/>
      <c r="Q9166" s="87"/>
      <c r="R9166" s="87"/>
      <c r="S9166" s="59"/>
      <c r="T9166" s="4">
        <v>0</v>
      </c>
      <c r="U9166" s="4">
        <f t="shared" si="659"/>
        <v>0</v>
      </c>
      <c r="V9166" s="3"/>
      <c r="W9166" s="242">
        <v>2014</v>
      </c>
      <c r="X9166" s="3">
        <v>15</v>
      </c>
    </row>
    <row r="9167" spans="1:24" ht="102">
      <c r="A9167" s="6" t="s">
        <v>19337</v>
      </c>
      <c r="B9167" s="6" t="s">
        <v>361</v>
      </c>
      <c r="C9167" s="16" t="s">
        <v>10006</v>
      </c>
      <c r="D9167" s="16" t="s">
        <v>10007</v>
      </c>
      <c r="E9167" s="16" t="s">
        <v>10008</v>
      </c>
      <c r="F9167" s="16" t="s">
        <v>18178</v>
      </c>
      <c r="G9167" s="198" t="s">
        <v>605</v>
      </c>
      <c r="H9167" s="67">
        <v>1</v>
      </c>
      <c r="I9167" s="16">
        <v>470000000</v>
      </c>
      <c r="J9167" s="16" t="s">
        <v>229</v>
      </c>
      <c r="K9167" s="56" t="s">
        <v>9780</v>
      </c>
      <c r="L9167" s="16" t="s">
        <v>17024</v>
      </c>
      <c r="M9167" s="79"/>
      <c r="N9167" s="65" t="s">
        <v>17908</v>
      </c>
      <c r="O9167" s="162" t="s">
        <v>19179</v>
      </c>
      <c r="P9167" s="79"/>
      <c r="Q9167" s="87"/>
      <c r="R9167" s="87"/>
      <c r="S9167" s="59"/>
      <c r="T9167" s="1">
        <v>152276.79</v>
      </c>
      <c r="U9167" s="1">
        <f t="shared" ref="U9167" si="687">T9167*1.12</f>
        <v>170550.00480000002</v>
      </c>
      <c r="V9167" s="3"/>
      <c r="W9167" s="242">
        <v>2014</v>
      </c>
      <c r="X9167" s="158"/>
    </row>
    <row r="9168" spans="1:24" ht="102">
      <c r="A9168" s="6" t="s">
        <v>18064</v>
      </c>
      <c r="B9168" s="6" t="s">
        <v>361</v>
      </c>
      <c r="C9168" s="16" t="s">
        <v>18065</v>
      </c>
      <c r="D9168" s="16" t="s">
        <v>18066</v>
      </c>
      <c r="E9168" s="16" t="s">
        <v>18066</v>
      </c>
      <c r="F9168" s="16" t="s">
        <v>18286</v>
      </c>
      <c r="G9168" s="198" t="s">
        <v>605</v>
      </c>
      <c r="H9168" s="67">
        <v>1</v>
      </c>
      <c r="I9168" s="16">
        <v>470000000</v>
      </c>
      <c r="J9168" s="16" t="s">
        <v>229</v>
      </c>
      <c r="K9168" s="56" t="s">
        <v>9780</v>
      </c>
      <c r="L9168" s="16" t="s">
        <v>18067</v>
      </c>
      <c r="M9168" s="79"/>
      <c r="N9168" s="65" t="s">
        <v>528</v>
      </c>
      <c r="O9168" s="78" t="s">
        <v>18200</v>
      </c>
      <c r="P9168" s="79"/>
      <c r="Q9168" s="87"/>
      <c r="R9168" s="87"/>
      <c r="S9168" s="59"/>
      <c r="T9168" s="1">
        <v>1500000</v>
      </c>
      <c r="U9168" s="1">
        <f t="shared" si="659"/>
        <v>1680000.0000000002</v>
      </c>
      <c r="V9168" s="3"/>
      <c r="W9168" s="242">
        <v>2014</v>
      </c>
      <c r="X9168" s="158"/>
    </row>
    <row r="9169" spans="1:24" ht="63.75">
      <c r="A9169" s="6" t="s">
        <v>18175</v>
      </c>
      <c r="B9169" s="6" t="s">
        <v>361</v>
      </c>
      <c r="C9169" s="6" t="s">
        <v>18176</v>
      </c>
      <c r="D9169" s="6" t="s">
        <v>18177</v>
      </c>
      <c r="E9169" s="6" t="s">
        <v>18177</v>
      </c>
      <c r="F9169" s="16" t="s">
        <v>18287</v>
      </c>
      <c r="G9169" s="198" t="s">
        <v>11450</v>
      </c>
      <c r="H9169" s="67">
        <v>1</v>
      </c>
      <c r="I9169" s="16">
        <v>470000000</v>
      </c>
      <c r="J9169" s="16" t="s">
        <v>229</v>
      </c>
      <c r="K9169" s="56" t="s">
        <v>9041</v>
      </c>
      <c r="L9169" s="16" t="s">
        <v>18067</v>
      </c>
      <c r="M9169" s="79"/>
      <c r="N9169" s="65" t="s">
        <v>18243</v>
      </c>
      <c r="O9169" s="78" t="s">
        <v>18200</v>
      </c>
      <c r="P9169" s="79"/>
      <c r="Q9169" s="87"/>
      <c r="R9169" s="87"/>
      <c r="S9169" s="59"/>
      <c r="T9169" s="1">
        <v>7295600</v>
      </c>
      <c r="U9169" s="1">
        <f t="shared" si="659"/>
        <v>8171072.0000000009</v>
      </c>
      <c r="V9169" s="3"/>
      <c r="W9169" s="242">
        <v>2014</v>
      </c>
      <c r="X9169" s="158"/>
    </row>
    <row r="9170" spans="1:24" ht="63.75">
      <c r="A9170" s="6" t="s">
        <v>18240</v>
      </c>
      <c r="B9170" s="6" t="s">
        <v>361</v>
      </c>
      <c r="C9170" s="6" t="s">
        <v>18241</v>
      </c>
      <c r="D9170" s="6" t="s">
        <v>18242</v>
      </c>
      <c r="E9170" s="6" t="s">
        <v>18242</v>
      </c>
      <c r="F9170" s="16" t="s">
        <v>18288</v>
      </c>
      <c r="G9170" s="198" t="s">
        <v>11450</v>
      </c>
      <c r="H9170" s="67">
        <v>1</v>
      </c>
      <c r="I9170" s="16">
        <v>470000000</v>
      </c>
      <c r="J9170" s="16" t="s">
        <v>229</v>
      </c>
      <c r="K9170" s="56" t="s">
        <v>9041</v>
      </c>
      <c r="L9170" s="16" t="s">
        <v>18067</v>
      </c>
      <c r="M9170" s="79"/>
      <c r="N9170" s="65" t="s">
        <v>18243</v>
      </c>
      <c r="O9170" s="78" t="s">
        <v>18200</v>
      </c>
      <c r="P9170" s="79"/>
      <c r="Q9170" s="87"/>
      <c r="R9170" s="87"/>
      <c r="S9170" s="59"/>
      <c r="T9170" s="1">
        <v>1428000</v>
      </c>
      <c r="U9170" s="1">
        <f t="shared" si="659"/>
        <v>1599360.0000000002</v>
      </c>
      <c r="V9170" s="3"/>
      <c r="W9170" s="242">
        <v>2014</v>
      </c>
      <c r="X9170" s="158"/>
    </row>
    <row r="9171" spans="1:24" ht="63.75">
      <c r="A9171" s="6" t="s">
        <v>18383</v>
      </c>
      <c r="B9171" s="6" t="s">
        <v>361</v>
      </c>
      <c r="C9171" s="6" t="s">
        <v>9706</v>
      </c>
      <c r="D9171" s="5" t="s">
        <v>9707</v>
      </c>
      <c r="E9171" s="6" t="s">
        <v>9707</v>
      </c>
      <c r="F9171" s="6" t="s">
        <v>17030</v>
      </c>
      <c r="G9171" s="6" t="s">
        <v>14116</v>
      </c>
      <c r="H9171" s="54">
        <v>0.5</v>
      </c>
      <c r="I9171" s="16">
        <v>470000000</v>
      </c>
      <c r="J9171" s="16" t="s">
        <v>229</v>
      </c>
      <c r="K9171" s="64" t="s">
        <v>8950</v>
      </c>
      <c r="L9171" s="16" t="s">
        <v>9528</v>
      </c>
      <c r="M9171" s="3"/>
      <c r="N9171" s="65" t="s">
        <v>9454</v>
      </c>
      <c r="O9171" s="78" t="s">
        <v>9716</v>
      </c>
      <c r="P9171" s="58"/>
      <c r="Q9171" s="31"/>
      <c r="R9171" s="216"/>
      <c r="S9171" s="59"/>
      <c r="T9171" s="4">
        <v>0</v>
      </c>
      <c r="U9171" s="4">
        <f t="shared" ref="U9171:U9185" si="688">T9171*1.12</f>
        <v>0</v>
      </c>
      <c r="V9171" s="3"/>
      <c r="W9171" s="3">
        <v>2014</v>
      </c>
      <c r="X9171" s="3">
        <v>11</v>
      </c>
    </row>
    <row r="9172" spans="1:24" ht="63.75">
      <c r="A9172" s="6" t="s">
        <v>19040</v>
      </c>
      <c r="B9172" s="6" t="s">
        <v>361</v>
      </c>
      <c r="C9172" s="6" t="s">
        <v>9706</v>
      </c>
      <c r="D9172" s="5" t="s">
        <v>9707</v>
      </c>
      <c r="E9172" s="6" t="s">
        <v>9707</v>
      </c>
      <c r="F9172" s="6" t="s">
        <v>17030</v>
      </c>
      <c r="G9172" s="6" t="s">
        <v>14116</v>
      </c>
      <c r="H9172" s="54">
        <v>0.5</v>
      </c>
      <c r="I9172" s="16">
        <v>470000000</v>
      </c>
      <c r="J9172" s="16" t="s">
        <v>229</v>
      </c>
      <c r="K9172" s="64" t="s">
        <v>9369</v>
      </c>
      <c r="L9172" s="16" t="s">
        <v>9528</v>
      </c>
      <c r="M9172" s="3"/>
      <c r="N9172" s="65" t="s">
        <v>9454</v>
      </c>
      <c r="O9172" s="78" t="s">
        <v>9716</v>
      </c>
      <c r="P9172" s="58"/>
      <c r="Q9172" s="31"/>
      <c r="R9172" s="216"/>
      <c r="S9172" s="59"/>
      <c r="T9172" s="4">
        <v>0</v>
      </c>
      <c r="U9172" s="4">
        <f t="shared" ref="U9172" si="689">T9172*1.12</f>
        <v>0</v>
      </c>
      <c r="V9172" s="3"/>
      <c r="W9172" s="3">
        <v>2014</v>
      </c>
      <c r="X9172" s="3" t="s">
        <v>11822</v>
      </c>
    </row>
    <row r="9173" spans="1:24" ht="63.75">
      <c r="A9173" s="6" t="s">
        <v>19357</v>
      </c>
      <c r="B9173" s="6" t="s">
        <v>361</v>
      </c>
      <c r="C9173" s="6" t="s">
        <v>9706</v>
      </c>
      <c r="D9173" s="5" t="s">
        <v>9707</v>
      </c>
      <c r="E9173" s="6" t="s">
        <v>9707</v>
      </c>
      <c r="F9173" s="6" t="s">
        <v>17030</v>
      </c>
      <c r="G9173" s="6" t="s">
        <v>14116</v>
      </c>
      <c r="H9173" s="54">
        <v>0.5</v>
      </c>
      <c r="I9173" s="16">
        <v>470000000</v>
      </c>
      <c r="J9173" s="16" t="s">
        <v>229</v>
      </c>
      <c r="K9173" s="64" t="s">
        <v>18437</v>
      </c>
      <c r="L9173" s="16" t="s">
        <v>9528</v>
      </c>
      <c r="M9173" s="3"/>
      <c r="N9173" s="65" t="s">
        <v>9454</v>
      </c>
      <c r="O9173" s="78" t="s">
        <v>9716</v>
      </c>
      <c r="P9173" s="58"/>
      <c r="Q9173" s="31"/>
      <c r="R9173" s="216"/>
      <c r="S9173" s="59"/>
      <c r="T9173" s="4">
        <v>9394000</v>
      </c>
      <c r="U9173" s="1">
        <f t="shared" ref="U9173" si="690">T9173*1.12</f>
        <v>10521280.000000002</v>
      </c>
      <c r="V9173" s="3"/>
      <c r="W9173" s="3">
        <v>2014</v>
      </c>
      <c r="X9173" s="3"/>
    </row>
    <row r="9174" spans="1:24" ht="102">
      <c r="A9174" s="6" t="s">
        <v>18399</v>
      </c>
      <c r="B9174" s="56" t="s">
        <v>361</v>
      </c>
      <c r="C9174" s="16" t="s">
        <v>10006</v>
      </c>
      <c r="D9174" s="16" t="s">
        <v>10007</v>
      </c>
      <c r="E9174" s="16" t="s">
        <v>10008</v>
      </c>
      <c r="F9174" s="16" t="s">
        <v>18398</v>
      </c>
      <c r="G9174" s="198" t="s">
        <v>605</v>
      </c>
      <c r="H9174" s="67">
        <v>1</v>
      </c>
      <c r="I9174" s="16">
        <v>470000000</v>
      </c>
      <c r="J9174" s="16" t="s">
        <v>229</v>
      </c>
      <c r="K9174" s="56" t="s">
        <v>8950</v>
      </c>
      <c r="L9174" s="16" t="s">
        <v>621</v>
      </c>
      <c r="M9174" s="79"/>
      <c r="N9174" s="6" t="s">
        <v>18410</v>
      </c>
      <c r="O9174" s="162" t="s">
        <v>10012</v>
      </c>
      <c r="P9174" s="58"/>
      <c r="Q9174" s="31"/>
      <c r="R9174" s="216"/>
      <c r="S9174" s="59"/>
      <c r="T9174" s="4">
        <v>0</v>
      </c>
      <c r="U9174" s="4">
        <f t="shared" si="688"/>
        <v>0</v>
      </c>
      <c r="V9174" s="3"/>
      <c r="W9174" s="3">
        <v>2014</v>
      </c>
      <c r="X9174" s="3">
        <v>15</v>
      </c>
    </row>
    <row r="9175" spans="1:24" ht="102">
      <c r="A9175" s="6" t="s">
        <v>19338</v>
      </c>
      <c r="B9175" s="56" t="s">
        <v>361</v>
      </c>
      <c r="C9175" s="16" t="s">
        <v>10006</v>
      </c>
      <c r="D9175" s="16" t="s">
        <v>10007</v>
      </c>
      <c r="E9175" s="16" t="s">
        <v>10008</v>
      </c>
      <c r="F9175" s="16" t="s">
        <v>18398</v>
      </c>
      <c r="G9175" s="198" t="s">
        <v>605</v>
      </c>
      <c r="H9175" s="67">
        <v>1</v>
      </c>
      <c r="I9175" s="16">
        <v>470000000</v>
      </c>
      <c r="J9175" s="16" t="s">
        <v>229</v>
      </c>
      <c r="K9175" s="56" t="s">
        <v>8950</v>
      </c>
      <c r="L9175" s="16" t="s">
        <v>621</v>
      </c>
      <c r="M9175" s="79"/>
      <c r="N9175" s="6" t="s">
        <v>18410</v>
      </c>
      <c r="O9175" s="162" t="s">
        <v>19179</v>
      </c>
      <c r="P9175" s="58"/>
      <c r="Q9175" s="31"/>
      <c r="R9175" s="216"/>
      <c r="S9175" s="59"/>
      <c r="T9175" s="1">
        <v>372322</v>
      </c>
      <c r="U9175" s="1">
        <f t="shared" ref="U9175" si="691">T9175*1.12</f>
        <v>417000.64</v>
      </c>
      <c r="V9175" s="3"/>
      <c r="W9175" s="3">
        <v>2014</v>
      </c>
      <c r="X9175" s="3"/>
    </row>
    <row r="9176" spans="1:24" ht="102">
      <c r="A9176" s="6" t="s">
        <v>18526</v>
      </c>
      <c r="B9176" s="56" t="s">
        <v>361</v>
      </c>
      <c r="C9176" s="16" t="s">
        <v>10006</v>
      </c>
      <c r="D9176" s="16" t="s">
        <v>10007</v>
      </c>
      <c r="E9176" s="16" t="s">
        <v>10008</v>
      </c>
      <c r="F9176" s="16" t="s">
        <v>18707</v>
      </c>
      <c r="G9176" s="198" t="s">
        <v>605</v>
      </c>
      <c r="H9176" s="67">
        <v>1</v>
      </c>
      <c r="I9176" s="16">
        <v>470000000</v>
      </c>
      <c r="J9176" s="16" t="s">
        <v>229</v>
      </c>
      <c r="K9176" s="56" t="s">
        <v>9775</v>
      </c>
      <c r="L9176" s="16" t="s">
        <v>18527</v>
      </c>
      <c r="M9176" s="79"/>
      <c r="N9176" s="6" t="s">
        <v>18410</v>
      </c>
      <c r="O9176" s="78" t="s">
        <v>18572</v>
      </c>
      <c r="P9176" s="58"/>
      <c r="Q9176" s="31"/>
      <c r="R9176" s="216"/>
      <c r="S9176" s="59"/>
      <c r="T9176" s="1">
        <v>80357.14</v>
      </c>
      <c r="U9176" s="1">
        <f t="shared" si="688"/>
        <v>89999.996800000008</v>
      </c>
      <c r="V9176" s="3"/>
      <c r="W9176" s="3">
        <v>2014</v>
      </c>
      <c r="X9176" s="3"/>
    </row>
    <row r="9177" spans="1:24" ht="102">
      <c r="A9177" s="6" t="s">
        <v>18692</v>
      </c>
      <c r="B9177" s="56" t="s">
        <v>361</v>
      </c>
      <c r="C9177" s="16" t="s">
        <v>10006</v>
      </c>
      <c r="D9177" s="16" t="s">
        <v>10007</v>
      </c>
      <c r="E9177" s="16" t="s">
        <v>10008</v>
      </c>
      <c r="F9177" s="16" t="s">
        <v>10070</v>
      </c>
      <c r="G9177" s="198" t="s">
        <v>605</v>
      </c>
      <c r="H9177" s="67">
        <v>1</v>
      </c>
      <c r="I9177" s="16">
        <v>470000000</v>
      </c>
      <c r="J9177" s="16" t="s">
        <v>229</v>
      </c>
      <c r="K9177" s="56" t="s">
        <v>9369</v>
      </c>
      <c r="L9177" s="16" t="s">
        <v>15892</v>
      </c>
      <c r="M9177" s="79"/>
      <c r="N9177" s="65" t="s">
        <v>10020</v>
      </c>
      <c r="O9177" s="162" t="s">
        <v>10012</v>
      </c>
      <c r="P9177" s="79"/>
      <c r="Q9177" s="87"/>
      <c r="R9177" s="87"/>
      <c r="S9177" s="163"/>
      <c r="T9177" s="4">
        <v>0</v>
      </c>
      <c r="U9177" s="4">
        <f t="shared" si="688"/>
        <v>0</v>
      </c>
      <c r="V9177" s="79"/>
      <c r="W9177" s="242">
        <v>2014</v>
      </c>
      <c r="X9177" s="56">
        <v>11.15</v>
      </c>
    </row>
    <row r="9178" spans="1:24" ht="102">
      <c r="A9178" s="6" t="s">
        <v>19339</v>
      </c>
      <c r="B9178" s="56" t="s">
        <v>361</v>
      </c>
      <c r="C9178" s="16" t="s">
        <v>10006</v>
      </c>
      <c r="D9178" s="16" t="s">
        <v>10007</v>
      </c>
      <c r="E9178" s="16" t="s">
        <v>10008</v>
      </c>
      <c r="F9178" s="16" t="s">
        <v>10070</v>
      </c>
      <c r="G9178" s="198" t="s">
        <v>605</v>
      </c>
      <c r="H9178" s="67">
        <v>1</v>
      </c>
      <c r="I9178" s="16">
        <v>470000000</v>
      </c>
      <c r="J9178" s="16" t="s">
        <v>229</v>
      </c>
      <c r="K9178" s="56" t="s">
        <v>18437</v>
      </c>
      <c r="L9178" s="16" t="s">
        <v>15892</v>
      </c>
      <c r="M9178" s="79"/>
      <c r="N9178" s="65" t="s">
        <v>10020</v>
      </c>
      <c r="O9178" s="162" t="s">
        <v>19179</v>
      </c>
      <c r="P9178" s="79"/>
      <c r="Q9178" s="87"/>
      <c r="R9178" s="87"/>
      <c r="S9178" s="163"/>
      <c r="T9178" s="1">
        <v>176786</v>
      </c>
      <c r="U9178" s="1">
        <f t="shared" ref="U9178" si="692">T9178*1.12</f>
        <v>198000.32</v>
      </c>
      <c r="V9178" s="79"/>
      <c r="W9178" s="242">
        <v>2014</v>
      </c>
      <c r="X9178" s="56"/>
    </row>
    <row r="9179" spans="1:24" ht="102">
      <c r="A9179" s="6" t="s">
        <v>18701</v>
      </c>
      <c r="B9179" s="56" t="s">
        <v>361</v>
      </c>
      <c r="C9179" s="16" t="s">
        <v>10006</v>
      </c>
      <c r="D9179" s="16" t="s">
        <v>10007</v>
      </c>
      <c r="E9179" s="16" t="s">
        <v>10008</v>
      </c>
      <c r="F9179" s="16" t="s">
        <v>18685</v>
      </c>
      <c r="G9179" s="198" t="s">
        <v>605</v>
      </c>
      <c r="H9179" s="67">
        <v>1</v>
      </c>
      <c r="I9179" s="16">
        <v>470000000</v>
      </c>
      <c r="J9179" s="16" t="s">
        <v>229</v>
      </c>
      <c r="K9179" s="56" t="s">
        <v>18437</v>
      </c>
      <c r="L9179" s="16" t="s">
        <v>15894</v>
      </c>
      <c r="M9179" s="79"/>
      <c r="N9179" s="65" t="s">
        <v>10020</v>
      </c>
      <c r="O9179" s="162" t="s">
        <v>10012</v>
      </c>
      <c r="P9179" s="79"/>
      <c r="Q9179" s="87"/>
      <c r="R9179" s="87"/>
      <c r="S9179" s="163"/>
      <c r="T9179" s="4">
        <v>0</v>
      </c>
      <c r="U9179" s="4">
        <f t="shared" si="688"/>
        <v>0</v>
      </c>
      <c r="V9179" s="79"/>
      <c r="W9179" s="242">
        <v>2014</v>
      </c>
      <c r="X9179" s="56">
        <v>15</v>
      </c>
    </row>
    <row r="9180" spans="1:24" ht="102">
      <c r="A9180" s="6" t="s">
        <v>19340</v>
      </c>
      <c r="B9180" s="56" t="s">
        <v>361</v>
      </c>
      <c r="C9180" s="16" t="s">
        <v>10006</v>
      </c>
      <c r="D9180" s="16" t="s">
        <v>10007</v>
      </c>
      <c r="E9180" s="16" t="s">
        <v>10008</v>
      </c>
      <c r="F9180" s="16" t="s">
        <v>18685</v>
      </c>
      <c r="G9180" s="198" t="s">
        <v>605</v>
      </c>
      <c r="H9180" s="67">
        <v>1</v>
      </c>
      <c r="I9180" s="16">
        <v>470000000</v>
      </c>
      <c r="J9180" s="16" t="s">
        <v>229</v>
      </c>
      <c r="K9180" s="56" t="s">
        <v>18437</v>
      </c>
      <c r="L9180" s="16" t="s">
        <v>15894</v>
      </c>
      <c r="M9180" s="79"/>
      <c r="N9180" s="65" t="s">
        <v>10020</v>
      </c>
      <c r="O9180" s="162" t="s">
        <v>19179</v>
      </c>
      <c r="P9180" s="79"/>
      <c r="Q9180" s="87"/>
      <c r="R9180" s="87"/>
      <c r="S9180" s="163"/>
      <c r="T9180" s="1">
        <v>185900</v>
      </c>
      <c r="U9180" s="1">
        <f t="shared" ref="U9180" si="693">T9180*1.12</f>
        <v>208208.00000000003</v>
      </c>
      <c r="V9180" s="79"/>
      <c r="W9180" s="242">
        <v>2014</v>
      </c>
      <c r="X9180" s="56"/>
    </row>
    <row r="9181" spans="1:24" ht="102">
      <c r="A9181" s="6" t="s">
        <v>18704</v>
      </c>
      <c r="B9181" s="56" t="s">
        <v>361</v>
      </c>
      <c r="C9181" s="16" t="s">
        <v>18705</v>
      </c>
      <c r="D9181" s="16" t="s">
        <v>18706</v>
      </c>
      <c r="E9181" s="16" t="s">
        <v>18706</v>
      </c>
      <c r="F9181" s="16"/>
      <c r="G9181" s="198" t="s">
        <v>11450</v>
      </c>
      <c r="H9181" s="67">
        <v>1</v>
      </c>
      <c r="I9181" s="16">
        <v>470000000</v>
      </c>
      <c r="J9181" s="16" t="s">
        <v>229</v>
      </c>
      <c r="K9181" s="56" t="s">
        <v>9369</v>
      </c>
      <c r="L9181" s="16" t="s">
        <v>621</v>
      </c>
      <c r="M9181" s="79"/>
      <c r="N9181" s="65" t="s">
        <v>10020</v>
      </c>
      <c r="O9181" s="78" t="s">
        <v>18771</v>
      </c>
      <c r="P9181" s="79"/>
      <c r="Q9181" s="87"/>
      <c r="R9181" s="87"/>
      <c r="S9181" s="163"/>
      <c r="T9181" s="1">
        <v>5400000</v>
      </c>
      <c r="U9181" s="1">
        <f t="shared" si="688"/>
        <v>6048000.0000000009</v>
      </c>
      <c r="V9181" s="79"/>
      <c r="W9181" s="242">
        <v>2014</v>
      </c>
      <c r="X9181" s="56"/>
    </row>
    <row r="9182" spans="1:24" ht="76.5">
      <c r="A9182" s="6" t="s">
        <v>19045</v>
      </c>
      <c r="B9182" s="56" t="s">
        <v>361</v>
      </c>
      <c r="C9182" s="16" t="s">
        <v>9641</v>
      </c>
      <c r="D9182" s="16" t="s">
        <v>9642</v>
      </c>
      <c r="E9182" s="16" t="s">
        <v>9643</v>
      </c>
      <c r="F9182" s="16"/>
      <c r="G9182" s="198" t="s">
        <v>11450</v>
      </c>
      <c r="H9182" s="67">
        <v>0.5</v>
      </c>
      <c r="I9182" s="16">
        <v>470000000</v>
      </c>
      <c r="J9182" s="16" t="s">
        <v>229</v>
      </c>
      <c r="K9182" s="56" t="s">
        <v>9369</v>
      </c>
      <c r="L9182" s="16" t="s">
        <v>9723</v>
      </c>
      <c r="M9182" s="79"/>
      <c r="N9182" s="65" t="s">
        <v>10020</v>
      </c>
      <c r="O9182" s="78" t="s">
        <v>19046</v>
      </c>
      <c r="P9182" s="79"/>
      <c r="Q9182" s="87"/>
      <c r="R9182" s="87"/>
      <c r="S9182" s="163"/>
      <c r="T9182" s="1">
        <v>1584000</v>
      </c>
      <c r="U9182" s="1">
        <f t="shared" si="688"/>
        <v>1774080.0000000002</v>
      </c>
      <c r="V9182" s="79"/>
      <c r="W9182" s="242">
        <v>2014</v>
      </c>
      <c r="X9182" s="56"/>
    </row>
    <row r="9183" spans="1:24" ht="76.5">
      <c r="A9183" s="6" t="s">
        <v>19094</v>
      </c>
      <c r="B9183" s="56" t="s">
        <v>361</v>
      </c>
      <c r="C9183" s="16" t="s">
        <v>19097</v>
      </c>
      <c r="D9183" s="16" t="s">
        <v>19098</v>
      </c>
      <c r="E9183" s="16" t="s">
        <v>19099</v>
      </c>
      <c r="F9183" s="16" t="s">
        <v>19100</v>
      </c>
      <c r="G9183" s="198" t="s">
        <v>605</v>
      </c>
      <c r="H9183" s="67">
        <v>0.5</v>
      </c>
      <c r="I9183" s="16">
        <v>470000000</v>
      </c>
      <c r="J9183" s="16" t="s">
        <v>229</v>
      </c>
      <c r="K9183" s="56" t="s">
        <v>9775</v>
      </c>
      <c r="L9183" s="16" t="s">
        <v>621</v>
      </c>
      <c r="M9183" s="79"/>
      <c r="N9183" s="65" t="s">
        <v>9775</v>
      </c>
      <c r="O9183" s="78" t="s">
        <v>19095</v>
      </c>
      <c r="P9183" s="79"/>
      <c r="Q9183" s="87"/>
      <c r="R9183" s="87"/>
      <c r="S9183" s="163"/>
      <c r="T9183" s="1">
        <v>74188</v>
      </c>
      <c r="U9183" s="1">
        <f t="shared" si="688"/>
        <v>83090.560000000012</v>
      </c>
      <c r="V9183" s="79"/>
      <c r="W9183" s="242">
        <v>2014</v>
      </c>
      <c r="X9183" s="56"/>
    </row>
    <row r="9184" spans="1:24" ht="102">
      <c r="A9184" s="6" t="s">
        <v>19175</v>
      </c>
      <c r="B9184" s="56" t="s">
        <v>361</v>
      </c>
      <c r="C9184" s="16" t="s">
        <v>10006</v>
      </c>
      <c r="D9184" s="16" t="s">
        <v>10007</v>
      </c>
      <c r="E9184" s="16" t="s">
        <v>10008</v>
      </c>
      <c r="F9184" s="334" t="s">
        <v>19274</v>
      </c>
      <c r="G9184" s="198" t="s">
        <v>605</v>
      </c>
      <c r="H9184" s="67">
        <v>1</v>
      </c>
      <c r="I9184" s="16">
        <v>470000000</v>
      </c>
      <c r="J9184" s="16" t="s">
        <v>229</v>
      </c>
      <c r="K9184" s="6" t="s">
        <v>18674</v>
      </c>
      <c r="L9184" s="16" t="s">
        <v>15892</v>
      </c>
      <c r="M9184" s="79"/>
      <c r="N9184" s="6" t="s">
        <v>18674</v>
      </c>
      <c r="O9184" s="162" t="s">
        <v>19179</v>
      </c>
      <c r="P9184" s="79"/>
      <c r="Q9184" s="87"/>
      <c r="R9184" s="87"/>
      <c r="S9184" s="163"/>
      <c r="T9184" s="1">
        <v>127232</v>
      </c>
      <c r="U9184" s="1">
        <f t="shared" si="688"/>
        <v>142499.84000000003</v>
      </c>
      <c r="V9184" s="79"/>
      <c r="W9184" s="242">
        <v>2014</v>
      </c>
      <c r="X9184" s="56"/>
    </row>
    <row r="9185" spans="1:24" ht="102">
      <c r="A9185" s="6" t="s">
        <v>19657</v>
      </c>
      <c r="B9185" s="56" t="s">
        <v>361</v>
      </c>
      <c r="C9185" s="16" t="s">
        <v>10006</v>
      </c>
      <c r="D9185" s="16" t="s">
        <v>10007</v>
      </c>
      <c r="E9185" s="16" t="s">
        <v>10008</v>
      </c>
      <c r="F9185" s="334" t="s">
        <v>19658</v>
      </c>
      <c r="G9185" s="198" t="s">
        <v>605</v>
      </c>
      <c r="H9185" s="67">
        <v>1</v>
      </c>
      <c r="I9185" s="16">
        <v>470000000</v>
      </c>
      <c r="J9185" s="16" t="s">
        <v>229</v>
      </c>
      <c r="K9185" s="6" t="s">
        <v>9956</v>
      </c>
      <c r="L9185" s="16" t="s">
        <v>19659</v>
      </c>
      <c r="M9185" s="79"/>
      <c r="N9185" s="65" t="s">
        <v>10020</v>
      </c>
      <c r="O9185" s="162" t="s">
        <v>19179</v>
      </c>
      <c r="P9185" s="79"/>
      <c r="Q9185" s="87"/>
      <c r="R9185" s="87"/>
      <c r="S9185" s="163"/>
      <c r="T9185" s="1">
        <v>200000</v>
      </c>
      <c r="U9185" s="1">
        <f t="shared" si="688"/>
        <v>224000.00000000003</v>
      </c>
      <c r="V9185" s="79"/>
      <c r="W9185" s="242">
        <v>2014</v>
      </c>
      <c r="X9185" s="56"/>
    </row>
    <row r="9186" spans="1:24">
      <c r="A9186" s="211"/>
      <c r="B9186" s="212" t="s">
        <v>11399</v>
      </c>
      <c r="C9186" s="190"/>
      <c r="D9186" s="286"/>
      <c r="E9186" s="211"/>
      <c r="F9186" s="211"/>
      <c r="G9186" s="211"/>
      <c r="H9186" s="212"/>
      <c r="I9186" s="212"/>
      <c r="J9186" s="212"/>
      <c r="K9186" s="212"/>
      <c r="L9186" s="212"/>
      <c r="M9186" s="212"/>
      <c r="N9186" s="211"/>
      <c r="O9186" s="212"/>
      <c r="P9186" s="211"/>
      <c r="Q9186" s="212"/>
      <c r="R9186" s="214"/>
      <c r="S9186" s="214"/>
      <c r="T9186" s="211">
        <f>SUM(T8761:T9185)</f>
        <v>4397230369.087779</v>
      </c>
      <c r="U9186" s="211">
        <f>SUM(U8761:U9185)</f>
        <v>4924898013.378315</v>
      </c>
      <c r="V9186" s="211"/>
      <c r="W9186" s="211"/>
      <c r="X9186" s="211"/>
    </row>
    <row r="9187" spans="1:24">
      <c r="A9187" s="211"/>
      <c r="B9187" s="212" t="s">
        <v>11405</v>
      </c>
      <c r="C9187" s="190"/>
      <c r="D9187" s="213"/>
      <c r="E9187" s="211"/>
      <c r="F9187" s="211"/>
      <c r="G9187" s="211"/>
      <c r="H9187" s="212"/>
      <c r="I9187" s="212"/>
      <c r="J9187" s="212"/>
      <c r="K9187" s="212"/>
      <c r="L9187" s="212"/>
      <c r="M9187" s="212"/>
      <c r="N9187" s="211"/>
      <c r="O9187" s="212"/>
      <c r="P9187" s="211"/>
      <c r="Q9187" s="212"/>
      <c r="R9187" s="214"/>
      <c r="S9187" s="214"/>
      <c r="T9187" s="211">
        <f>T8588+T8759+T9186</f>
        <v>13663929589.688454</v>
      </c>
      <c r="U9187" s="211">
        <f>U8588+U8759+U9186</f>
        <v>15303601140.451054</v>
      </c>
      <c r="V9187" s="211"/>
      <c r="W9187" s="211"/>
      <c r="X9187" s="211"/>
    </row>
    <row r="9188" spans="1:24">
      <c r="A9188" s="3"/>
      <c r="B9188" s="158"/>
      <c r="C9188" s="290"/>
      <c r="D9188" s="286"/>
      <c r="E9188" s="3"/>
      <c r="F9188" s="3"/>
      <c r="G9188" s="231"/>
      <c r="H9188" s="158"/>
      <c r="I9188" s="158"/>
      <c r="J9188" s="158"/>
      <c r="K9188" s="158"/>
      <c r="L9188" s="158"/>
      <c r="M9188" s="158"/>
      <c r="N9188" s="3"/>
      <c r="O9188" s="158"/>
      <c r="P9188" s="58"/>
      <c r="Q9188" s="158"/>
      <c r="R9188" s="291"/>
      <c r="S9188" s="182"/>
      <c r="T9188" s="3"/>
      <c r="U9188" s="4"/>
      <c r="V9188" s="3"/>
      <c r="W9188" s="3"/>
      <c r="X9188" s="3"/>
    </row>
    <row r="9189" spans="1:24" ht="15.75">
      <c r="C9189" s="292"/>
      <c r="D9189" s="293"/>
      <c r="G9189" s="294"/>
    </row>
    <row r="9190" spans="1:24" ht="15.75">
      <c r="A9190" s="269"/>
      <c r="B9190" s="328"/>
      <c r="C9190" s="292"/>
      <c r="D9190" s="293"/>
      <c r="G9190" s="294"/>
      <c r="N9190" s="269"/>
      <c r="P9190" s="269"/>
      <c r="R9190" s="269"/>
      <c r="S9190" s="269"/>
      <c r="T9190" s="269"/>
      <c r="U9190" s="269"/>
      <c r="V9190" s="269"/>
      <c r="W9190" s="269"/>
    </row>
    <row r="9191" spans="1:24" ht="15.75">
      <c r="A9191" s="269"/>
      <c r="C9191" s="292"/>
      <c r="D9191" s="293"/>
      <c r="G9191" s="294"/>
      <c r="N9191" s="269"/>
      <c r="P9191" s="269"/>
      <c r="R9191" s="269"/>
      <c r="S9191" s="269"/>
      <c r="T9191" s="269"/>
      <c r="U9191" s="269"/>
      <c r="V9191" s="269"/>
      <c r="W9191" s="269"/>
    </row>
    <row r="9192" spans="1:24" ht="15.75">
      <c r="A9192" s="269"/>
      <c r="C9192" s="292"/>
      <c r="D9192" s="293"/>
      <c r="G9192" s="294"/>
      <c r="N9192" s="269"/>
      <c r="P9192" s="269"/>
      <c r="R9192" s="269"/>
      <c r="S9192" s="269"/>
      <c r="T9192" s="269"/>
      <c r="U9192" s="269"/>
      <c r="V9192" s="269"/>
      <c r="W9192" s="269"/>
    </row>
    <row r="9193" spans="1:24" ht="15.75">
      <c r="A9193" s="269"/>
      <c r="C9193" s="292"/>
      <c r="D9193" s="293"/>
      <c r="G9193" s="294"/>
      <c r="N9193" s="269"/>
      <c r="P9193" s="269"/>
      <c r="R9193" s="269"/>
      <c r="S9193" s="269"/>
      <c r="T9193" s="269"/>
      <c r="U9193" s="269"/>
      <c r="V9193" s="269"/>
      <c r="W9193" s="269"/>
    </row>
    <row r="9194" spans="1:24" ht="15.75">
      <c r="A9194" s="295"/>
      <c r="B9194" s="296" t="s">
        <v>14105</v>
      </c>
      <c r="C9194" s="297"/>
      <c r="D9194" s="297"/>
      <c r="E9194" s="297"/>
      <c r="F9194" s="298"/>
      <c r="G9194" s="297"/>
      <c r="H9194" s="299"/>
      <c r="I9194" s="299"/>
      <c r="J9194" s="297"/>
      <c r="K9194" s="297"/>
      <c r="L9194" s="299"/>
      <c r="M9194" s="299"/>
      <c r="N9194" s="299"/>
      <c r="O9194" s="299"/>
      <c r="P9194" s="299"/>
      <c r="Q9194" s="299"/>
      <c r="R9194" s="299"/>
      <c r="S9194" s="299"/>
      <c r="T9194" s="299"/>
      <c r="U9194" s="299"/>
      <c r="V9194" s="299"/>
      <c r="W9194" s="299"/>
      <c r="X9194" s="300"/>
    </row>
    <row r="9195" spans="1:24" ht="15.75">
      <c r="A9195" s="295"/>
      <c r="B9195" s="296" t="s">
        <v>14063</v>
      </c>
      <c r="C9195" s="301"/>
      <c r="D9195" s="301"/>
      <c r="E9195" s="299"/>
      <c r="F9195" s="300"/>
      <c r="G9195" s="299"/>
      <c r="H9195" s="301"/>
      <c r="I9195" s="301"/>
      <c r="J9195" s="301"/>
      <c r="K9195" s="301"/>
      <c r="L9195" s="299"/>
      <c r="M9195" s="299"/>
      <c r="N9195" s="299"/>
      <c r="O9195" s="299"/>
      <c r="P9195" s="299"/>
      <c r="Q9195" s="299"/>
      <c r="R9195" s="299"/>
      <c r="S9195" s="299"/>
      <c r="T9195" s="299"/>
      <c r="U9195" s="299"/>
      <c r="V9195" s="299"/>
      <c r="W9195" s="299"/>
      <c r="X9195" s="300"/>
    </row>
    <row r="9196" spans="1:24" ht="15.75">
      <c r="A9196" s="295"/>
      <c r="B9196" s="296" t="s">
        <v>14064</v>
      </c>
      <c r="C9196" s="299"/>
      <c r="D9196" s="299"/>
      <c r="E9196" s="299"/>
      <c r="F9196" s="300"/>
      <c r="G9196" s="299"/>
      <c r="H9196" s="299"/>
      <c r="I9196" s="299"/>
      <c r="J9196" s="299"/>
      <c r="K9196" s="299"/>
      <c r="L9196" s="299"/>
      <c r="M9196" s="299"/>
      <c r="N9196" s="299"/>
      <c r="O9196" s="299"/>
      <c r="P9196" s="299"/>
      <c r="Q9196" s="299"/>
      <c r="R9196" s="299"/>
      <c r="S9196" s="299"/>
      <c r="T9196" s="299"/>
      <c r="U9196" s="299"/>
      <c r="V9196" s="299"/>
      <c r="W9196" s="299"/>
      <c r="X9196" s="300"/>
    </row>
    <row r="9197" spans="1:24" ht="15.75">
      <c r="A9197" s="299"/>
      <c r="B9197" s="296" t="s">
        <v>14065</v>
      </c>
      <c r="C9197" s="299"/>
      <c r="D9197" s="299"/>
      <c r="E9197" s="299"/>
      <c r="F9197" s="300"/>
      <c r="G9197" s="299"/>
      <c r="H9197" s="299"/>
      <c r="I9197" s="299"/>
      <c r="J9197" s="299"/>
      <c r="K9197" s="299"/>
      <c r="L9197" s="299"/>
      <c r="M9197" s="299"/>
      <c r="N9197" s="299"/>
      <c r="O9197" s="299"/>
      <c r="P9197" s="299"/>
      <c r="Q9197" s="299"/>
      <c r="R9197" s="299"/>
      <c r="S9197" s="299"/>
      <c r="T9197" s="299"/>
      <c r="U9197" s="299"/>
      <c r="V9197" s="299"/>
      <c r="W9197" s="299"/>
      <c r="X9197" s="300"/>
    </row>
    <row r="9198" spans="1:24" ht="15.75">
      <c r="A9198" s="295"/>
      <c r="B9198" s="302" t="s">
        <v>14066</v>
      </c>
      <c r="C9198" s="301"/>
      <c r="D9198" s="301"/>
      <c r="E9198" s="301"/>
      <c r="F9198" s="303"/>
      <c r="G9198" s="299"/>
      <c r="H9198" s="299"/>
      <c r="I9198" s="299"/>
      <c r="J9198" s="299"/>
      <c r="K9198" s="299"/>
      <c r="L9198" s="299"/>
      <c r="M9198" s="299"/>
      <c r="N9198" s="299"/>
      <c r="O9198" s="299"/>
      <c r="P9198" s="299"/>
      <c r="Q9198" s="299"/>
      <c r="R9198" s="299"/>
      <c r="S9198" s="299"/>
      <c r="T9198" s="299"/>
      <c r="U9198" s="299"/>
      <c r="V9198" s="299"/>
      <c r="W9198" s="299"/>
      <c r="X9198" s="300"/>
    </row>
    <row r="9199" spans="1:24" ht="15.75">
      <c r="A9199" s="304">
        <v>1</v>
      </c>
      <c r="B9199" s="353" t="s">
        <v>14067</v>
      </c>
      <c r="C9199" s="353"/>
      <c r="D9199" s="353"/>
      <c r="E9199" s="353"/>
      <c r="F9199" s="353"/>
      <c r="G9199" s="353"/>
      <c r="H9199" s="353"/>
      <c r="I9199" s="353"/>
      <c r="J9199" s="353"/>
      <c r="K9199" s="353"/>
      <c r="L9199" s="353"/>
      <c r="M9199" s="353"/>
      <c r="N9199" s="353"/>
      <c r="O9199" s="353"/>
      <c r="P9199" s="353"/>
      <c r="Q9199" s="353"/>
      <c r="R9199" s="353"/>
      <c r="S9199" s="353"/>
      <c r="T9199" s="353"/>
      <c r="U9199" s="353"/>
      <c r="V9199" s="353"/>
      <c r="W9199" s="353"/>
      <c r="X9199" s="305"/>
    </row>
    <row r="9200" spans="1:24" ht="15.75">
      <c r="A9200" s="304"/>
      <c r="B9200" s="306" t="s">
        <v>14068</v>
      </c>
      <c r="C9200" s="346"/>
      <c r="D9200" s="346"/>
      <c r="E9200" s="346"/>
      <c r="F9200" s="307"/>
      <c r="G9200" s="346"/>
      <c r="H9200" s="346"/>
      <c r="I9200" s="346"/>
      <c r="J9200" s="346"/>
      <c r="K9200" s="346"/>
      <c r="L9200" s="346"/>
      <c r="M9200" s="346"/>
      <c r="N9200" s="346"/>
      <c r="O9200" s="346"/>
      <c r="P9200" s="346"/>
      <c r="Q9200" s="346"/>
      <c r="R9200" s="346"/>
      <c r="S9200" s="346"/>
      <c r="T9200" s="346"/>
      <c r="U9200" s="346"/>
      <c r="V9200" s="346"/>
      <c r="W9200" s="346"/>
      <c r="X9200" s="305"/>
    </row>
    <row r="9201" spans="1:24" ht="15.75">
      <c r="A9201" s="304"/>
      <c r="B9201" s="308" t="s">
        <v>14069</v>
      </c>
      <c r="C9201" s="346"/>
      <c r="D9201" s="346"/>
      <c r="E9201" s="346"/>
      <c r="F9201" s="307"/>
      <c r="G9201" s="346"/>
      <c r="H9201" s="346"/>
      <c r="I9201" s="346"/>
      <c r="J9201" s="346"/>
      <c r="K9201" s="346"/>
      <c r="L9201" s="346"/>
      <c r="M9201" s="346"/>
      <c r="N9201" s="346"/>
      <c r="O9201" s="346"/>
      <c r="P9201" s="346"/>
      <c r="Q9201" s="346"/>
      <c r="R9201" s="346"/>
      <c r="S9201" s="346"/>
      <c r="T9201" s="346"/>
      <c r="U9201" s="346"/>
      <c r="V9201" s="346"/>
      <c r="W9201" s="346"/>
      <c r="X9201" s="305"/>
    </row>
    <row r="9202" spans="1:24" ht="15.75">
      <c r="A9202" s="304"/>
      <c r="B9202" s="296" t="s">
        <v>14070</v>
      </c>
      <c r="C9202" s="347"/>
      <c r="D9202" s="347"/>
      <c r="E9202" s="347"/>
      <c r="F9202" s="307"/>
      <c r="G9202" s="347"/>
      <c r="H9202" s="347"/>
      <c r="I9202" s="347"/>
      <c r="J9202" s="347"/>
      <c r="K9202" s="347"/>
      <c r="L9202" s="347"/>
      <c r="M9202" s="346"/>
      <c r="N9202" s="346"/>
      <c r="O9202" s="346"/>
      <c r="P9202" s="346"/>
      <c r="Q9202" s="346"/>
      <c r="R9202" s="346"/>
      <c r="S9202" s="346"/>
      <c r="T9202" s="346"/>
      <c r="U9202" s="346"/>
      <c r="V9202" s="346"/>
      <c r="W9202" s="346"/>
      <c r="X9202" s="305"/>
    </row>
    <row r="9203" spans="1:24" ht="15.75">
      <c r="A9203" s="304"/>
      <c r="B9203" s="302" t="s">
        <v>14071</v>
      </c>
      <c r="C9203" s="347"/>
      <c r="D9203" s="347"/>
      <c r="E9203" s="347"/>
      <c r="F9203" s="307"/>
      <c r="G9203" s="347"/>
      <c r="H9203" s="347"/>
      <c r="I9203" s="347"/>
      <c r="J9203" s="347"/>
      <c r="K9203" s="347"/>
      <c r="L9203" s="347"/>
      <c r="M9203" s="346"/>
      <c r="N9203" s="346"/>
      <c r="O9203" s="346"/>
      <c r="P9203" s="346"/>
      <c r="Q9203" s="346"/>
      <c r="R9203" s="346"/>
      <c r="S9203" s="346"/>
      <c r="T9203" s="346"/>
      <c r="U9203" s="346"/>
      <c r="V9203" s="346"/>
      <c r="W9203" s="346"/>
      <c r="X9203" s="305"/>
    </row>
    <row r="9204" spans="1:24" ht="15.75">
      <c r="A9204" s="304"/>
      <c r="B9204" s="302" t="s">
        <v>14072</v>
      </c>
      <c r="C9204" s="347"/>
      <c r="D9204" s="347"/>
      <c r="E9204" s="347"/>
      <c r="F9204" s="307"/>
      <c r="G9204" s="347"/>
      <c r="H9204" s="347"/>
      <c r="I9204" s="347"/>
      <c r="J9204" s="347"/>
      <c r="K9204" s="347"/>
      <c r="L9204" s="347"/>
      <c r="M9204" s="346"/>
      <c r="N9204" s="346"/>
      <c r="O9204" s="346"/>
      <c r="P9204" s="346"/>
      <c r="Q9204" s="346"/>
      <c r="R9204" s="346"/>
      <c r="S9204" s="346"/>
      <c r="T9204" s="346"/>
      <c r="U9204" s="346"/>
      <c r="V9204" s="346"/>
      <c r="W9204" s="346"/>
      <c r="X9204" s="305"/>
    </row>
    <row r="9205" spans="1:24" ht="15.75">
      <c r="A9205" s="304"/>
      <c r="B9205" s="308" t="s">
        <v>14073</v>
      </c>
      <c r="C9205" s="346"/>
      <c r="D9205" s="346"/>
      <c r="E9205" s="346"/>
      <c r="F9205" s="307"/>
      <c r="G9205" s="346"/>
      <c r="H9205" s="346"/>
      <c r="I9205" s="346"/>
      <c r="J9205" s="346"/>
      <c r="K9205" s="346"/>
      <c r="L9205" s="346"/>
      <c r="M9205" s="346"/>
      <c r="N9205" s="346"/>
      <c r="O9205" s="346"/>
      <c r="P9205" s="346"/>
      <c r="Q9205" s="346"/>
      <c r="R9205" s="346"/>
      <c r="S9205" s="346"/>
      <c r="T9205" s="346"/>
      <c r="U9205" s="346"/>
      <c r="V9205" s="346"/>
      <c r="W9205" s="346"/>
      <c r="X9205" s="305"/>
    </row>
    <row r="9206" spans="1:24" ht="15.75">
      <c r="A9206" s="299"/>
      <c r="B9206" s="296" t="s">
        <v>14074</v>
      </c>
      <c r="C9206" s="309"/>
      <c r="D9206" s="309"/>
      <c r="E9206" s="309"/>
      <c r="F9206" s="310"/>
      <c r="G9206" s="309"/>
      <c r="H9206" s="309"/>
      <c r="I9206" s="309"/>
      <c r="J9206" s="309"/>
      <c r="K9206" s="309"/>
      <c r="L9206" s="309"/>
      <c r="M9206" s="309"/>
      <c r="N9206" s="309"/>
      <c r="O9206" s="309"/>
      <c r="P9206" s="309"/>
      <c r="Q9206" s="309"/>
      <c r="R9206" s="309"/>
      <c r="S9206" s="309"/>
      <c r="T9206" s="309"/>
      <c r="U9206" s="309"/>
      <c r="V9206" s="309"/>
      <c r="W9206" s="309"/>
      <c r="X9206" s="305"/>
    </row>
    <row r="9207" spans="1:24" ht="15.75">
      <c r="A9207" s="299"/>
      <c r="B9207" s="296" t="s">
        <v>14075</v>
      </c>
      <c r="C9207" s="347"/>
      <c r="D9207" s="347"/>
      <c r="E9207" s="347"/>
      <c r="F9207" s="307"/>
      <c r="G9207" s="347"/>
      <c r="H9207" s="347"/>
      <c r="I9207" s="347"/>
      <c r="J9207" s="347"/>
      <c r="K9207" s="347"/>
      <c r="L9207" s="347"/>
      <c r="M9207" s="347"/>
      <c r="N9207" s="347"/>
      <c r="O9207" s="347"/>
      <c r="P9207" s="347"/>
      <c r="Q9207" s="347"/>
      <c r="R9207" s="347"/>
      <c r="S9207" s="347"/>
      <c r="T9207" s="347"/>
      <c r="U9207" s="347"/>
      <c r="V9207" s="347"/>
      <c r="W9207" s="347"/>
      <c r="X9207" s="305"/>
    </row>
    <row r="9208" spans="1:24" ht="15.75">
      <c r="A9208" s="299"/>
      <c r="B9208" s="353" t="s">
        <v>14076</v>
      </c>
      <c r="C9208" s="353"/>
      <c r="D9208" s="353"/>
      <c r="E9208" s="353"/>
      <c r="F9208" s="353"/>
      <c r="G9208" s="353"/>
      <c r="H9208" s="353"/>
      <c r="I9208" s="353"/>
      <c r="J9208" s="353"/>
      <c r="K9208" s="353"/>
      <c r="L9208" s="353"/>
      <c r="M9208" s="353"/>
      <c r="N9208" s="353"/>
      <c r="O9208" s="353"/>
      <c r="P9208" s="353"/>
      <c r="Q9208" s="353"/>
      <c r="R9208" s="353"/>
      <c r="S9208" s="353"/>
      <c r="T9208" s="353"/>
      <c r="U9208" s="353"/>
      <c r="V9208" s="353"/>
      <c r="W9208" s="353"/>
      <c r="X9208" s="305"/>
    </row>
    <row r="9209" spans="1:24" ht="15.75">
      <c r="A9209" s="299"/>
      <c r="B9209" s="308" t="s">
        <v>14077</v>
      </c>
      <c r="C9209" s="346"/>
      <c r="D9209" s="346"/>
      <c r="E9209" s="346"/>
      <c r="F9209" s="307"/>
      <c r="G9209" s="346"/>
      <c r="H9209" s="346"/>
      <c r="I9209" s="346"/>
      <c r="J9209" s="346"/>
      <c r="K9209" s="346"/>
      <c r="L9209" s="346"/>
      <c r="M9209" s="346"/>
      <c r="N9209" s="346"/>
      <c r="O9209" s="346"/>
      <c r="P9209" s="346"/>
      <c r="Q9209" s="346"/>
      <c r="R9209" s="346"/>
      <c r="S9209" s="346"/>
      <c r="T9209" s="346"/>
      <c r="U9209" s="346"/>
      <c r="V9209" s="346"/>
      <c r="W9209" s="346"/>
      <c r="X9209" s="305"/>
    </row>
    <row r="9210" spans="1:24" ht="15.75">
      <c r="A9210" s="299"/>
      <c r="B9210" s="308" t="s">
        <v>14078</v>
      </c>
      <c r="C9210" s="346"/>
      <c r="D9210" s="346"/>
      <c r="E9210" s="346"/>
      <c r="F9210" s="307"/>
      <c r="G9210" s="346"/>
      <c r="H9210" s="346"/>
      <c r="I9210" s="346"/>
      <c r="J9210" s="346"/>
      <c r="K9210" s="346"/>
      <c r="L9210" s="346"/>
      <c r="M9210" s="346"/>
      <c r="N9210" s="346"/>
      <c r="O9210" s="346"/>
      <c r="P9210" s="346"/>
      <c r="Q9210" s="346"/>
      <c r="R9210" s="346"/>
      <c r="S9210" s="346"/>
      <c r="T9210" s="346"/>
      <c r="U9210" s="346"/>
      <c r="V9210" s="346"/>
      <c r="W9210" s="346"/>
      <c r="X9210" s="305"/>
    </row>
    <row r="9211" spans="1:24" ht="15.75">
      <c r="A9211" s="299"/>
      <c r="B9211" s="355" t="s">
        <v>14079</v>
      </c>
      <c r="C9211" s="355"/>
      <c r="D9211" s="355"/>
      <c r="E9211" s="355"/>
      <c r="F9211" s="355"/>
      <c r="G9211" s="355"/>
      <c r="H9211" s="355"/>
      <c r="I9211" s="355"/>
      <c r="J9211" s="355"/>
      <c r="K9211" s="355"/>
      <c r="L9211" s="355"/>
      <c r="M9211" s="355"/>
      <c r="N9211" s="355"/>
      <c r="O9211" s="355"/>
      <c r="P9211" s="355"/>
      <c r="Q9211" s="355"/>
      <c r="R9211" s="355"/>
      <c r="S9211" s="355"/>
      <c r="T9211" s="355"/>
      <c r="U9211" s="355"/>
      <c r="V9211" s="355"/>
      <c r="W9211" s="355"/>
      <c r="X9211" s="305"/>
    </row>
    <row r="9212" spans="1:24" ht="15.75">
      <c r="A9212" s="299"/>
      <c r="B9212" s="311" t="s">
        <v>14080</v>
      </c>
      <c r="C9212" s="311"/>
      <c r="D9212" s="311"/>
      <c r="E9212" s="311"/>
      <c r="F9212" s="312"/>
      <c r="G9212" s="311"/>
      <c r="H9212" s="311"/>
      <c r="I9212" s="311"/>
      <c r="J9212" s="311"/>
      <c r="K9212" s="311"/>
      <c r="L9212" s="347"/>
      <c r="M9212" s="347"/>
      <c r="N9212" s="347"/>
      <c r="O9212" s="347"/>
      <c r="P9212" s="347"/>
      <c r="Q9212" s="347"/>
      <c r="R9212" s="347"/>
      <c r="S9212" s="347"/>
      <c r="T9212" s="347"/>
      <c r="U9212" s="347"/>
      <c r="V9212" s="347"/>
      <c r="W9212" s="347"/>
      <c r="X9212" s="307"/>
    </row>
    <row r="9213" spans="1:24" ht="15.75">
      <c r="A9213" s="304">
        <v>2</v>
      </c>
      <c r="B9213" s="296" t="s">
        <v>14081</v>
      </c>
      <c r="C9213" s="296"/>
      <c r="D9213" s="296"/>
      <c r="E9213" s="296"/>
      <c r="F9213" s="305"/>
      <c r="G9213" s="296"/>
      <c r="H9213" s="296"/>
      <c r="I9213" s="296"/>
      <c r="J9213" s="296"/>
      <c r="K9213" s="296"/>
      <c r="L9213" s="296"/>
      <c r="M9213" s="296"/>
      <c r="N9213" s="296"/>
      <c r="O9213" s="296"/>
      <c r="P9213" s="296"/>
      <c r="Q9213" s="296"/>
      <c r="R9213" s="296"/>
      <c r="S9213" s="296"/>
      <c r="T9213" s="296"/>
      <c r="U9213" s="296"/>
      <c r="V9213" s="296"/>
      <c r="W9213" s="296"/>
      <c r="X9213" s="305"/>
    </row>
    <row r="9214" spans="1:24" ht="15.75">
      <c r="A9214" s="304">
        <v>3</v>
      </c>
      <c r="B9214" s="296" t="s">
        <v>14082</v>
      </c>
      <c r="C9214" s="296"/>
      <c r="D9214" s="296"/>
      <c r="E9214" s="296"/>
      <c r="F9214" s="305"/>
      <c r="G9214" s="296"/>
      <c r="H9214" s="296"/>
      <c r="I9214" s="296"/>
      <c r="J9214" s="296"/>
      <c r="K9214" s="296"/>
      <c r="L9214" s="296"/>
      <c r="M9214" s="296"/>
      <c r="N9214" s="296"/>
      <c r="O9214" s="296"/>
      <c r="P9214" s="296"/>
      <c r="Q9214" s="296"/>
      <c r="R9214" s="296"/>
      <c r="S9214" s="296"/>
      <c r="T9214" s="296"/>
      <c r="U9214" s="296"/>
      <c r="V9214" s="296"/>
      <c r="W9214" s="296"/>
      <c r="X9214" s="305"/>
    </row>
    <row r="9215" spans="1:24" ht="15.75">
      <c r="A9215" s="304">
        <v>4</v>
      </c>
      <c r="B9215" s="296" t="s">
        <v>14083</v>
      </c>
      <c r="C9215" s="296"/>
      <c r="D9215" s="296"/>
      <c r="E9215" s="296"/>
      <c r="F9215" s="305"/>
      <c r="G9215" s="296"/>
      <c r="H9215" s="296"/>
      <c r="I9215" s="296"/>
      <c r="J9215" s="296"/>
      <c r="K9215" s="296"/>
      <c r="L9215" s="296"/>
      <c r="M9215" s="296"/>
      <c r="N9215" s="296"/>
      <c r="O9215" s="296"/>
      <c r="P9215" s="296"/>
      <c r="Q9215" s="296"/>
      <c r="R9215" s="296"/>
      <c r="S9215" s="296"/>
      <c r="T9215" s="296"/>
      <c r="U9215" s="296"/>
      <c r="V9215" s="296"/>
      <c r="W9215" s="296"/>
      <c r="X9215" s="305"/>
    </row>
    <row r="9216" spans="1:24" ht="15.75">
      <c r="A9216" s="304">
        <v>5</v>
      </c>
      <c r="B9216" s="353" t="s">
        <v>14084</v>
      </c>
      <c r="C9216" s="353"/>
      <c r="D9216" s="353"/>
      <c r="E9216" s="353"/>
      <c r="F9216" s="353"/>
      <c r="G9216" s="353"/>
      <c r="H9216" s="353"/>
      <c r="I9216" s="353"/>
      <c r="J9216" s="353"/>
      <c r="K9216" s="353"/>
      <c r="L9216" s="353"/>
      <c r="M9216" s="353"/>
      <c r="N9216" s="353"/>
      <c r="O9216" s="353"/>
      <c r="P9216" s="353"/>
      <c r="Q9216" s="353"/>
      <c r="R9216" s="353"/>
      <c r="S9216" s="353"/>
      <c r="T9216" s="353"/>
      <c r="U9216" s="353"/>
      <c r="V9216" s="353"/>
      <c r="W9216" s="353"/>
      <c r="X9216" s="353"/>
    </row>
    <row r="9217" spans="1:24" ht="15.75">
      <c r="A9217" s="304">
        <v>6</v>
      </c>
      <c r="B9217" s="308" t="s">
        <v>14085</v>
      </c>
      <c r="C9217" s="346"/>
      <c r="D9217" s="346"/>
      <c r="E9217" s="346"/>
      <c r="F9217" s="307"/>
      <c r="G9217" s="346"/>
      <c r="H9217" s="346"/>
      <c r="I9217" s="346"/>
      <c r="J9217" s="346"/>
      <c r="K9217" s="346"/>
      <c r="L9217" s="346"/>
      <c r="M9217" s="346"/>
      <c r="N9217" s="346"/>
      <c r="O9217" s="346"/>
      <c r="P9217" s="346"/>
      <c r="Q9217" s="346"/>
      <c r="R9217" s="346"/>
      <c r="S9217" s="346"/>
      <c r="T9217" s="346"/>
      <c r="U9217" s="346"/>
      <c r="V9217" s="346"/>
      <c r="W9217" s="346"/>
      <c r="X9217" s="307"/>
    </row>
    <row r="9218" spans="1:24" ht="15.75">
      <c r="A9218" s="304">
        <v>7</v>
      </c>
      <c r="B9218" s="296" t="s">
        <v>14086</v>
      </c>
      <c r="C9218" s="296"/>
      <c r="D9218" s="296"/>
      <c r="E9218" s="296"/>
      <c r="F9218" s="305"/>
      <c r="G9218" s="296"/>
      <c r="H9218" s="296"/>
      <c r="I9218" s="296"/>
      <c r="J9218" s="296"/>
      <c r="K9218" s="296"/>
      <c r="L9218" s="296"/>
      <c r="M9218" s="296"/>
      <c r="N9218" s="296"/>
      <c r="O9218" s="296"/>
      <c r="P9218" s="296"/>
      <c r="Q9218" s="296"/>
      <c r="R9218" s="296"/>
      <c r="S9218" s="296"/>
      <c r="T9218" s="296"/>
      <c r="U9218" s="296"/>
      <c r="V9218" s="296"/>
      <c r="W9218" s="296"/>
      <c r="X9218" s="305"/>
    </row>
    <row r="9219" spans="1:24" ht="15.75">
      <c r="A9219" s="304">
        <v>8</v>
      </c>
      <c r="B9219" s="296" t="s">
        <v>14087</v>
      </c>
      <c r="C9219" s="296"/>
      <c r="D9219" s="296"/>
      <c r="E9219" s="296"/>
      <c r="F9219" s="305"/>
      <c r="G9219" s="296"/>
      <c r="H9219" s="296"/>
      <c r="I9219" s="296"/>
      <c r="J9219" s="296"/>
      <c r="K9219" s="296"/>
      <c r="L9219" s="296"/>
      <c r="M9219" s="296"/>
      <c r="N9219" s="296"/>
      <c r="O9219" s="296"/>
      <c r="P9219" s="296"/>
      <c r="Q9219" s="296"/>
      <c r="R9219" s="296"/>
      <c r="S9219" s="296"/>
      <c r="T9219" s="296"/>
      <c r="U9219" s="296"/>
      <c r="V9219" s="296"/>
      <c r="W9219" s="296"/>
      <c r="X9219" s="305"/>
    </row>
    <row r="9220" spans="1:24" ht="15.75">
      <c r="A9220" s="304">
        <v>9</v>
      </c>
      <c r="B9220" s="296" t="s">
        <v>14088</v>
      </c>
      <c r="C9220" s="296"/>
      <c r="D9220" s="296"/>
      <c r="E9220" s="296"/>
      <c r="F9220" s="305"/>
      <c r="G9220" s="296"/>
      <c r="H9220" s="296"/>
      <c r="I9220" s="296"/>
      <c r="J9220" s="296"/>
      <c r="K9220" s="296"/>
      <c r="L9220" s="296"/>
      <c r="M9220" s="296"/>
      <c r="N9220" s="296"/>
      <c r="O9220" s="296"/>
      <c r="P9220" s="296"/>
      <c r="Q9220" s="296"/>
      <c r="R9220" s="296"/>
      <c r="S9220" s="296"/>
      <c r="T9220" s="296"/>
      <c r="U9220" s="296"/>
      <c r="V9220" s="296"/>
      <c r="W9220" s="296"/>
      <c r="X9220" s="305"/>
    </row>
    <row r="9221" spans="1:24" ht="15.75">
      <c r="A9221" s="304">
        <v>10</v>
      </c>
      <c r="B9221" s="296" t="s">
        <v>14089</v>
      </c>
      <c r="C9221" s="296"/>
      <c r="D9221" s="296"/>
      <c r="E9221" s="296"/>
      <c r="F9221" s="305"/>
      <c r="G9221" s="296"/>
      <c r="H9221" s="296"/>
      <c r="I9221" s="296"/>
      <c r="J9221" s="296"/>
      <c r="K9221" s="296"/>
      <c r="L9221" s="296"/>
      <c r="M9221" s="296"/>
      <c r="N9221" s="296"/>
      <c r="O9221" s="296"/>
      <c r="P9221" s="296"/>
      <c r="Q9221" s="296"/>
      <c r="R9221" s="296"/>
      <c r="S9221" s="296"/>
      <c r="T9221" s="296"/>
      <c r="U9221" s="296"/>
      <c r="V9221" s="296"/>
      <c r="W9221" s="296"/>
      <c r="X9221" s="305"/>
    </row>
    <row r="9222" spans="1:24" ht="15.75">
      <c r="A9222" s="304">
        <v>11</v>
      </c>
      <c r="B9222" s="353" t="s">
        <v>14090</v>
      </c>
      <c r="C9222" s="353"/>
      <c r="D9222" s="353"/>
      <c r="E9222" s="353"/>
      <c r="F9222" s="353"/>
      <c r="G9222" s="353"/>
      <c r="H9222" s="353"/>
      <c r="I9222" s="353"/>
      <c r="J9222" s="353"/>
      <c r="K9222" s="353"/>
      <c r="L9222" s="353"/>
      <c r="M9222" s="353"/>
      <c r="N9222" s="353"/>
      <c r="O9222" s="353"/>
      <c r="P9222" s="353"/>
      <c r="Q9222" s="353"/>
      <c r="R9222" s="353"/>
      <c r="S9222" s="353"/>
      <c r="T9222" s="353"/>
      <c r="U9222" s="353"/>
      <c r="V9222" s="353"/>
      <c r="W9222" s="353"/>
      <c r="X9222" s="353"/>
    </row>
    <row r="9223" spans="1:24" ht="15.75">
      <c r="A9223" s="304">
        <v>12</v>
      </c>
      <c r="B9223" s="353" t="s">
        <v>14091</v>
      </c>
      <c r="C9223" s="353"/>
      <c r="D9223" s="353"/>
      <c r="E9223" s="353"/>
      <c r="F9223" s="353"/>
      <c r="G9223" s="353"/>
      <c r="H9223" s="353"/>
      <c r="I9223" s="353"/>
      <c r="J9223" s="353"/>
      <c r="K9223" s="353"/>
      <c r="L9223" s="353"/>
      <c r="M9223" s="353"/>
      <c r="N9223" s="353"/>
      <c r="O9223" s="353"/>
      <c r="P9223" s="353"/>
      <c r="Q9223" s="296"/>
      <c r="R9223" s="296"/>
      <c r="S9223" s="296"/>
      <c r="T9223" s="296"/>
      <c r="U9223" s="296"/>
      <c r="V9223" s="296"/>
      <c r="W9223" s="296"/>
      <c r="X9223" s="305"/>
    </row>
    <row r="9224" spans="1:24" ht="15.75">
      <c r="A9224" s="304"/>
      <c r="B9224" s="353"/>
      <c r="C9224" s="353"/>
      <c r="D9224" s="353"/>
      <c r="E9224" s="353"/>
      <c r="F9224" s="353"/>
      <c r="G9224" s="353"/>
      <c r="H9224" s="353"/>
      <c r="I9224" s="353"/>
      <c r="J9224" s="353"/>
      <c r="K9224" s="353"/>
      <c r="L9224" s="353"/>
      <c r="M9224" s="353"/>
      <c r="N9224" s="353"/>
      <c r="O9224" s="353"/>
      <c r="P9224" s="353"/>
      <c r="Q9224" s="296"/>
      <c r="R9224" s="296"/>
      <c r="S9224" s="296"/>
      <c r="T9224" s="296"/>
      <c r="U9224" s="296"/>
      <c r="V9224" s="296"/>
      <c r="W9224" s="296"/>
      <c r="X9224" s="305"/>
    </row>
    <row r="9225" spans="1:24" ht="15.75">
      <c r="A9225" s="304">
        <v>13</v>
      </c>
      <c r="B9225" s="353" t="s">
        <v>14092</v>
      </c>
      <c r="C9225" s="353"/>
      <c r="D9225" s="353"/>
      <c r="E9225" s="353"/>
      <c r="F9225" s="353"/>
      <c r="G9225" s="353"/>
      <c r="H9225" s="353"/>
      <c r="I9225" s="353"/>
      <c r="J9225" s="353"/>
      <c r="K9225" s="353"/>
      <c r="L9225" s="353"/>
      <c r="M9225" s="353"/>
      <c r="N9225" s="353"/>
      <c r="O9225" s="353"/>
      <c r="P9225" s="353"/>
      <c r="Q9225" s="296"/>
      <c r="R9225" s="296"/>
      <c r="S9225" s="296"/>
      <c r="T9225" s="296"/>
      <c r="U9225" s="296"/>
      <c r="V9225" s="296"/>
      <c r="W9225" s="296"/>
      <c r="X9225" s="305"/>
    </row>
    <row r="9226" spans="1:24" ht="15.75">
      <c r="A9226" s="303">
        <v>14</v>
      </c>
      <c r="B9226" s="356" t="s">
        <v>14093</v>
      </c>
      <c r="C9226" s="356"/>
      <c r="D9226" s="356"/>
      <c r="E9226" s="356"/>
      <c r="F9226" s="356"/>
      <c r="G9226" s="356"/>
      <c r="H9226" s="356"/>
      <c r="I9226" s="356"/>
      <c r="J9226" s="356"/>
      <c r="K9226" s="356"/>
      <c r="L9226" s="356"/>
      <c r="M9226" s="356"/>
      <c r="N9226" s="356"/>
      <c r="O9226" s="356"/>
      <c r="P9226" s="356"/>
      <c r="Q9226" s="356"/>
      <c r="R9226" s="356"/>
      <c r="S9226" s="356"/>
      <c r="T9226" s="356"/>
      <c r="U9226" s="356"/>
      <c r="V9226" s="356"/>
      <c r="W9226" s="356"/>
      <c r="X9226" s="356"/>
    </row>
    <row r="9227" spans="1:24" ht="15.75">
      <c r="A9227" s="304">
        <v>15</v>
      </c>
      <c r="B9227" s="353" t="s">
        <v>14094</v>
      </c>
      <c r="C9227" s="353"/>
      <c r="D9227" s="353"/>
      <c r="E9227" s="353"/>
      <c r="F9227" s="353"/>
      <c r="G9227" s="353"/>
      <c r="H9227" s="353"/>
      <c r="I9227" s="353"/>
      <c r="J9227" s="353"/>
      <c r="K9227" s="353"/>
      <c r="L9227" s="353"/>
      <c r="M9227" s="353"/>
      <c r="N9227" s="353"/>
      <c r="O9227" s="353"/>
      <c r="P9227" s="353"/>
      <c r="Q9227" s="353"/>
      <c r="R9227" s="353"/>
      <c r="S9227" s="353"/>
      <c r="T9227" s="353"/>
      <c r="U9227" s="353"/>
      <c r="V9227" s="353"/>
      <c r="W9227" s="353"/>
      <c r="X9227" s="353"/>
    </row>
    <row r="9228" spans="1:24" ht="15.75">
      <c r="A9228" s="304">
        <v>16</v>
      </c>
      <c r="B9228" s="296" t="s">
        <v>14095</v>
      </c>
      <c r="C9228" s="296"/>
      <c r="D9228" s="296"/>
      <c r="E9228" s="296"/>
      <c r="F9228" s="305"/>
      <c r="G9228" s="296"/>
      <c r="H9228" s="296"/>
      <c r="I9228" s="296"/>
      <c r="J9228" s="296"/>
      <c r="K9228" s="296"/>
      <c r="L9228" s="296"/>
      <c r="M9228" s="296"/>
      <c r="N9228" s="296"/>
      <c r="O9228" s="296"/>
      <c r="P9228" s="296"/>
      <c r="Q9228" s="296"/>
      <c r="R9228" s="296"/>
      <c r="S9228" s="296"/>
      <c r="T9228" s="296"/>
      <c r="U9228" s="296"/>
      <c r="V9228" s="296"/>
      <c r="W9228" s="296"/>
      <c r="X9228" s="305"/>
    </row>
    <row r="9229" spans="1:24" ht="15.75">
      <c r="A9229" s="304">
        <v>17</v>
      </c>
      <c r="B9229" s="296" t="s">
        <v>14096</v>
      </c>
      <c r="C9229" s="296"/>
      <c r="D9229" s="296"/>
      <c r="E9229" s="296"/>
      <c r="F9229" s="305"/>
      <c r="G9229" s="296"/>
      <c r="H9229" s="296"/>
      <c r="I9229" s="296"/>
      <c r="J9229" s="296"/>
      <c r="K9229" s="296"/>
      <c r="L9229" s="296"/>
      <c r="M9229" s="296"/>
      <c r="N9229" s="296"/>
      <c r="O9229" s="296"/>
      <c r="P9229" s="296"/>
      <c r="Q9229" s="296"/>
      <c r="R9229" s="296"/>
      <c r="S9229" s="296"/>
      <c r="T9229" s="296"/>
      <c r="U9229" s="296"/>
      <c r="V9229" s="296"/>
      <c r="W9229" s="296"/>
      <c r="X9229" s="305"/>
    </row>
    <row r="9230" spans="1:24" ht="15.75">
      <c r="A9230" s="304">
        <v>18</v>
      </c>
      <c r="B9230" s="296" t="s">
        <v>14097</v>
      </c>
      <c r="C9230" s="296"/>
      <c r="D9230" s="296"/>
      <c r="E9230" s="296"/>
      <c r="F9230" s="305"/>
      <c r="G9230" s="296"/>
      <c r="H9230" s="296"/>
      <c r="I9230" s="296"/>
      <c r="J9230" s="296"/>
      <c r="K9230" s="296"/>
      <c r="L9230" s="296"/>
      <c r="M9230" s="296"/>
      <c r="N9230" s="296"/>
      <c r="O9230" s="296"/>
      <c r="P9230" s="296"/>
      <c r="Q9230" s="296"/>
      <c r="R9230" s="296"/>
      <c r="S9230" s="296"/>
      <c r="T9230" s="296"/>
      <c r="U9230" s="296"/>
      <c r="V9230" s="296"/>
      <c r="W9230" s="296"/>
      <c r="X9230" s="305"/>
    </row>
    <row r="9231" spans="1:24" ht="15.75">
      <c r="A9231" s="304">
        <v>19</v>
      </c>
      <c r="B9231" s="296" t="s">
        <v>14098</v>
      </c>
      <c r="C9231" s="296"/>
      <c r="D9231" s="296"/>
      <c r="E9231" s="296"/>
      <c r="F9231" s="305"/>
      <c r="G9231" s="296"/>
      <c r="H9231" s="296"/>
      <c r="I9231" s="296"/>
      <c r="J9231" s="296"/>
      <c r="K9231" s="296"/>
      <c r="L9231" s="296"/>
      <c r="M9231" s="296"/>
      <c r="N9231" s="296"/>
      <c r="O9231" s="296"/>
      <c r="P9231" s="296"/>
      <c r="Q9231" s="296"/>
      <c r="R9231" s="296"/>
      <c r="S9231" s="296"/>
      <c r="T9231" s="296"/>
      <c r="U9231" s="296"/>
      <c r="V9231" s="296"/>
      <c r="W9231" s="296"/>
      <c r="X9231" s="305"/>
    </row>
    <row r="9232" spans="1:24" ht="15.75">
      <c r="A9232" s="304">
        <v>20.21</v>
      </c>
      <c r="B9232" s="296" t="s">
        <v>14099</v>
      </c>
      <c r="C9232" s="296"/>
      <c r="D9232" s="296"/>
      <c r="E9232" s="296"/>
      <c r="F9232" s="305"/>
      <c r="G9232" s="296"/>
      <c r="H9232" s="296"/>
      <c r="I9232" s="296"/>
      <c r="J9232" s="296"/>
      <c r="K9232" s="296"/>
      <c r="L9232" s="296"/>
      <c r="M9232" s="346"/>
      <c r="N9232" s="346"/>
      <c r="O9232" s="346"/>
      <c r="P9232" s="346"/>
      <c r="Q9232" s="296"/>
      <c r="R9232" s="296"/>
      <c r="S9232" s="296"/>
      <c r="T9232" s="296"/>
      <c r="U9232" s="296"/>
      <c r="V9232" s="296"/>
      <c r="W9232" s="296"/>
      <c r="X9232" s="305"/>
    </row>
    <row r="9233" spans="1:24" ht="15.75">
      <c r="A9233" s="304">
        <v>22</v>
      </c>
      <c r="B9233" s="296" t="s">
        <v>14100</v>
      </c>
      <c r="C9233" s="296"/>
      <c r="D9233" s="296"/>
      <c r="E9233" s="296"/>
      <c r="F9233" s="305"/>
      <c r="G9233" s="296"/>
      <c r="H9233" s="296"/>
      <c r="I9233" s="296"/>
      <c r="J9233" s="296"/>
      <c r="K9233" s="296"/>
      <c r="L9233" s="296"/>
      <c r="M9233" s="346"/>
      <c r="N9233" s="346"/>
      <c r="O9233" s="346"/>
      <c r="P9233" s="346"/>
      <c r="Q9233" s="296"/>
      <c r="R9233" s="296"/>
      <c r="S9233" s="296"/>
      <c r="T9233" s="296"/>
      <c r="U9233" s="296"/>
      <c r="V9233" s="296"/>
      <c r="W9233" s="296"/>
      <c r="X9233" s="305"/>
    </row>
    <row r="9234" spans="1:24" ht="15.75">
      <c r="A9234" s="304">
        <v>23</v>
      </c>
      <c r="B9234" s="353" t="s">
        <v>14101</v>
      </c>
      <c r="C9234" s="353"/>
      <c r="D9234" s="353"/>
      <c r="E9234" s="353"/>
      <c r="F9234" s="353"/>
      <c r="G9234" s="353"/>
      <c r="H9234" s="353"/>
      <c r="I9234" s="353"/>
      <c r="J9234" s="353"/>
      <c r="K9234" s="353"/>
      <c r="L9234" s="353"/>
      <c r="M9234" s="353"/>
      <c r="N9234" s="353"/>
      <c r="O9234" s="353"/>
      <c r="P9234" s="353"/>
      <c r="Q9234" s="353"/>
      <c r="R9234" s="353"/>
      <c r="S9234" s="353"/>
      <c r="T9234" s="353"/>
      <c r="U9234" s="353"/>
      <c r="V9234" s="353"/>
      <c r="W9234" s="353"/>
      <c r="X9234" s="353"/>
    </row>
    <row r="9235" spans="1:24" ht="15.75">
      <c r="A9235" s="304">
        <v>24</v>
      </c>
      <c r="B9235" s="296" t="s">
        <v>14102</v>
      </c>
      <c r="C9235" s="296"/>
      <c r="D9235" s="296"/>
      <c r="E9235" s="296"/>
      <c r="F9235" s="305"/>
      <c r="G9235" s="296"/>
      <c r="H9235" s="296"/>
      <c r="I9235" s="296"/>
      <c r="J9235" s="296"/>
      <c r="K9235" s="296"/>
      <c r="L9235" s="296"/>
      <c r="M9235" s="296"/>
      <c r="N9235" s="296"/>
      <c r="O9235" s="296"/>
      <c r="P9235" s="296"/>
      <c r="Q9235" s="296"/>
      <c r="R9235" s="296"/>
      <c r="S9235" s="296"/>
      <c r="T9235" s="296"/>
      <c r="U9235" s="296"/>
      <c r="V9235" s="296"/>
      <c r="W9235" s="296"/>
      <c r="X9235" s="305"/>
    </row>
    <row r="9236" spans="1:24" ht="15.75">
      <c r="A9236" s="304"/>
      <c r="B9236" s="296" t="s">
        <v>14103</v>
      </c>
      <c r="C9236" s="296"/>
      <c r="D9236" s="296"/>
      <c r="E9236" s="296"/>
      <c r="F9236" s="305"/>
      <c r="G9236" s="296"/>
      <c r="H9236" s="296"/>
      <c r="I9236" s="296"/>
      <c r="J9236" s="296"/>
      <c r="K9236" s="296"/>
      <c r="L9236" s="296"/>
      <c r="M9236" s="296"/>
      <c r="N9236" s="296"/>
      <c r="O9236" s="296"/>
      <c r="P9236" s="296"/>
      <c r="Q9236" s="296"/>
      <c r="R9236" s="296"/>
      <c r="S9236" s="296"/>
      <c r="T9236" s="296"/>
      <c r="U9236" s="296"/>
      <c r="V9236" s="296"/>
      <c r="W9236" s="296"/>
      <c r="X9236" s="305"/>
    </row>
    <row r="9237" spans="1:24" ht="15.75">
      <c r="A9237" s="299"/>
      <c r="B9237" s="354" t="s">
        <v>14104</v>
      </c>
      <c r="C9237" s="354"/>
      <c r="D9237" s="354"/>
      <c r="E9237" s="354"/>
      <c r="F9237" s="354"/>
      <c r="G9237" s="354"/>
      <c r="H9237" s="354"/>
      <c r="I9237" s="354"/>
      <c r="J9237" s="354"/>
      <c r="K9237" s="354"/>
      <c r="L9237" s="354"/>
      <c r="M9237" s="354"/>
      <c r="N9237" s="354"/>
      <c r="O9237" s="354"/>
      <c r="P9237" s="354"/>
      <c r="Q9237" s="354"/>
      <c r="R9237" s="354"/>
      <c r="S9237" s="354"/>
      <c r="T9237" s="354"/>
      <c r="U9237" s="354"/>
      <c r="V9237" s="354"/>
      <c r="W9237" s="354"/>
      <c r="X9237" s="354"/>
    </row>
    <row r="9238" spans="1:24">
      <c r="A9238" s="295"/>
      <c r="B9238" s="295"/>
      <c r="C9238" s="295"/>
      <c r="D9238" s="295"/>
      <c r="E9238" s="295"/>
      <c r="F9238" s="313"/>
      <c r="G9238" s="295"/>
      <c r="H9238" s="295"/>
      <c r="I9238" s="295"/>
      <c r="J9238" s="295"/>
      <c r="K9238" s="295"/>
      <c r="L9238" s="295"/>
      <c r="M9238" s="295"/>
      <c r="N9238" s="295"/>
      <c r="O9238" s="295"/>
      <c r="P9238" s="295"/>
      <c r="Q9238" s="295"/>
      <c r="R9238" s="295"/>
      <c r="S9238" s="295"/>
      <c r="T9238" s="295"/>
      <c r="U9238" s="295"/>
      <c r="V9238" s="295"/>
      <c r="W9238" s="295"/>
      <c r="X9238" s="313"/>
    </row>
  </sheetData>
  <mergeCells count="46">
    <mergeCell ref="F17:F18"/>
    <mergeCell ref="G17:G18"/>
    <mergeCell ref="H17:H18"/>
    <mergeCell ref="T10:U10"/>
    <mergeCell ref="T5:U5"/>
    <mergeCell ref="T6:U6"/>
    <mergeCell ref="T7:U7"/>
    <mergeCell ref="T8:U8"/>
    <mergeCell ref="T9:U9"/>
    <mergeCell ref="U17:U18"/>
    <mergeCell ref="I17:I18"/>
    <mergeCell ref="J17:J18"/>
    <mergeCell ref="K17:K18"/>
    <mergeCell ref="L17:L18"/>
    <mergeCell ref="M17:M18"/>
    <mergeCell ref="N17:N18"/>
    <mergeCell ref="A17:A18"/>
    <mergeCell ref="B17:B18"/>
    <mergeCell ref="C17:C18"/>
    <mergeCell ref="D17:D18"/>
    <mergeCell ref="E17:E18"/>
    <mergeCell ref="V17:V18"/>
    <mergeCell ref="W17:W18"/>
    <mergeCell ref="T11:U11"/>
    <mergeCell ref="T12:U12"/>
    <mergeCell ref="S17:S18"/>
    <mergeCell ref="T17:T18"/>
    <mergeCell ref="T13:U13"/>
    <mergeCell ref="T14:U14"/>
    <mergeCell ref="T15:U15"/>
    <mergeCell ref="X17:X18"/>
    <mergeCell ref="B9199:W9199"/>
    <mergeCell ref="B9227:X9227"/>
    <mergeCell ref="B9234:X9234"/>
    <mergeCell ref="B9237:X9237"/>
    <mergeCell ref="B9211:W9211"/>
    <mergeCell ref="B9216:X9216"/>
    <mergeCell ref="B9222:X9222"/>
    <mergeCell ref="B9223:P9224"/>
    <mergeCell ref="B9225:P9225"/>
    <mergeCell ref="B9226:X9226"/>
    <mergeCell ref="B9208:W9208"/>
    <mergeCell ref="O17:O18"/>
    <mergeCell ref="P17:P18"/>
    <mergeCell ref="Q17:Q18"/>
    <mergeCell ref="R17:R18"/>
  </mergeCells>
  <conditionalFormatting sqref="R6547 R6549">
    <cfRule type="cellIs" dxfId="2" priority="3" stopIfTrue="1" operator="equal">
      <formula>0</formula>
    </cfRule>
  </conditionalFormatting>
  <conditionalFormatting sqref="R6548">
    <cfRule type="cellIs" dxfId="1" priority="2" stopIfTrue="1" operator="equal">
      <formula>0</formula>
    </cfRule>
  </conditionalFormatting>
  <conditionalFormatting sqref="R6550">
    <cfRule type="cellIs" dxfId="0" priority="1" stopIfTrue="1" operator="equal">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с изм.№10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Расылбек Дуанаев</cp:lastModifiedBy>
  <cp:lastPrinted>2014-09-15T11:56:49Z</cp:lastPrinted>
  <dcterms:created xsi:type="dcterms:W3CDTF">2013-12-03T05:20:00Z</dcterms:created>
  <dcterms:modified xsi:type="dcterms:W3CDTF">2014-11-07T12:54:56Z</dcterms:modified>
</cp:coreProperties>
</file>